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png&amp;ehk=iCrQHPr0e5F3b9NR"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showInkAnnotation="0" codeName="ThisWorkbook" defaultThemeVersion="166925"/>
  <mc:AlternateContent xmlns:mc="http://schemas.openxmlformats.org/markup-compatibility/2006">
    <mc:Choice Requires="x15">
      <x15ac:absPath xmlns:x15ac="http://schemas.microsoft.com/office/spreadsheetml/2010/11/ac" url="C:\Users\ccpel\Documents\Athletics\U13 Boys\"/>
    </mc:Choice>
  </mc:AlternateContent>
  <xr:revisionPtr revIDLastSave="0" documentId="13_ncr:1_{5597E4B3-DC1E-4472-AE22-5474423F82FA}" xr6:coauthVersionLast="43" xr6:coauthVersionMax="43" xr10:uidLastSave="{00000000-0000-0000-0000-000000000000}"/>
  <bookViews>
    <workbookView xWindow="-98" yWindow="-98" windowWidth="20715" windowHeight="13276" tabRatio="681" firstSheet="2" activeTab="2" xr2:uid="{00000000-000D-0000-FFFF-FFFF00000000}"/>
  </bookViews>
  <sheets>
    <sheet name="Declarations" sheetId="25" state="hidden" r:id="rId1"/>
    <sheet name="downloads" sheetId="46" state="hidden" r:id="rId2"/>
    <sheet name="Dashboard" sheetId="34" r:id="rId3"/>
    <sheet name="MatchDay" sheetId="5" r:id="rId4"/>
    <sheet name="U15Be" sheetId="40" state="hidden" r:id="rId5"/>
    <sheet name="U15B" sheetId="47" r:id="rId6"/>
    <sheet name="U15G" sheetId="41" r:id="rId7"/>
    <sheet name="U15Ge" sheetId="48" state="hidden" r:id="rId8"/>
    <sheet name="U13B" sheetId="42" r:id="rId9"/>
    <sheet name="U13Be" sheetId="49" state="hidden" r:id="rId10"/>
    <sheet name="U13G" sheetId="43" r:id="rId11"/>
    <sheet name="U13Ge" sheetId="50" state="hidden" r:id="rId12"/>
    <sheet name="StartLists" sheetId="44" r:id="rId13"/>
    <sheet name="Track1" sheetId="16" r:id="rId14"/>
    <sheet name="Relays" sheetId="17" r:id="rId15"/>
    <sheet name="Middle D" sheetId="18" r:id="rId16"/>
    <sheet name="Distance Input" sheetId="9" r:id="rId17"/>
    <sheet name="Height Input" sheetId="15" r:id="rId18"/>
    <sheet name="Track2" sheetId="19" r:id="rId19"/>
    <sheet name="Field" sheetId="12" r:id="rId20"/>
    <sheet name="LAG Girls" sheetId="20" r:id="rId21"/>
    <sheet name="LAG Boys" sheetId="32" r:id="rId22"/>
    <sheet name="Points" sheetId="13" state="hidden" r:id="rId23"/>
    <sheet name="Distance" sheetId="6" state="hidden" r:id="rId24"/>
    <sheet name="Height" sheetId="14" state="hidden" r:id="rId25"/>
    <sheet name="Timetables" sheetId="1" state="hidden" r:id="rId26"/>
    <sheet name="AAA" sheetId="2" state="hidden" r:id="rId27"/>
    <sheet name="Teams" sheetId="4" r:id="rId28"/>
    <sheet name="Dates &amp; Venues" sheetId="7" state="hidden" r:id="rId29"/>
    <sheet name="Judging Duties" sheetId="10" state="hidden" r:id="rId30"/>
  </sheets>
  <definedNames>
    <definedName name="_xlnm._FilterDatabase" localSheetId="28" hidden="1">'Dates &amp; Venues'!$E$1:$E$105</definedName>
    <definedName name="_xlnm._FilterDatabase" localSheetId="16" hidden="1">'Distance Input'!$B$2:$B$135</definedName>
    <definedName name="_xlnm._FilterDatabase" localSheetId="1" hidden="1">downloads!$A$1:$A$865</definedName>
    <definedName name="_xlnm._FilterDatabase" localSheetId="19" hidden="1">Field!$B$1:$B$242</definedName>
    <definedName name="_xlnm._FilterDatabase" localSheetId="17" hidden="1">'Height Input'!$B$2:$B$43</definedName>
    <definedName name="_xlnm._FilterDatabase" localSheetId="29" hidden="1">'Judging Duties'!$A$1:$C$24</definedName>
    <definedName name="_xlnm._FilterDatabase" localSheetId="14" hidden="1">Relays!$B$1:$B$66</definedName>
    <definedName name="_xlnm._FilterDatabase" localSheetId="12" hidden="1">StartLists!$B$1:$B$12</definedName>
    <definedName name="_xlnm._FilterDatabase" localSheetId="27" hidden="1">Teams!$A$1:$AG$281</definedName>
    <definedName name="_xlnm._FilterDatabase" localSheetId="25" hidden="1">Timetables!$A$1:$DK$60</definedName>
    <definedName name="_xlnm._FilterDatabase" localSheetId="13" hidden="1">Track1!$B$1:$B$286</definedName>
    <definedName name="_xlnm._FilterDatabase" localSheetId="18" hidden="1">Track2!$B$1:$B$44</definedName>
    <definedName name="_LFW01">'Distance Input'!$Q$4:$U$19</definedName>
    <definedName name="_LFW02">'Distance Input'!$Q$23:$U$38</definedName>
    <definedName name="_LFW03">'Distance Input'!$Q$42:$U$57</definedName>
    <definedName name="_LFW04">'Distance Input'!$Q$61:$U$76</definedName>
    <definedName name="download_LAG_R2.asp?fixtureID_12" localSheetId="1">downloads!$A$1:$D$1080</definedName>
    <definedName name="download_LAG_R2.asp?fixtureID_12_1" localSheetId="1">downloads!$A$1:$D$1080</definedName>
    <definedName name="download_LAG_R2.asp?fixtureID_12_10" localSheetId="1">downloads!$A$1:$D$1080</definedName>
    <definedName name="download_LAG_R2.asp?fixtureID_12_11" localSheetId="1">downloads!$A$1:$D$1080</definedName>
    <definedName name="download_LAG_R2.asp?fixtureID_12_12" localSheetId="1">downloads!$A$1:$D$1080</definedName>
    <definedName name="download_LAG_R2.asp?fixtureID_12_2" localSheetId="1">downloads!$A$1:$D$1080</definedName>
    <definedName name="download_LAG_R2.asp?fixtureID_12_3" localSheetId="1">downloads!$A$1:$D$1080</definedName>
    <definedName name="download_LAG_R2.asp?fixtureID_12_4" localSheetId="1">downloads!$A$1:$D$1080</definedName>
    <definedName name="download_LAG_R2.asp?fixtureID_12_5" localSheetId="1">downloads!$A$1:$D$1080</definedName>
    <definedName name="download_LAG_R2.asp?fixtureID_12_6" localSheetId="1">downloads!$A$1:$D$1080</definedName>
    <definedName name="download_LAG_R2.asp?fixtureID_12_7" localSheetId="1">downloads!$A$1:$D$1080</definedName>
    <definedName name="download_LAG_R2.asp?fixtureID_12_8" localSheetId="1">downloads!$A$1:$D$1080</definedName>
    <definedName name="download_LAG_R2.asp?fixtureID_12_9" localSheetId="1">downloads!$A$1:$D$1080</definedName>
    <definedName name="download_LAG_R2.asp?fixtureID_13" localSheetId="1">downloads!$A$1:$D$1080</definedName>
    <definedName name="download_LAG_R2.asp?fixtureID_13_1" localSheetId="1">downloads!$A$1:$D$1080</definedName>
    <definedName name="download_LAG_R2.asp?fixtureID_13_2" localSheetId="1">downloads!$A$1:$D$1080</definedName>
    <definedName name="download_LAG_R2.asp?fixtureID_13_3" localSheetId="1">downloads!$A$1:$D$1080</definedName>
    <definedName name="download_LAG_R2.asp?fixtureID_15" localSheetId="1">downloads!$A$1:$D$1512</definedName>
    <definedName name="download_LAG_R2.asp?fixtureID_15_1" localSheetId="1">downloads!$A$1:$D$1512</definedName>
    <definedName name="download_LAG_R2.asp?fixtureID_15_2" localSheetId="1">downloads!$A$1:$D$1512</definedName>
    <definedName name="download_LAG_R2.asp?fixtureID_15_3" localSheetId="1">downloads!$A$1:$D$1512</definedName>
    <definedName name="download_LAG_R2.asp?fixtureID_16" localSheetId="1">downloads!$A$1:$D$1188</definedName>
    <definedName name="download_LAG_R2.asp?fixtureID_6" localSheetId="1">downloads!$A$1:$D$1188</definedName>
    <definedName name="download_LAG_R2.asp?fixtureID_6_24" localSheetId="1">downloads!$A$1:$D$1188</definedName>
    <definedName name="download_LAG_R2.asp?fixtureID_6_25" localSheetId="1">downloads!$A$1:$D$1188</definedName>
    <definedName name="fdistance">'Distance Input'!$X$3:$Z$26</definedName>
    <definedName name="female_reg">downloads!$Y:$AA</definedName>
    <definedName name="fheight">'Height Input'!$AA$3:$AD$10</definedName>
    <definedName name="judges">'Judging Duties'!$A$1:$AG$25</definedName>
    <definedName name="judges2">'Judging Duties'!$AI$4:$AM$19</definedName>
    <definedName name="judgesp">'Judging Duties'!$AI$21:$AM$28</definedName>
    <definedName name="LAG_squads_F.asp?fixtureID_12" localSheetId="1">downloads!$X$1:$AB$148</definedName>
    <definedName name="LAG_squads_F.asp?fixtureID_12_1" localSheetId="1">downloads!$X$1:$AB$148</definedName>
    <definedName name="LAG_squads_F.asp?fixtureID_12_10" localSheetId="1">downloads!$X$1:$AB$148</definedName>
    <definedName name="LAG_squads_F.asp?fixtureID_12_11" localSheetId="1">downloads!$X$1:$AB$148</definedName>
    <definedName name="LAG_squads_F.asp?fixtureID_12_12" localSheetId="1">downloads!$X$1:$AB$148</definedName>
    <definedName name="LAG_squads_F.asp?fixtureID_12_2" localSheetId="1">downloads!$X$1:$AB$148</definedName>
    <definedName name="LAG_squads_F.asp?fixtureID_12_3" localSheetId="1">downloads!$X$1:$AB$148</definedName>
    <definedName name="LAG_squads_F.asp?fixtureID_12_4" localSheetId="1">downloads!$X$1:$AB$148</definedName>
    <definedName name="LAG_squads_F.asp?fixtureID_12_5" localSheetId="1">downloads!$X$1:$AB$148</definedName>
    <definedName name="LAG_squads_F.asp?fixtureID_12_6" localSheetId="1">downloads!$X$1:$AB$148</definedName>
    <definedName name="LAG_squads_F.asp?fixtureID_12_7" localSheetId="1">downloads!$X$1:$AB$148</definedName>
    <definedName name="LAG_squads_F.asp?fixtureID_12_8" localSheetId="1">downloads!$X$1:$AB$148</definedName>
    <definedName name="LAG_squads_F.asp?fixtureID_12_9" localSheetId="1">downloads!$X$1:$AB$148</definedName>
    <definedName name="LAG_squads_F.asp?fixtureID_13" localSheetId="1">downloads!$X$1:$AB$124</definedName>
    <definedName name="LAG_squads_F.asp?fixtureID_13_1" localSheetId="1">downloads!$X$1:$AB$121</definedName>
    <definedName name="LAG_squads_F.asp?fixtureID_13_2" localSheetId="1">downloads!$X$1:$AB$121</definedName>
    <definedName name="LAG_squads_F.asp?fixtureID_13_3" localSheetId="1">downloads!$X$1:$AB$121</definedName>
    <definedName name="LAG_squads_F.asp?fixtureID_15" localSheetId="1">downloads!$X$1:$AB$251</definedName>
    <definedName name="LAG_squads_F.asp?fixtureID_15_1" localSheetId="1">downloads!$X$1:$AB$273</definedName>
    <definedName name="LAG_squads_F.asp?fixtureID_15_2" localSheetId="1">downloads!$X$1:$AB$273</definedName>
    <definedName name="LAG_squads_F.asp?fixtureID_15_3" localSheetId="1">downloads!$X$1:$AB$273</definedName>
    <definedName name="LAG_squads_F.asp?fixtureID_16" localSheetId="1">downloads!$X$1:$AB$202</definedName>
    <definedName name="LAG_squads_F.asp?fixtureID_6" localSheetId="1">downloads!$X$1:$AB$251</definedName>
    <definedName name="LAG_squads_F.asp?fixtureID_6_23" localSheetId="1">downloads!$X$1:$AB$255</definedName>
    <definedName name="LAG_squads_F.asp?fixtureID_6_24" localSheetId="1">downloads!$X$1:$AB$255</definedName>
    <definedName name="LAG_squads_M.asp?fixtureID_12" localSheetId="1">downloads!$S$1:$W$152</definedName>
    <definedName name="LAG_squads_M.asp?fixtureID_12_1" localSheetId="1">downloads!$S$1:$W$152</definedName>
    <definedName name="LAG_squads_M.asp?fixtureID_12_10" localSheetId="1">downloads!$S$1:$W$152</definedName>
    <definedName name="LAG_squads_M.asp?fixtureID_12_11" localSheetId="1">downloads!$S$1:$W$152</definedName>
    <definedName name="LAG_squads_M.asp?fixtureID_12_12" localSheetId="1">downloads!$S$1:$W$152</definedName>
    <definedName name="LAG_squads_M.asp?fixtureID_12_2" localSheetId="1">downloads!$S$1:$W$152</definedName>
    <definedName name="LAG_squads_M.asp?fixtureID_12_3" localSheetId="1">downloads!$S$1:$W$152</definedName>
    <definedName name="LAG_squads_M.asp?fixtureID_12_4" localSheetId="1">downloads!$S$1:$W$152</definedName>
    <definedName name="LAG_squads_M.asp?fixtureID_12_5" localSheetId="1">downloads!$S$1:$W$152</definedName>
    <definedName name="LAG_squads_M.asp?fixtureID_12_6" localSheetId="1">downloads!$S$1:$W$152</definedName>
    <definedName name="LAG_squads_M.asp?fixtureID_12_7" localSheetId="1">downloads!$S$1:$W$152</definedName>
    <definedName name="LAG_squads_M.asp?fixtureID_12_8" localSheetId="1">downloads!$S$1:$W$152</definedName>
    <definedName name="LAG_squads_M.asp?fixtureID_12_9" localSheetId="1">downloads!$S$1:$W$152</definedName>
    <definedName name="LAG_squads_M.asp?fixtureID_13" localSheetId="1">downloads!$S$1:$W$124</definedName>
    <definedName name="LAG_squads_M.asp?fixtureID_13_1" localSheetId="1">downloads!$S$1:$W$117</definedName>
    <definedName name="LAG_squads_M.asp?fixtureID_13_2" localSheetId="1">downloads!$S$1:$W$117</definedName>
    <definedName name="LAG_squads_M.asp?fixtureID_13_3" localSheetId="1">downloads!$S$1:$W$117</definedName>
    <definedName name="LAG_squads_M.asp?fixtureID_15" localSheetId="1">downloads!$S$1:$W$281</definedName>
    <definedName name="LAG_squads_M.asp?fixtureID_15_1" localSheetId="1">downloads!$S$1:$W$317</definedName>
    <definedName name="LAG_squads_M.asp?fixtureID_15_2" localSheetId="1">downloads!$S$1:$W$318</definedName>
    <definedName name="LAG_squads_M.asp?fixtureID_15_3" localSheetId="1">downloads!$S$1:$W$328</definedName>
    <definedName name="LAG_squads_M.asp?fixtureID_16" localSheetId="1">downloads!$S$1:$W$176</definedName>
    <definedName name="LAG_squads_M.asp?fixtureID_6" localSheetId="1">downloads!$S$1:$W$204</definedName>
    <definedName name="LAG_squads_M.asp?fixtureID_6_24" localSheetId="1">downloads!$S$1:$W$206</definedName>
    <definedName name="LAG_squads_M.asp?fixtureID_6_25" localSheetId="1">downloads!$S$1:$W$206</definedName>
    <definedName name="LAGMI">Teams!$R$2:$R$12</definedName>
    <definedName name="LAGNO">Teams!$P$2:$P$9</definedName>
    <definedName name="LAGSC">Teams!$S$2:$S$5</definedName>
    <definedName name="LAGSO">Teams!$Q$2:$Q$9</definedName>
    <definedName name="LAGYD">Teams!$T$2:$T$2</definedName>
    <definedName name="lanes6">Timetables!$CK$2:$CP$78</definedName>
    <definedName name="Lanes7">Timetables!$BK$2:$BQ$60</definedName>
    <definedName name="male_reg">downloads!$T:$V</definedName>
    <definedName name="numbers_">Teams!$U$2:$U$21</definedName>
    <definedName name="numbers_A">Teams!$U$1:$U$12</definedName>
    <definedName name="points5">Points!$B$2:$D$16</definedName>
    <definedName name="points6">Points!$B$19:$D$39</definedName>
    <definedName name="points7">Points!$B$42:$D$69</definedName>
    <definedName name="points8">Points!$B$72:$D$107</definedName>
    <definedName name="_xlnm.Print_Area" localSheetId="26">AAA!$A$44:$F$78</definedName>
    <definedName name="_xlnm.Print_Area" localSheetId="0">Declarations!$A$103:$O$198</definedName>
    <definedName name="_xlnm.Print_Area" localSheetId="23">Distance!$D$355:$AB$386</definedName>
    <definedName name="_xlnm.Print_Area" localSheetId="16">'Distance Input'!$B$21:$F$38</definedName>
    <definedName name="_xlnm.Print_Area" localSheetId="19">Field!$B$2:$N$45</definedName>
    <definedName name="_xlnm.Print_Area" localSheetId="24">Height!$D$3:$AM$34</definedName>
    <definedName name="_xlnm.Print_Area" localSheetId="3">MatchDay!$A$1:$J$43</definedName>
    <definedName name="_xlnm.Print_Area" localSheetId="14">Relays!$B$46:$I$89</definedName>
    <definedName name="_xlnm.Print_Area" localSheetId="12">StartLists!$B$46:$M$89</definedName>
    <definedName name="_xlnm.Print_Area" localSheetId="25">Timetables!$A$39:$D$60</definedName>
    <definedName name="_xlnm.Print_Area" localSheetId="13">Track1!$B$222:$N$265</definedName>
    <definedName name="_xlnm.Print_Area" localSheetId="18">Track2!$B$2:$N$45</definedName>
    <definedName name="_xlnm.Print_Area" localSheetId="8">U13B!$B$2:$N$132</definedName>
    <definedName name="_xlnm.Print_Area" localSheetId="9">U13Be!$B$2:$N$132</definedName>
    <definedName name="_xlnm.Print_Area" localSheetId="10">U13G!$B$2:$N$132</definedName>
    <definedName name="_xlnm.Print_Area" localSheetId="11">U13Ge!$B$2:$N$132</definedName>
    <definedName name="_xlnm.Print_Area" localSheetId="5">U15B!$B$2:$N$187</definedName>
    <definedName name="_xlnm.Print_Area" localSheetId="4">U15Be!$B$2:$N$187</definedName>
    <definedName name="_xlnm.Print_Area" localSheetId="6">U15G!$B$2:$N$187</definedName>
    <definedName name="_xlnm.Print_Area" localSheetId="7">U15Ge!$B$2:$N$187</definedName>
    <definedName name="_xlnm.Print_Titles" localSheetId="19">Field!$1:$1</definedName>
    <definedName name="_xlnm.Print_Titles" localSheetId="14">Relays!$1:$1</definedName>
    <definedName name="_xlnm.Print_Titles" localSheetId="12">StartLists!$1:$1</definedName>
    <definedName name="_xlnm.Print_Titles" localSheetId="13">Track1!$1:$1</definedName>
    <definedName name="_xlnm.Print_Titles" localSheetId="18">Track2!$1:$1</definedName>
    <definedName name="_xlnm.Print_Titles" localSheetId="8">U13B!$1:$1</definedName>
    <definedName name="_xlnm.Print_Titles" localSheetId="9">U13Be!$1:$1</definedName>
    <definedName name="_xlnm.Print_Titles" localSheetId="10">U13G!$1:$1</definedName>
    <definedName name="_xlnm.Print_Titles" localSheetId="11">U13Ge!$1:$1</definedName>
    <definedName name="_xlnm.Print_Titles" localSheetId="5">U15B!$1:$1</definedName>
    <definedName name="_xlnm.Print_Titles" localSheetId="4">U15Be!$1:$1</definedName>
    <definedName name="_xlnm.Print_Titles" localSheetId="6">U15G!$1:$1</definedName>
    <definedName name="_xlnm.Print_Titles" localSheetId="7">U15Ge!$1:$1</definedName>
    <definedName name="records">downloads!$J$1:$Q$71</definedName>
    <definedName name="standards">AAA!$A$1:$I$85</definedName>
    <definedName name="teamlookup">Teams!$U$2:$Z$21</definedName>
    <definedName name="timetables">Timetables!$A$1:$ED$60</definedName>
  </definedNames>
  <calcPr calcId="191029" iterateDelta="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44" i="44" l="1"/>
  <c r="P144" i="44"/>
  <c r="Q135" i="44"/>
  <c r="P135" i="44"/>
  <c r="Q155" i="44"/>
  <c r="P155" i="44"/>
  <c r="Q146" i="44"/>
  <c r="P146" i="44"/>
  <c r="Q166" i="44"/>
  <c r="P166" i="44"/>
  <c r="Q157" i="44"/>
  <c r="P157" i="44"/>
  <c r="Q177" i="44"/>
  <c r="P177" i="44"/>
  <c r="Q168" i="44"/>
  <c r="P168" i="44"/>
  <c r="Q199" i="44"/>
  <c r="P199" i="44"/>
  <c r="Q190" i="44"/>
  <c r="P190" i="44"/>
  <c r="Q188" i="44"/>
  <c r="P188" i="44"/>
  <c r="Q179" i="44"/>
  <c r="P179" i="44"/>
  <c r="Q265" i="44"/>
  <c r="P265" i="44"/>
  <c r="Q256" i="44"/>
  <c r="P256" i="44"/>
  <c r="Q254" i="44"/>
  <c r="P254" i="44"/>
  <c r="Q245" i="44"/>
  <c r="P245" i="44"/>
  <c r="P255" i="44" l="1"/>
  <c r="Q255" i="44"/>
  <c r="Q243" i="44"/>
  <c r="P243" i="44"/>
  <c r="Q234" i="44"/>
  <c r="P234" i="44"/>
  <c r="S630" i="44" l="1"/>
  <c r="R630" i="44"/>
  <c r="Q630" i="44"/>
  <c r="P630" i="44"/>
  <c r="S629" i="44"/>
  <c r="R629" i="44"/>
  <c r="Q629" i="44"/>
  <c r="P629" i="44"/>
  <c r="S619" i="44"/>
  <c r="R619" i="44"/>
  <c r="Q619" i="44"/>
  <c r="P619" i="44"/>
  <c r="S618" i="44"/>
  <c r="R618" i="44"/>
  <c r="Q618" i="44"/>
  <c r="P618" i="44"/>
  <c r="S617" i="44"/>
  <c r="R617" i="44"/>
  <c r="Q617" i="44"/>
  <c r="P617" i="44"/>
  <c r="S608" i="44"/>
  <c r="R608" i="44"/>
  <c r="Q608" i="44"/>
  <c r="P608" i="44"/>
  <c r="S607" i="44"/>
  <c r="R607" i="44"/>
  <c r="Q607" i="44"/>
  <c r="P607" i="44"/>
  <c r="S606" i="44"/>
  <c r="R606" i="44"/>
  <c r="Q606" i="44"/>
  <c r="P606" i="44"/>
  <c r="S597" i="44"/>
  <c r="R597" i="44"/>
  <c r="Q597" i="44"/>
  <c r="P597" i="44"/>
  <c r="S596" i="44"/>
  <c r="R596" i="44"/>
  <c r="Q596" i="44"/>
  <c r="P596" i="44"/>
  <c r="S595" i="44"/>
  <c r="R595" i="44"/>
  <c r="Q595" i="44"/>
  <c r="P595" i="44"/>
  <c r="P12" i="44"/>
  <c r="P13" i="44"/>
  <c r="P14" i="44"/>
  <c r="P23" i="44"/>
  <c r="P24" i="44"/>
  <c r="P25" i="44"/>
  <c r="P34" i="44"/>
  <c r="P35" i="44"/>
  <c r="P36" i="44"/>
  <c r="P45" i="44"/>
  <c r="P46" i="44"/>
  <c r="P47" i="44"/>
  <c r="P56" i="44"/>
  <c r="P57" i="44"/>
  <c r="P58" i="44"/>
  <c r="P67" i="44"/>
  <c r="P68" i="44"/>
  <c r="P69" i="44"/>
  <c r="P78" i="44"/>
  <c r="P79" i="44"/>
  <c r="P80" i="44"/>
  <c r="P89" i="44"/>
  <c r="P90" i="44"/>
  <c r="P91" i="44"/>
  <c r="P100" i="44"/>
  <c r="P101" i="44"/>
  <c r="P102" i="44"/>
  <c r="P111" i="44"/>
  <c r="P112" i="44"/>
  <c r="P113" i="44"/>
  <c r="P122" i="44"/>
  <c r="P123" i="44"/>
  <c r="P124" i="44"/>
  <c r="P133" i="44"/>
  <c r="P134" i="44"/>
  <c r="P145" i="44"/>
  <c r="P156" i="44"/>
  <c r="P167" i="44"/>
  <c r="P178" i="44"/>
  <c r="P189" i="44"/>
  <c r="P200" i="44"/>
  <c r="P201" i="44"/>
  <c r="P210" i="44"/>
  <c r="P211" i="44"/>
  <c r="P212" i="44"/>
  <c r="P221" i="44"/>
  <c r="P222" i="44"/>
  <c r="P223" i="44"/>
  <c r="P232" i="44"/>
  <c r="P233" i="44"/>
  <c r="P244" i="44"/>
  <c r="P266" i="44"/>
  <c r="P267" i="44"/>
  <c r="P276" i="44"/>
  <c r="P277" i="44"/>
  <c r="P278" i="44"/>
  <c r="P287" i="44"/>
  <c r="P288" i="44"/>
  <c r="P289" i="44"/>
  <c r="P298" i="44"/>
  <c r="P299" i="44"/>
  <c r="P300" i="44"/>
  <c r="P309" i="44"/>
  <c r="P310" i="44"/>
  <c r="P311" i="44"/>
  <c r="P320" i="44"/>
  <c r="P321" i="44"/>
  <c r="P322" i="44"/>
  <c r="P331" i="44"/>
  <c r="P332" i="44"/>
  <c r="P333" i="44"/>
  <c r="P342" i="44"/>
  <c r="P343" i="44"/>
  <c r="P344" i="44"/>
  <c r="P353" i="44"/>
  <c r="P354" i="44"/>
  <c r="P355" i="44"/>
  <c r="P364" i="44"/>
  <c r="P365" i="44"/>
  <c r="P366" i="44"/>
  <c r="P375" i="44"/>
  <c r="P376" i="44"/>
  <c r="P377" i="44"/>
  <c r="P386" i="44"/>
  <c r="P387" i="44"/>
  <c r="P388" i="44"/>
  <c r="P397" i="44"/>
  <c r="P398" i="44"/>
  <c r="P399" i="44"/>
  <c r="P408" i="44"/>
  <c r="P409" i="44"/>
  <c r="P410" i="44"/>
  <c r="P419" i="44"/>
  <c r="P420" i="44"/>
  <c r="P421" i="44"/>
  <c r="P430" i="44"/>
  <c r="P431" i="44"/>
  <c r="P432" i="44"/>
  <c r="P441" i="44"/>
  <c r="P442" i="44"/>
  <c r="P443" i="44"/>
  <c r="P452" i="44"/>
  <c r="P453" i="44"/>
  <c r="P454" i="44"/>
  <c r="P463" i="44"/>
  <c r="P464" i="44"/>
  <c r="P465" i="44"/>
  <c r="P474" i="44"/>
  <c r="P475" i="44"/>
  <c r="P476" i="44"/>
  <c r="P485" i="44"/>
  <c r="P486" i="44"/>
  <c r="P487" i="44"/>
  <c r="P496" i="44"/>
  <c r="P497" i="44"/>
  <c r="P498" i="44"/>
  <c r="P507" i="44"/>
  <c r="P508" i="44"/>
  <c r="P509" i="44"/>
  <c r="P518" i="44"/>
  <c r="P519" i="44"/>
  <c r="P520" i="44"/>
  <c r="P529" i="44"/>
  <c r="P530" i="44"/>
  <c r="P531" i="44"/>
  <c r="P540" i="44"/>
  <c r="P541" i="44"/>
  <c r="P542" i="44"/>
  <c r="P551" i="44"/>
  <c r="P552" i="44"/>
  <c r="P553" i="44"/>
  <c r="P562" i="44"/>
  <c r="P563" i="44"/>
  <c r="P564" i="44"/>
  <c r="P573" i="44"/>
  <c r="E78" i="25" l="1"/>
  <c r="F78" i="25"/>
  <c r="G78" i="25"/>
  <c r="H78" i="25"/>
  <c r="I78" i="25"/>
  <c r="J78" i="25"/>
  <c r="K78" i="25"/>
  <c r="L78" i="25"/>
  <c r="M78" i="25"/>
  <c r="N78" i="25"/>
  <c r="O78" i="25"/>
  <c r="P78" i="25"/>
  <c r="Q78" i="25"/>
  <c r="R78" i="25"/>
  <c r="S78" i="25"/>
  <c r="D78" i="25"/>
  <c r="E53" i="25"/>
  <c r="F53" i="25"/>
  <c r="G53" i="25"/>
  <c r="H53" i="25"/>
  <c r="I53" i="25"/>
  <c r="J53" i="25"/>
  <c r="K53" i="25"/>
  <c r="L53" i="25"/>
  <c r="M53" i="25"/>
  <c r="N53" i="25"/>
  <c r="O53" i="25"/>
  <c r="P53" i="25"/>
  <c r="Q53" i="25"/>
  <c r="R53" i="25"/>
  <c r="S53" i="25"/>
  <c r="D53" i="25"/>
  <c r="E28" i="25"/>
  <c r="F28" i="25"/>
  <c r="G28" i="25"/>
  <c r="H28" i="25"/>
  <c r="I28" i="25"/>
  <c r="J28" i="25"/>
  <c r="K28" i="25"/>
  <c r="L28" i="25"/>
  <c r="M28" i="25"/>
  <c r="N28" i="25"/>
  <c r="O28" i="25"/>
  <c r="P28" i="25"/>
  <c r="Q28" i="25"/>
  <c r="R28" i="25"/>
  <c r="S28" i="25"/>
  <c r="D28" i="25"/>
  <c r="AM26" i="10"/>
  <c r="AM27" i="10" s="1"/>
  <c r="AM28" i="10" s="1"/>
  <c r="H24" i="10"/>
  <c r="G24" i="10"/>
  <c r="F24" i="10"/>
  <c r="E24" i="10"/>
  <c r="H23" i="10"/>
  <c r="G23" i="10"/>
  <c r="F23" i="10"/>
  <c r="E23" i="10"/>
  <c r="H22" i="10"/>
  <c r="G22" i="10"/>
  <c r="F22" i="10"/>
  <c r="E22" i="10"/>
  <c r="H21" i="10"/>
  <c r="G21" i="10"/>
  <c r="F21" i="10"/>
  <c r="E21" i="10"/>
  <c r="H19" i="10"/>
  <c r="G19" i="10"/>
  <c r="F19" i="10"/>
  <c r="E19" i="10"/>
  <c r="H18" i="10"/>
  <c r="G18" i="10"/>
  <c r="F18" i="10"/>
  <c r="E18" i="10"/>
  <c r="H17" i="10"/>
  <c r="G17" i="10"/>
  <c r="F17" i="10"/>
  <c r="E17" i="10"/>
  <c r="H16" i="10"/>
  <c r="G16" i="10"/>
  <c r="F16" i="10"/>
  <c r="E16" i="10"/>
  <c r="H15" i="10"/>
  <c r="G15" i="10"/>
  <c r="F15" i="10"/>
  <c r="E15" i="10"/>
  <c r="H14" i="10"/>
  <c r="G14" i="10"/>
  <c r="F14" i="10"/>
  <c r="E14" i="10"/>
  <c r="H13" i="10"/>
  <c r="G13" i="10"/>
  <c r="F13" i="10"/>
  <c r="E13" i="10"/>
  <c r="H12" i="10"/>
  <c r="G12" i="10"/>
  <c r="F12" i="10"/>
  <c r="E12" i="10"/>
  <c r="H10" i="10"/>
  <c r="G10" i="10"/>
  <c r="F10" i="10"/>
  <c r="E10" i="10"/>
  <c r="H7" i="10"/>
  <c r="G7" i="10"/>
  <c r="F7" i="10"/>
  <c r="E7" i="10"/>
  <c r="H6" i="10"/>
  <c r="G6" i="10"/>
  <c r="F6" i="10"/>
  <c r="E6" i="10"/>
  <c r="H5" i="10"/>
  <c r="G5" i="10"/>
  <c r="F5" i="10"/>
  <c r="E5" i="10"/>
  <c r="J125" i="25" l="1"/>
  <c r="N125" i="25"/>
  <c r="D125" i="25"/>
  <c r="F125" i="25"/>
  <c r="G125" i="25"/>
  <c r="F126" i="25"/>
  <c r="G126" i="25"/>
  <c r="L125" i="25"/>
  <c r="H125" i="25"/>
  <c r="I125" i="25"/>
  <c r="H126" i="25"/>
  <c r="I126" i="25"/>
  <c r="J149" i="25"/>
  <c r="K149" i="25"/>
  <c r="J150" i="25"/>
  <c r="K150" i="25"/>
  <c r="N149" i="25"/>
  <c r="D149" i="25"/>
  <c r="F149" i="25"/>
  <c r="L149" i="25"/>
  <c r="M149" i="25"/>
  <c r="L150" i="25"/>
  <c r="M150" i="25"/>
  <c r="H149" i="25"/>
  <c r="I149" i="25"/>
  <c r="H150" i="25"/>
  <c r="I150" i="25"/>
  <c r="D123" i="25"/>
  <c r="H123" i="25"/>
  <c r="I123" i="25"/>
  <c r="H124" i="25"/>
  <c r="I124" i="25"/>
  <c r="F123" i="25"/>
  <c r="G123" i="25"/>
  <c r="F124" i="25"/>
  <c r="G124" i="25"/>
  <c r="J123" i="25"/>
  <c r="N123" i="25"/>
  <c r="L123" i="25"/>
  <c r="D147" i="25"/>
  <c r="H147" i="25"/>
  <c r="I147" i="25"/>
  <c r="H148" i="25"/>
  <c r="I148" i="25"/>
  <c r="F147" i="25"/>
  <c r="J147" i="25"/>
  <c r="K147" i="25"/>
  <c r="J148" i="25"/>
  <c r="K148" i="25"/>
  <c r="N147" i="25"/>
  <c r="L147" i="25"/>
  <c r="M147" i="25"/>
  <c r="L148" i="25"/>
  <c r="M148" i="25"/>
  <c r="D171" i="25"/>
  <c r="D172" i="25"/>
  <c r="N195" i="25"/>
  <c r="J195" i="25"/>
  <c r="F195" i="25"/>
  <c r="H195" i="25"/>
  <c r="D195" i="25"/>
  <c r="L195" i="25"/>
  <c r="M195" i="25"/>
  <c r="L196" i="25"/>
  <c r="M196" i="25"/>
  <c r="S198" i="25"/>
  <c r="R198" i="25"/>
  <c r="Q198" i="25"/>
  <c r="P198" i="25"/>
  <c r="O198" i="25"/>
  <c r="N198" i="25"/>
  <c r="M198" i="25"/>
  <c r="L198" i="25"/>
  <c r="K198" i="25"/>
  <c r="J198" i="25"/>
  <c r="I198" i="25"/>
  <c r="H198" i="25"/>
  <c r="G198" i="25"/>
  <c r="F198" i="25"/>
  <c r="E198" i="25"/>
  <c r="D198" i="25"/>
  <c r="S197" i="25"/>
  <c r="R197" i="25"/>
  <c r="Q197" i="25"/>
  <c r="P197" i="25"/>
  <c r="O197" i="25"/>
  <c r="N197" i="25"/>
  <c r="M197" i="25"/>
  <c r="L197" i="25"/>
  <c r="K197" i="25"/>
  <c r="J197" i="25"/>
  <c r="I197" i="25"/>
  <c r="H197" i="25"/>
  <c r="G197" i="25"/>
  <c r="F197" i="25"/>
  <c r="E197" i="25"/>
  <c r="D197" i="25"/>
  <c r="S196" i="25"/>
  <c r="R196" i="25"/>
  <c r="Q196" i="25"/>
  <c r="P196" i="25"/>
  <c r="O196" i="25"/>
  <c r="N196" i="25"/>
  <c r="K196" i="25"/>
  <c r="J196" i="25"/>
  <c r="I196" i="25"/>
  <c r="H196" i="25"/>
  <c r="G196" i="25"/>
  <c r="F196" i="25"/>
  <c r="E196" i="25"/>
  <c r="D196" i="25"/>
  <c r="S195" i="25"/>
  <c r="R195" i="25"/>
  <c r="Q195" i="25"/>
  <c r="P195" i="25"/>
  <c r="O195" i="25"/>
  <c r="K195" i="25"/>
  <c r="I195" i="25"/>
  <c r="G195" i="25"/>
  <c r="E195" i="25"/>
  <c r="S194" i="25"/>
  <c r="R194" i="25"/>
  <c r="Q194" i="25"/>
  <c r="P194" i="25"/>
  <c r="O194" i="25"/>
  <c r="N194" i="25"/>
  <c r="M194" i="25"/>
  <c r="L194" i="25"/>
  <c r="K194" i="25"/>
  <c r="J194" i="25"/>
  <c r="I194" i="25"/>
  <c r="H194" i="25"/>
  <c r="G194" i="25"/>
  <c r="F194" i="25"/>
  <c r="E194" i="25"/>
  <c r="D194" i="25"/>
  <c r="S193" i="25"/>
  <c r="R193" i="25"/>
  <c r="Q193" i="25"/>
  <c r="P193" i="25"/>
  <c r="O193" i="25"/>
  <c r="N193" i="25"/>
  <c r="M193" i="25"/>
  <c r="L193" i="25"/>
  <c r="K193" i="25"/>
  <c r="J193" i="25"/>
  <c r="I193" i="25"/>
  <c r="H193" i="25"/>
  <c r="G193" i="25"/>
  <c r="F193" i="25"/>
  <c r="E193" i="25"/>
  <c r="D193" i="25"/>
  <c r="S192" i="25"/>
  <c r="R192" i="25"/>
  <c r="Q192" i="25"/>
  <c r="P192" i="25"/>
  <c r="O192" i="25"/>
  <c r="N192" i="25"/>
  <c r="M192" i="25"/>
  <c r="L192" i="25"/>
  <c r="K192" i="25"/>
  <c r="J192" i="25"/>
  <c r="I192" i="25"/>
  <c r="H192" i="25"/>
  <c r="G192" i="25"/>
  <c r="F192" i="25"/>
  <c r="E192" i="25"/>
  <c r="D192" i="25"/>
  <c r="S191" i="25"/>
  <c r="R191" i="25"/>
  <c r="Q191" i="25"/>
  <c r="P191" i="25"/>
  <c r="O191" i="25"/>
  <c r="N191" i="25"/>
  <c r="M191" i="25"/>
  <c r="L191" i="25"/>
  <c r="K191" i="25"/>
  <c r="J191" i="25"/>
  <c r="I191" i="25"/>
  <c r="H191" i="25"/>
  <c r="G191" i="25"/>
  <c r="F191" i="25"/>
  <c r="E191" i="25"/>
  <c r="D191" i="25"/>
  <c r="S190" i="25"/>
  <c r="R190" i="25"/>
  <c r="Q190" i="25"/>
  <c r="P190" i="25"/>
  <c r="O190" i="25"/>
  <c r="N190" i="25"/>
  <c r="M190" i="25"/>
  <c r="L190" i="25"/>
  <c r="K190" i="25"/>
  <c r="J190" i="25"/>
  <c r="I190" i="25"/>
  <c r="H190" i="25"/>
  <c r="G190" i="25"/>
  <c r="F190" i="25"/>
  <c r="E190" i="25"/>
  <c r="D190" i="25"/>
  <c r="S189" i="25"/>
  <c r="R189" i="25"/>
  <c r="Q189" i="25"/>
  <c r="P189" i="25"/>
  <c r="O189" i="25"/>
  <c r="N189" i="25"/>
  <c r="M189" i="25"/>
  <c r="L189" i="25"/>
  <c r="K189" i="25"/>
  <c r="J189" i="25"/>
  <c r="I189" i="25"/>
  <c r="H189" i="25"/>
  <c r="G189" i="25"/>
  <c r="F189" i="25"/>
  <c r="E189" i="25"/>
  <c r="D189" i="25"/>
  <c r="S188" i="25"/>
  <c r="R188" i="25"/>
  <c r="Q188" i="25"/>
  <c r="P188" i="25"/>
  <c r="O188" i="25"/>
  <c r="N188" i="25"/>
  <c r="M188" i="25"/>
  <c r="L188" i="25"/>
  <c r="K188" i="25"/>
  <c r="J188" i="25"/>
  <c r="I188" i="25"/>
  <c r="H188" i="25"/>
  <c r="G188" i="25"/>
  <c r="F188" i="25"/>
  <c r="E188" i="25"/>
  <c r="D188" i="25"/>
  <c r="S187" i="25"/>
  <c r="R187" i="25"/>
  <c r="Q187" i="25"/>
  <c r="P187" i="25"/>
  <c r="O187" i="25"/>
  <c r="N187" i="25"/>
  <c r="M187" i="25"/>
  <c r="L187" i="25"/>
  <c r="K187" i="25"/>
  <c r="J187" i="25"/>
  <c r="I187" i="25"/>
  <c r="H187" i="25"/>
  <c r="G187" i="25"/>
  <c r="F187" i="25"/>
  <c r="E187" i="25"/>
  <c r="D187" i="25"/>
  <c r="S186" i="25"/>
  <c r="R186" i="25"/>
  <c r="Q186" i="25"/>
  <c r="P186" i="25"/>
  <c r="O186" i="25"/>
  <c r="N186" i="25"/>
  <c r="M186" i="25"/>
  <c r="L186" i="25"/>
  <c r="K186" i="25"/>
  <c r="J186" i="25"/>
  <c r="I186" i="25"/>
  <c r="H186" i="25"/>
  <c r="G186" i="25"/>
  <c r="F186" i="25"/>
  <c r="E186" i="25"/>
  <c r="D186" i="25"/>
  <c r="S185" i="25"/>
  <c r="R185" i="25"/>
  <c r="Q185" i="25"/>
  <c r="P185" i="25"/>
  <c r="O185" i="25"/>
  <c r="N185" i="25"/>
  <c r="M185" i="25"/>
  <c r="L185" i="25"/>
  <c r="K185" i="25"/>
  <c r="J185" i="25"/>
  <c r="I185" i="25"/>
  <c r="H185" i="25"/>
  <c r="G185" i="25"/>
  <c r="F185" i="25"/>
  <c r="E185" i="25"/>
  <c r="D185" i="25"/>
  <c r="S184" i="25"/>
  <c r="R184" i="25"/>
  <c r="Q184" i="25"/>
  <c r="P184" i="25"/>
  <c r="O184" i="25"/>
  <c r="N184" i="25"/>
  <c r="M184" i="25"/>
  <c r="L184" i="25"/>
  <c r="K184" i="25"/>
  <c r="J184" i="25"/>
  <c r="I184" i="25"/>
  <c r="H184" i="25"/>
  <c r="G184" i="25"/>
  <c r="F184" i="25"/>
  <c r="E184" i="25"/>
  <c r="D184" i="25"/>
  <c r="S183" i="25"/>
  <c r="R183" i="25"/>
  <c r="Q183" i="25"/>
  <c r="P183" i="25"/>
  <c r="O183" i="25"/>
  <c r="N183" i="25"/>
  <c r="M183" i="25"/>
  <c r="L183" i="25"/>
  <c r="K183" i="25"/>
  <c r="J183" i="25"/>
  <c r="I183" i="25"/>
  <c r="H183" i="25"/>
  <c r="G183" i="25"/>
  <c r="F183" i="25"/>
  <c r="E183" i="25"/>
  <c r="D183" i="25"/>
  <c r="S182" i="25"/>
  <c r="R182" i="25"/>
  <c r="Q182" i="25"/>
  <c r="P182" i="25"/>
  <c r="O182" i="25"/>
  <c r="N182" i="25"/>
  <c r="M182" i="25"/>
  <c r="L182" i="25"/>
  <c r="K182" i="25"/>
  <c r="J182" i="25"/>
  <c r="I182" i="25"/>
  <c r="H182" i="25"/>
  <c r="G182" i="25"/>
  <c r="F182" i="25"/>
  <c r="E182" i="25"/>
  <c r="D182" i="25"/>
  <c r="S181" i="25"/>
  <c r="R181" i="25"/>
  <c r="Q181" i="25"/>
  <c r="P181" i="25"/>
  <c r="O181" i="25"/>
  <c r="N181" i="25"/>
  <c r="M181" i="25"/>
  <c r="L181" i="25"/>
  <c r="K181" i="25"/>
  <c r="J181" i="25"/>
  <c r="I181" i="25"/>
  <c r="H181" i="25"/>
  <c r="G181" i="25"/>
  <c r="F181" i="25"/>
  <c r="E181" i="25"/>
  <c r="D181" i="25"/>
  <c r="S180" i="25"/>
  <c r="R180" i="25"/>
  <c r="Q180" i="25"/>
  <c r="P180" i="25"/>
  <c r="O180" i="25"/>
  <c r="N180" i="25"/>
  <c r="M180" i="25"/>
  <c r="L180" i="25"/>
  <c r="K180" i="25"/>
  <c r="J180" i="25"/>
  <c r="I180" i="25"/>
  <c r="H180" i="25"/>
  <c r="G180" i="25"/>
  <c r="F180" i="25"/>
  <c r="E180" i="25"/>
  <c r="D180" i="25"/>
  <c r="S179" i="25"/>
  <c r="R179" i="25"/>
  <c r="Q179" i="25"/>
  <c r="P179" i="25"/>
  <c r="O179" i="25"/>
  <c r="N179" i="25"/>
  <c r="M179" i="25"/>
  <c r="L179" i="25"/>
  <c r="K179" i="25"/>
  <c r="J179" i="25"/>
  <c r="I179" i="25"/>
  <c r="H179" i="25"/>
  <c r="G179" i="25"/>
  <c r="F179" i="25"/>
  <c r="E179" i="25"/>
  <c r="D179" i="25"/>
  <c r="S178" i="25"/>
  <c r="R178" i="25"/>
  <c r="Q178" i="25"/>
  <c r="P178" i="25"/>
  <c r="O178" i="25"/>
  <c r="N178" i="25"/>
  <c r="M178" i="25"/>
  <c r="L178" i="25"/>
  <c r="K178" i="25"/>
  <c r="J178" i="25"/>
  <c r="I178" i="25"/>
  <c r="H178" i="25"/>
  <c r="G178" i="25"/>
  <c r="F178" i="25"/>
  <c r="E178" i="25"/>
  <c r="D178" i="25"/>
  <c r="S177" i="25"/>
  <c r="R177" i="25"/>
  <c r="Q177" i="25"/>
  <c r="P177" i="25"/>
  <c r="O177" i="25"/>
  <c r="N177" i="25"/>
  <c r="M177" i="25"/>
  <c r="L177" i="25"/>
  <c r="K177" i="25"/>
  <c r="J177" i="25"/>
  <c r="I177" i="25"/>
  <c r="H177" i="25"/>
  <c r="G177" i="25"/>
  <c r="F177" i="25"/>
  <c r="E177" i="25"/>
  <c r="D177" i="25"/>
  <c r="S176" i="25"/>
  <c r="R176" i="25"/>
  <c r="Q176" i="25"/>
  <c r="P176" i="25"/>
  <c r="O176" i="25"/>
  <c r="N176" i="25"/>
  <c r="M176" i="25"/>
  <c r="L176" i="25"/>
  <c r="K176" i="25"/>
  <c r="J176" i="25"/>
  <c r="I176" i="25"/>
  <c r="H176" i="25"/>
  <c r="G176" i="25"/>
  <c r="F176" i="25"/>
  <c r="E176" i="25"/>
  <c r="D176" i="25"/>
  <c r="S174" i="25"/>
  <c r="R174" i="25"/>
  <c r="Q174" i="25"/>
  <c r="P174" i="25"/>
  <c r="O174" i="25"/>
  <c r="N174" i="25"/>
  <c r="M174" i="25"/>
  <c r="L174" i="25"/>
  <c r="K174" i="25"/>
  <c r="J174" i="25"/>
  <c r="I174" i="25"/>
  <c r="H174" i="25"/>
  <c r="G174" i="25"/>
  <c r="F174" i="25"/>
  <c r="E174" i="25"/>
  <c r="D174" i="25"/>
  <c r="S173" i="25"/>
  <c r="R173" i="25"/>
  <c r="Q173" i="25"/>
  <c r="P173" i="25"/>
  <c r="O173" i="25"/>
  <c r="N173" i="25"/>
  <c r="M173" i="25"/>
  <c r="L173" i="25"/>
  <c r="K173" i="25"/>
  <c r="J173" i="25"/>
  <c r="I173" i="25"/>
  <c r="H173" i="25"/>
  <c r="G173" i="25"/>
  <c r="F173" i="25"/>
  <c r="E173" i="25"/>
  <c r="D173" i="25"/>
  <c r="S172" i="25"/>
  <c r="R172" i="25"/>
  <c r="Q172" i="25"/>
  <c r="P172" i="25"/>
  <c r="O172" i="25"/>
  <c r="N172" i="25"/>
  <c r="M172" i="25"/>
  <c r="L172" i="25"/>
  <c r="K172" i="25"/>
  <c r="J172" i="25"/>
  <c r="I172" i="25"/>
  <c r="H172" i="25"/>
  <c r="G172" i="25"/>
  <c r="F172" i="25"/>
  <c r="E172" i="25"/>
  <c r="S171" i="25"/>
  <c r="R171" i="25"/>
  <c r="Q171" i="25"/>
  <c r="P171" i="25"/>
  <c r="O171" i="25"/>
  <c r="N171" i="25"/>
  <c r="M171" i="25"/>
  <c r="L171" i="25"/>
  <c r="K171" i="25"/>
  <c r="J171" i="25"/>
  <c r="I171" i="25"/>
  <c r="H171" i="25"/>
  <c r="G171" i="25"/>
  <c r="F171" i="25"/>
  <c r="E171" i="25"/>
  <c r="S170" i="25"/>
  <c r="R170" i="25"/>
  <c r="Q170" i="25"/>
  <c r="P170" i="25"/>
  <c r="O170" i="25"/>
  <c r="N170" i="25"/>
  <c r="M170" i="25"/>
  <c r="L170" i="25"/>
  <c r="K170" i="25"/>
  <c r="J170" i="25"/>
  <c r="I170" i="25"/>
  <c r="H170" i="25"/>
  <c r="G170" i="25"/>
  <c r="F170" i="25"/>
  <c r="E170" i="25"/>
  <c r="D170" i="25"/>
  <c r="S169" i="25"/>
  <c r="R169" i="25"/>
  <c r="Q169" i="25"/>
  <c r="P169" i="25"/>
  <c r="O169" i="25"/>
  <c r="N169" i="25"/>
  <c r="M169" i="25"/>
  <c r="L169" i="25"/>
  <c r="K169" i="25"/>
  <c r="J169" i="25"/>
  <c r="I169" i="25"/>
  <c r="H169" i="25"/>
  <c r="G169" i="25"/>
  <c r="F169" i="25"/>
  <c r="E169" i="25"/>
  <c r="D169" i="25"/>
  <c r="S168" i="25"/>
  <c r="R168" i="25"/>
  <c r="Q168" i="25"/>
  <c r="P168" i="25"/>
  <c r="O168" i="25"/>
  <c r="N168" i="25"/>
  <c r="M168" i="25"/>
  <c r="L168" i="25"/>
  <c r="K168" i="25"/>
  <c r="J168" i="25"/>
  <c r="I168" i="25"/>
  <c r="H168" i="25"/>
  <c r="G168" i="25"/>
  <c r="F168" i="25"/>
  <c r="E168" i="25"/>
  <c r="D168" i="25"/>
  <c r="S167" i="25"/>
  <c r="R167" i="25"/>
  <c r="Q167" i="25"/>
  <c r="P167" i="25"/>
  <c r="O167" i="25"/>
  <c r="N167" i="25"/>
  <c r="M167" i="25"/>
  <c r="L167" i="25"/>
  <c r="K167" i="25"/>
  <c r="J167" i="25"/>
  <c r="I167" i="25"/>
  <c r="H167" i="25"/>
  <c r="G167" i="25"/>
  <c r="F167" i="25"/>
  <c r="E167" i="25"/>
  <c r="D167" i="25"/>
  <c r="S166" i="25"/>
  <c r="R166" i="25"/>
  <c r="Q166" i="25"/>
  <c r="P166" i="25"/>
  <c r="O166" i="25"/>
  <c r="N166" i="25"/>
  <c r="M166" i="25"/>
  <c r="L166" i="25"/>
  <c r="K166" i="25"/>
  <c r="J166" i="25"/>
  <c r="I166" i="25"/>
  <c r="H166" i="25"/>
  <c r="G166" i="25"/>
  <c r="F166" i="25"/>
  <c r="E166" i="25"/>
  <c r="D166" i="25"/>
  <c r="S165" i="25"/>
  <c r="R165" i="25"/>
  <c r="Q165" i="25"/>
  <c r="P165" i="25"/>
  <c r="O165" i="25"/>
  <c r="N165" i="25"/>
  <c r="M165" i="25"/>
  <c r="L165" i="25"/>
  <c r="K165" i="25"/>
  <c r="J165" i="25"/>
  <c r="I165" i="25"/>
  <c r="H165" i="25"/>
  <c r="G165" i="25"/>
  <c r="F165" i="25"/>
  <c r="E165" i="25"/>
  <c r="D165" i="25"/>
  <c r="S164" i="25"/>
  <c r="R164" i="25"/>
  <c r="Q164" i="25"/>
  <c r="P164" i="25"/>
  <c r="O164" i="25"/>
  <c r="N164" i="25"/>
  <c r="M164" i="25"/>
  <c r="L164" i="25"/>
  <c r="K164" i="25"/>
  <c r="J164" i="25"/>
  <c r="I164" i="25"/>
  <c r="H164" i="25"/>
  <c r="G164" i="25"/>
  <c r="F164" i="25"/>
  <c r="E164" i="25"/>
  <c r="D164" i="25"/>
  <c r="S163" i="25"/>
  <c r="R163" i="25"/>
  <c r="Q163" i="25"/>
  <c r="P163" i="25"/>
  <c r="O163" i="25"/>
  <c r="N163" i="25"/>
  <c r="M163" i="25"/>
  <c r="L163" i="25"/>
  <c r="K163" i="25"/>
  <c r="J163" i="25"/>
  <c r="I163" i="25"/>
  <c r="H163" i="25"/>
  <c r="G163" i="25"/>
  <c r="F163" i="25"/>
  <c r="E163" i="25"/>
  <c r="D163" i="25"/>
  <c r="S162" i="25"/>
  <c r="R162" i="25"/>
  <c r="Q162" i="25"/>
  <c r="P162" i="25"/>
  <c r="O162" i="25"/>
  <c r="N162" i="25"/>
  <c r="M162" i="25"/>
  <c r="L162" i="25"/>
  <c r="K162" i="25"/>
  <c r="J162" i="25"/>
  <c r="I162" i="25"/>
  <c r="H162" i="25"/>
  <c r="G162" i="25"/>
  <c r="F162" i="25"/>
  <c r="E162" i="25"/>
  <c r="D162" i="25"/>
  <c r="S161" i="25"/>
  <c r="R161" i="25"/>
  <c r="Q161" i="25"/>
  <c r="P161" i="25"/>
  <c r="O161" i="25"/>
  <c r="N161" i="25"/>
  <c r="M161" i="25"/>
  <c r="L161" i="25"/>
  <c r="K161" i="25"/>
  <c r="J161" i="25"/>
  <c r="I161" i="25"/>
  <c r="H161" i="25"/>
  <c r="G161" i="25"/>
  <c r="F161" i="25"/>
  <c r="E161" i="25"/>
  <c r="D161" i="25"/>
  <c r="S160" i="25"/>
  <c r="R160" i="25"/>
  <c r="Q160" i="25"/>
  <c r="P160" i="25"/>
  <c r="O160" i="25"/>
  <c r="N160" i="25"/>
  <c r="M160" i="25"/>
  <c r="L160" i="25"/>
  <c r="K160" i="25"/>
  <c r="J160" i="25"/>
  <c r="I160" i="25"/>
  <c r="H160" i="25"/>
  <c r="G160" i="25"/>
  <c r="F160" i="25"/>
  <c r="E160" i="25"/>
  <c r="D160" i="25"/>
  <c r="S159" i="25"/>
  <c r="R159" i="25"/>
  <c r="Q159" i="25"/>
  <c r="P159" i="25"/>
  <c r="O159" i="25"/>
  <c r="N159" i="25"/>
  <c r="M159" i="25"/>
  <c r="L159" i="25"/>
  <c r="K159" i="25"/>
  <c r="J159" i="25"/>
  <c r="I159" i="25"/>
  <c r="H159" i="25"/>
  <c r="G159" i="25"/>
  <c r="F159" i="25"/>
  <c r="E159" i="25"/>
  <c r="D159" i="25"/>
  <c r="S158" i="25"/>
  <c r="R158" i="25"/>
  <c r="Q158" i="25"/>
  <c r="P158" i="25"/>
  <c r="O158" i="25"/>
  <c r="N158" i="25"/>
  <c r="M158" i="25"/>
  <c r="L158" i="25"/>
  <c r="K158" i="25"/>
  <c r="J158" i="25"/>
  <c r="I158" i="25"/>
  <c r="H158" i="25"/>
  <c r="G158" i="25"/>
  <c r="F158" i="25"/>
  <c r="E158" i="25"/>
  <c r="D158" i="25"/>
  <c r="S157" i="25"/>
  <c r="R157" i="25"/>
  <c r="Q157" i="25"/>
  <c r="P157" i="25"/>
  <c r="O157" i="25"/>
  <c r="N157" i="25"/>
  <c r="M157" i="25"/>
  <c r="L157" i="25"/>
  <c r="K157" i="25"/>
  <c r="J157" i="25"/>
  <c r="I157" i="25"/>
  <c r="H157" i="25"/>
  <c r="G157" i="25"/>
  <c r="F157" i="25"/>
  <c r="E157" i="25"/>
  <c r="D157" i="25"/>
  <c r="S156" i="25"/>
  <c r="R156" i="25"/>
  <c r="Q156" i="25"/>
  <c r="P156" i="25"/>
  <c r="O156" i="25"/>
  <c r="N156" i="25"/>
  <c r="M156" i="25"/>
  <c r="L156" i="25"/>
  <c r="K156" i="25"/>
  <c r="J156" i="25"/>
  <c r="I156" i="25"/>
  <c r="H156" i="25"/>
  <c r="G156" i="25"/>
  <c r="F156" i="25"/>
  <c r="E156" i="25"/>
  <c r="D156" i="25"/>
  <c r="S155" i="25"/>
  <c r="R155" i="25"/>
  <c r="Q155" i="25"/>
  <c r="P155" i="25"/>
  <c r="O155" i="25"/>
  <c r="N155" i="25"/>
  <c r="M155" i="25"/>
  <c r="L155" i="25"/>
  <c r="K155" i="25"/>
  <c r="J155" i="25"/>
  <c r="I155" i="25"/>
  <c r="H155" i="25"/>
  <c r="G155" i="25"/>
  <c r="F155" i="25"/>
  <c r="E155" i="25"/>
  <c r="D155" i="25"/>
  <c r="S154" i="25"/>
  <c r="R154" i="25"/>
  <c r="Q154" i="25"/>
  <c r="P154" i="25"/>
  <c r="O154" i="25"/>
  <c r="N154" i="25"/>
  <c r="M154" i="25"/>
  <c r="L154" i="25"/>
  <c r="K154" i="25"/>
  <c r="J154" i="25"/>
  <c r="I154" i="25"/>
  <c r="H154" i="25"/>
  <c r="G154" i="25"/>
  <c r="F154" i="25"/>
  <c r="E154" i="25"/>
  <c r="D154" i="25"/>
  <c r="S153" i="25"/>
  <c r="R153" i="25"/>
  <c r="Q153" i="25"/>
  <c r="P153" i="25"/>
  <c r="O153" i="25"/>
  <c r="N153" i="25"/>
  <c r="M153" i="25"/>
  <c r="L153" i="25"/>
  <c r="K153" i="25"/>
  <c r="J153" i="25"/>
  <c r="I153" i="25"/>
  <c r="H153" i="25"/>
  <c r="G153" i="25"/>
  <c r="F153" i="25"/>
  <c r="E153" i="25"/>
  <c r="D153" i="25"/>
  <c r="S152" i="25"/>
  <c r="R152" i="25"/>
  <c r="Q152" i="25"/>
  <c r="P152" i="25"/>
  <c r="O152" i="25"/>
  <c r="N152" i="25"/>
  <c r="M152" i="25"/>
  <c r="L152" i="25"/>
  <c r="K152" i="25"/>
  <c r="J152" i="25"/>
  <c r="I152" i="25"/>
  <c r="H152" i="25"/>
  <c r="G152" i="25"/>
  <c r="F152" i="25"/>
  <c r="E152" i="25"/>
  <c r="D152" i="25"/>
  <c r="S150" i="25"/>
  <c r="R150" i="25"/>
  <c r="Q150" i="25"/>
  <c r="P150" i="25"/>
  <c r="O150" i="25"/>
  <c r="N150" i="25"/>
  <c r="G150" i="25"/>
  <c r="F150" i="25"/>
  <c r="E150" i="25"/>
  <c r="D150" i="25"/>
  <c r="S149" i="25"/>
  <c r="R149" i="25"/>
  <c r="Q149" i="25"/>
  <c r="P149" i="25"/>
  <c r="O149" i="25"/>
  <c r="G149" i="25"/>
  <c r="E149" i="25"/>
  <c r="S148" i="25"/>
  <c r="R148" i="25"/>
  <c r="Q148" i="25"/>
  <c r="P148" i="25"/>
  <c r="O148" i="25"/>
  <c r="N148" i="25"/>
  <c r="G148" i="25"/>
  <c r="F148" i="25"/>
  <c r="E148" i="25"/>
  <c r="D148" i="25"/>
  <c r="S147" i="25"/>
  <c r="R147" i="25"/>
  <c r="Q147" i="25"/>
  <c r="P147" i="25"/>
  <c r="O147" i="25"/>
  <c r="G147" i="25"/>
  <c r="E147" i="25"/>
  <c r="S146" i="25"/>
  <c r="R146" i="25"/>
  <c r="Q146" i="25"/>
  <c r="P146" i="25"/>
  <c r="O146" i="25"/>
  <c r="N146" i="25"/>
  <c r="M146" i="25"/>
  <c r="L146" i="25"/>
  <c r="K146" i="25"/>
  <c r="J146" i="25"/>
  <c r="I146" i="25"/>
  <c r="H146" i="25"/>
  <c r="G146" i="25"/>
  <c r="F146" i="25"/>
  <c r="E146" i="25"/>
  <c r="D146" i="25"/>
  <c r="S145" i="25"/>
  <c r="R145" i="25"/>
  <c r="Q145" i="25"/>
  <c r="P145" i="25"/>
  <c r="O145" i="25"/>
  <c r="N145" i="25"/>
  <c r="M145" i="25"/>
  <c r="L145" i="25"/>
  <c r="K145" i="25"/>
  <c r="J145" i="25"/>
  <c r="I145" i="25"/>
  <c r="H145" i="25"/>
  <c r="G145" i="25"/>
  <c r="F145" i="25"/>
  <c r="E145" i="25"/>
  <c r="D145" i="25"/>
  <c r="S144" i="25"/>
  <c r="R144" i="25"/>
  <c r="Q144" i="25"/>
  <c r="P144" i="25"/>
  <c r="O144" i="25"/>
  <c r="N144" i="25"/>
  <c r="M144" i="25"/>
  <c r="L144" i="25"/>
  <c r="K144" i="25"/>
  <c r="J144" i="25"/>
  <c r="I144" i="25"/>
  <c r="H144" i="25"/>
  <c r="G144" i="25"/>
  <c r="F144" i="25"/>
  <c r="E144" i="25"/>
  <c r="D144" i="25"/>
  <c r="S143" i="25"/>
  <c r="R143" i="25"/>
  <c r="Q143" i="25"/>
  <c r="P143" i="25"/>
  <c r="O143" i="25"/>
  <c r="N143" i="25"/>
  <c r="M143" i="25"/>
  <c r="L143" i="25"/>
  <c r="K143" i="25"/>
  <c r="J143" i="25"/>
  <c r="I143" i="25"/>
  <c r="H143" i="25"/>
  <c r="G143" i="25"/>
  <c r="F143" i="25"/>
  <c r="E143" i="25"/>
  <c r="D143" i="25"/>
  <c r="S142" i="25"/>
  <c r="R142" i="25"/>
  <c r="Q142" i="25"/>
  <c r="P142" i="25"/>
  <c r="O142" i="25"/>
  <c r="N142" i="25"/>
  <c r="M142" i="25"/>
  <c r="L142" i="25"/>
  <c r="K142" i="25"/>
  <c r="J142" i="25"/>
  <c r="I142" i="25"/>
  <c r="H142" i="25"/>
  <c r="G142" i="25"/>
  <c r="F142" i="25"/>
  <c r="E142" i="25"/>
  <c r="D142" i="25"/>
  <c r="S141" i="25"/>
  <c r="R141" i="25"/>
  <c r="Q141" i="25"/>
  <c r="P141" i="25"/>
  <c r="O141" i="25"/>
  <c r="N141" i="25"/>
  <c r="M141" i="25"/>
  <c r="L141" i="25"/>
  <c r="K141" i="25"/>
  <c r="J141" i="25"/>
  <c r="I141" i="25"/>
  <c r="H141" i="25"/>
  <c r="G141" i="25"/>
  <c r="F141" i="25"/>
  <c r="E141" i="25"/>
  <c r="D141" i="25"/>
  <c r="S140" i="25"/>
  <c r="R140" i="25"/>
  <c r="Q140" i="25"/>
  <c r="P140" i="25"/>
  <c r="O140" i="25"/>
  <c r="N140" i="25"/>
  <c r="M140" i="25"/>
  <c r="L140" i="25"/>
  <c r="K140" i="25"/>
  <c r="J140" i="25"/>
  <c r="I140" i="25"/>
  <c r="H140" i="25"/>
  <c r="G140" i="25"/>
  <c r="F140" i="25"/>
  <c r="E140" i="25"/>
  <c r="D140" i="25"/>
  <c r="S139" i="25"/>
  <c r="R139" i="25"/>
  <c r="Q139" i="25"/>
  <c r="P139" i="25"/>
  <c r="O139" i="25"/>
  <c r="N139" i="25"/>
  <c r="M139" i="25"/>
  <c r="L139" i="25"/>
  <c r="K139" i="25"/>
  <c r="J139" i="25"/>
  <c r="I139" i="25"/>
  <c r="H139" i="25"/>
  <c r="G139" i="25"/>
  <c r="F139" i="25"/>
  <c r="E139" i="25"/>
  <c r="D139" i="25"/>
  <c r="S138" i="25"/>
  <c r="R138" i="25"/>
  <c r="Q138" i="25"/>
  <c r="P138" i="25"/>
  <c r="O138" i="25"/>
  <c r="N138" i="25"/>
  <c r="M138" i="25"/>
  <c r="L138" i="25"/>
  <c r="K138" i="25"/>
  <c r="J138" i="25"/>
  <c r="I138" i="25"/>
  <c r="H138" i="25"/>
  <c r="G138" i="25"/>
  <c r="F138" i="25"/>
  <c r="E138" i="25"/>
  <c r="D138" i="25"/>
  <c r="S137" i="25"/>
  <c r="R137" i="25"/>
  <c r="Q137" i="25"/>
  <c r="P137" i="25"/>
  <c r="O137" i="25"/>
  <c r="N137" i="25"/>
  <c r="M137" i="25"/>
  <c r="L137" i="25"/>
  <c r="K137" i="25"/>
  <c r="J137" i="25"/>
  <c r="I137" i="25"/>
  <c r="H137" i="25"/>
  <c r="G137" i="25"/>
  <c r="F137" i="25"/>
  <c r="E137" i="25"/>
  <c r="D137" i="25"/>
  <c r="S136" i="25"/>
  <c r="R136" i="25"/>
  <c r="Q136" i="25"/>
  <c r="P136" i="25"/>
  <c r="O136" i="25"/>
  <c r="N136" i="25"/>
  <c r="M136" i="25"/>
  <c r="L136" i="25"/>
  <c r="K136" i="25"/>
  <c r="J136" i="25"/>
  <c r="I136" i="25"/>
  <c r="H136" i="25"/>
  <c r="G136" i="25"/>
  <c r="F136" i="25"/>
  <c r="E136" i="25"/>
  <c r="D136" i="25"/>
  <c r="S135" i="25"/>
  <c r="R135" i="25"/>
  <c r="Q135" i="25"/>
  <c r="P135" i="25"/>
  <c r="O135" i="25"/>
  <c r="N135" i="25"/>
  <c r="M135" i="25"/>
  <c r="L135" i="25"/>
  <c r="K135" i="25"/>
  <c r="J135" i="25"/>
  <c r="I135" i="25"/>
  <c r="H135" i="25"/>
  <c r="G135" i="25"/>
  <c r="F135" i="25"/>
  <c r="E135" i="25"/>
  <c r="D135" i="25"/>
  <c r="S134" i="25"/>
  <c r="R134" i="25"/>
  <c r="Q134" i="25"/>
  <c r="P134" i="25"/>
  <c r="O134" i="25"/>
  <c r="N134" i="25"/>
  <c r="M134" i="25"/>
  <c r="L134" i="25"/>
  <c r="K134" i="25"/>
  <c r="J134" i="25"/>
  <c r="I134" i="25"/>
  <c r="H134" i="25"/>
  <c r="G134" i="25"/>
  <c r="F134" i="25"/>
  <c r="E134" i="25"/>
  <c r="D134" i="25"/>
  <c r="S133" i="25"/>
  <c r="R133" i="25"/>
  <c r="Q133" i="25"/>
  <c r="P133" i="25"/>
  <c r="O133" i="25"/>
  <c r="N133" i="25"/>
  <c r="M133" i="25"/>
  <c r="L133" i="25"/>
  <c r="K133" i="25"/>
  <c r="J133" i="25"/>
  <c r="I133" i="25"/>
  <c r="H133" i="25"/>
  <c r="G133" i="25"/>
  <c r="F133" i="25"/>
  <c r="E133" i="25"/>
  <c r="D133" i="25"/>
  <c r="S132" i="25"/>
  <c r="R132" i="25"/>
  <c r="Q132" i="25"/>
  <c r="P132" i="25"/>
  <c r="O132" i="25"/>
  <c r="N132" i="25"/>
  <c r="M132" i="25"/>
  <c r="L132" i="25"/>
  <c r="K132" i="25"/>
  <c r="J132" i="25"/>
  <c r="I132" i="25"/>
  <c r="H132" i="25"/>
  <c r="G132" i="25"/>
  <c r="F132" i="25"/>
  <c r="E132" i="25"/>
  <c r="D132" i="25"/>
  <c r="S131" i="25"/>
  <c r="R131" i="25"/>
  <c r="Q131" i="25"/>
  <c r="P131" i="25"/>
  <c r="O131" i="25"/>
  <c r="N131" i="25"/>
  <c r="M131" i="25"/>
  <c r="L131" i="25"/>
  <c r="K131" i="25"/>
  <c r="J131" i="25"/>
  <c r="I131" i="25"/>
  <c r="H131" i="25"/>
  <c r="G131" i="25"/>
  <c r="F131" i="25"/>
  <c r="E131" i="25"/>
  <c r="D131" i="25"/>
  <c r="S130" i="25"/>
  <c r="R130" i="25"/>
  <c r="Q130" i="25"/>
  <c r="P130" i="25"/>
  <c r="O130" i="25"/>
  <c r="N130" i="25"/>
  <c r="M130" i="25"/>
  <c r="L130" i="25"/>
  <c r="K130" i="25"/>
  <c r="J130" i="25"/>
  <c r="I130" i="25"/>
  <c r="H130" i="25"/>
  <c r="G130" i="25"/>
  <c r="F130" i="25"/>
  <c r="E130" i="25"/>
  <c r="D130" i="25"/>
  <c r="S129" i="25"/>
  <c r="R129" i="25"/>
  <c r="Q129" i="25"/>
  <c r="P129" i="25"/>
  <c r="O129" i="25"/>
  <c r="N129" i="25"/>
  <c r="M129" i="25"/>
  <c r="L129" i="25"/>
  <c r="K129" i="25"/>
  <c r="J129" i="25"/>
  <c r="I129" i="25"/>
  <c r="H129" i="25"/>
  <c r="G129" i="25"/>
  <c r="F129" i="25"/>
  <c r="E129" i="25"/>
  <c r="D129" i="25"/>
  <c r="S128" i="25"/>
  <c r="R128" i="25"/>
  <c r="Q128" i="25"/>
  <c r="P128" i="25"/>
  <c r="O128" i="25"/>
  <c r="N128" i="25"/>
  <c r="M128" i="25"/>
  <c r="L128" i="25"/>
  <c r="K128" i="25"/>
  <c r="J128" i="25"/>
  <c r="I128" i="25"/>
  <c r="H128" i="25"/>
  <c r="G128" i="25"/>
  <c r="F128" i="25"/>
  <c r="E128" i="25"/>
  <c r="D128" i="25"/>
  <c r="S126" i="25"/>
  <c r="R126" i="25"/>
  <c r="Q126" i="25"/>
  <c r="P126" i="25"/>
  <c r="O126" i="25"/>
  <c r="N126" i="25"/>
  <c r="M126" i="25"/>
  <c r="L126" i="25"/>
  <c r="K126" i="25"/>
  <c r="J126" i="25"/>
  <c r="E126" i="25"/>
  <c r="D126" i="25"/>
  <c r="S125" i="25"/>
  <c r="R125" i="25"/>
  <c r="Q125" i="25"/>
  <c r="P125" i="25"/>
  <c r="O125" i="25"/>
  <c r="M125" i="25"/>
  <c r="K125" i="25"/>
  <c r="E125" i="25"/>
  <c r="S124" i="25"/>
  <c r="R124" i="25"/>
  <c r="Q124" i="25"/>
  <c r="P124" i="25"/>
  <c r="O124" i="25"/>
  <c r="N124" i="25"/>
  <c r="M124" i="25"/>
  <c r="L124" i="25"/>
  <c r="K124" i="25"/>
  <c r="J124" i="25"/>
  <c r="E124" i="25"/>
  <c r="D124" i="25"/>
  <c r="S123" i="25"/>
  <c r="R123" i="25"/>
  <c r="Q123" i="25"/>
  <c r="P123" i="25"/>
  <c r="O123" i="25"/>
  <c r="M123" i="25"/>
  <c r="K123" i="25"/>
  <c r="E123" i="25"/>
  <c r="S122" i="25"/>
  <c r="R122" i="25"/>
  <c r="Q122" i="25"/>
  <c r="P122" i="25"/>
  <c r="O122" i="25"/>
  <c r="N122" i="25"/>
  <c r="M122" i="25"/>
  <c r="L122" i="25"/>
  <c r="K122" i="25"/>
  <c r="J122" i="25"/>
  <c r="I122" i="25"/>
  <c r="H122" i="25"/>
  <c r="G122" i="25"/>
  <c r="F122" i="25"/>
  <c r="E122" i="25"/>
  <c r="D122" i="25"/>
  <c r="S121" i="25"/>
  <c r="R121" i="25"/>
  <c r="Q121" i="25"/>
  <c r="P121" i="25"/>
  <c r="O121" i="25"/>
  <c r="N121" i="25"/>
  <c r="M121" i="25"/>
  <c r="L121" i="25"/>
  <c r="K121" i="25"/>
  <c r="J121" i="25"/>
  <c r="I121" i="25"/>
  <c r="H121" i="25"/>
  <c r="G121" i="25"/>
  <c r="F121" i="25"/>
  <c r="E121" i="25"/>
  <c r="D121" i="25"/>
  <c r="S120" i="25"/>
  <c r="R120" i="25"/>
  <c r="Q120" i="25"/>
  <c r="P120" i="25"/>
  <c r="O120" i="25"/>
  <c r="N120" i="25"/>
  <c r="M120" i="25"/>
  <c r="L120" i="25"/>
  <c r="K120" i="25"/>
  <c r="J120" i="25"/>
  <c r="I120" i="25"/>
  <c r="H120" i="25"/>
  <c r="G120" i="25"/>
  <c r="F120" i="25"/>
  <c r="E120" i="25"/>
  <c r="D120" i="25"/>
  <c r="S119" i="25"/>
  <c r="R119" i="25"/>
  <c r="Q119" i="25"/>
  <c r="P119" i="25"/>
  <c r="O119" i="25"/>
  <c r="N119" i="25"/>
  <c r="M119" i="25"/>
  <c r="L119" i="25"/>
  <c r="K119" i="25"/>
  <c r="J119" i="25"/>
  <c r="I119" i="25"/>
  <c r="H119" i="25"/>
  <c r="G119" i="25"/>
  <c r="F119" i="25"/>
  <c r="E119" i="25"/>
  <c r="D119" i="25"/>
  <c r="S118" i="25"/>
  <c r="R118" i="25"/>
  <c r="Q118" i="25"/>
  <c r="P118" i="25"/>
  <c r="O118" i="25"/>
  <c r="N118" i="25"/>
  <c r="M118" i="25"/>
  <c r="L118" i="25"/>
  <c r="K118" i="25"/>
  <c r="J118" i="25"/>
  <c r="I118" i="25"/>
  <c r="H118" i="25"/>
  <c r="G118" i="25"/>
  <c r="F118" i="25"/>
  <c r="E118" i="25"/>
  <c r="D118" i="25"/>
  <c r="S117" i="25"/>
  <c r="R117" i="25"/>
  <c r="Q117" i="25"/>
  <c r="P117" i="25"/>
  <c r="O117" i="25"/>
  <c r="N117" i="25"/>
  <c r="M117" i="25"/>
  <c r="L117" i="25"/>
  <c r="K117" i="25"/>
  <c r="J117" i="25"/>
  <c r="I117" i="25"/>
  <c r="H117" i="25"/>
  <c r="G117" i="25"/>
  <c r="F117" i="25"/>
  <c r="E117" i="25"/>
  <c r="D117" i="25"/>
  <c r="S116" i="25"/>
  <c r="R116" i="25"/>
  <c r="Q116" i="25"/>
  <c r="P116" i="25"/>
  <c r="O116" i="25"/>
  <c r="N116" i="25"/>
  <c r="M116" i="25"/>
  <c r="L116" i="25"/>
  <c r="K116" i="25"/>
  <c r="J116" i="25"/>
  <c r="I116" i="25"/>
  <c r="H116" i="25"/>
  <c r="G116" i="25"/>
  <c r="F116" i="25"/>
  <c r="E116" i="25"/>
  <c r="D116" i="25"/>
  <c r="S115" i="25"/>
  <c r="R115" i="25"/>
  <c r="Q115" i="25"/>
  <c r="P115" i="25"/>
  <c r="O115" i="25"/>
  <c r="N115" i="25"/>
  <c r="M115" i="25"/>
  <c r="L115" i="25"/>
  <c r="K115" i="25"/>
  <c r="J115" i="25"/>
  <c r="I115" i="25"/>
  <c r="H115" i="25"/>
  <c r="G115" i="25"/>
  <c r="F115" i="25"/>
  <c r="E115" i="25"/>
  <c r="D115" i="25"/>
  <c r="S114" i="25"/>
  <c r="R114" i="25"/>
  <c r="Q114" i="25"/>
  <c r="P114" i="25"/>
  <c r="O114" i="25"/>
  <c r="N114" i="25"/>
  <c r="M114" i="25"/>
  <c r="L114" i="25"/>
  <c r="K114" i="25"/>
  <c r="J114" i="25"/>
  <c r="I114" i="25"/>
  <c r="H114" i="25"/>
  <c r="G114" i="25"/>
  <c r="F114" i="25"/>
  <c r="E114" i="25"/>
  <c r="D114" i="25"/>
  <c r="S113" i="25"/>
  <c r="R113" i="25"/>
  <c r="Q113" i="25"/>
  <c r="P113" i="25"/>
  <c r="O113" i="25"/>
  <c r="N113" i="25"/>
  <c r="M113" i="25"/>
  <c r="L113" i="25"/>
  <c r="K113" i="25"/>
  <c r="J113" i="25"/>
  <c r="I113" i="25"/>
  <c r="H113" i="25"/>
  <c r="G113" i="25"/>
  <c r="F113" i="25"/>
  <c r="E113" i="25"/>
  <c r="D113" i="25"/>
  <c r="S112" i="25"/>
  <c r="R112" i="25"/>
  <c r="Q112" i="25"/>
  <c r="P112" i="25"/>
  <c r="O112" i="25"/>
  <c r="N112" i="25"/>
  <c r="M112" i="25"/>
  <c r="L112" i="25"/>
  <c r="K112" i="25"/>
  <c r="J112" i="25"/>
  <c r="I112" i="25"/>
  <c r="H112" i="25"/>
  <c r="G112" i="25"/>
  <c r="F112" i="25"/>
  <c r="E112" i="25"/>
  <c r="D112" i="25"/>
  <c r="S111" i="25"/>
  <c r="R111" i="25"/>
  <c r="Q111" i="25"/>
  <c r="P111" i="25"/>
  <c r="O111" i="25"/>
  <c r="N111" i="25"/>
  <c r="M111" i="25"/>
  <c r="L111" i="25"/>
  <c r="K111" i="25"/>
  <c r="J111" i="25"/>
  <c r="I111" i="25"/>
  <c r="H111" i="25"/>
  <c r="G111" i="25"/>
  <c r="F111" i="25"/>
  <c r="E111" i="25"/>
  <c r="D111" i="25"/>
  <c r="S110" i="25"/>
  <c r="R110" i="25"/>
  <c r="Q110" i="25"/>
  <c r="P110" i="25"/>
  <c r="O110" i="25"/>
  <c r="N110" i="25"/>
  <c r="M110" i="25"/>
  <c r="L110" i="25"/>
  <c r="K110" i="25"/>
  <c r="J110" i="25"/>
  <c r="I110" i="25"/>
  <c r="H110" i="25"/>
  <c r="G110" i="25"/>
  <c r="F110" i="25"/>
  <c r="E110" i="25"/>
  <c r="D110" i="25"/>
  <c r="S109" i="25"/>
  <c r="R109" i="25"/>
  <c r="Q109" i="25"/>
  <c r="P109" i="25"/>
  <c r="O109" i="25"/>
  <c r="N109" i="25"/>
  <c r="M109" i="25"/>
  <c r="L109" i="25"/>
  <c r="K109" i="25"/>
  <c r="J109" i="25"/>
  <c r="I109" i="25"/>
  <c r="H109" i="25"/>
  <c r="G109" i="25"/>
  <c r="F109" i="25"/>
  <c r="E109" i="25"/>
  <c r="D109" i="25"/>
  <c r="S108" i="25"/>
  <c r="R108" i="25"/>
  <c r="Q108" i="25"/>
  <c r="P108" i="25"/>
  <c r="O108" i="25"/>
  <c r="N108" i="25"/>
  <c r="M108" i="25"/>
  <c r="L108" i="25"/>
  <c r="K108" i="25"/>
  <c r="J108" i="25"/>
  <c r="I108" i="25"/>
  <c r="H108" i="25"/>
  <c r="G108" i="25"/>
  <c r="F108" i="25"/>
  <c r="E108" i="25"/>
  <c r="D108" i="25"/>
  <c r="S107" i="25"/>
  <c r="R107" i="25"/>
  <c r="Q107" i="25"/>
  <c r="P107" i="25"/>
  <c r="O107" i="25"/>
  <c r="N107" i="25"/>
  <c r="M107" i="25"/>
  <c r="L107" i="25"/>
  <c r="K107" i="25"/>
  <c r="J107" i="25"/>
  <c r="I107" i="25"/>
  <c r="H107" i="25"/>
  <c r="G107" i="25"/>
  <c r="F107" i="25"/>
  <c r="E107" i="25"/>
  <c r="D107" i="25"/>
  <c r="S106" i="25"/>
  <c r="R106" i="25"/>
  <c r="Q106" i="25"/>
  <c r="P106" i="25"/>
  <c r="O106" i="25"/>
  <c r="N106" i="25"/>
  <c r="M106" i="25"/>
  <c r="L106" i="25"/>
  <c r="K106" i="25"/>
  <c r="J106" i="25"/>
  <c r="I106" i="25"/>
  <c r="H106" i="25"/>
  <c r="G106" i="25"/>
  <c r="F106" i="25"/>
  <c r="E106" i="25"/>
  <c r="D106" i="25"/>
  <c r="S105" i="25"/>
  <c r="R105" i="25"/>
  <c r="Q105" i="25"/>
  <c r="P105" i="25"/>
  <c r="O105" i="25"/>
  <c r="N105" i="25"/>
  <c r="M105" i="25"/>
  <c r="L105" i="25"/>
  <c r="K105" i="25"/>
  <c r="J105" i="25"/>
  <c r="I105" i="25"/>
  <c r="H105" i="25"/>
  <c r="G105" i="25"/>
  <c r="F105" i="25"/>
  <c r="E105" i="25"/>
  <c r="D105" i="25"/>
  <c r="S104" i="25"/>
  <c r="R104" i="25"/>
  <c r="Q104" i="25"/>
  <c r="P104" i="25"/>
  <c r="O104" i="25"/>
  <c r="N104" i="25"/>
  <c r="M104" i="25"/>
  <c r="L104" i="25"/>
  <c r="K104" i="25"/>
  <c r="J104" i="25"/>
  <c r="I104" i="25"/>
  <c r="H104" i="25"/>
  <c r="G104" i="25"/>
  <c r="F104" i="25"/>
  <c r="E104" i="25"/>
  <c r="D104" i="25"/>
  <c r="C177" i="25"/>
  <c r="C178" i="25"/>
  <c r="C179" i="25"/>
  <c r="C180" i="25"/>
  <c r="C181" i="25"/>
  <c r="C182" i="25"/>
  <c r="C183" i="25"/>
  <c r="C184" i="25"/>
  <c r="C185" i="25"/>
  <c r="C186" i="25"/>
  <c r="C187" i="25"/>
  <c r="C188" i="25"/>
  <c r="C189" i="25"/>
  <c r="C190" i="25"/>
  <c r="C191" i="25"/>
  <c r="C192" i="25"/>
  <c r="C193" i="25"/>
  <c r="C194" i="25"/>
  <c r="C195" i="25"/>
  <c r="C196" i="25"/>
  <c r="C197" i="25"/>
  <c r="C198" i="25"/>
  <c r="C176" i="25"/>
  <c r="C153" i="25"/>
  <c r="C154" i="25"/>
  <c r="C155" i="25"/>
  <c r="C156" i="25"/>
  <c r="C157" i="25"/>
  <c r="C158" i="25"/>
  <c r="C159" i="25"/>
  <c r="C160" i="25"/>
  <c r="C161" i="25"/>
  <c r="C162" i="25"/>
  <c r="C163" i="25"/>
  <c r="C164" i="25"/>
  <c r="C165" i="25"/>
  <c r="C166" i="25"/>
  <c r="C167" i="25"/>
  <c r="C168" i="25"/>
  <c r="C169" i="25"/>
  <c r="C170" i="25"/>
  <c r="C171" i="25"/>
  <c r="C172" i="25"/>
  <c r="C173" i="25"/>
  <c r="C174" i="25"/>
  <c r="C152" i="25"/>
  <c r="C129" i="25"/>
  <c r="C130" i="25"/>
  <c r="C131" i="25"/>
  <c r="C132" i="25"/>
  <c r="C133" i="25"/>
  <c r="C134" i="25"/>
  <c r="C135" i="25"/>
  <c r="C136" i="25"/>
  <c r="C137" i="25"/>
  <c r="C138" i="25"/>
  <c r="C139" i="25"/>
  <c r="C140" i="25"/>
  <c r="C141" i="25"/>
  <c r="C142" i="25"/>
  <c r="C143" i="25"/>
  <c r="C144" i="25"/>
  <c r="C145" i="25"/>
  <c r="C146" i="25"/>
  <c r="C147" i="25"/>
  <c r="C148" i="25"/>
  <c r="C149" i="25"/>
  <c r="C150" i="25"/>
  <c r="C128" i="25"/>
  <c r="C105" i="25"/>
  <c r="C106" i="25"/>
  <c r="C107" i="25"/>
  <c r="C108" i="25"/>
  <c r="C109" i="25"/>
  <c r="C110" i="25"/>
  <c r="C111" i="25"/>
  <c r="C112" i="25"/>
  <c r="C113" i="25"/>
  <c r="C114" i="25"/>
  <c r="C115" i="25"/>
  <c r="C116" i="25"/>
  <c r="C117" i="25"/>
  <c r="C118" i="25"/>
  <c r="C119" i="25"/>
  <c r="C120" i="25"/>
  <c r="C121" i="25"/>
  <c r="C122" i="25"/>
  <c r="C123" i="25"/>
  <c r="C124" i="25"/>
  <c r="C125" i="25"/>
  <c r="C126" i="25"/>
  <c r="C104" i="25"/>
  <c r="U242" i="16"/>
  <c r="U241" i="16"/>
  <c r="U240" i="16"/>
  <c r="U239" i="16"/>
  <c r="U238" i="16"/>
  <c r="U237" i="16"/>
  <c r="U236" i="16"/>
  <c r="U235" i="16"/>
  <c r="U231" i="16"/>
  <c r="U230" i="16"/>
  <c r="U229" i="16"/>
  <c r="U228" i="16"/>
  <c r="U227" i="16"/>
  <c r="U226" i="16"/>
  <c r="U225" i="16"/>
  <c r="U224" i="16"/>
  <c r="T242" i="16"/>
  <c r="T241" i="16"/>
  <c r="T240" i="16"/>
  <c r="T239" i="16"/>
  <c r="T238" i="16"/>
  <c r="T237" i="16"/>
  <c r="T236" i="16"/>
  <c r="T235" i="16"/>
  <c r="T231" i="16"/>
  <c r="T230" i="16"/>
  <c r="T229" i="16"/>
  <c r="T228" i="16"/>
  <c r="T227" i="16"/>
  <c r="T226" i="16"/>
  <c r="T225" i="16"/>
  <c r="T224" i="16"/>
  <c r="U214" i="16"/>
  <c r="U215" i="16"/>
  <c r="U216" i="16"/>
  <c r="U217" i="16"/>
  <c r="U218" i="16"/>
  <c r="U219" i="16"/>
  <c r="U220" i="16"/>
  <c r="U213" i="16"/>
  <c r="T214" i="16"/>
  <c r="T215" i="16"/>
  <c r="T216" i="16"/>
  <c r="T217" i="16"/>
  <c r="T218" i="16"/>
  <c r="T219" i="16"/>
  <c r="T220" i="16"/>
  <c r="T213" i="16"/>
  <c r="U203" i="16"/>
  <c r="U204" i="16"/>
  <c r="U205" i="16"/>
  <c r="U206" i="16"/>
  <c r="U207" i="16"/>
  <c r="U208" i="16"/>
  <c r="U209" i="16"/>
  <c r="U202" i="16"/>
  <c r="T203" i="16"/>
  <c r="T204" i="16"/>
  <c r="T205" i="16"/>
  <c r="T206" i="16"/>
  <c r="T207" i="16"/>
  <c r="T208" i="16"/>
  <c r="T209" i="16"/>
  <c r="T202" i="16"/>
  <c r="I2" i="18"/>
  <c r="H228" i="4"/>
  <c r="H229" i="4"/>
  <c r="H230" i="4" s="1"/>
  <c r="H231" i="4"/>
  <c r="H232" i="4" s="1"/>
  <c r="H233" i="4" s="1"/>
  <c r="H234" i="4" s="1"/>
  <c r="H235" i="4" s="1"/>
  <c r="H218" i="4"/>
  <c r="H219" i="4" s="1"/>
  <c r="H220" i="4" s="1"/>
  <c r="H221" i="4" s="1"/>
  <c r="H222" i="4" s="1"/>
  <c r="H223" i="4" s="1"/>
  <c r="H224" i="4" s="1"/>
  <c r="H225" i="4" s="1"/>
  <c r="H208" i="4"/>
  <c r="H209" i="4"/>
  <c r="H210" i="4" s="1"/>
  <c r="H211" i="4" s="1"/>
  <c r="H212" i="4" s="1"/>
  <c r="H213" i="4" s="1"/>
  <c r="H214" i="4" s="1"/>
  <c r="H215" i="4" s="1"/>
  <c r="H199" i="4"/>
  <c r="H200" i="4"/>
  <c r="H201" i="4" s="1"/>
  <c r="H202" i="4" s="1"/>
  <c r="H203" i="4" s="1"/>
  <c r="H204" i="4" s="1"/>
  <c r="H205" i="4" s="1"/>
  <c r="H190" i="4"/>
  <c r="H191" i="4" s="1"/>
  <c r="H192" i="4" s="1"/>
  <c r="H193" i="4" s="1"/>
  <c r="H194" i="4" s="1"/>
  <c r="H195" i="4" s="1"/>
  <c r="H196" i="4" s="1"/>
  <c r="H182" i="4"/>
  <c r="H183" i="4"/>
  <c r="H184" i="4" s="1"/>
  <c r="H185" i="4" s="1"/>
  <c r="H186" i="4" s="1"/>
  <c r="H187" i="4" s="1"/>
  <c r="H174" i="4"/>
  <c r="H175" i="4" s="1"/>
  <c r="H176" i="4" s="1"/>
  <c r="H177" i="4" s="1"/>
  <c r="H178" i="4" s="1"/>
  <c r="H179" i="4" s="1"/>
  <c r="H166" i="4"/>
  <c r="H167" i="4"/>
  <c r="H168" i="4" s="1"/>
  <c r="H169" i="4" s="1"/>
  <c r="H170" i="4" s="1"/>
  <c r="H171" i="4" s="1"/>
  <c r="H156" i="4"/>
  <c r="H157" i="4" s="1"/>
  <c r="H147" i="4"/>
  <c r="H148" i="4"/>
  <c r="H149" i="4" s="1"/>
  <c r="H150" i="4"/>
  <c r="H151" i="4" s="1"/>
  <c r="H152" i="4" s="1"/>
  <c r="H139" i="4"/>
  <c r="H140" i="4" s="1"/>
  <c r="H141" i="4" s="1"/>
  <c r="H142" i="4" s="1"/>
  <c r="H143" i="4" s="1"/>
  <c r="H144" i="4" s="1"/>
  <c r="H130" i="4"/>
  <c r="H131" i="4" s="1"/>
  <c r="H132" i="4"/>
  <c r="H133" i="4" s="1"/>
  <c r="H134" i="4" s="1"/>
  <c r="H135" i="4" s="1"/>
  <c r="H136" i="4" s="1"/>
  <c r="H121" i="4"/>
  <c r="H122" i="4" s="1"/>
  <c r="H123" i="4" s="1"/>
  <c r="H124" i="4" s="1"/>
  <c r="H112" i="4"/>
  <c r="H113" i="4" s="1"/>
  <c r="H114" i="4"/>
  <c r="H115" i="4" s="1"/>
  <c r="H116" i="4" s="1"/>
  <c r="H104" i="4"/>
  <c r="H105" i="4" s="1"/>
  <c r="H106" i="4" s="1"/>
  <c r="H107" i="4" s="1"/>
  <c r="H95" i="4"/>
  <c r="H96" i="4"/>
  <c r="H97" i="4" s="1"/>
  <c r="H98" i="4" s="1"/>
  <c r="H99" i="4" s="1"/>
  <c r="H100" i="4" s="1"/>
  <c r="H85" i="4"/>
  <c r="H86" i="4" s="1"/>
  <c r="H87" i="4" s="1"/>
  <c r="H88" i="4" s="1"/>
  <c r="H89" i="4" s="1"/>
  <c r="H77" i="4"/>
  <c r="H78" i="4"/>
  <c r="H79" i="4" s="1"/>
  <c r="H80" i="4"/>
  <c r="H81" i="4" s="1"/>
  <c r="H82" i="4" s="1"/>
  <c r="H69" i="4"/>
  <c r="H70" i="4" s="1"/>
  <c r="H71" i="4" s="1"/>
  <c r="H72" i="4" s="1"/>
  <c r="H62" i="4"/>
  <c r="H63" i="4" s="1"/>
  <c r="H64" i="4" s="1"/>
  <c r="H55" i="4"/>
  <c r="H56" i="4" s="1"/>
  <c r="H57" i="4"/>
  <c r="H58" i="4" s="1"/>
  <c r="H59" i="4" s="1"/>
  <c r="H47" i="4"/>
  <c r="H48" i="4" s="1"/>
  <c r="H49" i="4" s="1"/>
  <c r="H50" i="4" s="1"/>
  <c r="H51" i="4" s="1"/>
  <c r="H38" i="4"/>
  <c r="H39" i="4" s="1"/>
  <c r="H28" i="4"/>
  <c r="H29" i="4" s="1"/>
  <c r="H30" i="4" s="1"/>
  <c r="H31" i="4" s="1"/>
  <c r="H32" i="4" s="1"/>
  <c r="H33" i="4" s="1"/>
  <c r="H34" i="4" s="1"/>
  <c r="H20" i="4"/>
  <c r="H21" i="4" s="1"/>
  <c r="H11" i="4"/>
  <c r="A11" i="4"/>
  <c r="H3" i="4"/>
  <c r="H4" i="4" s="1"/>
  <c r="H5" i="4" s="1"/>
  <c r="H6" i="4" s="1"/>
  <c r="E163" i="4"/>
  <c r="D163" i="4"/>
  <c r="E162" i="4"/>
  <c r="D162" i="4"/>
  <c r="E161" i="4"/>
  <c r="D161" i="4"/>
  <c r="E160" i="4"/>
  <c r="D160" i="4"/>
  <c r="E159" i="4"/>
  <c r="D159" i="4"/>
  <c r="E158" i="4"/>
  <c r="D158" i="4"/>
  <c r="E157" i="4"/>
  <c r="D157" i="4"/>
  <c r="E156" i="4"/>
  <c r="D156" i="4"/>
  <c r="D140" i="4"/>
  <c r="E140" i="4"/>
  <c r="D141" i="4"/>
  <c r="E141" i="4"/>
  <c r="D142" i="4"/>
  <c r="E142" i="4"/>
  <c r="D143" i="4"/>
  <c r="E143" i="4"/>
  <c r="D144" i="4"/>
  <c r="E144" i="4"/>
  <c r="E139" i="4"/>
  <c r="D139" i="4"/>
  <c r="E152" i="4"/>
  <c r="D152" i="4"/>
  <c r="E136" i="4"/>
  <c r="D136" i="4"/>
  <c r="E135" i="4"/>
  <c r="D135" i="4"/>
  <c r="E134" i="4"/>
  <c r="D134" i="4"/>
  <c r="E133" i="4"/>
  <c r="D133" i="4"/>
  <c r="E132" i="4"/>
  <c r="D132" i="4"/>
  <c r="E131" i="4"/>
  <c r="D131" i="4"/>
  <c r="E130" i="4"/>
  <c r="D130" i="4"/>
  <c r="E127" i="4"/>
  <c r="D127" i="4"/>
  <c r="E126" i="4"/>
  <c r="D126" i="4"/>
  <c r="E125" i="4"/>
  <c r="D125" i="4"/>
  <c r="E124" i="4"/>
  <c r="D124" i="4"/>
  <c r="E123" i="4"/>
  <c r="D123" i="4"/>
  <c r="E122" i="4"/>
  <c r="D122" i="4"/>
  <c r="E121" i="4"/>
  <c r="D121" i="4"/>
  <c r="E118" i="4"/>
  <c r="D118" i="4"/>
  <c r="E117" i="4"/>
  <c r="D117" i="4"/>
  <c r="E116" i="4"/>
  <c r="D116" i="4"/>
  <c r="E115" i="4"/>
  <c r="D115" i="4"/>
  <c r="E114" i="4"/>
  <c r="D114" i="4"/>
  <c r="E113" i="4"/>
  <c r="D113" i="4"/>
  <c r="E112" i="4"/>
  <c r="D112" i="4"/>
  <c r="E109" i="4"/>
  <c r="D109" i="4"/>
  <c r="E108" i="4"/>
  <c r="D108" i="4"/>
  <c r="E107" i="4"/>
  <c r="D107" i="4"/>
  <c r="E106" i="4"/>
  <c r="D106" i="4"/>
  <c r="E105" i="4"/>
  <c r="D105" i="4"/>
  <c r="E104" i="4"/>
  <c r="D104" i="4"/>
  <c r="E101" i="4"/>
  <c r="D101" i="4"/>
  <c r="E100" i="4"/>
  <c r="D100" i="4"/>
  <c r="E99" i="4"/>
  <c r="D99" i="4"/>
  <c r="E98" i="4"/>
  <c r="D98" i="4"/>
  <c r="E97" i="4"/>
  <c r="D97" i="4"/>
  <c r="E96" i="4"/>
  <c r="D96" i="4"/>
  <c r="E95" i="4"/>
  <c r="D95" i="4"/>
  <c r="E92" i="4"/>
  <c r="D92" i="4"/>
  <c r="E91" i="4"/>
  <c r="D91" i="4"/>
  <c r="E90" i="4"/>
  <c r="D90" i="4"/>
  <c r="E89" i="4"/>
  <c r="D89" i="4"/>
  <c r="E88" i="4"/>
  <c r="D88" i="4"/>
  <c r="E87" i="4"/>
  <c r="D87" i="4"/>
  <c r="E86" i="4"/>
  <c r="D86" i="4"/>
  <c r="E85" i="4"/>
  <c r="D85" i="4"/>
  <c r="E82" i="4"/>
  <c r="D82" i="4"/>
  <c r="E81" i="4"/>
  <c r="D81" i="4"/>
  <c r="E80" i="4"/>
  <c r="D80" i="4"/>
  <c r="E79" i="4"/>
  <c r="D79" i="4"/>
  <c r="E78" i="4"/>
  <c r="D78" i="4"/>
  <c r="E77" i="4"/>
  <c r="D77" i="4"/>
  <c r="D12" i="4"/>
  <c r="E12" i="4"/>
  <c r="D13" i="4"/>
  <c r="E13" i="4"/>
  <c r="D14" i="4"/>
  <c r="E14" i="4"/>
  <c r="D15" i="4"/>
  <c r="E15" i="4"/>
  <c r="D16" i="4"/>
  <c r="E16" i="4"/>
  <c r="D17" i="4"/>
  <c r="E17" i="4"/>
  <c r="E34" i="4"/>
  <c r="D34" i="4"/>
  <c r="E282" i="4"/>
  <c r="E281" i="4"/>
  <c r="E280" i="4"/>
  <c r="E279" i="4"/>
  <c r="E278" i="4"/>
  <c r="E277" i="4"/>
  <c r="E276" i="4"/>
  <c r="E273" i="4"/>
  <c r="E272" i="4"/>
  <c r="E271" i="4"/>
  <c r="E270" i="4"/>
  <c r="E269" i="4"/>
  <c r="E268" i="4"/>
  <c r="E267" i="4"/>
  <c r="E266" i="4"/>
  <c r="E263" i="4"/>
  <c r="E262" i="4"/>
  <c r="E261" i="4"/>
  <c r="E260" i="4"/>
  <c r="E259" i="4"/>
  <c r="E258" i="4"/>
  <c r="E257" i="4"/>
  <c r="E254" i="4"/>
  <c r="E253" i="4"/>
  <c r="E252" i="4"/>
  <c r="E251" i="4"/>
  <c r="E250" i="4"/>
  <c r="E249" i="4"/>
  <c r="E246" i="4"/>
  <c r="E245" i="4"/>
  <c r="E244" i="4"/>
  <c r="E243" i="4"/>
  <c r="E242" i="4"/>
  <c r="E241" i="4"/>
  <c r="E239" i="4"/>
  <c r="E240" i="4"/>
  <c r="D282" i="4"/>
  <c r="D281" i="4"/>
  <c r="D280" i="4"/>
  <c r="D279" i="4"/>
  <c r="D278" i="4"/>
  <c r="D277" i="4"/>
  <c r="D276" i="4"/>
  <c r="D273" i="4"/>
  <c r="D272" i="4"/>
  <c r="D271" i="4"/>
  <c r="D270" i="4"/>
  <c r="D269" i="4"/>
  <c r="D268" i="4"/>
  <c r="D267" i="4"/>
  <c r="D266" i="4"/>
  <c r="D263" i="4"/>
  <c r="D262" i="4"/>
  <c r="D261" i="4"/>
  <c r="D260" i="4"/>
  <c r="D259" i="4"/>
  <c r="D258" i="4"/>
  <c r="D257" i="4"/>
  <c r="D254" i="4"/>
  <c r="D253" i="4"/>
  <c r="D252" i="4"/>
  <c r="D251" i="4"/>
  <c r="D250" i="4"/>
  <c r="D249" i="4"/>
  <c r="D240" i="4"/>
  <c r="D241" i="4"/>
  <c r="D242" i="4"/>
  <c r="D243" i="4"/>
  <c r="D244" i="4"/>
  <c r="D245" i="4"/>
  <c r="D246" i="4"/>
  <c r="D239" i="4"/>
  <c r="H12" i="4"/>
  <c r="D3" i="7"/>
  <c r="D4" i="7" s="1"/>
  <c r="A4" i="7" s="1"/>
  <c r="D199" i="49"/>
  <c r="E199" i="49"/>
  <c r="D200" i="49"/>
  <c r="V200" i="49" s="1"/>
  <c r="E200" i="49"/>
  <c r="D210" i="49"/>
  <c r="V210" i="49" s="1"/>
  <c r="E210" i="49"/>
  <c r="D211" i="49"/>
  <c r="V211" i="49" s="1"/>
  <c r="E211" i="49"/>
  <c r="D221" i="49"/>
  <c r="E221" i="49"/>
  <c r="D222" i="49"/>
  <c r="T222" i="49" s="1"/>
  <c r="E222" i="49"/>
  <c r="D232" i="49"/>
  <c r="T232" i="49" s="1"/>
  <c r="E232" i="49"/>
  <c r="D233" i="49"/>
  <c r="T233" i="49" s="1"/>
  <c r="E233" i="49"/>
  <c r="D243" i="49"/>
  <c r="V243" i="49" s="1"/>
  <c r="E243" i="49"/>
  <c r="D244" i="49"/>
  <c r="V244" i="49" s="1"/>
  <c r="E244" i="49"/>
  <c r="D254" i="49"/>
  <c r="E254" i="49"/>
  <c r="D255" i="49"/>
  <c r="T255" i="49" s="1"/>
  <c r="E255" i="49"/>
  <c r="D265" i="49"/>
  <c r="T265" i="49" s="1"/>
  <c r="E265" i="49"/>
  <c r="D266" i="49"/>
  <c r="T266" i="49" s="1"/>
  <c r="E266" i="49"/>
  <c r="D276" i="49"/>
  <c r="E276" i="49"/>
  <c r="D277" i="49"/>
  <c r="V277" i="49" s="1"/>
  <c r="E277" i="49"/>
  <c r="D287" i="49"/>
  <c r="V287" i="49" s="1"/>
  <c r="E287" i="49"/>
  <c r="D288" i="49"/>
  <c r="V288" i="49" s="1"/>
  <c r="E288" i="49"/>
  <c r="D298" i="49"/>
  <c r="E298" i="49"/>
  <c r="D299" i="49"/>
  <c r="T299" i="49" s="1"/>
  <c r="E299" i="49"/>
  <c r="D309" i="49"/>
  <c r="T309" i="49" s="1"/>
  <c r="E309" i="49"/>
  <c r="D310" i="49"/>
  <c r="T310" i="49" s="1"/>
  <c r="E310" i="49"/>
  <c r="D311" i="49"/>
  <c r="V311" i="49" s="1"/>
  <c r="E311" i="49"/>
  <c r="D312" i="49"/>
  <c r="T312" i="49" s="1"/>
  <c r="E312" i="49"/>
  <c r="D313" i="49"/>
  <c r="V313" i="49" s="1"/>
  <c r="E313" i="49"/>
  <c r="D314" i="49"/>
  <c r="E314" i="49"/>
  <c r="D315" i="49"/>
  <c r="V315" i="49" s="1"/>
  <c r="E315" i="49"/>
  <c r="D316" i="49"/>
  <c r="V316" i="49" s="1"/>
  <c r="E316" i="49"/>
  <c r="D317" i="49"/>
  <c r="V317" i="49" s="1"/>
  <c r="E317" i="49"/>
  <c r="D318" i="49"/>
  <c r="E318" i="49"/>
  <c r="D319" i="49"/>
  <c r="T319" i="49" s="1"/>
  <c r="E319" i="49"/>
  <c r="D320" i="49"/>
  <c r="E320" i="49"/>
  <c r="D321" i="49"/>
  <c r="V321" i="49" s="1"/>
  <c r="E321" i="49"/>
  <c r="D322" i="49"/>
  <c r="E322" i="49"/>
  <c r="D323" i="49"/>
  <c r="T323" i="49" s="1"/>
  <c r="E323" i="49"/>
  <c r="D324" i="49"/>
  <c r="E324" i="49"/>
  <c r="D325" i="49"/>
  <c r="V325" i="49" s="1"/>
  <c r="E325" i="49"/>
  <c r="D326" i="49"/>
  <c r="E326" i="49"/>
  <c r="D327" i="49"/>
  <c r="T327" i="49" s="1"/>
  <c r="E327" i="49"/>
  <c r="D328" i="49"/>
  <c r="E328" i="49"/>
  <c r="D329" i="49"/>
  <c r="V329" i="49" s="1"/>
  <c r="E329" i="49"/>
  <c r="D330" i="49"/>
  <c r="E330" i="49"/>
  <c r="D331" i="49"/>
  <c r="T331" i="49" s="1"/>
  <c r="E331" i="49"/>
  <c r="D332" i="49"/>
  <c r="E332" i="49"/>
  <c r="D333" i="49"/>
  <c r="V333" i="49" s="1"/>
  <c r="E333" i="49"/>
  <c r="D334" i="49"/>
  <c r="E334" i="49"/>
  <c r="D335" i="49"/>
  <c r="T335" i="49" s="1"/>
  <c r="E335" i="49"/>
  <c r="D336" i="49"/>
  <c r="E336" i="49"/>
  <c r="D337" i="49"/>
  <c r="V337" i="49" s="1"/>
  <c r="E337" i="49"/>
  <c r="D338" i="49"/>
  <c r="E338" i="49"/>
  <c r="D339" i="49"/>
  <c r="T339" i="49" s="1"/>
  <c r="E339" i="49"/>
  <c r="D340" i="49"/>
  <c r="E340" i="49"/>
  <c r="D341" i="49"/>
  <c r="V341" i="49" s="1"/>
  <c r="E341" i="49"/>
  <c r="D342" i="49"/>
  <c r="E342" i="49"/>
  <c r="D343" i="49"/>
  <c r="T343" i="49" s="1"/>
  <c r="E343" i="49"/>
  <c r="D344" i="49"/>
  <c r="E344" i="49"/>
  <c r="D345" i="49"/>
  <c r="V345" i="49" s="1"/>
  <c r="E345" i="49"/>
  <c r="D346" i="49"/>
  <c r="E346" i="49"/>
  <c r="D347" i="49"/>
  <c r="T347" i="49" s="1"/>
  <c r="E347" i="49"/>
  <c r="D348" i="49"/>
  <c r="E348" i="49"/>
  <c r="D349" i="49"/>
  <c r="V349" i="49" s="1"/>
  <c r="E349" i="49"/>
  <c r="D350" i="49"/>
  <c r="E350" i="49"/>
  <c r="D351" i="49"/>
  <c r="T351" i="49" s="1"/>
  <c r="E351" i="49"/>
  <c r="D352" i="49"/>
  <c r="E352" i="49"/>
  <c r="D199" i="50"/>
  <c r="V199" i="50" s="1"/>
  <c r="E199" i="50"/>
  <c r="D200" i="50"/>
  <c r="T200" i="50" s="1"/>
  <c r="E200" i="50"/>
  <c r="D210" i="50"/>
  <c r="E210" i="50"/>
  <c r="D211" i="50"/>
  <c r="E211" i="50"/>
  <c r="D221" i="50"/>
  <c r="V221" i="50" s="1"/>
  <c r="E221" i="50"/>
  <c r="D222" i="50"/>
  <c r="T222" i="50"/>
  <c r="E222" i="50"/>
  <c r="D232" i="50"/>
  <c r="V232" i="50" s="1"/>
  <c r="E232" i="50"/>
  <c r="D233" i="50"/>
  <c r="T233" i="50" s="1"/>
  <c r="E233" i="50"/>
  <c r="D243" i="50"/>
  <c r="V243" i="50" s="1"/>
  <c r="E243" i="50"/>
  <c r="D244" i="50"/>
  <c r="V244" i="50" s="1"/>
  <c r="E244" i="50"/>
  <c r="D254" i="50"/>
  <c r="T254" i="50" s="1"/>
  <c r="E254" i="50"/>
  <c r="D255" i="50"/>
  <c r="V255" i="50" s="1"/>
  <c r="E255" i="50"/>
  <c r="D265" i="50"/>
  <c r="V265" i="50" s="1"/>
  <c r="E265" i="50"/>
  <c r="D266" i="50"/>
  <c r="T266" i="50" s="1"/>
  <c r="E266" i="50"/>
  <c r="D276" i="50"/>
  <c r="E276" i="50"/>
  <c r="D277" i="50"/>
  <c r="V277" i="50" s="1"/>
  <c r="E277" i="50"/>
  <c r="D287" i="50"/>
  <c r="V287" i="50" s="1"/>
  <c r="E287" i="50"/>
  <c r="D288" i="50"/>
  <c r="E288" i="50"/>
  <c r="D298" i="50"/>
  <c r="V298" i="50"/>
  <c r="E298" i="50"/>
  <c r="D299" i="50"/>
  <c r="T299" i="50" s="1"/>
  <c r="E299" i="50"/>
  <c r="D309" i="50"/>
  <c r="T309" i="50" s="1"/>
  <c r="E309" i="50"/>
  <c r="D310" i="50"/>
  <c r="T310" i="50" s="1"/>
  <c r="E310" i="50"/>
  <c r="D311" i="50"/>
  <c r="T311" i="50" s="1"/>
  <c r="E311" i="50"/>
  <c r="D312" i="50"/>
  <c r="E312" i="50"/>
  <c r="D313" i="50"/>
  <c r="T313" i="50" s="1"/>
  <c r="E313" i="50"/>
  <c r="D314" i="50"/>
  <c r="T314" i="50" s="1"/>
  <c r="E314" i="50"/>
  <c r="D315" i="50"/>
  <c r="T315" i="50" s="1"/>
  <c r="E315" i="50"/>
  <c r="D316" i="50"/>
  <c r="V316" i="50" s="1"/>
  <c r="E316" i="50"/>
  <c r="D317" i="50"/>
  <c r="T317" i="50" s="1"/>
  <c r="E317" i="50"/>
  <c r="D318" i="50"/>
  <c r="T318" i="50"/>
  <c r="E318" i="50"/>
  <c r="D319" i="50"/>
  <c r="V319" i="50" s="1"/>
  <c r="E319" i="50"/>
  <c r="D320" i="50"/>
  <c r="E320" i="50"/>
  <c r="D321" i="50"/>
  <c r="E321" i="50"/>
  <c r="D322" i="50"/>
  <c r="T322" i="50" s="1"/>
  <c r="E322" i="50"/>
  <c r="D323" i="50"/>
  <c r="T323" i="50" s="1"/>
  <c r="E323" i="50"/>
  <c r="D324" i="50"/>
  <c r="T324" i="50" s="1"/>
  <c r="E324" i="50"/>
  <c r="D325" i="50"/>
  <c r="E325" i="50"/>
  <c r="D326" i="50"/>
  <c r="E326" i="50"/>
  <c r="D327" i="50"/>
  <c r="E327" i="50"/>
  <c r="D328" i="50"/>
  <c r="V328" i="50"/>
  <c r="E328" i="50"/>
  <c r="D329" i="50"/>
  <c r="T329" i="50" s="1"/>
  <c r="E329" i="50"/>
  <c r="D330" i="50"/>
  <c r="T330" i="50" s="1"/>
  <c r="E330" i="50"/>
  <c r="D331" i="50"/>
  <c r="E331" i="50"/>
  <c r="D332" i="50"/>
  <c r="V332" i="50" s="1"/>
  <c r="E332" i="50"/>
  <c r="D333" i="50"/>
  <c r="E333" i="50"/>
  <c r="D334" i="50"/>
  <c r="E334" i="50"/>
  <c r="D335" i="50"/>
  <c r="T335" i="50"/>
  <c r="E335" i="50"/>
  <c r="D336" i="50"/>
  <c r="E336" i="50"/>
  <c r="D337" i="50"/>
  <c r="V337" i="50" s="1"/>
  <c r="E337" i="50"/>
  <c r="D338" i="50"/>
  <c r="T338" i="50" s="1"/>
  <c r="E338" i="50"/>
  <c r="D339" i="50"/>
  <c r="T339" i="50" s="1"/>
  <c r="E339" i="50"/>
  <c r="D340" i="50"/>
  <c r="E340" i="50"/>
  <c r="D341" i="50"/>
  <c r="T341" i="50" s="1"/>
  <c r="E341" i="50"/>
  <c r="D342" i="50"/>
  <c r="T342" i="50"/>
  <c r="E342" i="50"/>
  <c r="D343" i="50"/>
  <c r="E343" i="50"/>
  <c r="D344" i="50"/>
  <c r="V344" i="50"/>
  <c r="E344" i="50"/>
  <c r="D345" i="50"/>
  <c r="V345" i="50" s="1"/>
  <c r="E345" i="50"/>
  <c r="D346" i="50"/>
  <c r="T346" i="50" s="1"/>
  <c r="E346" i="50"/>
  <c r="D347" i="50"/>
  <c r="T347" i="50" s="1"/>
  <c r="E347" i="50"/>
  <c r="D348" i="50"/>
  <c r="V348" i="50" s="1"/>
  <c r="E348" i="50"/>
  <c r="D349" i="50"/>
  <c r="E349" i="50"/>
  <c r="D350" i="50"/>
  <c r="T350" i="50"/>
  <c r="E350" i="50"/>
  <c r="D351" i="50"/>
  <c r="T351" i="50" s="1"/>
  <c r="E351" i="50"/>
  <c r="D352" i="50"/>
  <c r="E352" i="50"/>
  <c r="D199" i="48"/>
  <c r="V199" i="48" s="1"/>
  <c r="E199" i="48"/>
  <c r="D200" i="48"/>
  <c r="E200" i="48"/>
  <c r="D210" i="48"/>
  <c r="T210" i="48" s="1"/>
  <c r="E210" i="48"/>
  <c r="D211" i="48"/>
  <c r="V211" i="48" s="1"/>
  <c r="E211" i="48"/>
  <c r="D221" i="48"/>
  <c r="V221" i="48" s="1"/>
  <c r="E221" i="48"/>
  <c r="D222" i="48"/>
  <c r="V222" i="48" s="1"/>
  <c r="E222" i="48"/>
  <c r="D232" i="48"/>
  <c r="V232" i="48" s="1"/>
  <c r="E232" i="48"/>
  <c r="D233" i="48"/>
  <c r="E233" i="48"/>
  <c r="D243" i="48"/>
  <c r="T243" i="48" s="1"/>
  <c r="E243" i="48"/>
  <c r="D244" i="48"/>
  <c r="V244" i="48" s="1"/>
  <c r="E244" i="48"/>
  <c r="D254" i="48"/>
  <c r="V254" i="48" s="1"/>
  <c r="E254" i="48"/>
  <c r="D255" i="48"/>
  <c r="T255" i="48" s="1"/>
  <c r="E255" i="48"/>
  <c r="D265" i="48"/>
  <c r="V265" i="48" s="1"/>
  <c r="E265" i="48"/>
  <c r="D266" i="48"/>
  <c r="E266" i="48"/>
  <c r="D276" i="48"/>
  <c r="T276" i="48" s="1"/>
  <c r="E276" i="48"/>
  <c r="D277" i="48"/>
  <c r="V277" i="48" s="1"/>
  <c r="E277" i="48"/>
  <c r="D287" i="48"/>
  <c r="V287" i="48" s="1"/>
  <c r="E287" i="48"/>
  <c r="D288" i="48"/>
  <c r="E288" i="48"/>
  <c r="D298" i="48"/>
  <c r="V298" i="48" s="1"/>
  <c r="E298" i="48"/>
  <c r="D299" i="48"/>
  <c r="V299" i="48" s="1"/>
  <c r="E299" i="48"/>
  <c r="D309" i="48"/>
  <c r="V309" i="48" s="1"/>
  <c r="E309" i="48"/>
  <c r="D310" i="48"/>
  <c r="E310" i="48"/>
  <c r="D320" i="48"/>
  <c r="T320" i="48" s="1"/>
  <c r="E320" i="48"/>
  <c r="D321" i="48"/>
  <c r="V321" i="48" s="1"/>
  <c r="E321" i="48"/>
  <c r="D331" i="48"/>
  <c r="V331" i="48" s="1"/>
  <c r="E331" i="48"/>
  <c r="D332" i="48"/>
  <c r="E332" i="48"/>
  <c r="D342" i="48"/>
  <c r="V342" i="48" s="1"/>
  <c r="E342" i="48"/>
  <c r="D343" i="48"/>
  <c r="V343" i="48" s="1"/>
  <c r="E343" i="48"/>
  <c r="U352" i="50"/>
  <c r="U351" i="50"/>
  <c r="U350" i="50"/>
  <c r="V349" i="50"/>
  <c r="U349" i="50"/>
  <c r="T349" i="50"/>
  <c r="U348" i="50"/>
  <c r="T348" i="50"/>
  <c r="U347" i="50"/>
  <c r="U346" i="50"/>
  <c r="U345" i="50"/>
  <c r="U344" i="50"/>
  <c r="T344" i="50"/>
  <c r="U343" i="50"/>
  <c r="U342" i="50"/>
  <c r="V341" i="50"/>
  <c r="U341" i="50"/>
  <c r="V340" i="50"/>
  <c r="U340" i="50"/>
  <c r="T340" i="50"/>
  <c r="U339" i="50"/>
  <c r="U338" i="50"/>
  <c r="U337" i="50"/>
  <c r="T337" i="50"/>
  <c r="U336" i="50"/>
  <c r="V335" i="50"/>
  <c r="U335" i="50"/>
  <c r="U334" i="50"/>
  <c r="V333" i="50"/>
  <c r="U333" i="50"/>
  <c r="T333" i="50"/>
  <c r="U332" i="50"/>
  <c r="U331" i="50"/>
  <c r="V330" i="50"/>
  <c r="U330" i="50"/>
  <c r="V329" i="50"/>
  <c r="U329" i="50"/>
  <c r="U328" i="50"/>
  <c r="T328" i="50"/>
  <c r="U327" i="50"/>
  <c r="U326" i="50"/>
  <c r="V325" i="50"/>
  <c r="U325" i="50"/>
  <c r="T325" i="50"/>
  <c r="V324" i="50"/>
  <c r="U324" i="50"/>
  <c r="U323" i="50"/>
  <c r="V322" i="50"/>
  <c r="U322" i="50"/>
  <c r="V321" i="50"/>
  <c r="U321" i="50"/>
  <c r="T321" i="50"/>
  <c r="U320" i="50"/>
  <c r="U319" i="50"/>
  <c r="U318" i="50"/>
  <c r="V317" i="50"/>
  <c r="U317" i="50"/>
  <c r="U316" i="50"/>
  <c r="U315" i="50"/>
  <c r="V314" i="50"/>
  <c r="U314" i="50"/>
  <c r="V313" i="50"/>
  <c r="U313" i="50"/>
  <c r="U312" i="50"/>
  <c r="V311" i="50"/>
  <c r="U311" i="50"/>
  <c r="U310" i="50"/>
  <c r="V309" i="50"/>
  <c r="U309" i="50"/>
  <c r="U308" i="50"/>
  <c r="U307" i="50"/>
  <c r="U306" i="50"/>
  <c r="U305" i="50"/>
  <c r="U304" i="50"/>
  <c r="U303" i="50"/>
  <c r="U302" i="50"/>
  <c r="U301" i="50"/>
  <c r="U300" i="50"/>
  <c r="U299" i="50"/>
  <c r="U298" i="50"/>
  <c r="T298" i="50"/>
  <c r="U297" i="50"/>
  <c r="U296" i="50"/>
  <c r="U295" i="50"/>
  <c r="U294" i="50"/>
  <c r="U293" i="50"/>
  <c r="U292" i="50"/>
  <c r="U291" i="50"/>
  <c r="U290" i="50"/>
  <c r="U289" i="50"/>
  <c r="U288" i="50"/>
  <c r="U287" i="50"/>
  <c r="U286" i="50"/>
  <c r="U285" i="50"/>
  <c r="U284" i="50"/>
  <c r="U283" i="50"/>
  <c r="U282" i="50"/>
  <c r="U281" i="50"/>
  <c r="U280" i="50"/>
  <c r="U279" i="50"/>
  <c r="U278" i="50"/>
  <c r="U277" i="50"/>
  <c r="U276" i="50"/>
  <c r="U275" i="50"/>
  <c r="U274" i="50"/>
  <c r="U273" i="50"/>
  <c r="U272" i="50"/>
  <c r="U271" i="50"/>
  <c r="U270" i="50"/>
  <c r="U269" i="50"/>
  <c r="U268" i="50"/>
  <c r="U267" i="50"/>
  <c r="V266" i="50"/>
  <c r="U266" i="50"/>
  <c r="U265" i="50"/>
  <c r="T265" i="50"/>
  <c r="U264" i="50"/>
  <c r="U263" i="50"/>
  <c r="U262" i="50"/>
  <c r="U261" i="50"/>
  <c r="U260" i="50"/>
  <c r="U259" i="50"/>
  <c r="U258" i="50"/>
  <c r="U257" i="50"/>
  <c r="U256" i="50"/>
  <c r="U255" i="50"/>
  <c r="T255" i="50"/>
  <c r="V254" i="50"/>
  <c r="U254" i="50"/>
  <c r="U253" i="50"/>
  <c r="U252" i="50"/>
  <c r="U251" i="50"/>
  <c r="U250" i="50"/>
  <c r="U249" i="50"/>
  <c r="U248" i="50"/>
  <c r="U247" i="50"/>
  <c r="U246" i="50"/>
  <c r="U245" i="50"/>
  <c r="U244" i="50"/>
  <c r="U243" i="50"/>
  <c r="U242" i="50"/>
  <c r="U241" i="50"/>
  <c r="U240" i="50"/>
  <c r="U239" i="50"/>
  <c r="U238" i="50"/>
  <c r="U237" i="50"/>
  <c r="U236" i="50"/>
  <c r="U235" i="50"/>
  <c r="U234" i="50"/>
  <c r="U233" i="50"/>
  <c r="U232" i="50"/>
  <c r="T232" i="50"/>
  <c r="U231" i="50"/>
  <c r="U230" i="50"/>
  <c r="U229" i="50"/>
  <c r="U228" i="50"/>
  <c r="U227" i="50"/>
  <c r="U226" i="50"/>
  <c r="U225" i="50"/>
  <c r="U224" i="50"/>
  <c r="U223" i="50"/>
  <c r="U222" i="50"/>
  <c r="U221" i="50"/>
  <c r="U220" i="50"/>
  <c r="U219" i="50"/>
  <c r="U218" i="50"/>
  <c r="U217" i="50"/>
  <c r="U216" i="50"/>
  <c r="U215" i="50"/>
  <c r="U214" i="50"/>
  <c r="U213" i="50"/>
  <c r="U212" i="50"/>
  <c r="V211" i="50"/>
  <c r="U211" i="50"/>
  <c r="T211" i="50"/>
  <c r="U210" i="50"/>
  <c r="U209" i="50"/>
  <c r="U208" i="50"/>
  <c r="U207" i="50"/>
  <c r="U206" i="50"/>
  <c r="U205" i="50"/>
  <c r="U204" i="50"/>
  <c r="U203" i="50"/>
  <c r="U202" i="50"/>
  <c r="U201" i="50"/>
  <c r="V200" i="50"/>
  <c r="U200" i="50"/>
  <c r="U199" i="50"/>
  <c r="T199" i="50"/>
  <c r="U198" i="50"/>
  <c r="U197" i="50"/>
  <c r="U196" i="50"/>
  <c r="U195" i="50"/>
  <c r="U194" i="50"/>
  <c r="U193" i="50"/>
  <c r="U192" i="50"/>
  <c r="U191" i="50"/>
  <c r="V190" i="50"/>
  <c r="U190" i="50"/>
  <c r="T190" i="50"/>
  <c r="V189" i="50"/>
  <c r="U189" i="50"/>
  <c r="T189" i="50"/>
  <c r="V188" i="50"/>
  <c r="U188" i="50"/>
  <c r="T188" i="50"/>
  <c r="U187" i="50"/>
  <c r="T187" i="50"/>
  <c r="U186" i="50"/>
  <c r="T186" i="50"/>
  <c r="U185" i="50"/>
  <c r="T185" i="50"/>
  <c r="U184" i="50"/>
  <c r="T184" i="50"/>
  <c r="U183" i="50"/>
  <c r="T183" i="50"/>
  <c r="U182" i="50"/>
  <c r="T182" i="50"/>
  <c r="U181" i="50"/>
  <c r="T181" i="50"/>
  <c r="U180" i="50"/>
  <c r="T180" i="50"/>
  <c r="U179" i="50"/>
  <c r="T179" i="50"/>
  <c r="U178" i="50"/>
  <c r="T178" i="50"/>
  <c r="U177" i="50"/>
  <c r="T177" i="50"/>
  <c r="U176" i="50"/>
  <c r="T176" i="50"/>
  <c r="U175" i="50"/>
  <c r="T175" i="50"/>
  <c r="U174" i="50"/>
  <c r="T174" i="50"/>
  <c r="U173" i="50"/>
  <c r="T173" i="50"/>
  <c r="U172" i="50"/>
  <c r="T172" i="50"/>
  <c r="U171" i="50"/>
  <c r="T171" i="50"/>
  <c r="U170" i="50"/>
  <c r="T170" i="50"/>
  <c r="U169" i="50"/>
  <c r="T169" i="50"/>
  <c r="U168" i="50"/>
  <c r="T168" i="50"/>
  <c r="V167" i="50"/>
  <c r="U167" i="50"/>
  <c r="T167" i="50"/>
  <c r="V166" i="50"/>
  <c r="U166" i="50"/>
  <c r="T166" i="50"/>
  <c r="W165" i="50"/>
  <c r="V165" i="50"/>
  <c r="U165" i="50"/>
  <c r="T165" i="50"/>
  <c r="W164" i="50"/>
  <c r="V164" i="50"/>
  <c r="U164" i="50"/>
  <c r="T164" i="50"/>
  <c r="W163" i="50"/>
  <c r="V163" i="50"/>
  <c r="U163" i="50"/>
  <c r="T163" i="50"/>
  <c r="W162" i="50"/>
  <c r="V162" i="50"/>
  <c r="U162" i="50"/>
  <c r="T162" i="50"/>
  <c r="W161" i="50"/>
  <c r="V161" i="50"/>
  <c r="U161" i="50"/>
  <c r="T161" i="50"/>
  <c r="W160" i="50"/>
  <c r="V160" i="50"/>
  <c r="U160" i="50"/>
  <c r="T160" i="50"/>
  <c r="W159" i="50"/>
  <c r="V159" i="50"/>
  <c r="U159" i="50"/>
  <c r="T159" i="50"/>
  <c r="W158" i="50"/>
  <c r="V158" i="50"/>
  <c r="U158" i="50"/>
  <c r="T158" i="50"/>
  <c r="W157" i="50"/>
  <c r="V157" i="50"/>
  <c r="U157" i="50"/>
  <c r="T157" i="50"/>
  <c r="W156" i="50"/>
  <c r="V156" i="50"/>
  <c r="U156" i="50"/>
  <c r="T156" i="50"/>
  <c r="W155" i="50"/>
  <c r="V155" i="50"/>
  <c r="U155" i="50"/>
  <c r="T155" i="50"/>
  <c r="W154" i="50"/>
  <c r="V154" i="50"/>
  <c r="U154" i="50"/>
  <c r="T154" i="50"/>
  <c r="W153" i="50"/>
  <c r="V153" i="50"/>
  <c r="U153" i="50"/>
  <c r="T153" i="50"/>
  <c r="W152" i="50"/>
  <c r="V152" i="50"/>
  <c r="U152" i="50"/>
  <c r="T152" i="50"/>
  <c r="W151" i="50"/>
  <c r="V151" i="50"/>
  <c r="U151" i="50"/>
  <c r="T151" i="50"/>
  <c r="W150" i="50"/>
  <c r="V150" i="50"/>
  <c r="U150" i="50"/>
  <c r="T150" i="50"/>
  <c r="W149" i="50"/>
  <c r="V149" i="50"/>
  <c r="U149" i="50"/>
  <c r="T149" i="50"/>
  <c r="W148" i="50"/>
  <c r="V148" i="50"/>
  <c r="U148" i="50"/>
  <c r="T148" i="50"/>
  <c r="W147" i="50"/>
  <c r="V147" i="50"/>
  <c r="U147" i="50"/>
  <c r="T147" i="50"/>
  <c r="W146" i="50"/>
  <c r="V146" i="50"/>
  <c r="U146" i="50"/>
  <c r="T146" i="50"/>
  <c r="W145" i="50"/>
  <c r="V145" i="50"/>
  <c r="U145" i="50"/>
  <c r="T145" i="50"/>
  <c r="W144" i="50"/>
  <c r="V144" i="50"/>
  <c r="U144" i="50"/>
  <c r="T144" i="50"/>
  <c r="W143" i="50"/>
  <c r="V143" i="50"/>
  <c r="U143" i="50"/>
  <c r="T143" i="50"/>
  <c r="W142" i="50"/>
  <c r="V142" i="50"/>
  <c r="U142" i="50"/>
  <c r="T142" i="50"/>
  <c r="W141" i="50"/>
  <c r="V141" i="50"/>
  <c r="U141" i="50"/>
  <c r="T141" i="50"/>
  <c r="W140" i="50"/>
  <c r="V140" i="50"/>
  <c r="U140" i="50"/>
  <c r="T140" i="50"/>
  <c r="W139" i="50"/>
  <c r="V139" i="50"/>
  <c r="U139" i="50"/>
  <c r="T139" i="50"/>
  <c r="W138" i="50"/>
  <c r="V138" i="50"/>
  <c r="U138" i="50"/>
  <c r="T138" i="50"/>
  <c r="W137" i="50"/>
  <c r="V137" i="50"/>
  <c r="U137" i="50"/>
  <c r="T137" i="50"/>
  <c r="W136" i="50"/>
  <c r="V136" i="50"/>
  <c r="U136" i="50"/>
  <c r="T136" i="50"/>
  <c r="W135" i="50"/>
  <c r="V135" i="50"/>
  <c r="U135" i="50"/>
  <c r="T135" i="50"/>
  <c r="W134" i="50"/>
  <c r="V134" i="50"/>
  <c r="U134" i="50"/>
  <c r="T134" i="50"/>
  <c r="W133" i="50"/>
  <c r="V133" i="50"/>
  <c r="U133" i="50"/>
  <c r="T133" i="50"/>
  <c r="U132" i="50"/>
  <c r="U131" i="50"/>
  <c r="U130" i="50"/>
  <c r="U129" i="50"/>
  <c r="U128" i="50"/>
  <c r="U127" i="50"/>
  <c r="U126" i="50"/>
  <c r="U125" i="50"/>
  <c r="U124" i="50"/>
  <c r="W123" i="50"/>
  <c r="V123" i="50"/>
  <c r="U123" i="50"/>
  <c r="T123" i="50"/>
  <c r="W122" i="50"/>
  <c r="V122" i="50"/>
  <c r="U122" i="50"/>
  <c r="T122" i="50"/>
  <c r="W112" i="50"/>
  <c r="V112" i="50"/>
  <c r="U112" i="50"/>
  <c r="T112" i="50"/>
  <c r="W111" i="50"/>
  <c r="V111" i="50"/>
  <c r="U111" i="50"/>
  <c r="T111" i="50"/>
  <c r="W101" i="50"/>
  <c r="V101" i="50"/>
  <c r="U101" i="50"/>
  <c r="T101" i="50"/>
  <c r="W100" i="50"/>
  <c r="V100" i="50"/>
  <c r="U100" i="50"/>
  <c r="T100" i="50"/>
  <c r="W90" i="50"/>
  <c r="V90" i="50"/>
  <c r="U90" i="50"/>
  <c r="T90" i="50"/>
  <c r="W89" i="50"/>
  <c r="V89" i="50"/>
  <c r="U89" i="50"/>
  <c r="T89" i="50"/>
  <c r="W79" i="50"/>
  <c r="V79" i="50"/>
  <c r="U79" i="50"/>
  <c r="T79" i="50"/>
  <c r="W78" i="50"/>
  <c r="V78" i="50"/>
  <c r="U78" i="50"/>
  <c r="T78" i="50"/>
  <c r="W68" i="50"/>
  <c r="V68" i="50"/>
  <c r="U68" i="50"/>
  <c r="T68" i="50"/>
  <c r="W67" i="50"/>
  <c r="V67" i="50"/>
  <c r="U67" i="50"/>
  <c r="T67" i="50"/>
  <c r="W57" i="50"/>
  <c r="V57" i="50"/>
  <c r="U57" i="50"/>
  <c r="T57" i="50"/>
  <c r="W56" i="50"/>
  <c r="V56" i="50"/>
  <c r="U56" i="50"/>
  <c r="T56" i="50"/>
  <c r="W46" i="50"/>
  <c r="V46" i="50"/>
  <c r="U46" i="50"/>
  <c r="T46" i="50"/>
  <c r="W45" i="50"/>
  <c r="V45" i="50"/>
  <c r="U45" i="50"/>
  <c r="T45" i="50"/>
  <c r="W35" i="50"/>
  <c r="V35" i="50"/>
  <c r="U35" i="50"/>
  <c r="T35" i="50"/>
  <c r="W34" i="50"/>
  <c r="V34" i="50"/>
  <c r="U34" i="50"/>
  <c r="T34" i="50"/>
  <c r="W24" i="50"/>
  <c r="V24" i="50"/>
  <c r="U24" i="50"/>
  <c r="T24" i="50"/>
  <c r="W23" i="50"/>
  <c r="V23" i="50"/>
  <c r="U23" i="50"/>
  <c r="T23" i="50"/>
  <c r="W13" i="50"/>
  <c r="V13" i="50"/>
  <c r="U13" i="50"/>
  <c r="T13" i="50"/>
  <c r="W12" i="50"/>
  <c r="V12" i="50"/>
  <c r="U12" i="50"/>
  <c r="T12" i="50"/>
  <c r="V352" i="49"/>
  <c r="U352" i="49"/>
  <c r="T352" i="49"/>
  <c r="V351" i="49"/>
  <c r="U351" i="49"/>
  <c r="V350" i="49"/>
  <c r="U350" i="49"/>
  <c r="T350" i="49"/>
  <c r="U349" i="49"/>
  <c r="T349" i="49"/>
  <c r="V348" i="49"/>
  <c r="U348" i="49"/>
  <c r="T348" i="49"/>
  <c r="V347" i="49"/>
  <c r="U347" i="49"/>
  <c r="V346" i="49"/>
  <c r="U346" i="49"/>
  <c r="T346" i="49"/>
  <c r="U345" i="49"/>
  <c r="T345" i="49"/>
  <c r="V344" i="49"/>
  <c r="U344" i="49"/>
  <c r="T344" i="49"/>
  <c r="V343" i="49"/>
  <c r="U343" i="49"/>
  <c r="V342" i="49"/>
  <c r="U342" i="49"/>
  <c r="T342" i="49"/>
  <c r="U341" i="49"/>
  <c r="T341" i="49"/>
  <c r="V340" i="49"/>
  <c r="U340" i="49"/>
  <c r="T340" i="49"/>
  <c r="V339" i="49"/>
  <c r="U339" i="49"/>
  <c r="V338" i="49"/>
  <c r="U338" i="49"/>
  <c r="T338" i="49"/>
  <c r="U337" i="49"/>
  <c r="T337" i="49"/>
  <c r="V336" i="49"/>
  <c r="U336" i="49"/>
  <c r="T336" i="49"/>
  <c r="V335" i="49"/>
  <c r="U335" i="49"/>
  <c r="V334" i="49"/>
  <c r="U334" i="49"/>
  <c r="T334" i="49"/>
  <c r="U333" i="49"/>
  <c r="T333" i="49"/>
  <c r="V332" i="49"/>
  <c r="U332" i="49"/>
  <c r="T332" i="49"/>
  <c r="V331" i="49"/>
  <c r="U331" i="49"/>
  <c r="V330" i="49"/>
  <c r="U330" i="49"/>
  <c r="T330" i="49"/>
  <c r="U329" i="49"/>
  <c r="T329" i="49"/>
  <c r="V328" i="49"/>
  <c r="U328" i="49"/>
  <c r="T328" i="49"/>
  <c r="V327" i="49"/>
  <c r="U327" i="49"/>
  <c r="V326" i="49"/>
  <c r="U326" i="49"/>
  <c r="T326" i="49"/>
  <c r="U325" i="49"/>
  <c r="T325" i="49"/>
  <c r="V324" i="49"/>
  <c r="U324" i="49"/>
  <c r="T324" i="49"/>
  <c r="V323" i="49"/>
  <c r="U323" i="49"/>
  <c r="V322" i="49"/>
  <c r="U322" i="49"/>
  <c r="T322" i="49"/>
  <c r="U321" i="49"/>
  <c r="T321" i="49"/>
  <c r="V320" i="49"/>
  <c r="U320" i="49"/>
  <c r="T320" i="49"/>
  <c r="V319" i="49"/>
  <c r="U319" i="49"/>
  <c r="V318" i="49"/>
  <c r="U318" i="49"/>
  <c r="T318" i="49"/>
  <c r="U317" i="49"/>
  <c r="T317" i="49"/>
  <c r="U316" i="49"/>
  <c r="U315" i="49"/>
  <c r="V314" i="49"/>
  <c r="U314" i="49"/>
  <c r="T314" i="49"/>
  <c r="U313" i="49"/>
  <c r="V312" i="49"/>
  <c r="U312" i="49"/>
  <c r="U311" i="49"/>
  <c r="T311" i="49"/>
  <c r="V310" i="49"/>
  <c r="U310" i="49"/>
  <c r="V309" i="49"/>
  <c r="U309" i="49"/>
  <c r="U308" i="49"/>
  <c r="U307" i="49"/>
  <c r="U306" i="49"/>
  <c r="U305" i="49"/>
  <c r="U304" i="49"/>
  <c r="U303" i="49"/>
  <c r="U302" i="49"/>
  <c r="U301" i="49"/>
  <c r="U300" i="49"/>
  <c r="V299" i="49"/>
  <c r="U299" i="49"/>
  <c r="V298" i="49"/>
  <c r="U298" i="49"/>
  <c r="T298" i="49"/>
  <c r="U297" i="49"/>
  <c r="U296" i="49"/>
  <c r="U295" i="49"/>
  <c r="U294" i="49"/>
  <c r="U293" i="49"/>
  <c r="U292" i="49"/>
  <c r="U291" i="49"/>
  <c r="U290" i="49"/>
  <c r="U289" i="49"/>
  <c r="U288" i="49"/>
  <c r="T288" i="49"/>
  <c r="U287" i="49"/>
  <c r="T287" i="49"/>
  <c r="U286" i="49"/>
  <c r="U285" i="49"/>
  <c r="U284" i="49"/>
  <c r="U283" i="49"/>
  <c r="U282" i="49"/>
  <c r="U281" i="49"/>
  <c r="U280" i="49"/>
  <c r="U279" i="49"/>
  <c r="U278" i="49"/>
  <c r="U277" i="49"/>
  <c r="T277" i="49"/>
  <c r="V276" i="49"/>
  <c r="U276" i="49"/>
  <c r="T276" i="49"/>
  <c r="U275" i="49"/>
  <c r="U274" i="49"/>
  <c r="U273" i="49"/>
  <c r="U272" i="49"/>
  <c r="U271" i="49"/>
  <c r="U270" i="49"/>
  <c r="U269" i="49"/>
  <c r="U268" i="49"/>
  <c r="U267" i="49"/>
  <c r="V266" i="49"/>
  <c r="U266" i="49"/>
  <c r="V265" i="49"/>
  <c r="U265" i="49"/>
  <c r="U264" i="49"/>
  <c r="U263" i="49"/>
  <c r="U262" i="49"/>
  <c r="U261" i="49"/>
  <c r="U260" i="49"/>
  <c r="U259" i="49"/>
  <c r="U258" i="49"/>
  <c r="U257" i="49"/>
  <c r="U256" i="49"/>
  <c r="V255" i="49"/>
  <c r="U255" i="49"/>
  <c r="V254" i="49"/>
  <c r="U254" i="49"/>
  <c r="T254" i="49"/>
  <c r="U253" i="49"/>
  <c r="U252" i="49"/>
  <c r="U251" i="49"/>
  <c r="U250" i="49"/>
  <c r="U249" i="49"/>
  <c r="U248" i="49"/>
  <c r="U247" i="49"/>
  <c r="U246" i="49"/>
  <c r="U245" i="49"/>
  <c r="U244" i="49"/>
  <c r="T244" i="49"/>
  <c r="U243" i="49"/>
  <c r="T243" i="49"/>
  <c r="U242" i="49"/>
  <c r="U241" i="49"/>
  <c r="U240" i="49"/>
  <c r="U239" i="49"/>
  <c r="U238" i="49"/>
  <c r="U237" i="49"/>
  <c r="U236" i="49"/>
  <c r="U235" i="49"/>
  <c r="U234" i="49"/>
  <c r="V233" i="49"/>
  <c r="U233" i="49"/>
  <c r="V232" i="49"/>
  <c r="U232" i="49"/>
  <c r="U231" i="49"/>
  <c r="U230" i="49"/>
  <c r="U229" i="49"/>
  <c r="U228" i="49"/>
  <c r="U227" i="49"/>
  <c r="U226" i="49"/>
  <c r="U225" i="49"/>
  <c r="U224" i="49"/>
  <c r="U223" i="49"/>
  <c r="V222" i="49"/>
  <c r="U222" i="49"/>
  <c r="V221" i="49"/>
  <c r="U221" i="49"/>
  <c r="T221" i="49"/>
  <c r="U220" i="49"/>
  <c r="U219" i="49"/>
  <c r="U218" i="49"/>
  <c r="U217" i="49"/>
  <c r="U216" i="49"/>
  <c r="U215" i="49"/>
  <c r="U214" i="49"/>
  <c r="U213" i="49"/>
  <c r="U212" i="49"/>
  <c r="U211" i="49"/>
  <c r="T211" i="49"/>
  <c r="U210" i="49"/>
  <c r="T210" i="49"/>
  <c r="U209" i="49"/>
  <c r="U208" i="49"/>
  <c r="U207" i="49"/>
  <c r="U206" i="49"/>
  <c r="U205" i="49"/>
  <c r="U204" i="49"/>
  <c r="U203" i="49"/>
  <c r="U202" i="49"/>
  <c r="U201" i="49"/>
  <c r="U200" i="49"/>
  <c r="T200" i="49"/>
  <c r="V199" i="49"/>
  <c r="U199" i="49"/>
  <c r="T199" i="49"/>
  <c r="U198" i="49"/>
  <c r="U197" i="49"/>
  <c r="U196" i="49"/>
  <c r="U195" i="49"/>
  <c r="U194" i="49"/>
  <c r="U193" i="49"/>
  <c r="U192" i="49"/>
  <c r="U191" i="49"/>
  <c r="V190" i="49"/>
  <c r="U190" i="49"/>
  <c r="T190" i="49"/>
  <c r="V189" i="49"/>
  <c r="U189" i="49"/>
  <c r="T189" i="49"/>
  <c r="V188" i="49"/>
  <c r="U188" i="49"/>
  <c r="T188" i="49"/>
  <c r="U187" i="49"/>
  <c r="T187" i="49"/>
  <c r="U186" i="49"/>
  <c r="T186" i="49"/>
  <c r="U185" i="49"/>
  <c r="T185" i="49"/>
  <c r="U184" i="49"/>
  <c r="T184" i="49"/>
  <c r="U183" i="49"/>
  <c r="T183" i="49"/>
  <c r="U182" i="49"/>
  <c r="T182" i="49"/>
  <c r="U181" i="49"/>
  <c r="T181" i="49"/>
  <c r="U180" i="49"/>
  <c r="T180" i="49"/>
  <c r="U179" i="49"/>
  <c r="T179" i="49"/>
  <c r="U178" i="49"/>
  <c r="T178" i="49"/>
  <c r="U177" i="49"/>
  <c r="T177" i="49"/>
  <c r="U176" i="49"/>
  <c r="T176" i="49"/>
  <c r="U175" i="49"/>
  <c r="T175" i="49"/>
  <c r="U174" i="49"/>
  <c r="T174" i="49"/>
  <c r="U173" i="49"/>
  <c r="T173" i="49"/>
  <c r="U172" i="49"/>
  <c r="T172" i="49"/>
  <c r="U171" i="49"/>
  <c r="T171" i="49"/>
  <c r="U170" i="49"/>
  <c r="T170" i="49"/>
  <c r="U169" i="49"/>
  <c r="T169" i="49"/>
  <c r="U168" i="49"/>
  <c r="T168" i="49"/>
  <c r="V167" i="49"/>
  <c r="U167" i="49"/>
  <c r="T167" i="49"/>
  <c r="V166" i="49"/>
  <c r="U166" i="49"/>
  <c r="T166" i="49"/>
  <c r="W165" i="49"/>
  <c r="V165" i="49"/>
  <c r="U165" i="49"/>
  <c r="T165" i="49"/>
  <c r="W164" i="49"/>
  <c r="V164" i="49"/>
  <c r="U164" i="49"/>
  <c r="T164" i="49"/>
  <c r="W163" i="49"/>
  <c r="V163" i="49"/>
  <c r="U163" i="49"/>
  <c r="T163" i="49"/>
  <c r="W162" i="49"/>
  <c r="V162" i="49"/>
  <c r="U162" i="49"/>
  <c r="T162" i="49"/>
  <c r="W161" i="49"/>
  <c r="V161" i="49"/>
  <c r="U161" i="49"/>
  <c r="T161" i="49"/>
  <c r="W160" i="49"/>
  <c r="V160" i="49"/>
  <c r="U160" i="49"/>
  <c r="T160" i="49"/>
  <c r="W159" i="49"/>
  <c r="V159" i="49"/>
  <c r="U159" i="49"/>
  <c r="T159" i="49"/>
  <c r="W158" i="49"/>
  <c r="V158" i="49"/>
  <c r="U158" i="49"/>
  <c r="T158" i="49"/>
  <c r="W157" i="49"/>
  <c r="V157" i="49"/>
  <c r="U157" i="49"/>
  <c r="T157" i="49"/>
  <c r="W156" i="49"/>
  <c r="V156" i="49"/>
  <c r="U156" i="49"/>
  <c r="T156" i="49"/>
  <c r="W155" i="49"/>
  <c r="V155" i="49"/>
  <c r="U155" i="49"/>
  <c r="T155" i="49"/>
  <c r="W154" i="49"/>
  <c r="V154" i="49"/>
  <c r="U154" i="49"/>
  <c r="T154" i="49"/>
  <c r="W153" i="49"/>
  <c r="V153" i="49"/>
  <c r="U153" i="49"/>
  <c r="T153" i="49"/>
  <c r="W152" i="49"/>
  <c r="V152" i="49"/>
  <c r="U152" i="49"/>
  <c r="T152" i="49"/>
  <c r="W151" i="49"/>
  <c r="V151" i="49"/>
  <c r="U151" i="49"/>
  <c r="T151" i="49"/>
  <c r="W150" i="49"/>
  <c r="V150" i="49"/>
  <c r="U150" i="49"/>
  <c r="T150" i="49"/>
  <c r="W149" i="49"/>
  <c r="V149" i="49"/>
  <c r="U149" i="49"/>
  <c r="T149" i="49"/>
  <c r="W148" i="49"/>
  <c r="V148" i="49"/>
  <c r="U148" i="49"/>
  <c r="T148" i="49"/>
  <c r="W147" i="49"/>
  <c r="V147" i="49"/>
  <c r="U147" i="49"/>
  <c r="T147" i="49"/>
  <c r="W146" i="49"/>
  <c r="V146" i="49"/>
  <c r="U146" i="49"/>
  <c r="T146" i="49"/>
  <c r="W145" i="49"/>
  <c r="V145" i="49"/>
  <c r="U145" i="49"/>
  <c r="T145" i="49"/>
  <c r="W144" i="49"/>
  <c r="V144" i="49"/>
  <c r="U144" i="49"/>
  <c r="T144" i="49"/>
  <c r="W143" i="49"/>
  <c r="V143" i="49"/>
  <c r="U143" i="49"/>
  <c r="T143" i="49"/>
  <c r="W142" i="49"/>
  <c r="V142" i="49"/>
  <c r="U142" i="49"/>
  <c r="T142" i="49"/>
  <c r="W141" i="49"/>
  <c r="V141" i="49"/>
  <c r="U141" i="49"/>
  <c r="T141" i="49"/>
  <c r="W140" i="49"/>
  <c r="V140" i="49"/>
  <c r="U140" i="49"/>
  <c r="T140" i="49"/>
  <c r="W139" i="49"/>
  <c r="V139" i="49"/>
  <c r="U139" i="49"/>
  <c r="T139" i="49"/>
  <c r="W138" i="49"/>
  <c r="V138" i="49"/>
  <c r="U138" i="49"/>
  <c r="T138" i="49"/>
  <c r="W137" i="49"/>
  <c r="V137" i="49"/>
  <c r="U137" i="49"/>
  <c r="T137" i="49"/>
  <c r="W136" i="49"/>
  <c r="V136" i="49"/>
  <c r="U136" i="49"/>
  <c r="T136" i="49"/>
  <c r="W135" i="49"/>
  <c r="V135" i="49"/>
  <c r="U135" i="49"/>
  <c r="T135" i="49"/>
  <c r="W134" i="49"/>
  <c r="V134" i="49"/>
  <c r="U134" i="49"/>
  <c r="T134" i="49"/>
  <c r="W133" i="49"/>
  <c r="V133" i="49"/>
  <c r="U133" i="49"/>
  <c r="T133" i="49"/>
  <c r="U132" i="49"/>
  <c r="U131" i="49"/>
  <c r="U130" i="49"/>
  <c r="U129" i="49"/>
  <c r="U128" i="49"/>
  <c r="U127" i="49"/>
  <c r="U126" i="49"/>
  <c r="U125" i="49"/>
  <c r="U124" i="49"/>
  <c r="W123" i="49"/>
  <c r="V123" i="49"/>
  <c r="U123" i="49"/>
  <c r="T123" i="49"/>
  <c r="W122" i="49"/>
  <c r="V122" i="49"/>
  <c r="U122" i="49"/>
  <c r="T122" i="49"/>
  <c r="W112" i="49"/>
  <c r="V112" i="49"/>
  <c r="U112" i="49"/>
  <c r="T112" i="49"/>
  <c r="W111" i="49"/>
  <c r="V111" i="49"/>
  <c r="U111" i="49"/>
  <c r="T111" i="49"/>
  <c r="W101" i="49"/>
  <c r="V101" i="49"/>
  <c r="U101" i="49"/>
  <c r="T101" i="49"/>
  <c r="W100" i="49"/>
  <c r="V100" i="49"/>
  <c r="U100" i="49"/>
  <c r="T100" i="49"/>
  <c r="W90" i="49"/>
  <c r="V90" i="49"/>
  <c r="U90" i="49"/>
  <c r="T90" i="49"/>
  <c r="W89" i="49"/>
  <c r="V89" i="49"/>
  <c r="U89" i="49"/>
  <c r="T89" i="49"/>
  <c r="W79" i="49"/>
  <c r="V79" i="49"/>
  <c r="U79" i="49"/>
  <c r="T79" i="49"/>
  <c r="W78" i="49"/>
  <c r="V78" i="49"/>
  <c r="U78" i="49"/>
  <c r="T78" i="49"/>
  <c r="W68" i="49"/>
  <c r="V68" i="49"/>
  <c r="U68" i="49"/>
  <c r="T68" i="49"/>
  <c r="W67" i="49"/>
  <c r="V67" i="49"/>
  <c r="U67" i="49"/>
  <c r="T67" i="49"/>
  <c r="W57" i="49"/>
  <c r="V57" i="49"/>
  <c r="U57" i="49"/>
  <c r="T57" i="49"/>
  <c r="W56" i="49"/>
  <c r="V56" i="49"/>
  <c r="U56" i="49"/>
  <c r="T56" i="49"/>
  <c r="W46" i="49"/>
  <c r="V46" i="49"/>
  <c r="U46" i="49"/>
  <c r="T46" i="49"/>
  <c r="W45" i="49"/>
  <c r="V45" i="49"/>
  <c r="U45" i="49"/>
  <c r="T45" i="49"/>
  <c r="W35" i="49"/>
  <c r="V35" i="49"/>
  <c r="U35" i="49"/>
  <c r="T35" i="49"/>
  <c r="W34" i="49"/>
  <c r="V34" i="49"/>
  <c r="U34" i="49"/>
  <c r="T34" i="49"/>
  <c r="W24" i="49"/>
  <c r="V24" i="49"/>
  <c r="U24" i="49"/>
  <c r="T24" i="49"/>
  <c r="W23" i="49"/>
  <c r="V23" i="49"/>
  <c r="U23" i="49"/>
  <c r="T23" i="49"/>
  <c r="W13" i="49"/>
  <c r="V13" i="49"/>
  <c r="U13" i="49"/>
  <c r="T13" i="49"/>
  <c r="W12" i="49"/>
  <c r="V12" i="49"/>
  <c r="U12" i="49"/>
  <c r="T12" i="49"/>
  <c r="U352" i="48"/>
  <c r="U351" i="48"/>
  <c r="U350" i="48"/>
  <c r="U349" i="48"/>
  <c r="U348" i="48"/>
  <c r="U347" i="48"/>
  <c r="U346" i="48"/>
  <c r="U345" i="48"/>
  <c r="U344" i="48"/>
  <c r="U343" i="48"/>
  <c r="U342" i="48"/>
  <c r="T342" i="48"/>
  <c r="U341" i="48"/>
  <c r="U340" i="48"/>
  <c r="U339" i="48"/>
  <c r="U338" i="48"/>
  <c r="U337" i="48"/>
  <c r="U336" i="48"/>
  <c r="U335" i="48"/>
  <c r="U334" i="48"/>
  <c r="U333" i="48"/>
  <c r="V332" i="48"/>
  <c r="U332" i="48"/>
  <c r="T332" i="48"/>
  <c r="U331" i="48"/>
  <c r="U330" i="48"/>
  <c r="U329" i="48"/>
  <c r="U328" i="48"/>
  <c r="U327" i="48"/>
  <c r="U326" i="48"/>
  <c r="U325" i="48"/>
  <c r="U324" i="48"/>
  <c r="U323" i="48"/>
  <c r="U322" i="48"/>
  <c r="U321" i="48"/>
  <c r="V320" i="48"/>
  <c r="U320" i="48"/>
  <c r="U319" i="48"/>
  <c r="U318" i="48"/>
  <c r="U317" i="48"/>
  <c r="U316" i="48"/>
  <c r="U315" i="48"/>
  <c r="U314" i="48"/>
  <c r="U313" i="48"/>
  <c r="U312" i="48"/>
  <c r="U311" i="48"/>
  <c r="V310" i="48"/>
  <c r="U310" i="48"/>
  <c r="T310" i="48"/>
  <c r="U309" i="48"/>
  <c r="U308" i="48"/>
  <c r="U307" i="48"/>
  <c r="U306" i="48"/>
  <c r="U305" i="48"/>
  <c r="U304" i="48"/>
  <c r="U303" i="48"/>
  <c r="U302" i="48"/>
  <c r="U301" i="48"/>
  <c r="U300" i="48"/>
  <c r="U299" i="48"/>
  <c r="U298" i="48"/>
  <c r="T298" i="48"/>
  <c r="U297" i="48"/>
  <c r="U296" i="48"/>
  <c r="U295" i="48"/>
  <c r="U294" i="48"/>
  <c r="U293" i="48"/>
  <c r="U292" i="48"/>
  <c r="U291" i="48"/>
  <c r="U290" i="48"/>
  <c r="U289" i="48"/>
  <c r="V288" i="48"/>
  <c r="U288" i="48"/>
  <c r="T288" i="48"/>
  <c r="U287" i="48"/>
  <c r="U286" i="48"/>
  <c r="U285" i="48"/>
  <c r="U284" i="48"/>
  <c r="U283" i="48"/>
  <c r="U282" i="48"/>
  <c r="U281" i="48"/>
  <c r="U280" i="48"/>
  <c r="U279" i="48"/>
  <c r="U278" i="48"/>
  <c r="U277" i="48"/>
  <c r="V276" i="48"/>
  <c r="U276" i="48"/>
  <c r="U275" i="48"/>
  <c r="U274" i="48"/>
  <c r="U273" i="48"/>
  <c r="U272" i="48"/>
  <c r="U271" i="48"/>
  <c r="U270" i="48"/>
  <c r="U269" i="48"/>
  <c r="U268" i="48"/>
  <c r="U267" i="48"/>
  <c r="V266" i="48"/>
  <c r="U266" i="48"/>
  <c r="T266" i="48"/>
  <c r="U265" i="48"/>
  <c r="U264" i="48"/>
  <c r="U263" i="48"/>
  <c r="U262" i="48"/>
  <c r="U261" i="48"/>
  <c r="U260" i="48"/>
  <c r="U259" i="48"/>
  <c r="U258" i="48"/>
  <c r="U257" i="48"/>
  <c r="U256" i="48"/>
  <c r="U255" i="48"/>
  <c r="U254" i="48"/>
  <c r="U253" i="48"/>
  <c r="U252" i="48"/>
  <c r="U251" i="48"/>
  <c r="U250" i="48"/>
  <c r="U249" i="48"/>
  <c r="U248" i="48"/>
  <c r="U247" i="48"/>
  <c r="U246" i="48"/>
  <c r="U245" i="48"/>
  <c r="U244" i="48"/>
  <c r="V243" i="48"/>
  <c r="U243" i="48"/>
  <c r="U242" i="48"/>
  <c r="U241" i="48"/>
  <c r="U240" i="48"/>
  <c r="U239" i="48"/>
  <c r="U238" i="48"/>
  <c r="U237" i="48"/>
  <c r="U236" i="48"/>
  <c r="U235" i="48"/>
  <c r="U234" i="48"/>
  <c r="V233" i="48"/>
  <c r="U233" i="48"/>
  <c r="T233" i="48"/>
  <c r="U232" i="48"/>
  <c r="U231" i="48"/>
  <c r="U230" i="48"/>
  <c r="U229" i="48"/>
  <c r="U228" i="48"/>
  <c r="U227" i="48"/>
  <c r="U226" i="48"/>
  <c r="U225" i="48"/>
  <c r="U224" i="48"/>
  <c r="U223" i="48"/>
  <c r="U222" i="48"/>
  <c r="U221" i="48"/>
  <c r="T221" i="48"/>
  <c r="U220" i="48"/>
  <c r="U219" i="48"/>
  <c r="U218" i="48"/>
  <c r="U217" i="48"/>
  <c r="U216" i="48"/>
  <c r="U215" i="48"/>
  <c r="U214" i="48"/>
  <c r="U213" i="48"/>
  <c r="U212" i="48"/>
  <c r="U211" i="48"/>
  <c r="U210" i="48"/>
  <c r="U209" i="48"/>
  <c r="U208" i="48"/>
  <c r="U207" i="48"/>
  <c r="U206" i="48"/>
  <c r="U205" i="48"/>
  <c r="U204" i="48"/>
  <c r="U203" i="48"/>
  <c r="U202" i="48"/>
  <c r="U201" i="48"/>
  <c r="V200" i="48"/>
  <c r="U200" i="48"/>
  <c r="T200" i="48"/>
  <c r="U199" i="48"/>
  <c r="U198" i="48"/>
  <c r="U197" i="48"/>
  <c r="U196" i="48"/>
  <c r="U195" i="48"/>
  <c r="U194" i="48"/>
  <c r="U193" i="48"/>
  <c r="U192" i="48"/>
  <c r="U191" i="48"/>
  <c r="V190" i="48"/>
  <c r="U190" i="48"/>
  <c r="T190" i="48"/>
  <c r="V189" i="48"/>
  <c r="U189" i="48"/>
  <c r="T189" i="48"/>
  <c r="V188" i="48"/>
  <c r="U188" i="48"/>
  <c r="T188" i="48"/>
  <c r="U187" i="48"/>
  <c r="U186" i="48"/>
  <c r="U185" i="48"/>
  <c r="U184" i="48"/>
  <c r="U183" i="48"/>
  <c r="U182" i="48"/>
  <c r="U181" i="48"/>
  <c r="U180" i="48"/>
  <c r="U179" i="48"/>
  <c r="U178" i="48"/>
  <c r="T178" i="48"/>
  <c r="U177" i="48"/>
  <c r="T177" i="48"/>
  <c r="U176" i="48"/>
  <c r="U175" i="48"/>
  <c r="U174" i="48"/>
  <c r="U173" i="48"/>
  <c r="U172" i="48"/>
  <c r="U171" i="48"/>
  <c r="U170" i="48"/>
  <c r="U169" i="48"/>
  <c r="U168" i="48"/>
  <c r="V167" i="48"/>
  <c r="U167" i="48"/>
  <c r="T167" i="48"/>
  <c r="V166" i="48"/>
  <c r="U166" i="48"/>
  <c r="T166" i="48"/>
  <c r="W156" i="48"/>
  <c r="V156" i="48"/>
  <c r="U156" i="48"/>
  <c r="T156" i="48"/>
  <c r="W155" i="48"/>
  <c r="V155" i="48"/>
  <c r="U155" i="48"/>
  <c r="T155" i="48"/>
  <c r="W145" i="48"/>
  <c r="V145" i="48"/>
  <c r="U145" i="48"/>
  <c r="T145" i="48"/>
  <c r="W144" i="48"/>
  <c r="V144" i="48"/>
  <c r="U144" i="48"/>
  <c r="T144" i="48"/>
  <c r="W134" i="48"/>
  <c r="V134" i="48"/>
  <c r="U134" i="48"/>
  <c r="T134" i="48"/>
  <c r="W133" i="48"/>
  <c r="V133" i="48"/>
  <c r="U133" i="48"/>
  <c r="T133" i="48"/>
  <c r="W123" i="48"/>
  <c r="V123" i="48"/>
  <c r="U123" i="48"/>
  <c r="T123" i="48"/>
  <c r="W122" i="48"/>
  <c r="V122" i="48"/>
  <c r="U122" i="48"/>
  <c r="T122" i="48"/>
  <c r="W112" i="48"/>
  <c r="V112" i="48"/>
  <c r="U112" i="48"/>
  <c r="T112" i="48"/>
  <c r="W111" i="48"/>
  <c r="V111" i="48"/>
  <c r="U111" i="48"/>
  <c r="T111" i="48"/>
  <c r="W101" i="48"/>
  <c r="V101" i="48"/>
  <c r="U101" i="48"/>
  <c r="T101" i="48"/>
  <c r="W100" i="48"/>
  <c r="V100" i="48"/>
  <c r="U100" i="48"/>
  <c r="T100" i="48"/>
  <c r="W90" i="48"/>
  <c r="V90" i="48"/>
  <c r="U90" i="48"/>
  <c r="T90" i="48"/>
  <c r="W89" i="48"/>
  <c r="V89" i="48"/>
  <c r="U89" i="48"/>
  <c r="T89" i="48"/>
  <c r="W79" i="48"/>
  <c r="V79" i="48"/>
  <c r="U79" i="48"/>
  <c r="T79" i="48"/>
  <c r="W78" i="48"/>
  <c r="V78" i="48"/>
  <c r="U78" i="48"/>
  <c r="T78" i="48"/>
  <c r="W68" i="48"/>
  <c r="V68" i="48"/>
  <c r="U68" i="48"/>
  <c r="T68" i="48"/>
  <c r="W67" i="48"/>
  <c r="V67" i="48"/>
  <c r="U67" i="48"/>
  <c r="T67" i="48"/>
  <c r="W57" i="48"/>
  <c r="V57" i="48"/>
  <c r="U57" i="48"/>
  <c r="T57" i="48"/>
  <c r="W56" i="48"/>
  <c r="V56" i="48"/>
  <c r="U56" i="48"/>
  <c r="T56" i="48"/>
  <c r="W46" i="48"/>
  <c r="V46" i="48"/>
  <c r="U46" i="48"/>
  <c r="T46" i="48"/>
  <c r="W45" i="48"/>
  <c r="V45" i="48"/>
  <c r="U45" i="48"/>
  <c r="T45" i="48"/>
  <c r="W35" i="48"/>
  <c r="V35" i="48"/>
  <c r="U35" i="48"/>
  <c r="T35" i="48"/>
  <c r="W34" i="48"/>
  <c r="V34" i="48"/>
  <c r="U34" i="48"/>
  <c r="T34" i="48"/>
  <c r="W24" i="48"/>
  <c r="V24" i="48"/>
  <c r="U24" i="48"/>
  <c r="T24" i="48"/>
  <c r="W23" i="48"/>
  <c r="V23" i="48"/>
  <c r="U23" i="48"/>
  <c r="T23" i="48"/>
  <c r="W13" i="48"/>
  <c r="V13" i="48"/>
  <c r="U13" i="48"/>
  <c r="T13" i="48"/>
  <c r="W12" i="48"/>
  <c r="V12" i="48"/>
  <c r="U12" i="48"/>
  <c r="T12" i="48"/>
  <c r="T316" i="50"/>
  <c r="T316" i="49"/>
  <c r="V315" i="50"/>
  <c r="V339" i="50"/>
  <c r="V222" i="50"/>
  <c r="V310" i="50"/>
  <c r="V318" i="50"/>
  <c r="V342" i="50"/>
  <c r="V350" i="50"/>
  <c r="U12" i="40"/>
  <c r="U13" i="40"/>
  <c r="U23" i="40"/>
  <c r="U24" i="40"/>
  <c r="U34" i="40"/>
  <c r="U35" i="40"/>
  <c r="U45" i="40"/>
  <c r="U46" i="40"/>
  <c r="U56" i="40"/>
  <c r="U57" i="40"/>
  <c r="U67" i="40"/>
  <c r="U68" i="40"/>
  <c r="U78" i="40"/>
  <c r="U79" i="40"/>
  <c r="U89" i="40"/>
  <c r="U90" i="40"/>
  <c r="U100" i="40"/>
  <c r="U101" i="40"/>
  <c r="U111" i="40"/>
  <c r="U112" i="40"/>
  <c r="U122" i="40"/>
  <c r="U123" i="40"/>
  <c r="U133" i="40"/>
  <c r="U134" i="40"/>
  <c r="U144" i="40"/>
  <c r="U145" i="40"/>
  <c r="U155" i="40"/>
  <c r="U156" i="40"/>
  <c r="U166" i="40"/>
  <c r="U167" i="40"/>
  <c r="U168" i="40"/>
  <c r="U169" i="40"/>
  <c r="U170" i="40"/>
  <c r="U171" i="40"/>
  <c r="U172" i="40"/>
  <c r="U173" i="40"/>
  <c r="U174" i="40"/>
  <c r="U175" i="40"/>
  <c r="U176" i="40"/>
  <c r="U177" i="40"/>
  <c r="U178" i="40"/>
  <c r="U179" i="40"/>
  <c r="U180" i="40"/>
  <c r="U181" i="40"/>
  <c r="U182" i="40"/>
  <c r="U183" i="40"/>
  <c r="U184" i="40"/>
  <c r="U185" i="40"/>
  <c r="U186" i="40"/>
  <c r="U187" i="40"/>
  <c r="U188" i="40"/>
  <c r="U189" i="40"/>
  <c r="U190" i="40"/>
  <c r="U191" i="40"/>
  <c r="U192" i="40"/>
  <c r="U193" i="40"/>
  <c r="U194" i="40"/>
  <c r="U195" i="40"/>
  <c r="U196" i="40"/>
  <c r="U197" i="40"/>
  <c r="U198" i="40"/>
  <c r="U199" i="40"/>
  <c r="U200" i="40"/>
  <c r="U201" i="40"/>
  <c r="U202" i="40"/>
  <c r="U203" i="40"/>
  <c r="U204" i="40"/>
  <c r="U205" i="40"/>
  <c r="U206" i="40"/>
  <c r="U207" i="40"/>
  <c r="U208" i="40"/>
  <c r="U209" i="40"/>
  <c r="U210" i="40"/>
  <c r="U211" i="40"/>
  <c r="U212" i="40"/>
  <c r="U213" i="40"/>
  <c r="U214" i="40"/>
  <c r="U215" i="40"/>
  <c r="U216" i="40"/>
  <c r="U217" i="40"/>
  <c r="U218" i="40"/>
  <c r="U219" i="40"/>
  <c r="U220" i="40"/>
  <c r="U221" i="40"/>
  <c r="U222" i="40"/>
  <c r="U223" i="40"/>
  <c r="U224" i="40"/>
  <c r="U225" i="40"/>
  <c r="U226" i="40"/>
  <c r="U227" i="40"/>
  <c r="U228" i="40"/>
  <c r="U229" i="40"/>
  <c r="U230" i="40"/>
  <c r="U231" i="40"/>
  <c r="U232" i="40"/>
  <c r="U233" i="40"/>
  <c r="U234" i="40"/>
  <c r="U235" i="40"/>
  <c r="U236" i="40"/>
  <c r="U237" i="40"/>
  <c r="U238" i="40"/>
  <c r="U239" i="40"/>
  <c r="U240" i="40"/>
  <c r="U241" i="40"/>
  <c r="U242" i="40"/>
  <c r="U243" i="40"/>
  <c r="U244" i="40"/>
  <c r="U245" i="40"/>
  <c r="U246" i="40"/>
  <c r="U247" i="40"/>
  <c r="U248" i="40"/>
  <c r="U249" i="40"/>
  <c r="U250" i="40"/>
  <c r="U251" i="40"/>
  <c r="U252" i="40"/>
  <c r="U253" i="40"/>
  <c r="U254" i="40"/>
  <c r="U255" i="40"/>
  <c r="U256" i="40"/>
  <c r="U257" i="40"/>
  <c r="U258" i="40"/>
  <c r="U259" i="40"/>
  <c r="U260" i="40"/>
  <c r="U261" i="40"/>
  <c r="U262" i="40"/>
  <c r="U263" i="40"/>
  <c r="U264" i="40"/>
  <c r="U265" i="40"/>
  <c r="U266" i="40"/>
  <c r="U267" i="40"/>
  <c r="U268" i="40"/>
  <c r="U269" i="40"/>
  <c r="U270" i="40"/>
  <c r="U271" i="40"/>
  <c r="U272" i="40"/>
  <c r="U273" i="40"/>
  <c r="U274" i="40"/>
  <c r="U275" i="40"/>
  <c r="U276" i="40"/>
  <c r="U277" i="40"/>
  <c r="U278" i="40"/>
  <c r="U279" i="40"/>
  <c r="U280" i="40"/>
  <c r="U281" i="40"/>
  <c r="U282" i="40"/>
  <c r="U283" i="40"/>
  <c r="U284" i="40"/>
  <c r="U285" i="40"/>
  <c r="U286" i="40"/>
  <c r="U287" i="40"/>
  <c r="U288" i="40"/>
  <c r="U289" i="40"/>
  <c r="U290" i="40"/>
  <c r="U291" i="40"/>
  <c r="U292" i="40"/>
  <c r="U293" i="40"/>
  <c r="U294" i="40"/>
  <c r="U295" i="40"/>
  <c r="U296" i="40"/>
  <c r="U297" i="40"/>
  <c r="U298" i="40"/>
  <c r="U299" i="40"/>
  <c r="U300" i="40"/>
  <c r="U301" i="40"/>
  <c r="U302" i="40"/>
  <c r="U303" i="40"/>
  <c r="U304" i="40"/>
  <c r="U305" i="40"/>
  <c r="U306" i="40"/>
  <c r="U307" i="40"/>
  <c r="U308" i="40"/>
  <c r="U309" i="40"/>
  <c r="U310" i="40"/>
  <c r="U311" i="40"/>
  <c r="U312" i="40"/>
  <c r="U313" i="40"/>
  <c r="U314" i="40"/>
  <c r="U315" i="40"/>
  <c r="U316" i="40"/>
  <c r="U317" i="40"/>
  <c r="U318" i="40"/>
  <c r="U319" i="40"/>
  <c r="U320" i="40"/>
  <c r="U321" i="40"/>
  <c r="U322" i="40"/>
  <c r="U323" i="40"/>
  <c r="U324" i="40"/>
  <c r="U325" i="40"/>
  <c r="U326" i="40"/>
  <c r="U327" i="40"/>
  <c r="U328" i="40"/>
  <c r="U329" i="40"/>
  <c r="U330" i="40"/>
  <c r="U331" i="40"/>
  <c r="U332" i="40"/>
  <c r="U333" i="40"/>
  <c r="U334" i="40"/>
  <c r="U335" i="40"/>
  <c r="U336" i="40"/>
  <c r="U337" i="40"/>
  <c r="U338" i="40"/>
  <c r="U339" i="40"/>
  <c r="U340" i="40"/>
  <c r="U341" i="40"/>
  <c r="U342" i="40"/>
  <c r="U343" i="40"/>
  <c r="U344" i="40"/>
  <c r="U345" i="40"/>
  <c r="U346" i="40"/>
  <c r="U347" i="40"/>
  <c r="U348" i="40"/>
  <c r="U349" i="40"/>
  <c r="U350" i="40"/>
  <c r="U351" i="40"/>
  <c r="U352" i="40"/>
  <c r="T12" i="40"/>
  <c r="T13" i="40"/>
  <c r="T23" i="40"/>
  <c r="T24" i="40"/>
  <c r="T34" i="40"/>
  <c r="T35" i="40"/>
  <c r="T45" i="40"/>
  <c r="T46" i="40"/>
  <c r="T56" i="40"/>
  <c r="T57" i="40"/>
  <c r="T67" i="40"/>
  <c r="T68" i="40"/>
  <c r="T78" i="40"/>
  <c r="T79" i="40"/>
  <c r="T89" i="40"/>
  <c r="T90" i="40"/>
  <c r="T100" i="40"/>
  <c r="T101" i="40"/>
  <c r="T111" i="40"/>
  <c r="T112" i="40"/>
  <c r="T122" i="40"/>
  <c r="T123" i="40"/>
  <c r="T133" i="40"/>
  <c r="T134" i="40"/>
  <c r="T144" i="40"/>
  <c r="T145" i="40"/>
  <c r="T155" i="40"/>
  <c r="T156" i="40"/>
  <c r="T166" i="40"/>
  <c r="T167" i="40"/>
  <c r="T177" i="40"/>
  <c r="T178" i="40"/>
  <c r="T188" i="40"/>
  <c r="T189" i="40"/>
  <c r="T190" i="40"/>
  <c r="V166" i="40"/>
  <c r="V167" i="40"/>
  <c r="V188" i="40"/>
  <c r="V189" i="40"/>
  <c r="V190" i="40"/>
  <c r="V12" i="40"/>
  <c r="V13" i="40"/>
  <c r="V23" i="40"/>
  <c r="V24" i="40"/>
  <c r="V34" i="40"/>
  <c r="V35" i="40"/>
  <c r="V45" i="40"/>
  <c r="V46" i="40"/>
  <c r="V56" i="40"/>
  <c r="V57" i="40"/>
  <c r="V67" i="40"/>
  <c r="V68" i="40"/>
  <c r="V78" i="40"/>
  <c r="V79" i="40"/>
  <c r="V89" i="40"/>
  <c r="V90" i="40"/>
  <c r="V100" i="40"/>
  <c r="V101" i="40"/>
  <c r="V111" i="40"/>
  <c r="V112" i="40"/>
  <c r="V122" i="40"/>
  <c r="V123" i="40"/>
  <c r="V133" i="40"/>
  <c r="V134" i="40"/>
  <c r="V144" i="40"/>
  <c r="V145" i="40"/>
  <c r="V155" i="40"/>
  <c r="V156" i="40"/>
  <c r="D321" i="40"/>
  <c r="T321" i="40" s="1"/>
  <c r="E321" i="40"/>
  <c r="D331" i="40"/>
  <c r="T331" i="40" s="1"/>
  <c r="E331" i="40"/>
  <c r="D332" i="40"/>
  <c r="T332" i="40" s="1"/>
  <c r="E332" i="40"/>
  <c r="D342" i="40"/>
  <c r="T342" i="40" s="1"/>
  <c r="E342" i="40"/>
  <c r="D343" i="40"/>
  <c r="V343" i="40" s="1"/>
  <c r="E343" i="40"/>
  <c r="D309" i="40"/>
  <c r="T309" i="40" s="1"/>
  <c r="E309" i="40"/>
  <c r="D310" i="40"/>
  <c r="V310" i="40" s="1"/>
  <c r="E310" i="40"/>
  <c r="D320" i="40"/>
  <c r="T320" i="40" s="1"/>
  <c r="E320" i="40"/>
  <c r="D199" i="40"/>
  <c r="T199" i="40" s="1"/>
  <c r="E199" i="40"/>
  <c r="D200" i="40"/>
  <c r="T200" i="40" s="1"/>
  <c r="E200" i="40"/>
  <c r="D210" i="40"/>
  <c r="T210" i="40" s="1"/>
  <c r="E210" i="40"/>
  <c r="D211" i="40"/>
  <c r="T211" i="40" s="1"/>
  <c r="E211" i="40"/>
  <c r="D221" i="40"/>
  <c r="V221" i="40" s="1"/>
  <c r="E221" i="40"/>
  <c r="D222" i="40"/>
  <c r="V222" i="40" s="1"/>
  <c r="E222" i="40"/>
  <c r="D232" i="40"/>
  <c r="E232" i="40"/>
  <c r="D233" i="40"/>
  <c r="V233" i="40" s="1"/>
  <c r="E233" i="40"/>
  <c r="D243" i="40"/>
  <c r="E243" i="40"/>
  <c r="D244" i="40"/>
  <c r="T244" i="40" s="1"/>
  <c r="E244" i="40"/>
  <c r="D254" i="40"/>
  <c r="T254" i="40" s="1"/>
  <c r="E254" i="40"/>
  <c r="D255" i="40"/>
  <c r="T255" i="40" s="1"/>
  <c r="E255" i="40"/>
  <c r="D265" i="40"/>
  <c r="T265" i="40" s="1"/>
  <c r="E265" i="40"/>
  <c r="D266" i="40"/>
  <c r="V266" i="40" s="1"/>
  <c r="E266" i="40"/>
  <c r="D276" i="40"/>
  <c r="T276" i="40" s="1"/>
  <c r="E276" i="40"/>
  <c r="D277" i="40"/>
  <c r="V277" i="40" s="1"/>
  <c r="E277" i="40"/>
  <c r="D287" i="40"/>
  <c r="T287" i="40" s="1"/>
  <c r="E287" i="40"/>
  <c r="D288" i="40"/>
  <c r="T288" i="40" s="1"/>
  <c r="E288" i="40"/>
  <c r="D298" i="40"/>
  <c r="E298" i="40"/>
  <c r="D299" i="40"/>
  <c r="T299" i="40" s="1"/>
  <c r="E299" i="40"/>
  <c r="V342" i="40"/>
  <c r="T266" i="40"/>
  <c r="V331" i="40"/>
  <c r="V288" i="40"/>
  <c r="V211" i="40"/>
  <c r="V244" i="40"/>
  <c r="T343" i="40"/>
  <c r="W156" i="40"/>
  <c r="W155" i="40"/>
  <c r="W145" i="40"/>
  <c r="W144" i="40"/>
  <c r="W134" i="40"/>
  <c r="W133" i="40"/>
  <c r="W123" i="40"/>
  <c r="W122" i="40"/>
  <c r="W112" i="40"/>
  <c r="W111" i="40"/>
  <c r="W101" i="40"/>
  <c r="W100" i="40"/>
  <c r="W90" i="40"/>
  <c r="W89" i="40"/>
  <c r="W79" i="40"/>
  <c r="W78" i="40"/>
  <c r="W68" i="40"/>
  <c r="W67" i="40"/>
  <c r="W57" i="40"/>
  <c r="W56" i="40"/>
  <c r="W46" i="40"/>
  <c r="W45" i="40"/>
  <c r="W35" i="40"/>
  <c r="W34" i="40"/>
  <c r="W24" i="40"/>
  <c r="W23" i="40"/>
  <c r="W13" i="40"/>
  <c r="W12" i="40"/>
  <c r="Z155" i="48"/>
  <c r="Z144" i="48"/>
  <c r="Z133" i="48"/>
  <c r="Z122" i="48"/>
  <c r="Z111" i="48"/>
  <c r="Z100" i="48"/>
  <c r="Z89" i="48"/>
  <c r="Z78" i="48"/>
  <c r="Z67" i="48"/>
  <c r="Z56" i="48"/>
  <c r="Z45" i="48"/>
  <c r="Z34" i="48"/>
  <c r="Z23" i="48"/>
  <c r="Z12" i="48"/>
  <c r="Z165" i="49"/>
  <c r="Z164" i="49"/>
  <c r="Z163" i="49"/>
  <c r="Z162" i="49"/>
  <c r="Z161" i="49"/>
  <c r="Z160" i="49"/>
  <c r="Z159" i="49"/>
  <c r="Z158" i="49"/>
  <c r="Z157" i="49"/>
  <c r="Z156" i="49"/>
  <c r="Z155" i="49"/>
  <c r="Z154" i="49"/>
  <c r="Z153" i="49"/>
  <c r="Z152" i="49"/>
  <c r="Z151" i="49"/>
  <c r="Z150" i="49"/>
  <c r="Z149" i="49"/>
  <c r="Z148" i="49"/>
  <c r="Z147" i="49"/>
  <c r="Z146" i="49"/>
  <c r="Z145" i="49"/>
  <c r="Z144" i="49"/>
  <c r="Z143" i="49"/>
  <c r="Z142" i="49"/>
  <c r="Z141" i="49"/>
  <c r="Z140" i="49"/>
  <c r="Z139" i="49"/>
  <c r="Z138" i="49"/>
  <c r="Z137" i="49"/>
  <c r="Z136" i="49"/>
  <c r="Z135" i="49"/>
  <c r="Z134" i="49"/>
  <c r="Z133" i="49"/>
  <c r="Z132" i="49"/>
  <c r="Z131" i="49"/>
  <c r="Z130" i="49"/>
  <c r="Z129" i="49"/>
  <c r="Z128" i="49"/>
  <c r="Z127" i="49"/>
  <c r="Z126" i="49"/>
  <c r="Z125" i="49"/>
  <c r="Z124" i="49"/>
  <c r="Z123" i="49"/>
  <c r="Z122" i="49"/>
  <c r="Z111" i="49"/>
  <c r="Z100" i="49"/>
  <c r="Z89" i="49"/>
  <c r="Z78" i="49"/>
  <c r="Z67" i="49"/>
  <c r="Z56" i="49"/>
  <c r="Z45" i="49"/>
  <c r="Z34" i="49"/>
  <c r="Z23" i="49"/>
  <c r="Z12" i="49"/>
  <c r="Z165" i="50"/>
  <c r="Z164" i="50"/>
  <c r="Z163" i="50"/>
  <c r="Z162" i="50"/>
  <c r="Z161" i="50"/>
  <c r="Z160" i="50"/>
  <c r="Z159" i="50"/>
  <c r="Z158" i="50"/>
  <c r="Z157" i="50"/>
  <c r="Z156" i="50"/>
  <c r="Z155" i="50"/>
  <c r="Z154" i="50"/>
  <c r="Z153" i="50"/>
  <c r="Z152" i="50"/>
  <c r="Z151" i="50"/>
  <c r="Z150" i="50"/>
  <c r="Z149" i="50"/>
  <c r="Z148" i="50"/>
  <c r="Z147" i="50"/>
  <c r="Z146" i="50"/>
  <c r="Z145" i="50"/>
  <c r="Z144" i="50"/>
  <c r="Z143" i="50"/>
  <c r="Z142" i="50"/>
  <c r="Z141" i="50"/>
  <c r="Z140" i="50"/>
  <c r="Z139" i="50"/>
  <c r="Z138" i="50"/>
  <c r="Z137" i="50"/>
  <c r="Z136" i="50"/>
  <c r="Z135" i="50"/>
  <c r="Z134" i="50"/>
  <c r="Z133" i="50"/>
  <c r="Z132" i="50"/>
  <c r="Z131" i="50"/>
  <c r="Z130" i="50"/>
  <c r="Z129" i="50"/>
  <c r="Z128" i="50"/>
  <c r="Z127" i="50"/>
  <c r="Z126" i="50"/>
  <c r="Z125" i="50"/>
  <c r="Z124" i="50"/>
  <c r="Z123" i="50"/>
  <c r="Z122" i="50"/>
  <c r="Z111" i="50"/>
  <c r="Z100" i="50"/>
  <c r="Z89" i="50"/>
  <c r="Z78" i="50"/>
  <c r="Z67" i="50"/>
  <c r="Z56" i="50"/>
  <c r="Z45" i="50"/>
  <c r="Z34" i="50"/>
  <c r="Z23" i="50"/>
  <c r="Z12" i="50"/>
  <c r="Z155" i="40"/>
  <c r="Z144" i="40"/>
  <c r="Z133" i="40"/>
  <c r="Z122" i="40"/>
  <c r="Z111" i="40"/>
  <c r="Z100" i="40"/>
  <c r="Z89" i="40"/>
  <c r="Z78" i="40"/>
  <c r="Z67" i="40"/>
  <c r="Z56" i="40"/>
  <c r="Z45" i="40"/>
  <c r="Z34" i="40"/>
  <c r="Z23" i="40"/>
  <c r="Z12" i="40"/>
  <c r="U5" i="19"/>
  <c r="U6" i="19"/>
  <c r="U7" i="19"/>
  <c r="U8" i="19"/>
  <c r="U9" i="19"/>
  <c r="U10" i="19"/>
  <c r="U11" i="19"/>
  <c r="U4" i="19"/>
  <c r="T5" i="19"/>
  <c r="T6" i="19"/>
  <c r="T7" i="19"/>
  <c r="T8" i="19"/>
  <c r="T9" i="19"/>
  <c r="T10" i="19"/>
  <c r="T4" i="19"/>
  <c r="N163" i="14"/>
  <c r="N131" i="14"/>
  <c r="N99" i="14"/>
  <c r="N67" i="14"/>
  <c r="N35" i="14"/>
  <c r="N3" i="14"/>
  <c r="O483" i="6"/>
  <c r="O451" i="6"/>
  <c r="O419" i="6"/>
  <c r="O387" i="6"/>
  <c r="O355" i="6"/>
  <c r="O323" i="6"/>
  <c r="O291" i="6"/>
  <c r="O259" i="6"/>
  <c r="O227" i="6"/>
  <c r="O195" i="6"/>
  <c r="O163" i="6"/>
  <c r="O131" i="6"/>
  <c r="O99" i="6"/>
  <c r="O67" i="6"/>
  <c r="O35" i="6"/>
  <c r="O3" i="6"/>
  <c r="J50" i="34"/>
  <c r="J48" i="34"/>
  <c r="J46" i="34"/>
  <c r="J44" i="34"/>
  <c r="J42" i="34"/>
  <c r="J40" i="34"/>
  <c r="S641" i="44"/>
  <c r="R641" i="44"/>
  <c r="Q641" i="44"/>
  <c r="P641" i="44"/>
  <c r="S640" i="44"/>
  <c r="R640" i="44"/>
  <c r="Q640" i="44"/>
  <c r="P640" i="44"/>
  <c r="S639" i="44"/>
  <c r="R639" i="44"/>
  <c r="Q639" i="44"/>
  <c r="P639" i="44"/>
  <c r="AE586" i="44"/>
  <c r="Q586" i="44" s="1"/>
  <c r="AD586" i="44"/>
  <c r="P586" i="44" s="1"/>
  <c r="AE585" i="44"/>
  <c r="Q585" i="44" s="1"/>
  <c r="AD585" i="44"/>
  <c r="P585" i="44" s="1"/>
  <c r="AE584" i="44"/>
  <c r="Q584" i="44" s="1"/>
  <c r="AD584" i="44"/>
  <c r="P584" i="44" s="1"/>
  <c r="AD628" i="44"/>
  <c r="P628" i="44" s="1"/>
  <c r="A1" i="44"/>
  <c r="B1" i="44"/>
  <c r="A16" i="44"/>
  <c r="A27" i="44" s="1"/>
  <c r="A38" i="44" s="1"/>
  <c r="A49" i="44" s="1"/>
  <c r="A60" i="44" s="1"/>
  <c r="A71" i="44" s="1"/>
  <c r="A82" i="44" s="1"/>
  <c r="A93" i="44" s="1"/>
  <c r="A104" i="44" s="1"/>
  <c r="A115" i="44" s="1"/>
  <c r="A126" i="44" s="1"/>
  <c r="A137" i="44" s="1"/>
  <c r="A148" i="44" s="1"/>
  <c r="A159" i="44" s="1"/>
  <c r="A170" i="44" s="1"/>
  <c r="A181" i="44" s="1"/>
  <c r="A192" i="44" s="1"/>
  <c r="A203" i="44" s="1"/>
  <c r="A214" i="44" s="1"/>
  <c r="A225" i="44" s="1"/>
  <c r="A236" i="44" s="1"/>
  <c r="A247" i="44" s="1"/>
  <c r="A258" i="44" s="1"/>
  <c r="A346" i="44"/>
  <c r="A357" i="44" s="1"/>
  <c r="A368" i="44" s="1"/>
  <c r="A379" i="44" s="1"/>
  <c r="A390" i="44" s="1"/>
  <c r="A401" i="44" s="1"/>
  <c r="A412" i="44" s="1"/>
  <c r="A423" i="44" s="1"/>
  <c r="A434" i="44" s="1"/>
  <c r="A445" i="44" s="1"/>
  <c r="A456" i="44" s="1"/>
  <c r="A467" i="44" s="1"/>
  <c r="A478" i="44" s="1"/>
  <c r="A489" i="44" s="1"/>
  <c r="A500" i="44" s="1"/>
  <c r="A511" i="44" s="1"/>
  <c r="A522" i="44" s="1"/>
  <c r="A533" i="44" s="1"/>
  <c r="A544" i="44" s="1"/>
  <c r="A555" i="44" s="1"/>
  <c r="A566" i="44" s="1"/>
  <c r="A574" i="44"/>
  <c r="A578" i="44"/>
  <c r="A585" i="44"/>
  <c r="A596" i="44"/>
  <c r="A607" i="44"/>
  <c r="B607" i="44" s="1"/>
  <c r="A615" i="44" s="1"/>
  <c r="A618" i="44"/>
  <c r="A625" i="44" s="1"/>
  <c r="A629" i="44"/>
  <c r="A591" i="44"/>
  <c r="A594" i="44"/>
  <c r="A590" i="44"/>
  <c r="A611" i="44"/>
  <c r="H607" i="44"/>
  <c r="B585" i="44"/>
  <c r="A593" i="44" s="1"/>
  <c r="B574" i="44"/>
  <c r="A582" i="44" s="1"/>
  <c r="A636" i="44"/>
  <c r="A616" i="44"/>
  <c r="A613" i="44"/>
  <c r="A614" i="44"/>
  <c r="A633" i="44"/>
  <c r="A631" i="44"/>
  <c r="A612" i="44"/>
  <c r="H4" i="44"/>
  <c r="H5" i="44"/>
  <c r="H6" i="44"/>
  <c r="H7" i="44"/>
  <c r="H8" i="44"/>
  <c r="H9" i="44"/>
  <c r="H10" i="44"/>
  <c r="H11" i="44"/>
  <c r="A105" i="7"/>
  <c r="H263" i="4"/>
  <c r="A263" i="4" s="1"/>
  <c r="H266" i="4"/>
  <c r="A266" i="4" s="1"/>
  <c r="N13" i="5"/>
  <c r="A81" i="50"/>
  <c r="A81" i="43"/>
  <c r="A81" i="49"/>
  <c r="A81" i="42"/>
  <c r="A92" i="48"/>
  <c r="A92" i="41"/>
  <c r="A92" i="47"/>
  <c r="A92" i="40"/>
  <c r="E109" i="18"/>
  <c r="E73" i="18"/>
  <c r="E37" i="18"/>
  <c r="E1" i="18"/>
  <c r="U641" i="44"/>
  <c r="T641" i="44"/>
  <c r="U640" i="44"/>
  <c r="T640" i="44"/>
  <c r="U639" i="44"/>
  <c r="T639" i="44"/>
  <c r="AG628" i="44"/>
  <c r="S628" i="44" s="1"/>
  <c r="AF628" i="44"/>
  <c r="R628" i="44" s="1"/>
  <c r="AE628" i="44"/>
  <c r="Q628" i="44" s="1"/>
  <c r="Q573" i="44"/>
  <c r="Q564" i="44"/>
  <c r="Q563" i="44"/>
  <c r="Q562" i="44"/>
  <c r="Q553" i="44"/>
  <c r="Q552" i="44"/>
  <c r="Q551" i="44"/>
  <c r="Q542" i="44"/>
  <c r="Q541" i="44"/>
  <c r="Q540" i="44"/>
  <c r="Q531" i="44"/>
  <c r="Q530" i="44"/>
  <c r="Q529" i="44"/>
  <c r="Q520" i="44"/>
  <c r="Q519" i="44"/>
  <c r="Q518" i="44"/>
  <c r="Q509" i="44"/>
  <c r="Q508" i="44"/>
  <c r="Q507" i="44"/>
  <c r="Q498" i="44"/>
  <c r="Q497" i="44"/>
  <c r="Q496" i="44"/>
  <c r="Q487" i="44"/>
  <c r="Q486" i="44"/>
  <c r="Q485" i="44"/>
  <c r="Q476" i="44"/>
  <c r="Q475" i="44"/>
  <c r="Q474" i="44"/>
  <c r="Q465" i="44"/>
  <c r="Q464" i="44"/>
  <c r="Q463" i="44"/>
  <c r="Q454" i="44"/>
  <c r="Q453" i="44"/>
  <c r="Q452" i="44"/>
  <c r="Q443" i="44"/>
  <c r="Q442" i="44"/>
  <c r="Q441" i="44"/>
  <c r="Q432" i="44"/>
  <c r="Q431" i="44"/>
  <c r="Q430" i="44"/>
  <c r="Q421" i="44"/>
  <c r="Q420" i="44"/>
  <c r="Q419" i="44"/>
  <c r="Q410" i="44"/>
  <c r="Q409" i="44"/>
  <c r="Q408" i="44"/>
  <c r="Q399" i="44"/>
  <c r="Q398" i="44"/>
  <c r="Q397" i="44"/>
  <c r="Q388" i="44"/>
  <c r="Q387" i="44"/>
  <c r="Q386" i="44"/>
  <c r="Q377" i="44"/>
  <c r="Q376" i="44"/>
  <c r="Q375" i="44"/>
  <c r="Q366" i="44"/>
  <c r="Q365" i="44"/>
  <c r="Q364" i="44"/>
  <c r="Q355" i="44"/>
  <c r="Q354" i="44"/>
  <c r="Q353" i="44"/>
  <c r="Q344" i="44"/>
  <c r="Q343" i="44"/>
  <c r="W342" i="44"/>
  <c r="V342" i="44"/>
  <c r="Q342" i="44"/>
  <c r="Q333" i="44"/>
  <c r="Q332" i="44"/>
  <c r="Q331" i="44"/>
  <c r="Q322" i="44"/>
  <c r="Q321" i="44"/>
  <c r="Q320" i="44"/>
  <c r="Q311" i="44"/>
  <c r="Q310" i="44"/>
  <c r="Q309" i="44"/>
  <c r="Q300" i="44"/>
  <c r="Q299" i="44"/>
  <c r="Q298" i="44"/>
  <c r="Q289" i="44"/>
  <c r="Q288" i="44"/>
  <c r="Q287" i="44"/>
  <c r="Q278" i="44"/>
  <c r="Q277" i="44"/>
  <c r="Q276" i="44"/>
  <c r="Q267" i="44"/>
  <c r="Q266" i="44"/>
  <c r="Q244" i="44"/>
  <c r="Q233" i="44"/>
  <c r="Q232" i="44"/>
  <c r="Q223" i="44"/>
  <c r="Q222" i="44"/>
  <c r="Q221" i="44"/>
  <c r="Q212" i="44"/>
  <c r="Q211" i="44"/>
  <c r="Q210" i="44"/>
  <c r="Q201" i="44"/>
  <c r="Q200" i="44"/>
  <c r="Q189" i="44"/>
  <c r="Q178" i="44"/>
  <c r="Q167" i="44"/>
  <c r="Q156" i="44"/>
  <c r="Q145" i="44"/>
  <c r="Q134" i="44"/>
  <c r="Q133" i="44"/>
  <c r="Q124" i="44"/>
  <c r="Q123" i="44"/>
  <c r="Q122" i="44"/>
  <c r="Q113" i="44"/>
  <c r="Q112" i="44"/>
  <c r="Q111" i="44"/>
  <c r="Q102" i="44"/>
  <c r="Q101" i="44"/>
  <c r="Q100" i="44"/>
  <c r="Q91" i="44"/>
  <c r="Q90" i="44"/>
  <c r="Q89" i="44"/>
  <c r="Q80" i="44"/>
  <c r="Q79" i="44"/>
  <c r="Q78" i="44"/>
  <c r="Q69" i="44"/>
  <c r="Q68" i="44"/>
  <c r="Q67" i="44"/>
  <c r="Q58" i="44"/>
  <c r="Q57" i="44"/>
  <c r="Q56" i="44"/>
  <c r="Q47" i="44"/>
  <c r="Q46" i="44"/>
  <c r="Q45" i="44"/>
  <c r="Q36" i="44"/>
  <c r="Q35" i="44"/>
  <c r="Q34" i="44"/>
  <c r="Q25" i="44"/>
  <c r="Q24" i="44"/>
  <c r="Q23" i="44"/>
  <c r="Q14" i="44"/>
  <c r="Q13" i="44"/>
  <c r="Q12" i="44"/>
  <c r="Q3" i="44"/>
  <c r="P3" i="44"/>
  <c r="Q2" i="44"/>
  <c r="P2" i="44"/>
  <c r="U342" i="44"/>
  <c r="AA342" i="44"/>
  <c r="A50" i="7"/>
  <c r="DK60" i="1"/>
  <c r="DJ60" i="1"/>
  <c r="DI60" i="1"/>
  <c r="DH60" i="1"/>
  <c r="DG60" i="1"/>
  <c r="DK59" i="1"/>
  <c r="DJ59" i="1"/>
  <c r="DI59" i="1"/>
  <c r="DH59" i="1"/>
  <c r="DG59" i="1"/>
  <c r="DK58" i="1"/>
  <c r="DJ58" i="1"/>
  <c r="DI58" i="1"/>
  <c r="DH58" i="1"/>
  <c r="DG58" i="1"/>
  <c r="DK57" i="1"/>
  <c r="DJ57" i="1"/>
  <c r="DI57" i="1"/>
  <c r="DH57" i="1"/>
  <c r="DG57" i="1"/>
  <c r="DK56" i="1"/>
  <c r="DJ56" i="1"/>
  <c r="DI56" i="1"/>
  <c r="DH56" i="1"/>
  <c r="DG56" i="1"/>
  <c r="DK55" i="1"/>
  <c r="DJ55" i="1"/>
  <c r="DI55" i="1"/>
  <c r="DH55" i="1"/>
  <c r="DG55" i="1"/>
  <c r="DK54" i="1"/>
  <c r="DJ54" i="1"/>
  <c r="DI54" i="1"/>
  <c r="DH54" i="1"/>
  <c r="DG54" i="1"/>
  <c r="DK53" i="1"/>
  <c r="DJ53" i="1"/>
  <c r="DI53" i="1"/>
  <c r="DH53" i="1"/>
  <c r="DG53" i="1"/>
  <c r="DK52" i="1"/>
  <c r="DJ52" i="1"/>
  <c r="DI52" i="1"/>
  <c r="DH52" i="1"/>
  <c r="DG52" i="1"/>
  <c r="DK51" i="1"/>
  <c r="DJ51" i="1"/>
  <c r="DI51" i="1"/>
  <c r="DH51" i="1"/>
  <c r="DG51" i="1"/>
  <c r="DK50" i="1"/>
  <c r="DJ50" i="1"/>
  <c r="DI50" i="1"/>
  <c r="DH50" i="1"/>
  <c r="DG50" i="1"/>
  <c r="DK49" i="1"/>
  <c r="DJ49" i="1"/>
  <c r="DI49" i="1"/>
  <c r="DH49" i="1"/>
  <c r="DG49" i="1"/>
  <c r="DK48" i="1"/>
  <c r="DJ48" i="1"/>
  <c r="DI48" i="1"/>
  <c r="DH48" i="1"/>
  <c r="DG48" i="1"/>
  <c r="DK47" i="1"/>
  <c r="DJ47" i="1"/>
  <c r="DI47" i="1"/>
  <c r="DH47" i="1"/>
  <c r="DG47" i="1"/>
  <c r="DK46" i="1"/>
  <c r="DJ46" i="1"/>
  <c r="DI46" i="1"/>
  <c r="DH46" i="1"/>
  <c r="DG46" i="1"/>
  <c r="DK45" i="1"/>
  <c r="DJ45" i="1"/>
  <c r="DI45" i="1"/>
  <c r="DH45" i="1"/>
  <c r="DG45" i="1"/>
  <c r="DK44" i="1"/>
  <c r="DJ44" i="1"/>
  <c r="DI44" i="1"/>
  <c r="DH44" i="1"/>
  <c r="DG44" i="1"/>
  <c r="DK43" i="1"/>
  <c r="DJ43" i="1"/>
  <c r="DI43" i="1"/>
  <c r="DH43" i="1"/>
  <c r="DG43" i="1"/>
  <c r="DK41" i="1"/>
  <c r="DJ41" i="1"/>
  <c r="DI41" i="1"/>
  <c r="DH41" i="1"/>
  <c r="DG41" i="1"/>
  <c r="DK40" i="1"/>
  <c r="DJ40" i="1"/>
  <c r="DI40" i="1"/>
  <c r="DH40" i="1"/>
  <c r="DG40" i="1"/>
  <c r="DK39" i="1"/>
  <c r="DJ39" i="1"/>
  <c r="DI39" i="1"/>
  <c r="DH39" i="1"/>
  <c r="DG39" i="1"/>
  <c r="DK38" i="1"/>
  <c r="DJ38" i="1"/>
  <c r="DI38" i="1"/>
  <c r="DH38" i="1"/>
  <c r="DG38" i="1"/>
  <c r="DK36" i="1"/>
  <c r="DJ36" i="1"/>
  <c r="DI36" i="1"/>
  <c r="DH36" i="1"/>
  <c r="DG36" i="1"/>
  <c r="DK35" i="1"/>
  <c r="DJ35" i="1"/>
  <c r="DI35" i="1"/>
  <c r="DH35" i="1"/>
  <c r="DG35" i="1"/>
  <c r="DK34" i="1"/>
  <c r="DJ34" i="1"/>
  <c r="DI34" i="1"/>
  <c r="DH34" i="1"/>
  <c r="DG34" i="1"/>
  <c r="DK32" i="1"/>
  <c r="DJ32" i="1"/>
  <c r="DI32" i="1"/>
  <c r="DH32" i="1"/>
  <c r="DG32" i="1"/>
  <c r="DK31" i="1"/>
  <c r="DJ31" i="1"/>
  <c r="DI31" i="1"/>
  <c r="DH31" i="1"/>
  <c r="DG31" i="1"/>
  <c r="DK30" i="1"/>
  <c r="DJ30" i="1"/>
  <c r="DI30" i="1"/>
  <c r="DH30" i="1"/>
  <c r="DG30" i="1"/>
  <c r="DK29" i="1"/>
  <c r="DJ29" i="1"/>
  <c r="DI29" i="1"/>
  <c r="DH29" i="1"/>
  <c r="DG29" i="1"/>
  <c r="DK28" i="1"/>
  <c r="DJ28" i="1"/>
  <c r="DI28" i="1"/>
  <c r="DH28" i="1"/>
  <c r="DG28" i="1"/>
  <c r="DK26" i="1"/>
  <c r="DJ26" i="1"/>
  <c r="DI26" i="1"/>
  <c r="DH26" i="1"/>
  <c r="DG26" i="1"/>
  <c r="DK25" i="1"/>
  <c r="DJ25" i="1"/>
  <c r="DI25" i="1"/>
  <c r="DH25" i="1"/>
  <c r="DG25" i="1"/>
  <c r="DK24" i="1"/>
  <c r="DJ24" i="1"/>
  <c r="DI24" i="1"/>
  <c r="DH24" i="1"/>
  <c r="DG24" i="1"/>
  <c r="DK23" i="1"/>
  <c r="DJ23" i="1"/>
  <c r="DI23" i="1"/>
  <c r="DH23" i="1"/>
  <c r="DG23" i="1"/>
  <c r="DK22" i="1"/>
  <c r="DJ22" i="1"/>
  <c r="DI22" i="1"/>
  <c r="DH22" i="1"/>
  <c r="DG22" i="1"/>
  <c r="DK21" i="1"/>
  <c r="DJ21" i="1"/>
  <c r="DI21" i="1"/>
  <c r="DH21" i="1"/>
  <c r="DG21" i="1"/>
  <c r="DK20" i="1"/>
  <c r="DJ20" i="1"/>
  <c r="DI20" i="1"/>
  <c r="DH20" i="1"/>
  <c r="DG20" i="1"/>
  <c r="DK18" i="1"/>
  <c r="DJ18" i="1"/>
  <c r="DI18" i="1"/>
  <c r="DH18" i="1"/>
  <c r="DG18" i="1"/>
  <c r="DK17" i="1"/>
  <c r="DJ17" i="1"/>
  <c r="DI17" i="1"/>
  <c r="DH17" i="1"/>
  <c r="DG17" i="1"/>
  <c r="DK16" i="1"/>
  <c r="DJ16" i="1"/>
  <c r="DI16" i="1"/>
  <c r="DH16" i="1"/>
  <c r="DG16" i="1"/>
  <c r="DK15" i="1"/>
  <c r="DJ15" i="1"/>
  <c r="DI15" i="1"/>
  <c r="DH15" i="1"/>
  <c r="DG15" i="1"/>
  <c r="DK14" i="1"/>
  <c r="DJ14" i="1"/>
  <c r="DI14" i="1"/>
  <c r="DH14" i="1"/>
  <c r="DG14" i="1"/>
  <c r="DK13" i="1"/>
  <c r="DJ13" i="1"/>
  <c r="DI13" i="1"/>
  <c r="DH13" i="1"/>
  <c r="DG13" i="1"/>
  <c r="DK12" i="1"/>
  <c r="DJ12" i="1"/>
  <c r="DI12" i="1"/>
  <c r="DH12" i="1"/>
  <c r="DG12" i="1"/>
  <c r="DK10" i="1"/>
  <c r="DJ10" i="1"/>
  <c r="DI10" i="1"/>
  <c r="DH10" i="1"/>
  <c r="DG10" i="1"/>
  <c r="DK9" i="1"/>
  <c r="DJ9" i="1"/>
  <c r="DI9" i="1"/>
  <c r="DH9" i="1"/>
  <c r="DG9" i="1"/>
  <c r="DK8" i="1"/>
  <c r="DJ8" i="1"/>
  <c r="DI8" i="1"/>
  <c r="DH8" i="1"/>
  <c r="DG8" i="1"/>
  <c r="DK6" i="1"/>
  <c r="DJ6" i="1"/>
  <c r="DI6" i="1"/>
  <c r="DH6" i="1"/>
  <c r="DG6" i="1"/>
  <c r="DK5" i="1"/>
  <c r="DJ5" i="1"/>
  <c r="DI5" i="1"/>
  <c r="DH5" i="1"/>
  <c r="DG5" i="1"/>
  <c r="DK4" i="1"/>
  <c r="DJ4" i="1"/>
  <c r="DI4" i="1"/>
  <c r="DH4" i="1"/>
  <c r="DG4" i="1"/>
  <c r="DF60" i="1"/>
  <c r="DE60" i="1"/>
  <c r="DD60" i="1"/>
  <c r="DC60" i="1"/>
  <c r="DB60" i="1"/>
  <c r="DF59" i="1"/>
  <c r="DE59" i="1"/>
  <c r="DD59" i="1"/>
  <c r="DC59" i="1"/>
  <c r="DB59" i="1"/>
  <c r="DF58" i="1"/>
  <c r="DE58" i="1"/>
  <c r="DD58" i="1"/>
  <c r="DC58" i="1"/>
  <c r="DB58" i="1"/>
  <c r="DF57" i="1"/>
  <c r="DE57" i="1"/>
  <c r="DD57" i="1"/>
  <c r="DC57" i="1"/>
  <c r="DB57" i="1"/>
  <c r="DF56" i="1"/>
  <c r="DE56" i="1"/>
  <c r="DD56" i="1"/>
  <c r="DC56" i="1"/>
  <c r="DB56" i="1"/>
  <c r="DF55" i="1"/>
  <c r="DE55" i="1"/>
  <c r="DD55" i="1"/>
  <c r="DC55" i="1"/>
  <c r="DB55" i="1"/>
  <c r="DF54" i="1"/>
  <c r="DE54" i="1"/>
  <c r="DD54" i="1"/>
  <c r="DC54" i="1"/>
  <c r="DB54" i="1"/>
  <c r="DF53" i="1"/>
  <c r="DE53" i="1"/>
  <c r="DD53" i="1"/>
  <c r="DC53" i="1"/>
  <c r="DB53" i="1"/>
  <c r="DF52" i="1"/>
  <c r="DE52" i="1"/>
  <c r="DD52" i="1"/>
  <c r="DC52" i="1"/>
  <c r="DB52" i="1"/>
  <c r="DF51" i="1"/>
  <c r="DE51" i="1"/>
  <c r="DD51" i="1"/>
  <c r="DC51" i="1"/>
  <c r="DB51" i="1"/>
  <c r="DF50" i="1"/>
  <c r="DE50" i="1"/>
  <c r="DD50" i="1"/>
  <c r="DC50" i="1"/>
  <c r="DB50" i="1"/>
  <c r="DF49" i="1"/>
  <c r="DE49" i="1"/>
  <c r="DD49" i="1"/>
  <c r="DC49" i="1"/>
  <c r="DB49" i="1"/>
  <c r="DF48" i="1"/>
  <c r="DE48" i="1"/>
  <c r="DD48" i="1"/>
  <c r="DC48" i="1"/>
  <c r="DB48" i="1"/>
  <c r="DF47" i="1"/>
  <c r="DE47" i="1"/>
  <c r="DD47" i="1"/>
  <c r="DC47" i="1"/>
  <c r="DB47" i="1"/>
  <c r="DF46" i="1"/>
  <c r="DE46" i="1"/>
  <c r="DD46" i="1"/>
  <c r="DC46" i="1"/>
  <c r="DB46" i="1"/>
  <c r="DF45" i="1"/>
  <c r="DE45" i="1"/>
  <c r="DD45" i="1"/>
  <c r="DC45" i="1"/>
  <c r="DB45" i="1"/>
  <c r="DF44" i="1"/>
  <c r="DE44" i="1"/>
  <c r="DD44" i="1"/>
  <c r="DC44" i="1"/>
  <c r="DB44" i="1"/>
  <c r="DF43" i="1"/>
  <c r="DE43" i="1"/>
  <c r="DD43" i="1"/>
  <c r="DC43" i="1"/>
  <c r="DB43" i="1"/>
  <c r="DF41" i="1"/>
  <c r="DE41" i="1"/>
  <c r="DD41" i="1"/>
  <c r="DC41" i="1"/>
  <c r="DB41" i="1"/>
  <c r="DF40" i="1"/>
  <c r="DE40" i="1"/>
  <c r="DD40" i="1"/>
  <c r="DC40" i="1"/>
  <c r="DB40" i="1"/>
  <c r="DF39" i="1"/>
  <c r="DE39" i="1"/>
  <c r="DD39" i="1"/>
  <c r="DC39" i="1"/>
  <c r="DB39" i="1"/>
  <c r="DF38" i="1"/>
  <c r="DE38" i="1"/>
  <c r="DD38" i="1"/>
  <c r="DC38" i="1"/>
  <c r="DB38" i="1"/>
  <c r="DF36" i="1"/>
  <c r="DE36" i="1"/>
  <c r="DD36" i="1"/>
  <c r="DC36" i="1"/>
  <c r="DB36" i="1"/>
  <c r="DF35" i="1"/>
  <c r="DE35" i="1"/>
  <c r="DD35" i="1"/>
  <c r="DC35" i="1"/>
  <c r="DB35" i="1"/>
  <c r="DF34" i="1"/>
  <c r="DE34" i="1"/>
  <c r="DD34" i="1"/>
  <c r="DC34" i="1"/>
  <c r="DB34" i="1"/>
  <c r="DF32" i="1"/>
  <c r="DE32" i="1"/>
  <c r="DD32" i="1"/>
  <c r="DC32" i="1"/>
  <c r="DB32" i="1"/>
  <c r="DF31" i="1"/>
  <c r="DE31" i="1"/>
  <c r="DD31" i="1"/>
  <c r="DC31" i="1"/>
  <c r="DB31" i="1"/>
  <c r="DF30" i="1"/>
  <c r="DE30" i="1"/>
  <c r="DD30" i="1"/>
  <c r="DC30" i="1"/>
  <c r="DB30" i="1"/>
  <c r="DF29" i="1"/>
  <c r="DE29" i="1"/>
  <c r="DD29" i="1"/>
  <c r="DC29" i="1"/>
  <c r="DB29" i="1"/>
  <c r="DF28" i="1"/>
  <c r="DE28" i="1"/>
  <c r="DD28" i="1"/>
  <c r="DC28" i="1"/>
  <c r="DB28" i="1"/>
  <c r="DF26" i="1"/>
  <c r="DE26" i="1"/>
  <c r="DD26" i="1"/>
  <c r="DC26" i="1"/>
  <c r="DB26" i="1"/>
  <c r="DF25" i="1"/>
  <c r="DE25" i="1"/>
  <c r="DD25" i="1"/>
  <c r="DC25" i="1"/>
  <c r="DB25" i="1"/>
  <c r="DF24" i="1"/>
  <c r="DE24" i="1"/>
  <c r="DD24" i="1"/>
  <c r="DC24" i="1"/>
  <c r="DB24" i="1"/>
  <c r="DF23" i="1"/>
  <c r="DE23" i="1"/>
  <c r="DD23" i="1"/>
  <c r="DC23" i="1"/>
  <c r="DB23" i="1"/>
  <c r="DF22" i="1"/>
  <c r="DE22" i="1"/>
  <c r="DD22" i="1"/>
  <c r="DC22" i="1"/>
  <c r="DB22" i="1"/>
  <c r="DF21" i="1"/>
  <c r="DE21" i="1"/>
  <c r="DD21" i="1"/>
  <c r="DC21" i="1"/>
  <c r="DB21" i="1"/>
  <c r="DF20" i="1"/>
  <c r="DE20" i="1"/>
  <c r="DD20" i="1"/>
  <c r="DC20" i="1"/>
  <c r="DB20" i="1"/>
  <c r="DF18" i="1"/>
  <c r="DE18" i="1"/>
  <c r="DD18" i="1"/>
  <c r="DC18" i="1"/>
  <c r="DB18" i="1"/>
  <c r="DF17" i="1"/>
  <c r="DE17" i="1"/>
  <c r="DD17" i="1"/>
  <c r="DC17" i="1"/>
  <c r="DB17" i="1"/>
  <c r="DF16" i="1"/>
  <c r="DE16" i="1"/>
  <c r="DD16" i="1"/>
  <c r="DC16" i="1"/>
  <c r="DB16" i="1"/>
  <c r="DF15" i="1"/>
  <c r="DE15" i="1"/>
  <c r="DD15" i="1"/>
  <c r="DC15" i="1"/>
  <c r="DB15" i="1"/>
  <c r="DF14" i="1"/>
  <c r="DE14" i="1"/>
  <c r="DD14" i="1"/>
  <c r="DC14" i="1"/>
  <c r="DB14" i="1"/>
  <c r="DF13" i="1"/>
  <c r="DE13" i="1"/>
  <c r="DD13" i="1"/>
  <c r="DC13" i="1"/>
  <c r="DB13" i="1"/>
  <c r="DF12" i="1"/>
  <c r="DE12" i="1"/>
  <c r="DD12" i="1"/>
  <c r="DC12" i="1"/>
  <c r="DB12" i="1"/>
  <c r="DF10" i="1"/>
  <c r="DE10" i="1"/>
  <c r="DD10" i="1"/>
  <c r="DC10" i="1"/>
  <c r="DB10" i="1"/>
  <c r="DF9" i="1"/>
  <c r="DE9" i="1"/>
  <c r="DD9" i="1"/>
  <c r="DC9" i="1"/>
  <c r="DB9" i="1"/>
  <c r="DF8" i="1"/>
  <c r="DE8" i="1"/>
  <c r="DD8" i="1"/>
  <c r="DC8" i="1"/>
  <c r="DB8" i="1"/>
  <c r="DF6" i="1"/>
  <c r="DE6" i="1"/>
  <c r="DD6" i="1"/>
  <c r="DC6" i="1"/>
  <c r="DB6" i="1"/>
  <c r="DF5" i="1"/>
  <c r="DE5" i="1"/>
  <c r="DD5" i="1"/>
  <c r="DC5" i="1"/>
  <c r="DB5" i="1"/>
  <c r="DF4" i="1"/>
  <c r="DE4" i="1"/>
  <c r="DD4" i="1"/>
  <c r="DC4" i="1"/>
  <c r="DB4" i="1"/>
  <c r="DA60" i="1"/>
  <c r="CZ60" i="1"/>
  <c r="CY60" i="1"/>
  <c r="CX60" i="1"/>
  <c r="CW60" i="1"/>
  <c r="DA59" i="1"/>
  <c r="CZ59" i="1"/>
  <c r="CY59" i="1"/>
  <c r="CX59" i="1"/>
  <c r="CW59" i="1"/>
  <c r="DA58" i="1"/>
  <c r="CZ58" i="1"/>
  <c r="CY58" i="1"/>
  <c r="CX58" i="1"/>
  <c r="CW58" i="1"/>
  <c r="DA57" i="1"/>
  <c r="CZ57" i="1"/>
  <c r="CY57" i="1"/>
  <c r="CX57" i="1"/>
  <c r="CW57" i="1"/>
  <c r="DA56" i="1"/>
  <c r="CZ56" i="1"/>
  <c r="CY56" i="1"/>
  <c r="CX56" i="1"/>
  <c r="CW56" i="1"/>
  <c r="DA55" i="1"/>
  <c r="CZ55" i="1"/>
  <c r="CY55" i="1"/>
  <c r="CX55" i="1"/>
  <c r="CW55" i="1"/>
  <c r="DA54" i="1"/>
  <c r="CZ54" i="1"/>
  <c r="CY54" i="1"/>
  <c r="CX54" i="1"/>
  <c r="CW54" i="1"/>
  <c r="DA53" i="1"/>
  <c r="CZ53" i="1"/>
  <c r="CY53" i="1"/>
  <c r="CX53" i="1"/>
  <c r="CW53" i="1"/>
  <c r="DA52" i="1"/>
  <c r="CZ52" i="1"/>
  <c r="CY52" i="1"/>
  <c r="CX52" i="1"/>
  <c r="CW52" i="1"/>
  <c r="DA51" i="1"/>
  <c r="CZ51" i="1"/>
  <c r="CY51" i="1"/>
  <c r="CX51" i="1"/>
  <c r="CW51" i="1"/>
  <c r="DA50" i="1"/>
  <c r="CZ50" i="1"/>
  <c r="CY50" i="1"/>
  <c r="CX50" i="1"/>
  <c r="CW50" i="1"/>
  <c r="DA49" i="1"/>
  <c r="CZ49" i="1"/>
  <c r="CY49" i="1"/>
  <c r="CX49" i="1"/>
  <c r="CW49" i="1"/>
  <c r="DA48" i="1"/>
  <c r="CZ48" i="1"/>
  <c r="CY48" i="1"/>
  <c r="CX48" i="1"/>
  <c r="CW48" i="1"/>
  <c r="DA47" i="1"/>
  <c r="CZ47" i="1"/>
  <c r="CY47" i="1"/>
  <c r="CX47" i="1"/>
  <c r="CW47" i="1"/>
  <c r="DA46" i="1"/>
  <c r="CZ46" i="1"/>
  <c r="CY46" i="1"/>
  <c r="CX46" i="1"/>
  <c r="CW46" i="1"/>
  <c r="DA45" i="1"/>
  <c r="CZ45" i="1"/>
  <c r="CY45" i="1"/>
  <c r="CX45" i="1"/>
  <c r="CW45" i="1"/>
  <c r="DA44" i="1"/>
  <c r="CZ44" i="1"/>
  <c r="CY44" i="1"/>
  <c r="CX44" i="1"/>
  <c r="CW44" i="1"/>
  <c r="DA43" i="1"/>
  <c r="CZ43" i="1"/>
  <c r="CY43" i="1"/>
  <c r="CX43" i="1"/>
  <c r="CW43" i="1"/>
  <c r="DA41" i="1"/>
  <c r="CZ41" i="1"/>
  <c r="CY41" i="1"/>
  <c r="CX41" i="1"/>
  <c r="CW41" i="1"/>
  <c r="DA40" i="1"/>
  <c r="CZ40" i="1"/>
  <c r="CY40" i="1"/>
  <c r="CX40" i="1"/>
  <c r="CW40" i="1"/>
  <c r="DA39" i="1"/>
  <c r="CZ39" i="1"/>
  <c r="CY39" i="1"/>
  <c r="CX39" i="1"/>
  <c r="CW39" i="1"/>
  <c r="DA38" i="1"/>
  <c r="CZ38" i="1"/>
  <c r="CY38" i="1"/>
  <c r="CX38" i="1"/>
  <c r="CW38" i="1"/>
  <c r="DA36" i="1"/>
  <c r="CZ36" i="1"/>
  <c r="CY36" i="1"/>
  <c r="CX36" i="1"/>
  <c r="CW36" i="1"/>
  <c r="DA35" i="1"/>
  <c r="CZ35" i="1"/>
  <c r="CY35" i="1"/>
  <c r="CX35" i="1"/>
  <c r="CW35" i="1"/>
  <c r="DA34" i="1"/>
  <c r="CZ34" i="1"/>
  <c r="CY34" i="1"/>
  <c r="CX34" i="1"/>
  <c r="CW34" i="1"/>
  <c r="DA32" i="1"/>
  <c r="CZ32" i="1"/>
  <c r="CY32" i="1"/>
  <c r="CX32" i="1"/>
  <c r="CW32" i="1"/>
  <c r="DA31" i="1"/>
  <c r="CZ31" i="1"/>
  <c r="CY31" i="1"/>
  <c r="CX31" i="1"/>
  <c r="CW31" i="1"/>
  <c r="DA30" i="1"/>
  <c r="CZ30" i="1"/>
  <c r="CY30" i="1"/>
  <c r="CX30" i="1"/>
  <c r="CW30" i="1"/>
  <c r="DA29" i="1"/>
  <c r="CZ29" i="1"/>
  <c r="CY29" i="1"/>
  <c r="CX29" i="1"/>
  <c r="CW29" i="1"/>
  <c r="DA28" i="1"/>
  <c r="CZ28" i="1"/>
  <c r="CY28" i="1"/>
  <c r="CX28" i="1"/>
  <c r="CW28" i="1"/>
  <c r="DA26" i="1"/>
  <c r="CZ26" i="1"/>
  <c r="CY26" i="1"/>
  <c r="CX26" i="1"/>
  <c r="CW26" i="1"/>
  <c r="DA25" i="1"/>
  <c r="CZ25" i="1"/>
  <c r="CY25" i="1"/>
  <c r="CX25" i="1"/>
  <c r="CW25" i="1"/>
  <c r="DA24" i="1"/>
  <c r="CZ24" i="1"/>
  <c r="CY24" i="1"/>
  <c r="CX24" i="1"/>
  <c r="CW24" i="1"/>
  <c r="DA23" i="1"/>
  <c r="CZ23" i="1"/>
  <c r="CY23" i="1"/>
  <c r="CX23" i="1"/>
  <c r="CW23" i="1"/>
  <c r="DA22" i="1"/>
  <c r="CZ22" i="1"/>
  <c r="CY22" i="1"/>
  <c r="CX22" i="1"/>
  <c r="CW22" i="1"/>
  <c r="DA21" i="1"/>
  <c r="CZ21" i="1"/>
  <c r="CY21" i="1"/>
  <c r="CX21" i="1"/>
  <c r="CW21" i="1"/>
  <c r="DA20" i="1"/>
  <c r="CZ20" i="1"/>
  <c r="CY20" i="1"/>
  <c r="CX20" i="1"/>
  <c r="CW20" i="1"/>
  <c r="DA18" i="1"/>
  <c r="CZ18" i="1"/>
  <c r="CY18" i="1"/>
  <c r="CX18" i="1"/>
  <c r="CW18" i="1"/>
  <c r="DA17" i="1"/>
  <c r="CZ17" i="1"/>
  <c r="CY17" i="1"/>
  <c r="CX17" i="1"/>
  <c r="CW17" i="1"/>
  <c r="DA16" i="1"/>
  <c r="CZ16" i="1"/>
  <c r="CY16" i="1"/>
  <c r="CX16" i="1"/>
  <c r="CW16" i="1"/>
  <c r="DA15" i="1"/>
  <c r="CZ15" i="1"/>
  <c r="CY15" i="1"/>
  <c r="CX15" i="1"/>
  <c r="CW15" i="1"/>
  <c r="DA14" i="1"/>
  <c r="CZ14" i="1"/>
  <c r="CY14" i="1"/>
  <c r="CX14" i="1"/>
  <c r="CW14" i="1"/>
  <c r="DA13" i="1"/>
  <c r="CZ13" i="1"/>
  <c r="CY13" i="1"/>
  <c r="CX13" i="1"/>
  <c r="CW13" i="1"/>
  <c r="DA12" i="1"/>
  <c r="CZ12" i="1"/>
  <c r="CY12" i="1"/>
  <c r="CX12" i="1"/>
  <c r="CW12" i="1"/>
  <c r="DA10" i="1"/>
  <c r="CZ10" i="1"/>
  <c r="CY10" i="1"/>
  <c r="CX10" i="1"/>
  <c r="CW10" i="1"/>
  <c r="DA9" i="1"/>
  <c r="CZ9" i="1"/>
  <c r="CY9" i="1"/>
  <c r="CX9" i="1"/>
  <c r="CW9" i="1"/>
  <c r="DA8" i="1"/>
  <c r="CZ8" i="1"/>
  <c r="CY8" i="1"/>
  <c r="CX8" i="1"/>
  <c r="CW8" i="1"/>
  <c r="DA6" i="1"/>
  <c r="CZ6" i="1"/>
  <c r="CY6" i="1"/>
  <c r="CX6" i="1"/>
  <c r="CW6" i="1"/>
  <c r="DA5" i="1"/>
  <c r="CZ5" i="1"/>
  <c r="CY5" i="1"/>
  <c r="CX5" i="1"/>
  <c r="CW5" i="1"/>
  <c r="DA4" i="1"/>
  <c r="CZ4" i="1"/>
  <c r="CY4" i="1"/>
  <c r="CX4" i="1"/>
  <c r="CW4" i="1"/>
  <c r="CV60" i="1"/>
  <c r="CU60" i="1"/>
  <c r="CT60" i="1"/>
  <c r="CS60" i="1"/>
  <c r="CR60" i="1"/>
  <c r="CV59" i="1"/>
  <c r="CU59" i="1"/>
  <c r="CT59" i="1"/>
  <c r="CS59" i="1"/>
  <c r="CR59" i="1"/>
  <c r="CV58" i="1"/>
  <c r="CU58" i="1"/>
  <c r="CT58" i="1"/>
  <c r="CS58" i="1"/>
  <c r="CR58" i="1"/>
  <c r="CV57" i="1"/>
  <c r="CU57" i="1"/>
  <c r="CT57" i="1"/>
  <c r="CS57" i="1"/>
  <c r="CR57" i="1"/>
  <c r="CV56" i="1"/>
  <c r="CU56" i="1"/>
  <c r="CT56" i="1"/>
  <c r="CS56" i="1"/>
  <c r="CR56" i="1"/>
  <c r="CV55" i="1"/>
  <c r="CU55" i="1"/>
  <c r="CT55" i="1"/>
  <c r="CS55" i="1"/>
  <c r="CR55" i="1"/>
  <c r="CV54" i="1"/>
  <c r="CU54" i="1"/>
  <c r="CT54" i="1"/>
  <c r="CS54" i="1"/>
  <c r="CR54" i="1"/>
  <c r="CV53" i="1"/>
  <c r="CU53" i="1"/>
  <c r="CT53" i="1"/>
  <c r="CS53" i="1"/>
  <c r="CR53" i="1"/>
  <c r="CV52" i="1"/>
  <c r="CU52" i="1"/>
  <c r="CT52" i="1"/>
  <c r="CS52" i="1"/>
  <c r="CR52" i="1"/>
  <c r="CV51" i="1"/>
  <c r="CU51" i="1"/>
  <c r="CT51" i="1"/>
  <c r="CS51" i="1"/>
  <c r="CR51" i="1"/>
  <c r="CV50" i="1"/>
  <c r="CU50" i="1"/>
  <c r="CT50" i="1"/>
  <c r="CS50" i="1"/>
  <c r="CR50" i="1"/>
  <c r="CV49" i="1"/>
  <c r="CU49" i="1"/>
  <c r="CT49" i="1"/>
  <c r="CS49" i="1"/>
  <c r="CR49" i="1"/>
  <c r="CV48" i="1"/>
  <c r="CU48" i="1"/>
  <c r="CT48" i="1"/>
  <c r="CS48" i="1"/>
  <c r="CR48" i="1"/>
  <c r="CV47" i="1"/>
  <c r="CU47" i="1"/>
  <c r="CT47" i="1"/>
  <c r="CS47" i="1"/>
  <c r="CR47" i="1"/>
  <c r="CV46" i="1"/>
  <c r="CU46" i="1"/>
  <c r="CT46" i="1"/>
  <c r="CS46" i="1"/>
  <c r="CR46" i="1"/>
  <c r="CV45" i="1"/>
  <c r="CU45" i="1"/>
  <c r="CT45" i="1"/>
  <c r="CS45" i="1"/>
  <c r="CR45" i="1"/>
  <c r="CV44" i="1"/>
  <c r="CU44" i="1"/>
  <c r="CT44" i="1"/>
  <c r="CS44" i="1"/>
  <c r="CR44" i="1"/>
  <c r="CV43" i="1"/>
  <c r="CU43" i="1"/>
  <c r="CT43" i="1"/>
  <c r="CS43" i="1"/>
  <c r="CR43" i="1"/>
  <c r="CV41" i="1"/>
  <c r="CU41" i="1"/>
  <c r="CT41" i="1"/>
  <c r="CS41" i="1"/>
  <c r="CR41" i="1"/>
  <c r="CV40" i="1"/>
  <c r="CU40" i="1"/>
  <c r="CT40" i="1"/>
  <c r="CS40" i="1"/>
  <c r="CR40" i="1"/>
  <c r="CV39" i="1"/>
  <c r="CU39" i="1"/>
  <c r="CT39" i="1"/>
  <c r="CS39" i="1"/>
  <c r="CR39" i="1"/>
  <c r="CV38" i="1"/>
  <c r="CU38" i="1"/>
  <c r="CT38" i="1"/>
  <c r="CS38" i="1"/>
  <c r="CR38" i="1"/>
  <c r="CV36" i="1"/>
  <c r="CU36" i="1"/>
  <c r="CT36" i="1"/>
  <c r="CS36" i="1"/>
  <c r="CR36" i="1"/>
  <c r="CV35" i="1"/>
  <c r="CU35" i="1"/>
  <c r="CT35" i="1"/>
  <c r="CS35" i="1"/>
  <c r="CR35" i="1"/>
  <c r="CV34" i="1"/>
  <c r="CU34" i="1"/>
  <c r="CT34" i="1"/>
  <c r="CS34" i="1"/>
  <c r="CR34" i="1"/>
  <c r="CV32" i="1"/>
  <c r="CU32" i="1"/>
  <c r="CT32" i="1"/>
  <c r="CS32" i="1"/>
  <c r="CR32" i="1"/>
  <c r="CV31" i="1"/>
  <c r="CU31" i="1"/>
  <c r="CT31" i="1"/>
  <c r="CS31" i="1"/>
  <c r="CR31" i="1"/>
  <c r="CV30" i="1"/>
  <c r="CU30" i="1"/>
  <c r="CT30" i="1"/>
  <c r="CS30" i="1"/>
  <c r="CR30" i="1"/>
  <c r="CV29" i="1"/>
  <c r="CU29" i="1"/>
  <c r="CT29" i="1"/>
  <c r="CS29" i="1"/>
  <c r="CR29" i="1"/>
  <c r="CV28" i="1"/>
  <c r="CU28" i="1"/>
  <c r="CT28" i="1"/>
  <c r="CS28" i="1"/>
  <c r="CR28" i="1"/>
  <c r="CV26" i="1"/>
  <c r="CU26" i="1"/>
  <c r="CT26" i="1"/>
  <c r="CS26" i="1"/>
  <c r="CR26" i="1"/>
  <c r="CV25" i="1"/>
  <c r="CU25" i="1"/>
  <c r="CT25" i="1"/>
  <c r="CS25" i="1"/>
  <c r="CR25" i="1"/>
  <c r="CV24" i="1"/>
  <c r="CU24" i="1"/>
  <c r="CT24" i="1"/>
  <c r="CS24" i="1"/>
  <c r="CR24" i="1"/>
  <c r="CV23" i="1"/>
  <c r="CU23" i="1"/>
  <c r="CT23" i="1"/>
  <c r="CS23" i="1"/>
  <c r="CR23" i="1"/>
  <c r="CV22" i="1"/>
  <c r="CU22" i="1"/>
  <c r="CT22" i="1"/>
  <c r="CS22" i="1"/>
  <c r="CR22" i="1"/>
  <c r="CV21" i="1"/>
  <c r="CU21" i="1"/>
  <c r="CT21" i="1"/>
  <c r="CS21" i="1"/>
  <c r="CR21" i="1"/>
  <c r="CV20" i="1"/>
  <c r="CU20" i="1"/>
  <c r="CT20" i="1"/>
  <c r="CS20" i="1"/>
  <c r="CR20" i="1"/>
  <c r="CV18" i="1"/>
  <c r="CU18" i="1"/>
  <c r="CT18" i="1"/>
  <c r="CS18" i="1"/>
  <c r="CR18" i="1"/>
  <c r="CV17" i="1"/>
  <c r="CU17" i="1"/>
  <c r="CT17" i="1"/>
  <c r="CS17" i="1"/>
  <c r="CR17" i="1"/>
  <c r="CV16" i="1"/>
  <c r="CU16" i="1"/>
  <c r="CT16" i="1"/>
  <c r="CS16" i="1"/>
  <c r="CR16" i="1"/>
  <c r="CV15" i="1"/>
  <c r="CU15" i="1"/>
  <c r="CT15" i="1"/>
  <c r="CS15" i="1"/>
  <c r="CR15" i="1"/>
  <c r="CV14" i="1"/>
  <c r="CU14" i="1"/>
  <c r="CT14" i="1"/>
  <c r="CS14" i="1"/>
  <c r="CR14" i="1"/>
  <c r="CV13" i="1"/>
  <c r="CU13" i="1"/>
  <c r="CT13" i="1"/>
  <c r="CS13" i="1"/>
  <c r="CR13" i="1"/>
  <c r="CV12" i="1"/>
  <c r="CU12" i="1"/>
  <c r="CT12" i="1"/>
  <c r="CS12" i="1"/>
  <c r="CR12" i="1"/>
  <c r="CV10" i="1"/>
  <c r="CU10" i="1"/>
  <c r="CT10" i="1"/>
  <c r="CS10" i="1"/>
  <c r="CR10" i="1"/>
  <c r="CV9" i="1"/>
  <c r="CU9" i="1"/>
  <c r="CT9" i="1"/>
  <c r="CS9" i="1"/>
  <c r="CR9" i="1"/>
  <c r="CV8" i="1"/>
  <c r="CU8" i="1"/>
  <c r="CT8" i="1"/>
  <c r="CS8" i="1"/>
  <c r="CR8" i="1"/>
  <c r="CV6" i="1"/>
  <c r="CU6" i="1"/>
  <c r="CT6" i="1"/>
  <c r="CS6" i="1"/>
  <c r="CR6" i="1"/>
  <c r="CV5" i="1"/>
  <c r="CU5" i="1"/>
  <c r="CT5" i="1"/>
  <c r="CS5" i="1"/>
  <c r="CR5" i="1"/>
  <c r="CV4" i="1"/>
  <c r="CU4" i="1"/>
  <c r="CT4" i="1"/>
  <c r="CS4" i="1"/>
  <c r="CR4" i="1"/>
  <c r="CP60" i="1"/>
  <c r="CO60" i="1"/>
  <c r="CN60" i="1"/>
  <c r="CM60" i="1"/>
  <c r="CL60" i="1"/>
  <c r="CK60" i="1"/>
  <c r="CP59" i="1"/>
  <c r="CO59" i="1"/>
  <c r="CN59" i="1"/>
  <c r="CM59" i="1"/>
  <c r="CL59" i="1"/>
  <c r="CK59" i="1"/>
  <c r="CP58" i="1"/>
  <c r="CO58" i="1"/>
  <c r="CN58" i="1"/>
  <c r="CM58" i="1"/>
  <c r="CL58" i="1"/>
  <c r="CK58" i="1"/>
  <c r="CP57" i="1"/>
  <c r="CO57" i="1"/>
  <c r="CN57" i="1"/>
  <c r="CM57" i="1"/>
  <c r="CL57" i="1"/>
  <c r="CK57" i="1"/>
  <c r="CP56" i="1"/>
  <c r="CO56" i="1"/>
  <c r="CN56" i="1"/>
  <c r="CM56" i="1"/>
  <c r="CL56" i="1"/>
  <c r="CK56" i="1"/>
  <c r="CP55" i="1"/>
  <c r="CO55" i="1"/>
  <c r="CN55" i="1"/>
  <c r="CM55" i="1"/>
  <c r="CL55" i="1"/>
  <c r="CK55" i="1"/>
  <c r="CP54" i="1"/>
  <c r="CO54" i="1"/>
  <c r="CN54" i="1"/>
  <c r="CM54" i="1"/>
  <c r="CL54" i="1"/>
  <c r="CK54" i="1"/>
  <c r="CP53" i="1"/>
  <c r="CO53" i="1"/>
  <c r="CN53" i="1"/>
  <c r="CM53" i="1"/>
  <c r="CL53" i="1"/>
  <c r="CK53" i="1"/>
  <c r="CP52" i="1"/>
  <c r="CO52" i="1"/>
  <c r="CN52" i="1"/>
  <c r="CM52" i="1"/>
  <c r="CL52" i="1"/>
  <c r="CK52" i="1"/>
  <c r="CP51" i="1"/>
  <c r="CO51" i="1"/>
  <c r="CN51" i="1"/>
  <c r="CM51" i="1"/>
  <c r="CL51" i="1"/>
  <c r="CK51" i="1"/>
  <c r="CP50" i="1"/>
  <c r="CO50" i="1"/>
  <c r="CN50" i="1"/>
  <c r="CM50" i="1"/>
  <c r="CL50" i="1"/>
  <c r="CK50" i="1"/>
  <c r="CP49" i="1"/>
  <c r="CO49" i="1"/>
  <c r="CN49" i="1"/>
  <c r="CM49" i="1"/>
  <c r="CL49" i="1"/>
  <c r="CK49" i="1"/>
  <c r="CP48" i="1"/>
  <c r="CO48" i="1"/>
  <c r="CN48" i="1"/>
  <c r="CM48" i="1"/>
  <c r="CL48" i="1"/>
  <c r="CK48" i="1"/>
  <c r="CP47" i="1"/>
  <c r="CO47" i="1"/>
  <c r="CN47" i="1"/>
  <c r="CM47" i="1"/>
  <c r="CL47" i="1"/>
  <c r="CK47" i="1"/>
  <c r="CP46" i="1"/>
  <c r="CO46" i="1"/>
  <c r="CN46" i="1"/>
  <c r="CM46" i="1"/>
  <c r="CL46" i="1"/>
  <c r="CK46" i="1"/>
  <c r="CP45" i="1"/>
  <c r="CO45" i="1"/>
  <c r="CN45" i="1"/>
  <c r="CM45" i="1"/>
  <c r="CL45" i="1"/>
  <c r="CK45" i="1"/>
  <c r="CP44" i="1"/>
  <c r="CO44" i="1"/>
  <c r="CN44" i="1"/>
  <c r="CM44" i="1"/>
  <c r="CL44" i="1"/>
  <c r="CK44" i="1"/>
  <c r="CP43" i="1"/>
  <c r="CO43" i="1"/>
  <c r="CN43" i="1"/>
  <c r="CM43" i="1"/>
  <c r="CL43" i="1"/>
  <c r="CK43" i="1"/>
  <c r="CP41" i="1"/>
  <c r="CO41" i="1"/>
  <c r="CN41" i="1"/>
  <c r="CM41" i="1"/>
  <c r="CL41" i="1"/>
  <c r="CK41" i="1"/>
  <c r="CP40" i="1"/>
  <c r="CO40" i="1"/>
  <c r="CN40" i="1"/>
  <c r="CM40" i="1"/>
  <c r="CL40" i="1"/>
  <c r="CK40" i="1"/>
  <c r="CP39" i="1"/>
  <c r="CO39" i="1"/>
  <c r="CN39" i="1"/>
  <c r="CM39" i="1"/>
  <c r="CL39" i="1"/>
  <c r="CK39" i="1"/>
  <c r="CP38" i="1"/>
  <c r="CO38" i="1"/>
  <c r="CN38" i="1"/>
  <c r="CM38" i="1"/>
  <c r="CL38" i="1"/>
  <c r="CK38" i="1"/>
  <c r="CP36" i="1"/>
  <c r="CO36" i="1"/>
  <c r="CN36" i="1"/>
  <c r="CM36" i="1"/>
  <c r="CL36" i="1"/>
  <c r="CK36" i="1"/>
  <c r="CP35" i="1"/>
  <c r="CO35" i="1"/>
  <c r="CN35" i="1"/>
  <c r="CM35" i="1"/>
  <c r="CL35" i="1"/>
  <c r="CK35" i="1"/>
  <c r="CP34" i="1"/>
  <c r="CO34" i="1"/>
  <c r="CN34" i="1"/>
  <c r="CM34" i="1"/>
  <c r="CL34" i="1"/>
  <c r="CK34" i="1"/>
  <c r="CP32" i="1"/>
  <c r="CO32" i="1"/>
  <c r="CN32" i="1"/>
  <c r="CM32" i="1"/>
  <c r="CL32" i="1"/>
  <c r="CK32" i="1"/>
  <c r="CP31" i="1"/>
  <c r="CO31" i="1"/>
  <c r="CN31" i="1"/>
  <c r="CM31" i="1"/>
  <c r="CL31" i="1"/>
  <c r="CK31" i="1"/>
  <c r="CP30" i="1"/>
  <c r="CO30" i="1"/>
  <c r="CN30" i="1"/>
  <c r="CM30" i="1"/>
  <c r="CL30" i="1"/>
  <c r="CK30" i="1"/>
  <c r="CP29" i="1"/>
  <c r="CO29" i="1"/>
  <c r="CN29" i="1"/>
  <c r="CM29" i="1"/>
  <c r="CL29" i="1"/>
  <c r="CK29" i="1"/>
  <c r="CP28" i="1"/>
  <c r="CO28" i="1"/>
  <c r="CN28" i="1"/>
  <c r="CM28" i="1"/>
  <c r="CL28" i="1"/>
  <c r="CK28" i="1"/>
  <c r="CP26" i="1"/>
  <c r="CO26" i="1"/>
  <c r="CN26" i="1"/>
  <c r="CM26" i="1"/>
  <c r="CL26" i="1"/>
  <c r="CK26" i="1"/>
  <c r="CP25" i="1"/>
  <c r="CO25" i="1"/>
  <c r="CN25" i="1"/>
  <c r="CM25" i="1"/>
  <c r="CL25" i="1"/>
  <c r="CK25" i="1"/>
  <c r="CP24" i="1"/>
  <c r="CO24" i="1"/>
  <c r="CN24" i="1"/>
  <c r="CM24" i="1"/>
  <c r="CL24" i="1"/>
  <c r="CK24" i="1"/>
  <c r="CP23" i="1"/>
  <c r="CO23" i="1"/>
  <c r="CN23" i="1"/>
  <c r="CM23" i="1"/>
  <c r="CL23" i="1"/>
  <c r="CK23" i="1"/>
  <c r="CP22" i="1"/>
  <c r="CO22" i="1"/>
  <c r="CN22" i="1"/>
  <c r="CM22" i="1"/>
  <c r="CL22" i="1"/>
  <c r="CK22" i="1"/>
  <c r="CP21" i="1"/>
  <c r="CO21" i="1"/>
  <c r="CN21" i="1"/>
  <c r="CM21" i="1"/>
  <c r="CL21" i="1"/>
  <c r="CK21" i="1"/>
  <c r="CP20" i="1"/>
  <c r="CO20" i="1"/>
  <c r="CN20" i="1"/>
  <c r="CM20" i="1"/>
  <c r="CL20" i="1"/>
  <c r="CK20" i="1"/>
  <c r="CP18" i="1"/>
  <c r="CO18" i="1"/>
  <c r="CN18" i="1"/>
  <c r="CM18" i="1"/>
  <c r="CL18" i="1"/>
  <c r="CK18" i="1"/>
  <c r="CP17" i="1"/>
  <c r="CO17" i="1"/>
  <c r="CN17" i="1"/>
  <c r="CM17" i="1"/>
  <c r="CL17" i="1"/>
  <c r="CK17" i="1"/>
  <c r="CP16" i="1"/>
  <c r="CO16" i="1"/>
  <c r="CN16" i="1"/>
  <c r="CM16" i="1"/>
  <c r="CL16" i="1"/>
  <c r="CK16" i="1"/>
  <c r="CP15" i="1"/>
  <c r="CO15" i="1"/>
  <c r="CN15" i="1"/>
  <c r="CM15" i="1"/>
  <c r="CL15" i="1"/>
  <c r="CK15" i="1"/>
  <c r="CP14" i="1"/>
  <c r="CO14" i="1"/>
  <c r="CN14" i="1"/>
  <c r="CM14" i="1"/>
  <c r="CL14" i="1"/>
  <c r="CK14" i="1"/>
  <c r="CP13" i="1"/>
  <c r="CO13" i="1"/>
  <c r="CN13" i="1"/>
  <c r="CM13" i="1"/>
  <c r="CL13" i="1"/>
  <c r="CK13" i="1"/>
  <c r="CP12" i="1"/>
  <c r="CO12" i="1"/>
  <c r="CN12" i="1"/>
  <c r="CM12" i="1"/>
  <c r="CL12" i="1"/>
  <c r="CK12" i="1"/>
  <c r="CP10" i="1"/>
  <c r="CO10" i="1"/>
  <c r="CN10" i="1"/>
  <c r="CM10" i="1"/>
  <c r="CL10" i="1"/>
  <c r="CK10" i="1"/>
  <c r="CP9" i="1"/>
  <c r="CO9" i="1"/>
  <c r="CN9" i="1"/>
  <c r="CM9" i="1"/>
  <c r="CL9" i="1"/>
  <c r="CK9" i="1"/>
  <c r="CP8" i="1"/>
  <c r="CO8" i="1"/>
  <c r="CN8" i="1"/>
  <c r="CM8" i="1"/>
  <c r="CL8" i="1"/>
  <c r="CK8" i="1"/>
  <c r="CP6" i="1"/>
  <c r="CO6" i="1"/>
  <c r="CN6" i="1"/>
  <c r="CM6" i="1"/>
  <c r="CL6" i="1"/>
  <c r="CK6" i="1"/>
  <c r="CP5" i="1"/>
  <c r="CO5" i="1"/>
  <c r="CN5" i="1"/>
  <c r="CM5" i="1"/>
  <c r="CL5" i="1"/>
  <c r="CK5" i="1"/>
  <c r="CP4" i="1"/>
  <c r="CO4" i="1"/>
  <c r="CN4" i="1"/>
  <c r="CM4" i="1"/>
  <c r="CL4" i="1"/>
  <c r="CK4" i="1"/>
  <c r="CJ60" i="1"/>
  <c r="CI60" i="1"/>
  <c r="CH60" i="1"/>
  <c r="CG60" i="1"/>
  <c r="CF60" i="1"/>
  <c r="CE60" i="1"/>
  <c r="CJ59" i="1"/>
  <c r="CI59" i="1"/>
  <c r="CH59" i="1"/>
  <c r="CG59" i="1"/>
  <c r="CF59" i="1"/>
  <c r="CE59" i="1"/>
  <c r="CJ58" i="1"/>
  <c r="CI58" i="1"/>
  <c r="CH58" i="1"/>
  <c r="CG58" i="1"/>
  <c r="CF58" i="1"/>
  <c r="CE58" i="1"/>
  <c r="CJ57" i="1"/>
  <c r="CI57" i="1"/>
  <c r="CH57" i="1"/>
  <c r="CG57" i="1"/>
  <c r="CF57" i="1"/>
  <c r="CE57" i="1"/>
  <c r="CJ56" i="1"/>
  <c r="CI56" i="1"/>
  <c r="CH56" i="1"/>
  <c r="CG56" i="1"/>
  <c r="CF56" i="1"/>
  <c r="CE56" i="1"/>
  <c r="CJ55" i="1"/>
  <c r="CI55" i="1"/>
  <c r="CH55" i="1"/>
  <c r="CG55" i="1"/>
  <c r="CF55" i="1"/>
  <c r="CE55" i="1"/>
  <c r="CJ54" i="1"/>
  <c r="CI54" i="1"/>
  <c r="CH54" i="1"/>
  <c r="CG54" i="1"/>
  <c r="CF54" i="1"/>
  <c r="CE54" i="1"/>
  <c r="CJ53" i="1"/>
  <c r="CI53" i="1"/>
  <c r="CH53" i="1"/>
  <c r="CG53" i="1"/>
  <c r="CF53" i="1"/>
  <c r="CE53" i="1"/>
  <c r="CJ52" i="1"/>
  <c r="CI52" i="1"/>
  <c r="CH52" i="1"/>
  <c r="CG52" i="1"/>
  <c r="CF52" i="1"/>
  <c r="CE52" i="1"/>
  <c r="CJ51" i="1"/>
  <c r="CI51" i="1"/>
  <c r="CH51" i="1"/>
  <c r="CG51" i="1"/>
  <c r="CF51" i="1"/>
  <c r="CE51" i="1"/>
  <c r="CJ50" i="1"/>
  <c r="CI50" i="1"/>
  <c r="CH50" i="1"/>
  <c r="CG50" i="1"/>
  <c r="CF50" i="1"/>
  <c r="CE50" i="1"/>
  <c r="CJ49" i="1"/>
  <c r="CI49" i="1"/>
  <c r="CH49" i="1"/>
  <c r="CG49" i="1"/>
  <c r="CF49" i="1"/>
  <c r="CE49" i="1"/>
  <c r="CJ48" i="1"/>
  <c r="CI48" i="1"/>
  <c r="CH48" i="1"/>
  <c r="CG48" i="1"/>
  <c r="CF48" i="1"/>
  <c r="CE48" i="1"/>
  <c r="CJ47" i="1"/>
  <c r="CI47" i="1"/>
  <c r="CH47" i="1"/>
  <c r="CG47" i="1"/>
  <c r="CF47" i="1"/>
  <c r="CE47" i="1"/>
  <c r="CJ46" i="1"/>
  <c r="CI46" i="1"/>
  <c r="CH46" i="1"/>
  <c r="CG46" i="1"/>
  <c r="CF46" i="1"/>
  <c r="CE46" i="1"/>
  <c r="CJ45" i="1"/>
  <c r="CI45" i="1"/>
  <c r="CH45" i="1"/>
  <c r="CG45" i="1"/>
  <c r="CF45" i="1"/>
  <c r="CE45" i="1"/>
  <c r="CJ44" i="1"/>
  <c r="CI44" i="1"/>
  <c r="CH44" i="1"/>
  <c r="CG44" i="1"/>
  <c r="CF44" i="1"/>
  <c r="CE44" i="1"/>
  <c r="CJ43" i="1"/>
  <c r="CI43" i="1"/>
  <c r="CH43" i="1"/>
  <c r="CG43" i="1"/>
  <c r="CF43" i="1"/>
  <c r="CE43" i="1"/>
  <c r="CJ41" i="1"/>
  <c r="CI41" i="1"/>
  <c r="CH41" i="1"/>
  <c r="CG41" i="1"/>
  <c r="CF41" i="1"/>
  <c r="CE41" i="1"/>
  <c r="CJ40" i="1"/>
  <c r="CI40" i="1"/>
  <c r="CH40" i="1"/>
  <c r="CG40" i="1"/>
  <c r="CF40" i="1"/>
  <c r="CE40" i="1"/>
  <c r="CJ39" i="1"/>
  <c r="CI39" i="1"/>
  <c r="CH39" i="1"/>
  <c r="CG39" i="1"/>
  <c r="CF39" i="1"/>
  <c r="CE39" i="1"/>
  <c r="CJ38" i="1"/>
  <c r="CI38" i="1"/>
  <c r="CH38" i="1"/>
  <c r="CG38" i="1"/>
  <c r="CF38" i="1"/>
  <c r="CE38" i="1"/>
  <c r="CJ36" i="1"/>
  <c r="CI36" i="1"/>
  <c r="CH36" i="1"/>
  <c r="CG36" i="1"/>
  <c r="CF36" i="1"/>
  <c r="CE36" i="1"/>
  <c r="CJ35" i="1"/>
  <c r="CI35" i="1"/>
  <c r="CH35" i="1"/>
  <c r="CG35" i="1"/>
  <c r="CF35" i="1"/>
  <c r="CE35" i="1"/>
  <c r="CJ34" i="1"/>
  <c r="CI34" i="1"/>
  <c r="CH34" i="1"/>
  <c r="CG34" i="1"/>
  <c r="CF34" i="1"/>
  <c r="CE34" i="1"/>
  <c r="CJ32" i="1"/>
  <c r="CI32" i="1"/>
  <c r="CH32" i="1"/>
  <c r="CG32" i="1"/>
  <c r="CF32" i="1"/>
  <c r="CE32" i="1"/>
  <c r="CJ31" i="1"/>
  <c r="CI31" i="1"/>
  <c r="CH31" i="1"/>
  <c r="CG31" i="1"/>
  <c r="CF31" i="1"/>
  <c r="CE31" i="1"/>
  <c r="CJ30" i="1"/>
  <c r="CI30" i="1"/>
  <c r="CH30" i="1"/>
  <c r="CG30" i="1"/>
  <c r="CF30" i="1"/>
  <c r="CE30" i="1"/>
  <c r="CJ29" i="1"/>
  <c r="CI29" i="1"/>
  <c r="CH29" i="1"/>
  <c r="CG29" i="1"/>
  <c r="CF29" i="1"/>
  <c r="CE29" i="1"/>
  <c r="CJ28" i="1"/>
  <c r="CI28" i="1"/>
  <c r="CH28" i="1"/>
  <c r="CG28" i="1"/>
  <c r="CF28" i="1"/>
  <c r="CE28" i="1"/>
  <c r="CJ26" i="1"/>
  <c r="CI26" i="1"/>
  <c r="CH26" i="1"/>
  <c r="CG26" i="1"/>
  <c r="CF26" i="1"/>
  <c r="CE26" i="1"/>
  <c r="CJ25" i="1"/>
  <c r="CI25" i="1"/>
  <c r="CH25" i="1"/>
  <c r="CG25" i="1"/>
  <c r="CF25" i="1"/>
  <c r="CE25" i="1"/>
  <c r="CJ24" i="1"/>
  <c r="CI24" i="1"/>
  <c r="CH24" i="1"/>
  <c r="CG24" i="1"/>
  <c r="CF24" i="1"/>
  <c r="CE24" i="1"/>
  <c r="CJ23" i="1"/>
  <c r="CI23" i="1"/>
  <c r="CH23" i="1"/>
  <c r="CG23" i="1"/>
  <c r="CF23" i="1"/>
  <c r="CE23" i="1"/>
  <c r="CJ22" i="1"/>
  <c r="CI22" i="1"/>
  <c r="CH22" i="1"/>
  <c r="CG22" i="1"/>
  <c r="CF22" i="1"/>
  <c r="CE22" i="1"/>
  <c r="CJ21" i="1"/>
  <c r="CI21" i="1"/>
  <c r="CH21" i="1"/>
  <c r="CG21" i="1"/>
  <c r="CF21" i="1"/>
  <c r="CE21" i="1"/>
  <c r="CJ20" i="1"/>
  <c r="CI20" i="1"/>
  <c r="CH20" i="1"/>
  <c r="CG20" i="1"/>
  <c r="CF20" i="1"/>
  <c r="CE20" i="1"/>
  <c r="CJ18" i="1"/>
  <c r="CI18" i="1"/>
  <c r="CH18" i="1"/>
  <c r="CG18" i="1"/>
  <c r="CF18" i="1"/>
  <c r="CE18" i="1"/>
  <c r="CJ17" i="1"/>
  <c r="CI17" i="1"/>
  <c r="CH17" i="1"/>
  <c r="CG17" i="1"/>
  <c r="CF17" i="1"/>
  <c r="CE17" i="1"/>
  <c r="CJ16" i="1"/>
  <c r="CI16" i="1"/>
  <c r="CH16" i="1"/>
  <c r="CG16" i="1"/>
  <c r="CF16" i="1"/>
  <c r="CE16" i="1"/>
  <c r="CJ15" i="1"/>
  <c r="CI15" i="1"/>
  <c r="CH15" i="1"/>
  <c r="CG15" i="1"/>
  <c r="CF15" i="1"/>
  <c r="CE15" i="1"/>
  <c r="CJ14" i="1"/>
  <c r="CI14" i="1"/>
  <c r="CH14" i="1"/>
  <c r="CG14" i="1"/>
  <c r="CF14" i="1"/>
  <c r="CE14" i="1"/>
  <c r="CJ13" i="1"/>
  <c r="CI13" i="1"/>
  <c r="CH13" i="1"/>
  <c r="CG13" i="1"/>
  <c r="CF13" i="1"/>
  <c r="CE13" i="1"/>
  <c r="CJ12" i="1"/>
  <c r="CI12" i="1"/>
  <c r="CH12" i="1"/>
  <c r="CG12" i="1"/>
  <c r="CF12" i="1"/>
  <c r="CE12" i="1"/>
  <c r="CJ10" i="1"/>
  <c r="CI10" i="1"/>
  <c r="CH10" i="1"/>
  <c r="CG10" i="1"/>
  <c r="CF10" i="1"/>
  <c r="CE10" i="1"/>
  <c r="CJ9" i="1"/>
  <c r="CI9" i="1"/>
  <c r="CH9" i="1"/>
  <c r="CG9" i="1"/>
  <c r="CF9" i="1"/>
  <c r="CE9" i="1"/>
  <c r="CJ8" i="1"/>
  <c r="CI8" i="1"/>
  <c r="CH8" i="1"/>
  <c r="CG8" i="1"/>
  <c r="CF8" i="1"/>
  <c r="CE8" i="1"/>
  <c r="CJ6" i="1"/>
  <c r="CI6" i="1"/>
  <c r="CH6" i="1"/>
  <c r="CG6" i="1"/>
  <c r="CF6" i="1"/>
  <c r="CE6" i="1"/>
  <c r="CJ5" i="1"/>
  <c r="CI5" i="1"/>
  <c r="CH5" i="1"/>
  <c r="CG5" i="1"/>
  <c r="CF5" i="1"/>
  <c r="CE5" i="1"/>
  <c r="CJ4" i="1"/>
  <c r="CI4" i="1"/>
  <c r="CH4" i="1"/>
  <c r="CG4" i="1"/>
  <c r="CF4" i="1"/>
  <c r="CE4" i="1"/>
  <c r="CD60" i="1"/>
  <c r="CC60" i="1"/>
  <c r="CB60" i="1"/>
  <c r="CA60" i="1"/>
  <c r="BZ60" i="1"/>
  <c r="BY60" i="1"/>
  <c r="CD59" i="1"/>
  <c r="CC59" i="1"/>
  <c r="CB59" i="1"/>
  <c r="CA59" i="1"/>
  <c r="BZ59" i="1"/>
  <c r="BY59" i="1"/>
  <c r="CD58" i="1"/>
  <c r="CC58" i="1"/>
  <c r="CB58" i="1"/>
  <c r="CA58" i="1"/>
  <c r="BZ58" i="1"/>
  <c r="BY58" i="1"/>
  <c r="CD57" i="1"/>
  <c r="CC57" i="1"/>
  <c r="CB57" i="1"/>
  <c r="CA57" i="1"/>
  <c r="BZ57" i="1"/>
  <c r="BY57" i="1"/>
  <c r="CD56" i="1"/>
  <c r="CC56" i="1"/>
  <c r="CB56" i="1"/>
  <c r="CA56" i="1"/>
  <c r="BZ56" i="1"/>
  <c r="BY56" i="1"/>
  <c r="CD55" i="1"/>
  <c r="CC55" i="1"/>
  <c r="CB55" i="1"/>
  <c r="CA55" i="1"/>
  <c r="BZ55" i="1"/>
  <c r="BY55" i="1"/>
  <c r="CD54" i="1"/>
  <c r="CC54" i="1"/>
  <c r="CB54" i="1"/>
  <c r="CA54" i="1"/>
  <c r="BZ54" i="1"/>
  <c r="BY54" i="1"/>
  <c r="CD53" i="1"/>
  <c r="CC53" i="1"/>
  <c r="CB53" i="1"/>
  <c r="CA53" i="1"/>
  <c r="BZ53" i="1"/>
  <c r="BY53" i="1"/>
  <c r="CD52" i="1"/>
  <c r="CC52" i="1"/>
  <c r="CB52" i="1"/>
  <c r="CA52" i="1"/>
  <c r="BZ52" i="1"/>
  <c r="BY52" i="1"/>
  <c r="CD51" i="1"/>
  <c r="CC51" i="1"/>
  <c r="CB51" i="1"/>
  <c r="CA51" i="1"/>
  <c r="BZ51" i="1"/>
  <c r="BY51" i="1"/>
  <c r="CD50" i="1"/>
  <c r="CC50" i="1"/>
  <c r="CB50" i="1"/>
  <c r="CA50" i="1"/>
  <c r="BZ50" i="1"/>
  <c r="BY50" i="1"/>
  <c r="CD49" i="1"/>
  <c r="CC49" i="1"/>
  <c r="CB49" i="1"/>
  <c r="CA49" i="1"/>
  <c r="BZ49" i="1"/>
  <c r="BY49" i="1"/>
  <c r="CD48" i="1"/>
  <c r="CC48" i="1"/>
  <c r="CB48" i="1"/>
  <c r="CA48" i="1"/>
  <c r="BZ48" i="1"/>
  <c r="BY48" i="1"/>
  <c r="CD47" i="1"/>
  <c r="CC47" i="1"/>
  <c r="CB47" i="1"/>
  <c r="CA47" i="1"/>
  <c r="BZ47" i="1"/>
  <c r="BY47" i="1"/>
  <c r="CD46" i="1"/>
  <c r="CC46" i="1"/>
  <c r="CB46" i="1"/>
  <c r="CA46" i="1"/>
  <c r="BZ46" i="1"/>
  <c r="BY46" i="1"/>
  <c r="CD45" i="1"/>
  <c r="CC45" i="1"/>
  <c r="CB45" i="1"/>
  <c r="CA45" i="1"/>
  <c r="BZ45" i="1"/>
  <c r="BY45" i="1"/>
  <c r="CD44" i="1"/>
  <c r="CC44" i="1"/>
  <c r="CB44" i="1"/>
  <c r="CA44" i="1"/>
  <c r="BZ44" i="1"/>
  <c r="BY44" i="1"/>
  <c r="CD43" i="1"/>
  <c r="CC43" i="1"/>
  <c r="CB43" i="1"/>
  <c r="CA43" i="1"/>
  <c r="BZ43" i="1"/>
  <c r="BY43" i="1"/>
  <c r="CD41" i="1"/>
  <c r="CC41" i="1"/>
  <c r="CB41" i="1"/>
  <c r="CA41" i="1"/>
  <c r="BZ41" i="1"/>
  <c r="BY41" i="1"/>
  <c r="CD40" i="1"/>
  <c r="CC40" i="1"/>
  <c r="CB40" i="1"/>
  <c r="CA40" i="1"/>
  <c r="BZ40" i="1"/>
  <c r="BY40" i="1"/>
  <c r="CD39" i="1"/>
  <c r="CC39" i="1"/>
  <c r="CB39" i="1"/>
  <c r="CA39" i="1"/>
  <c r="BZ39" i="1"/>
  <c r="BY39" i="1"/>
  <c r="CD38" i="1"/>
  <c r="CC38" i="1"/>
  <c r="CB38" i="1"/>
  <c r="CA38" i="1"/>
  <c r="BZ38" i="1"/>
  <c r="BY38" i="1"/>
  <c r="CD36" i="1"/>
  <c r="CC36" i="1"/>
  <c r="CB36" i="1"/>
  <c r="CA36" i="1"/>
  <c r="BZ36" i="1"/>
  <c r="BY36" i="1"/>
  <c r="CD35" i="1"/>
  <c r="CC35" i="1"/>
  <c r="CB35" i="1"/>
  <c r="CA35" i="1"/>
  <c r="BZ35" i="1"/>
  <c r="BY35" i="1"/>
  <c r="CD34" i="1"/>
  <c r="CC34" i="1"/>
  <c r="CB34" i="1"/>
  <c r="CA34" i="1"/>
  <c r="BZ34" i="1"/>
  <c r="BY34" i="1"/>
  <c r="CD32" i="1"/>
  <c r="CC32" i="1"/>
  <c r="CB32" i="1"/>
  <c r="CA32" i="1"/>
  <c r="BZ32" i="1"/>
  <c r="BY32" i="1"/>
  <c r="CD31" i="1"/>
  <c r="CC31" i="1"/>
  <c r="CB31" i="1"/>
  <c r="CA31" i="1"/>
  <c r="BZ31" i="1"/>
  <c r="BY31" i="1"/>
  <c r="CD30" i="1"/>
  <c r="CC30" i="1"/>
  <c r="CB30" i="1"/>
  <c r="CA30" i="1"/>
  <c r="BZ30" i="1"/>
  <c r="BY30" i="1"/>
  <c r="CD29" i="1"/>
  <c r="CC29" i="1"/>
  <c r="CB29" i="1"/>
  <c r="CA29" i="1"/>
  <c r="BZ29" i="1"/>
  <c r="BY29" i="1"/>
  <c r="CD28" i="1"/>
  <c r="CC28" i="1"/>
  <c r="CB28" i="1"/>
  <c r="CA28" i="1"/>
  <c r="BZ28" i="1"/>
  <c r="BY28" i="1"/>
  <c r="CD26" i="1"/>
  <c r="CC26" i="1"/>
  <c r="CB26" i="1"/>
  <c r="CA26" i="1"/>
  <c r="BZ26" i="1"/>
  <c r="BY26" i="1"/>
  <c r="CD25" i="1"/>
  <c r="CC25" i="1"/>
  <c r="CB25" i="1"/>
  <c r="CA25" i="1"/>
  <c r="BZ25" i="1"/>
  <c r="BY25" i="1"/>
  <c r="CD24" i="1"/>
  <c r="CC24" i="1"/>
  <c r="CB24" i="1"/>
  <c r="CA24" i="1"/>
  <c r="BZ24" i="1"/>
  <c r="BY24" i="1"/>
  <c r="CD23" i="1"/>
  <c r="CC23" i="1"/>
  <c r="CB23" i="1"/>
  <c r="CA23" i="1"/>
  <c r="BZ23" i="1"/>
  <c r="BY23" i="1"/>
  <c r="CD22" i="1"/>
  <c r="CC22" i="1"/>
  <c r="CB22" i="1"/>
  <c r="CA22" i="1"/>
  <c r="BZ22" i="1"/>
  <c r="BY22" i="1"/>
  <c r="CD21" i="1"/>
  <c r="CC21" i="1"/>
  <c r="CB21" i="1"/>
  <c r="CA21" i="1"/>
  <c r="BZ21" i="1"/>
  <c r="BY21" i="1"/>
  <c r="CD20" i="1"/>
  <c r="CC20" i="1"/>
  <c r="CB20" i="1"/>
  <c r="CA20" i="1"/>
  <c r="BZ20" i="1"/>
  <c r="BY20" i="1"/>
  <c r="CD18" i="1"/>
  <c r="CC18" i="1"/>
  <c r="CB18" i="1"/>
  <c r="CA18" i="1"/>
  <c r="BZ18" i="1"/>
  <c r="BY18" i="1"/>
  <c r="CD17" i="1"/>
  <c r="CC17" i="1"/>
  <c r="CB17" i="1"/>
  <c r="CA17" i="1"/>
  <c r="BZ17" i="1"/>
  <c r="BY17" i="1"/>
  <c r="CD16" i="1"/>
  <c r="CC16" i="1"/>
  <c r="CB16" i="1"/>
  <c r="CA16" i="1"/>
  <c r="BZ16" i="1"/>
  <c r="BY16" i="1"/>
  <c r="CD15" i="1"/>
  <c r="CC15" i="1"/>
  <c r="CB15" i="1"/>
  <c r="CA15" i="1"/>
  <c r="BZ15" i="1"/>
  <c r="BY15" i="1"/>
  <c r="CD14" i="1"/>
  <c r="CC14" i="1"/>
  <c r="CB14" i="1"/>
  <c r="CA14" i="1"/>
  <c r="BZ14" i="1"/>
  <c r="BY14" i="1"/>
  <c r="CD13" i="1"/>
  <c r="CC13" i="1"/>
  <c r="CB13" i="1"/>
  <c r="CA13" i="1"/>
  <c r="BZ13" i="1"/>
  <c r="BY13" i="1"/>
  <c r="CD12" i="1"/>
  <c r="CC12" i="1"/>
  <c r="CB12" i="1"/>
  <c r="CA12" i="1"/>
  <c r="BZ12" i="1"/>
  <c r="BY12" i="1"/>
  <c r="CD10" i="1"/>
  <c r="CC10" i="1"/>
  <c r="CB10" i="1"/>
  <c r="CA10" i="1"/>
  <c r="BZ10" i="1"/>
  <c r="BY10" i="1"/>
  <c r="CD9" i="1"/>
  <c r="CC9" i="1"/>
  <c r="CB9" i="1"/>
  <c r="CA9" i="1"/>
  <c r="BZ9" i="1"/>
  <c r="BY9" i="1"/>
  <c r="CD8" i="1"/>
  <c r="CC8" i="1"/>
  <c r="CB8" i="1"/>
  <c r="CA8" i="1"/>
  <c r="BZ8" i="1"/>
  <c r="BY8" i="1"/>
  <c r="CD6" i="1"/>
  <c r="CC6" i="1"/>
  <c r="CB6" i="1"/>
  <c r="CA6" i="1"/>
  <c r="BZ6" i="1"/>
  <c r="BY6" i="1"/>
  <c r="CD5" i="1"/>
  <c r="CC5" i="1"/>
  <c r="CB5" i="1"/>
  <c r="CA5" i="1"/>
  <c r="BZ5" i="1"/>
  <c r="BY5" i="1"/>
  <c r="CD4" i="1"/>
  <c r="CC4" i="1"/>
  <c r="CB4" i="1"/>
  <c r="CA4" i="1"/>
  <c r="BZ4" i="1"/>
  <c r="BY4" i="1"/>
  <c r="BX60" i="1"/>
  <c r="BW60" i="1"/>
  <c r="BV60" i="1"/>
  <c r="BU60" i="1"/>
  <c r="BT60" i="1"/>
  <c r="BS60" i="1"/>
  <c r="BX59" i="1"/>
  <c r="BW59" i="1"/>
  <c r="BV59" i="1"/>
  <c r="BU59" i="1"/>
  <c r="BT59" i="1"/>
  <c r="BS59" i="1"/>
  <c r="BX58" i="1"/>
  <c r="BW58" i="1"/>
  <c r="BV58" i="1"/>
  <c r="BU58" i="1"/>
  <c r="BT58" i="1"/>
  <c r="BS58" i="1"/>
  <c r="BX57" i="1"/>
  <c r="BW57" i="1"/>
  <c r="BV57" i="1"/>
  <c r="BU57" i="1"/>
  <c r="BT57" i="1"/>
  <c r="BS57" i="1"/>
  <c r="BX56" i="1"/>
  <c r="BW56" i="1"/>
  <c r="BV56" i="1"/>
  <c r="BU56" i="1"/>
  <c r="BT56" i="1"/>
  <c r="BS56" i="1"/>
  <c r="BX55" i="1"/>
  <c r="BW55" i="1"/>
  <c r="BV55" i="1"/>
  <c r="BU55" i="1"/>
  <c r="BT55" i="1"/>
  <c r="BS55" i="1"/>
  <c r="BX54" i="1"/>
  <c r="BW54" i="1"/>
  <c r="BV54" i="1"/>
  <c r="BU54" i="1"/>
  <c r="BT54" i="1"/>
  <c r="BS54" i="1"/>
  <c r="BX53" i="1"/>
  <c r="BW53" i="1"/>
  <c r="BV53" i="1"/>
  <c r="BU53" i="1"/>
  <c r="BT53" i="1"/>
  <c r="BS53" i="1"/>
  <c r="BX52" i="1"/>
  <c r="BW52" i="1"/>
  <c r="BV52" i="1"/>
  <c r="BU52" i="1"/>
  <c r="BT52" i="1"/>
  <c r="BS52" i="1"/>
  <c r="BX51" i="1"/>
  <c r="BW51" i="1"/>
  <c r="BV51" i="1"/>
  <c r="BU51" i="1"/>
  <c r="BT51" i="1"/>
  <c r="BS51" i="1"/>
  <c r="BX50" i="1"/>
  <c r="BW50" i="1"/>
  <c r="BV50" i="1"/>
  <c r="BU50" i="1"/>
  <c r="BT50" i="1"/>
  <c r="BS50" i="1"/>
  <c r="BX49" i="1"/>
  <c r="BW49" i="1"/>
  <c r="BV49" i="1"/>
  <c r="BU49" i="1"/>
  <c r="BT49" i="1"/>
  <c r="BS49" i="1"/>
  <c r="BX48" i="1"/>
  <c r="BW48" i="1"/>
  <c r="BV48" i="1"/>
  <c r="BU48" i="1"/>
  <c r="BT48" i="1"/>
  <c r="BS48" i="1"/>
  <c r="BX47" i="1"/>
  <c r="BW47" i="1"/>
  <c r="BV47" i="1"/>
  <c r="BU47" i="1"/>
  <c r="BT47" i="1"/>
  <c r="BS47" i="1"/>
  <c r="BX46" i="1"/>
  <c r="BW46" i="1"/>
  <c r="BV46" i="1"/>
  <c r="BU46" i="1"/>
  <c r="BT46" i="1"/>
  <c r="BS46" i="1"/>
  <c r="BX45" i="1"/>
  <c r="BW45" i="1"/>
  <c r="BV45" i="1"/>
  <c r="BU45" i="1"/>
  <c r="BT45" i="1"/>
  <c r="BS45" i="1"/>
  <c r="BX44" i="1"/>
  <c r="BW44" i="1"/>
  <c r="BV44" i="1"/>
  <c r="BU44" i="1"/>
  <c r="BT44" i="1"/>
  <c r="BS44" i="1"/>
  <c r="BX43" i="1"/>
  <c r="BW43" i="1"/>
  <c r="BV43" i="1"/>
  <c r="BU43" i="1"/>
  <c r="BT43" i="1"/>
  <c r="BS43" i="1"/>
  <c r="BX41" i="1"/>
  <c r="BW41" i="1"/>
  <c r="BV41" i="1"/>
  <c r="BU41" i="1"/>
  <c r="BT41" i="1"/>
  <c r="BS41" i="1"/>
  <c r="BX40" i="1"/>
  <c r="BW40" i="1"/>
  <c r="BV40" i="1"/>
  <c r="BU40" i="1"/>
  <c r="BT40" i="1"/>
  <c r="BS40" i="1"/>
  <c r="BX39" i="1"/>
  <c r="BW39" i="1"/>
  <c r="BV39" i="1"/>
  <c r="BU39" i="1"/>
  <c r="BT39" i="1"/>
  <c r="BS39" i="1"/>
  <c r="BX38" i="1"/>
  <c r="BW38" i="1"/>
  <c r="BV38" i="1"/>
  <c r="BU38" i="1"/>
  <c r="BT38" i="1"/>
  <c r="BS38" i="1"/>
  <c r="BX36" i="1"/>
  <c r="BW36" i="1"/>
  <c r="BV36" i="1"/>
  <c r="BU36" i="1"/>
  <c r="BT36" i="1"/>
  <c r="BS36" i="1"/>
  <c r="BX35" i="1"/>
  <c r="BW35" i="1"/>
  <c r="BV35" i="1"/>
  <c r="BU35" i="1"/>
  <c r="BT35" i="1"/>
  <c r="BS35" i="1"/>
  <c r="BX34" i="1"/>
  <c r="BW34" i="1"/>
  <c r="BV34" i="1"/>
  <c r="BU34" i="1"/>
  <c r="BT34" i="1"/>
  <c r="BS34" i="1"/>
  <c r="BX32" i="1"/>
  <c r="BW32" i="1"/>
  <c r="BV32" i="1"/>
  <c r="BU32" i="1"/>
  <c r="BT32" i="1"/>
  <c r="BS32" i="1"/>
  <c r="BX31" i="1"/>
  <c r="BW31" i="1"/>
  <c r="BV31" i="1"/>
  <c r="BU31" i="1"/>
  <c r="BT31" i="1"/>
  <c r="BS31" i="1"/>
  <c r="BX30" i="1"/>
  <c r="BW30" i="1"/>
  <c r="BV30" i="1"/>
  <c r="BU30" i="1"/>
  <c r="BT30" i="1"/>
  <c r="BS30" i="1"/>
  <c r="BX29" i="1"/>
  <c r="BW29" i="1"/>
  <c r="BV29" i="1"/>
  <c r="BU29" i="1"/>
  <c r="BT29" i="1"/>
  <c r="BS29" i="1"/>
  <c r="BX28" i="1"/>
  <c r="BW28" i="1"/>
  <c r="BV28" i="1"/>
  <c r="BU28" i="1"/>
  <c r="BT28" i="1"/>
  <c r="BS28" i="1"/>
  <c r="BX26" i="1"/>
  <c r="BW26" i="1"/>
  <c r="BV26" i="1"/>
  <c r="BU26" i="1"/>
  <c r="BT26" i="1"/>
  <c r="BS26" i="1"/>
  <c r="BX25" i="1"/>
  <c r="BW25" i="1"/>
  <c r="BV25" i="1"/>
  <c r="BU25" i="1"/>
  <c r="BT25" i="1"/>
  <c r="BS25" i="1"/>
  <c r="BX24" i="1"/>
  <c r="BW24" i="1"/>
  <c r="BV24" i="1"/>
  <c r="BU24" i="1"/>
  <c r="BT24" i="1"/>
  <c r="BS24" i="1"/>
  <c r="BX23" i="1"/>
  <c r="BW23" i="1"/>
  <c r="BV23" i="1"/>
  <c r="BU23" i="1"/>
  <c r="BT23" i="1"/>
  <c r="BS23" i="1"/>
  <c r="BX22" i="1"/>
  <c r="BW22" i="1"/>
  <c r="BV22" i="1"/>
  <c r="BU22" i="1"/>
  <c r="BT22" i="1"/>
  <c r="BS22" i="1"/>
  <c r="BX21" i="1"/>
  <c r="BW21" i="1"/>
  <c r="BV21" i="1"/>
  <c r="BU21" i="1"/>
  <c r="BT21" i="1"/>
  <c r="BS21" i="1"/>
  <c r="BX20" i="1"/>
  <c r="BW20" i="1"/>
  <c r="BV20" i="1"/>
  <c r="BU20" i="1"/>
  <c r="BT20" i="1"/>
  <c r="BS20" i="1"/>
  <c r="BX18" i="1"/>
  <c r="BW18" i="1"/>
  <c r="BV18" i="1"/>
  <c r="BU18" i="1"/>
  <c r="BT18" i="1"/>
  <c r="BS18" i="1"/>
  <c r="BX17" i="1"/>
  <c r="BW17" i="1"/>
  <c r="BV17" i="1"/>
  <c r="BU17" i="1"/>
  <c r="BT17" i="1"/>
  <c r="BS17" i="1"/>
  <c r="BX16" i="1"/>
  <c r="BW16" i="1"/>
  <c r="BV16" i="1"/>
  <c r="BU16" i="1"/>
  <c r="BT16" i="1"/>
  <c r="BS16" i="1"/>
  <c r="BX15" i="1"/>
  <c r="BW15" i="1"/>
  <c r="BV15" i="1"/>
  <c r="BU15" i="1"/>
  <c r="BT15" i="1"/>
  <c r="BS15" i="1"/>
  <c r="BX14" i="1"/>
  <c r="BW14" i="1"/>
  <c r="BV14" i="1"/>
  <c r="BU14" i="1"/>
  <c r="BT14" i="1"/>
  <c r="BS14" i="1"/>
  <c r="BX13" i="1"/>
  <c r="BW13" i="1"/>
  <c r="BV13" i="1"/>
  <c r="BU13" i="1"/>
  <c r="BT13" i="1"/>
  <c r="BS13" i="1"/>
  <c r="BX12" i="1"/>
  <c r="BW12" i="1"/>
  <c r="BV12" i="1"/>
  <c r="BU12" i="1"/>
  <c r="BT12" i="1"/>
  <c r="BS12" i="1"/>
  <c r="BX10" i="1"/>
  <c r="BW10" i="1"/>
  <c r="BV10" i="1"/>
  <c r="BU10" i="1"/>
  <c r="BT10" i="1"/>
  <c r="BS10" i="1"/>
  <c r="BX9" i="1"/>
  <c r="BW9" i="1"/>
  <c r="BV9" i="1"/>
  <c r="BU9" i="1"/>
  <c r="BT9" i="1"/>
  <c r="BS9" i="1"/>
  <c r="BX8" i="1"/>
  <c r="BW8" i="1"/>
  <c r="BV8" i="1"/>
  <c r="BU8" i="1"/>
  <c r="BT8" i="1"/>
  <c r="BS8" i="1"/>
  <c r="BX6" i="1"/>
  <c r="BW6" i="1"/>
  <c r="BV6" i="1"/>
  <c r="BU6" i="1"/>
  <c r="BT6" i="1"/>
  <c r="BS6" i="1"/>
  <c r="BX5" i="1"/>
  <c r="BW5" i="1"/>
  <c r="BV5" i="1"/>
  <c r="BU5" i="1"/>
  <c r="BT5" i="1"/>
  <c r="BS5" i="1"/>
  <c r="BX4" i="1"/>
  <c r="BW4" i="1"/>
  <c r="BV4" i="1"/>
  <c r="BU4" i="1"/>
  <c r="BT4" i="1"/>
  <c r="BS4" i="1"/>
  <c r="BQ60" i="1"/>
  <c r="BP60" i="1"/>
  <c r="BO60" i="1"/>
  <c r="BN60" i="1"/>
  <c r="BM60" i="1"/>
  <c r="BL60" i="1"/>
  <c r="BK60" i="1"/>
  <c r="BQ59" i="1"/>
  <c r="BP59" i="1"/>
  <c r="BO59" i="1"/>
  <c r="BN59" i="1"/>
  <c r="BM59" i="1"/>
  <c r="BL59" i="1"/>
  <c r="BK59" i="1"/>
  <c r="BQ58" i="1"/>
  <c r="BP58" i="1"/>
  <c r="BO58" i="1"/>
  <c r="BN58" i="1"/>
  <c r="BM58" i="1"/>
  <c r="BL58" i="1"/>
  <c r="BK58" i="1"/>
  <c r="BQ57" i="1"/>
  <c r="BP57" i="1"/>
  <c r="BO57" i="1"/>
  <c r="BN57" i="1"/>
  <c r="BM57" i="1"/>
  <c r="BL57" i="1"/>
  <c r="BK57" i="1"/>
  <c r="BQ56" i="1"/>
  <c r="BP56" i="1"/>
  <c r="BO56" i="1"/>
  <c r="BN56" i="1"/>
  <c r="BM56" i="1"/>
  <c r="BL56" i="1"/>
  <c r="BK56" i="1"/>
  <c r="BQ55" i="1"/>
  <c r="BP55" i="1"/>
  <c r="BO55" i="1"/>
  <c r="BN55" i="1"/>
  <c r="BM55" i="1"/>
  <c r="BL55" i="1"/>
  <c r="BK55" i="1"/>
  <c r="BQ54" i="1"/>
  <c r="BP54" i="1"/>
  <c r="BO54" i="1"/>
  <c r="BN54" i="1"/>
  <c r="BM54" i="1"/>
  <c r="BL54" i="1"/>
  <c r="BK54" i="1"/>
  <c r="BQ53" i="1"/>
  <c r="BP53" i="1"/>
  <c r="BO53" i="1"/>
  <c r="BN53" i="1"/>
  <c r="BM53" i="1"/>
  <c r="BL53" i="1"/>
  <c r="BK53" i="1"/>
  <c r="BQ52" i="1"/>
  <c r="BP52" i="1"/>
  <c r="BO52" i="1"/>
  <c r="BN52" i="1"/>
  <c r="BM52" i="1"/>
  <c r="BL52" i="1"/>
  <c r="BK52" i="1"/>
  <c r="BQ51" i="1"/>
  <c r="BP51" i="1"/>
  <c r="BO51" i="1"/>
  <c r="BN51" i="1"/>
  <c r="BM51" i="1"/>
  <c r="BL51" i="1"/>
  <c r="BK51" i="1"/>
  <c r="BQ50" i="1"/>
  <c r="BP50" i="1"/>
  <c r="BO50" i="1"/>
  <c r="BN50" i="1"/>
  <c r="BM50" i="1"/>
  <c r="BL50" i="1"/>
  <c r="BK50" i="1"/>
  <c r="BQ49" i="1"/>
  <c r="BP49" i="1"/>
  <c r="BO49" i="1"/>
  <c r="BN49" i="1"/>
  <c r="BM49" i="1"/>
  <c r="BL49" i="1"/>
  <c r="BK49" i="1"/>
  <c r="BQ48" i="1"/>
  <c r="BP48" i="1"/>
  <c r="BO48" i="1"/>
  <c r="BN48" i="1"/>
  <c r="BM48" i="1"/>
  <c r="BL48" i="1"/>
  <c r="BK48" i="1"/>
  <c r="BQ47" i="1"/>
  <c r="BP47" i="1"/>
  <c r="BO47" i="1"/>
  <c r="BN47" i="1"/>
  <c r="BM47" i="1"/>
  <c r="BL47" i="1"/>
  <c r="BK47" i="1"/>
  <c r="BQ46" i="1"/>
  <c r="BP46" i="1"/>
  <c r="BO46" i="1"/>
  <c r="BN46" i="1"/>
  <c r="BM46" i="1"/>
  <c r="BL46" i="1"/>
  <c r="BK46" i="1"/>
  <c r="BQ45" i="1"/>
  <c r="BP45" i="1"/>
  <c r="BO45" i="1"/>
  <c r="BN45" i="1"/>
  <c r="BM45" i="1"/>
  <c r="BL45" i="1"/>
  <c r="BK45" i="1"/>
  <c r="BQ44" i="1"/>
  <c r="BP44" i="1"/>
  <c r="BO44" i="1"/>
  <c r="BN44" i="1"/>
  <c r="BM44" i="1"/>
  <c r="BL44" i="1"/>
  <c r="BK44" i="1"/>
  <c r="BQ43" i="1"/>
  <c r="BP43" i="1"/>
  <c r="BO43" i="1"/>
  <c r="BN43" i="1"/>
  <c r="BM43" i="1"/>
  <c r="BL43" i="1"/>
  <c r="BK43" i="1"/>
  <c r="BQ41" i="1"/>
  <c r="BP41" i="1"/>
  <c r="BO41" i="1"/>
  <c r="BN41" i="1"/>
  <c r="BM41" i="1"/>
  <c r="BL41" i="1"/>
  <c r="BK41" i="1"/>
  <c r="BQ40" i="1"/>
  <c r="BP40" i="1"/>
  <c r="BO40" i="1"/>
  <c r="BN40" i="1"/>
  <c r="BM40" i="1"/>
  <c r="BL40" i="1"/>
  <c r="BK40" i="1"/>
  <c r="BQ39" i="1"/>
  <c r="BP39" i="1"/>
  <c r="BO39" i="1"/>
  <c r="BN39" i="1"/>
  <c r="BM39" i="1"/>
  <c r="BL39" i="1"/>
  <c r="BK39" i="1"/>
  <c r="BQ38" i="1"/>
  <c r="BP38" i="1"/>
  <c r="BO38" i="1"/>
  <c r="BN38" i="1"/>
  <c r="BM38" i="1"/>
  <c r="BL38" i="1"/>
  <c r="BK38" i="1"/>
  <c r="BQ36" i="1"/>
  <c r="BP36" i="1"/>
  <c r="BO36" i="1"/>
  <c r="BN36" i="1"/>
  <c r="BM36" i="1"/>
  <c r="BL36" i="1"/>
  <c r="BK36" i="1"/>
  <c r="BQ35" i="1"/>
  <c r="BP35" i="1"/>
  <c r="BO35" i="1"/>
  <c r="BN35" i="1"/>
  <c r="BM35" i="1"/>
  <c r="BL35" i="1"/>
  <c r="BK35" i="1"/>
  <c r="BQ34" i="1"/>
  <c r="BP34" i="1"/>
  <c r="BO34" i="1"/>
  <c r="BN34" i="1"/>
  <c r="BM34" i="1"/>
  <c r="BL34" i="1"/>
  <c r="BK34" i="1"/>
  <c r="BQ32" i="1"/>
  <c r="BP32" i="1"/>
  <c r="BO32" i="1"/>
  <c r="BN32" i="1"/>
  <c r="BM32" i="1"/>
  <c r="BL32" i="1"/>
  <c r="BK32" i="1"/>
  <c r="BQ31" i="1"/>
  <c r="BP31" i="1"/>
  <c r="BO31" i="1"/>
  <c r="BN31" i="1"/>
  <c r="BM31" i="1"/>
  <c r="BL31" i="1"/>
  <c r="BK31" i="1"/>
  <c r="BQ30" i="1"/>
  <c r="BP30" i="1"/>
  <c r="BO30" i="1"/>
  <c r="BN30" i="1"/>
  <c r="BM30" i="1"/>
  <c r="BL30" i="1"/>
  <c r="BK30" i="1"/>
  <c r="BQ29" i="1"/>
  <c r="BP29" i="1"/>
  <c r="BO29" i="1"/>
  <c r="BN29" i="1"/>
  <c r="BM29" i="1"/>
  <c r="BL29" i="1"/>
  <c r="BK29" i="1"/>
  <c r="BQ28" i="1"/>
  <c r="BP28" i="1"/>
  <c r="BO28" i="1"/>
  <c r="BN28" i="1"/>
  <c r="BM28" i="1"/>
  <c r="BL28" i="1"/>
  <c r="BK28" i="1"/>
  <c r="BQ26" i="1"/>
  <c r="BP26" i="1"/>
  <c r="BO26" i="1"/>
  <c r="BN26" i="1"/>
  <c r="BM26" i="1"/>
  <c r="BL26" i="1"/>
  <c r="BK26" i="1"/>
  <c r="BQ25" i="1"/>
  <c r="BP25" i="1"/>
  <c r="BO25" i="1"/>
  <c r="BN25" i="1"/>
  <c r="BM25" i="1"/>
  <c r="BL25" i="1"/>
  <c r="BK25" i="1"/>
  <c r="BQ24" i="1"/>
  <c r="BP24" i="1"/>
  <c r="BO24" i="1"/>
  <c r="BN24" i="1"/>
  <c r="BM24" i="1"/>
  <c r="BL24" i="1"/>
  <c r="BK24" i="1"/>
  <c r="BQ23" i="1"/>
  <c r="BP23" i="1"/>
  <c r="BO23" i="1"/>
  <c r="BN23" i="1"/>
  <c r="BM23" i="1"/>
  <c r="BL23" i="1"/>
  <c r="BK23" i="1"/>
  <c r="BQ22" i="1"/>
  <c r="BP22" i="1"/>
  <c r="BO22" i="1"/>
  <c r="BN22" i="1"/>
  <c r="BM22" i="1"/>
  <c r="BL22" i="1"/>
  <c r="BK22" i="1"/>
  <c r="BQ21" i="1"/>
  <c r="BP21" i="1"/>
  <c r="BO21" i="1"/>
  <c r="BN21" i="1"/>
  <c r="BM21" i="1"/>
  <c r="BL21" i="1"/>
  <c r="BK21" i="1"/>
  <c r="BQ20" i="1"/>
  <c r="BP20" i="1"/>
  <c r="BO20" i="1"/>
  <c r="BN20" i="1"/>
  <c r="BM20" i="1"/>
  <c r="BL20" i="1"/>
  <c r="BK20" i="1"/>
  <c r="BQ18" i="1"/>
  <c r="BP18" i="1"/>
  <c r="BO18" i="1"/>
  <c r="BN18" i="1"/>
  <c r="BM18" i="1"/>
  <c r="BL18" i="1"/>
  <c r="BK18" i="1"/>
  <c r="BQ17" i="1"/>
  <c r="BP17" i="1"/>
  <c r="BO17" i="1"/>
  <c r="BN17" i="1"/>
  <c r="BM17" i="1"/>
  <c r="BL17" i="1"/>
  <c r="BK17" i="1"/>
  <c r="BQ16" i="1"/>
  <c r="BP16" i="1"/>
  <c r="BO16" i="1"/>
  <c r="BN16" i="1"/>
  <c r="BM16" i="1"/>
  <c r="BL16" i="1"/>
  <c r="BK16" i="1"/>
  <c r="BQ15" i="1"/>
  <c r="BP15" i="1"/>
  <c r="BO15" i="1"/>
  <c r="BN15" i="1"/>
  <c r="BM15" i="1"/>
  <c r="BL15" i="1"/>
  <c r="BK15" i="1"/>
  <c r="BQ14" i="1"/>
  <c r="BP14" i="1"/>
  <c r="BO14" i="1"/>
  <c r="BN14" i="1"/>
  <c r="BM14" i="1"/>
  <c r="BL14" i="1"/>
  <c r="BK14" i="1"/>
  <c r="BQ13" i="1"/>
  <c r="BP13" i="1"/>
  <c r="BO13" i="1"/>
  <c r="BN13" i="1"/>
  <c r="BM13" i="1"/>
  <c r="BL13" i="1"/>
  <c r="BK13" i="1"/>
  <c r="BQ12" i="1"/>
  <c r="BP12" i="1"/>
  <c r="BO12" i="1"/>
  <c r="BN12" i="1"/>
  <c r="BM12" i="1"/>
  <c r="BL12" i="1"/>
  <c r="BK12" i="1"/>
  <c r="BQ10" i="1"/>
  <c r="BP10" i="1"/>
  <c r="BO10" i="1"/>
  <c r="BN10" i="1"/>
  <c r="BM10" i="1"/>
  <c r="BL10" i="1"/>
  <c r="BK10" i="1"/>
  <c r="BQ9" i="1"/>
  <c r="BP9" i="1"/>
  <c r="BO9" i="1"/>
  <c r="BN9" i="1"/>
  <c r="BM9" i="1"/>
  <c r="BL9" i="1"/>
  <c r="BK9" i="1"/>
  <c r="BQ8" i="1"/>
  <c r="BP8" i="1"/>
  <c r="BO8" i="1"/>
  <c r="BN8" i="1"/>
  <c r="BM8" i="1"/>
  <c r="BL8" i="1"/>
  <c r="BK8" i="1"/>
  <c r="BQ6" i="1"/>
  <c r="BP6" i="1"/>
  <c r="BO6" i="1"/>
  <c r="BN6" i="1"/>
  <c r="BM6" i="1"/>
  <c r="BL6" i="1"/>
  <c r="BK6" i="1"/>
  <c r="BQ5" i="1"/>
  <c r="BP5" i="1"/>
  <c r="BO5" i="1"/>
  <c r="BN5" i="1"/>
  <c r="BM5" i="1"/>
  <c r="BL5" i="1"/>
  <c r="BK5" i="1"/>
  <c r="BQ4" i="1"/>
  <c r="BP4" i="1"/>
  <c r="BO4" i="1"/>
  <c r="BN4" i="1"/>
  <c r="BM4" i="1"/>
  <c r="BL4" i="1"/>
  <c r="BK4" i="1"/>
  <c r="BJ60" i="1"/>
  <c r="BI60" i="1"/>
  <c r="BH60" i="1"/>
  <c r="BG60" i="1"/>
  <c r="BF60" i="1"/>
  <c r="BE60" i="1"/>
  <c r="BD60" i="1"/>
  <c r="BJ59" i="1"/>
  <c r="BI59" i="1"/>
  <c r="BH59" i="1"/>
  <c r="BG59" i="1"/>
  <c r="BF59" i="1"/>
  <c r="BE59" i="1"/>
  <c r="BD59" i="1"/>
  <c r="BJ58" i="1"/>
  <c r="BI58" i="1"/>
  <c r="BH58" i="1"/>
  <c r="BG58" i="1"/>
  <c r="BF58" i="1"/>
  <c r="BE58" i="1"/>
  <c r="BD58" i="1"/>
  <c r="BJ57" i="1"/>
  <c r="BI57" i="1"/>
  <c r="BH57" i="1"/>
  <c r="BG57" i="1"/>
  <c r="BF57" i="1"/>
  <c r="BE57" i="1"/>
  <c r="BD57" i="1"/>
  <c r="BJ56" i="1"/>
  <c r="BI56" i="1"/>
  <c r="BH56" i="1"/>
  <c r="BG56" i="1"/>
  <c r="BF56" i="1"/>
  <c r="BE56" i="1"/>
  <c r="BD56" i="1"/>
  <c r="BJ55" i="1"/>
  <c r="BI55" i="1"/>
  <c r="BH55" i="1"/>
  <c r="BG55" i="1"/>
  <c r="BF55" i="1"/>
  <c r="BE55" i="1"/>
  <c r="BD55" i="1"/>
  <c r="BJ54" i="1"/>
  <c r="BI54" i="1"/>
  <c r="BH54" i="1"/>
  <c r="BG54" i="1"/>
  <c r="BF54" i="1"/>
  <c r="BE54" i="1"/>
  <c r="BD54" i="1"/>
  <c r="BJ53" i="1"/>
  <c r="BI53" i="1"/>
  <c r="BH53" i="1"/>
  <c r="BG53" i="1"/>
  <c r="BF53" i="1"/>
  <c r="BE53" i="1"/>
  <c r="BD53" i="1"/>
  <c r="BJ52" i="1"/>
  <c r="BI52" i="1"/>
  <c r="BH52" i="1"/>
  <c r="BG52" i="1"/>
  <c r="BF52" i="1"/>
  <c r="BE52" i="1"/>
  <c r="BD52" i="1"/>
  <c r="BJ51" i="1"/>
  <c r="BI51" i="1"/>
  <c r="BH51" i="1"/>
  <c r="BG51" i="1"/>
  <c r="BF51" i="1"/>
  <c r="BE51" i="1"/>
  <c r="BD51" i="1"/>
  <c r="BJ50" i="1"/>
  <c r="BI50" i="1"/>
  <c r="BH50" i="1"/>
  <c r="BG50" i="1"/>
  <c r="BF50" i="1"/>
  <c r="BE50" i="1"/>
  <c r="BD50" i="1"/>
  <c r="BJ49" i="1"/>
  <c r="BI49" i="1"/>
  <c r="BH49" i="1"/>
  <c r="BG49" i="1"/>
  <c r="BF49" i="1"/>
  <c r="BE49" i="1"/>
  <c r="BD49" i="1"/>
  <c r="BJ48" i="1"/>
  <c r="BI48" i="1"/>
  <c r="BH48" i="1"/>
  <c r="BG48" i="1"/>
  <c r="BF48" i="1"/>
  <c r="BE48" i="1"/>
  <c r="BD48" i="1"/>
  <c r="BJ47" i="1"/>
  <c r="BI47" i="1"/>
  <c r="BH47" i="1"/>
  <c r="BG47" i="1"/>
  <c r="BF47" i="1"/>
  <c r="BE47" i="1"/>
  <c r="BD47" i="1"/>
  <c r="BJ46" i="1"/>
  <c r="BI46" i="1"/>
  <c r="BH46" i="1"/>
  <c r="BG46" i="1"/>
  <c r="BF46" i="1"/>
  <c r="BE46" i="1"/>
  <c r="BD46" i="1"/>
  <c r="BJ45" i="1"/>
  <c r="BI45" i="1"/>
  <c r="BH45" i="1"/>
  <c r="BG45" i="1"/>
  <c r="BF45" i="1"/>
  <c r="BE45" i="1"/>
  <c r="BD45" i="1"/>
  <c r="BJ44" i="1"/>
  <c r="BI44" i="1"/>
  <c r="BH44" i="1"/>
  <c r="BG44" i="1"/>
  <c r="BF44" i="1"/>
  <c r="BE44" i="1"/>
  <c r="BD44" i="1"/>
  <c r="BJ43" i="1"/>
  <c r="BI43" i="1"/>
  <c r="BH43" i="1"/>
  <c r="BG43" i="1"/>
  <c r="BF43" i="1"/>
  <c r="BE43" i="1"/>
  <c r="BD43" i="1"/>
  <c r="BJ41" i="1"/>
  <c r="BI41" i="1"/>
  <c r="BH41" i="1"/>
  <c r="BG41" i="1"/>
  <c r="BF41" i="1"/>
  <c r="BE41" i="1"/>
  <c r="BD41" i="1"/>
  <c r="BJ40" i="1"/>
  <c r="BI40" i="1"/>
  <c r="BH40" i="1"/>
  <c r="BG40" i="1"/>
  <c r="BF40" i="1"/>
  <c r="BE40" i="1"/>
  <c r="BD40" i="1"/>
  <c r="BJ39" i="1"/>
  <c r="BI39" i="1"/>
  <c r="BH39" i="1"/>
  <c r="BG39" i="1"/>
  <c r="BF39" i="1"/>
  <c r="BE39" i="1"/>
  <c r="BD39" i="1"/>
  <c r="BJ38" i="1"/>
  <c r="BI38" i="1"/>
  <c r="BH38" i="1"/>
  <c r="BG38" i="1"/>
  <c r="BF38" i="1"/>
  <c r="BE38" i="1"/>
  <c r="BD38" i="1"/>
  <c r="BJ36" i="1"/>
  <c r="BI36" i="1"/>
  <c r="BH36" i="1"/>
  <c r="BG36" i="1"/>
  <c r="BF36" i="1"/>
  <c r="BE36" i="1"/>
  <c r="BD36" i="1"/>
  <c r="BJ35" i="1"/>
  <c r="BI35" i="1"/>
  <c r="BH35" i="1"/>
  <c r="BG35" i="1"/>
  <c r="BF35" i="1"/>
  <c r="BE35" i="1"/>
  <c r="BD35" i="1"/>
  <c r="BJ34" i="1"/>
  <c r="BI34" i="1"/>
  <c r="BH34" i="1"/>
  <c r="BG34" i="1"/>
  <c r="BF34" i="1"/>
  <c r="BE34" i="1"/>
  <c r="BD34" i="1"/>
  <c r="BJ32" i="1"/>
  <c r="BI32" i="1"/>
  <c r="BH32" i="1"/>
  <c r="BG32" i="1"/>
  <c r="BF32" i="1"/>
  <c r="BE32" i="1"/>
  <c r="BD32" i="1"/>
  <c r="BJ31" i="1"/>
  <c r="BI31" i="1"/>
  <c r="BH31" i="1"/>
  <c r="BG31" i="1"/>
  <c r="BF31" i="1"/>
  <c r="BE31" i="1"/>
  <c r="BD31" i="1"/>
  <c r="BJ30" i="1"/>
  <c r="BI30" i="1"/>
  <c r="BH30" i="1"/>
  <c r="BG30" i="1"/>
  <c r="BF30" i="1"/>
  <c r="BE30" i="1"/>
  <c r="BD30" i="1"/>
  <c r="BJ29" i="1"/>
  <c r="BI29" i="1"/>
  <c r="BH29" i="1"/>
  <c r="BG29" i="1"/>
  <c r="BF29" i="1"/>
  <c r="BE29" i="1"/>
  <c r="BD29" i="1"/>
  <c r="BJ28" i="1"/>
  <c r="BI28" i="1"/>
  <c r="BH28" i="1"/>
  <c r="BG28" i="1"/>
  <c r="BF28" i="1"/>
  <c r="BE28" i="1"/>
  <c r="BD28" i="1"/>
  <c r="BJ26" i="1"/>
  <c r="BI26" i="1"/>
  <c r="BH26" i="1"/>
  <c r="BG26" i="1"/>
  <c r="BF26" i="1"/>
  <c r="BE26" i="1"/>
  <c r="BD26" i="1"/>
  <c r="BJ25" i="1"/>
  <c r="BI25" i="1"/>
  <c r="BH25" i="1"/>
  <c r="BG25" i="1"/>
  <c r="BF25" i="1"/>
  <c r="BE25" i="1"/>
  <c r="BD25" i="1"/>
  <c r="BJ24" i="1"/>
  <c r="BI24" i="1"/>
  <c r="BH24" i="1"/>
  <c r="BG24" i="1"/>
  <c r="BF24" i="1"/>
  <c r="BE24" i="1"/>
  <c r="BD24" i="1"/>
  <c r="BJ23" i="1"/>
  <c r="BI23" i="1"/>
  <c r="BH23" i="1"/>
  <c r="BG23" i="1"/>
  <c r="BF23" i="1"/>
  <c r="BE23" i="1"/>
  <c r="BD23" i="1"/>
  <c r="BJ22" i="1"/>
  <c r="BI22" i="1"/>
  <c r="BH22" i="1"/>
  <c r="BG22" i="1"/>
  <c r="BF22" i="1"/>
  <c r="BE22" i="1"/>
  <c r="BD22" i="1"/>
  <c r="BJ21" i="1"/>
  <c r="BI21" i="1"/>
  <c r="BH21" i="1"/>
  <c r="BG21" i="1"/>
  <c r="BF21" i="1"/>
  <c r="BE21" i="1"/>
  <c r="BD21" i="1"/>
  <c r="BJ20" i="1"/>
  <c r="BI20" i="1"/>
  <c r="BH20" i="1"/>
  <c r="BG20" i="1"/>
  <c r="BF20" i="1"/>
  <c r="BE20" i="1"/>
  <c r="BD20" i="1"/>
  <c r="BJ18" i="1"/>
  <c r="BI18" i="1"/>
  <c r="BH18" i="1"/>
  <c r="BG18" i="1"/>
  <c r="BF18" i="1"/>
  <c r="BE18" i="1"/>
  <c r="BD18" i="1"/>
  <c r="BJ17" i="1"/>
  <c r="BI17" i="1"/>
  <c r="BH17" i="1"/>
  <c r="BG17" i="1"/>
  <c r="BF17" i="1"/>
  <c r="BE17" i="1"/>
  <c r="BD17" i="1"/>
  <c r="BJ16" i="1"/>
  <c r="BI16" i="1"/>
  <c r="BH16" i="1"/>
  <c r="BG16" i="1"/>
  <c r="BF16" i="1"/>
  <c r="BE16" i="1"/>
  <c r="BD16" i="1"/>
  <c r="BJ15" i="1"/>
  <c r="BI15" i="1"/>
  <c r="BH15" i="1"/>
  <c r="BG15" i="1"/>
  <c r="BF15" i="1"/>
  <c r="BE15" i="1"/>
  <c r="BD15" i="1"/>
  <c r="BJ14" i="1"/>
  <c r="BI14" i="1"/>
  <c r="BH14" i="1"/>
  <c r="BG14" i="1"/>
  <c r="BF14" i="1"/>
  <c r="BE14" i="1"/>
  <c r="BD14" i="1"/>
  <c r="BJ13" i="1"/>
  <c r="BI13" i="1"/>
  <c r="BH13" i="1"/>
  <c r="BG13" i="1"/>
  <c r="BF13" i="1"/>
  <c r="BE13" i="1"/>
  <c r="BD13" i="1"/>
  <c r="BJ12" i="1"/>
  <c r="BI12" i="1"/>
  <c r="BH12" i="1"/>
  <c r="BG12" i="1"/>
  <c r="BF12" i="1"/>
  <c r="BE12" i="1"/>
  <c r="BD12" i="1"/>
  <c r="BJ10" i="1"/>
  <c r="BI10" i="1"/>
  <c r="BH10" i="1"/>
  <c r="BG10" i="1"/>
  <c r="BF10" i="1"/>
  <c r="BE10" i="1"/>
  <c r="BD10" i="1"/>
  <c r="BJ9" i="1"/>
  <c r="BI9" i="1"/>
  <c r="BH9" i="1"/>
  <c r="BG9" i="1"/>
  <c r="BF9" i="1"/>
  <c r="BE9" i="1"/>
  <c r="BD9" i="1"/>
  <c r="BJ8" i="1"/>
  <c r="BI8" i="1"/>
  <c r="BH8" i="1"/>
  <c r="BG8" i="1"/>
  <c r="BF8" i="1"/>
  <c r="BE8" i="1"/>
  <c r="BD8" i="1"/>
  <c r="BJ6" i="1"/>
  <c r="BI6" i="1"/>
  <c r="BH6" i="1"/>
  <c r="BG6" i="1"/>
  <c r="BF6" i="1"/>
  <c r="BE6" i="1"/>
  <c r="BD6" i="1"/>
  <c r="BJ5" i="1"/>
  <c r="BI5" i="1"/>
  <c r="BH5" i="1"/>
  <c r="BG5" i="1"/>
  <c r="BF5" i="1"/>
  <c r="BE5" i="1"/>
  <c r="BD5" i="1"/>
  <c r="BJ4" i="1"/>
  <c r="BI4" i="1"/>
  <c r="BH4" i="1"/>
  <c r="BG4" i="1"/>
  <c r="BF4" i="1"/>
  <c r="BE4" i="1"/>
  <c r="BD4" i="1"/>
  <c r="BC60" i="1"/>
  <c r="BB60" i="1"/>
  <c r="BA60" i="1"/>
  <c r="AZ60" i="1"/>
  <c r="AY60" i="1"/>
  <c r="AX60" i="1"/>
  <c r="AW60" i="1"/>
  <c r="BC59" i="1"/>
  <c r="BB59" i="1"/>
  <c r="BA59" i="1"/>
  <c r="AZ59" i="1"/>
  <c r="AY59" i="1"/>
  <c r="AX59" i="1"/>
  <c r="AW59" i="1"/>
  <c r="BC58" i="1"/>
  <c r="BB58" i="1"/>
  <c r="BA58" i="1"/>
  <c r="AZ58" i="1"/>
  <c r="AY58" i="1"/>
  <c r="AX58" i="1"/>
  <c r="AW58" i="1"/>
  <c r="BC57" i="1"/>
  <c r="BB57" i="1"/>
  <c r="BA57" i="1"/>
  <c r="AZ57" i="1"/>
  <c r="AY57" i="1"/>
  <c r="AX57" i="1"/>
  <c r="AW57" i="1"/>
  <c r="BC56" i="1"/>
  <c r="BB56" i="1"/>
  <c r="BA56" i="1"/>
  <c r="AZ56" i="1"/>
  <c r="AY56" i="1"/>
  <c r="AX56" i="1"/>
  <c r="AW56" i="1"/>
  <c r="BC55" i="1"/>
  <c r="BB55" i="1"/>
  <c r="BA55" i="1"/>
  <c r="AZ55" i="1"/>
  <c r="AY55" i="1"/>
  <c r="AX55" i="1"/>
  <c r="AW55" i="1"/>
  <c r="BC54" i="1"/>
  <c r="BB54" i="1"/>
  <c r="BA54" i="1"/>
  <c r="AZ54" i="1"/>
  <c r="AY54" i="1"/>
  <c r="AX54" i="1"/>
  <c r="AW54" i="1"/>
  <c r="BC53" i="1"/>
  <c r="BB53" i="1"/>
  <c r="BA53" i="1"/>
  <c r="AZ53" i="1"/>
  <c r="AY53" i="1"/>
  <c r="AX53" i="1"/>
  <c r="AW53" i="1"/>
  <c r="BC52" i="1"/>
  <c r="BB52" i="1"/>
  <c r="BA52" i="1"/>
  <c r="AZ52" i="1"/>
  <c r="AY52" i="1"/>
  <c r="AX52" i="1"/>
  <c r="AW52" i="1"/>
  <c r="BC51" i="1"/>
  <c r="BB51" i="1"/>
  <c r="BA51" i="1"/>
  <c r="AZ51" i="1"/>
  <c r="AY51" i="1"/>
  <c r="AX51" i="1"/>
  <c r="AW51" i="1"/>
  <c r="BC50" i="1"/>
  <c r="BB50" i="1"/>
  <c r="BA50" i="1"/>
  <c r="AZ50" i="1"/>
  <c r="AY50" i="1"/>
  <c r="AX50" i="1"/>
  <c r="AW50" i="1"/>
  <c r="BC49" i="1"/>
  <c r="BB49" i="1"/>
  <c r="BA49" i="1"/>
  <c r="AZ49" i="1"/>
  <c r="AY49" i="1"/>
  <c r="AX49" i="1"/>
  <c r="AW49" i="1"/>
  <c r="BC48" i="1"/>
  <c r="BB48" i="1"/>
  <c r="BA48" i="1"/>
  <c r="AZ48" i="1"/>
  <c r="AY48" i="1"/>
  <c r="AX48" i="1"/>
  <c r="AW48" i="1"/>
  <c r="BC47" i="1"/>
  <c r="BB47" i="1"/>
  <c r="BA47" i="1"/>
  <c r="AZ47" i="1"/>
  <c r="AY47" i="1"/>
  <c r="AX47" i="1"/>
  <c r="AW47" i="1"/>
  <c r="BC46" i="1"/>
  <c r="BB46" i="1"/>
  <c r="BA46" i="1"/>
  <c r="AZ46" i="1"/>
  <c r="AY46" i="1"/>
  <c r="AX46" i="1"/>
  <c r="AW46" i="1"/>
  <c r="BC45" i="1"/>
  <c r="BB45" i="1"/>
  <c r="BA45" i="1"/>
  <c r="AZ45" i="1"/>
  <c r="AY45" i="1"/>
  <c r="AX45" i="1"/>
  <c r="AW45" i="1"/>
  <c r="BC44" i="1"/>
  <c r="BB44" i="1"/>
  <c r="BA44" i="1"/>
  <c r="AZ44" i="1"/>
  <c r="AY44" i="1"/>
  <c r="AX44" i="1"/>
  <c r="AW44" i="1"/>
  <c r="BC43" i="1"/>
  <c r="BB43" i="1"/>
  <c r="BA43" i="1"/>
  <c r="AZ43" i="1"/>
  <c r="AY43" i="1"/>
  <c r="AX43" i="1"/>
  <c r="AW43" i="1"/>
  <c r="BC41" i="1"/>
  <c r="BB41" i="1"/>
  <c r="BA41" i="1"/>
  <c r="AZ41" i="1"/>
  <c r="AY41" i="1"/>
  <c r="AX41" i="1"/>
  <c r="AW41" i="1"/>
  <c r="BC40" i="1"/>
  <c r="BB40" i="1"/>
  <c r="BA40" i="1"/>
  <c r="AZ40" i="1"/>
  <c r="AY40" i="1"/>
  <c r="AX40" i="1"/>
  <c r="AW40" i="1"/>
  <c r="BC39" i="1"/>
  <c r="BB39" i="1"/>
  <c r="BA39" i="1"/>
  <c r="AZ39" i="1"/>
  <c r="AY39" i="1"/>
  <c r="AX39" i="1"/>
  <c r="AW39" i="1"/>
  <c r="BC38" i="1"/>
  <c r="BB38" i="1"/>
  <c r="BA38" i="1"/>
  <c r="AZ38" i="1"/>
  <c r="AY38" i="1"/>
  <c r="AX38" i="1"/>
  <c r="AW38" i="1"/>
  <c r="BC36" i="1"/>
  <c r="BB36" i="1"/>
  <c r="BA36" i="1"/>
  <c r="AZ36" i="1"/>
  <c r="AY36" i="1"/>
  <c r="AX36" i="1"/>
  <c r="AW36" i="1"/>
  <c r="BC35" i="1"/>
  <c r="BB35" i="1"/>
  <c r="BA35" i="1"/>
  <c r="AZ35" i="1"/>
  <c r="AY35" i="1"/>
  <c r="AX35" i="1"/>
  <c r="AW35" i="1"/>
  <c r="BC34" i="1"/>
  <c r="BB34" i="1"/>
  <c r="BA34" i="1"/>
  <c r="AZ34" i="1"/>
  <c r="AY34" i="1"/>
  <c r="AX34" i="1"/>
  <c r="AW34" i="1"/>
  <c r="BC32" i="1"/>
  <c r="BB32" i="1"/>
  <c r="BA32" i="1"/>
  <c r="AZ32" i="1"/>
  <c r="AY32" i="1"/>
  <c r="AX32" i="1"/>
  <c r="AW32" i="1"/>
  <c r="BC31" i="1"/>
  <c r="BB31" i="1"/>
  <c r="BA31" i="1"/>
  <c r="AZ31" i="1"/>
  <c r="AY31" i="1"/>
  <c r="AX31" i="1"/>
  <c r="AW31" i="1"/>
  <c r="BC30" i="1"/>
  <c r="BB30" i="1"/>
  <c r="BA30" i="1"/>
  <c r="AZ30" i="1"/>
  <c r="AY30" i="1"/>
  <c r="AX30" i="1"/>
  <c r="AW30" i="1"/>
  <c r="BC29" i="1"/>
  <c r="BB29" i="1"/>
  <c r="BA29" i="1"/>
  <c r="AZ29" i="1"/>
  <c r="AY29" i="1"/>
  <c r="AX29" i="1"/>
  <c r="AW29" i="1"/>
  <c r="BC28" i="1"/>
  <c r="BB28" i="1"/>
  <c r="BA28" i="1"/>
  <c r="AZ28" i="1"/>
  <c r="AY28" i="1"/>
  <c r="AX28" i="1"/>
  <c r="AW28" i="1"/>
  <c r="BC26" i="1"/>
  <c r="BB26" i="1"/>
  <c r="BA26" i="1"/>
  <c r="AZ26" i="1"/>
  <c r="AY26" i="1"/>
  <c r="AX26" i="1"/>
  <c r="AW26" i="1"/>
  <c r="BC25" i="1"/>
  <c r="BB25" i="1"/>
  <c r="BA25" i="1"/>
  <c r="AZ25" i="1"/>
  <c r="AY25" i="1"/>
  <c r="AX25" i="1"/>
  <c r="AW25" i="1"/>
  <c r="BC24" i="1"/>
  <c r="BB24" i="1"/>
  <c r="BA24" i="1"/>
  <c r="AZ24" i="1"/>
  <c r="AY24" i="1"/>
  <c r="AX24" i="1"/>
  <c r="AW24" i="1"/>
  <c r="BC23" i="1"/>
  <c r="BB23" i="1"/>
  <c r="BA23" i="1"/>
  <c r="AZ23" i="1"/>
  <c r="AY23" i="1"/>
  <c r="AX23" i="1"/>
  <c r="AW23" i="1"/>
  <c r="BC22" i="1"/>
  <c r="BB22" i="1"/>
  <c r="BA22" i="1"/>
  <c r="AZ22" i="1"/>
  <c r="AY22" i="1"/>
  <c r="AX22" i="1"/>
  <c r="AW22" i="1"/>
  <c r="BC21" i="1"/>
  <c r="BB21" i="1"/>
  <c r="BA21" i="1"/>
  <c r="AZ21" i="1"/>
  <c r="AY21" i="1"/>
  <c r="AX21" i="1"/>
  <c r="AW21" i="1"/>
  <c r="BC20" i="1"/>
  <c r="BB20" i="1"/>
  <c r="BA20" i="1"/>
  <c r="AZ20" i="1"/>
  <c r="AY20" i="1"/>
  <c r="AX20" i="1"/>
  <c r="AW20" i="1"/>
  <c r="BC18" i="1"/>
  <c r="BB18" i="1"/>
  <c r="BA18" i="1"/>
  <c r="AZ18" i="1"/>
  <c r="AY18" i="1"/>
  <c r="AX18" i="1"/>
  <c r="AW18" i="1"/>
  <c r="BC17" i="1"/>
  <c r="BB17" i="1"/>
  <c r="BA17" i="1"/>
  <c r="AZ17" i="1"/>
  <c r="AY17" i="1"/>
  <c r="AX17" i="1"/>
  <c r="AW17" i="1"/>
  <c r="BC16" i="1"/>
  <c r="BB16" i="1"/>
  <c r="BA16" i="1"/>
  <c r="AZ16" i="1"/>
  <c r="AY16" i="1"/>
  <c r="AX16" i="1"/>
  <c r="AW16" i="1"/>
  <c r="BC15" i="1"/>
  <c r="BB15" i="1"/>
  <c r="BA15" i="1"/>
  <c r="AZ15" i="1"/>
  <c r="AY15" i="1"/>
  <c r="AX15" i="1"/>
  <c r="AW15" i="1"/>
  <c r="BC14" i="1"/>
  <c r="BB14" i="1"/>
  <c r="BA14" i="1"/>
  <c r="AZ14" i="1"/>
  <c r="AY14" i="1"/>
  <c r="AX14" i="1"/>
  <c r="AW14" i="1"/>
  <c r="BC13" i="1"/>
  <c r="BB13" i="1"/>
  <c r="BA13" i="1"/>
  <c r="AZ13" i="1"/>
  <c r="AY13" i="1"/>
  <c r="AX13" i="1"/>
  <c r="AW13" i="1"/>
  <c r="BC12" i="1"/>
  <c r="BB12" i="1"/>
  <c r="BA12" i="1"/>
  <c r="AZ12" i="1"/>
  <c r="AY12" i="1"/>
  <c r="AX12" i="1"/>
  <c r="AW12" i="1"/>
  <c r="BC10" i="1"/>
  <c r="BB10" i="1"/>
  <c r="BA10" i="1"/>
  <c r="AZ10" i="1"/>
  <c r="AY10" i="1"/>
  <c r="AX10" i="1"/>
  <c r="AW10" i="1"/>
  <c r="BC9" i="1"/>
  <c r="BB9" i="1"/>
  <c r="BA9" i="1"/>
  <c r="AZ9" i="1"/>
  <c r="AY9" i="1"/>
  <c r="AX9" i="1"/>
  <c r="AW9" i="1"/>
  <c r="BC8" i="1"/>
  <c r="BB8" i="1"/>
  <c r="BA8" i="1"/>
  <c r="AZ8" i="1"/>
  <c r="AY8" i="1"/>
  <c r="AX8" i="1"/>
  <c r="AW8" i="1"/>
  <c r="BC6" i="1"/>
  <c r="BB6" i="1"/>
  <c r="BA6" i="1"/>
  <c r="AZ6" i="1"/>
  <c r="AY6" i="1"/>
  <c r="AX6" i="1"/>
  <c r="AW6" i="1"/>
  <c r="BC5" i="1"/>
  <c r="BB5" i="1"/>
  <c r="BA5" i="1"/>
  <c r="AZ5" i="1"/>
  <c r="AY5" i="1"/>
  <c r="AX5" i="1"/>
  <c r="AW5" i="1"/>
  <c r="BC4" i="1"/>
  <c r="BB4" i="1"/>
  <c r="BA4" i="1"/>
  <c r="AZ4" i="1"/>
  <c r="AY4" i="1"/>
  <c r="AX4" i="1"/>
  <c r="AW4" i="1"/>
  <c r="AV60" i="1"/>
  <c r="AU60" i="1"/>
  <c r="AT60" i="1"/>
  <c r="AS60" i="1"/>
  <c r="AR60" i="1"/>
  <c r="AQ60" i="1"/>
  <c r="AP60" i="1"/>
  <c r="AV59" i="1"/>
  <c r="AU59" i="1"/>
  <c r="AT59" i="1"/>
  <c r="AS59" i="1"/>
  <c r="AR59" i="1"/>
  <c r="AQ59" i="1"/>
  <c r="AP59" i="1"/>
  <c r="AV58" i="1"/>
  <c r="AU58" i="1"/>
  <c r="AT58" i="1"/>
  <c r="AS58" i="1"/>
  <c r="AR58" i="1"/>
  <c r="AQ58" i="1"/>
  <c r="AP58" i="1"/>
  <c r="AV57" i="1"/>
  <c r="AU57" i="1"/>
  <c r="AT57" i="1"/>
  <c r="AS57" i="1"/>
  <c r="AR57" i="1"/>
  <c r="AQ57" i="1"/>
  <c r="AP57" i="1"/>
  <c r="AV56" i="1"/>
  <c r="AU56" i="1"/>
  <c r="AT56" i="1"/>
  <c r="AS56" i="1"/>
  <c r="AR56" i="1"/>
  <c r="AQ56" i="1"/>
  <c r="AP56" i="1"/>
  <c r="AV55" i="1"/>
  <c r="AU55" i="1"/>
  <c r="AT55" i="1"/>
  <c r="AS55" i="1"/>
  <c r="AR55" i="1"/>
  <c r="AQ55" i="1"/>
  <c r="AP55" i="1"/>
  <c r="AV54" i="1"/>
  <c r="AU54" i="1"/>
  <c r="AT54" i="1"/>
  <c r="AS54" i="1"/>
  <c r="AR54" i="1"/>
  <c r="AQ54" i="1"/>
  <c r="AP54" i="1"/>
  <c r="AV53" i="1"/>
  <c r="AU53" i="1"/>
  <c r="AT53" i="1"/>
  <c r="AS53" i="1"/>
  <c r="AR53" i="1"/>
  <c r="AQ53" i="1"/>
  <c r="AP53" i="1"/>
  <c r="AV52" i="1"/>
  <c r="AU52" i="1"/>
  <c r="AT52" i="1"/>
  <c r="AS52" i="1"/>
  <c r="AR52" i="1"/>
  <c r="AQ52" i="1"/>
  <c r="AP52" i="1"/>
  <c r="AV51" i="1"/>
  <c r="AU51" i="1"/>
  <c r="AT51" i="1"/>
  <c r="AS51" i="1"/>
  <c r="AR51" i="1"/>
  <c r="AQ51" i="1"/>
  <c r="AP51" i="1"/>
  <c r="AV50" i="1"/>
  <c r="AU50" i="1"/>
  <c r="AT50" i="1"/>
  <c r="AS50" i="1"/>
  <c r="AR50" i="1"/>
  <c r="AQ50" i="1"/>
  <c r="AP50" i="1"/>
  <c r="AV49" i="1"/>
  <c r="AU49" i="1"/>
  <c r="AT49" i="1"/>
  <c r="AS49" i="1"/>
  <c r="AR49" i="1"/>
  <c r="AQ49" i="1"/>
  <c r="AP49" i="1"/>
  <c r="AV48" i="1"/>
  <c r="AU48" i="1"/>
  <c r="AT48" i="1"/>
  <c r="AS48" i="1"/>
  <c r="AR48" i="1"/>
  <c r="AQ48" i="1"/>
  <c r="AP48" i="1"/>
  <c r="AV47" i="1"/>
  <c r="AU47" i="1"/>
  <c r="AT47" i="1"/>
  <c r="AS47" i="1"/>
  <c r="AR47" i="1"/>
  <c r="AQ47" i="1"/>
  <c r="AP47" i="1"/>
  <c r="AV46" i="1"/>
  <c r="AU46" i="1"/>
  <c r="AT46" i="1"/>
  <c r="AS46" i="1"/>
  <c r="AR46" i="1"/>
  <c r="AQ46" i="1"/>
  <c r="AP46" i="1"/>
  <c r="AV45" i="1"/>
  <c r="AU45" i="1"/>
  <c r="AT45" i="1"/>
  <c r="AS45" i="1"/>
  <c r="AR45" i="1"/>
  <c r="AQ45" i="1"/>
  <c r="AP45" i="1"/>
  <c r="AV44" i="1"/>
  <c r="AU44" i="1"/>
  <c r="AT44" i="1"/>
  <c r="AS44" i="1"/>
  <c r="AR44" i="1"/>
  <c r="AQ44" i="1"/>
  <c r="AP44" i="1"/>
  <c r="AV43" i="1"/>
  <c r="AU43" i="1"/>
  <c r="AT43" i="1"/>
  <c r="AS43" i="1"/>
  <c r="AR43" i="1"/>
  <c r="AQ43" i="1"/>
  <c r="AP43" i="1"/>
  <c r="AV41" i="1"/>
  <c r="AU41" i="1"/>
  <c r="AT41" i="1"/>
  <c r="AS41" i="1"/>
  <c r="AR41" i="1"/>
  <c r="AQ41" i="1"/>
  <c r="AP41" i="1"/>
  <c r="AV40" i="1"/>
  <c r="AU40" i="1"/>
  <c r="AT40" i="1"/>
  <c r="AS40" i="1"/>
  <c r="AR40" i="1"/>
  <c r="AQ40" i="1"/>
  <c r="AP40" i="1"/>
  <c r="AV39" i="1"/>
  <c r="AU39" i="1"/>
  <c r="AT39" i="1"/>
  <c r="AS39" i="1"/>
  <c r="AR39" i="1"/>
  <c r="AQ39" i="1"/>
  <c r="AP39" i="1"/>
  <c r="AV38" i="1"/>
  <c r="AU38" i="1"/>
  <c r="AT38" i="1"/>
  <c r="AS38" i="1"/>
  <c r="AR38" i="1"/>
  <c r="AQ38" i="1"/>
  <c r="AP38" i="1"/>
  <c r="AV36" i="1"/>
  <c r="AU36" i="1"/>
  <c r="AT36" i="1"/>
  <c r="AS36" i="1"/>
  <c r="AR36" i="1"/>
  <c r="AQ36" i="1"/>
  <c r="AP36" i="1"/>
  <c r="AV35" i="1"/>
  <c r="AU35" i="1"/>
  <c r="AT35" i="1"/>
  <c r="AS35" i="1"/>
  <c r="AR35" i="1"/>
  <c r="AQ35" i="1"/>
  <c r="AP35" i="1"/>
  <c r="AV34" i="1"/>
  <c r="AU34" i="1"/>
  <c r="AT34" i="1"/>
  <c r="AS34" i="1"/>
  <c r="AR34" i="1"/>
  <c r="AQ34" i="1"/>
  <c r="AP34" i="1"/>
  <c r="AV32" i="1"/>
  <c r="AU32" i="1"/>
  <c r="AT32" i="1"/>
  <c r="AS32" i="1"/>
  <c r="AR32" i="1"/>
  <c r="AQ32" i="1"/>
  <c r="AP32" i="1"/>
  <c r="AV31" i="1"/>
  <c r="AU31" i="1"/>
  <c r="AT31" i="1"/>
  <c r="AS31" i="1"/>
  <c r="AR31" i="1"/>
  <c r="AQ31" i="1"/>
  <c r="AP31" i="1"/>
  <c r="AV30" i="1"/>
  <c r="AU30" i="1"/>
  <c r="AT30" i="1"/>
  <c r="AS30" i="1"/>
  <c r="AR30" i="1"/>
  <c r="AQ30" i="1"/>
  <c r="AP30" i="1"/>
  <c r="AV29" i="1"/>
  <c r="AU29" i="1"/>
  <c r="AT29" i="1"/>
  <c r="AS29" i="1"/>
  <c r="AR29" i="1"/>
  <c r="AQ29" i="1"/>
  <c r="AP29" i="1"/>
  <c r="AV28" i="1"/>
  <c r="AU28" i="1"/>
  <c r="AT28" i="1"/>
  <c r="AS28" i="1"/>
  <c r="AR28" i="1"/>
  <c r="AQ28" i="1"/>
  <c r="AP28" i="1"/>
  <c r="AV26" i="1"/>
  <c r="AU26" i="1"/>
  <c r="AT26" i="1"/>
  <c r="AS26" i="1"/>
  <c r="AR26" i="1"/>
  <c r="AQ26" i="1"/>
  <c r="AP26" i="1"/>
  <c r="AV25" i="1"/>
  <c r="AU25" i="1"/>
  <c r="AT25" i="1"/>
  <c r="AS25" i="1"/>
  <c r="AR25" i="1"/>
  <c r="AQ25" i="1"/>
  <c r="AP25" i="1"/>
  <c r="AV24" i="1"/>
  <c r="AU24" i="1"/>
  <c r="AT24" i="1"/>
  <c r="AS24" i="1"/>
  <c r="AR24" i="1"/>
  <c r="AQ24" i="1"/>
  <c r="AP24" i="1"/>
  <c r="AV23" i="1"/>
  <c r="AU23" i="1"/>
  <c r="AT23" i="1"/>
  <c r="AS23" i="1"/>
  <c r="AR23" i="1"/>
  <c r="AQ23" i="1"/>
  <c r="AP23" i="1"/>
  <c r="AV22" i="1"/>
  <c r="AU22" i="1"/>
  <c r="AT22" i="1"/>
  <c r="AS22" i="1"/>
  <c r="AR22" i="1"/>
  <c r="AQ22" i="1"/>
  <c r="AP22" i="1"/>
  <c r="AV21" i="1"/>
  <c r="AU21" i="1"/>
  <c r="AT21" i="1"/>
  <c r="AS21" i="1"/>
  <c r="AR21" i="1"/>
  <c r="AQ21" i="1"/>
  <c r="AP21" i="1"/>
  <c r="AV20" i="1"/>
  <c r="AU20" i="1"/>
  <c r="AT20" i="1"/>
  <c r="AS20" i="1"/>
  <c r="AR20" i="1"/>
  <c r="AQ20" i="1"/>
  <c r="AP20" i="1"/>
  <c r="AV18" i="1"/>
  <c r="AU18" i="1"/>
  <c r="AT18" i="1"/>
  <c r="AS18" i="1"/>
  <c r="AR18" i="1"/>
  <c r="AQ18" i="1"/>
  <c r="AP18" i="1"/>
  <c r="AV17" i="1"/>
  <c r="AU17" i="1"/>
  <c r="AT17" i="1"/>
  <c r="AS17" i="1"/>
  <c r="AR17" i="1"/>
  <c r="AQ17" i="1"/>
  <c r="AP17" i="1"/>
  <c r="AV16" i="1"/>
  <c r="AU16" i="1"/>
  <c r="AT16" i="1"/>
  <c r="AS16" i="1"/>
  <c r="AR16" i="1"/>
  <c r="AQ16" i="1"/>
  <c r="AP16" i="1"/>
  <c r="AV15" i="1"/>
  <c r="AU15" i="1"/>
  <c r="AT15" i="1"/>
  <c r="AS15" i="1"/>
  <c r="AR15" i="1"/>
  <c r="AQ15" i="1"/>
  <c r="AP15" i="1"/>
  <c r="AV14" i="1"/>
  <c r="AU14" i="1"/>
  <c r="AT14" i="1"/>
  <c r="AS14" i="1"/>
  <c r="AR14" i="1"/>
  <c r="AQ14" i="1"/>
  <c r="AP14" i="1"/>
  <c r="AV13" i="1"/>
  <c r="AU13" i="1"/>
  <c r="AT13" i="1"/>
  <c r="AS13" i="1"/>
  <c r="AR13" i="1"/>
  <c r="AQ13" i="1"/>
  <c r="AP13" i="1"/>
  <c r="AV12" i="1"/>
  <c r="AU12" i="1"/>
  <c r="AT12" i="1"/>
  <c r="AS12" i="1"/>
  <c r="AR12" i="1"/>
  <c r="AQ12" i="1"/>
  <c r="AP12" i="1"/>
  <c r="AV10" i="1"/>
  <c r="AU10" i="1"/>
  <c r="AT10" i="1"/>
  <c r="AS10" i="1"/>
  <c r="AR10" i="1"/>
  <c r="AQ10" i="1"/>
  <c r="AP10" i="1"/>
  <c r="AV9" i="1"/>
  <c r="AU9" i="1"/>
  <c r="AT9" i="1"/>
  <c r="AS9" i="1"/>
  <c r="AR9" i="1"/>
  <c r="AQ9" i="1"/>
  <c r="AP9" i="1"/>
  <c r="AV8" i="1"/>
  <c r="AU8" i="1"/>
  <c r="AT8" i="1"/>
  <c r="AS8" i="1"/>
  <c r="AR8" i="1"/>
  <c r="AQ8" i="1"/>
  <c r="AP8" i="1"/>
  <c r="AV6" i="1"/>
  <c r="AU6" i="1"/>
  <c r="AT6" i="1"/>
  <c r="AS6" i="1"/>
  <c r="AR6" i="1"/>
  <c r="AQ6" i="1"/>
  <c r="AP6" i="1"/>
  <c r="AV5" i="1"/>
  <c r="AU5" i="1"/>
  <c r="AT5" i="1"/>
  <c r="AS5" i="1"/>
  <c r="AR5" i="1"/>
  <c r="AQ5" i="1"/>
  <c r="AP5" i="1"/>
  <c r="AV4" i="1"/>
  <c r="AU4" i="1"/>
  <c r="AT4" i="1"/>
  <c r="AS4" i="1"/>
  <c r="AR4" i="1"/>
  <c r="AQ4" i="1"/>
  <c r="AP4" i="1"/>
  <c r="AN60" i="1"/>
  <c r="AM60" i="1"/>
  <c r="AL60" i="1"/>
  <c r="AK60" i="1"/>
  <c r="AJ60" i="1"/>
  <c r="AI60" i="1"/>
  <c r="AH60" i="1"/>
  <c r="AG60" i="1"/>
  <c r="AN59" i="1"/>
  <c r="AM59" i="1"/>
  <c r="AL59" i="1"/>
  <c r="AK59" i="1"/>
  <c r="AJ59" i="1"/>
  <c r="AI59" i="1"/>
  <c r="AH59" i="1"/>
  <c r="AG59" i="1"/>
  <c r="AN58" i="1"/>
  <c r="AM58" i="1"/>
  <c r="AL58" i="1"/>
  <c r="AK58" i="1"/>
  <c r="AJ58" i="1"/>
  <c r="AI58" i="1"/>
  <c r="AH58" i="1"/>
  <c r="AG58" i="1"/>
  <c r="AN57" i="1"/>
  <c r="AM57" i="1"/>
  <c r="AL57" i="1"/>
  <c r="AK57" i="1"/>
  <c r="AJ57" i="1"/>
  <c r="AI57" i="1"/>
  <c r="AH57" i="1"/>
  <c r="AG57" i="1"/>
  <c r="AN56" i="1"/>
  <c r="AM56" i="1"/>
  <c r="AL56" i="1"/>
  <c r="AK56" i="1"/>
  <c r="AJ56" i="1"/>
  <c r="AI56" i="1"/>
  <c r="AH56" i="1"/>
  <c r="AG56" i="1"/>
  <c r="AN55" i="1"/>
  <c r="AM55" i="1"/>
  <c r="AL55" i="1"/>
  <c r="AK55" i="1"/>
  <c r="AJ55" i="1"/>
  <c r="AI55" i="1"/>
  <c r="AH55" i="1"/>
  <c r="AG55" i="1"/>
  <c r="AN54" i="1"/>
  <c r="AM54" i="1"/>
  <c r="AL54" i="1"/>
  <c r="AK54" i="1"/>
  <c r="AJ54" i="1"/>
  <c r="AI54" i="1"/>
  <c r="AH54" i="1"/>
  <c r="AG54" i="1"/>
  <c r="AN53" i="1"/>
  <c r="AM53" i="1"/>
  <c r="AL53" i="1"/>
  <c r="AK53" i="1"/>
  <c r="AJ53" i="1"/>
  <c r="AI53" i="1"/>
  <c r="AH53" i="1"/>
  <c r="AG53" i="1"/>
  <c r="AN52" i="1"/>
  <c r="AM52" i="1"/>
  <c r="AL52" i="1"/>
  <c r="AK52" i="1"/>
  <c r="AJ52" i="1"/>
  <c r="AI52" i="1"/>
  <c r="AH52" i="1"/>
  <c r="AG52" i="1"/>
  <c r="AN51" i="1"/>
  <c r="AM51" i="1"/>
  <c r="AL51" i="1"/>
  <c r="AK51" i="1"/>
  <c r="AJ51" i="1"/>
  <c r="AI51" i="1"/>
  <c r="AH51" i="1"/>
  <c r="AG51" i="1"/>
  <c r="AN50" i="1"/>
  <c r="AM50" i="1"/>
  <c r="AL50" i="1"/>
  <c r="AK50" i="1"/>
  <c r="AJ50" i="1"/>
  <c r="AI50" i="1"/>
  <c r="AH50" i="1"/>
  <c r="AG50" i="1"/>
  <c r="AN49" i="1"/>
  <c r="AM49" i="1"/>
  <c r="AL49" i="1"/>
  <c r="AK49" i="1"/>
  <c r="AJ49" i="1"/>
  <c r="AI49" i="1"/>
  <c r="AH49" i="1"/>
  <c r="AG49" i="1"/>
  <c r="AN48" i="1"/>
  <c r="AM48" i="1"/>
  <c r="AL48" i="1"/>
  <c r="AK48" i="1"/>
  <c r="AJ48" i="1"/>
  <c r="AI48" i="1"/>
  <c r="AH48" i="1"/>
  <c r="AG48" i="1"/>
  <c r="AN47" i="1"/>
  <c r="AM47" i="1"/>
  <c r="AL47" i="1"/>
  <c r="AK47" i="1"/>
  <c r="AJ47" i="1"/>
  <c r="AI47" i="1"/>
  <c r="AH47" i="1"/>
  <c r="AG47" i="1"/>
  <c r="AN46" i="1"/>
  <c r="AM46" i="1"/>
  <c r="AL46" i="1"/>
  <c r="AK46" i="1"/>
  <c r="AJ46" i="1"/>
  <c r="AI46" i="1"/>
  <c r="AH46" i="1"/>
  <c r="AG46" i="1"/>
  <c r="AN45" i="1"/>
  <c r="AM45" i="1"/>
  <c r="AL45" i="1"/>
  <c r="AK45" i="1"/>
  <c r="AJ45" i="1"/>
  <c r="AI45" i="1"/>
  <c r="AH45" i="1"/>
  <c r="AG45" i="1"/>
  <c r="AN44" i="1"/>
  <c r="AM44" i="1"/>
  <c r="AL44" i="1"/>
  <c r="AK44" i="1"/>
  <c r="AJ44" i="1"/>
  <c r="AI44" i="1"/>
  <c r="AH44" i="1"/>
  <c r="AG44" i="1"/>
  <c r="AN43" i="1"/>
  <c r="AM43" i="1"/>
  <c r="AL43" i="1"/>
  <c r="AK43" i="1"/>
  <c r="AJ43" i="1"/>
  <c r="AI43" i="1"/>
  <c r="AH43" i="1"/>
  <c r="AG43" i="1"/>
  <c r="AN41" i="1"/>
  <c r="AM41" i="1"/>
  <c r="AL41" i="1"/>
  <c r="AK41" i="1"/>
  <c r="AJ41" i="1"/>
  <c r="AI41" i="1"/>
  <c r="AH41" i="1"/>
  <c r="AG41" i="1"/>
  <c r="AN40" i="1"/>
  <c r="AM40" i="1"/>
  <c r="AL40" i="1"/>
  <c r="AK40" i="1"/>
  <c r="AJ40" i="1"/>
  <c r="AI40" i="1"/>
  <c r="AH40" i="1"/>
  <c r="AG40" i="1"/>
  <c r="AN39" i="1"/>
  <c r="AM39" i="1"/>
  <c r="AL39" i="1"/>
  <c r="AK39" i="1"/>
  <c r="AJ39" i="1"/>
  <c r="AI39" i="1"/>
  <c r="AH39" i="1"/>
  <c r="AG39" i="1"/>
  <c r="AN38" i="1"/>
  <c r="AM38" i="1"/>
  <c r="AL38" i="1"/>
  <c r="AK38" i="1"/>
  <c r="AJ38" i="1"/>
  <c r="AI38" i="1"/>
  <c r="AH38" i="1"/>
  <c r="AG38" i="1"/>
  <c r="AN36" i="1"/>
  <c r="AM36" i="1"/>
  <c r="AL36" i="1"/>
  <c r="AK36" i="1"/>
  <c r="AJ36" i="1"/>
  <c r="AI36" i="1"/>
  <c r="AH36" i="1"/>
  <c r="AG36" i="1"/>
  <c r="AN35" i="1"/>
  <c r="AM35" i="1"/>
  <c r="AL35" i="1"/>
  <c r="AK35" i="1"/>
  <c r="AJ35" i="1"/>
  <c r="AI35" i="1"/>
  <c r="AH35" i="1"/>
  <c r="AG35" i="1"/>
  <c r="AN34" i="1"/>
  <c r="AM34" i="1"/>
  <c r="AL34" i="1"/>
  <c r="AK34" i="1"/>
  <c r="AJ34" i="1"/>
  <c r="AI34" i="1"/>
  <c r="AH34" i="1"/>
  <c r="AG34" i="1"/>
  <c r="AN32" i="1"/>
  <c r="AM32" i="1"/>
  <c r="AL32" i="1"/>
  <c r="AK32" i="1"/>
  <c r="AJ32" i="1"/>
  <c r="AI32" i="1"/>
  <c r="AH32" i="1"/>
  <c r="AG32" i="1"/>
  <c r="AN31" i="1"/>
  <c r="AM31" i="1"/>
  <c r="AL31" i="1"/>
  <c r="AK31" i="1"/>
  <c r="AJ31" i="1"/>
  <c r="AI31" i="1"/>
  <c r="AH31" i="1"/>
  <c r="AG31" i="1"/>
  <c r="AN30" i="1"/>
  <c r="AM30" i="1"/>
  <c r="AL30" i="1"/>
  <c r="AK30" i="1"/>
  <c r="AJ30" i="1"/>
  <c r="AI30" i="1"/>
  <c r="AH30" i="1"/>
  <c r="AG30" i="1"/>
  <c r="AN29" i="1"/>
  <c r="AM29" i="1"/>
  <c r="AL29" i="1"/>
  <c r="AK29" i="1"/>
  <c r="AJ29" i="1"/>
  <c r="AI29" i="1"/>
  <c r="AH29" i="1"/>
  <c r="AG29" i="1"/>
  <c r="AN28" i="1"/>
  <c r="AM28" i="1"/>
  <c r="AL28" i="1"/>
  <c r="AK28" i="1"/>
  <c r="AJ28" i="1"/>
  <c r="AI28" i="1"/>
  <c r="AH28" i="1"/>
  <c r="AG28" i="1"/>
  <c r="AN26" i="1"/>
  <c r="AM26" i="1"/>
  <c r="AL26" i="1"/>
  <c r="AK26" i="1"/>
  <c r="AJ26" i="1"/>
  <c r="AI26" i="1"/>
  <c r="AH26" i="1"/>
  <c r="AG26" i="1"/>
  <c r="AN25" i="1"/>
  <c r="AM25" i="1"/>
  <c r="AL25" i="1"/>
  <c r="AK25" i="1"/>
  <c r="AJ25" i="1"/>
  <c r="AI25" i="1"/>
  <c r="AH25" i="1"/>
  <c r="AG25" i="1"/>
  <c r="AN24" i="1"/>
  <c r="AM24" i="1"/>
  <c r="AL24" i="1"/>
  <c r="AK24" i="1"/>
  <c r="AJ24" i="1"/>
  <c r="AI24" i="1"/>
  <c r="AH24" i="1"/>
  <c r="AG24" i="1"/>
  <c r="AN23" i="1"/>
  <c r="AM23" i="1"/>
  <c r="AL23" i="1"/>
  <c r="AK23" i="1"/>
  <c r="AJ23" i="1"/>
  <c r="AI23" i="1"/>
  <c r="AH23" i="1"/>
  <c r="AG23" i="1"/>
  <c r="AN22" i="1"/>
  <c r="AM22" i="1"/>
  <c r="AL22" i="1"/>
  <c r="AK22" i="1"/>
  <c r="AJ22" i="1"/>
  <c r="AI22" i="1"/>
  <c r="AH22" i="1"/>
  <c r="AG22" i="1"/>
  <c r="AN21" i="1"/>
  <c r="AM21" i="1"/>
  <c r="AL21" i="1"/>
  <c r="AK21" i="1"/>
  <c r="AJ21" i="1"/>
  <c r="AI21" i="1"/>
  <c r="AH21" i="1"/>
  <c r="AG21" i="1"/>
  <c r="AN20" i="1"/>
  <c r="AM20" i="1"/>
  <c r="AL20" i="1"/>
  <c r="AK20" i="1"/>
  <c r="AJ20" i="1"/>
  <c r="AI20" i="1"/>
  <c r="AH20" i="1"/>
  <c r="AG20" i="1"/>
  <c r="AN18" i="1"/>
  <c r="AM18" i="1"/>
  <c r="AL18" i="1"/>
  <c r="AK18" i="1"/>
  <c r="AJ18" i="1"/>
  <c r="AI18" i="1"/>
  <c r="AH18" i="1"/>
  <c r="AG18" i="1"/>
  <c r="AN17" i="1"/>
  <c r="AM17" i="1"/>
  <c r="AL17" i="1"/>
  <c r="AK17" i="1"/>
  <c r="AJ17" i="1"/>
  <c r="AI17" i="1"/>
  <c r="AH17" i="1"/>
  <c r="AG17" i="1"/>
  <c r="AN16" i="1"/>
  <c r="AM16" i="1"/>
  <c r="AL16" i="1"/>
  <c r="AK16" i="1"/>
  <c r="AJ16" i="1"/>
  <c r="AI16" i="1"/>
  <c r="AH16" i="1"/>
  <c r="AG16" i="1"/>
  <c r="AN15" i="1"/>
  <c r="AM15" i="1"/>
  <c r="AL15" i="1"/>
  <c r="AK15" i="1"/>
  <c r="AJ15" i="1"/>
  <c r="AI15" i="1"/>
  <c r="AH15" i="1"/>
  <c r="AG15" i="1"/>
  <c r="AN14" i="1"/>
  <c r="AM14" i="1"/>
  <c r="AL14" i="1"/>
  <c r="AK14" i="1"/>
  <c r="AJ14" i="1"/>
  <c r="AI14" i="1"/>
  <c r="AH14" i="1"/>
  <c r="AG14" i="1"/>
  <c r="AN13" i="1"/>
  <c r="AM13" i="1"/>
  <c r="AL13" i="1"/>
  <c r="AK13" i="1"/>
  <c r="AJ13" i="1"/>
  <c r="AI13" i="1"/>
  <c r="AH13" i="1"/>
  <c r="AG13" i="1"/>
  <c r="AN12" i="1"/>
  <c r="AM12" i="1"/>
  <c r="AL12" i="1"/>
  <c r="AK12" i="1"/>
  <c r="AJ12" i="1"/>
  <c r="AI12" i="1"/>
  <c r="AH12" i="1"/>
  <c r="AG12" i="1"/>
  <c r="AN10" i="1"/>
  <c r="AM10" i="1"/>
  <c r="AL10" i="1"/>
  <c r="AK10" i="1"/>
  <c r="AJ10" i="1"/>
  <c r="AI10" i="1"/>
  <c r="AH10" i="1"/>
  <c r="AG10" i="1"/>
  <c r="AN9" i="1"/>
  <c r="AM9" i="1"/>
  <c r="AL9" i="1"/>
  <c r="AK9" i="1"/>
  <c r="AJ9" i="1"/>
  <c r="AI9" i="1"/>
  <c r="AH9" i="1"/>
  <c r="AG9" i="1"/>
  <c r="AN8" i="1"/>
  <c r="AM8" i="1"/>
  <c r="AL8" i="1"/>
  <c r="AK8" i="1"/>
  <c r="AJ8" i="1"/>
  <c r="AI8" i="1"/>
  <c r="AH8" i="1"/>
  <c r="AG8" i="1"/>
  <c r="AN6" i="1"/>
  <c r="AM6" i="1"/>
  <c r="AL6" i="1"/>
  <c r="AK6" i="1"/>
  <c r="AJ6" i="1"/>
  <c r="AI6" i="1"/>
  <c r="AH6" i="1"/>
  <c r="AG6" i="1"/>
  <c r="AN5" i="1"/>
  <c r="AM5" i="1"/>
  <c r="AL5" i="1"/>
  <c r="AK5" i="1"/>
  <c r="AJ5" i="1"/>
  <c r="AI5" i="1"/>
  <c r="AH5" i="1"/>
  <c r="AG5" i="1"/>
  <c r="AN4" i="1"/>
  <c r="AM4" i="1"/>
  <c r="AL4" i="1"/>
  <c r="AK4" i="1"/>
  <c r="AJ4" i="1"/>
  <c r="AI4" i="1"/>
  <c r="AH4" i="1"/>
  <c r="AG4" i="1"/>
  <c r="AF60" i="1"/>
  <c r="AE60" i="1"/>
  <c r="AD60" i="1"/>
  <c r="AC60" i="1"/>
  <c r="AB60" i="1"/>
  <c r="AA60" i="1"/>
  <c r="Z60" i="1"/>
  <c r="Y60" i="1"/>
  <c r="AF59" i="1"/>
  <c r="AE59" i="1"/>
  <c r="AD59" i="1"/>
  <c r="AC59" i="1"/>
  <c r="AB59" i="1"/>
  <c r="AA59" i="1"/>
  <c r="Z59" i="1"/>
  <c r="Y59" i="1"/>
  <c r="AF58" i="1"/>
  <c r="AE58" i="1"/>
  <c r="AD58" i="1"/>
  <c r="AC58" i="1"/>
  <c r="AB58" i="1"/>
  <c r="AA58" i="1"/>
  <c r="Z58" i="1"/>
  <c r="Y58" i="1"/>
  <c r="AF57" i="1"/>
  <c r="AE57" i="1"/>
  <c r="AD57" i="1"/>
  <c r="AC57" i="1"/>
  <c r="AB57" i="1"/>
  <c r="AA57" i="1"/>
  <c r="Z57" i="1"/>
  <c r="Y57" i="1"/>
  <c r="AF56" i="1"/>
  <c r="AE56" i="1"/>
  <c r="AD56" i="1"/>
  <c r="AC56" i="1"/>
  <c r="AB56" i="1"/>
  <c r="AA56" i="1"/>
  <c r="Z56" i="1"/>
  <c r="Y56" i="1"/>
  <c r="AF55" i="1"/>
  <c r="AE55" i="1"/>
  <c r="AD55" i="1"/>
  <c r="AC55" i="1"/>
  <c r="AB55" i="1"/>
  <c r="AA55" i="1"/>
  <c r="Z55" i="1"/>
  <c r="Y55" i="1"/>
  <c r="AF54" i="1"/>
  <c r="AE54" i="1"/>
  <c r="AD54" i="1"/>
  <c r="AC54" i="1"/>
  <c r="AB54" i="1"/>
  <c r="AA54" i="1"/>
  <c r="Z54" i="1"/>
  <c r="Y54" i="1"/>
  <c r="AF53" i="1"/>
  <c r="AE53" i="1"/>
  <c r="AD53" i="1"/>
  <c r="AC53" i="1"/>
  <c r="AB53" i="1"/>
  <c r="AA53" i="1"/>
  <c r="Z53" i="1"/>
  <c r="Y53" i="1"/>
  <c r="AF52" i="1"/>
  <c r="AE52" i="1"/>
  <c r="AD52" i="1"/>
  <c r="AC52" i="1"/>
  <c r="AB52" i="1"/>
  <c r="AA52" i="1"/>
  <c r="Z52" i="1"/>
  <c r="Y52" i="1"/>
  <c r="AF51" i="1"/>
  <c r="AE51" i="1"/>
  <c r="AD51" i="1"/>
  <c r="AC51" i="1"/>
  <c r="AB51" i="1"/>
  <c r="AA51" i="1"/>
  <c r="Z51" i="1"/>
  <c r="Y51" i="1"/>
  <c r="AF50" i="1"/>
  <c r="AE50" i="1"/>
  <c r="AD50" i="1"/>
  <c r="AC50" i="1"/>
  <c r="AB50" i="1"/>
  <c r="AA50" i="1"/>
  <c r="Z50" i="1"/>
  <c r="Y50" i="1"/>
  <c r="AF49" i="1"/>
  <c r="AE49" i="1"/>
  <c r="AD49" i="1"/>
  <c r="AC49" i="1"/>
  <c r="AB49" i="1"/>
  <c r="AA49" i="1"/>
  <c r="Z49" i="1"/>
  <c r="Y49" i="1"/>
  <c r="AF48" i="1"/>
  <c r="AE48" i="1"/>
  <c r="AD48" i="1"/>
  <c r="AC48" i="1"/>
  <c r="AB48" i="1"/>
  <c r="AA48" i="1"/>
  <c r="Z48" i="1"/>
  <c r="Y48" i="1"/>
  <c r="AF47" i="1"/>
  <c r="AE47" i="1"/>
  <c r="AD47" i="1"/>
  <c r="AC47" i="1"/>
  <c r="AB47" i="1"/>
  <c r="AA47" i="1"/>
  <c r="Z47" i="1"/>
  <c r="Y47" i="1"/>
  <c r="AF46" i="1"/>
  <c r="AE46" i="1"/>
  <c r="AD46" i="1"/>
  <c r="AC46" i="1"/>
  <c r="AB46" i="1"/>
  <c r="AA46" i="1"/>
  <c r="Z46" i="1"/>
  <c r="Y46" i="1"/>
  <c r="AF45" i="1"/>
  <c r="AE45" i="1"/>
  <c r="AD45" i="1"/>
  <c r="AC45" i="1"/>
  <c r="AB45" i="1"/>
  <c r="AA45" i="1"/>
  <c r="Z45" i="1"/>
  <c r="Y45" i="1"/>
  <c r="AF44" i="1"/>
  <c r="AE44" i="1"/>
  <c r="AD44" i="1"/>
  <c r="AC44" i="1"/>
  <c r="AB44" i="1"/>
  <c r="AA44" i="1"/>
  <c r="Z44" i="1"/>
  <c r="Y44" i="1"/>
  <c r="AF43" i="1"/>
  <c r="AE43" i="1"/>
  <c r="AD43" i="1"/>
  <c r="AC43" i="1"/>
  <c r="AB43" i="1"/>
  <c r="AA43" i="1"/>
  <c r="Z43" i="1"/>
  <c r="Y43" i="1"/>
  <c r="AF41" i="1"/>
  <c r="AE41" i="1"/>
  <c r="AD41" i="1"/>
  <c r="AC41" i="1"/>
  <c r="AB41" i="1"/>
  <c r="AA41" i="1"/>
  <c r="Z41" i="1"/>
  <c r="Y41" i="1"/>
  <c r="AF40" i="1"/>
  <c r="AE40" i="1"/>
  <c r="AD40" i="1"/>
  <c r="AC40" i="1"/>
  <c r="AB40" i="1"/>
  <c r="AA40" i="1"/>
  <c r="Z40" i="1"/>
  <c r="Y40" i="1"/>
  <c r="AF39" i="1"/>
  <c r="AE39" i="1"/>
  <c r="AD39" i="1"/>
  <c r="AC39" i="1"/>
  <c r="AB39" i="1"/>
  <c r="AA39" i="1"/>
  <c r="Z39" i="1"/>
  <c r="Y39" i="1"/>
  <c r="AF38" i="1"/>
  <c r="AE38" i="1"/>
  <c r="AD38" i="1"/>
  <c r="AC38" i="1"/>
  <c r="AB38" i="1"/>
  <c r="AA38" i="1"/>
  <c r="Z38" i="1"/>
  <c r="Y38" i="1"/>
  <c r="AF36" i="1"/>
  <c r="AE36" i="1"/>
  <c r="AD36" i="1"/>
  <c r="AC36" i="1"/>
  <c r="AB36" i="1"/>
  <c r="AA36" i="1"/>
  <c r="Z36" i="1"/>
  <c r="Y36" i="1"/>
  <c r="AF35" i="1"/>
  <c r="AE35" i="1"/>
  <c r="AD35" i="1"/>
  <c r="AC35" i="1"/>
  <c r="AB35" i="1"/>
  <c r="AA35" i="1"/>
  <c r="Z35" i="1"/>
  <c r="Y35" i="1"/>
  <c r="AF34" i="1"/>
  <c r="AE34" i="1"/>
  <c r="AD34" i="1"/>
  <c r="AC34" i="1"/>
  <c r="AB34" i="1"/>
  <c r="AA34" i="1"/>
  <c r="Z34" i="1"/>
  <c r="Y34" i="1"/>
  <c r="AF32" i="1"/>
  <c r="AE32" i="1"/>
  <c r="AD32" i="1"/>
  <c r="AC32" i="1"/>
  <c r="AB32" i="1"/>
  <c r="AA32" i="1"/>
  <c r="Z32" i="1"/>
  <c r="Y32" i="1"/>
  <c r="AF31" i="1"/>
  <c r="AE31" i="1"/>
  <c r="AD31" i="1"/>
  <c r="AC31" i="1"/>
  <c r="AB31" i="1"/>
  <c r="AA31" i="1"/>
  <c r="Z31" i="1"/>
  <c r="Y31" i="1"/>
  <c r="AF30" i="1"/>
  <c r="AE30" i="1"/>
  <c r="AD30" i="1"/>
  <c r="AC30" i="1"/>
  <c r="AB30" i="1"/>
  <c r="AA30" i="1"/>
  <c r="Z30" i="1"/>
  <c r="Y30" i="1"/>
  <c r="AF29" i="1"/>
  <c r="AE29" i="1"/>
  <c r="AD29" i="1"/>
  <c r="AC29" i="1"/>
  <c r="AB29" i="1"/>
  <c r="AA29" i="1"/>
  <c r="Z29" i="1"/>
  <c r="Y29" i="1"/>
  <c r="AF28" i="1"/>
  <c r="AE28" i="1"/>
  <c r="AD28" i="1"/>
  <c r="AC28" i="1"/>
  <c r="AB28" i="1"/>
  <c r="AA28" i="1"/>
  <c r="Z28" i="1"/>
  <c r="Y28" i="1"/>
  <c r="AF26" i="1"/>
  <c r="AE26" i="1"/>
  <c r="AD26" i="1"/>
  <c r="AC26" i="1"/>
  <c r="AB26" i="1"/>
  <c r="AA26" i="1"/>
  <c r="Z26" i="1"/>
  <c r="Y26" i="1"/>
  <c r="AF25" i="1"/>
  <c r="AE25" i="1"/>
  <c r="AD25" i="1"/>
  <c r="AC25" i="1"/>
  <c r="AB25" i="1"/>
  <c r="AA25" i="1"/>
  <c r="Z25" i="1"/>
  <c r="Y25" i="1"/>
  <c r="AF24" i="1"/>
  <c r="AE24" i="1"/>
  <c r="AD24" i="1"/>
  <c r="AC24" i="1"/>
  <c r="AB24" i="1"/>
  <c r="AA24" i="1"/>
  <c r="Z24" i="1"/>
  <c r="Y24" i="1"/>
  <c r="AF23" i="1"/>
  <c r="AE23" i="1"/>
  <c r="AD23" i="1"/>
  <c r="AC23" i="1"/>
  <c r="AB23" i="1"/>
  <c r="AA23" i="1"/>
  <c r="Z23" i="1"/>
  <c r="Y23" i="1"/>
  <c r="AF22" i="1"/>
  <c r="AE22" i="1"/>
  <c r="AD22" i="1"/>
  <c r="AC22" i="1"/>
  <c r="AB22" i="1"/>
  <c r="AA22" i="1"/>
  <c r="Z22" i="1"/>
  <c r="Y22" i="1"/>
  <c r="AF21" i="1"/>
  <c r="AE21" i="1"/>
  <c r="AD21" i="1"/>
  <c r="AC21" i="1"/>
  <c r="AB21" i="1"/>
  <c r="AA21" i="1"/>
  <c r="Z21" i="1"/>
  <c r="Y21" i="1"/>
  <c r="AF20" i="1"/>
  <c r="AE20" i="1"/>
  <c r="AD20" i="1"/>
  <c r="AC20" i="1"/>
  <c r="AB20" i="1"/>
  <c r="AA20" i="1"/>
  <c r="Z20" i="1"/>
  <c r="Y20" i="1"/>
  <c r="AF18" i="1"/>
  <c r="AE18" i="1"/>
  <c r="AD18" i="1"/>
  <c r="AC18" i="1"/>
  <c r="AB18" i="1"/>
  <c r="AA18" i="1"/>
  <c r="Z18" i="1"/>
  <c r="Y18" i="1"/>
  <c r="AF17" i="1"/>
  <c r="AE17" i="1"/>
  <c r="AD17" i="1"/>
  <c r="AC17" i="1"/>
  <c r="AB17" i="1"/>
  <c r="AA17" i="1"/>
  <c r="Z17" i="1"/>
  <c r="Y17" i="1"/>
  <c r="AF16" i="1"/>
  <c r="AE16" i="1"/>
  <c r="AD16" i="1"/>
  <c r="AC16" i="1"/>
  <c r="AB16" i="1"/>
  <c r="AA16" i="1"/>
  <c r="Z16" i="1"/>
  <c r="Y16" i="1"/>
  <c r="AF15" i="1"/>
  <c r="AE15" i="1"/>
  <c r="AD15" i="1"/>
  <c r="AC15" i="1"/>
  <c r="AB15" i="1"/>
  <c r="AA15" i="1"/>
  <c r="Z15" i="1"/>
  <c r="Y15" i="1"/>
  <c r="AF14" i="1"/>
  <c r="AE14" i="1"/>
  <c r="AD14" i="1"/>
  <c r="AC14" i="1"/>
  <c r="AB14" i="1"/>
  <c r="AA14" i="1"/>
  <c r="Z14" i="1"/>
  <c r="Y14" i="1"/>
  <c r="AF13" i="1"/>
  <c r="AE13" i="1"/>
  <c r="AD13" i="1"/>
  <c r="AC13" i="1"/>
  <c r="AB13" i="1"/>
  <c r="AA13" i="1"/>
  <c r="Z13" i="1"/>
  <c r="Y13" i="1"/>
  <c r="AF12" i="1"/>
  <c r="AE12" i="1"/>
  <c r="AD12" i="1"/>
  <c r="AC12" i="1"/>
  <c r="AB12" i="1"/>
  <c r="AA12" i="1"/>
  <c r="Z12" i="1"/>
  <c r="Y12" i="1"/>
  <c r="AF10" i="1"/>
  <c r="AE10" i="1"/>
  <c r="AD10" i="1"/>
  <c r="AC10" i="1"/>
  <c r="AB10" i="1"/>
  <c r="AA10" i="1"/>
  <c r="Z10" i="1"/>
  <c r="Y10" i="1"/>
  <c r="AF9" i="1"/>
  <c r="AE9" i="1"/>
  <c r="AD9" i="1"/>
  <c r="AC9" i="1"/>
  <c r="AB9" i="1"/>
  <c r="AA9" i="1"/>
  <c r="Z9" i="1"/>
  <c r="Y9" i="1"/>
  <c r="AF8" i="1"/>
  <c r="AE8" i="1"/>
  <c r="AD8" i="1"/>
  <c r="AC8" i="1"/>
  <c r="AB8" i="1"/>
  <c r="AA8" i="1"/>
  <c r="Z8" i="1"/>
  <c r="Y8" i="1"/>
  <c r="AF6" i="1"/>
  <c r="AE6" i="1"/>
  <c r="AD6" i="1"/>
  <c r="AC6" i="1"/>
  <c r="AB6" i="1"/>
  <c r="AA6" i="1"/>
  <c r="Z6" i="1"/>
  <c r="Y6" i="1"/>
  <c r="AF5" i="1"/>
  <c r="AE5" i="1"/>
  <c r="AD5" i="1"/>
  <c r="AC5" i="1"/>
  <c r="AB5" i="1"/>
  <c r="AA5" i="1"/>
  <c r="Z5" i="1"/>
  <c r="Y5" i="1"/>
  <c r="AF4" i="1"/>
  <c r="AE4" i="1"/>
  <c r="AD4" i="1"/>
  <c r="AC4" i="1"/>
  <c r="AB4" i="1"/>
  <c r="AA4" i="1"/>
  <c r="Z4" i="1"/>
  <c r="Y4" i="1"/>
  <c r="X60" i="1"/>
  <c r="W60" i="1"/>
  <c r="V60" i="1"/>
  <c r="U60" i="1"/>
  <c r="T60" i="1"/>
  <c r="S60" i="1"/>
  <c r="R60" i="1"/>
  <c r="Q60" i="1"/>
  <c r="X59" i="1"/>
  <c r="W59" i="1"/>
  <c r="V59" i="1"/>
  <c r="U59" i="1"/>
  <c r="T59" i="1"/>
  <c r="S59" i="1"/>
  <c r="R59" i="1"/>
  <c r="Q59" i="1"/>
  <c r="X58" i="1"/>
  <c r="W58" i="1"/>
  <c r="V58" i="1"/>
  <c r="U58" i="1"/>
  <c r="T58" i="1"/>
  <c r="S58" i="1"/>
  <c r="R58" i="1"/>
  <c r="Q58" i="1"/>
  <c r="X57" i="1"/>
  <c r="W57" i="1"/>
  <c r="V57" i="1"/>
  <c r="U57" i="1"/>
  <c r="T57" i="1"/>
  <c r="S57" i="1"/>
  <c r="R57" i="1"/>
  <c r="Q57" i="1"/>
  <c r="X56" i="1"/>
  <c r="W56" i="1"/>
  <c r="V56" i="1"/>
  <c r="U56" i="1"/>
  <c r="T56" i="1"/>
  <c r="S56" i="1"/>
  <c r="R56" i="1"/>
  <c r="Q56" i="1"/>
  <c r="X55" i="1"/>
  <c r="W55" i="1"/>
  <c r="V55" i="1"/>
  <c r="U55" i="1"/>
  <c r="T55" i="1"/>
  <c r="S55" i="1"/>
  <c r="R55" i="1"/>
  <c r="Q55" i="1"/>
  <c r="X54" i="1"/>
  <c r="W54" i="1"/>
  <c r="V54" i="1"/>
  <c r="U54" i="1"/>
  <c r="T54" i="1"/>
  <c r="S54" i="1"/>
  <c r="R54" i="1"/>
  <c r="Q54" i="1"/>
  <c r="X53" i="1"/>
  <c r="W53" i="1"/>
  <c r="V53" i="1"/>
  <c r="U53" i="1"/>
  <c r="T53" i="1"/>
  <c r="S53" i="1"/>
  <c r="R53" i="1"/>
  <c r="Q53" i="1"/>
  <c r="X52" i="1"/>
  <c r="W52" i="1"/>
  <c r="V52" i="1"/>
  <c r="U52" i="1"/>
  <c r="T52" i="1"/>
  <c r="S52" i="1"/>
  <c r="R52" i="1"/>
  <c r="Q52" i="1"/>
  <c r="X51" i="1"/>
  <c r="W51" i="1"/>
  <c r="V51" i="1"/>
  <c r="U51" i="1"/>
  <c r="T51" i="1"/>
  <c r="S51" i="1"/>
  <c r="R51" i="1"/>
  <c r="Q51" i="1"/>
  <c r="X50" i="1"/>
  <c r="W50" i="1"/>
  <c r="V50" i="1"/>
  <c r="U50" i="1"/>
  <c r="T50" i="1"/>
  <c r="S50" i="1"/>
  <c r="R50" i="1"/>
  <c r="Q50" i="1"/>
  <c r="X49" i="1"/>
  <c r="W49" i="1"/>
  <c r="V49" i="1"/>
  <c r="U49" i="1"/>
  <c r="T49" i="1"/>
  <c r="S49" i="1"/>
  <c r="R49" i="1"/>
  <c r="Q49" i="1"/>
  <c r="X48" i="1"/>
  <c r="W48" i="1"/>
  <c r="V48" i="1"/>
  <c r="U48" i="1"/>
  <c r="T48" i="1"/>
  <c r="S48" i="1"/>
  <c r="R48" i="1"/>
  <c r="Q48" i="1"/>
  <c r="X47" i="1"/>
  <c r="W47" i="1"/>
  <c r="V47" i="1"/>
  <c r="U47" i="1"/>
  <c r="T47" i="1"/>
  <c r="S47" i="1"/>
  <c r="R47" i="1"/>
  <c r="Q47" i="1"/>
  <c r="X46" i="1"/>
  <c r="W46" i="1"/>
  <c r="V46" i="1"/>
  <c r="U46" i="1"/>
  <c r="T46" i="1"/>
  <c r="S46" i="1"/>
  <c r="R46" i="1"/>
  <c r="Q46" i="1"/>
  <c r="X45" i="1"/>
  <c r="W45" i="1"/>
  <c r="V45" i="1"/>
  <c r="U45" i="1"/>
  <c r="T45" i="1"/>
  <c r="S45" i="1"/>
  <c r="R45" i="1"/>
  <c r="Q45" i="1"/>
  <c r="X44" i="1"/>
  <c r="W44" i="1"/>
  <c r="V44" i="1"/>
  <c r="U44" i="1"/>
  <c r="T44" i="1"/>
  <c r="S44" i="1"/>
  <c r="R44" i="1"/>
  <c r="Q44" i="1"/>
  <c r="X43" i="1"/>
  <c r="W43" i="1"/>
  <c r="V43" i="1"/>
  <c r="U43" i="1"/>
  <c r="T43" i="1"/>
  <c r="S43" i="1"/>
  <c r="R43" i="1"/>
  <c r="Q43" i="1"/>
  <c r="X41" i="1"/>
  <c r="W41" i="1"/>
  <c r="V41" i="1"/>
  <c r="U41" i="1"/>
  <c r="T41" i="1"/>
  <c r="S41" i="1"/>
  <c r="R41" i="1"/>
  <c r="Q41" i="1"/>
  <c r="X40" i="1"/>
  <c r="W40" i="1"/>
  <c r="V40" i="1"/>
  <c r="U40" i="1"/>
  <c r="T40" i="1"/>
  <c r="S40" i="1"/>
  <c r="R40" i="1"/>
  <c r="Q40" i="1"/>
  <c r="X39" i="1"/>
  <c r="W39" i="1"/>
  <c r="V39" i="1"/>
  <c r="U39" i="1"/>
  <c r="T39" i="1"/>
  <c r="S39" i="1"/>
  <c r="R39" i="1"/>
  <c r="Q39" i="1"/>
  <c r="X38" i="1"/>
  <c r="W38" i="1"/>
  <c r="V38" i="1"/>
  <c r="U38" i="1"/>
  <c r="T38" i="1"/>
  <c r="S38" i="1"/>
  <c r="R38" i="1"/>
  <c r="Q38" i="1"/>
  <c r="X36" i="1"/>
  <c r="W36" i="1"/>
  <c r="V36" i="1"/>
  <c r="U36" i="1"/>
  <c r="T36" i="1"/>
  <c r="S36" i="1"/>
  <c r="R36" i="1"/>
  <c r="Q36" i="1"/>
  <c r="X35" i="1"/>
  <c r="W35" i="1"/>
  <c r="V35" i="1"/>
  <c r="U35" i="1"/>
  <c r="T35" i="1"/>
  <c r="S35" i="1"/>
  <c r="R35" i="1"/>
  <c r="Q35" i="1"/>
  <c r="X34" i="1"/>
  <c r="W34" i="1"/>
  <c r="V34" i="1"/>
  <c r="U34" i="1"/>
  <c r="T34" i="1"/>
  <c r="S34" i="1"/>
  <c r="R34" i="1"/>
  <c r="Q34" i="1"/>
  <c r="X32" i="1"/>
  <c r="W32" i="1"/>
  <c r="V32" i="1"/>
  <c r="U32" i="1"/>
  <c r="T32" i="1"/>
  <c r="S32" i="1"/>
  <c r="R32" i="1"/>
  <c r="Q32" i="1"/>
  <c r="X31" i="1"/>
  <c r="W31" i="1"/>
  <c r="V31" i="1"/>
  <c r="U31" i="1"/>
  <c r="T31" i="1"/>
  <c r="S31" i="1"/>
  <c r="R31" i="1"/>
  <c r="Q31" i="1"/>
  <c r="X30" i="1"/>
  <c r="W30" i="1"/>
  <c r="V30" i="1"/>
  <c r="U30" i="1"/>
  <c r="T30" i="1"/>
  <c r="S30" i="1"/>
  <c r="R30" i="1"/>
  <c r="Q30" i="1"/>
  <c r="X29" i="1"/>
  <c r="W29" i="1"/>
  <c r="V29" i="1"/>
  <c r="U29" i="1"/>
  <c r="T29" i="1"/>
  <c r="S29" i="1"/>
  <c r="R29" i="1"/>
  <c r="Q29" i="1"/>
  <c r="X28" i="1"/>
  <c r="W28" i="1"/>
  <c r="V28" i="1"/>
  <c r="U28" i="1"/>
  <c r="T28" i="1"/>
  <c r="S28" i="1"/>
  <c r="R28" i="1"/>
  <c r="Q28" i="1"/>
  <c r="X26" i="1"/>
  <c r="W26" i="1"/>
  <c r="V26" i="1"/>
  <c r="U26" i="1"/>
  <c r="T26" i="1"/>
  <c r="S26" i="1"/>
  <c r="R26" i="1"/>
  <c r="Q26" i="1"/>
  <c r="X25" i="1"/>
  <c r="W25" i="1"/>
  <c r="V25" i="1"/>
  <c r="U25" i="1"/>
  <c r="T25" i="1"/>
  <c r="S25" i="1"/>
  <c r="R25" i="1"/>
  <c r="Q25" i="1"/>
  <c r="X24" i="1"/>
  <c r="W24" i="1"/>
  <c r="V24" i="1"/>
  <c r="U24" i="1"/>
  <c r="T24" i="1"/>
  <c r="S24" i="1"/>
  <c r="R24" i="1"/>
  <c r="Q24" i="1"/>
  <c r="X23" i="1"/>
  <c r="W23" i="1"/>
  <c r="V23" i="1"/>
  <c r="U23" i="1"/>
  <c r="T23" i="1"/>
  <c r="S23" i="1"/>
  <c r="R23" i="1"/>
  <c r="Q23" i="1"/>
  <c r="X22" i="1"/>
  <c r="W22" i="1"/>
  <c r="V22" i="1"/>
  <c r="U22" i="1"/>
  <c r="T22" i="1"/>
  <c r="S22" i="1"/>
  <c r="R22" i="1"/>
  <c r="Q22" i="1"/>
  <c r="X21" i="1"/>
  <c r="W21" i="1"/>
  <c r="V21" i="1"/>
  <c r="U21" i="1"/>
  <c r="T21" i="1"/>
  <c r="S21" i="1"/>
  <c r="R21" i="1"/>
  <c r="Q21" i="1"/>
  <c r="X20" i="1"/>
  <c r="W20" i="1"/>
  <c r="V20" i="1"/>
  <c r="U20" i="1"/>
  <c r="T20" i="1"/>
  <c r="S20" i="1"/>
  <c r="R20" i="1"/>
  <c r="Q20" i="1"/>
  <c r="X18" i="1"/>
  <c r="W18" i="1"/>
  <c r="V18" i="1"/>
  <c r="U18" i="1"/>
  <c r="T18" i="1"/>
  <c r="S18" i="1"/>
  <c r="R18" i="1"/>
  <c r="Q18" i="1"/>
  <c r="X17" i="1"/>
  <c r="W17" i="1"/>
  <c r="V17" i="1"/>
  <c r="U17" i="1"/>
  <c r="T17" i="1"/>
  <c r="S17" i="1"/>
  <c r="R17" i="1"/>
  <c r="Q17" i="1"/>
  <c r="X16" i="1"/>
  <c r="W16" i="1"/>
  <c r="V16" i="1"/>
  <c r="U16" i="1"/>
  <c r="T16" i="1"/>
  <c r="S16" i="1"/>
  <c r="R16" i="1"/>
  <c r="Q16" i="1"/>
  <c r="X15" i="1"/>
  <c r="W15" i="1"/>
  <c r="V15" i="1"/>
  <c r="U15" i="1"/>
  <c r="T15" i="1"/>
  <c r="S15" i="1"/>
  <c r="R15" i="1"/>
  <c r="Q15" i="1"/>
  <c r="X14" i="1"/>
  <c r="W14" i="1"/>
  <c r="V14" i="1"/>
  <c r="U14" i="1"/>
  <c r="T14" i="1"/>
  <c r="S14" i="1"/>
  <c r="R14" i="1"/>
  <c r="Q14" i="1"/>
  <c r="X13" i="1"/>
  <c r="W13" i="1"/>
  <c r="V13" i="1"/>
  <c r="U13" i="1"/>
  <c r="T13" i="1"/>
  <c r="S13" i="1"/>
  <c r="R13" i="1"/>
  <c r="Q13" i="1"/>
  <c r="X12" i="1"/>
  <c r="W12" i="1"/>
  <c r="V12" i="1"/>
  <c r="U12" i="1"/>
  <c r="T12" i="1"/>
  <c r="S12" i="1"/>
  <c r="R12" i="1"/>
  <c r="Q12" i="1"/>
  <c r="X10" i="1"/>
  <c r="W10" i="1"/>
  <c r="V10" i="1"/>
  <c r="U10" i="1"/>
  <c r="T10" i="1"/>
  <c r="S10" i="1"/>
  <c r="R10" i="1"/>
  <c r="Q10" i="1"/>
  <c r="X9" i="1"/>
  <c r="W9" i="1"/>
  <c r="V9" i="1"/>
  <c r="U9" i="1"/>
  <c r="T9" i="1"/>
  <c r="S9" i="1"/>
  <c r="R9" i="1"/>
  <c r="Q9" i="1"/>
  <c r="X8" i="1"/>
  <c r="W8" i="1"/>
  <c r="V8" i="1"/>
  <c r="U8" i="1"/>
  <c r="T8" i="1"/>
  <c r="S8" i="1"/>
  <c r="R8" i="1"/>
  <c r="Q8" i="1"/>
  <c r="X6" i="1"/>
  <c r="W6" i="1"/>
  <c r="V6" i="1"/>
  <c r="U6" i="1"/>
  <c r="T6" i="1"/>
  <c r="S6" i="1"/>
  <c r="R6" i="1"/>
  <c r="Q6" i="1"/>
  <c r="X5" i="1"/>
  <c r="W5" i="1"/>
  <c r="V5" i="1"/>
  <c r="U5" i="1"/>
  <c r="T5" i="1"/>
  <c r="S5" i="1"/>
  <c r="R5" i="1"/>
  <c r="Q5" i="1"/>
  <c r="X4" i="1"/>
  <c r="W4" i="1"/>
  <c r="V4" i="1"/>
  <c r="U4" i="1"/>
  <c r="T4" i="1"/>
  <c r="S4" i="1"/>
  <c r="R4" i="1"/>
  <c r="Q4" i="1"/>
  <c r="J38" i="1"/>
  <c r="K38" i="1"/>
  <c r="L38" i="1"/>
  <c r="M38" i="1"/>
  <c r="N38" i="1"/>
  <c r="O38" i="1"/>
  <c r="P38" i="1"/>
  <c r="I38" i="1"/>
  <c r="J34" i="1"/>
  <c r="K34" i="1"/>
  <c r="L34" i="1"/>
  <c r="M34" i="1"/>
  <c r="N34" i="1"/>
  <c r="O34" i="1"/>
  <c r="P34" i="1"/>
  <c r="J35" i="1"/>
  <c r="K35" i="1"/>
  <c r="L35" i="1"/>
  <c r="M35" i="1"/>
  <c r="N35" i="1"/>
  <c r="O35" i="1"/>
  <c r="P35" i="1"/>
  <c r="J36" i="1"/>
  <c r="K36" i="1"/>
  <c r="L36" i="1"/>
  <c r="M36" i="1"/>
  <c r="N36" i="1"/>
  <c r="O36" i="1"/>
  <c r="P36" i="1"/>
  <c r="I36" i="1"/>
  <c r="I35" i="1"/>
  <c r="I34" i="1"/>
  <c r="P60" i="1"/>
  <c r="O60" i="1"/>
  <c r="N60" i="1"/>
  <c r="M60" i="1"/>
  <c r="L60" i="1"/>
  <c r="K60" i="1"/>
  <c r="J60" i="1"/>
  <c r="P57" i="1"/>
  <c r="O57" i="1"/>
  <c r="N57" i="1"/>
  <c r="M57" i="1"/>
  <c r="L57" i="1"/>
  <c r="K57" i="1"/>
  <c r="J57" i="1"/>
  <c r="P55" i="1"/>
  <c r="O55" i="1"/>
  <c r="N55" i="1"/>
  <c r="M55" i="1"/>
  <c r="L55" i="1"/>
  <c r="K55" i="1"/>
  <c r="J55" i="1"/>
  <c r="P53" i="1"/>
  <c r="O53" i="1"/>
  <c r="N53" i="1"/>
  <c r="M53" i="1"/>
  <c r="L53" i="1"/>
  <c r="K53" i="1"/>
  <c r="J53" i="1"/>
  <c r="P52" i="1"/>
  <c r="O52" i="1"/>
  <c r="N52" i="1"/>
  <c r="M52" i="1"/>
  <c r="L52" i="1"/>
  <c r="K52" i="1"/>
  <c r="J52" i="1"/>
  <c r="P47" i="1"/>
  <c r="O47" i="1"/>
  <c r="N47" i="1"/>
  <c r="M47" i="1"/>
  <c r="L47" i="1"/>
  <c r="K47" i="1"/>
  <c r="J47" i="1"/>
  <c r="P46" i="1"/>
  <c r="O46" i="1"/>
  <c r="N46" i="1"/>
  <c r="M46" i="1"/>
  <c r="L46" i="1"/>
  <c r="K46" i="1"/>
  <c r="J46" i="1"/>
  <c r="I60" i="1"/>
  <c r="I57" i="1"/>
  <c r="I55" i="1"/>
  <c r="I53" i="1"/>
  <c r="I52" i="1"/>
  <c r="I47" i="1"/>
  <c r="I46" i="1"/>
  <c r="J4" i="1"/>
  <c r="K4" i="1"/>
  <c r="L4" i="1"/>
  <c r="M4" i="1"/>
  <c r="N4" i="1"/>
  <c r="O4" i="1"/>
  <c r="P4" i="1"/>
  <c r="P40" i="1"/>
  <c r="O40" i="1"/>
  <c r="N40" i="1"/>
  <c r="M40" i="1"/>
  <c r="L40" i="1"/>
  <c r="K40" i="1"/>
  <c r="J40" i="1"/>
  <c r="P39" i="1"/>
  <c r="O39" i="1"/>
  <c r="N39" i="1"/>
  <c r="M39" i="1"/>
  <c r="L39" i="1"/>
  <c r="K39" i="1"/>
  <c r="J39" i="1"/>
  <c r="P6" i="1"/>
  <c r="O6" i="1"/>
  <c r="N6" i="1"/>
  <c r="M6" i="1"/>
  <c r="L6" i="1"/>
  <c r="K6" i="1"/>
  <c r="J6" i="1"/>
  <c r="P5" i="1"/>
  <c r="O5" i="1"/>
  <c r="N5" i="1"/>
  <c r="M5" i="1"/>
  <c r="L5" i="1"/>
  <c r="K5" i="1"/>
  <c r="J5" i="1"/>
  <c r="I40" i="1"/>
  <c r="I39" i="1"/>
  <c r="I6" i="1"/>
  <c r="I5" i="1"/>
  <c r="I4" i="1"/>
  <c r="P50" i="1"/>
  <c r="O50" i="1"/>
  <c r="N50" i="1"/>
  <c r="M50" i="1"/>
  <c r="L50" i="1"/>
  <c r="K50" i="1"/>
  <c r="J50" i="1"/>
  <c r="P44" i="1"/>
  <c r="O44" i="1"/>
  <c r="N44" i="1"/>
  <c r="M44" i="1"/>
  <c r="L44" i="1"/>
  <c r="K44" i="1"/>
  <c r="J44" i="1"/>
  <c r="P18" i="1"/>
  <c r="O18" i="1"/>
  <c r="N18" i="1"/>
  <c r="M18" i="1"/>
  <c r="L18" i="1"/>
  <c r="K18" i="1"/>
  <c r="J18" i="1"/>
  <c r="P17" i="1"/>
  <c r="O17" i="1"/>
  <c r="N17" i="1"/>
  <c r="M17" i="1"/>
  <c r="L17" i="1"/>
  <c r="K17" i="1"/>
  <c r="J17" i="1"/>
  <c r="P16" i="1"/>
  <c r="O16" i="1"/>
  <c r="N16" i="1"/>
  <c r="M16" i="1"/>
  <c r="L16" i="1"/>
  <c r="K16" i="1"/>
  <c r="J16" i="1"/>
  <c r="P15" i="1"/>
  <c r="O15" i="1"/>
  <c r="N15" i="1"/>
  <c r="M15" i="1"/>
  <c r="L15" i="1"/>
  <c r="K15" i="1"/>
  <c r="J15" i="1"/>
  <c r="P14" i="1"/>
  <c r="O14" i="1"/>
  <c r="N14" i="1"/>
  <c r="M14" i="1"/>
  <c r="L14" i="1"/>
  <c r="K14" i="1"/>
  <c r="J14" i="1"/>
  <c r="P13" i="1"/>
  <c r="O13" i="1"/>
  <c r="N13" i="1"/>
  <c r="M13" i="1"/>
  <c r="L13" i="1"/>
  <c r="K13" i="1"/>
  <c r="J13" i="1"/>
  <c r="P12" i="1"/>
  <c r="O12" i="1"/>
  <c r="N12" i="1"/>
  <c r="M12" i="1"/>
  <c r="L12" i="1"/>
  <c r="K12" i="1"/>
  <c r="J12" i="1"/>
  <c r="I50" i="1"/>
  <c r="I44" i="1"/>
  <c r="I18" i="1"/>
  <c r="I17" i="1"/>
  <c r="I16" i="1"/>
  <c r="I15" i="1"/>
  <c r="I14" i="1"/>
  <c r="I13" i="1"/>
  <c r="I12" i="1"/>
  <c r="P59" i="1"/>
  <c r="O59" i="1"/>
  <c r="N59" i="1"/>
  <c r="M59" i="1"/>
  <c r="L59" i="1"/>
  <c r="K59" i="1"/>
  <c r="J59" i="1"/>
  <c r="P56" i="1"/>
  <c r="O56" i="1"/>
  <c r="N56" i="1"/>
  <c r="M56" i="1"/>
  <c r="L56" i="1"/>
  <c r="K56" i="1"/>
  <c r="J56" i="1"/>
  <c r="P51" i="1"/>
  <c r="O51" i="1"/>
  <c r="N51" i="1"/>
  <c r="M51" i="1"/>
  <c r="L51" i="1"/>
  <c r="K51" i="1"/>
  <c r="J51" i="1"/>
  <c r="P43" i="1"/>
  <c r="O43" i="1"/>
  <c r="N43" i="1"/>
  <c r="M43" i="1"/>
  <c r="L43" i="1"/>
  <c r="K43" i="1"/>
  <c r="J43" i="1"/>
  <c r="P32" i="1"/>
  <c r="O32" i="1"/>
  <c r="N32" i="1"/>
  <c r="M32" i="1"/>
  <c r="L32" i="1"/>
  <c r="K32" i="1"/>
  <c r="J32" i="1"/>
  <c r="P31" i="1"/>
  <c r="O31" i="1"/>
  <c r="N31" i="1"/>
  <c r="M31" i="1"/>
  <c r="L31" i="1"/>
  <c r="K31" i="1"/>
  <c r="J31" i="1"/>
  <c r="P30" i="1"/>
  <c r="O30" i="1"/>
  <c r="N30" i="1"/>
  <c r="M30" i="1"/>
  <c r="L30" i="1"/>
  <c r="K30" i="1"/>
  <c r="J30" i="1"/>
  <c r="P29" i="1"/>
  <c r="O29" i="1"/>
  <c r="N29" i="1"/>
  <c r="M29" i="1"/>
  <c r="L29" i="1"/>
  <c r="K29" i="1"/>
  <c r="J29" i="1"/>
  <c r="P28" i="1"/>
  <c r="O28" i="1"/>
  <c r="N28" i="1"/>
  <c r="M28" i="1"/>
  <c r="L28" i="1"/>
  <c r="K28" i="1"/>
  <c r="J28" i="1"/>
  <c r="I59" i="1"/>
  <c r="I56" i="1"/>
  <c r="I51" i="1"/>
  <c r="I43" i="1"/>
  <c r="I32" i="1"/>
  <c r="I31" i="1"/>
  <c r="I30" i="1"/>
  <c r="I29" i="1"/>
  <c r="I28" i="1"/>
  <c r="P49" i="1"/>
  <c r="O49" i="1"/>
  <c r="N49" i="1"/>
  <c r="M49" i="1"/>
  <c r="L49" i="1"/>
  <c r="K49" i="1"/>
  <c r="J49" i="1"/>
  <c r="P48" i="1"/>
  <c r="O48" i="1"/>
  <c r="N48" i="1"/>
  <c r="M48" i="1"/>
  <c r="L48" i="1"/>
  <c r="K48" i="1"/>
  <c r="J48" i="1"/>
  <c r="P10" i="1"/>
  <c r="O10" i="1"/>
  <c r="N10" i="1"/>
  <c r="M10" i="1"/>
  <c r="L10" i="1"/>
  <c r="K10" i="1"/>
  <c r="J10" i="1"/>
  <c r="P9" i="1"/>
  <c r="O9" i="1"/>
  <c r="N9" i="1"/>
  <c r="M9" i="1"/>
  <c r="L9" i="1"/>
  <c r="K9" i="1"/>
  <c r="J9" i="1"/>
  <c r="P8" i="1"/>
  <c r="O8" i="1"/>
  <c r="N8" i="1"/>
  <c r="M8" i="1"/>
  <c r="L8" i="1"/>
  <c r="K8" i="1"/>
  <c r="J8" i="1"/>
  <c r="I49" i="1"/>
  <c r="I48" i="1"/>
  <c r="I10" i="1"/>
  <c r="I9" i="1"/>
  <c r="I8" i="1"/>
  <c r="P58" i="1"/>
  <c r="O58" i="1"/>
  <c r="N58" i="1"/>
  <c r="M58" i="1"/>
  <c r="L58" i="1"/>
  <c r="K58" i="1"/>
  <c r="J58" i="1"/>
  <c r="P54" i="1"/>
  <c r="O54" i="1"/>
  <c r="N54" i="1"/>
  <c r="M54" i="1"/>
  <c r="L54" i="1"/>
  <c r="K54" i="1"/>
  <c r="J54" i="1"/>
  <c r="P45" i="1"/>
  <c r="O45" i="1"/>
  <c r="N45" i="1"/>
  <c r="M45" i="1"/>
  <c r="L45" i="1"/>
  <c r="K45" i="1"/>
  <c r="J45" i="1"/>
  <c r="I58" i="1"/>
  <c r="I54" i="1"/>
  <c r="I45" i="1"/>
  <c r="J41" i="1"/>
  <c r="K41" i="1"/>
  <c r="L41" i="1"/>
  <c r="M41" i="1"/>
  <c r="N41" i="1"/>
  <c r="O41" i="1"/>
  <c r="P41" i="1"/>
  <c r="I41" i="1"/>
  <c r="J21" i="1"/>
  <c r="K21" i="1"/>
  <c r="L21" i="1"/>
  <c r="M21" i="1"/>
  <c r="N21" i="1"/>
  <c r="O21" i="1"/>
  <c r="P21" i="1"/>
  <c r="J22" i="1"/>
  <c r="K22" i="1"/>
  <c r="L22" i="1"/>
  <c r="M22" i="1"/>
  <c r="N22" i="1"/>
  <c r="O22" i="1"/>
  <c r="P22" i="1"/>
  <c r="J23" i="1"/>
  <c r="K23" i="1"/>
  <c r="L23" i="1"/>
  <c r="M23" i="1"/>
  <c r="N23" i="1"/>
  <c r="O23" i="1"/>
  <c r="P23" i="1"/>
  <c r="J24" i="1"/>
  <c r="K24" i="1"/>
  <c r="L24" i="1"/>
  <c r="M24" i="1"/>
  <c r="N24" i="1"/>
  <c r="O24" i="1"/>
  <c r="P24" i="1"/>
  <c r="J25" i="1"/>
  <c r="K25" i="1"/>
  <c r="L25" i="1"/>
  <c r="M25" i="1"/>
  <c r="N25" i="1"/>
  <c r="O25" i="1"/>
  <c r="P25" i="1"/>
  <c r="J26" i="1"/>
  <c r="K26" i="1"/>
  <c r="L26" i="1"/>
  <c r="M26" i="1"/>
  <c r="N26" i="1"/>
  <c r="O26" i="1"/>
  <c r="P26" i="1"/>
  <c r="I26" i="1"/>
  <c r="I25" i="1"/>
  <c r="I24" i="1"/>
  <c r="I23" i="1"/>
  <c r="I22" i="1"/>
  <c r="I21" i="1"/>
  <c r="J20" i="1"/>
  <c r="K20" i="1"/>
  <c r="L20" i="1"/>
  <c r="M20" i="1"/>
  <c r="N20" i="1"/>
  <c r="O20" i="1"/>
  <c r="P20" i="1"/>
  <c r="I20" i="1"/>
  <c r="E235" i="4"/>
  <c r="E234" i="4"/>
  <c r="E233" i="4"/>
  <c r="E232" i="4"/>
  <c r="E231" i="4"/>
  <c r="E230" i="4"/>
  <c r="E229" i="4"/>
  <c r="E228" i="4"/>
  <c r="E225" i="4"/>
  <c r="E224" i="4"/>
  <c r="E223" i="4"/>
  <c r="E222" i="4"/>
  <c r="E221" i="4"/>
  <c r="E220" i="4"/>
  <c r="E219" i="4"/>
  <c r="E218" i="4"/>
  <c r="E215" i="4"/>
  <c r="E214" i="4"/>
  <c r="E213" i="4"/>
  <c r="E212" i="4"/>
  <c r="E211" i="4"/>
  <c r="E210" i="4"/>
  <c r="E209" i="4"/>
  <c r="E208" i="4"/>
  <c r="E205" i="4"/>
  <c r="E204" i="4"/>
  <c r="E203" i="4"/>
  <c r="E202" i="4"/>
  <c r="E201" i="4"/>
  <c r="E200" i="4"/>
  <c r="E199" i="4"/>
  <c r="E196" i="4"/>
  <c r="E195" i="4"/>
  <c r="E194" i="4"/>
  <c r="E193" i="4"/>
  <c r="E192" i="4"/>
  <c r="E191" i="4"/>
  <c r="E190" i="4"/>
  <c r="E187" i="4"/>
  <c r="E186" i="4"/>
  <c r="E185" i="4"/>
  <c r="E184" i="4"/>
  <c r="E183" i="4"/>
  <c r="E182" i="4"/>
  <c r="E179" i="4"/>
  <c r="E178" i="4"/>
  <c r="E177" i="4"/>
  <c r="E176" i="4"/>
  <c r="E175" i="4"/>
  <c r="E174" i="4"/>
  <c r="E171" i="4"/>
  <c r="E170" i="4"/>
  <c r="E169" i="4"/>
  <c r="E168" i="4"/>
  <c r="E167" i="4"/>
  <c r="E166" i="4"/>
  <c r="E153" i="4"/>
  <c r="E151" i="4"/>
  <c r="E150" i="4"/>
  <c r="E149" i="4"/>
  <c r="E148" i="4"/>
  <c r="E147" i="4"/>
  <c r="E74" i="4"/>
  <c r="E73" i="4"/>
  <c r="E72" i="4"/>
  <c r="E71" i="4"/>
  <c r="E70" i="4"/>
  <c r="E69" i="4"/>
  <c r="E66" i="4"/>
  <c r="E65" i="4"/>
  <c r="E64" i="4"/>
  <c r="E63" i="4"/>
  <c r="E62" i="4"/>
  <c r="E59" i="4"/>
  <c r="E58" i="4"/>
  <c r="E57" i="4"/>
  <c r="E56" i="4"/>
  <c r="E55" i="4"/>
  <c r="E52" i="4"/>
  <c r="E51" i="4"/>
  <c r="E50" i="4"/>
  <c r="E49" i="4"/>
  <c r="E48" i="4"/>
  <c r="E47" i="4"/>
  <c r="E44" i="4"/>
  <c r="E43" i="4"/>
  <c r="E42" i="4"/>
  <c r="E41" i="4"/>
  <c r="E40" i="4"/>
  <c r="E39" i="4"/>
  <c r="E38" i="4"/>
  <c r="E35" i="4"/>
  <c r="E33" i="4"/>
  <c r="E32" i="4"/>
  <c r="E31" i="4"/>
  <c r="E30" i="4"/>
  <c r="E29" i="4"/>
  <c r="E28" i="4"/>
  <c r="E25" i="4"/>
  <c r="E24" i="4"/>
  <c r="E23" i="4"/>
  <c r="E22" i="4"/>
  <c r="E21" i="4"/>
  <c r="E20" i="4"/>
  <c r="E11" i="4"/>
  <c r="E4" i="4"/>
  <c r="E5" i="4"/>
  <c r="E6" i="4"/>
  <c r="E7" i="4"/>
  <c r="E8" i="4"/>
  <c r="E3" i="4"/>
  <c r="D3" i="4"/>
  <c r="D235" i="4"/>
  <c r="D234" i="4"/>
  <c r="D233" i="4"/>
  <c r="D232" i="4"/>
  <c r="D231" i="4"/>
  <c r="D230" i="4"/>
  <c r="D229" i="4"/>
  <c r="D228" i="4"/>
  <c r="D225" i="4"/>
  <c r="D224" i="4"/>
  <c r="D223" i="4"/>
  <c r="D222" i="4"/>
  <c r="D221" i="4"/>
  <c r="D220" i="4"/>
  <c r="D219" i="4"/>
  <c r="D218" i="4"/>
  <c r="D215" i="4"/>
  <c r="D214" i="4"/>
  <c r="D213" i="4"/>
  <c r="D212" i="4"/>
  <c r="D211" i="4"/>
  <c r="D210" i="4"/>
  <c r="D209" i="4"/>
  <c r="D208" i="4"/>
  <c r="D205" i="4"/>
  <c r="D204" i="4"/>
  <c r="D203" i="4"/>
  <c r="D202" i="4"/>
  <c r="D201" i="4"/>
  <c r="D200" i="4"/>
  <c r="D199" i="4"/>
  <c r="D196" i="4"/>
  <c r="D195" i="4"/>
  <c r="D194" i="4"/>
  <c r="D193" i="4"/>
  <c r="D192" i="4"/>
  <c r="D191" i="4"/>
  <c r="D190" i="4"/>
  <c r="D187" i="4"/>
  <c r="D186" i="4"/>
  <c r="D185" i="4"/>
  <c r="D184" i="4"/>
  <c r="D183" i="4"/>
  <c r="D182" i="4"/>
  <c r="D179" i="4"/>
  <c r="D178" i="4"/>
  <c r="D177" i="4"/>
  <c r="D176" i="4"/>
  <c r="D175" i="4"/>
  <c r="D174" i="4"/>
  <c r="D171" i="4"/>
  <c r="D170" i="4"/>
  <c r="D169" i="4"/>
  <c r="D168" i="4"/>
  <c r="D167" i="4"/>
  <c r="D166" i="4"/>
  <c r="D153" i="4"/>
  <c r="D151" i="4"/>
  <c r="D150" i="4"/>
  <c r="D149" i="4"/>
  <c r="D148" i="4"/>
  <c r="D147" i="4"/>
  <c r="D74" i="4"/>
  <c r="D73" i="4"/>
  <c r="D72" i="4"/>
  <c r="D71" i="4"/>
  <c r="D70" i="4"/>
  <c r="D69" i="4"/>
  <c r="D66" i="4"/>
  <c r="D65" i="4"/>
  <c r="D64" i="4"/>
  <c r="D63" i="4"/>
  <c r="D62" i="4"/>
  <c r="D59" i="4"/>
  <c r="D58" i="4"/>
  <c r="D57" i="4"/>
  <c r="D56" i="4"/>
  <c r="D55" i="4"/>
  <c r="D52" i="4"/>
  <c r="D51" i="4"/>
  <c r="D50" i="4"/>
  <c r="D49" i="4"/>
  <c r="D48" i="4"/>
  <c r="D47" i="4"/>
  <c r="D44" i="4"/>
  <c r="D43" i="4"/>
  <c r="D42" i="4"/>
  <c r="D41" i="4"/>
  <c r="D40" i="4"/>
  <c r="D39" i="4"/>
  <c r="D38" i="4"/>
  <c r="D35" i="4"/>
  <c r="D33" i="4"/>
  <c r="D32" i="4"/>
  <c r="D31" i="4"/>
  <c r="D30" i="4"/>
  <c r="D29" i="4"/>
  <c r="D28" i="4"/>
  <c r="D25" i="4"/>
  <c r="D24" i="4"/>
  <c r="D23" i="4"/>
  <c r="D22" i="4"/>
  <c r="D21" i="4"/>
  <c r="D20" i="4"/>
  <c r="D11" i="4"/>
  <c r="D4" i="4"/>
  <c r="D5" i="4"/>
  <c r="D6" i="4"/>
  <c r="D7" i="4"/>
  <c r="D8" i="4"/>
  <c r="A122" i="4"/>
  <c r="A123" i="4"/>
  <c r="A113" i="4"/>
  <c r="A114" i="4"/>
  <c r="A115" i="4"/>
  <c r="AG283" i="4"/>
  <c r="AG282" i="4"/>
  <c r="AG281" i="4"/>
  <c r="AG280" i="4"/>
  <c r="AG279" i="4"/>
  <c r="AG278" i="4"/>
  <c r="AG277" i="4"/>
  <c r="AG276" i="4"/>
  <c r="G277" i="4"/>
  <c r="G278" i="4" s="1"/>
  <c r="G279" i="4" s="1"/>
  <c r="G280" i="4" s="1"/>
  <c r="G281" i="4" s="1"/>
  <c r="G282" i="4" s="1"/>
  <c r="AG275" i="4"/>
  <c r="H276" i="4"/>
  <c r="H277" i="4" s="1"/>
  <c r="H278" i="4" s="1"/>
  <c r="H279" i="4" s="1"/>
  <c r="H280" i="4" s="1"/>
  <c r="H281" i="4" s="1"/>
  <c r="H282" i="4" s="1"/>
  <c r="F276" i="4"/>
  <c r="AG274" i="4"/>
  <c r="A275" i="4"/>
  <c r="AG246" i="4"/>
  <c r="AG245" i="4"/>
  <c r="AG244" i="4"/>
  <c r="AG243" i="4"/>
  <c r="AG242" i="4"/>
  <c r="AG241" i="4"/>
  <c r="AG240" i="4"/>
  <c r="AG239" i="4"/>
  <c r="G240" i="4"/>
  <c r="G241" i="4" s="1"/>
  <c r="G242" i="4" s="1"/>
  <c r="G243" i="4" s="1"/>
  <c r="G244" i="4" s="1"/>
  <c r="G245" i="4" s="1"/>
  <c r="G246" i="4" s="1"/>
  <c r="AG238" i="4"/>
  <c r="H239" i="4"/>
  <c r="H240" i="4" s="1"/>
  <c r="H241" i="4" s="1"/>
  <c r="H242" i="4" s="1"/>
  <c r="H243" i="4" s="1"/>
  <c r="H244" i="4" s="1"/>
  <c r="H245" i="4" s="1"/>
  <c r="H246" i="4" s="1"/>
  <c r="F239" i="4"/>
  <c r="F240" i="4"/>
  <c r="F241" i="4" s="1"/>
  <c r="F242" i="4" s="1"/>
  <c r="F243" i="4" s="1"/>
  <c r="F244" i="4" s="1"/>
  <c r="AG237" i="4"/>
  <c r="A238" i="4"/>
  <c r="AG236" i="4"/>
  <c r="A237" i="4"/>
  <c r="Y2" i="5"/>
  <c r="H267" i="4"/>
  <c r="A267" i="4" s="1"/>
  <c r="H268" i="4"/>
  <c r="A268" i="4" s="1"/>
  <c r="H269" i="4"/>
  <c r="A269" i="4" s="1"/>
  <c r="H270" i="4"/>
  <c r="A270" i="4"/>
  <c r="H271" i="4"/>
  <c r="A271" i="4" s="1"/>
  <c r="H272" i="4"/>
  <c r="A272" i="4" s="1"/>
  <c r="H273" i="4"/>
  <c r="A273" i="4" s="1"/>
  <c r="H258" i="4"/>
  <c r="A258" i="4"/>
  <c r="H259" i="4"/>
  <c r="A259" i="4" s="1"/>
  <c r="H260" i="4"/>
  <c r="A260" i="4" s="1"/>
  <c r="H261" i="4"/>
  <c r="A261" i="4" s="1"/>
  <c r="H262" i="4"/>
  <c r="A262" i="4"/>
  <c r="H257" i="4"/>
  <c r="A257" i="4" s="1"/>
  <c r="H250" i="4"/>
  <c r="A250" i="4" s="1"/>
  <c r="H251" i="4"/>
  <c r="A251" i="4" s="1"/>
  <c r="H252" i="4"/>
  <c r="A252" i="4"/>
  <c r="H253" i="4"/>
  <c r="H254" i="4"/>
  <c r="A254" i="4" s="1"/>
  <c r="H249" i="4"/>
  <c r="A249" i="4" s="1"/>
  <c r="A265" i="4"/>
  <c r="A264" i="4"/>
  <c r="A256" i="4"/>
  <c r="A255" i="4"/>
  <c r="A253" i="4"/>
  <c r="A248" i="4"/>
  <c r="S4" i="16"/>
  <c r="N17" i="5"/>
  <c r="N16" i="5"/>
  <c r="N15" i="5"/>
  <c r="N14" i="5"/>
  <c r="AK4" i="9"/>
  <c r="U286" i="16"/>
  <c r="T286" i="16"/>
  <c r="U285" i="16"/>
  <c r="T285" i="16"/>
  <c r="U284" i="16"/>
  <c r="T284" i="16"/>
  <c r="U283" i="16"/>
  <c r="T283" i="16"/>
  <c r="U282" i="16"/>
  <c r="T282" i="16"/>
  <c r="U281" i="16"/>
  <c r="T281" i="16"/>
  <c r="U280" i="16"/>
  <c r="T280" i="16"/>
  <c r="U279" i="16"/>
  <c r="T279" i="16"/>
  <c r="U275" i="16"/>
  <c r="T275" i="16"/>
  <c r="U274" i="16"/>
  <c r="T274" i="16"/>
  <c r="U273" i="16"/>
  <c r="T273" i="16"/>
  <c r="U272" i="16"/>
  <c r="T272" i="16"/>
  <c r="U271" i="16"/>
  <c r="T271" i="16"/>
  <c r="U270" i="16"/>
  <c r="T270" i="16"/>
  <c r="U269" i="16"/>
  <c r="T269" i="16"/>
  <c r="U268" i="16"/>
  <c r="T268" i="16"/>
  <c r="U264" i="16"/>
  <c r="T264" i="16"/>
  <c r="U263" i="16"/>
  <c r="T263" i="16"/>
  <c r="U262" i="16"/>
  <c r="T262" i="16"/>
  <c r="U261" i="16"/>
  <c r="T261" i="16"/>
  <c r="U260" i="16"/>
  <c r="T260" i="16"/>
  <c r="U259" i="16"/>
  <c r="T259" i="16"/>
  <c r="U258" i="16"/>
  <c r="T258" i="16"/>
  <c r="U257" i="16"/>
  <c r="T257" i="16"/>
  <c r="U253" i="16"/>
  <c r="T253" i="16"/>
  <c r="U252" i="16"/>
  <c r="T252" i="16"/>
  <c r="U251" i="16"/>
  <c r="T251" i="16"/>
  <c r="U250" i="16"/>
  <c r="T250" i="16"/>
  <c r="U249" i="16"/>
  <c r="T249" i="16"/>
  <c r="U248" i="16"/>
  <c r="T248" i="16"/>
  <c r="U247" i="16"/>
  <c r="T247" i="16"/>
  <c r="U246" i="16"/>
  <c r="T246" i="16"/>
  <c r="M4" i="17"/>
  <c r="R279" i="16"/>
  <c r="N11" i="34" s="1"/>
  <c r="V11" i="34" s="1"/>
  <c r="R268" i="16"/>
  <c r="R257" i="16"/>
  <c r="R246" i="16"/>
  <c r="R235" i="16"/>
  <c r="R224" i="16"/>
  <c r="R213" i="16"/>
  <c r="R202" i="16"/>
  <c r="R191" i="16"/>
  <c r="R180" i="16"/>
  <c r="R169" i="16"/>
  <c r="R158" i="16"/>
  <c r="R147" i="16"/>
  <c r="R136" i="16"/>
  <c r="R125" i="16"/>
  <c r="R114" i="16"/>
  <c r="R103" i="16"/>
  <c r="R92" i="16"/>
  <c r="R81" i="16"/>
  <c r="R70" i="16"/>
  <c r="R59" i="16"/>
  <c r="R48" i="16"/>
  <c r="R37" i="16"/>
  <c r="R26" i="16"/>
  <c r="R15" i="16"/>
  <c r="R4" i="16"/>
  <c r="S279" i="16"/>
  <c r="S268" i="16"/>
  <c r="S257" i="16"/>
  <c r="S246" i="16"/>
  <c r="S235" i="16"/>
  <c r="S224" i="16"/>
  <c r="S213" i="16"/>
  <c r="S202" i="16"/>
  <c r="S191" i="16"/>
  <c r="S180" i="16"/>
  <c r="S169" i="16"/>
  <c r="S158" i="16"/>
  <c r="S147" i="16"/>
  <c r="S136" i="16"/>
  <c r="S125" i="16"/>
  <c r="S114" i="16"/>
  <c r="S103" i="16"/>
  <c r="S92" i="16"/>
  <c r="S81" i="16"/>
  <c r="S70" i="16"/>
  <c r="S59" i="16"/>
  <c r="S48" i="16"/>
  <c r="S37" i="16"/>
  <c r="S26" i="16"/>
  <c r="S15" i="16"/>
  <c r="N59" i="17"/>
  <c r="M59" i="17"/>
  <c r="N48" i="17"/>
  <c r="M48" i="17"/>
  <c r="N37" i="17"/>
  <c r="M37" i="17"/>
  <c r="N26" i="17"/>
  <c r="M26" i="17"/>
  <c r="N15" i="17"/>
  <c r="M15" i="17"/>
  <c r="N4" i="17"/>
  <c r="I135" i="18"/>
  <c r="I99" i="18"/>
  <c r="I63" i="18"/>
  <c r="I27" i="18"/>
  <c r="I125" i="18"/>
  <c r="I124" i="18"/>
  <c r="I123" i="18"/>
  <c r="I122" i="18"/>
  <c r="I121" i="18"/>
  <c r="I120" i="18"/>
  <c r="I119" i="18"/>
  <c r="I118" i="18"/>
  <c r="I117" i="18"/>
  <c r="I116" i="18"/>
  <c r="I115" i="18"/>
  <c r="I114" i="18"/>
  <c r="I113" i="18"/>
  <c r="I112" i="18"/>
  <c r="I111" i="18"/>
  <c r="I110" i="18"/>
  <c r="I89" i="18"/>
  <c r="I88" i="18"/>
  <c r="I87" i="18"/>
  <c r="I86" i="18"/>
  <c r="I85" i="18"/>
  <c r="I84" i="18"/>
  <c r="I83" i="18"/>
  <c r="I82" i="18"/>
  <c r="I81" i="18"/>
  <c r="I80" i="18"/>
  <c r="I79" i="18"/>
  <c r="I78" i="18"/>
  <c r="I77" i="18"/>
  <c r="I76" i="18"/>
  <c r="I75" i="18"/>
  <c r="I74" i="18"/>
  <c r="I53" i="18"/>
  <c r="I52" i="18"/>
  <c r="I51" i="18"/>
  <c r="I50" i="18"/>
  <c r="I49" i="18"/>
  <c r="I48" i="18"/>
  <c r="I47" i="18"/>
  <c r="I46" i="18"/>
  <c r="I45" i="18"/>
  <c r="I44" i="18"/>
  <c r="I43" i="18"/>
  <c r="I42" i="18"/>
  <c r="I41" i="18"/>
  <c r="I40" i="18"/>
  <c r="I39" i="18"/>
  <c r="I38" i="18"/>
  <c r="I17" i="18"/>
  <c r="I16" i="18"/>
  <c r="I15" i="18"/>
  <c r="I14" i="18"/>
  <c r="I13" i="18"/>
  <c r="I12" i="18"/>
  <c r="I11" i="18"/>
  <c r="I10" i="18"/>
  <c r="I9" i="18"/>
  <c r="I8" i="18"/>
  <c r="I7" i="18"/>
  <c r="I6" i="18"/>
  <c r="I5" i="18"/>
  <c r="I4" i="18"/>
  <c r="I3" i="18"/>
  <c r="O14" i="5"/>
  <c r="O15" i="5"/>
  <c r="O16" i="5"/>
  <c r="O17" i="5"/>
  <c r="O13" i="5"/>
  <c r="J110" i="18"/>
  <c r="J74" i="18"/>
  <c r="J38" i="18"/>
  <c r="J2" i="18"/>
  <c r="U7" i="5"/>
  <c r="E618" i="44" s="1"/>
  <c r="U9" i="5"/>
  <c r="U8" i="5"/>
  <c r="B1" i="34" s="1"/>
  <c r="I108" i="18"/>
  <c r="I109" i="18"/>
  <c r="I72" i="18"/>
  <c r="I73" i="18"/>
  <c r="I36" i="18"/>
  <c r="I37" i="18"/>
  <c r="I18" i="18"/>
  <c r="I54" i="18"/>
  <c r="I90" i="18"/>
  <c r="P2" i="18"/>
  <c r="P3" i="18"/>
  <c r="P4" i="18"/>
  <c r="P5" i="18"/>
  <c r="P6" i="18"/>
  <c r="P7" i="18"/>
  <c r="P8" i="18"/>
  <c r="P9" i="18"/>
  <c r="K49" i="17"/>
  <c r="K50" i="17"/>
  <c r="K51" i="17"/>
  <c r="K52" i="17"/>
  <c r="K53" i="17"/>
  <c r="K54" i="17"/>
  <c r="K55" i="17"/>
  <c r="K56" i="17"/>
  <c r="K59" i="17"/>
  <c r="K60" i="17"/>
  <c r="K61" i="17"/>
  <c r="K62" i="17"/>
  <c r="K63" i="17"/>
  <c r="K64" i="17"/>
  <c r="K65" i="17"/>
  <c r="K66" i="17"/>
  <c r="K48" i="17"/>
  <c r="T210" i="16"/>
  <c r="U210" i="16"/>
  <c r="T211" i="16"/>
  <c r="U211" i="16"/>
  <c r="T221" i="16"/>
  <c r="U221" i="16"/>
  <c r="T222" i="16"/>
  <c r="U222" i="16"/>
  <c r="T232" i="16"/>
  <c r="U232" i="16"/>
  <c r="T233" i="16"/>
  <c r="U233" i="16"/>
  <c r="T243" i="16"/>
  <c r="U243" i="16"/>
  <c r="T244" i="16"/>
  <c r="U244" i="16"/>
  <c r="T254" i="16"/>
  <c r="U254" i="16"/>
  <c r="T255" i="16"/>
  <c r="U255" i="16"/>
  <c r="T265" i="16"/>
  <c r="U265" i="16"/>
  <c r="T266" i="16"/>
  <c r="U266" i="16"/>
  <c r="T276" i="16"/>
  <c r="U276" i="16"/>
  <c r="T277" i="16"/>
  <c r="U277" i="16"/>
  <c r="A4" i="4"/>
  <c r="A5" i="4"/>
  <c r="A9" i="4"/>
  <c r="A10" i="4"/>
  <c r="A18" i="4"/>
  <c r="A19" i="4"/>
  <c r="A20" i="4"/>
  <c r="A26" i="4"/>
  <c r="A27" i="4"/>
  <c r="A28" i="4"/>
  <c r="A29" i="4"/>
  <c r="A30" i="4"/>
  <c r="A31" i="4"/>
  <c r="A32" i="4"/>
  <c r="A33" i="4"/>
  <c r="A36" i="4"/>
  <c r="A37" i="4"/>
  <c r="A38" i="4"/>
  <c r="A45" i="4"/>
  <c r="A46" i="4"/>
  <c r="A47" i="4"/>
  <c r="A48" i="4"/>
  <c r="A49" i="4"/>
  <c r="A50" i="4"/>
  <c r="A53" i="4"/>
  <c r="A54" i="4"/>
  <c r="A55" i="4"/>
  <c r="A56" i="4"/>
  <c r="A57" i="4"/>
  <c r="A58" i="4"/>
  <c r="A59" i="4"/>
  <c r="A61" i="4"/>
  <c r="A62" i="4"/>
  <c r="A63" i="4"/>
  <c r="A67" i="4"/>
  <c r="A68" i="4"/>
  <c r="A69" i="4"/>
  <c r="A70" i="4"/>
  <c r="A71" i="4"/>
  <c r="A75" i="4"/>
  <c r="A76" i="4"/>
  <c r="A77" i="4"/>
  <c r="A78" i="4"/>
  <c r="A79" i="4"/>
  <c r="A80" i="4"/>
  <c r="A81" i="4"/>
  <c r="A82" i="4"/>
  <c r="A84" i="4"/>
  <c r="A85" i="4"/>
  <c r="A86" i="4"/>
  <c r="A87" i="4"/>
  <c r="A88" i="4"/>
  <c r="A93" i="4"/>
  <c r="A94" i="4"/>
  <c r="A95" i="4"/>
  <c r="A96" i="4"/>
  <c r="A97" i="4"/>
  <c r="A98" i="4"/>
  <c r="A99" i="4"/>
  <c r="A102" i="4"/>
  <c r="A103" i="4"/>
  <c r="A104" i="4"/>
  <c r="A105" i="4"/>
  <c r="A106" i="4"/>
  <c r="A110" i="4"/>
  <c r="A111" i="4"/>
  <c r="A112" i="4"/>
  <c r="A119" i="4"/>
  <c r="A120" i="4"/>
  <c r="A121" i="4"/>
  <c r="A128" i="4"/>
  <c r="A129" i="4"/>
  <c r="A130" i="4"/>
  <c r="A131" i="4"/>
  <c r="A132" i="4"/>
  <c r="A133" i="4"/>
  <c r="A134" i="4"/>
  <c r="A135" i="4"/>
  <c r="A136" i="4"/>
  <c r="A137" i="4"/>
  <c r="A138" i="4"/>
  <c r="A139" i="4"/>
  <c r="A140" i="4"/>
  <c r="A141" i="4"/>
  <c r="A142" i="4"/>
  <c r="A143" i="4"/>
  <c r="A144" i="4"/>
  <c r="A145" i="4"/>
  <c r="A146" i="4"/>
  <c r="A147" i="4"/>
  <c r="A148" i="4"/>
  <c r="A149" i="4"/>
  <c r="A150" i="4"/>
  <c r="A151" i="4"/>
  <c r="A154" i="4"/>
  <c r="A155" i="4"/>
  <c r="A156"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16" i="4"/>
  <c r="A217" i="4"/>
  <c r="A226" i="4"/>
  <c r="A227" i="4"/>
  <c r="A3" i="4"/>
  <c r="I233" i="12"/>
  <c r="I222" i="12"/>
  <c r="I211" i="12"/>
  <c r="I200" i="12"/>
  <c r="I189" i="12"/>
  <c r="I178" i="12"/>
  <c r="I167" i="12"/>
  <c r="I156" i="12"/>
  <c r="I145" i="12"/>
  <c r="I134" i="12"/>
  <c r="I123" i="12"/>
  <c r="I112" i="12"/>
  <c r="I101" i="12"/>
  <c r="I90" i="12"/>
  <c r="I79" i="12"/>
  <c r="I68" i="12"/>
  <c r="I57" i="12"/>
  <c r="I46" i="12"/>
  <c r="I35" i="12"/>
  <c r="I24" i="12"/>
  <c r="I13" i="12"/>
  <c r="I2" i="12"/>
  <c r="B233" i="12"/>
  <c r="B222" i="12"/>
  <c r="B211" i="12"/>
  <c r="B200" i="12"/>
  <c r="B189" i="12"/>
  <c r="B178" i="12"/>
  <c r="B167" i="12"/>
  <c r="B156" i="12"/>
  <c r="B145" i="12"/>
  <c r="B134" i="12"/>
  <c r="B123" i="12"/>
  <c r="B112" i="12"/>
  <c r="B101" i="12"/>
  <c r="B90" i="12"/>
  <c r="B79" i="12"/>
  <c r="B68" i="12"/>
  <c r="B57" i="12"/>
  <c r="B46" i="12"/>
  <c r="B35" i="12"/>
  <c r="B24" i="12"/>
  <c r="B13" i="12"/>
  <c r="B2" i="12"/>
  <c r="I35" i="19"/>
  <c r="I24" i="19"/>
  <c r="I13" i="19"/>
  <c r="I2" i="19"/>
  <c r="B35" i="19"/>
  <c r="P36" i="19"/>
  <c r="B24" i="19"/>
  <c r="P25" i="19" s="1"/>
  <c r="B13" i="19"/>
  <c r="P14" i="19"/>
  <c r="B2" i="19"/>
  <c r="P3" i="19" s="1"/>
  <c r="I277" i="16"/>
  <c r="I266" i="16"/>
  <c r="I255" i="16"/>
  <c r="I244" i="16"/>
  <c r="I233" i="16"/>
  <c r="I222" i="16"/>
  <c r="I211" i="16"/>
  <c r="I200" i="16"/>
  <c r="I189" i="16"/>
  <c r="I178" i="16"/>
  <c r="I167" i="16"/>
  <c r="I156" i="16"/>
  <c r="I145" i="16"/>
  <c r="I134" i="16"/>
  <c r="I123" i="16"/>
  <c r="I112" i="16"/>
  <c r="I101" i="16"/>
  <c r="I90" i="16"/>
  <c r="I79" i="16"/>
  <c r="I68" i="16"/>
  <c r="I57" i="16"/>
  <c r="I46" i="16"/>
  <c r="I35" i="16"/>
  <c r="I24" i="16"/>
  <c r="I13" i="16"/>
  <c r="I2" i="16"/>
  <c r="B277" i="16"/>
  <c r="P278" i="16" s="1"/>
  <c r="B266" i="16"/>
  <c r="P267" i="16" s="1"/>
  <c r="Q269" i="16" s="1"/>
  <c r="B255" i="16"/>
  <c r="P256" i="16" s="1"/>
  <c r="B244" i="16"/>
  <c r="A252" i="16" s="1"/>
  <c r="K247" i="16" s="1"/>
  <c r="B233" i="16"/>
  <c r="P234" i="16" s="1"/>
  <c r="P242" i="16" s="1"/>
  <c r="B222" i="16"/>
  <c r="A230" i="16" s="1"/>
  <c r="B211" i="16"/>
  <c r="P212" i="16" s="1"/>
  <c r="B200" i="16"/>
  <c r="P201" i="16" s="1"/>
  <c r="Q209" i="16" s="1"/>
  <c r="B189" i="16"/>
  <c r="P190" i="16"/>
  <c r="B178" i="16"/>
  <c r="A186" i="16" s="1"/>
  <c r="B167" i="16"/>
  <c r="P168" i="16"/>
  <c r="P174" i="16" s="1"/>
  <c r="B156" i="16"/>
  <c r="A164" i="16" s="1"/>
  <c r="K165" i="16" s="1"/>
  <c r="B145" i="16"/>
  <c r="P146" i="16" s="1"/>
  <c r="Q152" i="16" s="1"/>
  <c r="B134" i="16"/>
  <c r="P135" i="16" s="1"/>
  <c r="B123" i="16"/>
  <c r="A131" i="16" s="1"/>
  <c r="B112" i="16"/>
  <c r="P113" i="16" s="1"/>
  <c r="B101" i="16"/>
  <c r="P102" i="16" s="1"/>
  <c r="B90" i="16"/>
  <c r="P91" i="16" s="1"/>
  <c r="P99" i="16" s="1"/>
  <c r="B79" i="16"/>
  <c r="P80" i="16" s="1"/>
  <c r="B68" i="16"/>
  <c r="P69" i="16"/>
  <c r="B57" i="16"/>
  <c r="P58" i="16" s="1"/>
  <c r="B46" i="16"/>
  <c r="P47" i="16"/>
  <c r="B35" i="16"/>
  <c r="P36" i="16" s="1"/>
  <c r="B24" i="16"/>
  <c r="P25" i="16"/>
  <c r="Q33" i="16" s="1"/>
  <c r="B13" i="16"/>
  <c r="P14" i="16" s="1"/>
  <c r="A4" i="6"/>
  <c r="R21" i="15"/>
  <c r="Q29" i="15"/>
  <c r="R2" i="15"/>
  <c r="Q10" i="15" s="1"/>
  <c r="J21" i="15"/>
  <c r="I29" i="15"/>
  <c r="J2" i="15"/>
  <c r="I10" i="15" s="1"/>
  <c r="B21" i="15"/>
  <c r="A29" i="15"/>
  <c r="B2" i="15"/>
  <c r="A10" i="15" s="1"/>
  <c r="B2" i="16"/>
  <c r="P3" i="16"/>
  <c r="AG215" i="4"/>
  <c r="AG216" i="4"/>
  <c r="AG217" i="4"/>
  <c r="AG218" i="4"/>
  <c r="AG219" i="4"/>
  <c r="AG220" i="4"/>
  <c r="AG221" i="4"/>
  <c r="AG222" i="4"/>
  <c r="AG223" i="4"/>
  <c r="AG224" i="4"/>
  <c r="AG225" i="4"/>
  <c r="AG226" i="4"/>
  <c r="AG227" i="4"/>
  <c r="AG228" i="4"/>
  <c r="AG229" i="4"/>
  <c r="AG230" i="4"/>
  <c r="AG231" i="4"/>
  <c r="AG232" i="4"/>
  <c r="AG233" i="4"/>
  <c r="AG234" i="4"/>
  <c r="AG235" i="4"/>
  <c r="AG272" i="4"/>
  <c r="AG273" i="4"/>
  <c r="F228" i="4"/>
  <c r="F229" i="4" s="1"/>
  <c r="F230" i="4" s="1"/>
  <c r="F231" i="4" s="1"/>
  <c r="F232" i="4" s="1"/>
  <c r="F218" i="4"/>
  <c r="F219" i="4"/>
  <c r="A103" i="7"/>
  <c r="A99" i="7"/>
  <c r="K29" i="34"/>
  <c r="I29" i="34"/>
  <c r="A1" i="12"/>
  <c r="A146" i="47" s="1"/>
  <c r="A1" i="17"/>
  <c r="A1" i="19"/>
  <c r="A58" i="50" s="1"/>
  <c r="A1" i="16"/>
  <c r="A69" i="50" s="1"/>
  <c r="DY32" i="1"/>
  <c r="DY40" i="1"/>
  <c r="DY41" i="1"/>
  <c r="DY42" i="1"/>
  <c r="DY43" i="1"/>
  <c r="DY44" i="1"/>
  <c r="DY45" i="1"/>
  <c r="DY46" i="1"/>
  <c r="DY47" i="1"/>
  <c r="DY48" i="1"/>
  <c r="DY49" i="1"/>
  <c r="DY50" i="1"/>
  <c r="DY51" i="1"/>
  <c r="DY52" i="1"/>
  <c r="DY53" i="1"/>
  <c r="DY54" i="1"/>
  <c r="DY55" i="1"/>
  <c r="DY56" i="1"/>
  <c r="DY57" i="1"/>
  <c r="DY58" i="1"/>
  <c r="DY59" i="1"/>
  <c r="DY60" i="1"/>
  <c r="DY39" i="1"/>
  <c r="DY30" i="1"/>
  <c r="DY31" i="1"/>
  <c r="DY29" i="1"/>
  <c r="DY38" i="1"/>
  <c r="DY37" i="1"/>
  <c r="DY36" i="1"/>
  <c r="DY35" i="1"/>
  <c r="DY34" i="1"/>
  <c r="DY33" i="1"/>
  <c r="DY28" i="1"/>
  <c r="DY27" i="1"/>
  <c r="DY26" i="1"/>
  <c r="DY25" i="1"/>
  <c r="DY24" i="1"/>
  <c r="DY23" i="1"/>
  <c r="DY22" i="1"/>
  <c r="DY21" i="1"/>
  <c r="DY20" i="1"/>
  <c r="DY19" i="1"/>
  <c r="DY18" i="1"/>
  <c r="DY17" i="1"/>
  <c r="DY16" i="1"/>
  <c r="DY15" i="1"/>
  <c r="DY14" i="1"/>
  <c r="DY13" i="1"/>
  <c r="DY12" i="1"/>
  <c r="DY11" i="1"/>
  <c r="DY10" i="1"/>
  <c r="DY9" i="1"/>
  <c r="DY8" i="1"/>
  <c r="DY7" i="1"/>
  <c r="DY6" i="1"/>
  <c r="DY5" i="1"/>
  <c r="DY4" i="1"/>
  <c r="DY3" i="1"/>
  <c r="DT55" i="1"/>
  <c r="DT42" i="1"/>
  <c r="DT3" i="1"/>
  <c r="DT49" i="1"/>
  <c r="DT48" i="1"/>
  <c r="DT47" i="1"/>
  <c r="DT46" i="1"/>
  <c r="DT60" i="1"/>
  <c r="DT59" i="1"/>
  <c r="DT58" i="1"/>
  <c r="DT57" i="1"/>
  <c r="DT56" i="1"/>
  <c r="DT54" i="1"/>
  <c r="DT53" i="1"/>
  <c r="DT52" i="1"/>
  <c r="DT51" i="1"/>
  <c r="DT50" i="1"/>
  <c r="DT45" i="1"/>
  <c r="DT44" i="1"/>
  <c r="DT43" i="1"/>
  <c r="DT41" i="1"/>
  <c r="DT40" i="1"/>
  <c r="DT39" i="1"/>
  <c r="DT38" i="1"/>
  <c r="DT37" i="1"/>
  <c r="DT36" i="1"/>
  <c r="DT35" i="1"/>
  <c r="DT34" i="1"/>
  <c r="DT33" i="1"/>
  <c r="DT32" i="1"/>
  <c r="DT31" i="1"/>
  <c r="DT30" i="1"/>
  <c r="DT29" i="1"/>
  <c r="DT28" i="1"/>
  <c r="DT27" i="1"/>
  <c r="DT26" i="1"/>
  <c r="DT25" i="1"/>
  <c r="DT24" i="1"/>
  <c r="DT23" i="1"/>
  <c r="DT22" i="1"/>
  <c r="DT21" i="1"/>
  <c r="DT20" i="1"/>
  <c r="DT19" i="1"/>
  <c r="DT18" i="1"/>
  <c r="DT17" i="1"/>
  <c r="DT16" i="1"/>
  <c r="DT15" i="1"/>
  <c r="DT14" i="1"/>
  <c r="DT13" i="1"/>
  <c r="DT12" i="1"/>
  <c r="DT11" i="1"/>
  <c r="DT10" i="1"/>
  <c r="DT9" i="1"/>
  <c r="DT8" i="1"/>
  <c r="DT7" i="1"/>
  <c r="DT6" i="1"/>
  <c r="DT5" i="1"/>
  <c r="DT4" i="1"/>
  <c r="F208" i="4"/>
  <c r="G229" i="4"/>
  <c r="G230" i="4"/>
  <c r="G219" i="4"/>
  <c r="G220" i="4" s="1"/>
  <c r="G221" i="4" s="1"/>
  <c r="G222" i="4" s="1"/>
  <c r="G209" i="4"/>
  <c r="G210" i="4" s="1"/>
  <c r="G211" i="4"/>
  <c r="E216" i="4"/>
  <c r="D216" i="4"/>
  <c r="A36" i="14"/>
  <c r="C37" i="14"/>
  <c r="A68" i="14"/>
  <c r="R69" i="14" s="1"/>
  <c r="A100" i="14"/>
  <c r="R101" i="14"/>
  <c r="A132" i="14"/>
  <c r="R133" i="14" s="1"/>
  <c r="A164" i="14"/>
  <c r="R165" i="14"/>
  <c r="A4" i="14"/>
  <c r="A52" i="16"/>
  <c r="A107" i="16"/>
  <c r="A147" i="16"/>
  <c r="A206" i="16"/>
  <c r="A218" i="16"/>
  <c r="A268" i="16"/>
  <c r="A36" i="6"/>
  <c r="AA36" i="6" s="1"/>
  <c r="A68" i="6"/>
  <c r="A100" i="6"/>
  <c r="B101" i="6" s="1"/>
  <c r="A132" i="6"/>
  <c r="Y132" i="6"/>
  <c r="A164" i="6"/>
  <c r="Y164" i="6" s="1"/>
  <c r="A196" i="6"/>
  <c r="Y196" i="6"/>
  <c r="A228" i="6"/>
  <c r="Y228" i="6" s="1"/>
  <c r="A260" i="6"/>
  <c r="A292" i="6"/>
  <c r="A316" i="6" s="1"/>
  <c r="A324" i="6"/>
  <c r="A356" i="6"/>
  <c r="A388" i="6"/>
  <c r="A414" i="6" s="1"/>
  <c r="A420" i="6"/>
  <c r="B421" i="6" s="1"/>
  <c r="A452" i="6"/>
  <c r="A477" i="6" s="1"/>
  <c r="A484" i="6"/>
  <c r="AA484" i="6" s="1"/>
  <c r="A6" i="16"/>
  <c r="E1" i="4"/>
  <c r="D9" i="4"/>
  <c r="E9" i="4"/>
  <c r="D18" i="4"/>
  <c r="E18" i="4"/>
  <c r="D26" i="4"/>
  <c r="E26" i="4"/>
  <c r="D36" i="4"/>
  <c r="E36" i="4"/>
  <c r="D45" i="4"/>
  <c r="E45" i="4"/>
  <c r="D53" i="4"/>
  <c r="E53" i="4"/>
  <c r="D60" i="4"/>
  <c r="E60" i="4"/>
  <c r="D67" i="4"/>
  <c r="E67" i="4"/>
  <c r="G3" i="34"/>
  <c r="F3" i="34"/>
  <c r="GU1" i="32"/>
  <c r="GT1" i="32"/>
  <c r="GS1" i="32"/>
  <c r="GR1" i="32"/>
  <c r="GL1" i="32"/>
  <c r="GM1" i="32"/>
  <c r="FU1" i="32"/>
  <c r="FT1" i="32"/>
  <c r="FS1" i="32"/>
  <c r="FR1" i="32"/>
  <c r="FL1" i="32"/>
  <c r="FM1" i="32"/>
  <c r="EU1" i="32"/>
  <c r="ET1" i="32"/>
  <c r="ES1" i="32"/>
  <c r="ER1" i="32"/>
  <c r="EL1" i="32"/>
  <c r="EM1" i="32"/>
  <c r="DU1" i="32"/>
  <c r="DT1" i="32"/>
  <c r="DS1" i="32"/>
  <c r="DR1" i="32"/>
  <c r="DL1" i="32"/>
  <c r="DM1" i="32"/>
  <c r="DJ1" i="32"/>
  <c r="DK1" i="32" s="1"/>
  <c r="CU1" i="32"/>
  <c r="CT1" i="32"/>
  <c r="CS1" i="32"/>
  <c r="CR1" i="32"/>
  <c r="CL1" i="32"/>
  <c r="CM1" i="32"/>
  <c r="CJ1" i="32"/>
  <c r="CK1" i="32" s="1"/>
  <c r="BU1" i="32"/>
  <c r="BT1" i="32"/>
  <c r="BS1" i="32"/>
  <c r="BR1" i="32"/>
  <c r="BL1" i="32"/>
  <c r="BM1" i="32"/>
  <c r="BJ1" i="32"/>
  <c r="BK1" i="32" s="1"/>
  <c r="AU1" i="32"/>
  <c r="AT1" i="32"/>
  <c r="AS1" i="32"/>
  <c r="AR1" i="32"/>
  <c r="AL1" i="32"/>
  <c r="AM1" i="32"/>
  <c r="AJ1" i="32"/>
  <c r="AK1" i="32" s="1"/>
  <c r="U1" i="32"/>
  <c r="T1" i="32"/>
  <c r="S1" i="32"/>
  <c r="R1" i="32"/>
  <c r="L1" i="32"/>
  <c r="M1" i="32"/>
  <c r="J1" i="32"/>
  <c r="K1" i="32" s="1"/>
  <c r="A2" i="7"/>
  <c r="A3"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5" i="7"/>
  <c r="A36" i="7"/>
  <c r="A37" i="7"/>
  <c r="A38" i="7"/>
  <c r="A39" i="7"/>
  <c r="A40" i="7"/>
  <c r="A41" i="7"/>
  <c r="A42" i="7"/>
  <c r="A43" i="7"/>
  <c r="A44" i="7"/>
  <c r="A45" i="7"/>
  <c r="A46" i="7"/>
  <c r="A47" i="7"/>
  <c r="A48" i="7"/>
  <c r="A49" i="7"/>
  <c r="A51" i="7"/>
  <c r="A52" i="7"/>
  <c r="A53" i="7"/>
  <c r="A56" i="7"/>
  <c r="A57" i="7"/>
  <c r="A60" i="7"/>
  <c r="A64" i="7"/>
  <c r="A65" i="7"/>
  <c r="A68" i="7"/>
  <c r="A69" i="7"/>
  <c r="A72" i="7"/>
  <c r="A73" i="7"/>
  <c r="A76" i="7"/>
  <c r="A78" i="7"/>
  <c r="A77" i="7"/>
  <c r="A80" i="7"/>
  <c r="A82" i="7"/>
  <c r="A84" i="7"/>
  <c r="A85" i="7"/>
  <c r="A88" i="7"/>
  <c r="A89" i="7"/>
  <c r="A92" i="7"/>
  <c r="A93" i="7"/>
  <c r="A96" i="7"/>
  <c r="A97" i="7"/>
  <c r="A98" i="7"/>
  <c r="A100" i="7"/>
  <c r="A101" i="7"/>
  <c r="A102" i="7"/>
  <c r="A104" i="7"/>
  <c r="GY74" i="32"/>
  <c r="GX74" i="32"/>
  <c r="GW74" i="32"/>
  <c r="FY74" i="32"/>
  <c r="FX74" i="32"/>
  <c r="FW74" i="32"/>
  <c r="EY74" i="32"/>
  <c r="EX74" i="32"/>
  <c r="EW74" i="32"/>
  <c r="DY74" i="32"/>
  <c r="DX74" i="32"/>
  <c r="DW74" i="32"/>
  <c r="CY74" i="32"/>
  <c r="CX74" i="32"/>
  <c r="CW74" i="32"/>
  <c r="BY74" i="32"/>
  <c r="BX74" i="32"/>
  <c r="BW74" i="32"/>
  <c r="AY74" i="32"/>
  <c r="AX74" i="32"/>
  <c r="AW74" i="32"/>
  <c r="Y74" i="32"/>
  <c r="X74" i="32"/>
  <c r="W74" i="32"/>
  <c r="GY73" i="32"/>
  <c r="GX73" i="32"/>
  <c r="GW73" i="32"/>
  <c r="FY73" i="32"/>
  <c r="FX73" i="32"/>
  <c r="FW73" i="32"/>
  <c r="EY73" i="32"/>
  <c r="EX73" i="32"/>
  <c r="EW73" i="32"/>
  <c r="DY73" i="32"/>
  <c r="DX73" i="32"/>
  <c r="DW73" i="32"/>
  <c r="CY73" i="32"/>
  <c r="CX73" i="32"/>
  <c r="CW73" i="32"/>
  <c r="BY73" i="32"/>
  <c r="BX73" i="32"/>
  <c r="BW73" i="32"/>
  <c r="AY73" i="32"/>
  <c r="AX73" i="32"/>
  <c r="AW73" i="32"/>
  <c r="Y73" i="32"/>
  <c r="X73" i="32"/>
  <c r="W73" i="32"/>
  <c r="GY72" i="32"/>
  <c r="GX72" i="32"/>
  <c r="GW72" i="32"/>
  <c r="FY72" i="32"/>
  <c r="FX72" i="32"/>
  <c r="FW72" i="32"/>
  <c r="EY72" i="32"/>
  <c r="EX72" i="32"/>
  <c r="EW72" i="32"/>
  <c r="DY72" i="32"/>
  <c r="DX72" i="32"/>
  <c r="DW72" i="32"/>
  <c r="CY72" i="32"/>
  <c r="CX72" i="32"/>
  <c r="CW72" i="32"/>
  <c r="BY72" i="32"/>
  <c r="BX72" i="32"/>
  <c r="BW72" i="32"/>
  <c r="AY72" i="32"/>
  <c r="AX72" i="32"/>
  <c r="AW72" i="32"/>
  <c r="Y72" i="32"/>
  <c r="X72" i="32"/>
  <c r="W72" i="32"/>
  <c r="GY71" i="32"/>
  <c r="GX71" i="32"/>
  <c r="GW71" i="32"/>
  <c r="FY71" i="32"/>
  <c r="FX71" i="32"/>
  <c r="FW71" i="32"/>
  <c r="EY71" i="32"/>
  <c r="EX71" i="32"/>
  <c r="EW71" i="32"/>
  <c r="DY71" i="32"/>
  <c r="DX71" i="32"/>
  <c r="DW71" i="32"/>
  <c r="CY71" i="32"/>
  <c r="CX71" i="32"/>
  <c r="CW71" i="32"/>
  <c r="BY71" i="32"/>
  <c r="BX71" i="32"/>
  <c r="BW71" i="32"/>
  <c r="AY71" i="32"/>
  <c r="AX71" i="32"/>
  <c r="AW71" i="32"/>
  <c r="Y71" i="32"/>
  <c r="X71" i="32"/>
  <c r="W71" i="32"/>
  <c r="GY70" i="32"/>
  <c r="GX70" i="32"/>
  <c r="GW70" i="32"/>
  <c r="FY70" i="32"/>
  <c r="FX70" i="32"/>
  <c r="FW70" i="32"/>
  <c r="EY70" i="32"/>
  <c r="EX70" i="32"/>
  <c r="EW70" i="32"/>
  <c r="DY70" i="32"/>
  <c r="DX70" i="32"/>
  <c r="DW70" i="32"/>
  <c r="CY70" i="32"/>
  <c r="CX70" i="32"/>
  <c r="CW70" i="32"/>
  <c r="BY70" i="32"/>
  <c r="BX70" i="32"/>
  <c r="BW70" i="32"/>
  <c r="AY70" i="32"/>
  <c r="AX70" i="32"/>
  <c r="AW70" i="32"/>
  <c r="Y70" i="32"/>
  <c r="X70" i="32"/>
  <c r="W70" i="32"/>
  <c r="GY69" i="32"/>
  <c r="GX69" i="32"/>
  <c r="GW69" i="32"/>
  <c r="FY69" i="32"/>
  <c r="FX69" i="32"/>
  <c r="FW69" i="32"/>
  <c r="EY69" i="32"/>
  <c r="EX69" i="32"/>
  <c r="EW69" i="32"/>
  <c r="DY69" i="32"/>
  <c r="DX69" i="32"/>
  <c r="DW69" i="32"/>
  <c r="CY69" i="32"/>
  <c r="CX69" i="32"/>
  <c r="CW69" i="32"/>
  <c r="BY69" i="32"/>
  <c r="BX69" i="32"/>
  <c r="BW69" i="32"/>
  <c r="AY69" i="32"/>
  <c r="AX69" i="32"/>
  <c r="AW69" i="32"/>
  <c r="Y69" i="32"/>
  <c r="X69" i="32"/>
  <c r="W69" i="32"/>
  <c r="GY68" i="32"/>
  <c r="GX68" i="32"/>
  <c r="GW68" i="32"/>
  <c r="FY68" i="32"/>
  <c r="FX68" i="32"/>
  <c r="FW68" i="32"/>
  <c r="EY68" i="32"/>
  <c r="EX68" i="32"/>
  <c r="EW68" i="32"/>
  <c r="DY68" i="32"/>
  <c r="DX68" i="32"/>
  <c r="DW68" i="32"/>
  <c r="CY68" i="32"/>
  <c r="CX68" i="32"/>
  <c r="CW68" i="32"/>
  <c r="BY68" i="32"/>
  <c r="BX68" i="32"/>
  <c r="BW68" i="32"/>
  <c r="AY68" i="32"/>
  <c r="AX68" i="32"/>
  <c r="AW68" i="32"/>
  <c r="Y68" i="32"/>
  <c r="X68" i="32"/>
  <c r="W68" i="32"/>
  <c r="GY67" i="32"/>
  <c r="GX67" i="32"/>
  <c r="GW67" i="32"/>
  <c r="FY67" i="32"/>
  <c r="FX67" i="32"/>
  <c r="FW67" i="32"/>
  <c r="EY67" i="32"/>
  <c r="EX67" i="32"/>
  <c r="EW67" i="32"/>
  <c r="DY67" i="32"/>
  <c r="DX67" i="32"/>
  <c r="DW67" i="32"/>
  <c r="CY67" i="32"/>
  <c r="CX67" i="32"/>
  <c r="CW67" i="32"/>
  <c r="BY67" i="32"/>
  <c r="BX67" i="32"/>
  <c r="BW67" i="32"/>
  <c r="AY67" i="32"/>
  <c r="AX67" i="32"/>
  <c r="AW67" i="32"/>
  <c r="Y67" i="32"/>
  <c r="X67" i="32"/>
  <c r="W67" i="32"/>
  <c r="GY66" i="32"/>
  <c r="GX66" i="32"/>
  <c r="GW66" i="32"/>
  <c r="FY66" i="32"/>
  <c r="FX66" i="32"/>
  <c r="FW66" i="32"/>
  <c r="EY66" i="32"/>
  <c r="EX66" i="32"/>
  <c r="EW66" i="32"/>
  <c r="DY66" i="32"/>
  <c r="DX66" i="32"/>
  <c r="DW66" i="32"/>
  <c r="CY66" i="32"/>
  <c r="CX66" i="32"/>
  <c r="CW66" i="32"/>
  <c r="BY66" i="32"/>
  <c r="BX66" i="32"/>
  <c r="BW66" i="32"/>
  <c r="AY66" i="32"/>
  <c r="AX66" i="32"/>
  <c r="AW66" i="32"/>
  <c r="Y66" i="32"/>
  <c r="X66" i="32"/>
  <c r="W66" i="32"/>
  <c r="GY65" i="32"/>
  <c r="GX65" i="32"/>
  <c r="GW65" i="32"/>
  <c r="FY65" i="32"/>
  <c r="FX65" i="32"/>
  <c r="FW65" i="32"/>
  <c r="EY65" i="32"/>
  <c r="EX65" i="32"/>
  <c r="EW65" i="32"/>
  <c r="DY65" i="32"/>
  <c r="DX65" i="32"/>
  <c r="DW65" i="32"/>
  <c r="CY65" i="32"/>
  <c r="CX65" i="32"/>
  <c r="CW65" i="32"/>
  <c r="BY65" i="32"/>
  <c r="BX65" i="32"/>
  <c r="BW65" i="32"/>
  <c r="AY65" i="32"/>
  <c r="AX65" i="32"/>
  <c r="AW65" i="32"/>
  <c r="Y65" i="32"/>
  <c r="X65" i="32"/>
  <c r="W65" i="32"/>
  <c r="GY64" i="32"/>
  <c r="GX64" i="32"/>
  <c r="GW64" i="32"/>
  <c r="FY64" i="32"/>
  <c r="FX64" i="32"/>
  <c r="FW64" i="32"/>
  <c r="EY64" i="32"/>
  <c r="EX64" i="32"/>
  <c r="EW64" i="32"/>
  <c r="DY64" i="32"/>
  <c r="DX64" i="32"/>
  <c r="DW64" i="32"/>
  <c r="CY64" i="32"/>
  <c r="CX64" i="32"/>
  <c r="CW64" i="32"/>
  <c r="BY64" i="32"/>
  <c r="BX64" i="32"/>
  <c r="BW64" i="32"/>
  <c r="AY64" i="32"/>
  <c r="AX64" i="32"/>
  <c r="AW64" i="32"/>
  <c r="Y64" i="32"/>
  <c r="X64" i="32"/>
  <c r="W64" i="32"/>
  <c r="GY63" i="32"/>
  <c r="GX63" i="32"/>
  <c r="GW63" i="32"/>
  <c r="FY63" i="32"/>
  <c r="FX63" i="32"/>
  <c r="FW63" i="32"/>
  <c r="EY63" i="32"/>
  <c r="EX63" i="32"/>
  <c r="EW63" i="32"/>
  <c r="DY63" i="32"/>
  <c r="DX63" i="32"/>
  <c r="DW63" i="32"/>
  <c r="CY63" i="32"/>
  <c r="CX63" i="32"/>
  <c r="CW63" i="32"/>
  <c r="BY63" i="32"/>
  <c r="BX63" i="32"/>
  <c r="BW63" i="32"/>
  <c r="AY63" i="32"/>
  <c r="AX63" i="32"/>
  <c r="AW63" i="32"/>
  <c r="Y63" i="32"/>
  <c r="X63" i="32"/>
  <c r="W63" i="32"/>
  <c r="GY62" i="32"/>
  <c r="GX62" i="32"/>
  <c r="GW62" i="32"/>
  <c r="FY62" i="32"/>
  <c r="FX62" i="32"/>
  <c r="FW62" i="32"/>
  <c r="EY62" i="32"/>
  <c r="EX62" i="32"/>
  <c r="EW62" i="32"/>
  <c r="DY62" i="32"/>
  <c r="DX62" i="32"/>
  <c r="DW62" i="32"/>
  <c r="CY62" i="32"/>
  <c r="CX62" i="32"/>
  <c r="CW62" i="32"/>
  <c r="BY62" i="32"/>
  <c r="BX62" i="32"/>
  <c r="BW62" i="32"/>
  <c r="AY62" i="32"/>
  <c r="AX62" i="32"/>
  <c r="AW62" i="32"/>
  <c r="Y62" i="32"/>
  <c r="X62" i="32"/>
  <c r="W62" i="32"/>
  <c r="GY61" i="32"/>
  <c r="GX61" i="32"/>
  <c r="GW61" i="32"/>
  <c r="FY61" i="32"/>
  <c r="FX61" i="32"/>
  <c r="FW61" i="32"/>
  <c r="EY61" i="32"/>
  <c r="EX61" i="32"/>
  <c r="EW61" i="32"/>
  <c r="DY61" i="32"/>
  <c r="DX61" i="32"/>
  <c r="DW61" i="32"/>
  <c r="CY61" i="32"/>
  <c r="CX61" i="32"/>
  <c r="CW61" i="32"/>
  <c r="BY61" i="32"/>
  <c r="BX61" i="32"/>
  <c r="BW61" i="32"/>
  <c r="AY61" i="32"/>
  <c r="AX61" i="32"/>
  <c r="AW61" i="32"/>
  <c r="Y61" i="32"/>
  <c r="X61" i="32"/>
  <c r="W61" i="32"/>
  <c r="GY60" i="32"/>
  <c r="GX60" i="32"/>
  <c r="GW60" i="32"/>
  <c r="FY60" i="32"/>
  <c r="FX60" i="32"/>
  <c r="FW60" i="32"/>
  <c r="EY60" i="32"/>
  <c r="EX60" i="32"/>
  <c r="EW60" i="32"/>
  <c r="DY60" i="32"/>
  <c r="DX60" i="32"/>
  <c r="DW60" i="32"/>
  <c r="CY60" i="32"/>
  <c r="CX60" i="32"/>
  <c r="CW60" i="32"/>
  <c r="BY60" i="32"/>
  <c r="BX60" i="32"/>
  <c r="BW60" i="32"/>
  <c r="AY60" i="32"/>
  <c r="AX60" i="32"/>
  <c r="AW60" i="32"/>
  <c r="Y60" i="32"/>
  <c r="X60" i="32"/>
  <c r="W60" i="32"/>
  <c r="GY59" i="32"/>
  <c r="GX59" i="32"/>
  <c r="GW59" i="32"/>
  <c r="FY59" i="32"/>
  <c r="FX59" i="32"/>
  <c r="FW59" i="32"/>
  <c r="EY59" i="32"/>
  <c r="EX59" i="32"/>
  <c r="EW59" i="32"/>
  <c r="DY59" i="32"/>
  <c r="DX59" i="32"/>
  <c r="DW59" i="32"/>
  <c r="CY59" i="32"/>
  <c r="CX59" i="32"/>
  <c r="CW59" i="32"/>
  <c r="BY59" i="32"/>
  <c r="BX59" i="32"/>
  <c r="BW59" i="32"/>
  <c r="AY59" i="32"/>
  <c r="AX59" i="32"/>
  <c r="AW59" i="32"/>
  <c r="Y59" i="32"/>
  <c r="X59" i="32"/>
  <c r="W59" i="32"/>
  <c r="GY58" i="32"/>
  <c r="GX58" i="32"/>
  <c r="GW58" i="32"/>
  <c r="FY58" i="32"/>
  <c r="FX58" i="32"/>
  <c r="FW58" i="32"/>
  <c r="EY58" i="32"/>
  <c r="EX58" i="32"/>
  <c r="EW58" i="32"/>
  <c r="DY58" i="32"/>
  <c r="DX58" i="32"/>
  <c r="DW58" i="32"/>
  <c r="CY58" i="32"/>
  <c r="CX58" i="32"/>
  <c r="CW58" i="32"/>
  <c r="BY58" i="32"/>
  <c r="BX58" i="32"/>
  <c r="BW58" i="32"/>
  <c r="AY58" i="32"/>
  <c r="AX58" i="32"/>
  <c r="AW58" i="32"/>
  <c r="Y58" i="32"/>
  <c r="X58" i="32"/>
  <c r="W58" i="32"/>
  <c r="GY57" i="32"/>
  <c r="GX57" i="32"/>
  <c r="GW57" i="32"/>
  <c r="FY57" i="32"/>
  <c r="FX57" i="32"/>
  <c r="FW57" i="32"/>
  <c r="EY57" i="32"/>
  <c r="EX57" i="32"/>
  <c r="EW57" i="32"/>
  <c r="DY57" i="32"/>
  <c r="DX57" i="32"/>
  <c r="DW57" i="32"/>
  <c r="CY57" i="32"/>
  <c r="CX57" i="32"/>
  <c r="CW57" i="32"/>
  <c r="BY57" i="32"/>
  <c r="BX57" i="32"/>
  <c r="BW57" i="32"/>
  <c r="AY57" i="32"/>
  <c r="AX57" i="32"/>
  <c r="AW57" i="32"/>
  <c r="Y57" i="32"/>
  <c r="X57" i="32"/>
  <c r="W57" i="32"/>
  <c r="GY56" i="32"/>
  <c r="GX56" i="32"/>
  <c r="GW56" i="32"/>
  <c r="FY56" i="32"/>
  <c r="FX56" i="32"/>
  <c r="FW56" i="32"/>
  <c r="EY56" i="32"/>
  <c r="EX56" i="32"/>
  <c r="EW56" i="32"/>
  <c r="DY56" i="32"/>
  <c r="DX56" i="32"/>
  <c r="DW56" i="32"/>
  <c r="CY56" i="32"/>
  <c r="CX56" i="32"/>
  <c r="CW56" i="32"/>
  <c r="BY56" i="32"/>
  <c r="BX56" i="32"/>
  <c r="BW56" i="32"/>
  <c r="AY56" i="32"/>
  <c r="AX56" i="32"/>
  <c r="AW56" i="32"/>
  <c r="Y56" i="32"/>
  <c r="X56" i="32"/>
  <c r="W56" i="32"/>
  <c r="GY55" i="32"/>
  <c r="GX55" i="32"/>
  <c r="GW55" i="32"/>
  <c r="FY55" i="32"/>
  <c r="FX55" i="32"/>
  <c r="FW55" i="32"/>
  <c r="EY55" i="32"/>
  <c r="EX55" i="32"/>
  <c r="EW55" i="32"/>
  <c r="DY55" i="32"/>
  <c r="DX55" i="32"/>
  <c r="DW55" i="32"/>
  <c r="CY55" i="32"/>
  <c r="CX55" i="32"/>
  <c r="CW55" i="32"/>
  <c r="BY55" i="32"/>
  <c r="BX55" i="32"/>
  <c r="BW55" i="32"/>
  <c r="AY55" i="32"/>
  <c r="AX55" i="32"/>
  <c r="AW55" i="32"/>
  <c r="Y55" i="32"/>
  <c r="X55" i="32"/>
  <c r="W55" i="32"/>
  <c r="GY54" i="32"/>
  <c r="GX54" i="32"/>
  <c r="GW54" i="32"/>
  <c r="FY54" i="32"/>
  <c r="FX54" i="32"/>
  <c r="FW54" i="32"/>
  <c r="EY54" i="32"/>
  <c r="EX54" i="32"/>
  <c r="EW54" i="32"/>
  <c r="DY54" i="32"/>
  <c r="DX54" i="32"/>
  <c r="DW54" i="32"/>
  <c r="CY54" i="32"/>
  <c r="CX54" i="32"/>
  <c r="CW54" i="32"/>
  <c r="BY54" i="32"/>
  <c r="BX54" i="32"/>
  <c r="BW54" i="32"/>
  <c r="AY54" i="32"/>
  <c r="AX54" i="32"/>
  <c r="AW54" i="32"/>
  <c r="Y54" i="32"/>
  <c r="X54" i="32"/>
  <c r="W54" i="32"/>
  <c r="GY53" i="32"/>
  <c r="GX53" i="32"/>
  <c r="GW53" i="32"/>
  <c r="FY53" i="32"/>
  <c r="FX53" i="32"/>
  <c r="FW53" i="32"/>
  <c r="EY53" i="32"/>
  <c r="EX53" i="32"/>
  <c r="EW53" i="32"/>
  <c r="DY53" i="32"/>
  <c r="DX53" i="32"/>
  <c r="DW53" i="32"/>
  <c r="CY53" i="32"/>
  <c r="CX53" i="32"/>
  <c r="CW53" i="32"/>
  <c r="BY53" i="32"/>
  <c r="BX53" i="32"/>
  <c r="BW53" i="32"/>
  <c r="AY53" i="32"/>
  <c r="AX53" i="32"/>
  <c r="AW53" i="32"/>
  <c r="Y53" i="32"/>
  <c r="X53" i="32"/>
  <c r="W53" i="32"/>
  <c r="GY52" i="32"/>
  <c r="GX52" i="32"/>
  <c r="GW52" i="32"/>
  <c r="FY52" i="32"/>
  <c r="FX52" i="32"/>
  <c r="FW52" i="32"/>
  <c r="EY52" i="32"/>
  <c r="EX52" i="32"/>
  <c r="EW52" i="32"/>
  <c r="DY52" i="32"/>
  <c r="DX52" i="32"/>
  <c r="DW52" i="32"/>
  <c r="CY52" i="32"/>
  <c r="CX52" i="32"/>
  <c r="CW52" i="32"/>
  <c r="BY52" i="32"/>
  <c r="BX52" i="32"/>
  <c r="BW52" i="32"/>
  <c r="AY52" i="32"/>
  <c r="AX52" i="32"/>
  <c r="AW52" i="32"/>
  <c r="Y52" i="32"/>
  <c r="X52" i="32"/>
  <c r="W52" i="32"/>
  <c r="GY51" i="32"/>
  <c r="GX51" i="32"/>
  <c r="GW51" i="32"/>
  <c r="FY51" i="32"/>
  <c r="FX51" i="32"/>
  <c r="FW51" i="32"/>
  <c r="EY51" i="32"/>
  <c r="EX51" i="32"/>
  <c r="EW51" i="32"/>
  <c r="DY51" i="32"/>
  <c r="DX51" i="32"/>
  <c r="DW51" i="32"/>
  <c r="CY51" i="32"/>
  <c r="CX51" i="32"/>
  <c r="CW51" i="32"/>
  <c r="BY51" i="32"/>
  <c r="BX51" i="32"/>
  <c r="BW51" i="32"/>
  <c r="AY51" i="32"/>
  <c r="AX51" i="32"/>
  <c r="AW51" i="32"/>
  <c r="Y51" i="32"/>
  <c r="X51" i="32"/>
  <c r="W51" i="32"/>
  <c r="GY50" i="32"/>
  <c r="GX50" i="32"/>
  <c r="GW50" i="32"/>
  <c r="FY50" i="32"/>
  <c r="FX50" i="32"/>
  <c r="FW50" i="32"/>
  <c r="EY50" i="32"/>
  <c r="EX50" i="32"/>
  <c r="EW50" i="32"/>
  <c r="DY50" i="32"/>
  <c r="DX50" i="32"/>
  <c r="DW50" i="32"/>
  <c r="CY50" i="32"/>
  <c r="CX50" i="32"/>
  <c r="CW50" i="32"/>
  <c r="BY50" i="32"/>
  <c r="BX50" i="32"/>
  <c r="BW50" i="32"/>
  <c r="AY50" i="32"/>
  <c r="AX50" i="32"/>
  <c r="AW50" i="32"/>
  <c r="Y50" i="32"/>
  <c r="X50" i="32"/>
  <c r="W50" i="32"/>
  <c r="GY49" i="32"/>
  <c r="GX49" i="32"/>
  <c r="GW49" i="32"/>
  <c r="FY49" i="32"/>
  <c r="FX49" i="32"/>
  <c r="FW49" i="32"/>
  <c r="EY49" i="32"/>
  <c r="EX49" i="32"/>
  <c r="EW49" i="32"/>
  <c r="DY49" i="32"/>
  <c r="DX49" i="32"/>
  <c r="DW49" i="32"/>
  <c r="CY49" i="32"/>
  <c r="CX49" i="32"/>
  <c r="CW49" i="32"/>
  <c r="BY49" i="32"/>
  <c r="BX49" i="32"/>
  <c r="BW49" i="32"/>
  <c r="AY49" i="32"/>
  <c r="AX49" i="32"/>
  <c r="AW49" i="32"/>
  <c r="Y49" i="32"/>
  <c r="X49" i="32"/>
  <c r="W49" i="32"/>
  <c r="GY48" i="32"/>
  <c r="GX48" i="32"/>
  <c r="GW48" i="32"/>
  <c r="FY48" i="32"/>
  <c r="FX48" i="32"/>
  <c r="FW48" i="32"/>
  <c r="EY48" i="32"/>
  <c r="EX48" i="32"/>
  <c r="EW48" i="32"/>
  <c r="DY48" i="32"/>
  <c r="DX48" i="32"/>
  <c r="DW48" i="32"/>
  <c r="CY48" i="32"/>
  <c r="CX48" i="32"/>
  <c r="CW48" i="32"/>
  <c r="BY48" i="32"/>
  <c r="BX48" i="32"/>
  <c r="BW48" i="32"/>
  <c r="AY48" i="32"/>
  <c r="AX48" i="32"/>
  <c r="AW48" i="32"/>
  <c r="Y48" i="32"/>
  <c r="X48" i="32"/>
  <c r="W48" i="32"/>
  <c r="GY47" i="32"/>
  <c r="GX47" i="32"/>
  <c r="GW47" i="32"/>
  <c r="FY47" i="32"/>
  <c r="FX47" i="32"/>
  <c r="FW47" i="32"/>
  <c r="EY47" i="32"/>
  <c r="EX47" i="32"/>
  <c r="EW47" i="32"/>
  <c r="DY47" i="32"/>
  <c r="DX47" i="32"/>
  <c r="DW47" i="32"/>
  <c r="CY47" i="32"/>
  <c r="CX47" i="32"/>
  <c r="CW47" i="32"/>
  <c r="BY47" i="32"/>
  <c r="BX47" i="32"/>
  <c r="BW47" i="32"/>
  <c r="AY47" i="32"/>
  <c r="AX47" i="32"/>
  <c r="AW47" i="32"/>
  <c r="Y47" i="32"/>
  <c r="X47" i="32"/>
  <c r="W47" i="32"/>
  <c r="GY46" i="32"/>
  <c r="GX46" i="32"/>
  <c r="GW46" i="32"/>
  <c r="FY46" i="32"/>
  <c r="FX46" i="32"/>
  <c r="FW46" i="32"/>
  <c r="EY46" i="32"/>
  <c r="EX46" i="32"/>
  <c r="EW46" i="32"/>
  <c r="DY46" i="32"/>
  <c r="DX46" i="32"/>
  <c r="DW46" i="32"/>
  <c r="CY46" i="32"/>
  <c r="CX46" i="32"/>
  <c r="CW46" i="32"/>
  <c r="BY46" i="32"/>
  <c r="BX46" i="32"/>
  <c r="BW46" i="32"/>
  <c r="AY46" i="32"/>
  <c r="AX46" i="32"/>
  <c r="AW46" i="32"/>
  <c r="Y46" i="32"/>
  <c r="X46" i="32"/>
  <c r="W46" i="32"/>
  <c r="GY45" i="32"/>
  <c r="GX45" i="32"/>
  <c r="GW45" i="32"/>
  <c r="FY45" i="32"/>
  <c r="FX45" i="32"/>
  <c r="FW45" i="32"/>
  <c r="EY45" i="32"/>
  <c r="EX45" i="32"/>
  <c r="EW45" i="32"/>
  <c r="DY45" i="32"/>
  <c r="DX45" i="32"/>
  <c r="DW45" i="32"/>
  <c r="CY45" i="32"/>
  <c r="CX45" i="32"/>
  <c r="CW45" i="32"/>
  <c r="BY45" i="32"/>
  <c r="BX45" i="32"/>
  <c r="BW45" i="32"/>
  <c r="AY45" i="32"/>
  <c r="AX45" i="32"/>
  <c r="AW45" i="32"/>
  <c r="Y45" i="32"/>
  <c r="X45" i="32"/>
  <c r="W45" i="32"/>
  <c r="GY44" i="32"/>
  <c r="GX44" i="32"/>
  <c r="GW44" i="32"/>
  <c r="FY44" i="32"/>
  <c r="FX44" i="32"/>
  <c r="FW44" i="32"/>
  <c r="EY44" i="32"/>
  <c r="EX44" i="32"/>
  <c r="EW44" i="32"/>
  <c r="DY44" i="32"/>
  <c r="DX44" i="32"/>
  <c r="DW44" i="32"/>
  <c r="CY44" i="32"/>
  <c r="CX44" i="32"/>
  <c r="CW44" i="32"/>
  <c r="BY44" i="32"/>
  <c r="BX44" i="32"/>
  <c r="BW44" i="32"/>
  <c r="AY44" i="32"/>
  <c r="AX44" i="32"/>
  <c r="AW44" i="32"/>
  <c r="Y44" i="32"/>
  <c r="X44" i="32"/>
  <c r="W44" i="32"/>
  <c r="GY43" i="32"/>
  <c r="GX43" i="32"/>
  <c r="GW43" i="32"/>
  <c r="FY43" i="32"/>
  <c r="FX43" i="32"/>
  <c r="FW43" i="32"/>
  <c r="EY43" i="32"/>
  <c r="EX43" i="32"/>
  <c r="EW43" i="32"/>
  <c r="DY43" i="32"/>
  <c r="DX43" i="32"/>
  <c r="DW43" i="32"/>
  <c r="CY43" i="32"/>
  <c r="CX43" i="32"/>
  <c r="CW43" i="32"/>
  <c r="BY43" i="32"/>
  <c r="BX43" i="32"/>
  <c r="BW43" i="32"/>
  <c r="AY43" i="32"/>
  <c r="AX43" i="32"/>
  <c r="AW43" i="32"/>
  <c r="Y43" i="32"/>
  <c r="X43" i="32"/>
  <c r="W43" i="32"/>
  <c r="GY42" i="32"/>
  <c r="GX42" i="32"/>
  <c r="GW42" i="32"/>
  <c r="FY42" i="32"/>
  <c r="FX42" i="32"/>
  <c r="FW42" i="32"/>
  <c r="EY42" i="32"/>
  <c r="EX42" i="32"/>
  <c r="EW42" i="32"/>
  <c r="DY42" i="32"/>
  <c r="DX42" i="32"/>
  <c r="DW42" i="32"/>
  <c r="CY42" i="32"/>
  <c r="CX42" i="32"/>
  <c r="CW42" i="32"/>
  <c r="BY42" i="32"/>
  <c r="BX42" i="32"/>
  <c r="BW42" i="32"/>
  <c r="AY42" i="32"/>
  <c r="AX42" i="32"/>
  <c r="AW42" i="32"/>
  <c r="Y42" i="32"/>
  <c r="X42" i="32"/>
  <c r="W42" i="32"/>
  <c r="GY41" i="32"/>
  <c r="GX41" i="32"/>
  <c r="GW41" i="32"/>
  <c r="FY41" i="32"/>
  <c r="FX41" i="32"/>
  <c r="FW41" i="32"/>
  <c r="EY41" i="32"/>
  <c r="EX41" i="32"/>
  <c r="EW41" i="32"/>
  <c r="DY41" i="32"/>
  <c r="DX41" i="32"/>
  <c r="DW41" i="32"/>
  <c r="CY41" i="32"/>
  <c r="CX41" i="32"/>
  <c r="CW41" i="32"/>
  <c r="BY41" i="32"/>
  <c r="BX41" i="32"/>
  <c r="BW41" i="32"/>
  <c r="AY41" i="32"/>
  <c r="AX41" i="32"/>
  <c r="AW41" i="32"/>
  <c r="Y41" i="32"/>
  <c r="X41" i="32"/>
  <c r="W41" i="32"/>
  <c r="GY40" i="32"/>
  <c r="GX40" i="32"/>
  <c r="GW40" i="32"/>
  <c r="FY40" i="32"/>
  <c r="FX40" i="32"/>
  <c r="FW40" i="32"/>
  <c r="EY40" i="32"/>
  <c r="EX40" i="32"/>
  <c r="EW40" i="32"/>
  <c r="DY40" i="32"/>
  <c r="DX40" i="32"/>
  <c r="DW40" i="32"/>
  <c r="CY40" i="32"/>
  <c r="CX40" i="32"/>
  <c r="CW40" i="32"/>
  <c r="BY40" i="32"/>
  <c r="BX40" i="32"/>
  <c r="BW40" i="32"/>
  <c r="AY40" i="32"/>
  <c r="AX40" i="32"/>
  <c r="AW40" i="32"/>
  <c r="Y40" i="32"/>
  <c r="X40" i="32"/>
  <c r="W40" i="32"/>
  <c r="GY39" i="32"/>
  <c r="GX39" i="32"/>
  <c r="GW39" i="32"/>
  <c r="FY39" i="32"/>
  <c r="FX39" i="32"/>
  <c r="FW39" i="32"/>
  <c r="EY39" i="32"/>
  <c r="EX39" i="32"/>
  <c r="EW39" i="32"/>
  <c r="DY39" i="32"/>
  <c r="DX39" i="32"/>
  <c r="DW39" i="32"/>
  <c r="CY39" i="32"/>
  <c r="CX39" i="32"/>
  <c r="CW39" i="32"/>
  <c r="BY39" i="32"/>
  <c r="BX39" i="32"/>
  <c r="BW39" i="32"/>
  <c r="AY39" i="32"/>
  <c r="AX39" i="32"/>
  <c r="AW39" i="32"/>
  <c r="Y39" i="32"/>
  <c r="X39" i="32"/>
  <c r="W39" i="32"/>
  <c r="GY38" i="32"/>
  <c r="GX38" i="32"/>
  <c r="GW38" i="32"/>
  <c r="FY38" i="32"/>
  <c r="FX38" i="32"/>
  <c r="FW38" i="32"/>
  <c r="EY38" i="32"/>
  <c r="EX38" i="32"/>
  <c r="EW38" i="32"/>
  <c r="DY38" i="32"/>
  <c r="DX38" i="32"/>
  <c r="DW38" i="32"/>
  <c r="CY38" i="32"/>
  <c r="CX38" i="32"/>
  <c r="CW38" i="32"/>
  <c r="BY38" i="32"/>
  <c r="BX38" i="32"/>
  <c r="BW38" i="32"/>
  <c r="AY38" i="32"/>
  <c r="AX38" i="32"/>
  <c r="AW38" i="32"/>
  <c r="Y38" i="32"/>
  <c r="X38" i="32"/>
  <c r="W38" i="32"/>
  <c r="GY37" i="32"/>
  <c r="GX37" i="32"/>
  <c r="GW37" i="32"/>
  <c r="FY37" i="32"/>
  <c r="FX37" i="32"/>
  <c r="FW37" i="32"/>
  <c r="EY37" i="32"/>
  <c r="EX37" i="32"/>
  <c r="EW37" i="32"/>
  <c r="DY37" i="32"/>
  <c r="DX37" i="32"/>
  <c r="DW37" i="32"/>
  <c r="CY37" i="32"/>
  <c r="CX37" i="32"/>
  <c r="CW37" i="32"/>
  <c r="BY37" i="32"/>
  <c r="BX37" i="32"/>
  <c r="BW37" i="32"/>
  <c r="AY37" i="32"/>
  <c r="AX37" i="32"/>
  <c r="AW37" i="32"/>
  <c r="Y37" i="32"/>
  <c r="X37" i="32"/>
  <c r="W37" i="32"/>
  <c r="GY36" i="32"/>
  <c r="GX36" i="32"/>
  <c r="GW36" i="32"/>
  <c r="FY36" i="32"/>
  <c r="FX36" i="32"/>
  <c r="FW36" i="32"/>
  <c r="EY36" i="32"/>
  <c r="EX36" i="32"/>
  <c r="EW36" i="32"/>
  <c r="DY36" i="32"/>
  <c r="DX36" i="32"/>
  <c r="DW36" i="32"/>
  <c r="CY36" i="32"/>
  <c r="CX36" i="32"/>
  <c r="CW36" i="32"/>
  <c r="BY36" i="32"/>
  <c r="BX36" i="32"/>
  <c r="BW36" i="32"/>
  <c r="AY36" i="32"/>
  <c r="AX36" i="32"/>
  <c r="AW36" i="32"/>
  <c r="Y36" i="32"/>
  <c r="X36" i="32"/>
  <c r="W36" i="32"/>
  <c r="GY35" i="32"/>
  <c r="GX35" i="32"/>
  <c r="GW35" i="32"/>
  <c r="FY35" i="32"/>
  <c r="FX35" i="32"/>
  <c r="FW35" i="32"/>
  <c r="EY35" i="32"/>
  <c r="EX35" i="32"/>
  <c r="EW35" i="32"/>
  <c r="DY35" i="32"/>
  <c r="DX35" i="32"/>
  <c r="DW35" i="32"/>
  <c r="CY35" i="32"/>
  <c r="CX35" i="32"/>
  <c r="CW35" i="32"/>
  <c r="BY35" i="32"/>
  <c r="BX35" i="32"/>
  <c r="BW35" i="32"/>
  <c r="AY35" i="32"/>
  <c r="AX35" i="32"/>
  <c r="AW35" i="32"/>
  <c r="Y35" i="32"/>
  <c r="X35" i="32"/>
  <c r="W35" i="32"/>
  <c r="GY34" i="32"/>
  <c r="GX34" i="32"/>
  <c r="GW34" i="32"/>
  <c r="FY34" i="32"/>
  <c r="FX34" i="32"/>
  <c r="FW34" i="32"/>
  <c r="EY34" i="32"/>
  <c r="EX34" i="32"/>
  <c r="EW34" i="32"/>
  <c r="DY34" i="32"/>
  <c r="DX34" i="32"/>
  <c r="DW34" i="32"/>
  <c r="CY34" i="32"/>
  <c r="CX34" i="32"/>
  <c r="CW34" i="32"/>
  <c r="BY34" i="32"/>
  <c r="BX34" i="32"/>
  <c r="BW34" i="32"/>
  <c r="AY34" i="32"/>
  <c r="AX34" i="32"/>
  <c r="AW34" i="32"/>
  <c r="Y34" i="32"/>
  <c r="X34" i="32"/>
  <c r="W34" i="32"/>
  <c r="GY33" i="32"/>
  <c r="GX33" i="32"/>
  <c r="GW33" i="32"/>
  <c r="FY33" i="32"/>
  <c r="FX33" i="32"/>
  <c r="FW33" i="32"/>
  <c r="EY33" i="32"/>
  <c r="EX33" i="32"/>
  <c r="EW33" i="32"/>
  <c r="DY33" i="32"/>
  <c r="DX33" i="32"/>
  <c r="DW33" i="32"/>
  <c r="CY33" i="32"/>
  <c r="CX33" i="32"/>
  <c r="CW33" i="32"/>
  <c r="BY33" i="32"/>
  <c r="BX33" i="32"/>
  <c r="BW33" i="32"/>
  <c r="AY33" i="32"/>
  <c r="AX33" i="32"/>
  <c r="AW33" i="32"/>
  <c r="Y33" i="32"/>
  <c r="X33" i="32"/>
  <c r="W33" i="32"/>
  <c r="GY32" i="32"/>
  <c r="GX32" i="32"/>
  <c r="GW32" i="32"/>
  <c r="FY32" i="32"/>
  <c r="FX32" i="32"/>
  <c r="FW32" i="32"/>
  <c r="EY32" i="32"/>
  <c r="EX32" i="32"/>
  <c r="EW32" i="32"/>
  <c r="DY32" i="32"/>
  <c r="DX32" i="32"/>
  <c r="DW32" i="32"/>
  <c r="CY32" i="32"/>
  <c r="CX32" i="32"/>
  <c r="CW32" i="32"/>
  <c r="BY32" i="32"/>
  <c r="BX32" i="32"/>
  <c r="BW32" i="32"/>
  <c r="AY32" i="32"/>
  <c r="AX32" i="32"/>
  <c r="AW32" i="32"/>
  <c r="Y32" i="32"/>
  <c r="X32" i="32"/>
  <c r="W32" i="32"/>
  <c r="GY31" i="32"/>
  <c r="GX31" i="32"/>
  <c r="GW31" i="32"/>
  <c r="FY31" i="32"/>
  <c r="FX31" i="32"/>
  <c r="FW31" i="32"/>
  <c r="EY31" i="32"/>
  <c r="EX31" i="32"/>
  <c r="EW31" i="32"/>
  <c r="DY31" i="32"/>
  <c r="DX31" i="32"/>
  <c r="DW31" i="32"/>
  <c r="CY31" i="32"/>
  <c r="CX31" i="32"/>
  <c r="CW31" i="32"/>
  <c r="BY31" i="32"/>
  <c r="BX31" i="32"/>
  <c r="BW31" i="32"/>
  <c r="AY31" i="32"/>
  <c r="AX31" i="32"/>
  <c r="AW31" i="32"/>
  <c r="Y31" i="32"/>
  <c r="X31" i="32"/>
  <c r="W31" i="32"/>
  <c r="GY30" i="32"/>
  <c r="GX30" i="32"/>
  <c r="GW30" i="32"/>
  <c r="FY30" i="32"/>
  <c r="FX30" i="32"/>
  <c r="FW30" i="32"/>
  <c r="EY30" i="32"/>
  <c r="EX30" i="32"/>
  <c r="EW30" i="32"/>
  <c r="DY30" i="32"/>
  <c r="DX30" i="32"/>
  <c r="DW30" i="32"/>
  <c r="CY30" i="32"/>
  <c r="CX30" i="32"/>
  <c r="CW30" i="32"/>
  <c r="BY30" i="32"/>
  <c r="BX30" i="32"/>
  <c r="BW30" i="32"/>
  <c r="AY30" i="32"/>
  <c r="AX30" i="32"/>
  <c r="AW30" i="32"/>
  <c r="Y30" i="32"/>
  <c r="X30" i="32"/>
  <c r="W30" i="32"/>
  <c r="GY29" i="32"/>
  <c r="GX29" i="32"/>
  <c r="GW29" i="32"/>
  <c r="FY29" i="32"/>
  <c r="FX29" i="32"/>
  <c r="FW29" i="32"/>
  <c r="EY29" i="32"/>
  <c r="EX29" i="32"/>
  <c r="EW29" i="32"/>
  <c r="DY29" i="32"/>
  <c r="DX29" i="32"/>
  <c r="DW29" i="32"/>
  <c r="CY29" i="32"/>
  <c r="CX29" i="32"/>
  <c r="CW29" i="32"/>
  <c r="BY29" i="32"/>
  <c r="BX29" i="32"/>
  <c r="BW29" i="32"/>
  <c r="AY29" i="32"/>
  <c r="AX29" i="32"/>
  <c r="AW29" i="32"/>
  <c r="Y29" i="32"/>
  <c r="X29" i="32"/>
  <c r="W29" i="32"/>
  <c r="GY28" i="32"/>
  <c r="GX28" i="32"/>
  <c r="GW28" i="32"/>
  <c r="FY28" i="32"/>
  <c r="FX28" i="32"/>
  <c r="FW28" i="32"/>
  <c r="EY28" i="32"/>
  <c r="EX28" i="32"/>
  <c r="EW28" i="32"/>
  <c r="DY28" i="32"/>
  <c r="DX28" i="32"/>
  <c r="DW28" i="32"/>
  <c r="CY28" i="32"/>
  <c r="CX28" i="32"/>
  <c r="CW28" i="32"/>
  <c r="BY28" i="32"/>
  <c r="BX28" i="32"/>
  <c r="BW28" i="32"/>
  <c r="AY28" i="32"/>
  <c r="AX28" i="32"/>
  <c r="AW28" i="32"/>
  <c r="Y28" i="32"/>
  <c r="X28" i="32"/>
  <c r="W28" i="32"/>
  <c r="GY27" i="32"/>
  <c r="GX27" i="32"/>
  <c r="GW27" i="32"/>
  <c r="FY27" i="32"/>
  <c r="FX27" i="32"/>
  <c r="FW27" i="32"/>
  <c r="EY27" i="32"/>
  <c r="EX27" i="32"/>
  <c r="EW27" i="32"/>
  <c r="DY27" i="32"/>
  <c r="DX27" i="32"/>
  <c r="DW27" i="32"/>
  <c r="CY27" i="32"/>
  <c r="CX27" i="32"/>
  <c r="CW27" i="32"/>
  <c r="BY27" i="32"/>
  <c r="BX27" i="32"/>
  <c r="BW27" i="32"/>
  <c r="AY27" i="32"/>
  <c r="AX27" i="32"/>
  <c r="AW27" i="32"/>
  <c r="Y27" i="32"/>
  <c r="X27" i="32"/>
  <c r="W27" i="32"/>
  <c r="GY26" i="32"/>
  <c r="GX26" i="32"/>
  <c r="GW26" i="32"/>
  <c r="FY26" i="32"/>
  <c r="FX26" i="32"/>
  <c r="FW26" i="32"/>
  <c r="EY26" i="32"/>
  <c r="EX26" i="32"/>
  <c r="EW26" i="32"/>
  <c r="DY26" i="32"/>
  <c r="DX26" i="32"/>
  <c r="DW26" i="32"/>
  <c r="CY26" i="32"/>
  <c r="CX26" i="32"/>
  <c r="CW26" i="32"/>
  <c r="BY26" i="32"/>
  <c r="BX26" i="32"/>
  <c r="BW26" i="32"/>
  <c r="AY26" i="32"/>
  <c r="AX26" i="32"/>
  <c r="AW26" i="32"/>
  <c r="Y26" i="32"/>
  <c r="X26" i="32"/>
  <c r="W26" i="32"/>
  <c r="GY25" i="32"/>
  <c r="GX25" i="32"/>
  <c r="GW25" i="32"/>
  <c r="FY25" i="32"/>
  <c r="FX25" i="32"/>
  <c r="FW25" i="32"/>
  <c r="EY25" i="32"/>
  <c r="EX25" i="32"/>
  <c r="EW25" i="32"/>
  <c r="DY25" i="32"/>
  <c r="DX25" i="32"/>
  <c r="DW25" i="32"/>
  <c r="CY25" i="32"/>
  <c r="CX25" i="32"/>
  <c r="CW25" i="32"/>
  <c r="BY25" i="32"/>
  <c r="BX25" i="32"/>
  <c r="BW25" i="32"/>
  <c r="AY25" i="32"/>
  <c r="AX25" i="32"/>
  <c r="AW25" i="32"/>
  <c r="Y25" i="32"/>
  <c r="X25" i="32"/>
  <c r="W25" i="32"/>
  <c r="GY24" i="32"/>
  <c r="GX24" i="32"/>
  <c r="GW24" i="32"/>
  <c r="FY24" i="32"/>
  <c r="FX24" i="32"/>
  <c r="FW24" i="32"/>
  <c r="EY24" i="32"/>
  <c r="EX24" i="32"/>
  <c r="EW24" i="32"/>
  <c r="DY24" i="32"/>
  <c r="DX24" i="32"/>
  <c r="DW24" i="32"/>
  <c r="CY24" i="32"/>
  <c r="CX24" i="32"/>
  <c r="CW24" i="32"/>
  <c r="BY24" i="32"/>
  <c r="BX24" i="32"/>
  <c r="BW24" i="32"/>
  <c r="AY24" i="32"/>
  <c r="AX24" i="32"/>
  <c r="AW24" i="32"/>
  <c r="Y24" i="32"/>
  <c r="X24" i="32"/>
  <c r="W24" i="32"/>
  <c r="GY23" i="32"/>
  <c r="GX23" i="32"/>
  <c r="GW23" i="32"/>
  <c r="FY23" i="32"/>
  <c r="FX23" i="32"/>
  <c r="FW23" i="32"/>
  <c r="EY23" i="32"/>
  <c r="EX23" i="32"/>
  <c r="EW23" i="32"/>
  <c r="DY23" i="32"/>
  <c r="DX23" i="32"/>
  <c r="DW23" i="32"/>
  <c r="CY23" i="32"/>
  <c r="CX23" i="32"/>
  <c r="CW23" i="32"/>
  <c r="BY23" i="32"/>
  <c r="BX23" i="32"/>
  <c r="BW23" i="32"/>
  <c r="AY23" i="32"/>
  <c r="AX23" i="32"/>
  <c r="AW23" i="32"/>
  <c r="Y23" i="32"/>
  <c r="X23" i="32"/>
  <c r="W23" i="32"/>
  <c r="GY22" i="32"/>
  <c r="GX22" i="32"/>
  <c r="GW22" i="32"/>
  <c r="FY22" i="32"/>
  <c r="FX22" i="32"/>
  <c r="FW22" i="32"/>
  <c r="EY22" i="32"/>
  <c r="EX22" i="32"/>
  <c r="EW22" i="32"/>
  <c r="DY22" i="32"/>
  <c r="DX22" i="32"/>
  <c r="DW22" i="32"/>
  <c r="CY22" i="32"/>
  <c r="CX22" i="32"/>
  <c r="CW22" i="32"/>
  <c r="BY22" i="32"/>
  <c r="BX22" i="32"/>
  <c r="BW22" i="32"/>
  <c r="AY22" i="32"/>
  <c r="AX22" i="32"/>
  <c r="AW22" i="32"/>
  <c r="Y22" i="32"/>
  <c r="X22" i="32"/>
  <c r="W22" i="32"/>
  <c r="GY21" i="32"/>
  <c r="GX21" i="32"/>
  <c r="GW21" i="32"/>
  <c r="FY21" i="32"/>
  <c r="FX21" i="32"/>
  <c r="FW21" i="32"/>
  <c r="EY21" i="32"/>
  <c r="EX21" i="32"/>
  <c r="EW21" i="32"/>
  <c r="DY21" i="32"/>
  <c r="DX21" i="32"/>
  <c r="DW21" i="32"/>
  <c r="CY21" i="32"/>
  <c r="CX21" i="32"/>
  <c r="CW21" i="32"/>
  <c r="BY21" i="32"/>
  <c r="BX21" i="32"/>
  <c r="BW21" i="32"/>
  <c r="AY21" i="32"/>
  <c r="AX21" i="32"/>
  <c r="AW21" i="32"/>
  <c r="Y21" i="32"/>
  <c r="X21" i="32"/>
  <c r="W21" i="32"/>
  <c r="GY20" i="32"/>
  <c r="GX20" i="32"/>
  <c r="GW20" i="32"/>
  <c r="FY20" i="32"/>
  <c r="FX20" i="32"/>
  <c r="FW20" i="32"/>
  <c r="EY20" i="32"/>
  <c r="EX20" i="32"/>
  <c r="EW20" i="32"/>
  <c r="DY20" i="32"/>
  <c r="DX20" i="32"/>
  <c r="DW20" i="32"/>
  <c r="CY20" i="32"/>
  <c r="CX20" i="32"/>
  <c r="CW20" i="32"/>
  <c r="BY20" i="32"/>
  <c r="BX20" i="32"/>
  <c r="BW20" i="32"/>
  <c r="AY20" i="32"/>
  <c r="AX20" i="32"/>
  <c r="AW20" i="32"/>
  <c r="Y20" i="32"/>
  <c r="X20" i="32"/>
  <c r="W20" i="32"/>
  <c r="GY19" i="32"/>
  <c r="GX19" i="32"/>
  <c r="GW19" i="32"/>
  <c r="FY19" i="32"/>
  <c r="FX19" i="32"/>
  <c r="FW19" i="32"/>
  <c r="EY19" i="32"/>
  <c r="EX19" i="32"/>
  <c r="EW19" i="32"/>
  <c r="DY19" i="32"/>
  <c r="DX19" i="32"/>
  <c r="DW19" i="32"/>
  <c r="CY19" i="32"/>
  <c r="CX19" i="32"/>
  <c r="CW19" i="32"/>
  <c r="BY19" i="32"/>
  <c r="BX19" i="32"/>
  <c r="BW19" i="32"/>
  <c r="AY19" i="32"/>
  <c r="AX19" i="32"/>
  <c r="AW19" i="32"/>
  <c r="Y19" i="32"/>
  <c r="X19" i="32"/>
  <c r="W19" i="32"/>
  <c r="GY18" i="32"/>
  <c r="GX18" i="32"/>
  <c r="GW18" i="32"/>
  <c r="FY18" i="32"/>
  <c r="FX18" i="32"/>
  <c r="FW18" i="32"/>
  <c r="EY18" i="32"/>
  <c r="EX18" i="32"/>
  <c r="EW18" i="32"/>
  <c r="DY18" i="32"/>
  <c r="DX18" i="32"/>
  <c r="DW18" i="32"/>
  <c r="CY18" i="32"/>
  <c r="CX18" i="32"/>
  <c r="CW18" i="32"/>
  <c r="BY18" i="32"/>
  <c r="BX18" i="32"/>
  <c r="BW18" i="32"/>
  <c r="AY18" i="32"/>
  <c r="AX18" i="32"/>
  <c r="AW18" i="32"/>
  <c r="Y18" i="32"/>
  <c r="X18" i="32"/>
  <c r="W18" i="32"/>
  <c r="GY17" i="32"/>
  <c r="GX17" i="32"/>
  <c r="GW17" i="32"/>
  <c r="FY17" i="32"/>
  <c r="FX17" i="32"/>
  <c r="FW17" i="32"/>
  <c r="EY17" i="32"/>
  <c r="EX17" i="32"/>
  <c r="EW17" i="32"/>
  <c r="DY17" i="32"/>
  <c r="DX17" i="32"/>
  <c r="DW17" i="32"/>
  <c r="CY17" i="32"/>
  <c r="CX17" i="32"/>
  <c r="CW17" i="32"/>
  <c r="BY17" i="32"/>
  <c r="BX17" i="32"/>
  <c r="BW17" i="32"/>
  <c r="AY17" i="32"/>
  <c r="AX17" i="32"/>
  <c r="AW17" i="32"/>
  <c r="Y17" i="32"/>
  <c r="X17" i="32"/>
  <c r="W17" i="32"/>
  <c r="GY16" i="32"/>
  <c r="GX16" i="32"/>
  <c r="GW16" i="32"/>
  <c r="FY16" i="32"/>
  <c r="FX16" i="32"/>
  <c r="FW16" i="32"/>
  <c r="EY16" i="32"/>
  <c r="EX16" i="32"/>
  <c r="EW16" i="32"/>
  <c r="DY16" i="32"/>
  <c r="DX16" i="32"/>
  <c r="DW16" i="32"/>
  <c r="CY16" i="32"/>
  <c r="CX16" i="32"/>
  <c r="CW16" i="32"/>
  <c r="BY16" i="32"/>
  <c r="BX16" i="32"/>
  <c r="BW16" i="32"/>
  <c r="AY16" i="32"/>
  <c r="AX16" i="32"/>
  <c r="AW16" i="32"/>
  <c r="Y16" i="32"/>
  <c r="X16" i="32"/>
  <c r="W16" i="32"/>
  <c r="GY15" i="32"/>
  <c r="GX15" i="32"/>
  <c r="GW15" i="32"/>
  <c r="FY15" i="32"/>
  <c r="FX15" i="32"/>
  <c r="FW15" i="32"/>
  <c r="EY15" i="32"/>
  <c r="EX15" i="32"/>
  <c r="EW15" i="32"/>
  <c r="DY15" i="32"/>
  <c r="DX15" i="32"/>
  <c r="DW15" i="32"/>
  <c r="CY15" i="32"/>
  <c r="CX15" i="32"/>
  <c r="CW15" i="32"/>
  <c r="BY15" i="32"/>
  <c r="BX15" i="32"/>
  <c r="BW15" i="32"/>
  <c r="AY15" i="32"/>
  <c r="AX15" i="32"/>
  <c r="AW15" i="32"/>
  <c r="Y15" i="32"/>
  <c r="X15" i="32"/>
  <c r="W15" i="32"/>
  <c r="GY14" i="32"/>
  <c r="GX14" i="32"/>
  <c r="GW14" i="32"/>
  <c r="FY14" i="32"/>
  <c r="FX14" i="32"/>
  <c r="FW14" i="32"/>
  <c r="EY14" i="32"/>
  <c r="EX14" i="32"/>
  <c r="EW14" i="32"/>
  <c r="DY14" i="32"/>
  <c r="DX14" i="32"/>
  <c r="DW14" i="32"/>
  <c r="CY14" i="32"/>
  <c r="CX14" i="32"/>
  <c r="CW14" i="32"/>
  <c r="BY14" i="32"/>
  <c r="BX14" i="32"/>
  <c r="BW14" i="32"/>
  <c r="AY14" i="32"/>
  <c r="AX14" i="32"/>
  <c r="AW14" i="32"/>
  <c r="Y14" i="32"/>
  <c r="X14" i="32"/>
  <c r="W14" i="32"/>
  <c r="GY13" i="32"/>
  <c r="GX13" i="32"/>
  <c r="GW13" i="32"/>
  <c r="FY13" i="32"/>
  <c r="FX13" i="32"/>
  <c r="FW13" i="32"/>
  <c r="EY13" i="32"/>
  <c r="EX13" i="32"/>
  <c r="EW13" i="32"/>
  <c r="DY13" i="32"/>
  <c r="DX13" i="32"/>
  <c r="DW13" i="32"/>
  <c r="CY13" i="32"/>
  <c r="CX13" i="32"/>
  <c r="CW13" i="32"/>
  <c r="BY13" i="32"/>
  <c r="BX13" i="32"/>
  <c r="BW13" i="32"/>
  <c r="AY13" i="32"/>
  <c r="AX13" i="32"/>
  <c r="AW13" i="32"/>
  <c r="Y13" i="32"/>
  <c r="X13" i="32"/>
  <c r="W13" i="32"/>
  <c r="GY12" i="32"/>
  <c r="GX12" i="32"/>
  <c r="GW12" i="32"/>
  <c r="FY12" i="32"/>
  <c r="FX12" i="32"/>
  <c r="FW12" i="32"/>
  <c r="EY12" i="32"/>
  <c r="EX12" i="32"/>
  <c r="EW12" i="32"/>
  <c r="DY12" i="32"/>
  <c r="DX12" i="32"/>
  <c r="DW12" i="32"/>
  <c r="CY12" i="32"/>
  <c r="CX12" i="32"/>
  <c r="CW12" i="32"/>
  <c r="BY12" i="32"/>
  <c r="BX12" i="32"/>
  <c r="BW12" i="32"/>
  <c r="AY12" i="32"/>
  <c r="AX12" i="32"/>
  <c r="AW12" i="32"/>
  <c r="Y12" i="32"/>
  <c r="X12" i="32"/>
  <c r="W12" i="32"/>
  <c r="GY11" i="32"/>
  <c r="GX11" i="32"/>
  <c r="GW11" i="32"/>
  <c r="FY11" i="32"/>
  <c r="FX11" i="32"/>
  <c r="FW11" i="32"/>
  <c r="EY11" i="32"/>
  <c r="EX11" i="32"/>
  <c r="EW11" i="32"/>
  <c r="DY11" i="32"/>
  <c r="DX11" i="32"/>
  <c r="DW11" i="32"/>
  <c r="CY11" i="32"/>
  <c r="CX11" i="32"/>
  <c r="CW11" i="32"/>
  <c r="BY11" i="32"/>
  <c r="BX11" i="32"/>
  <c r="BW11" i="32"/>
  <c r="AY11" i="32"/>
  <c r="AX11" i="32"/>
  <c r="AW11" i="32"/>
  <c r="Y11" i="32"/>
  <c r="X11" i="32"/>
  <c r="W11" i="32"/>
  <c r="GY10" i="32"/>
  <c r="GX10" i="32"/>
  <c r="GW10" i="32"/>
  <c r="FY10" i="32"/>
  <c r="FX10" i="32"/>
  <c r="FW10" i="32"/>
  <c r="EY10" i="32"/>
  <c r="EX10" i="32"/>
  <c r="EW10" i="32"/>
  <c r="DY10" i="32"/>
  <c r="DX10" i="32"/>
  <c r="DW10" i="32"/>
  <c r="CY10" i="32"/>
  <c r="CX10" i="32"/>
  <c r="CW10" i="32"/>
  <c r="BY10" i="32"/>
  <c r="BX10" i="32"/>
  <c r="BW10" i="32"/>
  <c r="AY10" i="32"/>
  <c r="AX10" i="32"/>
  <c r="AW10" i="32"/>
  <c r="Y10" i="32"/>
  <c r="X10" i="32"/>
  <c r="W10" i="32"/>
  <c r="GY9" i="32"/>
  <c r="GX9" i="32"/>
  <c r="GW9" i="32"/>
  <c r="FY9" i="32"/>
  <c r="FX9" i="32"/>
  <c r="FW9" i="32"/>
  <c r="EY9" i="32"/>
  <c r="EX9" i="32"/>
  <c r="EW9" i="32"/>
  <c r="DY9" i="32"/>
  <c r="DX9" i="32"/>
  <c r="DW9" i="32"/>
  <c r="CY9" i="32"/>
  <c r="CX9" i="32"/>
  <c r="CW9" i="32"/>
  <c r="BY9" i="32"/>
  <c r="BX9" i="32"/>
  <c r="BW9" i="32"/>
  <c r="AY9" i="32"/>
  <c r="AX9" i="32"/>
  <c r="AW9" i="32"/>
  <c r="Y9" i="32"/>
  <c r="X9" i="32"/>
  <c r="W9" i="32"/>
  <c r="GY8" i="32"/>
  <c r="GX8" i="32"/>
  <c r="GW8" i="32"/>
  <c r="FY8" i="32"/>
  <c r="FX8" i="32"/>
  <c r="FW8" i="32"/>
  <c r="EY8" i="32"/>
  <c r="EX8" i="32"/>
  <c r="EW8" i="32"/>
  <c r="DY8" i="32"/>
  <c r="DX8" i="32"/>
  <c r="DW8" i="32"/>
  <c r="CY8" i="32"/>
  <c r="CX8" i="32"/>
  <c r="CW8" i="32"/>
  <c r="BY8" i="32"/>
  <c r="BX8" i="32"/>
  <c r="BW8" i="32"/>
  <c r="AY8" i="32"/>
  <c r="AX8" i="32"/>
  <c r="AW8" i="32"/>
  <c r="Y8" i="32"/>
  <c r="X8" i="32"/>
  <c r="W8" i="32"/>
  <c r="GY7" i="32"/>
  <c r="GX7" i="32"/>
  <c r="GW7" i="32"/>
  <c r="FY7" i="32"/>
  <c r="FX7" i="32"/>
  <c r="FW7" i="32"/>
  <c r="EY7" i="32"/>
  <c r="EX7" i="32"/>
  <c r="EW7" i="32"/>
  <c r="DY7" i="32"/>
  <c r="DX7" i="32"/>
  <c r="DW7" i="32"/>
  <c r="CY7" i="32"/>
  <c r="CX7" i="32"/>
  <c r="CW7" i="32"/>
  <c r="BY7" i="32"/>
  <c r="BX7" i="32"/>
  <c r="BW7" i="32"/>
  <c r="AY7" i="32"/>
  <c r="AX7" i="32"/>
  <c r="AW7" i="32"/>
  <c r="Y7" i="32"/>
  <c r="X7" i="32"/>
  <c r="W7" i="32"/>
  <c r="GY6" i="32"/>
  <c r="GX6" i="32"/>
  <c r="GW6" i="32"/>
  <c r="FY6" i="32"/>
  <c r="FX6" i="32"/>
  <c r="FW6" i="32"/>
  <c r="EY6" i="32"/>
  <c r="EX6" i="32"/>
  <c r="EW6" i="32"/>
  <c r="DY6" i="32"/>
  <c r="DX6" i="32"/>
  <c r="DW6" i="32"/>
  <c r="CY6" i="32"/>
  <c r="CX6" i="32"/>
  <c r="CW6" i="32"/>
  <c r="BY6" i="32"/>
  <c r="BX6" i="32"/>
  <c r="BW6" i="32"/>
  <c r="AY6" i="32"/>
  <c r="AX6" i="32"/>
  <c r="AW6" i="32"/>
  <c r="Y6" i="32"/>
  <c r="X6" i="32"/>
  <c r="W6" i="32"/>
  <c r="GY5" i="32"/>
  <c r="GX5" i="32"/>
  <c r="GW5" i="32"/>
  <c r="FY5" i="32"/>
  <c r="FX5" i="32"/>
  <c r="FW5" i="32"/>
  <c r="EY5" i="32"/>
  <c r="EX5" i="32"/>
  <c r="EW5" i="32"/>
  <c r="DY5" i="32"/>
  <c r="DX5" i="32"/>
  <c r="DW5" i="32"/>
  <c r="CY5" i="32"/>
  <c r="CX5" i="32"/>
  <c r="CW5" i="32"/>
  <c r="BY5" i="32"/>
  <c r="BX5" i="32"/>
  <c r="BW5" i="32"/>
  <c r="AY5" i="32"/>
  <c r="AX5" i="32"/>
  <c r="AW5" i="32"/>
  <c r="Y5" i="32"/>
  <c r="X5" i="32"/>
  <c r="W5" i="32"/>
  <c r="GY4" i="32"/>
  <c r="GX4" i="32"/>
  <c r="GW4" i="32"/>
  <c r="FY4" i="32"/>
  <c r="FX4" i="32"/>
  <c r="FW4" i="32"/>
  <c r="EY4" i="32"/>
  <c r="EX4" i="32"/>
  <c r="EW4" i="32"/>
  <c r="DY4" i="32"/>
  <c r="DX4" i="32"/>
  <c r="DW4" i="32"/>
  <c r="CY4" i="32"/>
  <c r="CX4" i="32"/>
  <c r="CW4" i="32"/>
  <c r="BY4" i="32"/>
  <c r="BX4" i="32"/>
  <c r="BW4" i="32"/>
  <c r="AY4" i="32"/>
  <c r="AX4" i="32"/>
  <c r="AW4" i="32"/>
  <c r="Y4" i="32"/>
  <c r="X4" i="32"/>
  <c r="W4" i="32"/>
  <c r="DA2" i="32"/>
  <c r="CA2" i="32"/>
  <c r="CA98" i="32" s="1"/>
  <c r="BA2" i="32"/>
  <c r="BA90" i="32"/>
  <c r="AA2" i="32"/>
  <c r="AA122" i="32"/>
  <c r="A2" i="32"/>
  <c r="A77" i="32"/>
  <c r="B6" i="6"/>
  <c r="C6" i="6"/>
  <c r="U6" i="5"/>
  <c r="A195" i="6" s="1"/>
  <c r="U2" i="4"/>
  <c r="U3" i="4"/>
  <c r="U4" i="4"/>
  <c r="U5" i="4"/>
  <c r="U6" i="4"/>
  <c r="U13" i="4"/>
  <c r="U14" i="4"/>
  <c r="U15" i="4"/>
  <c r="U17" i="4"/>
  <c r="U18" i="4"/>
  <c r="B38" i="6"/>
  <c r="C38" i="6"/>
  <c r="A19" i="12"/>
  <c r="AI4" i="10"/>
  <c r="AI5" i="10"/>
  <c r="AI6" i="10"/>
  <c r="AI7" i="10"/>
  <c r="AM5" i="10"/>
  <c r="AM6" i="10" s="1"/>
  <c r="AM7" i="10" s="1"/>
  <c r="AI8" i="10"/>
  <c r="AI9" i="10"/>
  <c r="AM9" i="10"/>
  <c r="AM10" i="10" s="1"/>
  <c r="AM11" i="10" s="1"/>
  <c r="AI10" i="10"/>
  <c r="AI11" i="10"/>
  <c r="AI12" i="10"/>
  <c r="AI13" i="10"/>
  <c r="AM13" i="10"/>
  <c r="AM14" i="10" s="1"/>
  <c r="AM15" i="10" s="1"/>
  <c r="AI14" i="10"/>
  <c r="AI15" i="10"/>
  <c r="AI16" i="10"/>
  <c r="AI17" i="10"/>
  <c r="AM17" i="10"/>
  <c r="AM18" i="10" s="1"/>
  <c r="AM19" i="10" s="1"/>
  <c r="AI18" i="10"/>
  <c r="AI19" i="10"/>
  <c r="AM22" i="10"/>
  <c r="AM23" i="10" s="1"/>
  <c r="AM24" i="10" s="1"/>
  <c r="DN3" i="1"/>
  <c r="DN4" i="1"/>
  <c r="DN5" i="1"/>
  <c r="DN6" i="1"/>
  <c r="DR4" i="1"/>
  <c r="DR5" i="1" s="1"/>
  <c r="DR6" i="1" s="1"/>
  <c r="DN7" i="1"/>
  <c r="DN8" i="1"/>
  <c r="DR8" i="1"/>
  <c r="DR9" i="1"/>
  <c r="DR10" i="1" s="1"/>
  <c r="DN9" i="1"/>
  <c r="DN10" i="1"/>
  <c r="DN11" i="1"/>
  <c r="DN12" i="1"/>
  <c r="DR12" i="1"/>
  <c r="DR13" i="1" s="1"/>
  <c r="DR14" i="1" s="1"/>
  <c r="DN13" i="1"/>
  <c r="DN14" i="1"/>
  <c r="DN15" i="1"/>
  <c r="DN16" i="1"/>
  <c r="DR16" i="1"/>
  <c r="DR17" i="1" s="1"/>
  <c r="DR18" i="1" s="1"/>
  <c r="DN17" i="1"/>
  <c r="DN18" i="1"/>
  <c r="B70" i="6"/>
  <c r="C70" i="6"/>
  <c r="B102" i="6"/>
  <c r="C102" i="6"/>
  <c r="B134" i="6"/>
  <c r="C134" i="6"/>
  <c r="B166" i="6"/>
  <c r="C166" i="6"/>
  <c r="B198" i="6"/>
  <c r="C198" i="6"/>
  <c r="B230" i="6"/>
  <c r="C230" i="6"/>
  <c r="B262" i="6"/>
  <c r="C262" i="6"/>
  <c r="B294" i="6"/>
  <c r="C294" i="6"/>
  <c r="B326" i="6"/>
  <c r="C326" i="6"/>
  <c r="B358" i="6"/>
  <c r="C358" i="6"/>
  <c r="B390" i="6"/>
  <c r="C390" i="6"/>
  <c r="B422" i="6"/>
  <c r="C422" i="6"/>
  <c r="B454" i="6"/>
  <c r="C454" i="6"/>
  <c r="B486" i="6"/>
  <c r="C486" i="6"/>
  <c r="A33" i="12"/>
  <c r="A40" i="12"/>
  <c r="A66" i="12"/>
  <c r="A74" i="12"/>
  <c r="A85" i="12"/>
  <c r="A94" i="12"/>
  <c r="A107" i="12"/>
  <c r="A119" i="12"/>
  <c r="A130" i="12"/>
  <c r="A138" i="12"/>
  <c r="A149" i="12"/>
  <c r="A160" i="12"/>
  <c r="A172" i="12"/>
  <c r="B5" i="14"/>
  <c r="C6" i="14"/>
  <c r="B3" i="25"/>
  <c r="C5" i="14"/>
  <c r="B6" i="14"/>
  <c r="B37" i="14"/>
  <c r="C38" i="14"/>
  <c r="B53" i="25"/>
  <c r="B38" i="14"/>
  <c r="A198" i="12"/>
  <c r="A59" i="14"/>
  <c r="B69" i="14"/>
  <c r="C70" i="14"/>
  <c r="B101" i="14"/>
  <c r="C102" i="14"/>
  <c r="B102" i="14"/>
  <c r="B133" i="14"/>
  <c r="C134" i="14"/>
  <c r="B165" i="14"/>
  <c r="C166" i="14"/>
  <c r="B70" i="14"/>
  <c r="A209" i="12"/>
  <c r="B134" i="14"/>
  <c r="A226" i="12"/>
  <c r="B166" i="14"/>
  <c r="A37" i="13"/>
  <c r="D37" i="13" s="1"/>
  <c r="A8" i="19"/>
  <c r="K10" i="18"/>
  <c r="P10" i="18" s="1"/>
  <c r="K11" i="18"/>
  <c r="P11" i="18" s="1"/>
  <c r="K12" i="18"/>
  <c r="P12" i="18" s="1"/>
  <c r="K13" i="18"/>
  <c r="P13" i="18" s="1"/>
  <c r="K14" i="18"/>
  <c r="P14" i="18" s="1"/>
  <c r="K15" i="18"/>
  <c r="P15" i="18" s="1"/>
  <c r="K16" i="18"/>
  <c r="P16" i="18" s="1"/>
  <c r="K17" i="18"/>
  <c r="P17" i="18" s="1"/>
  <c r="A39" i="18"/>
  <c r="B37" i="18"/>
  <c r="B73" i="18" s="1"/>
  <c r="K46" i="18"/>
  <c r="P46" i="18" s="1"/>
  <c r="K47" i="18"/>
  <c r="P47" i="18" s="1"/>
  <c r="K48" i="18"/>
  <c r="P48" i="18" s="1"/>
  <c r="K49" i="18"/>
  <c r="P49" i="18" s="1"/>
  <c r="K50" i="18"/>
  <c r="P50" i="18" s="1"/>
  <c r="K51" i="18"/>
  <c r="P51" i="18" s="1"/>
  <c r="K52" i="18"/>
  <c r="K53" i="18"/>
  <c r="P53" i="18" s="1"/>
  <c r="A77" i="18"/>
  <c r="K82" i="18"/>
  <c r="P82" i="18"/>
  <c r="K83" i="18"/>
  <c r="P83" i="18"/>
  <c r="K84" i="18"/>
  <c r="P84" i="18"/>
  <c r="K85" i="18"/>
  <c r="P85" i="18"/>
  <c r="K86" i="18"/>
  <c r="P86" i="18"/>
  <c r="K87" i="18"/>
  <c r="P87" i="18"/>
  <c r="K88" i="18"/>
  <c r="K89" i="18"/>
  <c r="P89" i="18" s="1"/>
  <c r="A41" i="19"/>
  <c r="K118" i="18"/>
  <c r="P118" i="18" s="1"/>
  <c r="K119" i="18"/>
  <c r="P119" i="18" s="1"/>
  <c r="K120" i="18"/>
  <c r="P120" i="18" s="1"/>
  <c r="K121" i="18"/>
  <c r="P121" i="18" s="1"/>
  <c r="K122" i="18"/>
  <c r="P122" i="18" s="1"/>
  <c r="K123" i="18"/>
  <c r="P123" i="18" s="1"/>
  <c r="K124" i="18"/>
  <c r="P124" i="18" s="1"/>
  <c r="K125" i="18"/>
  <c r="P125" i="18" s="1"/>
  <c r="B13" i="17"/>
  <c r="A21" i="17" s="1"/>
  <c r="A26" i="17"/>
  <c r="A42" i="17"/>
  <c r="A48" i="17"/>
  <c r="A61" i="17"/>
  <c r="A2" i="9"/>
  <c r="B2" i="9" s="1"/>
  <c r="C37" i="18"/>
  <c r="C73" i="18" s="1"/>
  <c r="C109" i="18" s="1"/>
  <c r="P110" i="18"/>
  <c r="P111" i="18"/>
  <c r="P112" i="18"/>
  <c r="P113" i="18"/>
  <c r="P114" i="18"/>
  <c r="P115" i="18"/>
  <c r="P116" i="18"/>
  <c r="P117" i="18"/>
  <c r="P74" i="18"/>
  <c r="P75" i="18"/>
  <c r="P76" i="18"/>
  <c r="P77" i="18"/>
  <c r="P78" i="18"/>
  <c r="P79" i="18"/>
  <c r="P80" i="18"/>
  <c r="P81" i="18"/>
  <c r="P38" i="18"/>
  <c r="P39" i="18"/>
  <c r="P40" i="18"/>
  <c r="P41" i="18"/>
  <c r="P42" i="18"/>
  <c r="P43" i="18"/>
  <c r="P44" i="18"/>
  <c r="P45" i="18"/>
  <c r="I25" i="15"/>
  <c r="O116" i="9"/>
  <c r="P116" i="9"/>
  <c r="H116" i="9"/>
  <c r="I116" i="9"/>
  <c r="A116" i="9"/>
  <c r="B116" i="9"/>
  <c r="O97" i="9"/>
  <c r="P97" i="9"/>
  <c r="H97" i="9"/>
  <c r="I97" i="9"/>
  <c r="A97" i="9"/>
  <c r="B97" i="9"/>
  <c r="O78" i="9"/>
  <c r="H78" i="9"/>
  <c r="I78" i="9" s="1"/>
  <c r="A78" i="9"/>
  <c r="B78" i="9" s="1"/>
  <c r="O59" i="9"/>
  <c r="P59" i="9" s="1"/>
  <c r="H59" i="9"/>
  <c r="I59" i="9" s="1"/>
  <c r="A59" i="9"/>
  <c r="B59" i="9" s="1"/>
  <c r="O40" i="9"/>
  <c r="P40" i="9" s="1"/>
  <c r="H40" i="9"/>
  <c r="I40" i="9" s="1"/>
  <c r="A40" i="9"/>
  <c r="B40" i="9" s="1"/>
  <c r="A44" i="9"/>
  <c r="O21" i="9"/>
  <c r="P21" i="9"/>
  <c r="H21" i="9"/>
  <c r="A21" i="9"/>
  <c r="B21" i="9" s="1"/>
  <c r="O2" i="9"/>
  <c r="H2" i="9"/>
  <c r="I2" i="9" s="1"/>
  <c r="A257" i="16"/>
  <c r="A246" i="16"/>
  <c r="A191" i="16"/>
  <c r="A180" i="16"/>
  <c r="A92" i="16"/>
  <c r="A15" i="16"/>
  <c r="AA2" i="20"/>
  <c r="BA2" i="20"/>
  <c r="BA126" i="20" s="1"/>
  <c r="CA2" i="20"/>
  <c r="DA2" i="20"/>
  <c r="DA106" i="20" s="1"/>
  <c r="A2" i="20"/>
  <c r="GL1" i="20"/>
  <c r="GM1" i="20"/>
  <c r="FL1" i="20"/>
  <c r="FM1" i="20"/>
  <c r="EL1" i="20"/>
  <c r="EM1" i="20"/>
  <c r="DL1" i="20"/>
  <c r="DM1" i="20"/>
  <c r="DJ1" i="20"/>
  <c r="DK1" i="20" s="1"/>
  <c r="CL1" i="20"/>
  <c r="CM1" i="20"/>
  <c r="CJ1" i="20"/>
  <c r="CK1" i="20" s="1"/>
  <c r="BL1" i="20"/>
  <c r="BM1" i="20"/>
  <c r="BJ1" i="20"/>
  <c r="BK1" i="20" s="1"/>
  <c r="GY74" i="20"/>
  <c r="GX74" i="20"/>
  <c r="GW74" i="20"/>
  <c r="GY73" i="20"/>
  <c r="GX73" i="20"/>
  <c r="GW73" i="20"/>
  <c r="GY72" i="20"/>
  <c r="GX72" i="20"/>
  <c r="GW72" i="20"/>
  <c r="GY71" i="20"/>
  <c r="GX71" i="20"/>
  <c r="GW71" i="20"/>
  <c r="GY70" i="20"/>
  <c r="GX70" i="20"/>
  <c r="GW70" i="20"/>
  <c r="GY69" i="20"/>
  <c r="GX69" i="20"/>
  <c r="GW69" i="20"/>
  <c r="GY68" i="20"/>
  <c r="GX68" i="20"/>
  <c r="GW68" i="20"/>
  <c r="GY67" i="20"/>
  <c r="GX67" i="20"/>
  <c r="GW67" i="20"/>
  <c r="GY66" i="20"/>
  <c r="GX66" i="20"/>
  <c r="GW66" i="20"/>
  <c r="GY65" i="20"/>
  <c r="GX65" i="20"/>
  <c r="GW65" i="20"/>
  <c r="GY64" i="20"/>
  <c r="GX64" i="20"/>
  <c r="GW64" i="20"/>
  <c r="GY63" i="20"/>
  <c r="GX63" i="20"/>
  <c r="GW63" i="20"/>
  <c r="GY62" i="20"/>
  <c r="GX62" i="20"/>
  <c r="GW62" i="20"/>
  <c r="GY61" i="20"/>
  <c r="GX61" i="20"/>
  <c r="GW61" i="20"/>
  <c r="GY60" i="20"/>
  <c r="GX60" i="20"/>
  <c r="GW60" i="20"/>
  <c r="GY59" i="20"/>
  <c r="GX59" i="20"/>
  <c r="GW59" i="20"/>
  <c r="GY58" i="20"/>
  <c r="GX58" i="20"/>
  <c r="GW58" i="20"/>
  <c r="GY57" i="20"/>
  <c r="GX57" i="20"/>
  <c r="GW57" i="20"/>
  <c r="GY56" i="20"/>
  <c r="GX56" i="20"/>
  <c r="GW56" i="20"/>
  <c r="GY55" i="20"/>
  <c r="GX55" i="20"/>
  <c r="GW55" i="20"/>
  <c r="GY54" i="20"/>
  <c r="GX54" i="20"/>
  <c r="GW54" i="20"/>
  <c r="GY53" i="20"/>
  <c r="GX53" i="20"/>
  <c r="GW53" i="20"/>
  <c r="GY52" i="20"/>
  <c r="GX52" i="20"/>
  <c r="GW52" i="20"/>
  <c r="GY51" i="20"/>
  <c r="GX51" i="20"/>
  <c r="GW51" i="20"/>
  <c r="GY50" i="20"/>
  <c r="GX50" i="20"/>
  <c r="GW50" i="20"/>
  <c r="GY49" i="20"/>
  <c r="GX49" i="20"/>
  <c r="GW49" i="20"/>
  <c r="GY48" i="20"/>
  <c r="GX48" i="20"/>
  <c r="GW48" i="20"/>
  <c r="GY47" i="20"/>
  <c r="GX47" i="20"/>
  <c r="GW47" i="20"/>
  <c r="GY46" i="20"/>
  <c r="GX46" i="20"/>
  <c r="GW46" i="20"/>
  <c r="GY45" i="20"/>
  <c r="GX45" i="20"/>
  <c r="GW45" i="20"/>
  <c r="GY44" i="20"/>
  <c r="GX44" i="20"/>
  <c r="GW44" i="20"/>
  <c r="GY43" i="20"/>
  <c r="GX43" i="20"/>
  <c r="GW43" i="20"/>
  <c r="GY42" i="20"/>
  <c r="GX42" i="20"/>
  <c r="GW42" i="20"/>
  <c r="GY41" i="20"/>
  <c r="GX41" i="20"/>
  <c r="GW41" i="20"/>
  <c r="GY40" i="20"/>
  <c r="GX40" i="20"/>
  <c r="GW40" i="20"/>
  <c r="GY39" i="20"/>
  <c r="GX39" i="20"/>
  <c r="GW39" i="20"/>
  <c r="GY38" i="20"/>
  <c r="GX38" i="20"/>
  <c r="GW38" i="20"/>
  <c r="GY37" i="20"/>
  <c r="GX37" i="20"/>
  <c r="GW37" i="20"/>
  <c r="GY36" i="20"/>
  <c r="GX36" i="20"/>
  <c r="GW36" i="20"/>
  <c r="GY35" i="20"/>
  <c r="GX35" i="20"/>
  <c r="GW35" i="20"/>
  <c r="GY34" i="20"/>
  <c r="GX34" i="20"/>
  <c r="GW34" i="20"/>
  <c r="GY33" i="20"/>
  <c r="GX33" i="20"/>
  <c r="GW33" i="20"/>
  <c r="GY32" i="20"/>
  <c r="GX32" i="20"/>
  <c r="GW32" i="20"/>
  <c r="GY31" i="20"/>
  <c r="GX31" i="20"/>
  <c r="GW31" i="20"/>
  <c r="GY30" i="20"/>
  <c r="GX30" i="20"/>
  <c r="GW30" i="20"/>
  <c r="GY29" i="20"/>
  <c r="GX29" i="20"/>
  <c r="GW29" i="20"/>
  <c r="GY28" i="20"/>
  <c r="GX28" i="20"/>
  <c r="GW28" i="20"/>
  <c r="GY27" i="20"/>
  <c r="GX27" i="20"/>
  <c r="GW27" i="20"/>
  <c r="GY26" i="20"/>
  <c r="GX26" i="20"/>
  <c r="GW26" i="20"/>
  <c r="GY25" i="20"/>
  <c r="GX25" i="20"/>
  <c r="GW25" i="20"/>
  <c r="GY24" i="20"/>
  <c r="GX24" i="20"/>
  <c r="GW24" i="20"/>
  <c r="GY23" i="20"/>
  <c r="GX23" i="20"/>
  <c r="GW23" i="20"/>
  <c r="GY22" i="20"/>
  <c r="GX22" i="20"/>
  <c r="GW22" i="20"/>
  <c r="GY21" i="20"/>
  <c r="GX21" i="20"/>
  <c r="GW21" i="20"/>
  <c r="GY20" i="20"/>
  <c r="GX20" i="20"/>
  <c r="GW20" i="20"/>
  <c r="GY19" i="20"/>
  <c r="GX19" i="20"/>
  <c r="GW19" i="20"/>
  <c r="GY18" i="20"/>
  <c r="GX18" i="20"/>
  <c r="GW18" i="20"/>
  <c r="GY17" i="20"/>
  <c r="GX17" i="20"/>
  <c r="GW17" i="20"/>
  <c r="GY16" i="20"/>
  <c r="GX16" i="20"/>
  <c r="GW16" i="20"/>
  <c r="GY15" i="20"/>
  <c r="GX15" i="20"/>
  <c r="GW15" i="20"/>
  <c r="GY14" i="20"/>
  <c r="GX14" i="20"/>
  <c r="GW14" i="20"/>
  <c r="GY13" i="20"/>
  <c r="GX13" i="20"/>
  <c r="GW13" i="20"/>
  <c r="GY12" i="20"/>
  <c r="GX12" i="20"/>
  <c r="GW12" i="20"/>
  <c r="GY11" i="20"/>
  <c r="GX11" i="20"/>
  <c r="GW11" i="20"/>
  <c r="GY10" i="20"/>
  <c r="GX10" i="20"/>
  <c r="GW10" i="20"/>
  <c r="GY9" i="20"/>
  <c r="GX9" i="20"/>
  <c r="GW9" i="20"/>
  <c r="GY8" i="20"/>
  <c r="GX8" i="20"/>
  <c r="GW8" i="20"/>
  <c r="GY7" i="20"/>
  <c r="GX7" i="20"/>
  <c r="GW7" i="20"/>
  <c r="GY6" i="20"/>
  <c r="GX6" i="20"/>
  <c r="GW6" i="20"/>
  <c r="GY5" i="20"/>
  <c r="GX5" i="20"/>
  <c r="GW5" i="20"/>
  <c r="GY4" i="20"/>
  <c r="GX4" i="20"/>
  <c r="GW4" i="20"/>
  <c r="GU1" i="20"/>
  <c r="GT1" i="20"/>
  <c r="GS1" i="20"/>
  <c r="GR1" i="20"/>
  <c r="FY74" i="20"/>
  <c r="FX74" i="20"/>
  <c r="FW74" i="20"/>
  <c r="FY73" i="20"/>
  <c r="FX73" i="20"/>
  <c r="FW73" i="20"/>
  <c r="FY72" i="20"/>
  <c r="FX72" i="20"/>
  <c r="FW72" i="20"/>
  <c r="FY71" i="20"/>
  <c r="FX71" i="20"/>
  <c r="FW71" i="20"/>
  <c r="FY70" i="20"/>
  <c r="FX70" i="20"/>
  <c r="FW70" i="20"/>
  <c r="FY69" i="20"/>
  <c r="FX69" i="20"/>
  <c r="FW69" i="20"/>
  <c r="FY68" i="20"/>
  <c r="FX68" i="20"/>
  <c r="FW68" i="20"/>
  <c r="FY67" i="20"/>
  <c r="FX67" i="20"/>
  <c r="FW67" i="20"/>
  <c r="FY66" i="20"/>
  <c r="FX66" i="20"/>
  <c r="FW66" i="20"/>
  <c r="FY65" i="20"/>
  <c r="FX65" i="20"/>
  <c r="FW65" i="20"/>
  <c r="FY64" i="20"/>
  <c r="FX64" i="20"/>
  <c r="FW64" i="20"/>
  <c r="FY63" i="20"/>
  <c r="FX63" i="20"/>
  <c r="FW63" i="20"/>
  <c r="FY62" i="20"/>
  <c r="FX62" i="20"/>
  <c r="FW62" i="20"/>
  <c r="FY61" i="20"/>
  <c r="FX61" i="20"/>
  <c r="FW61" i="20"/>
  <c r="FY60" i="20"/>
  <c r="FX60" i="20"/>
  <c r="FW60" i="20"/>
  <c r="FY59" i="20"/>
  <c r="FX59" i="20"/>
  <c r="FW59" i="20"/>
  <c r="FY58" i="20"/>
  <c r="FX58" i="20"/>
  <c r="FW58" i="20"/>
  <c r="FY57" i="20"/>
  <c r="FX57" i="20"/>
  <c r="FW57" i="20"/>
  <c r="FY56" i="20"/>
  <c r="FX56" i="20"/>
  <c r="FW56" i="20"/>
  <c r="FY55" i="20"/>
  <c r="FX55" i="20"/>
  <c r="FW55" i="20"/>
  <c r="FY54" i="20"/>
  <c r="FX54" i="20"/>
  <c r="FW54" i="20"/>
  <c r="FY53" i="20"/>
  <c r="FX53" i="20"/>
  <c r="FW53" i="20"/>
  <c r="FY52" i="20"/>
  <c r="FX52" i="20"/>
  <c r="FW52" i="20"/>
  <c r="FY51" i="20"/>
  <c r="FX51" i="20"/>
  <c r="FW51" i="20"/>
  <c r="FY50" i="20"/>
  <c r="FX50" i="20"/>
  <c r="FW50" i="20"/>
  <c r="FY49" i="20"/>
  <c r="FX49" i="20"/>
  <c r="FW49" i="20"/>
  <c r="FY48" i="20"/>
  <c r="FX48" i="20"/>
  <c r="FW48" i="20"/>
  <c r="FY47" i="20"/>
  <c r="FX47" i="20"/>
  <c r="FW47" i="20"/>
  <c r="FY46" i="20"/>
  <c r="FX46" i="20"/>
  <c r="FW46" i="20"/>
  <c r="FY45" i="20"/>
  <c r="FX45" i="20"/>
  <c r="FW45" i="20"/>
  <c r="FY44" i="20"/>
  <c r="FX44" i="20"/>
  <c r="FW44" i="20"/>
  <c r="FY43" i="20"/>
  <c r="FX43" i="20"/>
  <c r="FW43" i="20"/>
  <c r="FY42" i="20"/>
  <c r="FX42" i="20"/>
  <c r="FW42" i="20"/>
  <c r="FY41" i="20"/>
  <c r="FX41" i="20"/>
  <c r="FW41" i="20"/>
  <c r="FY40" i="20"/>
  <c r="FX40" i="20"/>
  <c r="FW40" i="20"/>
  <c r="FY39" i="20"/>
  <c r="FX39" i="20"/>
  <c r="FW39" i="20"/>
  <c r="FY38" i="20"/>
  <c r="FX38" i="20"/>
  <c r="FW38" i="20"/>
  <c r="FY37" i="20"/>
  <c r="FX37" i="20"/>
  <c r="FW37" i="20"/>
  <c r="FY36" i="20"/>
  <c r="FX36" i="20"/>
  <c r="FW36" i="20"/>
  <c r="FY35" i="20"/>
  <c r="FX35" i="20"/>
  <c r="FW35" i="20"/>
  <c r="FY34" i="20"/>
  <c r="FX34" i="20"/>
  <c r="FW34" i="20"/>
  <c r="FY33" i="20"/>
  <c r="FX33" i="20"/>
  <c r="FW33" i="20"/>
  <c r="FY32" i="20"/>
  <c r="FX32" i="20"/>
  <c r="FW32" i="20"/>
  <c r="FY31" i="20"/>
  <c r="FX31" i="20"/>
  <c r="FW31" i="20"/>
  <c r="FY30" i="20"/>
  <c r="FX30" i="20"/>
  <c r="FW30" i="20"/>
  <c r="FY29" i="20"/>
  <c r="FX29" i="20"/>
  <c r="FW29" i="20"/>
  <c r="FY28" i="20"/>
  <c r="FX28" i="20"/>
  <c r="FW28" i="20"/>
  <c r="FY27" i="20"/>
  <c r="FX27" i="20"/>
  <c r="FW27" i="20"/>
  <c r="FY26" i="20"/>
  <c r="FX26" i="20"/>
  <c r="FW26" i="20"/>
  <c r="FY25" i="20"/>
  <c r="FX25" i="20"/>
  <c r="FW25" i="20"/>
  <c r="FY24" i="20"/>
  <c r="FX24" i="20"/>
  <c r="FW24" i="20"/>
  <c r="FY23" i="20"/>
  <c r="FX23" i="20"/>
  <c r="FW23" i="20"/>
  <c r="FY22" i="20"/>
  <c r="FX22" i="20"/>
  <c r="FW22" i="20"/>
  <c r="FY21" i="20"/>
  <c r="FX21" i="20"/>
  <c r="FW21" i="20"/>
  <c r="FY20" i="20"/>
  <c r="FX20" i="20"/>
  <c r="FW20" i="20"/>
  <c r="FY19" i="20"/>
  <c r="FX19" i="20"/>
  <c r="FW19" i="20"/>
  <c r="FY18" i="20"/>
  <c r="FX18" i="20"/>
  <c r="FW18" i="20"/>
  <c r="FY17" i="20"/>
  <c r="FX17" i="20"/>
  <c r="FW17" i="20"/>
  <c r="FY16" i="20"/>
  <c r="FX16" i="20"/>
  <c r="FW16" i="20"/>
  <c r="FY15" i="20"/>
  <c r="FX15" i="20"/>
  <c r="FW15" i="20"/>
  <c r="FY14" i="20"/>
  <c r="FX14" i="20"/>
  <c r="FW14" i="20"/>
  <c r="FY13" i="20"/>
  <c r="FX13" i="20"/>
  <c r="FW13" i="20"/>
  <c r="FY12" i="20"/>
  <c r="FX12" i="20"/>
  <c r="FW12" i="20"/>
  <c r="FY11" i="20"/>
  <c r="FX11" i="20"/>
  <c r="FW11" i="20"/>
  <c r="FY10" i="20"/>
  <c r="FX10" i="20"/>
  <c r="FW10" i="20"/>
  <c r="FY9" i="20"/>
  <c r="FX9" i="20"/>
  <c r="FW9" i="20"/>
  <c r="FY8" i="20"/>
  <c r="FX8" i="20"/>
  <c r="FW8" i="20"/>
  <c r="FY7" i="20"/>
  <c r="FX7" i="20"/>
  <c r="FW7" i="20"/>
  <c r="FY6" i="20"/>
  <c r="FX6" i="20"/>
  <c r="FW6" i="20"/>
  <c r="FY5" i="20"/>
  <c r="FX5" i="20"/>
  <c r="FW5" i="20"/>
  <c r="FY4" i="20"/>
  <c r="FX4" i="20"/>
  <c r="FW4" i="20"/>
  <c r="FU1" i="20"/>
  <c r="FT1" i="20"/>
  <c r="FS1" i="20"/>
  <c r="FR1" i="20"/>
  <c r="EY74" i="20"/>
  <c r="EX74" i="20"/>
  <c r="EW74" i="20"/>
  <c r="EY73" i="20"/>
  <c r="EX73" i="20"/>
  <c r="EW73" i="20"/>
  <c r="EY72" i="20"/>
  <c r="EX72" i="20"/>
  <c r="EW72" i="20"/>
  <c r="EY71" i="20"/>
  <c r="EX71" i="20"/>
  <c r="EW71" i="20"/>
  <c r="EY70" i="20"/>
  <c r="EX70" i="20"/>
  <c r="EW70" i="20"/>
  <c r="EY69" i="20"/>
  <c r="EX69" i="20"/>
  <c r="EW69" i="20"/>
  <c r="EY68" i="20"/>
  <c r="EX68" i="20"/>
  <c r="EW68" i="20"/>
  <c r="EY67" i="20"/>
  <c r="EX67" i="20"/>
  <c r="EW67" i="20"/>
  <c r="EY66" i="20"/>
  <c r="EX66" i="20"/>
  <c r="EW66" i="20"/>
  <c r="EY65" i="20"/>
  <c r="EX65" i="20"/>
  <c r="EW65" i="20"/>
  <c r="EY64" i="20"/>
  <c r="EX64" i="20"/>
  <c r="EW64" i="20"/>
  <c r="EY63" i="20"/>
  <c r="EX63" i="20"/>
  <c r="EW63" i="20"/>
  <c r="EY62" i="20"/>
  <c r="EX62" i="20"/>
  <c r="EW62" i="20"/>
  <c r="EY61" i="20"/>
  <c r="EX61" i="20"/>
  <c r="EW61" i="20"/>
  <c r="EY60" i="20"/>
  <c r="EX60" i="20"/>
  <c r="EW60" i="20"/>
  <c r="EY59" i="20"/>
  <c r="EX59" i="20"/>
  <c r="EW59" i="20"/>
  <c r="EY58" i="20"/>
  <c r="EX58" i="20"/>
  <c r="EW58" i="20"/>
  <c r="EY57" i="20"/>
  <c r="EX57" i="20"/>
  <c r="EW57" i="20"/>
  <c r="EY56" i="20"/>
  <c r="EX56" i="20"/>
  <c r="EW56" i="20"/>
  <c r="EY55" i="20"/>
  <c r="EX55" i="20"/>
  <c r="EW55" i="20"/>
  <c r="EY54" i="20"/>
  <c r="EX54" i="20"/>
  <c r="EW54" i="20"/>
  <c r="EY53" i="20"/>
  <c r="EX53" i="20"/>
  <c r="EW53" i="20"/>
  <c r="EY52" i="20"/>
  <c r="EX52" i="20"/>
  <c r="EW52" i="20"/>
  <c r="EY51" i="20"/>
  <c r="EX51" i="20"/>
  <c r="EW51" i="20"/>
  <c r="EY50" i="20"/>
  <c r="EX50" i="20"/>
  <c r="EW50" i="20"/>
  <c r="EY49" i="20"/>
  <c r="EX49" i="20"/>
  <c r="EW49" i="20"/>
  <c r="EY48" i="20"/>
  <c r="EX48" i="20"/>
  <c r="EW48" i="20"/>
  <c r="EY47" i="20"/>
  <c r="EX47" i="20"/>
  <c r="EW47" i="20"/>
  <c r="EY46" i="20"/>
  <c r="EX46" i="20"/>
  <c r="EW46" i="20"/>
  <c r="EY45" i="20"/>
  <c r="EX45" i="20"/>
  <c r="EW45" i="20"/>
  <c r="EY44" i="20"/>
  <c r="EX44" i="20"/>
  <c r="EW44" i="20"/>
  <c r="EY43" i="20"/>
  <c r="EX43" i="20"/>
  <c r="EW43" i="20"/>
  <c r="EY42" i="20"/>
  <c r="EX42" i="20"/>
  <c r="EW42" i="20"/>
  <c r="EY41" i="20"/>
  <c r="EX41" i="20"/>
  <c r="EW41" i="20"/>
  <c r="EY40" i="20"/>
  <c r="EX40" i="20"/>
  <c r="EW40" i="20"/>
  <c r="EY39" i="20"/>
  <c r="EX39" i="20"/>
  <c r="EW39" i="20"/>
  <c r="EY38" i="20"/>
  <c r="EX38" i="20"/>
  <c r="EW38" i="20"/>
  <c r="EY37" i="20"/>
  <c r="EX37" i="20"/>
  <c r="EW37" i="20"/>
  <c r="EY36" i="20"/>
  <c r="EX36" i="20"/>
  <c r="EW36" i="20"/>
  <c r="EY35" i="20"/>
  <c r="EX35" i="20"/>
  <c r="EW35" i="20"/>
  <c r="EY34" i="20"/>
  <c r="EX34" i="20"/>
  <c r="EW34" i="20"/>
  <c r="EY33" i="20"/>
  <c r="EX33" i="20"/>
  <c r="EW33" i="20"/>
  <c r="EY32" i="20"/>
  <c r="EX32" i="20"/>
  <c r="EW32" i="20"/>
  <c r="EY31" i="20"/>
  <c r="EX31" i="20"/>
  <c r="EW31" i="20"/>
  <c r="EY30" i="20"/>
  <c r="EX30" i="20"/>
  <c r="EW30" i="20"/>
  <c r="EY29" i="20"/>
  <c r="EX29" i="20"/>
  <c r="EW29" i="20"/>
  <c r="EY28" i="20"/>
  <c r="EX28" i="20"/>
  <c r="EW28" i="20"/>
  <c r="EY27" i="20"/>
  <c r="EX27" i="20"/>
  <c r="EW27" i="20"/>
  <c r="EY26" i="20"/>
  <c r="EX26" i="20"/>
  <c r="EW26" i="20"/>
  <c r="EY25" i="20"/>
  <c r="EX25" i="20"/>
  <c r="EW25" i="20"/>
  <c r="EY24" i="20"/>
  <c r="EX24" i="20"/>
  <c r="EW24" i="20"/>
  <c r="EY23" i="20"/>
  <c r="EX23" i="20"/>
  <c r="EW23" i="20"/>
  <c r="EY22" i="20"/>
  <c r="EX22" i="20"/>
  <c r="EW22" i="20"/>
  <c r="EY21" i="20"/>
  <c r="EX21" i="20"/>
  <c r="EW21" i="20"/>
  <c r="EY20" i="20"/>
  <c r="EX20" i="20"/>
  <c r="EW20" i="20"/>
  <c r="EY19" i="20"/>
  <c r="EX19" i="20"/>
  <c r="EW19" i="20"/>
  <c r="EY18" i="20"/>
  <c r="EX18" i="20"/>
  <c r="EW18" i="20"/>
  <c r="EY17" i="20"/>
  <c r="EX17" i="20"/>
  <c r="EW17" i="20"/>
  <c r="EY16" i="20"/>
  <c r="EX16" i="20"/>
  <c r="EW16" i="20"/>
  <c r="EY15" i="20"/>
  <c r="EX15" i="20"/>
  <c r="EW15" i="20"/>
  <c r="EY14" i="20"/>
  <c r="EX14" i="20"/>
  <c r="EW14" i="20"/>
  <c r="EY13" i="20"/>
  <c r="EX13" i="20"/>
  <c r="EW13" i="20"/>
  <c r="EY12" i="20"/>
  <c r="EX12" i="20"/>
  <c r="EW12" i="20"/>
  <c r="EY11" i="20"/>
  <c r="EX11" i="20"/>
  <c r="EW11" i="20"/>
  <c r="EY10" i="20"/>
  <c r="EX10" i="20"/>
  <c r="EW10" i="20"/>
  <c r="EY9" i="20"/>
  <c r="EX9" i="20"/>
  <c r="EW9" i="20"/>
  <c r="EY8" i="20"/>
  <c r="EX8" i="20"/>
  <c r="EW8" i="20"/>
  <c r="EY7" i="20"/>
  <c r="EX7" i="20"/>
  <c r="EW7" i="20"/>
  <c r="EY6" i="20"/>
  <c r="EX6" i="20"/>
  <c r="EW6" i="20"/>
  <c r="EY5" i="20"/>
  <c r="EX5" i="20"/>
  <c r="EW5" i="20"/>
  <c r="EY4" i="20"/>
  <c r="EX4" i="20"/>
  <c r="EW4" i="20"/>
  <c r="EU1" i="20"/>
  <c r="ET1" i="20"/>
  <c r="ES1" i="20"/>
  <c r="ER1" i="20"/>
  <c r="DY74" i="20"/>
  <c r="DX74" i="20"/>
  <c r="DW74" i="20"/>
  <c r="DY73" i="20"/>
  <c r="DX73" i="20"/>
  <c r="DW73" i="20"/>
  <c r="DY72" i="20"/>
  <c r="DX72" i="20"/>
  <c r="DW72" i="20"/>
  <c r="DY71" i="20"/>
  <c r="DX71" i="20"/>
  <c r="DW71" i="20"/>
  <c r="DY70" i="20"/>
  <c r="DX70" i="20"/>
  <c r="DW70" i="20"/>
  <c r="DY69" i="20"/>
  <c r="DX69" i="20"/>
  <c r="DW69" i="20"/>
  <c r="DY68" i="20"/>
  <c r="DX68" i="20"/>
  <c r="DW68" i="20"/>
  <c r="DY67" i="20"/>
  <c r="DX67" i="20"/>
  <c r="DW67" i="20"/>
  <c r="DY66" i="20"/>
  <c r="DX66" i="20"/>
  <c r="DW66" i="20"/>
  <c r="DY65" i="20"/>
  <c r="DX65" i="20"/>
  <c r="DW65" i="20"/>
  <c r="DY64" i="20"/>
  <c r="DX64" i="20"/>
  <c r="DW64" i="20"/>
  <c r="DY63" i="20"/>
  <c r="DX63" i="20"/>
  <c r="DW63" i="20"/>
  <c r="DY62" i="20"/>
  <c r="DX62" i="20"/>
  <c r="DW62" i="20"/>
  <c r="DY61" i="20"/>
  <c r="DX61" i="20"/>
  <c r="DW61" i="20"/>
  <c r="DY60" i="20"/>
  <c r="DX60" i="20"/>
  <c r="DW60" i="20"/>
  <c r="DY59" i="20"/>
  <c r="DX59" i="20"/>
  <c r="DW59" i="20"/>
  <c r="DY58" i="20"/>
  <c r="DX58" i="20"/>
  <c r="DW58" i="20"/>
  <c r="DY57" i="20"/>
  <c r="DX57" i="20"/>
  <c r="DW57" i="20"/>
  <c r="DY56" i="20"/>
  <c r="DX56" i="20"/>
  <c r="DW56" i="20"/>
  <c r="DY55" i="20"/>
  <c r="DX55" i="20"/>
  <c r="DW55" i="20"/>
  <c r="DY54" i="20"/>
  <c r="DX54" i="20"/>
  <c r="DW54" i="20"/>
  <c r="DY53" i="20"/>
  <c r="DX53" i="20"/>
  <c r="DW53" i="20"/>
  <c r="DY52" i="20"/>
  <c r="DX52" i="20"/>
  <c r="DW52" i="20"/>
  <c r="DY51" i="20"/>
  <c r="DX51" i="20"/>
  <c r="DW51" i="20"/>
  <c r="DY50" i="20"/>
  <c r="DX50" i="20"/>
  <c r="DW50" i="20"/>
  <c r="DY49" i="20"/>
  <c r="DX49" i="20"/>
  <c r="DW49" i="20"/>
  <c r="DY48" i="20"/>
  <c r="DX48" i="20"/>
  <c r="DW48" i="20"/>
  <c r="DY47" i="20"/>
  <c r="DX47" i="20"/>
  <c r="DW47" i="20"/>
  <c r="DY46" i="20"/>
  <c r="DX46" i="20"/>
  <c r="DW46" i="20"/>
  <c r="DY45" i="20"/>
  <c r="DX45" i="20"/>
  <c r="DW45" i="20"/>
  <c r="DY44" i="20"/>
  <c r="DX44" i="20"/>
  <c r="DW44" i="20"/>
  <c r="DY43" i="20"/>
  <c r="DX43" i="20"/>
  <c r="DW43" i="20"/>
  <c r="DY42" i="20"/>
  <c r="DX42" i="20"/>
  <c r="DW42" i="20"/>
  <c r="DY41" i="20"/>
  <c r="DX41" i="20"/>
  <c r="DW41" i="20"/>
  <c r="DY40" i="20"/>
  <c r="DX40" i="20"/>
  <c r="DW40" i="20"/>
  <c r="DY39" i="20"/>
  <c r="DX39" i="20"/>
  <c r="DW39" i="20"/>
  <c r="DY38" i="20"/>
  <c r="DX38" i="20"/>
  <c r="DW38" i="20"/>
  <c r="DY37" i="20"/>
  <c r="DX37" i="20"/>
  <c r="DW37" i="20"/>
  <c r="DY36" i="20"/>
  <c r="DX36" i="20"/>
  <c r="DW36" i="20"/>
  <c r="DY35" i="20"/>
  <c r="DX35" i="20"/>
  <c r="DW35" i="20"/>
  <c r="DY34" i="20"/>
  <c r="DX34" i="20"/>
  <c r="DW34" i="20"/>
  <c r="DY33" i="20"/>
  <c r="DX33" i="20"/>
  <c r="DW33" i="20"/>
  <c r="DY32" i="20"/>
  <c r="DX32" i="20"/>
  <c r="DW32" i="20"/>
  <c r="DY31" i="20"/>
  <c r="DX31" i="20"/>
  <c r="DW31" i="20"/>
  <c r="DY30" i="20"/>
  <c r="DX30" i="20"/>
  <c r="DW30" i="20"/>
  <c r="DY29" i="20"/>
  <c r="DX29" i="20"/>
  <c r="DW29" i="20"/>
  <c r="DY28" i="20"/>
  <c r="DX28" i="20"/>
  <c r="DW28" i="20"/>
  <c r="DY27" i="20"/>
  <c r="DX27" i="20"/>
  <c r="DW27" i="20"/>
  <c r="DY26" i="20"/>
  <c r="DX26" i="20"/>
  <c r="DW26" i="20"/>
  <c r="DY25" i="20"/>
  <c r="DX25" i="20"/>
  <c r="DW25" i="20"/>
  <c r="DY24" i="20"/>
  <c r="DX24" i="20"/>
  <c r="DW24" i="20"/>
  <c r="DY23" i="20"/>
  <c r="DX23" i="20"/>
  <c r="DW23" i="20"/>
  <c r="DY22" i="20"/>
  <c r="DX22" i="20"/>
  <c r="DW22" i="20"/>
  <c r="DY21" i="20"/>
  <c r="DX21" i="20"/>
  <c r="DW21" i="20"/>
  <c r="DY20" i="20"/>
  <c r="DX20" i="20"/>
  <c r="DW20" i="20"/>
  <c r="DY19" i="20"/>
  <c r="DX19" i="20"/>
  <c r="DW19" i="20"/>
  <c r="DY18" i="20"/>
  <c r="DX18" i="20"/>
  <c r="DW18" i="20"/>
  <c r="DY17" i="20"/>
  <c r="DX17" i="20"/>
  <c r="DW17" i="20"/>
  <c r="DY16" i="20"/>
  <c r="DX16" i="20"/>
  <c r="DW16" i="20"/>
  <c r="DY15" i="20"/>
  <c r="DX15" i="20"/>
  <c r="DW15" i="20"/>
  <c r="DY14" i="20"/>
  <c r="DX14" i="20"/>
  <c r="DW14" i="20"/>
  <c r="DY13" i="20"/>
  <c r="DX13" i="20"/>
  <c r="DW13" i="20"/>
  <c r="DY12" i="20"/>
  <c r="DX12" i="20"/>
  <c r="DW12" i="20"/>
  <c r="DY11" i="20"/>
  <c r="DX11" i="20"/>
  <c r="DW11" i="20"/>
  <c r="DY10" i="20"/>
  <c r="DX10" i="20"/>
  <c r="DW10" i="20"/>
  <c r="DY9" i="20"/>
  <c r="DX9" i="20"/>
  <c r="DW9" i="20"/>
  <c r="DY8" i="20"/>
  <c r="DX8" i="20"/>
  <c r="DW8" i="20"/>
  <c r="DY7" i="20"/>
  <c r="DX7" i="20"/>
  <c r="DW7" i="20"/>
  <c r="DY6" i="20"/>
  <c r="DX6" i="20"/>
  <c r="DW6" i="20"/>
  <c r="DY5" i="20"/>
  <c r="DX5" i="20"/>
  <c r="DW5" i="20"/>
  <c r="DY4" i="20"/>
  <c r="DX4" i="20"/>
  <c r="DW4" i="20"/>
  <c r="DU1" i="20"/>
  <c r="DT1" i="20"/>
  <c r="DS1" i="20"/>
  <c r="DR1" i="20"/>
  <c r="CY74" i="20"/>
  <c r="CX74" i="20"/>
  <c r="CW74" i="20"/>
  <c r="CY73" i="20"/>
  <c r="CX73" i="20"/>
  <c r="CW73" i="20"/>
  <c r="CY72" i="20"/>
  <c r="CX72" i="20"/>
  <c r="CW72" i="20"/>
  <c r="CY71" i="20"/>
  <c r="CX71" i="20"/>
  <c r="CW71" i="20"/>
  <c r="CY70" i="20"/>
  <c r="CX70" i="20"/>
  <c r="CW70" i="20"/>
  <c r="CY69" i="20"/>
  <c r="CX69" i="20"/>
  <c r="CW69" i="20"/>
  <c r="CY68" i="20"/>
  <c r="CX68" i="20"/>
  <c r="CW68" i="20"/>
  <c r="CY67" i="20"/>
  <c r="CX67" i="20"/>
  <c r="CW67" i="20"/>
  <c r="CY66" i="20"/>
  <c r="CX66" i="20"/>
  <c r="CW66" i="20"/>
  <c r="CY65" i="20"/>
  <c r="CX65" i="20"/>
  <c r="CW65" i="20"/>
  <c r="CY64" i="20"/>
  <c r="CX64" i="20"/>
  <c r="CW64" i="20"/>
  <c r="CY63" i="20"/>
  <c r="CX63" i="20"/>
  <c r="CW63" i="20"/>
  <c r="CY62" i="20"/>
  <c r="CX62" i="20"/>
  <c r="CW62" i="20"/>
  <c r="CY61" i="20"/>
  <c r="CX61" i="20"/>
  <c r="CW61" i="20"/>
  <c r="CY60" i="20"/>
  <c r="CX60" i="20"/>
  <c r="CW60" i="20"/>
  <c r="CY59" i="20"/>
  <c r="CX59" i="20"/>
  <c r="CW59" i="20"/>
  <c r="CY58" i="20"/>
  <c r="CX58" i="20"/>
  <c r="CW58" i="20"/>
  <c r="CY57" i="20"/>
  <c r="CX57" i="20"/>
  <c r="CW57" i="20"/>
  <c r="CY56" i="20"/>
  <c r="CX56" i="20"/>
  <c r="CW56" i="20"/>
  <c r="CY55" i="20"/>
  <c r="CX55" i="20"/>
  <c r="CW55" i="20"/>
  <c r="CY54" i="20"/>
  <c r="CX54" i="20"/>
  <c r="CW54" i="20"/>
  <c r="CY53" i="20"/>
  <c r="CX53" i="20"/>
  <c r="CW53" i="20"/>
  <c r="CY52" i="20"/>
  <c r="CX52" i="20"/>
  <c r="CW52" i="20"/>
  <c r="CY51" i="20"/>
  <c r="CX51" i="20"/>
  <c r="CW51" i="20"/>
  <c r="CY50" i="20"/>
  <c r="CX50" i="20"/>
  <c r="CW50" i="20"/>
  <c r="CY49" i="20"/>
  <c r="CX49" i="20"/>
  <c r="CW49" i="20"/>
  <c r="CY48" i="20"/>
  <c r="CX48" i="20"/>
  <c r="CW48" i="20"/>
  <c r="CY47" i="20"/>
  <c r="CX47" i="20"/>
  <c r="CW47" i="20"/>
  <c r="CY46" i="20"/>
  <c r="CX46" i="20"/>
  <c r="CW46" i="20"/>
  <c r="CY45" i="20"/>
  <c r="CX45" i="20"/>
  <c r="CW45" i="20"/>
  <c r="CY44" i="20"/>
  <c r="CX44" i="20"/>
  <c r="CW44" i="20"/>
  <c r="CY43" i="20"/>
  <c r="CX43" i="20"/>
  <c r="CW43" i="20"/>
  <c r="CY42" i="20"/>
  <c r="CX42" i="20"/>
  <c r="CW42" i="20"/>
  <c r="CY41" i="20"/>
  <c r="CX41" i="20"/>
  <c r="CW41" i="20"/>
  <c r="CY40" i="20"/>
  <c r="CX40" i="20"/>
  <c r="CW40" i="20"/>
  <c r="CY39" i="20"/>
  <c r="CX39" i="20"/>
  <c r="CW39" i="20"/>
  <c r="CY38" i="20"/>
  <c r="CX38" i="20"/>
  <c r="CW38" i="20"/>
  <c r="CY37" i="20"/>
  <c r="CX37" i="20"/>
  <c r="CW37" i="20"/>
  <c r="CY36" i="20"/>
  <c r="CX36" i="20"/>
  <c r="CW36" i="20"/>
  <c r="CY35" i="20"/>
  <c r="CX35" i="20"/>
  <c r="CW35" i="20"/>
  <c r="CY34" i="20"/>
  <c r="CX34" i="20"/>
  <c r="CW34" i="20"/>
  <c r="CY33" i="20"/>
  <c r="CX33" i="20"/>
  <c r="CW33" i="20"/>
  <c r="CY32" i="20"/>
  <c r="CX32" i="20"/>
  <c r="CW32" i="20"/>
  <c r="CY31" i="20"/>
  <c r="CX31" i="20"/>
  <c r="CW31" i="20"/>
  <c r="CY30" i="20"/>
  <c r="CX30" i="20"/>
  <c r="CW30" i="20"/>
  <c r="CY29" i="20"/>
  <c r="CX29" i="20"/>
  <c r="CW29" i="20"/>
  <c r="CY28" i="20"/>
  <c r="CX28" i="20"/>
  <c r="CW28" i="20"/>
  <c r="CY27" i="20"/>
  <c r="CX27" i="20"/>
  <c r="CW27" i="20"/>
  <c r="CY26" i="20"/>
  <c r="CX26" i="20"/>
  <c r="CW26" i="20"/>
  <c r="CY25" i="20"/>
  <c r="CX25" i="20"/>
  <c r="CW25" i="20"/>
  <c r="CY24" i="20"/>
  <c r="CX24" i="20"/>
  <c r="CW24" i="20"/>
  <c r="CY23" i="20"/>
  <c r="CX23" i="20"/>
  <c r="CW23" i="20"/>
  <c r="CY22" i="20"/>
  <c r="CX22" i="20"/>
  <c r="CW22" i="20"/>
  <c r="CY21" i="20"/>
  <c r="CX21" i="20"/>
  <c r="CW21" i="20"/>
  <c r="CY20" i="20"/>
  <c r="CX20" i="20"/>
  <c r="CW20" i="20"/>
  <c r="CY19" i="20"/>
  <c r="CX19" i="20"/>
  <c r="CW19" i="20"/>
  <c r="CY18" i="20"/>
  <c r="CX18" i="20"/>
  <c r="CW18" i="20"/>
  <c r="CY17" i="20"/>
  <c r="CX17" i="20"/>
  <c r="CW17" i="20"/>
  <c r="CY16" i="20"/>
  <c r="CX16" i="20"/>
  <c r="CW16" i="20"/>
  <c r="CY15" i="20"/>
  <c r="CX15" i="20"/>
  <c r="CW15" i="20"/>
  <c r="CY14" i="20"/>
  <c r="CX14" i="20"/>
  <c r="CW14" i="20"/>
  <c r="CY13" i="20"/>
  <c r="CX13" i="20"/>
  <c r="CW13" i="20"/>
  <c r="CY12" i="20"/>
  <c r="CX12" i="20"/>
  <c r="CW12" i="20"/>
  <c r="CY11" i="20"/>
  <c r="CX11" i="20"/>
  <c r="CW11" i="20"/>
  <c r="CY10" i="20"/>
  <c r="CX10" i="20"/>
  <c r="CW10" i="20"/>
  <c r="CY9" i="20"/>
  <c r="CX9" i="20"/>
  <c r="CW9" i="20"/>
  <c r="CY8" i="20"/>
  <c r="CX8" i="20"/>
  <c r="CW8" i="20"/>
  <c r="CY7" i="20"/>
  <c r="CX7" i="20"/>
  <c r="CW7" i="20"/>
  <c r="CY6" i="20"/>
  <c r="CX6" i="20"/>
  <c r="CW6" i="20"/>
  <c r="CY5" i="20"/>
  <c r="CX5" i="20"/>
  <c r="CW5" i="20"/>
  <c r="CY4" i="20"/>
  <c r="CX4" i="20"/>
  <c r="CW4" i="20"/>
  <c r="CU1" i="20"/>
  <c r="CT1" i="20"/>
  <c r="CS1" i="20"/>
  <c r="CR1" i="20"/>
  <c r="BY74" i="20"/>
  <c r="BX74" i="20"/>
  <c r="BW74" i="20"/>
  <c r="BY73" i="20"/>
  <c r="BX73" i="20"/>
  <c r="BW73" i="20"/>
  <c r="BY72" i="20"/>
  <c r="BX72" i="20"/>
  <c r="BW72" i="20"/>
  <c r="BY71" i="20"/>
  <c r="BX71" i="20"/>
  <c r="BW71" i="20"/>
  <c r="BY70" i="20"/>
  <c r="BX70" i="20"/>
  <c r="BW70" i="20"/>
  <c r="BY69" i="20"/>
  <c r="BX69" i="20"/>
  <c r="BW69" i="20"/>
  <c r="BY68" i="20"/>
  <c r="BX68" i="20"/>
  <c r="BW68" i="20"/>
  <c r="BY67" i="20"/>
  <c r="BX67" i="20"/>
  <c r="BW67" i="20"/>
  <c r="BY66" i="20"/>
  <c r="BX66" i="20"/>
  <c r="BW66" i="20"/>
  <c r="BY65" i="20"/>
  <c r="BX65" i="20"/>
  <c r="BW65" i="20"/>
  <c r="BY64" i="20"/>
  <c r="BX64" i="20"/>
  <c r="BW64" i="20"/>
  <c r="BY63" i="20"/>
  <c r="BX63" i="20"/>
  <c r="BW63" i="20"/>
  <c r="BY62" i="20"/>
  <c r="BX62" i="20"/>
  <c r="BW62" i="20"/>
  <c r="BY61" i="20"/>
  <c r="BX61" i="20"/>
  <c r="BW61" i="20"/>
  <c r="BY60" i="20"/>
  <c r="BX60" i="20"/>
  <c r="BW60" i="20"/>
  <c r="BY59" i="20"/>
  <c r="BX59" i="20"/>
  <c r="BW59" i="20"/>
  <c r="BY58" i="20"/>
  <c r="BX58" i="20"/>
  <c r="BW58" i="20"/>
  <c r="BY57" i="20"/>
  <c r="BX57" i="20"/>
  <c r="BW57" i="20"/>
  <c r="BY56" i="20"/>
  <c r="BX56" i="20"/>
  <c r="BW56" i="20"/>
  <c r="BY55" i="20"/>
  <c r="BX55" i="20"/>
  <c r="BW55" i="20"/>
  <c r="BY54" i="20"/>
  <c r="BX54" i="20"/>
  <c r="BW54" i="20"/>
  <c r="BY53" i="20"/>
  <c r="BX53" i="20"/>
  <c r="BW53" i="20"/>
  <c r="BY52" i="20"/>
  <c r="BX52" i="20"/>
  <c r="BW52" i="20"/>
  <c r="BY51" i="20"/>
  <c r="BX51" i="20"/>
  <c r="BW51" i="20"/>
  <c r="BY50" i="20"/>
  <c r="BX50" i="20"/>
  <c r="BW50" i="20"/>
  <c r="BY49" i="20"/>
  <c r="BX49" i="20"/>
  <c r="BW49" i="20"/>
  <c r="BY48" i="20"/>
  <c r="BX48" i="20"/>
  <c r="BW48" i="20"/>
  <c r="BY47" i="20"/>
  <c r="BX47" i="20"/>
  <c r="BW47" i="20"/>
  <c r="BY46" i="20"/>
  <c r="BX46" i="20"/>
  <c r="BW46" i="20"/>
  <c r="BY45" i="20"/>
  <c r="BX45" i="20"/>
  <c r="BW45" i="20"/>
  <c r="BY44" i="20"/>
  <c r="BX44" i="20"/>
  <c r="BW44" i="20"/>
  <c r="BY43" i="20"/>
  <c r="BX43" i="20"/>
  <c r="BW43" i="20"/>
  <c r="BY42" i="20"/>
  <c r="BX42" i="20"/>
  <c r="BW42" i="20"/>
  <c r="BY41" i="20"/>
  <c r="BX41" i="20"/>
  <c r="BW41" i="20"/>
  <c r="BY40" i="20"/>
  <c r="BX40" i="20"/>
  <c r="BW40" i="20"/>
  <c r="BY39" i="20"/>
  <c r="BX39" i="20"/>
  <c r="BW39" i="20"/>
  <c r="BY38" i="20"/>
  <c r="BX38" i="20"/>
  <c r="BW38" i="20"/>
  <c r="BY37" i="20"/>
  <c r="BX37" i="20"/>
  <c r="BW37" i="20"/>
  <c r="BY36" i="20"/>
  <c r="BX36" i="20"/>
  <c r="BW36" i="20"/>
  <c r="BY35" i="20"/>
  <c r="BX35" i="20"/>
  <c r="BW35" i="20"/>
  <c r="BY34" i="20"/>
  <c r="BX34" i="20"/>
  <c r="BW34" i="20"/>
  <c r="BY33" i="20"/>
  <c r="BX33" i="20"/>
  <c r="BW33" i="20"/>
  <c r="BY32" i="20"/>
  <c r="BX32" i="20"/>
  <c r="BW32" i="20"/>
  <c r="BY31" i="20"/>
  <c r="BX31" i="20"/>
  <c r="BW31" i="20"/>
  <c r="BY30" i="20"/>
  <c r="BX30" i="20"/>
  <c r="BW30" i="20"/>
  <c r="BY29" i="20"/>
  <c r="BX29" i="20"/>
  <c r="BW29" i="20"/>
  <c r="BY28" i="20"/>
  <c r="BX28" i="20"/>
  <c r="BW28" i="20"/>
  <c r="BY27" i="20"/>
  <c r="BX27" i="20"/>
  <c r="BW27" i="20"/>
  <c r="BY26" i="20"/>
  <c r="BX26" i="20"/>
  <c r="BW26" i="20"/>
  <c r="BY25" i="20"/>
  <c r="BX25" i="20"/>
  <c r="BW25" i="20"/>
  <c r="BY24" i="20"/>
  <c r="BX24" i="20"/>
  <c r="BW24" i="20"/>
  <c r="BY23" i="20"/>
  <c r="BX23" i="20"/>
  <c r="BW23" i="20"/>
  <c r="BY22" i="20"/>
  <c r="BX22" i="20"/>
  <c r="BW22" i="20"/>
  <c r="BY21" i="20"/>
  <c r="BX21" i="20"/>
  <c r="BW21" i="20"/>
  <c r="BY20" i="20"/>
  <c r="BX20" i="20"/>
  <c r="BW20" i="20"/>
  <c r="BY19" i="20"/>
  <c r="BX19" i="20"/>
  <c r="BW19" i="20"/>
  <c r="BY18" i="20"/>
  <c r="BX18" i="20"/>
  <c r="BW18" i="20"/>
  <c r="BY17" i="20"/>
  <c r="BX17" i="20"/>
  <c r="BW17" i="20"/>
  <c r="BY16" i="20"/>
  <c r="BX16" i="20"/>
  <c r="BW16" i="20"/>
  <c r="BY15" i="20"/>
  <c r="BX15" i="20"/>
  <c r="BW15" i="20"/>
  <c r="BY14" i="20"/>
  <c r="BX14" i="20"/>
  <c r="BW14" i="20"/>
  <c r="BY13" i="20"/>
  <c r="BX13" i="20"/>
  <c r="BW13" i="20"/>
  <c r="BY12" i="20"/>
  <c r="BX12" i="20"/>
  <c r="BW12" i="20"/>
  <c r="BY11" i="20"/>
  <c r="BX11" i="20"/>
  <c r="BW11" i="20"/>
  <c r="BY10" i="20"/>
  <c r="BX10" i="20"/>
  <c r="BW10" i="20"/>
  <c r="BY9" i="20"/>
  <c r="BX9" i="20"/>
  <c r="BW9" i="20"/>
  <c r="BY8" i="20"/>
  <c r="BX8" i="20"/>
  <c r="BW8" i="20"/>
  <c r="BY7" i="20"/>
  <c r="BX7" i="20"/>
  <c r="BW7" i="20"/>
  <c r="BY6" i="20"/>
  <c r="BX6" i="20"/>
  <c r="BW6" i="20"/>
  <c r="BY5" i="20"/>
  <c r="BX5" i="20"/>
  <c r="BW5" i="20"/>
  <c r="BY4" i="20"/>
  <c r="BX4" i="20"/>
  <c r="BW4" i="20"/>
  <c r="BU1" i="20"/>
  <c r="BT1" i="20"/>
  <c r="BS1" i="20"/>
  <c r="BR1" i="20"/>
  <c r="AY74" i="20"/>
  <c r="AX74" i="20"/>
  <c r="AW74" i="20"/>
  <c r="AY73" i="20"/>
  <c r="AX73" i="20"/>
  <c r="AW73" i="20"/>
  <c r="AY72" i="20"/>
  <c r="AX72" i="20"/>
  <c r="AW72" i="20"/>
  <c r="AY71" i="20"/>
  <c r="AX71" i="20"/>
  <c r="AW71" i="20"/>
  <c r="AY70" i="20"/>
  <c r="AX70" i="20"/>
  <c r="AW70" i="20"/>
  <c r="AY69" i="20"/>
  <c r="AX69" i="20"/>
  <c r="AW69" i="20"/>
  <c r="AY68" i="20"/>
  <c r="AX68" i="20"/>
  <c r="AW68" i="20"/>
  <c r="AY67" i="20"/>
  <c r="AX67" i="20"/>
  <c r="AW67" i="20"/>
  <c r="AY66" i="20"/>
  <c r="AX66" i="20"/>
  <c r="AW66" i="20"/>
  <c r="AY65" i="20"/>
  <c r="AX65" i="20"/>
  <c r="AW65" i="20"/>
  <c r="AY64" i="20"/>
  <c r="AX64" i="20"/>
  <c r="AW64" i="20"/>
  <c r="AY63" i="20"/>
  <c r="AX63" i="20"/>
  <c r="AW63" i="20"/>
  <c r="AY62" i="20"/>
  <c r="AX62" i="20"/>
  <c r="AW62" i="20"/>
  <c r="AY61" i="20"/>
  <c r="AX61" i="20"/>
  <c r="AW61" i="20"/>
  <c r="AY60" i="20"/>
  <c r="AX60" i="20"/>
  <c r="AW60" i="20"/>
  <c r="AY59" i="20"/>
  <c r="AX59" i="20"/>
  <c r="AW59" i="20"/>
  <c r="AY58" i="20"/>
  <c r="AX58" i="20"/>
  <c r="AW58" i="20"/>
  <c r="AY57" i="20"/>
  <c r="AX57" i="20"/>
  <c r="AW57" i="20"/>
  <c r="AY56" i="20"/>
  <c r="AX56" i="20"/>
  <c r="AW56" i="20"/>
  <c r="AY55" i="20"/>
  <c r="AX55" i="20"/>
  <c r="AW55" i="20"/>
  <c r="AY54" i="20"/>
  <c r="AX54" i="20"/>
  <c r="AW54" i="20"/>
  <c r="AY53" i="20"/>
  <c r="AX53" i="20"/>
  <c r="AW53" i="20"/>
  <c r="AY52" i="20"/>
  <c r="AX52" i="20"/>
  <c r="AW52" i="20"/>
  <c r="AY51" i="20"/>
  <c r="AX51" i="20"/>
  <c r="AW51" i="20"/>
  <c r="AY50" i="20"/>
  <c r="AX50" i="20"/>
  <c r="AW50" i="20"/>
  <c r="AY49" i="20"/>
  <c r="AX49" i="20"/>
  <c r="AW49" i="20"/>
  <c r="AY48" i="20"/>
  <c r="AX48" i="20"/>
  <c r="AW48" i="20"/>
  <c r="AY47" i="20"/>
  <c r="AX47" i="20"/>
  <c r="AW47" i="20"/>
  <c r="AY46" i="20"/>
  <c r="AX46" i="20"/>
  <c r="AW46" i="20"/>
  <c r="AY45" i="20"/>
  <c r="AX45" i="20"/>
  <c r="AW45" i="20"/>
  <c r="AY44" i="20"/>
  <c r="AX44" i="20"/>
  <c r="AW44" i="20"/>
  <c r="AY43" i="20"/>
  <c r="AX43" i="20"/>
  <c r="AW43" i="20"/>
  <c r="AY42" i="20"/>
  <c r="AX42" i="20"/>
  <c r="AW42" i="20"/>
  <c r="AY41" i="20"/>
  <c r="AX41" i="20"/>
  <c r="AW41" i="20"/>
  <c r="AY40" i="20"/>
  <c r="AX40" i="20"/>
  <c r="AW40" i="20"/>
  <c r="AY39" i="20"/>
  <c r="AX39" i="20"/>
  <c r="AW39" i="20"/>
  <c r="AY38" i="20"/>
  <c r="AX38" i="20"/>
  <c r="AW38" i="20"/>
  <c r="AY37" i="20"/>
  <c r="AX37" i="20"/>
  <c r="AW37" i="20"/>
  <c r="AY36" i="20"/>
  <c r="AX36" i="20"/>
  <c r="AW36" i="20"/>
  <c r="AY35" i="20"/>
  <c r="AX35" i="20"/>
  <c r="AW35" i="20"/>
  <c r="AY34" i="20"/>
  <c r="AX34" i="20"/>
  <c r="AW34" i="20"/>
  <c r="AY33" i="20"/>
  <c r="AX33" i="20"/>
  <c r="AW33" i="20"/>
  <c r="AY32" i="20"/>
  <c r="AX32" i="20"/>
  <c r="AW32" i="20"/>
  <c r="AY31" i="20"/>
  <c r="AX31" i="20"/>
  <c r="AW31" i="20"/>
  <c r="AY30" i="20"/>
  <c r="AX30" i="20"/>
  <c r="AW30" i="20"/>
  <c r="AY29" i="20"/>
  <c r="AX29" i="20"/>
  <c r="AW29" i="20"/>
  <c r="AY28" i="20"/>
  <c r="AX28" i="20"/>
  <c r="AW28" i="20"/>
  <c r="AY27" i="20"/>
  <c r="AX27" i="20"/>
  <c r="AW27" i="20"/>
  <c r="AY26" i="20"/>
  <c r="AX26" i="20"/>
  <c r="AW26" i="20"/>
  <c r="AY25" i="20"/>
  <c r="AX25" i="20"/>
  <c r="AW25" i="20"/>
  <c r="AY24" i="20"/>
  <c r="AX24" i="20"/>
  <c r="AW24" i="20"/>
  <c r="AY23" i="20"/>
  <c r="AX23" i="20"/>
  <c r="AW23" i="20"/>
  <c r="AY22" i="20"/>
  <c r="AX22" i="20"/>
  <c r="AW22" i="20"/>
  <c r="AY21" i="20"/>
  <c r="AX21" i="20"/>
  <c r="AW21" i="20"/>
  <c r="AY20" i="20"/>
  <c r="AX20" i="20"/>
  <c r="AW20" i="20"/>
  <c r="AY19" i="20"/>
  <c r="AX19" i="20"/>
  <c r="AW19" i="20"/>
  <c r="AY18" i="20"/>
  <c r="AX18" i="20"/>
  <c r="AW18" i="20"/>
  <c r="AY17" i="20"/>
  <c r="AX17" i="20"/>
  <c r="AW17" i="20"/>
  <c r="AY16" i="20"/>
  <c r="AX16" i="20"/>
  <c r="AW16" i="20"/>
  <c r="AY15" i="20"/>
  <c r="AX15" i="20"/>
  <c r="AW15" i="20"/>
  <c r="AY14" i="20"/>
  <c r="AX14" i="20"/>
  <c r="AW14" i="20"/>
  <c r="AY13" i="20"/>
  <c r="AX13" i="20"/>
  <c r="AW13" i="20"/>
  <c r="AY12" i="20"/>
  <c r="AX12" i="20"/>
  <c r="AW12" i="20"/>
  <c r="AY11" i="20"/>
  <c r="AX11" i="20"/>
  <c r="AW11" i="20"/>
  <c r="AY10" i="20"/>
  <c r="AX10" i="20"/>
  <c r="AW10" i="20"/>
  <c r="AY9" i="20"/>
  <c r="AX9" i="20"/>
  <c r="AW9" i="20"/>
  <c r="AY8" i="20"/>
  <c r="AX8" i="20"/>
  <c r="AW8" i="20"/>
  <c r="AY7" i="20"/>
  <c r="AX7" i="20"/>
  <c r="AW7" i="20"/>
  <c r="AY6" i="20"/>
  <c r="AX6" i="20"/>
  <c r="AW6" i="20"/>
  <c r="AY5" i="20"/>
  <c r="AX5" i="20"/>
  <c r="AW5" i="20"/>
  <c r="AY4" i="20"/>
  <c r="AX4" i="20"/>
  <c r="AW4" i="20"/>
  <c r="AL1" i="20"/>
  <c r="AM1" i="20"/>
  <c r="AJ1" i="20"/>
  <c r="AK1" i="20" s="1"/>
  <c r="AU1" i="20"/>
  <c r="AT1" i="20"/>
  <c r="AS1" i="20"/>
  <c r="AR1" i="20"/>
  <c r="W5" i="20"/>
  <c r="X5" i="20"/>
  <c r="Y5" i="20"/>
  <c r="W6" i="20"/>
  <c r="X6" i="20"/>
  <c r="Y6" i="20"/>
  <c r="W7" i="20"/>
  <c r="X7" i="20"/>
  <c r="Y7" i="20"/>
  <c r="W8" i="20"/>
  <c r="X8" i="20"/>
  <c r="Y8" i="20"/>
  <c r="W9" i="20"/>
  <c r="X9" i="20"/>
  <c r="Y9" i="20"/>
  <c r="W10" i="20"/>
  <c r="X10" i="20"/>
  <c r="Y10" i="20"/>
  <c r="W11" i="20"/>
  <c r="X11" i="20"/>
  <c r="Y11" i="20"/>
  <c r="W12" i="20"/>
  <c r="X12" i="20"/>
  <c r="Y12" i="20"/>
  <c r="W13" i="20"/>
  <c r="X13" i="20"/>
  <c r="Y13" i="20"/>
  <c r="W14" i="20"/>
  <c r="X14" i="20"/>
  <c r="Y14" i="20"/>
  <c r="W15" i="20"/>
  <c r="X15" i="20"/>
  <c r="Y15" i="20"/>
  <c r="W16" i="20"/>
  <c r="X16" i="20"/>
  <c r="Y16" i="20"/>
  <c r="W17" i="20"/>
  <c r="X17" i="20"/>
  <c r="Y17" i="20"/>
  <c r="W18" i="20"/>
  <c r="X18" i="20"/>
  <c r="Y18" i="20"/>
  <c r="W19" i="20"/>
  <c r="X19" i="20"/>
  <c r="Y19" i="20"/>
  <c r="W20" i="20"/>
  <c r="X20" i="20"/>
  <c r="Y20" i="20"/>
  <c r="W21" i="20"/>
  <c r="X21" i="20"/>
  <c r="Y21" i="20"/>
  <c r="W22" i="20"/>
  <c r="X22" i="20"/>
  <c r="Y22" i="20"/>
  <c r="W23" i="20"/>
  <c r="X23" i="20"/>
  <c r="Y23" i="20"/>
  <c r="W24" i="20"/>
  <c r="X24" i="20"/>
  <c r="Y24" i="20"/>
  <c r="W25" i="20"/>
  <c r="X25" i="20"/>
  <c r="Y25" i="20"/>
  <c r="W26" i="20"/>
  <c r="X26" i="20"/>
  <c r="Y26" i="20"/>
  <c r="W27" i="20"/>
  <c r="X27" i="20"/>
  <c r="Y27" i="20"/>
  <c r="W28" i="20"/>
  <c r="X28" i="20"/>
  <c r="Y28" i="20"/>
  <c r="W29" i="20"/>
  <c r="X29" i="20"/>
  <c r="Y29" i="20"/>
  <c r="W30" i="20"/>
  <c r="X30" i="20"/>
  <c r="Y30" i="20"/>
  <c r="W31" i="20"/>
  <c r="X31" i="20"/>
  <c r="Y31" i="20"/>
  <c r="W32" i="20"/>
  <c r="X32" i="20"/>
  <c r="Y32" i="20"/>
  <c r="W33" i="20"/>
  <c r="X33" i="20"/>
  <c r="Y33" i="20"/>
  <c r="W34" i="20"/>
  <c r="X34" i="20"/>
  <c r="Y34" i="20"/>
  <c r="W35" i="20"/>
  <c r="X35" i="20"/>
  <c r="Y35" i="20"/>
  <c r="W36" i="20"/>
  <c r="X36" i="20"/>
  <c r="Y36" i="20"/>
  <c r="W37" i="20"/>
  <c r="X37" i="20"/>
  <c r="Y37" i="20"/>
  <c r="W38" i="20"/>
  <c r="X38" i="20"/>
  <c r="Y38" i="20"/>
  <c r="W39" i="20"/>
  <c r="X39" i="20"/>
  <c r="Y39" i="20"/>
  <c r="W40" i="20"/>
  <c r="X40" i="20"/>
  <c r="Y40" i="20"/>
  <c r="W41" i="20"/>
  <c r="X41" i="20"/>
  <c r="Y41" i="20"/>
  <c r="W42" i="20"/>
  <c r="X42" i="20"/>
  <c r="Y42" i="20"/>
  <c r="W43" i="20"/>
  <c r="X43" i="20"/>
  <c r="Y43" i="20"/>
  <c r="W44" i="20"/>
  <c r="X44" i="20"/>
  <c r="Y44" i="20"/>
  <c r="W45" i="20"/>
  <c r="X45" i="20"/>
  <c r="Y45" i="20"/>
  <c r="W46" i="20"/>
  <c r="X46" i="20"/>
  <c r="Y46" i="20"/>
  <c r="W47" i="20"/>
  <c r="X47" i="20"/>
  <c r="Y47" i="20"/>
  <c r="W48" i="20"/>
  <c r="X48" i="20"/>
  <c r="Y48" i="20"/>
  <c r="W49" i="20"/>
  <c r="X49" i="20"/>
  <c r="Y49" i="20"/>
  <c r="W50" i="20"/>
  <c r="X50" i="20"/>
  <c r="Y50" i="20"/>
  <c r="W51" i="20"/>
  <c r="X51" i="20"/>
  <c r="Y51" i="20"/>
  <c r="W52" i="20"/>
  <c r="X52" i="20"/>
  <c r="Y52" i="20"/>
  <c r="W53" i="20"/>
  <c r="X53" i="20"/>
  <c r="Y53" i="20"/>
  <c r="W54" i="20"/>
  <c r="X54" i="20"/>
  <c r="Y54" i="20"/>
  <c r="W55" i="20"/>
  <c r="X55" i="20"/>
  <c r="Y55" i="20"/>
  <c r="W56" i="20"/>
  <c r="X56" i="20"/>
  <c r="Y56" i="20"/>
  <c r="W57" i="20"/>
  <c r="X57" i="20"/>
  <c r="Y57" i="20"/>
  <c r="W58" i="20"/>
  <c r="X58" i="20"/>
  <c r="Y58" i="20"/>
  <c r="W59" i="20"/>
  <c r="X59" i="20"/>
  <c r="Y59" i="20"/>
  <c r="W60" i="20"/>
  <c r="X60" i="20"/>
  <c r="Y60" i="20"/>
  <c r="W61" i="20"/>
  <c r="X61" i="20"/>
  <c r="Y61" i="20"/>
  <c r="W62" i="20"/>
  <c r="X62" i="20"/>
  <c r="Y62" i="20"/>
  <c r="W63" i="20"/>
  <c r="X63" i="20"/>
  <c r="Y63" i="20"/>
  <c r="W64" i="20"/>
  <c r="X64" i="20"/>
  <c r="Y64" i="20"/>
  <c r="W65" i="20"/>
  <c r="X65" i="20"/>
  <c r="Y65" i="20"/>
  <c r="W66" i="20"/>
  <c r="X66" i="20"/>
  <c r="Y66" i="20"/>
  <c r="W67" i="20"/>
  <c r="X67" i="20"/>
  <c r="Y67" i="20"/>
  <c r="W68" i="20"/>
  <c r="X68" i="20"/>
  <c r="Y68" i="20"/>
  <c r="W69" i="20"/>
  <c r="X69" i="20"/>
  <c r="Y69" i="20"/>
  <c r="W70" i="20"/>
  <c r="X70" i="20"/>
  <c r="Y70" i="20"/>
  <c r="W71" i="20"/>
  <c r="X71" i="20"/>
  <c r="Y71" i="20"/>
  <c r="W72" i="20"/>
  <c r="X72" i="20"/>
  <c r="Y72" i="20"/>
  <c r="W73" i="20"/>
  <c r="X73" i="20"/>
  <c r="Y73" i="20"/>
  <c r="W74" i="20"/>
  <c r="X74" i="20"/>
  <c r="Y74" i="20"/>
  <c r="L1" i="20"/>
  <c r="M1" i="20"/>
  <c r="U1" i="20"/>
  <c r="T1" i="20"/>
  <c r="S1" i="20"/>
  <c r="R1" i="20"/>
  <c r="Y4" i="20"/>
  <c r="X4" i="20"/>
  <c r="W4" i="20"/>
  <c r="J1" i="20"/>
  <c r="K1" i="20"/>
  <c r="A31" i="13"/>
  <c r="D31" i="13" s="1"/>
  <c r="A193" i="16"/>
  <c r="A17" i="16"/>
  <c r="A108" i="16"/>
  <c r="A20" i="16"/>
  <c r="A22" i="16"/>
  <c r="G13" i="16" s="1"/>
  <c r="A19" i="16"/>
  <c r="A18" i="16"/>
  <c r="A7" i="13"/>
  <c r="D7" i="13" s="1"/>
  <c r="A8" i="13"/>
  <c r="D8" i="13" s="1"/>
  <c r="A9" i="13"/>
  <c r="D9" i="13" s="1"/>
  <c r="A10" i="13"/>
  <c r="C10" i="13" s="1"/>
  <c r="A11" i="13"/>
  <c r="C11" i="13" s="1"/>
  <c r="A12" i="13"/>
  <c r="A13" i="13"/>
  <c r="C13" i="13" s="1"/>
  <c r="A14" i="13"/>
  <c r="D14" i="13" s="1"/>
  <c r="A15" i="13"/>
  <c r="D15" i="13" s="1"/>
  <c r="A16" i="13"/>
  <c r="D16" i="13" s="1"/>
  <c r="A25" i="13"/>
  <c r="D25" i="13" s="1"/>
  <c r="A26" i="13"/>
  <c r="D26" i="13" s="1"/>
  <c r="A27" i="13"/>
  <c r="C27" i="13" s="1"/>
  <c r="A28" i="13"/>
  <c r="D28" i="13" s="1"/>
  <c r="A29" i="13"/>
  <c r="D29" i="13" s="1"/>
  <c r="A30" i="13"/>
  <c r="D30" i="13" s="1"/>
  <c r="A32" i="13"/>
  <c r="C32" i="13" s="1"/>
  <c r="A33" i="13"/>
  <c r="A34" i="13"/>
  <c r="D34" i="13" s="1"/>
  <c r="A35" i="13"/>
  <c r="D35" i="13" s="1"/>
  <c r="A36" i="13"/>
  <c r="C36" i="13" s="1"/>
  <c r="A38" i="13"/>
  <c r="A39" i="13"/>
  <c r="D39" i="13" s="1"/>
  <c r="A49" i="13"/>
  <c r="C49" i="13" s="1"/>
  <c r="A50" i="13"/>
  <c r="D50" i="13" s="1"/>
  <c r="A51" i="13"/>
  <c r="D51" i="13" s="1"/>
  <c r="A52" i="13"/>
  <c r="D52" i="13" s="1"/>
  <c r="A53" i="13"/>
  <c r="D53" i="13" s="1"/>
  <c r="A54" i="13"/>
  <c r="D54" i="13" s="1"/>
  <c r="A55" i="13"/>
  <c r="A56" i="13"/>
  <c r="D56" i="13" s="1"/>
  <c r="A57" i="13"/>
  <c r="C57" i="13" s="1"/>
  <c r="A58" i="13"/>
  <c r="D58" i="13" s="1"/>
  <c r="A59" i="13"/>
  <c r="D59" i="13" s="1"/>
  <c r="A60" i="13"/>
  <c r="A61" i="13"/>
  <c r="C61" i="13" s="1"/>
  <c r="A62" i="13"/>
  <c r="D62" i="13" s="1"/>
  <c r="A63" i="13"/>
  <c r="C63" i="13" s="1"/>
  <c r="A64" i="13"/>
  <c r="C64" i="13" s="1"/>
  <c r="A65" i="13"/>
  <c r="C65" i="13" s="1"/>
  <c r="A66" i="13"/>
  <c r="C66" i="13" s="1"/>
  <c r="A67" i="13"/>
  <c r="C67" i="13" s="1"/>
  <c r="A68" i="13"/>
  <c r="A69" i="13"/>
  <c r="C69" i="13" s="1"/>
  <c r="A80" i="13"/>
  <c r="C80" i="13" s="1"/>
  <c r="A81" i="13"/>
  <c r="D81" i="13"/>
  <c r="A82" i="13"/>
  <c r="D82" i="13"/>
  <c r="A83" i="13"/>
  <c r="C83" i="13"/>
  <c r="A84" i="13"/>
  <c r="C84" i="13"/>
  <c r="A85" i="13"/>
  <c r="C85" i="13"/>
  <c r="A86" i="13"/>
  <c r="C86" i="13"/>
  <c r="A87" i="13"/>
  <c r="C87" i="13"/>
  <c r="A88" i="13"/>
  <c r="C88" i="13"/>
  <c r="A89" i="13"/>
  <c r="D89" i="13"/>
  <c r="A90" i="13"/>
  <c r="D90" i="13"/>
  <c r="A91" i="13"/>
  <c r="C91" i="13"/>
  <c r="A92" i="13"/>
  <c r="D92" i="13"/>
  <c r="A93" i="13"/>
  <c r="D93" i="13"/>
  <c r="A94" i="13"/>
  <c r="C94" i="13"/>
  <c r="A95" i="13"/>
  <c r="A96" i="13"/>
  <c r="D96" i="13" s="1"/>
  <c r="A97" i="13"/>
  <c r="D97" i="13"/>
  <c r="A98" i="13"/>
  <c r="D98" i="13"/>
  <c r="A99" i="13"/>
  <c r="C99" i="13"/>
  <c r="A100" i="13"/>
  <c r="D100" i="13"/>
  <c r="A101" i="13"/>
  <c r="C101" i="13"/>
  <c r="A102" i="13"/>
  <c r="C102" i="13"/>
  <c r="A103" i="13"/>
  <c r="D103" i="13"/>
  <c r="A104" i="13"/>
  <c r="D104" i="13"/>
  <c r="A105" i="13"/>
  <c r="D105" i="13"/>
  <c r="A106" i="13"/>
  <c r="D106" i="13"/>
  <c r="A107" i="13"/>
  <c r="D107" i="13"/>
  <c r="A7" i="12"/>
  <c r="Q24" i="15"/>
  <c r="I24" i="15"/>
  <c r="Q5" i="15"/>
  <c r="I5" i="15"/>
  <c r="D80" i="13"/>
  <c r="D87" i="13"/>
  <c r="D95" i="13"/>
  <c r="C95" i="13"/>
  <c r="C93" i="13"/>
  <c r="D69" i="13"/>
  <c r="C54" i="13"/>
  <c r="O100" i="9"/>
  <c r="H100" i="9"/>
  <c r="O81" i="9"/>
  <c r="H81" i="9"/>
  <c r="O62" i="9"/>
  <c r="H62" i="9"/>
  <c r="O43" i="9"/>
  <c r="H43" i="9"/>
  <c r="O24" i="9"/>
  <c r="H24" i="9"/>
  <c r="O5" i="9"/>
  <c r="H5" i="9"/>
  <c r="A183" i="16"/>
  <c r="A185" i="16"/>
  <c r="A248" i="16"/>
  <c r="A184" i="16"/>
  <c r="A182" i="16"/>
  <c r="A187" i="16"/>
  <c r="G178" i="16"/>
  <c r="A194" i="16"/>
  <c r="A195" i="16"/>
  <c r="A198" i="16"/>
  <c r="G189" i="16"/>
  <c r="A196" i="16"/>
  <c r="A94" i="16"/>
  <c r="A260" i="16"/>
  <c r="A95" i="16"/>
  <c r="A261" i="16"/>
  <c r="A259" i="16"/>
  <c r="A96" i="16"/>
  <c r="A28" i="16"/>
  <c r="A99" i="16"/>
  <c r="G90" i="16"/>
  <c r="A262" i="16"/>
  <c r="A264" i="16"/>
  <c r="G255" i="16"/>
  <c r="A97" i="16"/>
  <c r="A29" i="16"/>
  <c r="A116" i="16"/>
  <c r="A121" i="16"/>
  <c r="G112" i="16"/>
  <c r="A273" i="16"/>
  <c r="A31" i="16"/>
  <c r="A119" i="16"/>
  <c r="A33" i="16"/>
  <c r="G24" i="16" s="1"/>
  <c r="A118" i="16"/>
  <c r="A272" i="16"/>
  <c r="A270" i="16"/>
  <c r="A30" i="16"/>
  <c r="A117" i="16"/>
  <c r="A275" i="16"/>
  <c r="G266" i="16"/>
  <c r="A271" i="16"/>
  <c r="A74" i="7"/>
  <c r="A75" i="7"/>
  <c r="A86" i="7"/>
  <c r="A58" i="7"/>
  <c r="A229" i="12"/>
  <c r="Y260" i="6"/>
  <c r="A8" i="17"/>
  <c r="A114" i="16"/>
  <c r="A238" i="12"/>
  <c r="A26" i="16"/>
  <c r="A88" i="12"/>
  <c r="A72" i="12"/>
  <c r="A204" i="16"/>
  <c r="A77" i="12"/>
  <c r="A75" i="12"/>
  <c r="A73" i="12"/>
  <c r="A53" i="17"/>
  <c r="A50" i="16"/>
  <c r="A55" i="17"/>
  <c r="A50" i="17"/>
  <c r="A52" i="17"/>
  <c r="A139" i="16"/>
  <c r="Y36" i="6"/>
  <c r="A53" i="16"/>
  <c r="A136" i="16"/>
  <c r="A209" i="16"/>
  <c r="G200" i="16" s="1"/>
  <c r="A140" i="16"/>
  <c r="A227" i="12"/>
  <c r="A55" i="16"/>
  <c r="G46" i="16" s="1"/>
  <c r="A141" i="16"/>
  <c r="A11" i="16"/>
  <c r="G2" i="16" s="1"/>
  <c r="A207" i="16"/>
  <c r="A202" i="16"/>
  <c r="A8" i="16"/>
  <c r="A9" i="16"/>
  <c r="A48" i="16"/>
  <c r="A138" i="16"/>
  <c r="A205" i="16"/>
  <c r="A7" i="16"/>
  <c r="A51" i="16"/>
  <c r="A4" i="16"/>
  <c r="A143" i="16"/>
  <c r="G134" i="16"/>
  <c r="A61" i="12"/>
  <c r="C163" i="14"/>
  <c r="A185" i="12"/>
  <c r="A149" i="16"/>
  <c r="AA324" i="6"/>
  <c r="A190" i="14"/>
  <c r="A350" i="6"/>
  <c r="A188" i="14"/>
  <c r="A51" i="12"/>
  <c r="A30" i="19"/>
  <c r="A50" i="12"/>
  <c r="A52" i="12"/>
  <c r="A176" i="12"/>
  <c r="A28" i="19"/>
  <c r="A53" i="12"/>
  <c r="A55" i="12"/>
  <c r="A128" i="12"/>
  <c r="A51" i="17"/>
  <c r="A189" i="14"/>
  <c r="A353" i="6"/>
  <c r="A187" i="14"/>
  <c r="A349" i="6"/>
  <c r="A151" i="16"/>
  <c r="C165" i="14"/>
  <c r="A348" i="6"/>
  <c r="Y324" i="6"/>
  <c r="A152" i="16"/>
  <c r="B163" i="14"/>
  <c r="A347" i="6"/>
  <c r="A108" i="12"/>
  <c r="A151" i="12"/>
  <c r="A18" i="17"/>
  <c r="A22" i="17"/>
  <c r="A20" i="17"/>
  <c r="A19" i="17"/>
  <c r="A17" i="17"/>
  <c r="A66" i="16"/>
  <c r="G57" i="16" s="1"/>
  <c r="A150" i="16"/>
  <c r="A61" i="16"/>
  <c r="A59" i="16"/>
  <c r="A215" i="16"/>
  <c r="A63" i="16"/>
  <c r="A154" i="16"/>
  <c r="G145" i="16"/>
  <c r="A213" i="16"/>
  <c r="A217" i="16"/>
  <c r="A220" i="16"/>
  <c r="G211" i="16" s="1"/>
  <c r="A62" i="16"/>
  <c r="A216" i="16"/>
  <c r="A64" i="16"/>
  <c r="A169" i="16"/>
  <c r="E167" i="16"/>
  <c r="L167" i="16"/>
  <c r="E222" i="16"/>
  <c r="L222" i="16"/>
  <c r="A165" i="16"/>
  <c r="G156" i="16"/>
  <c r="E156" i="16"/>
  <c r="L156" i="16"/>
  <c r="E68" i="16"/>
  <c r="L68" i="16"/>
  <c r="E233" i="16"/>
  <c r="L233" i="16"/>
  <c r="E211" i="16"/>
  <c r="L211" i="16"/>
  <c r="E145" i="16"/>
  <c r="L145" i="16"/>
  <c r="E57" i="16"/>
  <c r="L57" i="16"/>
  <c r="A86" i="16"/>
  <c r="E79" i="16"/>
  <c r="L79" i="16"/>
  <c r="L2" i="16"/>
  <c r="E2" i="16"/>
  <c r="E200" i="16"/>
  <c r="L200" i="16"/>
  <c r="E134" i="16"/>
  <c r="L134" i="16"/>
  <c r="L46" i="16"/>
  <c r="E46" i="16"/>
  <c r="E277" i="16"/>
  <c r="A125" i="16"/>
  <c r="L123" i="16"/>
  <c r="E123" i="16"/>
  <c r="A41" i="16"/>
  <c r="L35" i="16"/>
  <c r="E35" i="16"/>
  <c r="L266" i="16"/>
  <c r="E266" i="16"/>
  <c r="L112" i="16"/>
  <c r="E112" i="16"/>
  <c r="L24" i="16"/>
  <c r="E24" i="16"/>
  <c r="L255" i="16"/>
  <c r="E255" i="16"/>
  <c r="L189" i="16"/>
  <c r="E189" i="16"/>
  <c r="L13" i="16"/>
  <c r="E13" i="16"/>
  <c r="E244" i="16"/>
  <c r="E178" i="16"/>
  <c r="L178" i="16"/>
  <c r="L90" i="16"/>
  <c r="E90" i="16"/>
  <c r="A220" i="12"/>
  <c r="A105" i="12"/>
  <c r="A106" i="12"/>
  <c r="A154" i="12"/>
  <c r="A238" i="16"/>
  <c r="A110" i="12"/>
  <c r="A150" i="12"/>
  <c r="A20" i="12"/>
  <c r="A152" i="12"/>
  <c r="A8" i="12"/>
  <c r="A205" i="12"/>
  <c r="A33" i="19"/>
  <c r="A42" i="12"/>
  <c r="A173" i="12"/>
  <c r="A31" i="19"/>
  <c r="A171" i="12"/>
  <c r="A127" i="12"/>
  <c r="A132" i="12"/>
  <c r="A129" i="12"/>
  <c r="A174" i="12"/>
  <c r="A44" i="12"/>
  <c r="A7" i="17"/>
  <c r="A39" i="12"/>
  <c r="A29" i="19"/>
  <c r="A41" i="12"/>
  <c r="A6" i="12"/>
  <c r="A86" i="12"/>
  <c r="A9" i="12"/>
  <c r="A83" i="16"/>
  <c r="A81" i="16"/>
  <c r="A176" i="16"/>
  <c r="G167" i="16"/>
  <c r="A88" i="16"/>
  <c r="G79" i="16" s="1"/>
  <c r="A239" i="16"/>
  <c r="A11" i="12"/>
  <c r="A240" i="16"/>
  <c r="A237" i="16"/>
  <c r="A171" i="16"/>
  <c r="A172" i="16"/>
  <c r="A242" i="16"/>
  <c r="G233" i="16" s="1"/>
  <c r="A235" i="16"/>
  <c r="A173" i="16"/>
  <c r="A84" i="16"/>
  <c r="A174" i="16"/>
  <c r="A193" i="12"/>
  <c r="A85" i="16"/>
  <c r="B46" i="17"/>
  <c r="A54" i="17" s="1"/>
  <c r="A17" i="12"/>
  <c r="A18" i="12"/>
  <c r="A64" i="12"/>
  <c r="A239" i="12"/>
  <c r="A73" i="16"/>
  <c r="A11" i="19"/>
  <c r="A63" i="12"/>
  <c r="A44" i="19"/>
  <c r="A237" i="12"/>
  <c r="A9" i="19"/>
  <c r="A6" i="19"/>
  <c r="A22" i="12"/>
  <c r="A62" i="12"/>
  <c r="A240" i="12"/>
  <c r="A229" i="16"/>
  <c r="N231" i="16" s="1"/>
  <c r="A7" i="19"/>
  <c r="A22" i="19"/>
  <c r="A42" i="19"/>
  <c r="A39" i="19"/>
  <c r="A97" i="12"/>
  <c r="A141" i="12"/>
  <c r="A204" i="12"/>
  <c r="A37" i="16"/>
  <c r="A9" i="17"/>
  <c r="A284" i="16"/>
  <c r="Y4" i="6"/>
  <c r="A207" i="12"/>
  <c r="Q6" i="15"/>
  <c r="A42" i="16"/>
  <c r="A40" i="19"/>
  <c r="A15" i="17"/>
  <c r="A33" i="6"/>
  <c r="A127" i="16"/>
  <c r="AA4" i="6"/>
  <c r="A39" i="16"/>
  <c r="A284" i="6"/>
  <c r="A29" i="6"/>
  <c r="A206" i="12"/>
  <c r="A6" i="15"/>
  <c r="A130" i="16"/>
  <c r="I6" i="15"/>
  <c r="A5" i="18"/>
  <c r="A182" i="12"/>
  <c r="A31" i="17"/>
  <c r="A28" i="17"/>
  <c r="A183" i="12"/>
  <c r="AA356" i="6"/>
  <c r="A83" i="12"/>
  <c r="A196" i="12"/>
  <c r="A217" i="12"/>
  <c r="A74" i="16"/>
  <c r="A128" i="16"/>
  <c r="A227" i="16"/>
  <c r="A226" i="16"/>
  <c r="A29" i="12"/>
  <c r="A158" i="16"/>
  <c r="A224" i="16"/>
  <c r="A283" i="6"/>
  <c r="A30" i="6"/>
  <c r="B5" i="6"/>
  <c r="A33" i="17"/>
  <c r="A228" i="12"/>
  <c r="A84" i="12"/>
  <c r="A44" i="16"/>
  <c r="G35" i="16"/>
  <c r="A75" i="16"/>
  <c r="A129" i="16"/>
  <c r="A161" i="16"/>
  <c r="A40" i="16"/>
  <c r="A160" i="16"/>
  <c r="A228" i="16"/>
  <c r="A17" i="19"/>
  <c r="A231" i="12"/>
  <c r="A4" i="17"/>
  <c r="B2" i="17"/>
  <c r="L3" i="17" s="1"/>
  <c r="B261" i="6"/>
  <c r="A162" i="16"/>
  <c r="A117" i="12"/>
  <c r="A121" i="12"/>
  <c r="A118" i="12"/>
  <c r="A215" i="12"/>
  <c r="A163" i="16"/>
  <c r="A19" i="19"/>
  <c r="A20" i="19"/>
  <c r="A70" i="16"/>
  <c r="A289" i="6"/>
  <c r="A28" i="6"/>
  <c r="A184" i="12"/>
  <c r="A11" i="17"/>
  <c r="A6" i="17"/>
  <c r="A31" i="12"/>
  <c r="A163" i="12"/>
  <c r="A30" i="12"/>
  <c r="A187" i="12"/>
  <c r="A242" i="12"/>
  <c r="AA260" i="6"/>
  <c r="A195" i="12"/>
  <c r="A218" i="12"/>
  <c r="A77" i="16"/>
  <c r="G68" i="16" s="1"/>
  <c r="A72" i="16"/>
  <c r="A29" i="17"/>
  <c r="A18" i="19"/>
  <c r="A162" i="12"/>
  <c r="A286" i="6"/>
  <c r="A27" i="6"/>
  <c r="A165" i="12"/>
  <c r="A231" i="16"/>
  <c r="G222" i="16" s="1"/>
  <c r="A116" i="12"/>
  <c r="A194" i="12"/>
  <c r="A216" i="12"/>
  <c r="H44" i="9"/>
  <c r="O101" i="9"/>
  <c r="A161" i="12"/>
  <c r="A28" i="12"/>
  <c r="A30" i="17"/>
  <c r="A132" i="16"/>
  <c r="G123" i="16" s="1"/>
  <c r="A40" i="17"/>
  <c r="A66" i="17"/>
  <c r="A25" i="15"/>
  <c r="B24" i="17"/>
  <c r="A32" i="17" s="1"/>
  <c r="A75" i="18"/>
  <c r="A93" i="6"/>
  <c r="A62" i="17"/>
  <c r="Y68" i="6"/>
  <c r="A96" i="12"/>
  <c r="A37" i="17"/>
  <c r="A92" i="6"/>
  <c r="A64" i="17"/>
  <c r="AA68" i="6"/>
  <c r="A139" i="12"/>
  <c r="A27" i="14"/>
  <c r="A91" i="6"/>
  <c r="A95" i="12"/>
  <c r="A41" i="18"/>
  <c r="A321" i="6"/>
  <c r="A140" i="12"/>
  <c r="B69" i="6"/>
  <c r="A63" i="17"/>
  <c r="A99" i="12"/>
  <c r="A143" i="12"/>
  <c r="Q25" i="15"/>
  <c r="A97" i="6"/>
  <c r="A508" i="6"/>
  <c r="A382" i="6"/>
  <c r="A385" i="6"/>
  <c r="B357" i="6"/>
  <c r="A379" i="6"/>
  <c r="A381" i="6"/>
  <c r="A380" i="6"/>
  <c r="B57" i="17"/>
  <c r="L58" i="17" s="1"/>
  <c r="A59" i="17"/>
  <c r="A113" i="18"/>
  <c r="A111" i="18"/>
  <c r="A3" i="18"/>
  <c r="A4" i="19"/>
  <c r="A79" i="7"/>
  <c r="A146" i="40"/>
  <c r="A124" i="43"/>
  <c r="A124" i="50"/>
  <c r="BA127" i="20"/>
  <c r="BA118" i="20"/>
  <c r="BA117" i="20"/>
  <c r="BA116" i="20"/>
  <c r="BA115" i="20"/>
  <c r="BA130" i="20"/>
  <c r="BA81" i="20"/>
  <c r="A158" i="14"/>
  <c r="AA125" i="20"/>
  <c r="AA82" i="20"/>
  <c r="A156" i="14"/>
  <c r="B131" i="14"/>
  <c r="A161" i="14"/>
  <c r="C133" i="14"/>
  <c r="A124" i="32"/>
  <c r="A78" i="32"/>
  <c r="A87" i="32"/>
  <c r="A96" i="32"/>
  <c r="A105" i="32"/>
  <c r="A114" i="32"/>
  <c r="A75" i="32"/>
  <c r="A157" i="14"/>
  <c r="AA130" i="32"/>
  <c r="AA121" i="32"/>
  <c r="AA112" i="32"/>
  <c r="AA103" i="32"/>
  <c r="AA94" i="32"/>
  <c r="AA85" i="32"/>
  <c r="AA76" i="32"/>
  <c r="H82" i="9"/>
  <c r="C131" i="14"/>
  <c r="A80" i="20"/>
  <c r="A112" i="20"/>
  <c r="A109" i="20"/>
  <c r="A81" i="20"/>
  <c r="A113" i="20"/>
  <c r="A101" i="20"/>
  <c r="A82" i="20"/>
  <c r="A130" i="20"/>
  <c r="A103" i="20"/>
  <c r="A107" i="20"/>
  <c r="A126" i="20"/>
  <c r="A92" i="20"/>
  <c r="A124" i="20"/>
  <c r="A95" i="20"/>
  <c r="DA97" i="20"/>
  <c r="DA79" i="20"/>
  <c r="DA116" i="20"/>
  <c r="CA106" i="32"/>
  <c r="CA87" i="32"/>
  <c r="CA100" i="32"/>
  <c r="CA102" i="20"/>
  <c r="DA130" i="32"/>
  <c r="DA122" i="32"/>
  <c r="DA114" i="32"/>
  <c r="DA106" i="32"/>
  <c r="DA98" i="32"/>
  <c r="DA90" i="32"/>
  <c r="DA82" i="32"/>
  <c r="DA129" i="32"/>
  <c r="DA121" i="32"/>
  <c r="DA113" i="32"/>
  <c r="DA105" i="32"/>
  <c r="DA97" i="32"/>
  <c r="DA89" i="32"/>
  <c r="DA81" i="32"/>
  <c r="DA128" i="32"/>
  <c r="DA120" i="32"/>
  <c r="DA112" i="32"/>
  <c r="DA104" i="32"/>
  <c r="DA96" i="32"/>
  <c r="DA88" i="32"/>
  <c r="DA80" i="32"/>
  <c r="DA127" i="32"/>
  <c r="DA119" i="32"/>
  <c r="DA111" i="32"/>
  <c r="DA103" i="32"/>
  <c r="DA95" i="32"/>
  <c r="DA87" i="32"/>
  <c r="DA79" i="32"/>
  <c r="DA126" i="32"/>
  <c r="DA118" i="32"/>
  <c r="DA110" i="32"/>
  <c r="DA102" i="32"/>
  <c r="DA94" i="32"/>
  <c r="DA86" i="32"/>
  <c r="DA78" i="32"/>
  <c r="DA125" i="32"/>
  <c r="DA117" i="32"/>
  <c r="DA109" i="32"/>
  <c r="DA101" i="32"/>
  <c r="DA93" i="32"/>
  <c r="DA85" i="32"/>
  <c r="DA77" i="32"/>
  <c r="DA124" i="32"/>
  <c r="DA116" i="32"/>
  <c r="DA108" i="32"/>
  <c r="DA100" i="32"/>
  <c r="DA92" i="32"/>
  <c r="DA84" i="32"/>
  <c r="DA76" i="32"/>
  <c r="DA99" i="32"/>
  <c r="DA91" i="32"/>
  <c r="DA83" i="32"/>
  <c r="DA75" i="32"/>
  <c r="DA123" i="32"/>
  <c r="DA107" i="32"/>
  <c r="DA115" i="32"/>
  <c r="A228" i="4"/>
  <c r="A475" i="6"/>
  <c r="AA388" i="6"/>
  <c r="A221" i="6"/>
  <c r="A63" i="9"/>
  <c r="D63" i="13"/>
  <c r="A81" i="7"/>
  <c r="D36" i="13"/>
  <c r="D27" i="13"/>
  <c r="D13" i="13"/>
  <c r="C81" i="13"/>
  <c r="B35" i="17"/>
  <c r="L36" i="17" s="1"/>
  <c r="A44" i="17"/>
  <c r="A41" i="17"/>
  <c r="A39" i="17"/>
  <c r="A62" i="7"/>
  <c r="A63" i="7"/>
  <c r="A61" i="7"/>
  <c r="A59" i="7"/>
  <c r="A54" i="7"/>
  <c r="A87" i="7"/>
  <c r="A90" i="7"/>
  <c r="A91" i="7"/>
  <c r="A83" i="7"/>
  <c r="A281" i="16"/>
  <c r="L277" i="16"/>
  <c r="A283" i="16"/>
  <c r="A282" i="16"/>
  <c r="A279" i="16"/>
  <c r="A286" i="16"/>
  <c r="G277" i="16"/>
  <c r="A250" i="16"/>
  <c r="A251" i="16"/>
  <c r="E101" i="16"/>
  <c r="A249" i="16"/>
  <c r="A110" i="16"/>
  <c r="G101" i="16" s="1"/>
  <c r="L101" i="16"/>
  <c r="A253" i="16"/>
  <c r="G244" i="16"/>
  <c r="A105" i="16"/>
  <c r="A103" i="16"/>
  <c r="A106" i="16"/>
  <c r="L244" i="16"/>
  <c r="J36" i="34"/>
  <c r="J38" i="34"/>
  <c r="J34" i="34"/>
  <c r="J32" i="34"/>
  <c r="A55" i="7"/>
  <c r="A70" i="7"/>
  <c r="A71" i="7"/>
  <c r="A66" i="7"/>
  <c r="U40" i="4"/>
  <c r="U41" i="4"/>
  <c r="D86" i="13"/>
  <c r="CA116" i="32"/>
  <c r="CA127" i="32"/>
  <c r="CA114" i="32"/>
  <c r="A417" i="6"/>
  <c r="AA132" i="6"/>
  <c r="C7" i="13"/>
  <c r="D102" i="13"/>
  <c r="A411" i="6"/>
  <c r="CA124" i="32"/>
  <c r="CA88" i="32"/>
  <c r="A161" i="6"/>
  <c r="B133" i="6"/>
  <c r="A158" i="6"/>
  <c r="CA96" i="32"/>
  <c r="A412" i="6"/>
  <c r="CA125" i="32"/>
  <c r="CA81" i="32"/>
  <c r="A155" i="6"/>
  <c r="A157" i="6"/>
  <c r="CA99" i="32"/>
  <c r="CA78" i="32"/>
  <c r="CA97" i="32"/>
  <c r="A413" i="6"/>
  <c r="CA75" i="32"/>
  <c r="CA118" i="32"/>
  <c r="CA105" i="32"/>
  <c r="Y388" i="6"/>
  <c r="C30" i="13"/>
  <c r="CA109" i="32"/>
  <c r="C52" i="13"/>
  <c r="CA83" i="32"/>
  <c r="CA79" i="32"/>
  <c r="CA90" i="32"/>
  <c r="C25" i="13"/>
  <c r="A115" i="32"/>
  <c r="A106" i="32"/>
  <c r="A97" i="32"/>
  <c r="A88" i="32"/>
  <c r="A79" i="32"/>
  <c r="A125" i="32"/>
  <c r="A116" i="32"/>
  <c r="A507" i="6"/>
  <c r="D84" i="13"/>
  <c r="C9" i="13"/>
  <c r="A107" i="32"/>
  <c r="A89" i="32"/>
  <c r="A126" i="32"/>
  <c r="A108" i="32"/>
  <c r="A125" i="14"/>
  <c r="B229" i="6"/>
  <c r="A99" i="32"/>
  <c r="A90" i="32"/>
  <c r="A81" i="32"/>
  <c r="A127" i="32"/>
  <c r="A118" i="32"/>
  <c r="A109" i="32"/>
  <c r="A100" i="32"/>
  <c r="C53" i="13"/>
  <c r="D57" i="13"/>
  <c r="C98" i="13"/>
  <c r="A80" i="32"/>
  <c r="Y484" i="6"/>
  <c r="C34" i="13"/>
  <c r="A91" i="32"/>
  <c r="A82" i="32"/>
  <c r="A128" i="32"/>
  <c r="A119" i="32"/>
  <c r="A110" i="32"/>
  <c r="A101" i="32"/>
  <c r="A92" i="32"/>
  <c r="O25" i="9"/>
  <c r="B485" i="6"/>
  <c r="C51" i="13"/>
  <c r="D99" i="13"/>
  <c r="A83" i="32"/>
  <c r="A129" i="32"/>
  <c r="A120" i="32"/>
  <c r="A111" i="32"/>
  <c r="A102" i="32"/>
  <c r="A93" i="32"/>
  <c r="A84" i="32"/>
  <c r="A513" i="6"/>
  <c r="A25" i="9"/>
  <c r="C59" i="13"/>
  <c r="D94" i="13"/>
  <c r="C105" i="13"/>
  <c r="A130" i="32"/>
  <c r="A121" i="32"/>
  <c r="A112" i="32"/>
  <c r="A103" i="32"/>
  <c r="A94" i="32"/>
  <c r="A85" i="32"/>
  <c r="A76" i="32"/>
  <c r="A69" i="43"/>
  <c r="A510" i="6"/>
  <c r="A98" i="32"/>
  <c r="A117" i="32"/>
  <c r="A123" i="32"/>
  <c r="A122" i="32"/>
  <c r="A113" i="32"/>
  <c r="A104" i="32"/>
  <c r="A95" i="32"/>
  <c r="A86" i="32"/>
  <c r="A509" i="6"/>
  <c r="C92" i="13"/>
  <c r="N77" i="16"/>
  <c r="N76" i="16"/>
  <c r="N75" i="16"/>
  <c r="N74" i="16"/>
  <c r="N73" i="16"/>
  <c r="N72" i="16"/>
  <c r="N71" i="16"/>
  <c r="N70" i="16"/>
  <c r="N22" i="16"/>
  <c r="N21" i="16"/>
  <c r="N20" i="16"/>
  <c r="N19" i="16"/>
  <c r="N18" i="16"/>
  <c r="N17" i="16"/>
  <c r="N16" i="16"/>
  <c r="N15" i="16"/>
  <c r="N220" i="16"/>
  <c r="N219" i="16"/>
  <c r="N218" i="16"/>
  <c r="N217" i="16"/>
  <c r="N216" i="16"/>
  <c r="N215" i="16"/>
  <c r="N214" i="16"/>
  <c r="N213" i="16"/>
  <c r="N110" i="16"/>
  <c r="N109" i="16"/>
  <c r="N108" i="16"/>
  <c r="N107" i="16"/>
  <c r="N106" i="16"/>
  <c r="N105" i="16"/>
  <c r="N104" i="16"/>
  <c r="N103" i="16"/>
  <c r="N143" i="16"/>
  <c r="N11" i="16"/>
  <c r="N10" i="16"/>
  <c r="N9" i="16"/>
  <c r="N8" i="16"/>
  <c r="N7" i="16"/>
  <c r="N6" i="16"/>
  <c r="N5" i="16"/>
  <c r="N4" i="16"/>
  <c r="N132" i="16"/>
  <c r="N131" i="16"/>
  <c r="N130" i="16"/>
  <c r="N129" i="16"/>
  <c r="N128" i="16"/>
  <c r="N127" i="16"/>
  <c r="N126" i="16"/>
  <c r="N125" i="16"/>
  <c r="N88" i="16"/>
  <c r="N87" i="16"/>
  <c r="N86" i="16"/>
  <c r="N85" i="16"/>
  <c r="N84" i="16"/>
  <c r="N83" i="16"/>
  <c r="N82" i="16"/>
  <c r="N81" i="16"/>
  <c r="N99" i="16"/>
  <c r="N98" i="16"/>
  <c r="N97" i="16"/>
  <c r="N96" i="16"/>
  <c r="N95" i="16"/>
  <c r="N94" i="16"/>
  <c r="N93" i="16"/>
  <c r="N92" i="16"/>
  <c r="N209" i="16"/>
  <c r="N208" i="16"/>
  <c r="N207" i="16"/>
  <c r="N206" i="16"/>
  <c r="N205" i="16"/>
  <c r="N204" i="16"/>
  <c r="N203" i="16"/>
  <c r="N202" i="16"/>
  <c r="N55" i="16"/>
  <c r="N54" i="16"/>
  <c r="N53" i="16"/>
  <c r="N52" i="16"/>
  <c r="N51" i="16"/>
  <c r="N50" i="16"/>
  <c r="N49" i="16"/>
  <c r="N48" i="16"/>
  <c r="N242" i="16"/>
  <c r="N241" i="16"/>
  <c r="N240" i="16"/>
  <c r="N239" i="16"/>
  <c r="N238" i="16"/>
  <c r="N237" i="16"/>
  <c r="N236" i="16"/>
  <c r="N235" i="16"/>
  <c r="N230" i="16"/>
  <c r="N229" i="16"/>
  <c r="N228" i="16"/>
  <c r="N226" i="16"/>
  <c r="N225" i="16"/>
  <c r="N224" i="16"/>
  <c r="N121" i="16"/>
  <c r="N120" i="16"/>
  <c r="N119" i="16"/>
  <c r="N118" i="16"/>
  <c r="N117" i="16"/>
  <c r="N116" i="16"/>
  <c r="N115" i="16"/>
  <c r="N114" i="16"/>
  <c r="N33" i="16"/>
  <c r="N32" i="16"/>
  <c r="N31" i="16"/>
  <c r="N30" i="16"/>
  <c r="N29" i="16"/>
  <c r="N28" i="16"/>
  <c r="N27" i="16"/>
  <c r="N26" i="16"/>
  <c r="N44" i="16"/>
  <c r="N43" i="16"/>
  <c r="N42" i="16"/>
  <c r="N41" i="16"/>
  <c r="N40" i="16"/>
  <c r="N39" i="16"/>
  <c r="N38" i="16"/>
  <c r="N37" i="16"/>
  <c r="N66" i="16"/>
  <c r="N65" i="16"/>
  <c r="N64" i="16"/>
  <c r="N63" i="16"/>
  <c r="N62" i="16"/>
  <c r="N61" i="16"/>
  <c r="N60" i="16"/>
  <c r="N59" i="16"/>
  <c r="N198" i="16"/>
  <c r="N197" i="16"/>
  <c r="N196" i="16"/>
  <c r="N195" i="16"/>
  <c r="N194" i="16"/>
  <c r="N193" i="16"/>
  <c r="N192" i="16"/>
  <c r="N191" i="16"/>
  <c r="N187" i="16"/>
  <c r="N186" i="16"/>
  <c r="N185" i="16"/>
  <c r="N184" i="16"/>
  <c r="N183" i="16"/>
  <c r="N182" i="16"/>
  <c r="N181" i="16"/>
  <c r="N180" i="16"/>
  <c r="G202" i="16"/>
  <c r="N247" i="16"/>
  <c r="G269" i="16"/>
  <c r="G152" i="16"/>
  <c r="N274" i="16"/>
  <c r="N270" i="16"/>
  <c r="G271" i="16"/>
  <c r="G33" i="16"/>
  <c r="G220" i="16"/>
  <c r="G219" i="16"/>
  <c r="G218" i="16"/>
  <c r="G217" i="16"/>
  <c r="G216" i="16"/>
  <c r="G215" i="16"/>
  <c r="G214" i="16"/>
  <c r="G213" i="16"/>
  <c r="G164" i="16"/>
  <c r="G247" i="16"/>
  <c r="G273" i="16"/>
  <c r="G150" i="16"/>
  <c r="G131" i="16"/>
  <c r="G130" i="16"/>
  <c r="G129" i="16"/>
  <c r="G128" i="16"/>
  <c r="G127" i="16"/>
  <c r="G126" i="16"/>
  <c r="G125" i="16"/>
  <c r="G132" i="16"/>
  <c r="G86" i="16"/>
  <c r="G85" i="16"/>
  <c r="G84" i="16"/>
  <c r="G83" i="16"/>
  <c r="G82" i="16"/>
  <c r="G81" i="16"/>
  <c r="G88" i="16"/>
  <c r="G87" i="16"/>
  <c r="G99" i="16"/>
  <c r="G98" i="16"/>
  <c r="G97" i="16"/>
  <c r="G96" i="16"/>
  <c r="G95" i="16"/>
  <c r="G94" i="16"/>
  <c r="G93" i="16"/>
  <c r="G92" i="16"/>
  <c r="G242" i="16"/>
  <c r="G241" i="16"/>
  <c r="G240" i="16"/>
  <c r="G239" i="16"/>
  <c r="G238" i="16"/>
  <c r="G237" i="16"/>
  <c r="G236" i="16"/>
  <c r="G235" i="16"/>
  <c r="G172" i="16"/>
  <c r="N164" i="16"/>
  <c r="G147" i="16"/>
  <c r="G209" i="16"/>
  <c r="G208" i="16"/>
  <c r="G207" i="16"/>
  <c r="G206" i="16"/>
  <c r="G205" i="16"/>
  <c r="G204" i="16"/>
  <c r="G203" i="16"/>
  <c r="G77" i="16"/>
  <c r="G76" i="16"/>
  <c r="G75" i="16"/>
  <c r="G74" i="16"/>
  <c r="G73" i="16"/>
  <c r="G72" i="16"/>
  <c r="G71" i="16"/>
  <c r="G70" i="16"/>
  <c r="N160" i="16"/>
  <c r="G165" i="16"/>
  <c r="G18" i="16"/>
  <c r="N272" i="16"/>
  <c r="G224" i="16"/>
  <c r="G231" i="16"/>
  <c r="G230" i="16"/>
  <c r="G229" i="16"/>
  <c r="G228" i="16"/>
  <c r="G227" i="16"/>
  <c r="G226" i="16"/>
  <c r="G225" i="16"/>
  <c r="G121" i="16"/>
  <c r="G120" i="16"/>
  <c r="G119" i="16"/>
  <c r="G118" i="16"/>
  <c r="G117" i="16"/>
  <c r="G116" i="16"/>
  <c r="G115" i="16"/>
  <c r="G114" i="16"/>
  <c r="G109" i="16"/>
  <c r="G108" i="16"/>
  <c r="G107" i="16"/>
  <c r="G106" i="16"/>
  <c r="G105" i="16"/>
  <c r="G104" i="16"/>
  <c r="G103" i="16"/>
  <c r="G110" i="16"/>
  <c r="G30" i="16"/>
  <c r="G162" i="16"/>
  <c r="G64" i="16"/>
  <c r="G54" i="16"/>
  <c r="G53" i="16"/>
  <c r="G52" i="16"/>
  <c r="G63" i="16"/>
  <c r="G51" i="16"/>
  <c r="G61" i="16"/>
  <c r="G62" i="16"/>
  <c r="G60" i="16"/>
  <c r="G50" i="16"/>
  <c r="G49" i="16"/>
  <c r="G48" i="16"/>
  <c r="G59" i="16"/>
  <c r="G55" i="16"/>
  <c r="G66" i="16"/>
  <c r="G65" i="16"/>
  <c r="G197" i="16"/>
  <c r="G196" i="16"/>
  <c r="G195" i="16"/>
  <c r="G194" i="16"/>
  <c r="G193" i="16"/>
  <c r="G192" i="16"/>
  <c r="G191" i="16"/>
  <c r="G198" i="16"/>
  <c r="G187" i="16"/>
  <c r="G186" i="16"/>
  <c r="G185" i="16"/>
  <c r="G184" i="16"/>
  <c r="G183" i="16"/>
  <c r="G182" i="16"/>
  <c r="G181" i="16"/>
  <c r="G180" i="16"/>
  <c r="A445" i="6"/>
  <c r="C90" i="13"/>
  <c r="Y420" i="6"/>
  <c r="A187" i="6"/>
  <c r="AA90" i="20"/>
  <c r="AA75" i="20"/>
  <c r="AA76" i="20"/>
  <c r="AA121" i="20"/>
  <c r="AA89" i="20"/>
  <c r="AA126" i="20"/>
  <c r="AA80" i="20"/>
  <c r="D85" i="13"/>
  <c r="B35" i="14"/>
  <c r="AA98" i="20"/>
  <c r="AA83" i="20"/>
  <c r="AA84" i="20"/>
  <c r="AA77" i="20"/>
  <c r="AA129" i="20"/>
  <c r="AA79" i="20"/>
  <c r="AA96" i="20"/>
  <c r="C35" i="14"/>
  <c r="C82" i="13"/>
  <c r="BA91" i="32"/>
  <c r="AA106" i="20"/>
  <c r="AA91" i="20"/>
  <c r="AA92" i="20"/>
  <c r="AA85" i="20"/>
  <c r="AA78" i="20"/>
  <c r="AA87" i="20"/>
  <c r="AA104" i="20"/>
  <c r="BA85" i="32"/>
  <c r="AA114" i="20"/>
  <c r="AA99" i="20"/>
  <c r="AA100" i="20"/>
  <c r="AA93" i="20"/>
  <c r="AA86" i="20"/>
  <c r="AA95" i="20"/>
  <c r="AA112" i="20"/>
  <c r="D49" i="13"/>
  <c r="A82" i="9"/>
  <c r="A65" i="14"/>
  <c r="B165" i="6"/>
  <c r="BA79" i="32"/>
  <c r="AA122" i="20"/>
  <c r="AA107" i="20"/>
  <c r="AA108" i="20"/>
  <c r="AA101" i="20"/>
  <c r="AA94" i="20"/>
  <c r="AA103" i="20"/>
  <c r="AA120" i="20"/>
  <c r="D65" i="13"/>
  <c r="A62" i="14"/>
  <c r="C97" i="13"/>
  <c r="BA120" i="32"/>
  <c r="AA164" i="6"/>
  <c r="AA130" i="20"/>
  <c r="AA115" i="20"/>
  <c r="AA116" i="20"/>
  <c r="AA109" i="20"/>
  <c r="AA102" i="20"/>
  <c r="AA111" i="20"/>
  <c r="AA128" i="20"/>
  <c r="A61" i="14"/>
  <c r="BA122" i="32"/>
  <c r="AA105" i="20"/>
  <c r="AA88" i="20"/>
  <c r="AA123" i="20"/>
  <c r="AA124" i="20"/>
  <c r="AA117" i="20"/>
  <c r="AA110" i="20"/>
  <c r="A58" i="43"/>
  <c r="H6" i="9"/>
  <c r="A60" i="14"/>
  <c r="C39" i="13"/>
  <c r="D61" i="13"/>
  <c r="C104" i="13"/>
  <c r="C103" i="13"/>
  <c r="D91" i="13"/>
  <c r="C28" i="13"/>
  <c r="C26" i="13"/>
  <c r="D32" i="13"/>
  <c r="D88" i="13"/>
  <c r="A30" i="14"/>
  <c r="R5" i="14"/>
  <c r="C29" i="13"/>
  <c r="C62" i="13"/>
  <c r="H63" i="9"/>
  <c r="D101" i="13"/>
  <c r="F37" i="14"/>
  <c r="A39" i="14" s="1"/>
  <c r="R37" i="14"/>
  <c r="B74" i="18"/>
  <c r="B4" i="18"/>
  <c r="B111" i="18"/>
  <c r="B52" i="18"/>
  <c r="A251" i="6"/>
  <c r="D10" i="13"/>
  <c r="CA98" i="20"/>
  <c r="CA91" i="32"/>
  <c r="CA77" i="32"/>
  <c r="CA86" i="32"/>
  <c r="CA95" i="32"/>
  <c r="CA104" i="32"/>
  <c r="CA113" i="32"/>
  <c r="CA122" i="32"/>
  <c r="DA99" i="20"/>
  <c r="DA77" i="20"/>
  <c r="DA86" i="20"/>
  <c r="DA95" i="20"/>
  <c r="DA104" i="20"/>
  <c r="DA113" i="20"/>
  <c r="DA122" i="20"/>
  <c r="BA83" i="32"/>
  <c r="BA117" i="32"/>
  <c r="BA103" i="32"/>
  <c r="BA97" i="32"/>
  <c r="A219" i="6"/>
  <c r="C14" i="13"/>
  <c r="C31" i="13"/>
  <c r="D67" i="13"/>
  <c r="C107" i="13"/>
  <c r="D83" i="13"/>
  <c r="F209" i="4"/>
  <c r="F210" i="4" s="1"/>
  <c r="AA420" i="6"/>
  <c r="C99" i="14"/>
  <c r="CA99" i="20"/>
  <c r="CA76" i="32"/>
  <c r="CA85" i="32"/>
  <c r="CA94" i="32"/>
  <c r="CA103" i="32"/>
  <c r="CA112" i="32"/>
  <c r="CA121" i="32"/>
  <c r="CA130" i="32"/>
  <c r="DA76" i="20"/>
  <c r="DA85" i="20"/>
  <c r="DA94" i="20"/>
  <c r="DA103" i="20"/>
  <c r="DA112" i="20"/>
  <c r="DA121" i="20"/>
  <c r="DA130" i="20"/>
  <c r="BA76" i="32"/>
  <c r="BA125" i="32"/>
  <c r="BA111" i="32"/>
  <c r="BA113" i="32"/>
  <c r="A476" i="6"/>
  <c r="C15" i="13"/>
  <c r="C35" i="13"/>
  <c r="C56" i="13"/>
  <c r="D66" i="13"/>
  <c r="DA91" i="20"/>
  <c r="DA124" i="20"/>
  <c r="DA78" i="20"/>
  <c r="DA87" i="20"/>
  <c r="DA96" i="20"/>
  <c r="DA105" i="20"/>
  <c r="DA114" i="20"/>
  <c r="BA123" i="32"/>
  <c r="BA93" i="32"/>
  <c r="BA95" i="32"/>
  <c r="BA89" i="32"/>
  <c r="BA130" i="32"/>
  <c r="A124" i="14"/>
  <c r="B99" i="14"/>
  <c r="A222" i="6"/>
  <c r="A481" i="6"/>
  <c r="A478" i="6"/>
  <c r="CA100" i="20"/>
  <c r="CA107" i="32"/>
  <c r="CA84" i="32"/>
  <c r="CA93" i="32"/>
  <c r="CA102" i="32"/>
  <c r="CA111" i="32"/>
  <c r="CA120" i="32"/>
  <c r="CA129" i="32"/>
  <c r="DA115" i="20"/>
  <c r="DA84" i="20"/>
  <c r="DA93" i="20"/>
  <c r="DA102" i="20"/>
  <c r="DA111" i="20"/>
  <c r="DA120" i="20"/>
  <c r="DA129" i="20"/>
  <c r="BA84" i="32"/>
  <c r="BA86" i="32"/>
  <c r="BA80" i="32"/>
  <c r="BA121" i="32"/>
  <c r="C16" i="13"/>
  <c r="C106" i="13"/>
  <c r="A126" i="14"/>
  <c r="B197" i="6"/>
  <c r="AA452" i="6"/>
  <c r="AA228" i="6"/>
  <c r="A123" i="14"/>
  <c r="A449" i="6"/>
  <c r="A444" i="6"/>
  <c r="A225" i="6"/>
  <c r="Y452" i="6"/>
  <c r="A254" i="6"/>
  <c r="A220" i="6"/>
  <c r="B453" i="6"/>
  <c r="A253" i="6"/>
  <c r="CA93" i="20"/>
  <c r="CA115" i="32"/>
  <c r="CA92" i="32"/>
  <c r="CA101" i="32"/>
  <c r="CA110" i="32"/>
  <c r="CA119" i="32"/>
  <c r="CA128" i="32"/>
  <c r="CA82" i="32"/>
  <c r="DA123" i="20"/>
  <c r="DA92" i="20"/>
  <c r="DA101" i="20"/>
  <c r="DA110" i="20"/>
  <c r="DA119" i="20"/>
  <c r="DA128" i="20"/>
  <c r="DA82" i="20"/>
  <c r="BA108" i="32"/>
  <c r="BA94" i="32"/>
  <c r="BA88" i="32"/>
  <c r="BA129" i="32"/>
  <c r="C100" i="13"/>
  <c r="A129" i="14"/>
  <c r="C89" i="13"/>
  <c r="DA107" i="20"/>
  <c r="DA100" i="20"/>
  <c r="DA109" i="20"/>
  <c r="DA118" i="20"/>
  <c r="DA127" i="20"/>
  <c r="DA81" i="20"/>
  <c r="DA90" i="20"/>
  <c r="BA116" i="32"/>
  <c r="BA102" i="32"/>
  <c r="BA104" i="32"/>
  <c r="BA98" i="32"/>
  <c r="A257" i="6"/>
  <c r="A443" i="6"/>
  <c r="CA119" i="20"/>
  <c r="CA123" i="32"/>
  <c r="CA108" i="32"/>
  <c r="CA117" i="32"/>
  <c r="CA126" i="32"/>
  <c r="CA80" i="32"/>
  <c r="CA89" i="32"/>
  <c r="DA75" i="20"/>
  <c r="DA108" i="20"/>
  <c r="DA117" i="20"/>
  <c r="DA126" i="20"/>
  <c r="DA80" i="20"/>
  <c r="DA89" i="20"/>
  <c r="BA99" i="32"/>
  <c r="BA77" i="32"/>
  <c r="BA126" i="32"/>
  <c r="BA112" i="32"/>
  <c r="BA106" i="32"/>
  <c r="C50" i="13"/>
  <c r="A101" i="9"/>
  <c r="O485" i="6"/>
  <c r="F485" i="6"/>
  <c r="A487" i="6" s="1"/>
  <c r="A315" i="6"/>
  <c r="O293" i="6"/>
  <c r="F293" i="6"/>
  <c r="A295" i="6" s="1"/>
  <c r="A94" i="6"/>
  <c r="O69" i="6"/>
  <c r="F69" i="6"/>
  <c r="A71" i="6" s="1"/>
  <c r="O82" i="9"/>
  <c r="P78" i="9"/>
  <c r="H25" i="9"/>
  <c r="I21" i="9"/>
  <c r="O453" i="6"/>
  <c r="F453" i="6"/>
  <c r="A455" i="6" s="1"/>
  <c r="A285" i="6"/>
  <c r="O261" i="6"/>
  <c r="F261" i="6"/>
  <c r="A263" i="6" s="1"/>
  <c r="A125" i="6"/>
  <c r="O101" i="6"/>
  <c r="F101" i="6"/>
  <c r="A103" i="6" s="1"/>
  <c r="A126" i="6"/>
  <c r="A124" i="6"/>
  <c r="H101" i="9"/>
  <c r="A252" i="6"/>
  <c r="O229" i="6"/>
  <c r="F229" i="6"/>
  <c r="A231" i="6" s="1"/>
  <c r="A60" i="6"/>
  <c r="O37" i="6"/>
  <c r="F37" i="6"/>
  <c r="A39" i="6" s="1"/>
  <c r="C3" i="14"/>
  <c r="F5" i="14"/>
  <c r="A7" i="14" s="1"/>
  <c r="A93" i="14"/>
  <c r="F69" i="14"/>
  <c r="A71" i="14" s="1"/>
  <c r="A129" i="6"/>
  <c r="A446" i="6"/>
  <c r="O421" i="6"/>
  <c r="F421" i="6"/>
  <c r="A423" i="6" s="1"/>
  <c r="AA196" i="6"/>
  <c r="O197" i="6"/>
  <c r="F197" i="6"/>
  <c r="A199" i="6" s="1"/>
  <c r="A193" i="14"/>
  <c r="F165" i="14"/>
  <c r="A167" i="14" s="1"/>
  <c r="B389" i="6"/>
  <c r="O389" i="6"/>
  <c r="F389" i="6"/>
  <c r="A391" i="6" s="1"/>
  <c r="A155" i="14"/>
  <c r="F133" i="14"/>
  <c r="A135" i="14" s="1"/>
  <c r="O5" i="6"/>
  <c r="F5" i="6"/>
  <c r="A7" i="6" s="1"/>
  <c r="O6" i="9"/>
  <c r="P2" i="9"/>
  <c r="Y100" i="6"/>
  <c r="A123" i="6"/>
  <c r="Y356" i="6"/>
  <c r="O357" i="6"/>
  <c r="F357" i="6"/>
  <c r="A359" i="6" s="1"/>
  <c r="A188" i="6"/>
  <c r="O165" i="6"/>
  <c r="F165" i="6"/>
  <c r="A167" i="6" s="1"/>
  <c r="C101" i="14"/>
  <c r="F101" i="14"/>
  <c r="A103" i="14"/>
  <c r="AA100" i="6"/>
  <c r="O44" i="9"/>
  <c r="B325" i="6"/>
  <c r="O325" i="6"/>
  <c r="F325" i="6"/>
  <c r="A327" i="6" s="1"/>
  <c r="A156" i="6"/>
  <c r="O133" i="6"/>
  <c r="F133" i="6"/>
  <c r="A135" i="6" s="1"/>
  <c r="C67" i="14"/>
  <c r="P245" i="16"/>
  <c r="P249" i="16" s="1"/>
  <c r="P157" i="16"/>
  <c r="P158" i="16" s="1"/>
  <c r="A76" i="16"/>
  <c r="A175" i="16"/>
  <c r="D176" i="16" s="1"/>
  <c r="K171" i="16"/>
  <c r="A274" i="16"/>
  <c r="K270" i="16" s="1"/>
  <c r="L14" i="17"/>
  <c r="L22" i="17" s="1"/>
  <c r="P179" i="16"/>
  <c r="P187" i="16" s="1"/>
  <c r="A65" i="16"/>
  <c r="A98" i="16"/>
  <c r="A94" i="7"/>
  <c r="C7" i="5"/>
  <c r="AC68" i="14" s="1"/>
  <c r="A208" i="4"/>
  <c r="A263" i="16"/>
  <c r="K258" i="16"/>
  <c r="B46" i="18"/>
  <c r="B47" i="18"/>
  <c r="A87" i="16"/>
  <c r="A241" i="16"/>
  <c r="D242" i="16" s="1"/>
  <c r="A153" i="16"/>
  <c r="K154" i="16" s="1"/>
  <c r="P154" i="16"/>
  <c r="Q175" i="16"/>
  <c r="K163" i="16"/>
  <c r="D161" i="16"/>
  <c r="B77" i="18"/>
  <c r="K160" i="16"/>
  <c r="K158" i="16"/>
  <c r="K159" i="16"/>
  <c r="K161" i="16"/>
  <c r="D163" i="16"/>
  <c r="D165" i="16"/>
  <c r="D162" i="16"/>
  <c r="K162" i="16"/>
  <c r="D164" i="16"/>
  <c r="K164" i="16"/>
  <c r="B119" i="18"/>
  <c r="P150" i="16"/>
  <c r="A32" i="16"/>
  <c r="D29" i="16" s="1"/>
  <c r="A208" i="16"/>
  <c r="D208" i="16" s="1"/>
  <c r="A120" i="16"/>
  <c r="Q270" i="16"/>
  <c r="P269" i="16"/>
  <c r="P260" i="16"/>
  <c r="P263" i="16"/>
  <c r="P261" i="16"/>
  <c r="B45" i="18"/>
  <c r="A43" i="17"/>
  <c r="G42" i="17" s="1"/>
  <c r="P172" i="16"/>
  <c r="P173" i="16"/>
  <c r="Q176" i="16"/>
  <c r="Q169" i="16"/>
  <c r="P176" i="16"/>
  <c r="A21" i="16"/>
  <c r="Q174" i="16"/>
  <c r="Q173" i="16"/>
  <c r="Q172" i="16"/>
  <c r="P175" i="16"/>
  <c r="Q171" i="16"/>
  <c r="P169" i="16"/>
  <c r="Q170" i="16"/>
  <c r="P170" i="16"/>
  <c r="P171" i="16"/>
  <c r="P286" i="16"/>
  <c r="P280" i="16"/>
  <c r="Q286" i="16"/>
  <c r="P281" i="16"/>
  <c r="Q280" i="16"/>
  <c r="P282" i="16"/>
  <c r="Q281" i="16"/>
  <c r="Q284" i="16"/>
  <c r="P279" i="16"/>
  <c r="Q279" i="16"/>
  <c r="P284" i="16"/>
  <c r="A10" i="16"/>
  <c r="A69" i="42" s="1"/>
  <c r="A197" i="16"/>
  <c r="D198" i="16" s="1"/>
  <c r="A109" i="16"/>
  <c r="A285" i="16"/>
  <c r="L586" i="44"/>
  <c r="L575" i="44"/>
  <c r="G258" i="16"/>
  <c r="G257" i="16"/>
  <c r="N252" i="16"/>
  <c r="N261" i="16"/>
  <c r="N142" i="16"/>
  <c r="N163" i="16"/>
  <c r="N253" i="16"/>
  <c r="G11" i="16"/>
  <c r="N176" i="16"/>
  <c r="G31" i="16"/>
  <c r="G176" i="16"/>
  <c r="G160" i="16"/>
  <c r="G32" i="16"/>
  <c r="N139" i="16"/>
  <c r="G26" i="16"/>
  <c r="G148" i="16"/>
  <c r="G282" i="16"/>
  <c r="N171" i="16"/>
  <c r="N269" i="16"/>
  <c r="G154" i="16"/>
  <c r="N152" i="16"/>
  <c r="G4" i="16"/>
  <c r="N154" i="16"/>
  <c r="G268" i="16"/>
  <c r="N273" i="16"/>
  <c r="G143" i="16"/>
  <c r="G16" i="16"/>
  <c r="G17" i="16"/>
  <c r="G250" i="16"/>
  <c r="G259" i="16"/>
  <c r="N248" i="16"/>
  <c r="G284" i="16"/>
  <c r="G249" i="16"/>
  <c r="G270" i="16"/>
  <c r="G169" i="16"/>
  <c r="N285" i="16"/>
  <c r="G37" i="16"/>
  <c r="N147" i="16"/>
  <c r="N137" i="16"/>
  <c r="G171" i="16"/>
  <c r="G138" i="16"/>
  <c r="G274" i="16"/>
  <c r="N149" i="16"/>
  <c r="N140" i="16"/>
  <c r="G19" i="16"/>
  <c r="G140" i="16"/>
  <c r="G170" i="16"/>
  <c r="N158" i="16"/>
  <c r="N161" i="16"/>
  <c r="N275" i="16"/>
  <c r="G158" i="16"/>
  <c r="N173" i="16"/>
  <c r="G283" i="16"/>
  <c r="G281" i="16"/>
  <c r="G262" i="16"/>
  <c r="N151" i="16"/>
  <c r="N148" i="16"/>
  <c r="G253" i="16"/>
  <c r="N246" i="16"/>
  <c r="G42" i="16"/>
  <c r="N286" i="16"/>
  <c r="G252" i="16"/>
  <c r="G21" i="16"/>
  <c r="N258" i="16"/>
  <c r="G29" i="16"/>
  <c r="G136" i="16"/>
  <c r="N264" i="16"/>
  <c r="G10" i="16"/>
  <c r="G41" i="16"/>
  <c r="N175" i="16"/>
  <c r="N281" i="16"/>
  <c r="G251" i="16"/>
  <c r="N271" i="16"/>
  <c r="N174" i="16"/>
  <c r="N169" i="16"/>
  <c r="G28" i="16"/>
  <c r="G272" i="16"/>
  <c r="G163" i="16"/>
  <c r="G142" i="16"/>
  <c r="N284" i="16"/>
  <c r="G279" i="16"/>
  <c r="G22" i="16"/>
  <c r="N251" i="16"/>
  <c r="N279" i="16"/>
  <c r="G286" i="16"/>
  <c r="G38" i="16"/>
  <c r="N249" i="16"/>
  <c r="G248" i="16"/>
  <c r="N262" i="16"/>
  <c r="N260" i="16"/>
  <c r="G159" i="16"/>
  <c r="G7" i="16"/>
  <c r="N159" i="16"/>
  <c r="N250" i="16"/>
  <c r="N141" i="16"/>
  <c r="N283" i="16"/>
  <c r="N259" i="16"/>
  <c r="G285" i="16"/>
  <c r="G161" i="16"/>
  <c r="G5" i="16"/>
  <c r="G40" i="16"/>
  <c r="N268" i="16"/>
  <c r="G141" i="16"/>
  <c r="G280" i="16"/>
  <c r="G260" i="16"/>
  <c r="G261" i="16"/>
  <c r="N138" i="16"/>
  <c r="G175" i="16"/>
  <c r="G173" i="16"/>
  <c r="N165" i="16"/>
  <c r="N263" i="16"/>
  <c r="G149" i="16"/>
  <c r="G27" i="16"/>
  <c r="G174" i="16"/>
  <c r="G151" i="16"/>
  <c r="G44" i="16"/>
  <c r="N162" i="16"/>
  <c r="G15" i="16"/>
  <c r="G153" i="16"/>
  <c r="N136" i="16"/>
  <c r="N280" i="16"/>
  <c r="G9" i="16"/>
  <c r="N172" i="16"/>
  <c r="N282" i="16"/>
  <c r="G246" i="16"/>
  <c r="G263" i="16"/>
  <c r="N153" i="16"/>
  <c r="G8" i="16"/>
  <c r="G137" i="16"/>
  <c r="N170" i="16"/>
  <c r="G139" i="16"/>
  <c r="G6" i="16"/>
  <c r="N257" i="16"/>
  <c r="G264" i="16"/>
  <c r="G20" i="16"/>
  <c r="G275" i="16"/>
  <c r="N150" i="16"/>
  <c r="G39" i="16"/>
  <c r="G43" i="16"/>
  <c r="Q153" i="16"/>
  <c r="P152" i="16"/>
  <c r="B125" i="18"/>
  <c r="Q150" i="16"/>
  <c r="B122" i="18"/>
  <c r="Q149" i="16"/>
  <c r="P149" i="16"/>
  <c r="P148" i="16"/>
  <c r="P151" i="16"/>
  <c r="P153" i="16"/>
  <c r="Q154" i="16"/>
  <c r="Q151" i="16"/>
  <c r="Q147" i="16"/>
  <c r="Q148" i="16"/>
  <c r="P147" i="16"/>
  <c r="Q283" i="16"/>
  <c r="L25" i="17"/>
  <c r="L33" i="17" s="1"/>
  <c r="L47" i="17"/>
  <c r="A65" i="17"/>
  <c r="E66" i="17" s="1"/>
  <c r="K252" i="16"/>
  <c r="B81" i="18"/>
  <c r="B79" i="18"/>
  <c r="D253" i="16"/>
  <c r="Q257" i="16"/>
  <c r="Q259" i="16"/>
  <c r="P271" i="16"/>
  <c r="Q260" i="16"/>
  <c r="Q261" i="16"/>
  <c r="P257" i="16"/>
  <c r="P270" i="16"/>
  <c r="P274" i="16"/>
  <c r="Q262" i="16"/>
  <c r="P268" i="16"/>
  <c r="Q264" i="16"/>
  <c r="P272" i="16"/>
  <c r="P275" i="16"/>
  <c r="A10" i="17"/>
  <c r="A124" i="42" s="1"/>
  <c r="Q274" i="16"/>
  <c r="P262" i="16"/>
  <c r="Q273" i="16"/>
  <c r="Q268" i="16"/>
  <c r="P259" i="16"/>
  <c r="Q275" i="16"/>
  <c r="B12" i="18"/>
  <c r="Q272" i="16"/>
  <c r="P258" i="16"/>
  <c r="Q258" i="16"/>
  <c r="P273" i="16"/>
  <c r="B8" i="18"/>
  <c r="Q271" i="16"/>
  <c r="Q263" i="16"/>
  <c r="P264" i="16"/>
  <c r="AA91" i="32"/>
  <c r="AA84" i="32"/>
  <c r="AA93" i="32"/>
  <c r="AA102" i="32"/>
  <c r="AA111" i="32"/>
  <c r="AA120" i="32"/>
  <c r="AA129" i="32"/>
  <c r="CA114" i="20"/>
  <c r="CA115" i="20"/>
  <c r="CA116" i="20"/>
  <c r="CA109" i="20"/>
  <c r="CA118" i="20"/>
  <c r="CA88" i="20"/>
  <c r="CA127" i="20"/>
  <c r="BA75" i="32"/>
  <c r="BA124" i="32"/>
  <c r="BA78" i="32"/>
  <c r="BA87" i="32"/>
  <c r="BA96" i="32"/>
  <c r="BA105" i="32"/>
  <c r="BA114" i="32"/>
  <c r="AA99" i="32"/>
  <c r="AA92" i="32"/>
  <c r="AA101" i="32"/>
  <c r="AA110" i="32"/>
  <c r="AA119" i="32"/>
  <c r="AA128" i="32"/>
  <c r="AA82" i="32"/>
  <c r="BA82" i="20"/>
  <c r="BA129" i="20"/>
  <c r="BA97" i="20"/>
  <c r="BA105" i="20"/>
  <c r="BA113" i="20"/>
  <c r="BA79" i="20"/>
  <c r="BA88" i="20"/>
  <c r="A94" i="14"/>
  <c r="C69" i="14"/>
  <c r="Y292" i="6"/>
  <c r="A59" i="6"/>
  <c r="CA122" i="20"/>
  <c r="CA123" i="20"/>
  <c r="CA129" i="20"/>
  <c r="CA117" i="20"/>
  <c r="CA79" i="20"/>
  <c r="CA96" i="20"/>
  <c r="CA128" i="20"/>
  <c r="AA107" i="32"/>
  <c r="AA100" i="32"/>
  <c r="AA109" i="32"/>
  <c r="AA118" i="32"/>
  <c r="AA127" i="32"/>
  <c r="AA81" i="32"/>
  <c r="AA90" i="32"/>
  <c r="BA90" i="20"/>
  <c r="BA75" i="20"/>
  <c r="BA76" i="20"/>
  <c r="BA77" i="20"/>
  <c r="BA78" i="20"/>
  <c r="BA87" i="20"/>
  <c r="BA96" i="20"/>
  <c r="A92" i="14"/>
  <c r="B3" i="14"/>
  <c r="O63" i="9"/>
  <c r="A62" i="6"/>
  <c r="CA113" i="20"/>
  <c r="CA89" i="20"/>
  <c r="CA81" i="20"/>
  <c r="CA97" i="20"/>
  <c r="CA87" i="20"/>
  <c r="CA104" i="20"/>
  <c r="CA130" i="20"/>
  <c r="AA83" i="32"/>
  <c r="AA108" i="32"/>
  <c r="AA117" i="32"/>
  <c r="AA126" i="32"/>
  <c r="AA80" i="32"/>
  <c r="AA89" i="32"/>
  <c r="AA98" i="32"/>
  <c r="A189" i="6"/>
  <c r="A190" i="6"/>
  <c r="BA98" i="20"/>
  <c r="BA83" i="20"/>
  <c r="BA84" i="20"/>
  <c r="BA85" i="20"/>
  <c r="BA86" i="20"/>
  <c r="BA95" i="20"/>
  <c r="BA104" i="20"/>
  <c r="A91" i="14"/>
  <c r="A317" i="6"/>
  <c r="AA292" i="6"/>
  <c r="A65" i="6"/>
  <c r="CA107" i="20"/>
  <c r="CA108" i="20"/>
  <c r="CA80" i="20"/>
  <c r="CA126" i="20"/>
  <c r="CA105" i="20"/>
  <c r="CA75" i="20"/>
  <c r="CA76" i="20"/>
  <c r="CA121" i="20"/>
  <c r="CA78" i="20"/>
  <c r="CA95" i="20"/>
  <c r="CA112" i="20"/>
  <c r="AA115" i="32"/>
  <c r="AA116" i="32"/>
  <c r="AA125" i="32"/>
  <c r="AA79" i="32"/>
  <c r="AA88" i="32"/>
  <c r="AA97" i="32"/>
  <c r="AA106" i="32"/>
  <c r="BA106" i="20"/>
  <c r="BA91" i="20"/>
  <c r="BA92" i="20"/>
  <c r="BA93" i="20"/>
  <c r="BA94" i="20"/>
  <c r="BA103" i="20"/>
  <c r="BA112" i="20"/>
  <c r="A97" i="14"/>
  <c r="A33" i="14"/>
  <c r="A318" i="6"/>
  <c r="B37" i="6"/>
  <c r="A61" i="6"/>
  <c r="A193" i="6"/>
  <c r="CA101" i="20"/>
  <c r="CA82" i="20"/>
  <c r="CA83" i="20"/>
  <c r="CA84" i="20"/>
  <c r="CA77" i="20"/>
  <c r="CA86" i="20"/>
  <c r="CA103" i="20"/>
  <c r="CA120" i="20"/>
  <c r="BA107" i="32"/>
  <c r="BA92" i="32"/>
  <c r="BA101" i="32"/>
  <c r="BA110" i="32"/>
  <c r="BA119" i="32"/>
  <c r="BA128" i="32"/>
  <c r="BA82" i="32"/>
  <c r="AA123" i="32"/>
  <c r="AA124" i="32"/>
  <c r="AA78" i="32"/>
  <c r="AA87" i="32"/>
  <c r="AA96" i="32"/>
  <c r="AA105" i="32"/>
  <c r="AA114" i="32"/>
  <c r="BA114" i="20"/>
  <c r="BA99" i="20"/>
  <c r="BA100" i="20"/>
  <c r="BA101" i="20"/>
  <c r="BA102" i="20"/>
  <c r="BA111" i="20"/>
  <c r="BA120" i="20"/>
  <c r="B67" i="14"/>
  <c r="A28" i="14"/>
  <c r="B293" i="6"/>
  <c r="CA106" i="20"/>
  <c r="CA110" i="20"/>
  <c r="CA90" i="20"/>
  <c r="CA91" i="20"/>
  <c r="CA92" i="20"/>
  <c r="CA85" i="20"/>
  <c r="CA94" i="20"/>
  <c r="CA111" i="20"/>
  <c r="BA115" i="32"/>
  <c r="BA100" i="32"/>
  <c r="BA109" i="32"/>
  <c r="BA118" i="32"/>
  <c r="BA127" i="32"/>
  <c r="BA81" i="32"/>
  <c r="AA75" i="32"/>
  <c r="AA77" i="32"/>
  <c r="AA86" i="32"/>
  <c r="AA95" i="32"/>
  <c r="AA104" i="32"/>
  <c r="AA113" i="32"/>
  <c r="BA122" i="20"/>
  <c r="BA107" i="20"/>
  <c r="BA108" i="20"/>
  <c r="BA109" i="20"/>
  <c r="BA110" i="20"/>
  <c r="BA119" i="20"/>
  <c r="A29" i="14"/>
  <c r="A6" i="9"/>
  <c r="D249" i="16"/>
  <c r="B14" i="18"/>
  <c r="B7" i="18"/>
  <c r="D248" i="16"/>
  <c r="B5" i="18"/>
  <c r="B2" i="18"/>
  <c r="L4" i="18" s="1"/>
  <c r="A219" i="16"/>
  <c r="K220" i="16" s="1"/>
  <c r="K250" i="16"/>
  <c r="K253" i="16"/>
  <c r="D252" i="16"/>
  <c r="Q282" i="16"/>
  <c r="P124" i="16"/>
  <c r="B3" i="18"/>
  <c r="B16" i="18"/>
  <c r="Q242" i="16"/>
  <c r="D251" i="16"/>
  <c r="P283" i="16"/>
  <c r="B9" i="18"/>
  <c r="B15" i="18"/>
  <c r="K249" i="16"/>
  <c r="D247" i="16"/>
  <c r="K248" i="16"/>
  <c r="D250" i="16"/>
  <c r="P285" i="16"/>
  <c r="Q285" i="16"/>
  <c r="A15" i="19"/>
  <c r="B6" i="18"/>
  <c r="A43" i="16"/>
  <c r="K251" i="16"/>
  <c r="B11" i="18"/>
  <c r="B13" i="18"/>
  <c r="B10" i="18"/>
  <c r="B17" i="18"/>
  <c r="Q139" i="16"/>
  <c r="Q142" i="16"/>
  <c r="P137" i="16"/>
  <c r="P138" i="16"/>
  <c r="P141" i="16"/>
  <c r="Q140" i="16"/>
  <c r="P140" i="16"/>
  <c r="P142" i="16"/>
  <c r="Q141" i="16"/>
  <c r="Q136" i="16"/>
  <c r="P139" i="16"/>
  <c r="Q143" i="16"/>
  <c r="P143" i="16"/>
  <c r="P136" i="16"/>
  <c r="Q138" i="16"/>
  <c r="Q137" i="16"/>
  <c r="P223" i="16"/>
  <c r="P231" i="16" s="1"/>
  <c r="A142" i="16"/>
  <c r="D142" i="16" s="1"/>
  <c r="A54" i="16"/>
  <c r="A209" i="4"/>
  <c r="G212" i="4"/>
  <c r="G213" i="4" s="1"/>
  <c r="G214" i="4" s="1"/>
  <c r="G215" i="4" s="1"/>
  <c r="A219" i="4"/>
  <c r="F220" i="4"/>
  <c r="G231" i="4"/>
  <c r="G232" i="4" s="1"/>
  <c r="G233" i="4" s="1"/>
  <c r="G234" i="4" s="1"/>
  <c r="G235" i="4" s="1"/>
  <c r="A230" i="4"/>
  <c r="A229" i="4"/>
  <c r="A218" i="4"/>
  <c r="P88" i="18"/>
  <c r="B116" i="18"/>
  <c r="B121" i="18"/>
  <c r="B113" i="18"/>
  <c r="B117" i="18"/>
  <c r="B110" i="18"/>
  <c r="B115" i="18"/>
  <c r="B124" i="18"/>
  <c r="B114" i="18"/>
  <c r="B120" i="18"/>
  <c r="B118" i="18"/>
  <c r="B123" i="18"/>
  <c r="B112" i="18"/>
  <c r="B85" i="18"/>
  <c r="B75" i="18"/>
  <c r="B82" i="18"/>
  <c r="B76" i="18"/>
  <c r="B87" i="18"/>
  <c r="B83" i="18"/>
  <c r="B89" i="18"/>
  <c r="B78" i="18"/>
  <c r="B84" i="18"/>
  <c r="B88" i="18"/>
  <c r="B80" i="18"/>
  <c r="B86" i="18"/>
  <c r="P52" i="18"/>
  <c r="B49" i="18"/>
  <c r="B39" i="18"/>
  <c r="B43" i="18"/>
  <c r="B40" i="18"/>
  <c r="B48" i="18"/>
  <c r="B42" i="18"/>
  <c r="B50" i="18"/>
  <c r="B53" i="18"/>
  <c r="B44" i="18"/>
  <c r="B41" i="18"/>
  <c r="B51" i="18"/>
  <c r="B38" i="18"/>
  <c r="L48" i="18" s="1"/>
  <c r="O9" i="5"/>
  <c r="P247" i="16"/>
  <c r="Q251" i="16"/>
  <c r="Q253" i="16"/>
  <c r="D172" i="16"/>
  <c r="D169" i="16"/>
  <c r="D175" i="16"/>
  <c r="D174" i="16"/>
  <c r="Q158" i="16"/>
  <c r="Q159" i="16"/>
  <c r="Q160" i="16"/>
  <c r="Q165" i="16"/>
  <c r="P163" i="16"/>
  <c r="Q162" i="16"/>
  <c r="P162" i="16"/>
  <c r="P159" i="16"/>
  <c r="P161" i="16"/>
  <c r="Q163" i="16"/>
  <c r="P165" i="16"/>
  <c r="K174" i="16"/>
  <c r="D171" i="16"/>
  <c r="K176" i="16"/>
  <c r="D170" i="16"/>
  <c r="K169" i="16"/>
  <c r="K172" i="16"/>
  <c r="P250" i="16"/>
  <c r="P160" i="16"/>
  <c r="Q161" i="16"/>
  <c r="Q164" i="16"/>
  <c r="P164" i="16"/>
  <c r="K175" i="16"/>
  <c r="K272" i="16"/>
  <c r="D273" i="16"/>
  <c r="K275" i="16"/>
  <c r="D269" i="16"/>
  <c r="D275" i="16"/>
  <c r="K273" i="16"/>
  <c r="K268" i="16"/>
  <c r="K261" i="16"/>
  <c r="K274" i="16"/>
  <c r="D270" i="16"/>
  <c r="K269" i="16"/>
  <c r="D268" i="16"/>
  <c r="K271" i="16"/>
  <c r="D274" i="16"/>
  <c r="D263" i="16"/>
  <c r="K259" i="16"/>
  <c r="D272" i="16"/>
  <c r="D271" i="16"/>
  <c r="D262" i="16"/>
  <c r="K263" i="16"/>
  <c r="D264" i="16"/>
  <c r="K264" i="16"/>
  <c r="A69" i="49"/>
  <c r="C8" i="5"/>
  <c r="K4" i="6" s="1"/>
  <c r="C9" i="5"/>
  <c r="K260" i="16"/>
  <c r="K262" i="16"/>
  <c r="A168" i="48"/>
  <c r="A168" i="41"/>
  <c r="A168" i="47"/>
  <c r="A124" i="49"/>
  <c r="L608" i="44"/>
  <c r="A80" i="47"/>
  <c r="A3" i="40"/>
  <c r="A14" i="50"/>
  <c r="D285" i="16"/>
  <c r="K284" i="16"/>
  <c r="D279" i="16"/>
  <c r="D284" i="16"/>
  <c r="D283" i="16"/>
  <c r="D282" i="16"/>
  <c r="D286" i="16"/>
  <c r="K283" i="16"/>
  <c r="D281" i="16"/>
  <c r="K285" i="16"/>
  <c r="K286" i="16"/>
  <c r="K282" i="16"/>
  <c r="K279" i="16"/>
  <c r="D280" i="16"/>
  <c r="K281" i="16"/>
  <c r="K280" i="16"/>
  <c r="A14" i="42"/>
  <c r="K141" i="16"/>
  <c r="D141" i="16"/>
  <c r="A220" i="4"/>
  <c r="F221" i="4"/>
  <c r="F222" i="4" s="1"/>
  <c r="F223" i="4" s="1"/>
  <c r="F224" i="4" s="1"/>
  <c r="F225" i="4" s="1"/>
  <c r="L85" i="18"/>
  <c r="L86" i="18"/>
  <c r="A221" i="4"/>
  <c r="P77" i="16"/>
  <c r="P198" i="16"/>
  <c r="Q220" i="16"/>
  <c r="P220" i="16"/>
  <c r="Q22" i="16"/>
  <c r="Q88" i="16"/>
  <c r="P88" i="16"/>
  <c r="Q77" i="16"/>
  <c r="P66" i="16"/>
  <c r="Q121" i="16"/>
  <c r="Q11" i="16"/>
  <c r="P33" i="16"/>
  <c r="Q219" i="16"/>
  <c r="Q32" i="16"/>
  <c r="P186" i="16"/>
  <c r="Q66" i="16"/>
  <c r="Q44" i="16"/>
  <c r="L55" i="17"/>
  <c r="Q55" i="16"/>
  <c r="Q99" i="16"/>
  <c r="Q110" i="16"/>
  <c r="P55" i="16"/>
  <c r="P209" i="16"/>
  <c r="P121" i="16"/>
  <c r="P44" i="16"/>
  <c r="Q198" i="16"/>
  <c r="P110" i="16"/>
  <c r="P132" i="16"/>
  <c r="P11" i="16"/>
  <c r="P22" i="16"/>
  <c r="Q231" i="16"/>
  <c r="Q132" i="16"/>
  <c r="G66" i="17"/>
  <c r="L19" i="17"/>
  <c r="P119" i="16"/>
  <c r="P219" i="16"/>
  <c r="Q10" i="16"/>
  <c r="P118" i="16"/>
  <c r="P229" i="16"/>
  <c r="L41" i="17"/>
  <c r="P196" i="16"/>
  <c r="L64" i="17"/>
  <c r="L20" i="17"/>
  <c r="P131" i="16"/>
  <c r="Q54" i="16"/>
  <c r="Q128" i="16"/>
  <c r="L52" i="17"/>
  <c r="L43" i="17"/>
  <c r="P130" i="16"/>
  <c r="Q109" i="16"/>
  <c r="Q127" i="16"/>
  <c r="Q76" i="16"/>
  <c r="L31" i="17"/>
  <c r="Q108" i="16"/>
  <c r="P97" i="16"/>
  <c r="Q21" i="16"/>
  <c r="P98" i="16"/>
  <c r="Q240" i="16"/>
  <c r="Q206" i="16"/>
  <c r="Q131" i="16"/>
  <c r="P108" i="16"/>
  <c r="Q64" i="16"/>
  <c r="Q74" i="16"/>
  <c r="L54" i="17"/>
  <c r="P32" i="16"/>
  <c r="Q75" i="16"/>
  <c r="Q129" i="16"/>
  <c r="P43" i="16"/>
  <c r="Q63" i="16"/>
  <c r="Q119" i="16"/>
  <c r="P54" i="16"/>
  <c r="Q43" i="16"/>
  <c r="Q120" i="16"/>
  <c r="P208" i="16"/>
  <c r="Q97" i="16"/>
  <c r="Q228" i="16"/>
  <c r="L53" i="17"/>
  <c r="P109" i="16"/>
  <c r="P85" i="16"/>
  <c r="P197" i="16"/>
  <c r="P240" i="16"/>
  <c r="P86" i="16"/>
  <c r="Q217" i="16"/>
  <c r="P129" i="16"/>
  <c r="P120" i="16"/>
  <c r="Q196" i="16"/>
  <c r="P64" i="16"/>
  <c r="Q118" i="16"/>
  <c r="Q86" i="16"/>
  <c r="Q238" i="16"/>
  <c r="Q207" i="16"/>
  <c r="P87" i="16"/>
  <c r="P75" i="16"/>
  <c r="Q85" i="16"/>
  <c r="L32" i="17"/>
  <c r="Q208" i="16"/>
  <c r="P76" i="16"/>
  <c r="P207" i="16"/>
  <c r="Q195" i="16"/>
  <c r="Q239" i="16"/>
  <c r="Q130" i="16"/>
  <c r="P217" i="16"/>
  <c r="Q98" i="16"/>
  <c r="L51" i="17"/>
  <c r="Q218" i="16"/>
  <c r="Q241" i="16"/>
  <c r="Q107" i="16"/>
  <c r="P10" i="16"/>
  <c r="Q87" i="16"/>
  <c r="Q197" i="16"/>
  <c r="Q65" i="16"/>
  <c r="P65" i="16"/>
  <c r="P206" i="16"/>
  <c r="Q194" i="16"/>
  <c r="Q205" i="16"/>
  <c r="P241" i="16"/>
  <c r="Q204" i="16"/>
  <c r="P218" i="16"/>
  <c r="P21" i="16"/>
  <c r="Q53" i="16"/>
  <c r="Q42" i="16"/>
  <c r="P40" i="16"/>
  <c r="Q30" i="16"/>
  <c r="Q18" i="16"/>
  <c r="P20" i="16"/>
  <c r="Q6" i="16"/>
  <c r="P8" i="16"/>
  <c r="Q41" i="16"/>
  <c r="Q29" i="16"/>
  <c r="P31" i="16"/>
  <c r="Q17" i="16"/>
  <c r="P19" i="16"/>
  <c r="Q9" i="16"/>
  <c r="P41" i="16"/>
  <c r="P29" i="16"/>
  <c r="P9" i="16"/>
  <c r="P53" i="16"/>
  <c r="Q40" i="16"/>
  <c r="P42" i="16"/>
  <c r="P30" i="16"/>
  <c r="Q20" i="16"/>
  <c r="P18" i="16"/>
  <c r="Q8" i="16"/>
  <c r="Q31" i="16"/>
  <c r="Q19" i="16"/>
  <c r="Q7" i="16"/>
  <c r="K44" i="16"/>
  <c r="K242" i="16"/>
  <c r="D88" i="16"/>
  <c r="K132" i="16"/>
  <c r="H44" i="17"/>
  <c r="F124" i="18"/>
  <c r="H66" i="17"/>
  <c r="D132" i="16"/>
  <c r="F66" i="17"/>
  <c r="K88" i="16"/>
  <c r="F44" i="17"/>
  <c r="D44" i="16"/>
  <c r="K150" i="16"/>
  <c r="D154" i="16"/>
  <c r="K239" i="16"/>
  <c r="G64" i="17"/>
  <c r="F119" i="18"/>
  <c r="K87" i="16"/>
  <c r="D43" i="16"/>
  <c r="D129" i="16"/>
  <c r="E42" i="17"/>
  <c r="E43" i="17"/>
  <c r="G65" i="17"/>
  <c r="D86" i="16"/>
  <c r="F52" i="18"/>
  <c r="D55" i="16"/>
  <c r="D11" i="16"/>
  <c r="K110" i="16"/>
  <c r="K99" i="16"/>
  <c r="D66" i="16"/>
  <c r="K187" i="16"/>
  <c r="D231" i="16"/>
  <c r="F89" i="18"/>
  <c r="D187" i="16"/>
  <c r="K11" i="16"/>
  <c r="F17" i="18"/>
  <c r="H11" i="17"/>
  <c r="K231" i="16"/>
  <c r="F11" i="17"/>
  <c r="E22" i="17"/>
  <c r="K77" i="16"/>
  <c r="F16" i="18"/>
  <c r="F53" i="18"/>
  <c r="F22" i="17"/>
  <c r="G55" i="17"/>
  <c r="E11" i="17"/>
  <c r="D77" i="16"/>
  <c r="F33" i="17"/>
  <c r="H22" i="17"/>
  <c r="E33" i="17"/>
  <c r="G11" i="17"/>
  <c r="G22" i="17"/>
  <c r="D22" i="16"/>
  <c r="K121" i="16"/>
  <c r="D33" i="16"/>
  <c r="D121" i="16"/>
  <c r="F88" i="18"/>
  <c r="D99" i="16"/>
  <c r="K198" i="16"/>
  <c r="F125" i="18"/>
  <c r="G33" i="17"/>
  <c r="H33" i="17"/>
  <c r="K33" i="16"/>
  <c r="H55" i="17"/>
  <c r="K22" i="16"/>
  <c r="K66" i="16"/>
  <c r="K55" i="16"/>
  <c r="F15" i="18"/>
  <c r="D261" i="16"/>
  <c r="H63" i="17"/>
  <c r="G41" i="17"/>
  <c r="F115" i="18"/>
  <c r="K246" i="16"/>
  <c r="D257" i="16"/>
  <c r="D160" i="16"/>
  <c r="K138" i="16"/>
  <c r="D110" i="16"/>
  <c r="D158" i="16"/>
  <c r="D246" i="16"/>
  <c r="D260" i="16"/>
  <c r="D137" i="16"/>
  <c r="D258" i="16"/>
  <c r="K257" i="16"/>
  <c r="D259" i="16"/>
  <c r="D140" i="16"/>
  <c r="D159" i="16"/>
  <c r="K137" i="16"/>
  <c r="D150" i="16"/>
  <c r="D139" i="16"/>
  <c r="F86" i="18"/>
  <c r="F85" i="18"/>
  <c r="D218" i="16"/>
  <c r="F8" i="18"/>
  <c r="F84" i="18"/>
  <c r="K97" i="16"/>
  <c r="K120" i="16"/>
  <c r="F47" i="18"/>
  <c r="F11" i="18"/>
  <c r="G9" i="17"/>
  <c r="F54" i="17"/>
  <c r="K109" i="16"/>
  <c r="H52" i="17"/>
  <c r="F48" i="18"/>
  <c r="F87" i="18"/>
  <c r="F81" i="18"/>
  <c r="F46" i="18"/>
  <c r="F21" i="17"/>
  <c r="K118" i="16"/>
  <c r="D108" i="16"/>
  <c r="K108" i="16"/>
  <c r="D186" i="16"/>
  <c r="K65" i="16"/>
  <c r="E21" i="17"/>
  <c r="D54" i="16"/>
  <c r="G51" i="17"/>
  <c r="K230" i="16"/>
  <c r="F19" i="17"/>
  <c r="D119" i="16"/>
  <c r="H19" i="17"/>
  <c r="K184" i="16"/>
  <c r="K185" i="16"/>
  <c r="E52" i="17"/>
  <c r="H20" i="17"/>
  <c r="K219" i="16"/>
  <c r="K75" i="16"/>
  <c r="D32" i="16"/>
  <c r="K229" i="16"/>
  <c r="D75" i="16"/>
  <c r="H31" i="17"/>
  <c r="K10" i="16"/>
  <c r="F83" i="18"/>
  <c r="K186" i="16"/>
  <c r="F122" i="18"/>
  <c r="F49" i="18"/>
  <c r="K228" i="16"/>
  <c r="F10" i="17"/>
  <c r="K183" i="16"/>
  <c r="F12" i="18"/>
  <c r="K43" i="16"/>
  <c r="E53" i="17"/>
  <c r="D64" i="16"/>
  <c r="G31" i="17"/>
  <c r="K76" i="16"/>
  <c r="F32" i="17"/>
  <c r="K119" i="16"/>
  <c r="D97" i="16"/>
  <c r="E31" i="17"/>
  <c r="E9" i="17"/>
  <c r="K54" i="16"/>
  <c r="G8" i="17"/>
  <c r="K21" i="16"/>
  <c r="F50" i="18"/>
  <c r="T176" i="40"/>
  <c r="H32" i="17"/>
  <c r="F14" i="18"/>
  <c r="F20" i="17"/>
  <c r="F9" i="18"/>
  <c r="H9" i="17"/>
  <c r="F9" i="17"/>
  <c r="D98" i="16"/>
  <c r="D230" i="16"/>
  <c r="F123" i="18"/>
  <c r="F8" i="17"/>
  <c r="F45" i="18"/>
  <c r="K64" i="16"/>
  <c r="F64" i="17"/>
  <c r="K197" i="16"/>
  <c r="D120" i="16"/>
  <c r="H8" i="17"/>
  <c r="F51" i="18"/>
  <c r="F120" i="18"/>
  <c r="E10" i="17"/>
  <c r="E8" i="17"/>
  <c r="K107" i="16"/>
  <c r="K63" i="16"/>
  <c r="G32" i="17"/>
  <c r="D42" i="16"/>
  <c r="E20" i="17"/>
  <c r="D185" i="16"/>
  <c r="F121" i="18"/>
  <c r="E54" i="17"/>
  <c r="K194" i="16"/>
  <c r="H10" i="17"/>
  <c r="D118" i="16"/>
  <c r="D10" i="16"/>
  <c r="G10" i="17"/>
  <c r="F117" i="18"/>
  <c r="K86" i="16"/>
  <c r="D130" i="16"/>
  <c r="D65" i="16"/>
  <c r="G20" i="17"/>
  <c r="K238" i="16"/>
  <c r="H64" i="17"/>
  <c r="F63" i="17"/>
  <c r="F41" i="17"/>
  <c r="D241" i="16"/>
  <c r="F116" i="18"/>
  <c r="H62" i="17"/>
  <c r="K85" i="16"/>
  <c r="E64" i="17"/>
  <c r="D85" i="16"/>
  <c r="F65" i="17"/>
  <c r="H42" i="17"/>
  <c r="G62" i="17"/>
  <c r="D41" i="16"/>
  <c r="D87" i="16"/>
  <c r="D196" i="16"/>
  <c r="F62" i="17"/>
  <c r="G63" i="17"/>
  <c r="F118" i="18"/>
  <c r="E65" i="17"/>
  <c r="D240" i="16"/>
  <c r="K74" i="16"/>
  <c r="F82" i="18"/>
  <c r="D207" i="16"/>
  <c r="D21" i="16"/>
  <c r="F13" i="18"/>
  <c r="F10" i="18"/>
  <c r="K32" i="16"/>
  <c r="K98" i="16"/>
  <c r="D76" i="16"/>
  <c r="F31" i="17"/>
  <c r="K206" i="16"/>
  <c r="D229" i="16"/>
  <c r="G19" i="17"/>
  <c r="E32" i="17"/>
  <c r="E19" i="17"/>
  <c r="G21" i="17"/>
  <c r="H21" i="17"/>
  <c r="K241" i="16"/>
  <c r="D131" i="16"/>
  <c r="D109" i="16"/>
  <c r="D184" i="16"/>
  <c r="K131" i="16"/>
  <c r="K53" i="16"/>
  <c r="D31" i="16"/>
  <c r="D8" i="16"/>
  <c r="D20" i="16"/>
  <c r="K29" i="16"/>
  <c r="K20" i="16"/>
  <c r="K30" i="16"/>
  <c r="D30" i="16"/>
  <c r="D19" i="16"/>
  <c r="K18" i="16"/>
  <c r="K42" i="16"/>
  <c r="D53" i="16"/>
  <c r="K19" i="16"/>
  <c r="K31" i="16"/>
  <c r="D18" i="16"/>
  <c r="K127" i="16"/>
  <c r="K129" i="16"/>
  <c r="K128" i="16"/>
  <c r="K130" i="16"/>
  <c r="K41" i="16"/>
  <c r="K40" i="16"/>
  <c r="D40" i="16"/>
  <c r="K17" i="16"/>
  <c r="K8" i="16"/>
  <c r="K7" i="16"/>
  <c r="K9" i="16"/>
  <c r="T168" i="40"/>
  <c r="G43" i="17" l="1"/>
  <c r="H43" i="17"/>
  <c r="K208" i="16"/>
  <c r="A179" i="41"/>
  <c r="P246" i="16"/>
  <c r="Q250" i="16"/>
  <c r="Q246" i="16"/>
  <c r="K6" i="16"/>
  <c r="D9" i="16"/>
  <c r="K240" i="16"/>
  <c r="F42" i="17"/>
  <c r="E63" i="17"/>
  <c r="H41" i="17"/>
  <c r="H65" i="17"/>
  <c r="F43" i="17"/>
  <c r="K196" i="16"/>
  <c r="E62" i="17"/>
  <c r="K218" i="16"/>
  <c r="K204" i="16"/>
  <c r="D148" i="16"/>
  <c r="D152" i="16"/>
  <c r="K140" i="16"/>
  <c r="D138" i="16"/>
  <c r="D136" i="16"/>
  <c r="K195" i="16"/>
  <c r="D220" i="16"/>
  <c r="D209" i="16"/>
  <c r="K151" i="16"/>
  <c r="E41" i="17"/>
  <c r="K148" i="16"/>
  <c r="P185" i="16"/>
  <c r="P184" i="16"/>
  <c r="Q184" i="16"/>
  <c r="Q230" i="16"/>
  <c r="Q185" i="16"/>
  <c r="L21" i="17"/>
  <c r="P230" i="16"/>
  <c r="Q183" i="16"/>
  <c r="E44" i="17"/>
  <c r="Q186" i="16"/>
  <c r="A231" i="4"/>
  <c r="A36" i="43"/>
  <c r="A179" i="48"/>
  <c r="A168" i="40"/>
  <c r="Q249" i="16"/>
  <c r="D173" i="16"/>
  <c r="K173" i="16"/>
  <c r="P248" i="16"/>
  <c r="K170" i="16"/>
  <c r="Q248" i="16"/>
  <c r="P253" i="16"/>
  <c r="L82" i="18"/>
  <c r="N227" i="16"/>
  <c r="CA124" i="20"/>
  <c r="CA125" i="20"/>
  <c r="F245" i="4"/>
  <c r="A244" i="4"/>
  <c r="L114" i="18"/>
  <c r="D197" i="16"/>
  <c r="D206" i="16"/>
  <c r="D151" i="16"/>
  <c r="D147" i="16"/>
  <c r="K209" i="16"/>
  <c r="D153" i="16"/>
  <c r="K147" i="16"/>
  <c r="K152" i="16"/>
  <c r="G44" i="17"/>
  <c r="Q187" i="16"/>
  <c r="P252" i="16"/>
  <c r="Q247" i="16"/>
  <c r="K205" i="16"/>
  <c r="K207" i="16"/>
  <c r="D149" i="16"/>
  <c r="K153" i="16"/>
  <c r="K149" i="16"/>
  <c r="Q229" i="16"/>
  <c r="Q252" i="16"/>
  <c r="P251" i="16"/>
  <c r="A36" i="49"/>
  <c r="D68" i="13"/>
  <c r="C68" i="13"/>
  <c r="D60" i="13"/>
  <c r="C60" i="13"/>
  <c r="C55" i="13"/>
  <c r="D55" i="13"/>
  <c r="D38" i="13"/>
  <c r="C38" i="13"/>
  <c r="D33" i="13"/>
  <c r="C33" i="13"/>
  <c r="D12" i="13"/>
  <c r="C12" i="13"/>
  <c r="A75" i="20"/>
  <c r="A88" i="20"/>
  <c r="A120" i="20"/>
  <c r="A86" i="20"/>
  <c r="A89" i="20"/>
  <c r="A121" i="20"/>
  <c r="A78" i="20"/>
  <c r="A90" i="20"/>
  <c r="A77" i="20"/>
  <c r="A83" i="20"/>
  <c r="A115" i="20"/>
  <c r="A119" i="20"/>
  <c r="A100" i="20"/>
  <c r="A85" i="20"/>
  <c r="A110" i="20"/>
  <c r="A96" i="20"/>
  <c r="A128" i="20"/>
  <c r="A79" i="20"/>
  <c r="A97" i="20"/>
  <c r="A129" i="20"/>
  <c r="A118" i="20"/>
  <c r="A98" i="20"/>
  <c r="A117" i="20"/>
  <c r="A91" i="20"/>
  <c r="A123" i="20"/>
  <c r="A76" i="20"/>
  <c r="A108" i="20"/>
  <c r="A125" i="20"/>
  <c r="A87" i="20"/>
  <c r="A104" i="20"/>
  <c r="A114" i="20"/>
  <c r="A127" i="20"/>
  <c r="A105" i="20"/>
  <c r="A122" i="20"/>
  <c r="A111" i="20"/>
  <c r="A106" i="20"/>
  <c r="A94" i="20"/>
  <c r="A99" i="20"/>
  <c r="A93" i="20"/>
  <c r="A84" i="20"/>
  <c r="A116" i="20"/>
  <c r="A102" i="20"/>
  <c r="AA119" i="20"/>
  <c r="AA81" i="20"/>
  <c r="AA127" i="20"/>
  <c r="AA113" i="20"/>
  <c r="AA118" i="20"/>
  <c r="AA97" i="20"/>
  <c r="A239" i="4"/>
  <c r="A634" i="44"/>
  <c r="B629" i="44"/>
  <c r="A635" i="44"/>
  <c r="H585" i="44"/>
  <c r="A589" i="44"/>
  <c r="A592" i="44"/>
  <c r="V210" i="40"/>
  <c r="V299" i="50"/>
  <c r="V336" i="50"/>
  <c r="T336" i="50"/>
  <c r="T327" i="50"/>
  <c r="V327" i="50"/>
  <c r="T276" i="50"/>
  <c r="V276" i="50"/>
  <c r="A12" i="4"/>
  <c r="H13" i="4"/>
  <c r="H22" i="4"/>
  <c r="A21" i="4"/>
  <c r="H158" i="4"/>
  <c r="A157" i="4"/>
  <c r="DA83" i="20"/>
  <c r="DA88" i="20"/>
  <c r="BA121" i="20"/>
  <c r="BA123" i="20"/>
  <c r="BA125" i="20"/>
  <c r="BA80" i="20"/>
  <c r="D11" i="13"/>
  <c r="C58" i="13"/>
  <c r="C37" i="13"/>
  <c r="DA98" i="20"/>
  <c r="BA128" i="20"/>
  <c r="T342" i="44"/>
  <c r="Z342" i="44"/>
  <c r="H618" i="44"/>
  <c r="A624" i="44"/>
  <c r="T298" i="40"/>
  <c r="V298" i="40"/>
  <c r="T232" i="40"/>
  <c r="V232" i="40"/>
  <c r="V352" i="50"/>
  <c r="T352" i="50"/>
  <c r="T343" i="50"/>
  <c r="V343" i="50"/>
  <c r="T334" i="50"/>
  <c r="V334" i="50"/>
  <c r="V312" i="50"/>
  <c r="T312" i="50"/>
  <c r="V210" i="50"/>
  <c r="T210" i="50"/>
  <c r="H7" i="4"/>
  <c r="A6" i="4"/>
  <c r="H125" i="4"/>
  <c r="A124" i="4"/>
  <c r="A58" i="42"/>
  <c r="A240" i="4"/>
  <c r="A579" i="44"/>
  <c r="A576" i="44"/>
  <c r="A581" i="44"/>
  <c r="A580" i="44"/>
  <c r="H574" i="44"/>
  <c r="V265" i="40"/>
  <c r="T221" i="50"/>
  <c r="V338" i="50"/>
  <c r="T326" i="50"/>
  <c r="V326" i="50"/>
  <c r="V288" i="50"/>
  <c r="T288" i="50"/>
  <c r="H40" i="4"/>
  <c r="A39" i="4"/>
  <c r="H65" i="4"/>
  <c r="A64" i="4"/>
  <c r="H108" i="4"/>
  <c r="A107" i="4"/>
  <c r="DA125" i="20"/>
  <c r="BA89" i="20"/>
  <c r="BA124" i="20"/>
  <c r="A242" i="4"/>
  <c r="F277" i="4"/>
  <c r="F278" i="4" s="1"/>
  <c r="A276" i="4"/>
  <c r="A583" i="44"/>
  <c r="A638" i="44"/>
  <c r="A587" i="44"/>
  <c r="H629" i="44"/>
  <c r="A627" i="44"/>
  <c r="A600" i="44"/>
  <c r="H596" i="44"/>
  <c r="A603" i="44"/>
  <c r="T331" i="50"/>
  <c r="V331" i="50"/>
  <c r="V320" i="50"/>
  <c r="T320" i="50"/>
  <c r="H52" i="4"/>
  <c r="A52" i="4" s="1"/>
  <c r="A51" i="4"/>
  <c r="H73" i="4"/>
  <c r="A72" i="4"/>
  <c r="H90" i="4"/>
  <c r="A89" i="4"/>
  <c r="A609" i="44"/>
  <c r="N6" i="34"/>
  <c r="V6" i="34" s="1"/>
  <c r="N8" i="34"/>
  <c r="V8" i="34" s="1"/>
  <c r="N10" i="34"/>
  <c r="V10" i="34" s="1"/>
  <c r="V200" i="40"/>
  <c r="V299" i="40"/>
  <c r="V323" i="50"/>
  <c r="T244" i="50"/>
  <c r="F211" i="4"/>
  <c r="A210" i="4"/>
  <c r="L42" i="17"/>
  <c r="L44" i="17"/>
  <c r="L11" i="17"/>
  <c r="L8" i="17"/>
  <c r="L10" i="17"/>
  <c r="L9" i="17"/>
  <c r="L66" i="17"/>
  <c r="L63" i="17"/>
  <c r="L62" i="17"/>
  <c r="L65" i="17"/>
  <c r="A179" i="47"/>
  <c r="F55" i="17"/>
  <c r="E55" i="17"/>
  <c r="H53" i="17"/>
  <c r="F52" i="17"/>
  <c r="H51" i="17"/>
  <c r="E51" i="17"/>
  <c r="G53" i="17"/>
  <c r="G52" i="17"/>
  <c r="G54" i="17"/>
  <c r="F51" i="17"/>
  <c r="H54" i="17"/>
  <c r="F53" i="17"/>
  <c r="A179" i="40"/>
  <c r="B109" i="18"/>
  <c r="A37" i="19" s="1"/>
  <c r="A26" i="19"/>
  <c r="G223" i="4"/>
  <c r="A222" i="4"/>
  <c r="F233" i="4"/>
  <c r="A232" i="4"/>
  <c r="L14" i="18"/>
  <c r="K217" i="16"/>
  <c r="D217" i="16"/>
  <c r="D219" i="16"/>
  <c r="K139" i="16"/>
  <c r="K136" i="16"/>
  <c r="L113" i="18"/>
  <c r="L79" i="18"/>
  <c r="L45" i="18"/>
  <c r="D143" i="16"/>
  <c r="K142" i="16"/>
  <c r="K143" i="16"/>
  <c r="L10" i="18"/>
  <c r="L12" i="18"/>
  <c r="L88" i="18"/>
  <c r="L110" i="18"/>
  <c r="C8" i="13"/>
  <c r="D64" i="13"/>
  <c r="C96" i="13"/>
  <c r="L13" i="18"/>
  <c r="A25" i="41"/>
  <c r="N16" i="34"/>
  <c r="V16" i="34" s="1"/>
  <c r="S1" i="16"/>
  <c r="A243" i="4"/>
  <c r="J1" i="18"/>
  <c r="N1" i="17"/>
  <c r="A241" i="4"/>
  <c r="A277" i="4"/>
  <c r="A602" i="44"/>
  <c r="A622" i="44"/>
  <c r="AG586" i="44"/>
  <c r="S586" i="44" s="1"/>
  <c r="AF586" i="44"/>
  <c r="R586" i="44" s="1"/>
  <c r="AG585" i="44"/>
  <c r="S585" i="44" s="1"/>
  <c r="V321" i="40"/>
  <c r="T221" i="40"/>
  <c r="V287" i="40"/>
  <c r="V332" i="40"/>
  <c r="V276" i="40"/>
  <c r="T277" i="40"/>
  <c r="V255" i="40"/>
  <c r="V309" i="40"/>
  <c r="T222" i="40"/>
  <c r="T310" i="40"/>
  <c r="V254" i="40"/>
  <c r="T233" i="40"/>
  <c r="V320" i="40"/>
  <c r="A152" i="4"/>
  <c r="H153" i="4"/>
  <c r="A153" i="4" s="1"/>
  <c r="B618" i="44"/>
  <c r="A620" i="44"/>
  <c r="A623" i="44"/>
  <c r="B596" i="44"/>
  <c r="A598" i="44"/>
  <c r="A601" i="44"/>
  <c r="A605" i="44"/>
  <c r="V243" i="40"/>
  <c r="T243" i="40"/>
  <c r="A34" i="4"/>
  <c r="H35" i="4"/>
  <c r="A35" i="4" s="1"/>
  <c r="H101" i="4"/>
  <c r="A101" i="4" s="1"/>
  <c r="A100" i="4"/>
  <c r="H117" i="4"/>
  <c r="A116" i="4"/>
  <c r="A125" i="4"/>
  <c r="H126" i="4"/>
  <c r="V347" i="50"/>
  <c r="T199" i="48"/>
  <c r="T211" i="48"/>
  <c r="T222" i="48"/>
  <c r="T232" i="48"/>
  <c r="T244" i="48"/>
  <c r="T254" i="48"/>
  <c r="V255" i="48"/>
  <c r="T265" i="48"/>
  <c r="T277" i="48"/>
  <c r="T287" i="48"/>
  <c r="T299" i="48"/>
  <c r="T309" i="48"/>
  <c r="T321" i="48"/>
  <c r="T331" i="48"/>
  <c r="T343" i="48"/>
  <c r="T313" i="49"/>
  <c r="T315" i="49"/>
  <c r="T277" i="50"/>
  <c r="T287" i="50"/>
  <c r="T319" i="50"/>
  <c r="T332" i="50"/>
  <c r="T345" i="50"/>
  <c r="V346" i="50"/>
  <c r="V351" i="50"/>
  <c r="M1" i="17"/>
  <c r="N14" i="34" s="1"/>
  <c r="N15" i="34"/>
  <c r="V15" i="34" s="1"/>
  <c r="L123" i="18"/>
  <c r="L120" i="18"/>
  <c r="L124" i="18"/>
  <c r="L116" i="18"/>
  <c r="L115" i="18"/>
  <c r="M123" i="18" s="1"/>
  <c r="L118" i="18"/>
  <c r="L121" i="18"/>
  <c r="L125" i="18"/>
  <c r="L122" i="18"/>
  <c r="L112" i="18"/>
  <c r="L119" i="18"/>
  <c r="L117" i="18"/>
  <c r="L111" i="18"/>
  <c r="L74" i="18"/>
  <c r="M74" i="18" s="1"/>
  <c r="S74" i="18" s="1"/>
  <c r="O74" i="18" s="1"/>
  <c r="L75" i="18"/>
  <c r="L78" i="18"/>
  <c r="M86" i="18" s="1"/>
  <c r="L83" i="18"/>
  <c r="L76" i="18"/>
  <c r="L84" i="18"/>
  <c r="M84" i="18" s="1"/>
  <c r="L81" i="18"/>
  <c r="L87" i="18"/>
  <c r="M87" i="18" s="1"/>
  <c r="S87" i="18" s="1"/>
  <c r="L89" i="18"/>
  <c r="L77" i="18"/>
  <c r="M77" i="18" s="1"/>
  <c r="R77" i="18" s="1"/>
  <c r="N77" i="18" s="1"/>
  <c r="L80" i="18"/>
  <c r="M88" i="18" s="1"/>
  <c r="M79" i="18"/>
  <c r="R79" i="18" s="1"/>
  <c r="N79" i="18" s="1"/>
  <c r="M82" i="18"/>
  <c r="R82" i="18" s="1"/>
  <c r="N82" i="18" s="1"/>
  <c r="O87" i="18"/>
  <c r="L38" i="18"/>
  <c r="A58" i="49"/>
  <c r="A69" i="48"/>
  <c r="L42" i="18"/>
  <c r="L43" i="18"/>
  <c r="L52" i="18"/>
  <c r="L49" i="18"/>
  <c r="L41" i="18"/>
  <c r="L39" i="18"/>
  <c r="L51" i="18"/>
  <c r="L50" i="18"/>
  <c r="L40" i="18"/>
  <c r="M48" i="18" s="1"/>
  <c r="L46" i="18"/>
  <c r="L44" i="18"/>
  <c r="L53" i="18"/>
  <c r="L47" i="18"/>
  <c r="L8" i="18"/>
  <c r="L3" i="18"/>
  <c r="L15" i="18"/>
  <c r="L9" i="18"/>
  <c r="M9" i="18" s="1"/>
  <c r="R9" i="18" s="1"/>
  <c r="L17" i="18"/>
  <c r="M4" i="18"/>
  <c r="R4" i="18" s="1"/>
  <c r="A69" i="40"/>
  <c r="L2" i="18"/>
  <c r="M10" i="18" s="1"/>
  <c r="L7" i="18"/>
  <c r="L16" i="18"/>
  <c r="M12" i="18"/>
  <c r="R12" i="18" s="1"/>
  <c r="N12" i="18" s="1"/>
  <c r="A69" i="41"/>
  <c r="A69" i="47"/>
  <c r="L5" i="18"/>
  <c r="M5" i="18" s="1"/>
  <c r="R5" i="18" s="1"/>
  <c r="L11" i="18"/>
  <c r="L6" i="18"/>
  <c r="M14" i="18" s="1"/>
  <c r="S14" i="18" s="1"/>
  <c r="N9" i="34"/>
  <c r="V9" i="34" s="1"/>
  <c r="R1" i="16"/>
  <c r="N4" i="34" s="1"/>
  <c r="N7" i="34"/>
  <c r="V7" i="34" s="1"/>
  <c r="N5" i="34"/>
  <c r="V5" i="34" s="1"/>
  <c r="E574" i="44"/>
  <c r="E585" i="44"/>
  <c r="E596" i="44"/>
  <c r="E607" i="44"/>
  <c r="E629" i="44"/>
  <c r="V233" i="50"/>
  <c r="T243" i="50"/>
  <c r="V210" i="48"/>
  <c r="V199" i="40"/>
  <c r="A3" i="48"/>
  <c r="A14" i="40"/>
  <c r="A25" i="49"/>
  <c r="A36" i="50"/>
  <c r="A47" i="42"/>
  <c r="A25" i="40"/>
  <c r="A25" i="47"/>
  <c r="A47" i="40"/>
  <c r="A3" i="50"/>
  <c r="A14" i="47"/>
  <c r="A36" i="42"/>
  <c r="A3" i="41"/>
  <c r="A25" i="48"/>
  <c r="A3" i="43"/>
  <c r="A3" i="49"/>
  <c r="A25" i="43"/>
  <c r="A58" i="47"/>
  <c r="A80" i="40"/>
  <c r="A14" i="49"/>
  <c r="A14" i="41"/>
  <c r="A36" i="48"/>
  <c r="A47" i="43"/>
  <c r="A47" i="47"/>
  <c r="A80" i="41"/>
  <c r="A36" i="47"/>
  <c r="A47" i="50"/>
  <c r="A58" i="48"/>
  <c r="A47" i="41"/>
  <c r="A25" i="50"/>
  <c r="A80" i="48"/>
  <c r="A47" i="48"/>
  <c r="A36" i="41"/>
  <c r="A3" i="42"/>
  <c r="A14" i="43"/>
  <c r="A36" i="40"/>
  <c r="A47" i="49"/>
  <c r="A14" i="48"/>
  <c r="A58" i="40"/>
  <c r="A3" i="47"/>
  <c r="A58" i="41"/>
  <c r="A25" i="42"/>
  <c r="A35" i="6"/>
  <c r="A163" i="14"/>
  <c r="A355" i="6"/>
  <c r="K357" i="6" s="1"/>
  <c r="A67" i="6"/>
  <c r="A35" i="14"/>
  <c r="A131" i="14"/>
  <c r="K164" i="14"/>
  <c r="A259" i="6"/>
  <c r="A131" i="6"/>
  <c r="A3" i="14"/>
  <c r="A323" i="6"/>
  <c r="A227" i="6"/>
  <c r="A451" i="6"/>
  <c r="A387" i="6"/>
  <c r="A483" i="6"/>
  <c r="A163" i="6"/>
  <c r="A67" i="14"/>
  <c r="A3" i="6"/>
  <c r="A291" i="6"/>
  <c r="A419" i="6"/>
  <c r="A99" i="14"/>
  <c r="A99" i="6"/>
  <c r="K36" i="14"/>
  <c r="K452" i="6"/>
  <c r="K421" i="6"/>
  <c r="K197" i="6"/>
  <c r="K69" i="6"/>
  <c r="K4" i="14"/>
  <c r="S420" i="6"/>
  <c r="S36" i="6"/>
  <c r="S100" i="6"/>
  <c r="K228" i="6"/>
  <c r="K388" i="6"/>
  <c r="K324" i="6"/>
  <c r="K420" i="6"/>
  <c r="K100" i="14"/>
  <c r="E1" i="34"/>
  <c r="B1" i="50" s="1"/>
  <c r="K260" i="6"/>
  <c r="K132" i="6"/>
  <c r="J1" i="44"/>
  <c r="AC132" i="14"/>
  <c r="AC4" i="14"/>
  <c r="S260" i="6"/>
  <c r="S484" i="6"/>
  <c r="S452" i="6"/>
  <c r="AC100" i="14"/>
  <c r="S324" i="6"/>
  <c r="S356" i="6"/>
  <c r="AC164" i="14"/>
  <c r="S4" i="6"/>
  <c r="S132" i="6"/>
  <c r="S228" i="6"/>
  <c r="S164" i="6"/>
  <c r="S68" i="6"/>
  <c r="S388" i="6"/>
  <c r="AC36" i="14"/>
  <c r="S292" i="6"/>
  <c r="S196" i="6"/>
  <c r="E2" i="34"/>
  <c r="K68" i="14"/>
  <c r="K132" i="14"/>
  <c r="K68" i="6"/>
  <c r="K100" i="6"/>
  <c r="K196" i="6"/>
  <c r="K36" i="6"/>
  <c r="K1" i="44"/>
  <c r="K484" i="6"/>
  <c r="K356" i="6"/>
  <c r="K292" i="6"/>
  <c r="K164" i="6"/>
  <c r="H91" i="4" l="1"/>
  <c r="A90" i="4"/>
  <c r="H109" i="4"/>
  <c r="A109" i="4" s="1"/>
  <c r="A108" i="4"/>
  <c r="H41" i="4"/>
  <c r="A40" i="4"/>
  <c r="H14" i="4"/>
  <c r="A13" i="4"/>
  <c r="F246" i="4"/>
  <c r="A246" i="4" s="1"/>
  <c r="A245" i="4"/>
  <c r="H159" i="4"/>
  <c r="A158" i="4"/>
  <c r="B1" i="42"/>
  <c r="M16" i="18"/>
  <c r="R87" i="18"/>
  <c r="N87" i="18" s="1"/>
  <c r="H74" i="4"/>
  <c r="A74" i="4" s="1"/>
  <c r="A73" i="4"/>
  <c r="F279" i="4"/>
  <c r="A278" i="4"/>
  <c r="H66" i="4"/>
  <c r="A66" i="4" s="1"/>
  <c r="A65" i="4"/>
  <c r="H8" i="4"/>
  <c r="A8" i="4" s="1"/>
  <c r="A7" i="4"/>
  <c r="A637" i="44"/>
  <c r="L630" i="44"/>
  <c r="AF584" i="44"/>
  <c r="R584" i="44" s="1"/>
  <c r="AF585" i="44"/>
  <c r="R585" i="44" s="1"/>
  <c r="AG584" i="44"/>
  <c r="S584" i="44" s="1"/>
  <c r="H23" i="4"/>
  <c r="A22" i="4"/>
  <c r="H118" i="4"/>
  <c r="A118" i="4" s="1"/>
  <c r="A117" i="4"/>
  <c r="A604" i="44"/>
  <c r="L597" i="44"/>
  <c r="S4" i="18"/>
  <c r="O4" i="18" s="1"/>
  <c r="H127" i="4"/>
  <c r="A127" i="4" s="1"/>
  <c r="A126" i="4"/>
  <c r="A626" i="44"/>
  <c r="L619" i="44"/>
  <c r="A233" i="4"/>
  <c r="F234" i="4"/>
  <c r="G224" i="4"/>
  <c r="A223" i="4"/>
  <c r="F212" i="4"/>
  <c r="A211" i="4"/>
  <c r="M112" i="18"/>
  <c r="M116" i="18"/>
  <c r="M111" i="18"/>
  <c r="S111" i="18" s="1"/>
  <c r="M122" i="18"/>
  <c r="R122" i="18" s="1"/>
  <c r="M124" i="18"/>
  <c r="R124" i="18" s="1"/>
  <c r="S123" i="18"/>
  <c r="O123" i="18" s="1"/>
  <c r="R123" i="18"/>
  <c r="N123" i="18" s="1"/>
  <c r="M120" i="18"/>
  <c r="M117" i="18"/>
  <c r="S117" i="18" s="1"/>
  <c r="M125" i="18"/>
  <c r="M118" i="18"/>
  <c r="S118" i="18" s="1"/>
  <c r="M110" i="18"/>
  <c r="M119" i="18"/>
  <c r="S119" i="18" s="1"/>
  <c r="M121" i="18"/>
  <c r="S121" i="18" s="1"/>
  <c r="M115" i="18"/>
  <c r="R115" i="18" s="1"/>
  <c r="M114" i="18"/>
  <c r="M113" i="18"/>
  <c r="M78" i="18"/>
  <c r="S78" i="18" s="1"/>
  <c r="O78" i="18" s="1"/>
  <c r="M83" i="18"/>
  <c r="R83" i="18" s="1"/>
  <c r="N83" i="18" s="1"/>
  <c r="R86" i="18"/>
  <c r="N86" i="18" s="1"/>
  <c r="S86" i="18"/>
  <c r="M85" i="18"/>
  <c r="S85" i="18" s="1"/>
  <c r="O85" i="18" s="1"/>
  <c r="S83" i="18"/>
  <c r="O83" i="18" s="1"/>
  <c r="R74" i="18"/>
  <c r="S77" i="18"/>
  <c r="M75" i="18"/>
  <c r="R75" i="18" s="1"/>
  <c r="M76" i="18"/>
  <c r="M81" i="18"/>
  <c r="S81" i="18" s="1"/>
  <c r="O81" i="18" s="1"/>
  <c r="S79" i="18"/>
  <c r="O79" i="18" s="1"/>
  <c r="S82" i="18"/>
  <c r="O82" i="18" s="1"/>
  <c r="R88" i="18"/>
  <c r="N88" i="18" s="1"/>
  <c r="S88" i="18"/>
  <c r="O88" i="18" s="1"/>
  <c r="M80" i="18"/>
  <c r="S80" i="18" s="1"/>
  <c r="O80" i="18" s="1"/>
  <c r="M89" i="18"/>
  <c r="S89" i="18" s="1"/>
  <c r="O89" i="18" s="1"/>
  <c r="R85" i="18"/>
  <c r="R78" i="18"/>
  <c r="R80" i="18"/>
  <c r="N80" i="18" s="1"/>
  <c r="S75" i="18"/>
  <c r="O75" i="18" s="1"/>
  <c r="S84" i="18"/>
  <c r="R84" i="18"/>
  <c r="N84" i="18" s="1"/>
  <c r="R48" i="18"/>
  <c r="N48" i="18" s="1"/>
  <c r="S48" i="18"/>
  <c r="M46" i="18"/>
  <c r="R46" i="18" s="1"/>
  <c r="M47" i="18"/>
  <c r="S47" i="18" s="1"/>
  <c r="M51" i="18"/>
  <c r="R51" i="18" s="1"/>
  <c r="M53" i="18"/>
  <c r="R53" i="18" s="1"/>
  <c r="M50" i="18"/>
  <c r="R50" i="18" s="1"/>
  <c r="M39" i="18"/>
  <c r="S39" i="18" s="1"/>
  <c r="M43" i="18"/>
  <c r="M42" i="18"/>
  <c r="M49" i="18"/>
  <c r="M40" i="18"/>
  <c r="S40" i="18" s="1"/>
  <c r="M52" i="18"/>
  <c r="R52" i="18" s="1"/>
  <c r="M44" i="18"/>
  <c r="S44" i="18" s="1"/>
  <c r="M41" i="18"/>
  <c r="M38" i="18"/>
  <c r="M45" i="18"/>
  <c r="M17" i="18"/>
  <c r="S17" i="18" s="1"/>
  <c r="O17" i="18" s="1"/>
  <c r="S12" i="18"/>
  <c r="S9" i="18"/>
  <c r="S5" i="18"/>
  <c r="O5" i="18" s="1"/>
  <c r="M13" i="18"/>
  <c r="S16" i="18"/>
  <c r="O16" i="18" s="1"/>
  <c r="M11" i="18"/>
  <c r="M2" i="18"/>
  <c r="S2" i="18" s="1"/>
  <c r="M3" i="18"/>
  <c r="R14" i="18"/>
  <c r="N14" i="18" s="1"/>
  <c r="O14" i="18"/>
  <c r="R16" i="18"/>
  <c r="N16" i="18" s="1"/>
  <c r="M6" i="18"/>
  <c r="R6" i="18" s="1"/>
  <c r="M7" i="18"/>
  <c r="S7" i="18" s="1"/>
  <c r="M15" i="18"/>
  <c r="M8" i="18"/>
  <c r="S10" i="18"/>
  <c r="O10" i="18" s="1"/>
  <c r="R10" i="18"/>
  <c r="O9" i="18"/>
  <c r="N9" i="18"/>
  <c r="K101" i="6"/>
  <c r="K101" i="14"/>
  <c r="K453" i="6"/>
  <c r="K37" i="14"/>
  <c r="K229" i="6"/>
  <c r="A4" i="12"/>
  <c r="A146" i="48" s="1"/>
  <c r="K69" i="14"/>
  <c r="K165" i="14"/>
  <c r="B1" i="49"/>
  <c r="B1" i="19"/>
  <c r="K37" i="6"/>
  <c r="K5" i="14"/>
  <c r="A180" i="12"/>
  <c r="K5" i="6"/>
  <c r="K165" i="6"/>
  <c r="K133" i="6"/>
  <c r="K261" i="6"/>
  <c r="K485" i="6"/>
  <c r="K325" i="6"/>
  <c r="K389" i="6"/>
  <c r="K293" i="6"/>
  <c r="K133" i="14"/>
  <c r="B1" i="41"/>
  <c r="B1" i="48"/>
  <c r="B1" i="47"/>
  <c r="B1" i="16"/>
  <c r="B1" i="17"/>
  <c r="B1" i="40"/>
  <c r="B1" i="43"/>
  <c r="B1" i="12"/>
  <c r="L1" i="50"/>
  <c r="L1" i="43"/>
  <c r="L1" i="47"/>
  <c r="L1" i="40"/>
  <c r="L1" i="48"/>
  <c r="L1" i="41"/>
  <c r="L1" i="42"/>
  <c r="L1" i="16"/>
  <c r="L1" i="19"/>
  <c r="L1" i="12"/>
  <c r="L1" i="49"/>
  <c r="H1" i="17"/>
  <c r="H160" i="4" l="1"/>
  <c r="A159" i="4"/>
  <c r="H15" i="4"/>
  <c r="A14" i="4"/>
  <c r="F280" i="4"/>
  <c r="A279" i="4"/>
  <c r="H24" i="4"/>
  <c r="A23" i="4"/>
  <c r="H42" i="4"/>
  <c r="A41" i="4"/>
  <c r="H92" i="4"/>
  <c r="A92" i="4" s="1"/>
  <c r="A91" i="4"/>
  <c r="F235" i="4"/>
  <c r="A235" i="4" s="1"/>
  <c r="A234" i="4"/>
  <c r="F213" i="4"/>
  <c r="A212" i="4"/>
  <c r="G225" i="4"/>
  <c r="A225" i="4" s="1"/>
  <c r="A224" i="4"/>
  <c r="S122" i="18"/>
  <c r="R111" i="18"/>
  <c r="S124" i="18"/>
  <c r="R117" i="18"/>
  <c r="O121" i="18"/>
  <c r="O118" i="18"/>
  <c r="R114" i="18"/>
  <c r="N114" i="18" s="1"/>
  <c r="S114" i="18"/>
  <c r="O114" i="18" s="1"/>
  <c r="N115" i="18"/>
  <c r="R121" i="18"/>
  <c r="N121" i="18" s="1"/>
  <c r="S110" i="18"/>
  <c r="O110" i="18" s="1"/>
  <c r="R110" i="18"/>
  <c r="R125" i="18"/>
  <c r="N125" i="18" s="1"/>
  <c r="N122" i="18"/>
  <c r="O122" i="18"/>
  <c r="R116" i="18"/>
  <c r="N116" i="18" s="1"/>
  <c r="S112" i="18"/>
  <c r="O112" i="18" s="1"/>
  <c r="O119" i="18"/>
  <c r="R120" i="18"/>
  <c r="N120" i="18" s="1"/>
  <c r="S120" i="18"/>
  <c r="S113" i="18"/>
  <c r="O113" i="18" s="1"/>
  <c r="R113" i="18"/>
  <c r="S115" i="18"/>
  <c r="O115" i="18" s="1"/>
  <c r="R119" i="18"/>
  <c r="R118" i="18"/>
  <c r="N118" i="18" s="1"/>
  <c r="S125" i="18"/>
  <c r="O125" i="18" s="1"/>
  <c r="O117" i="18"/>
  <c r="N117" i="18"/>
  <c r="O124" i="18"/>
  <c r="N124" i="18"/>
  <c r="O111" i="18"/>
  <c r="S116" i="18"/>
  <c r="O116" i="18" s="1"/>
  <c r="R112" i="18"/>
  <c r="R81" i="18"/>
  <c r="N81" i="18" s="1"/>
  <c r="S76" i="18"/>
  <c r="O76" i="18" s="1"/>
  <c r="R76" i="18"/>
  <c r="N85" i="18" s="1"/>
  <c r="O77" i="18"/>
  <c r="R89" i="18"/>
  <c r="N89" i="18" s="1"/>
  <c r="N75" i="18"/>
  <c r="R44" i="18"/>
  <c r="S46" i="18"/>
  <c r="O46" i="18" s="1"/>
  <c r="S52" i="18"/>
  <c r="R38" i="18"/>
  <c r="N38" i="18" s="1"/>
  <c r="S38" i="18"/>
  <c r="O38" i="18" s="1"/>
  <c r="S42" i="18"/>
  <c r="O42" i="18" s="1"/>
  <c r="R42" i="18"/>
  <c r="O39" i="18"/>
  <c r="R43" i="18"/>
  <c r="N43" i="18" s="1"/>
  <c r="S43" i="18"/>
  <c r="O43" i="18" s="1"/>
  <c r="N53" i="18"/>
  <c r="N51" i="18"/>
  <c r="S41" i="18"/>
  <c r="O41" i="18" s="1"/>
  <c r="N44" i="18"/>
  <c r="O44" i="18"/>
  <c r="O40" i="18"/>
  <c r="R49" i="18"/>
  <c r="N49" i="18" s="1"/>
  <c r="N50" i="18"/>
  <c r="S53" i="18"/>
  <c r="O53" i="18" s="1"/>
  <c r="R45" i="18"/>
  <c r="N45" i="18" s="1"/>
  <c r="S45" i="18"/>
  <c r="O45" i="18" s="1"/>
  <c r="R41" i="18"/>
  <c r="N52" i="18"/>
  <c r="O52" i="18"/>
  <c r="R40" i="18"/>
  <c r="S49" i="18"/>
  <c r="R39" i="18"/>
  <c r="S50" i="18"/>
  <c r="O50" i="18" s="1"/>
  <c r="S51" i="18"/>
  <c r="O51" i="18" s="1"/>
  <c r="R47" i="18"/>
  <c r="N47" i="18" s="1"/>
  <c r="N46" i="18"/>
  <c r="R17" i="18"/>
  <c r="N17" i="18" s="1"/>
  <c r="S13" i="18"/>
  <c r="O13" i="18" s="1"/>
  <c r="R13" i="18"/>
  <c r="N13" i="18" s="1"/>
  <c r="R2" i="18"/>
  <c r="N2" i="18" s="1"/>
  <c r="S15" i="18"/>
  <c r="O15" i="18" s="1"/>
  <c r="R15" i="18"/>
  <c r="N15" i="18" s="1"/>
  <c r="S6" i="18"/>
  <c r="O6" i="18" s="1"/>
  <c r="R3" i="18"/>
  <c r="N3" i="18" s="1"/>
  <c r="S3" i="18"/>
  <c r="O3" i="18" s="1"/>
  <c r="O7" i="18"/>
  <c r="R11" i="18"/>
  <c r="N11" i="18" s="1"/>
  <c r="R7" i="18"/>
  <c r="S11" i="18"/>
  <c r="O11" i="18" s="1"/>
  <c r="S8" i="18"/>
  <c r="O8" i="18" s="1"/>
  <c r="R8" i="18"/>
  <c r="N8" i="18" s="1"/>
  <c r="A146" i="41"/>
  <c r="H25" i="4" l="1"/>
  <c r="A25" i="4" s="1"/>
  <c r="A24" i="4"/>
  <c r="A15" i="4"/>
  <c r="H16" i="4"/>
  <c r="H43" i="4"/>
  <c r="A42" i="4"/>
  <c r="F281" i="4"/>
  <c r="A280" i="4"/>
  <c r="H161" i="4"/>
  <c r="A160" i="4"/>
  <c r="A213" i="4"/>
  <c r="F214" i="4"/>
  <c r="N110" i="18"/>
  <c r="O120" i="18"/>
  <c r="E141" i="18" s="1"/>
  <c r="N111" i="18"/>
  <c r="N112" i="18"/>
  <c r="N113" i="18"/>
  <c r="N119" i="18"/>
  <c r="E138" i="18"/>
  <c r="E142" i="18"/>
  <c r="E136" i="18"/>
  <c r="E137" i="18"/>
  <c r="O84" i="18"/>
  <c r="O86" i="18"/>
  <c r="E102" i="18" s="1"/>
  <c r="E100" i="18"/>
  <c r="E103" i="18"/>
  <c r="F103" i="18" s="1"/>
  <c r="N78" i="18"/>
  <c r="N74" i="18"/>
  <c r="E94" i="18" s="1"/>
  <c r="N76" i="18"/>
  <c r="E92" i="18" s="1"/>
  <c r="H100" i="18"/>
  <c r="O47" i="18"/>
  <c r="N42" i="18"/>
  <c r="O48" i="18"/>
  <c r="E65" i="18" s="1"/>
  <c r="N40" i="18"/>
  <c r="N39" i="18"/>
  <c r="E56" i="18" s="1"/>
  <c r="O49" i="18"/>
  <c r="N41" i="18"/>
  <c r="E60" i="18" s="1"/>
  <c r="E62" i="18"/>
  <c r="N6" i="18"/>
  <c r="N10" i="18"/>
  <c r="O2" i="18"/>
  <c r="N4" i="18"/>
  <c r="E19" i="18" s="1"/>
  <c r="N5" i="18"/>
  <c r="N7" i="18"/>
  <c r="E24" i="18" s="1"/>
  <c r="O12" i="18"/>
  <c r="E33" i="18" s="1"/>
  <c r="H103" i="18" l="1"/>
  <c r="H17" i="4"/>
  <c r="A17" i="4" s="1"/>
  <c r="D17" i="5" s="1"/>
  <c r="Y6" i="4" s="1"/>
  <c r="A16" i="4"/>
  <c r="F282" i="4"/>
  <c r="A282" i="4" s="1"/>
  <c r="A281" i="4"/>
  <c r="E23" i="18"/>
  <c r="E58" i="18"/>
  <c r="E64" i="18"/>
  <c r="H162" i="4"/>
  <c r="A161" i="4"/>
  <c r="H44" i="4"/>
  <c r="A44" i="4" s="1"/>
  <c r="A43" i="4"/>
  <c r="E21" i="18"/>
  <c r="E25" i="18"/>
  <c r="E61" i="18"/>
  <c r="E57" i="18"/>
  <c r="E104" i="18"/>
  <c r="E139" i="18"/>
  <c r="E143" i="18"/>
  <c r="E140" i="18"/>
  <c r="F215" i="4"/>
  <c r="A215" i="4" s="1"/>
  <c r="A214" i="4"/>
  <c r="U2" i="5"/>
  <c r="E132" i="18"/>
  <c r="F132" i="18" s="1"/>
  <c r="E127" i="18"/>
  <c r="H139" i="18"/>
  <c r="F139" i="18"/>
  <c r="F140" i="18"/>
  <c r="H140" i="18"/>
  <c r="E133" i="18"/>
  <c r="E130" i="18"/>
  <c r="H136" i="18"/>
  <c r="F138" i="18"/>
  <c r="H138" i="18"/>
  <c r="E131" i="18"/>
  <c r="H127" i="18"/>
  <c r="H143" i="18"/>
  <c r="F143" i="18"/>
  <c r="H141" i="18"/>
  <c r="F141" i="18"/>
  <c r="E134" i="18"/>
  <c r="E128" i="18"/>
  <c r="H137" i="18"/>
  <c r="F137" i="18"/>
  <c r="H142" i="18"/>
  <c r="F142" i="18"/>
  <c r="E129" i="18"/>
  <c r="E96" i="18"/>
  <c r="E107" i="18"/>
  <c r="H104" i="18"/>
  <c r="H102" i="18"/>
  <c r="E105" i="18"/>
  <c r="F104" i="18"/>
  <c r="F107" i="18"/>
  <c r="E106" i="18"/>
  <c r="E101" i="18"/>
  <c r="E93" i="18"/>
  <c r="E98" i="18"/>
  <c r="H98" i="18" s="1"/>
  <c r="E91" i="18"/>
  <c r="E95" i="18"/>
  <c r="H95" i="18" s="1"/>
  <c r="E97" i="18"/>
  <c r="F97" i="18" s="1"/>
  <c r="H94" i="18"/>
  <c r="F96" i="18"/>
  <c r="H92" i="18"/>
  <c r="E55" i="18"/>
  <c r="E70" i="18"/>
  <c r="H70" i="18" s="1"/>
  <c r="E59" i="18"/>
  <c r="E66" i="18"/>
  <c r="H66" i="18" s="1"/>
  <c r="E71" i="18"/>
  <c r="H71" i="18" s="1"/>
  <c r="E69" i="18"/>
  <c r="F69" i="18" s="1"/>
  <c r="E67" i="18"/>
  <c r="E68" i="18"/>
  <c r="H68" i="18" s="1"/>
  <c r="F61" i="18"/>
  <c r="H61" i="18"/>
  <c r="H58" i="18"/>
  <c r="G58" i="18"/>
  <c r="F68" i="18"/>
  <c r="H62" i="18"/>
  <c r="F62" i="18"/>
  <c r="H59" i="18"/>
  <c r="F59" i="18"/>
  <c r="F71" i="18"/>
  <c r="H55" i="18"/>
  <c r="H56" i="18"/>
  <c r="H65" i="18"/>
  <c r="F60" i="18"/>
  <c r="H60" i="18"/>
  <c r="H57" i="18"/>
  <c r="H64" i="18"/>
  <c r="H67" i="18"/>
  <c r="F67" i="18"/>
  <c r="H19" i="18"/>
  <c r="E26" i="18"/>
  <c r="H26" i="18" s="1"/>
  <c r="E22" i="18"/>
  <c r="H22" i="18" s="1"/>
  <c r="H33" i="18"/>
  <c r="F33" i="18"/>
  <c r="H25" i="18"/>
  <c r="F25" i="18"/>
  <c r="E34" i="18"/>
  <c r="E31" i="18"/>
  <c r="E30" i="18"/>
  <c r="E35" i="18"/>
  <c r="E28" i="18"/>
  <c r="E29" i="18"/>
  <c r="E20" i="18"/>
  <c r="H20" i="18" s="1"/>
  <c r="E32" i="18"/>
  <c r="H24" i="18"/>
  <c r="F24" i="18"/>
  <c r="H23" i="18"/>
  <c r="F23" i="18"/>
  <c r="H21" i="18"/>
  <c r="F98" i="18" l="1"/>
  <c r="D16" i="5"/>
  <c r="Y5" i="4" s="1"/>
  <c r="D13" i="5"/>
  <c r="Y2" i="4" s="1"/>
  <c r="C17" i="5"/>
  <c r="C13" i="5"/>
  <c r="D15" i="5"/>
  <c r="Y4" i="4" s="1"/>
  <c r="D14" i="5"/>
  <c r="Y3" i="4" s="1"/>
  <c r="C15" i="5"/>
  <c r="C14" i="5"/>
  <c r="C16" i="5"/>
  <c r="F26" i="18"/>
  <c r="H132" i="18"/>
  <c r="H163" i="4"/>
  <c r="A163" i="4" s="1"/>
  <c r="A162" i="4"/>
  <c r="G43" i="18"/>
  <c r="E63" i="16"/>
  <c r="E96" i="16"/>
  <c r="E227" i="16"/>
  <c r="G77" i="18"/>
  <c r="E51" i="16"/>
  <c r="E205" i="16"/>
  <c r="D30" i="17"/>
  <c r="E195" i="16"/>
  <c r="Y18" i="4"/>
  <c r="G7" i="18"/>
  <c r="E73" i="16"/>
  <c r="E107" i="16"/>
  <c r="E183" i="16"/>
  <c r="E238" i="16"/>
  <c r="G22" i="18"/>
  <c r="H97" i="18"/>
  <c r="H96" i="18"/>
  <c r="H69" i="18"/>
  <c r="F70" i="18"/>
  <c r="H93" i="18"/>
  <c r="G93" i="18"/>
  <c r="C142" i="44"/>
  <c r="C164" i="44"/>
  <c r="C252" i="44"/>
  <c r="C176" i="44"/>
  <c r="C143" i="44"/>
  <c r="C165" i="44"/>
  <c r="C187" i="44"/>
  <c r="C198" i="44"/>
  <c r="C241" i="44"/>
  <c r="A197" i="6"/>
  <c r="A270" i="6"/>
  <c r="C616" i="44"/>
  <c r="A269" i="6"/>
  <c r="Q9" i="9"/>
  <c r="Q11" i="9"/>
  <c r="C120" i="44"/>
  <c r="J9" i="9"/>
  <c r="A45" i="6"/>
  <c r="C440" i="44"/>
  <c r="D28" i="15"/>
  <c r="C104" i="9"/>
  <c r="Q99" i="9"/>
  <c r="J47" i="9"/>
  <c r="J68" i="9"/>
  <c r="C68" i="9"/>
  <c r="L28" i="15"/>
  <c r="D10" i="15"/>
  <c r="A143" i="14"/>
  <c r="C85" i="9"/>
  <c r="J86" i="9"/>
  <c r="A462" i="6"/>
  <c r="A495" i="6"/>
  <c r="Q87" i="9"/>
  <c r="C10" i="9"/>
  <c r="J48" i="9"/>
  <c r="T29" i="15"/>
  <c r="T9" i="15"/>
  <c r="C22" i="44"/>
  <c r="C484" i="44"/>
  <c r="A143" i="6"/>
  <c r="J49" i="9"/>
  <c r="Q30" i="9"/>
  <c r="A430" i="6"/>
  <c r="C28" i="9"/>
  <c r="A238" i="6"/>
  <c r="A493" i="6"/>
  <c r="A77" i="6"/>
  <c r="A109" i="14"/>
  <c r="Q47" i="9"/>
  <c r="C32" i="44"/>
  <c r="C352" i="44"/>
  <c r="C583" i="44"/>
  <c r="C638" i="44"/>
  <c r="A78" i="6"/>
  <c r="C11" i="9"/>
  <c r="A398" i="6"/>
  <c r="Q29" i="9"/>
  <c r="C9" i="9"/>
  <c r="J85" i="9"/>
  <c r="T30" i="15"/>
  <c r="C462" i="44"/>
  <c r="C110" i="44"/>
  <c r="C528" i="44"/>
  <c r="J11" i="9"/>
  <c r="A111" i="6"/>
  <c r="C67" i="9"/>
  <c r="A142" i="6"/>
  <c r="Q85" i="9"/>
  <c r="C76" i="44"/>
  <c r="C396" i="44"/>
  <c r="C594" i="44"/>
  <c r="L9" i="15"/>
  <c r="A463" i="6"/>
  <c r="A79" i="14"/>
  <c r="A333" i="6"/>
  <c r="A174" i="14"/>
  <c r="J10" i="9"/>
  <c r="A175" i="14"/>
  <c r="C429" i="44"/>
  <c r="L11" i="15"/>
  <c r="L29" i="15"/>
  <c r="A110" i="6"/>
  <c r="A141" i="14"/>
  <c r="C48" i="9"/>
  <c r="A141" i="6"/>
  <c r="C439" i="44"/>
  <c r="D29" i="15"/>
  <c r="C106" i="9"/>
  <c r="A13" i="6"/>
  <c r="C285" i="44"/>
  <c r="C65" i="44"/>
  <c r="C33" i="44"/>
  <c r="C297" i="44"/>
  <c r="C406" i="44"/>
  <c r="C505" i="44"/>
  <c r="A335" i="6"/>
  <c r="D30" i="15"/>
  <c r="Q80" i="9"/>
  <c r="C219" i="44"/>
  <c r="C132" i="44"/>
  <c r="C363" i="44"/>
  <c r="C451" i="44"/>
  <c r="C550" i="44"/>
  <c r="Q106" i="9"/>
  <c r="C318" i="44"/>
  <c r="C98" i="44"/>
  <c r="C10" i="44"/>
  <c r="C319" i="44"/>
  <c r="C417" i="44"/>
  <c r="C516" i="44"/>
  <c r="B20" i="5"/>
  <c r="C66" i="44"/>
  <c r="C330" i="44"/>
  <c r="C418" i="44"/>
  <c r="C517" i="44"/>
  <c r="C581" i="44"/>
  <c r="C603" i="44"/>
  <c r="C625" i="44"/>
  <c r="A47" i="14"/>
  <c r="A303" i="6"/>
  <c r="A79" i="6"/>
  <c r="C49" i="9"/>
  <c r="W2" i="5"/>
  <c r="C131" i="44"/>
  <c r="C43" i="44"/>
  <c r="C220" i="44"/>
  <c r="C384" i="44"/>
  <c r="C483" i="44"/>
  <c r="C571" i="44"/>
  <c r="C593" i="44"/>
  <c r="C615" i="44"/>
  <c r="U4" i="5"/>
  <c r="T26" i="15" s="1"/>
  <c r="C153" i="44"/>
  <c r="C264" i="44"/>
  <c r="C263" i="44"/>
  <c r="C197" i="44"/>
  <c r="C154" i="44"/>
  <c r="C175" i="44"/>
  <c r="C253" i="44"/>
  <c r="C186" i="44"/>
  <c r="C242" i="44"/>
  <c r="J24" i="9"/>
  <c r="A206" i="6"/>
  <c r="A14" i="6"/>
  <c r="J105" i="9"/>
  <c r="A136" i="6"/>
  <c r="C11" i="44"/>
  <c r="A73" i="14"/>
  <c r="C605" i="44"/>
  <c r="A107" i="6"/>
  <c r="A142" i="14"/>
  <c r="A235" i="6"/>
  <c r="C99" i="44"/>
  <c r="T11" i="15"/>
  <c r="A205" i="6"/>
  <c r="A266" i="6"/>
  <c r="Q104" i="9"/>
  <c r="A168" i="14"/>
  <c r="C341" i="44"/>
  <c r="A239" i="6"/>
  <c r="C385" i="44"/>
  <c r="A14" i="14"/>
  <c r="A429" i="6"/>
  <c r="T8" i="15"/>
  <c r="A44" i="6"/>
  <c r="A139" i="6"/>
  <c r="A138" i="14"/>
  <c r="A108" i="6"/>
  <c r="A109" i="6"/>
  <c r="C47" i="9"/>
  <c r="A392" i="6"/>
  <c r="C495" i="44"/>
  <c r="C26" i="9"/>
  <c r="A399" i="6"/>
  <c r="Q25" i="9"/>
  <c r="A173" i="6"/>
  <c r="A202" i="6"/>
  <c r="A296" i="6"/>
  <c r="C63" i="9"/>
  <c r="A46" i="14"/>
  <c r="C80" i="9"/>
  <c r="A234" i="6"/>
  <c r="J63" i="9"/>
  <c r="D7" i="15"/>
  <c r="A490" i="6"/>
  <c r="A46" i="6"/>
  <c r="A431" i="6"/>
  <c r="Q67" i="9"/>
  <c r="J6" i="9"/>
  <c r="L6" i="15"/>
  <c r="Q105" i="9"/>
  <c r="A459" i="6"/>
  <c r="A237" i="6"/>
  <c r="A427" i="6"/>
  <c r="T28" i="15"/>
  <c r="C6" i="9"/>
  <c r="D9" i="15"/>
  <c r="J103" i="9"/>
  <c r="Q28" i="9"/>
  <c r="Q81" i="9"/>
  <c r="A366" i="6"/>
  <c r="C30" i="9"/>
  <c r="A491" i="6"/>
  <c r="Q13" i="5"/>
  <c r="Q14" i="5" s="1"/>
  <c r="Q15" i="5" s="1"/>
  <c r="Q16" i="5" s="1"/>
  <c r="Q17" i="5" s="1"/>
  <c r="Q18" i="5" s="1"/>
  <c r="Q19" i="5" s="1"/>
  <c r="Q20" i="5" s="1"/>
  <c r="S20" i="5" s="1"/>
  <c r="C351" i="44"/>
  <c r="C577" i="44"/>
  <c r="K577" i="44" s="1"/>
  <c r="C637" i="44"/>
  <c r="A110" i="14"/>
  <c r="J29" i="9"/>
  <c r="A47" i="6"/>
  <c r="C29" i="9"/>
  <c r="Q43" i="9"/>
  <c r="C27" i="9"/>
  <c r="A492" i="6"/>
  <c r="A41" i="14"/>
  <c r="L10" i="15"/>
  <c r="A171" i="6"/>
  <c r="A104" i="6"/>
  <c r="C83" i="9"/>
  <c r="A77" i="14"/>
  <c r="Q62" i="9"/>
  <c r="Q7" i="9"/>
  <c r="Q65" i="9"/>
  <c r="L24" i="15"/>
  <c r="C66" i="9"/>
  <c r="J26" i="9"/>
  <c r="J4" i="9"/>
  <c r="D11" i="15"/>
  <c r="A45" i="14"/>
  <c r="C88" i="44"/>
  <c r="C494" i="44"/>
  <c r="C610" i="44"/>
  <c r="K610" i="44" s="1"/>
  <c r="T23" i="15"/>
  <c r="C87" i="9"/>
  <c r="J106" i="9"/>
  <c r="A173" i="14"/>
  <c r="T4" i="15"/>
  <c r="Q8" i="9"/>
  <c r="J5" i="9"/>
  <c r="A72" i="14"/>
  <c r="A461" i="6"/>
  <c r="L8" i="15"/>
  <c r="A137" i="6"/>
  <c r="Q66" i="9"/>
  <c r="A365" i="6"/>
  <c r="J67" i="9"/>
  <c r="A43" i="14"/>
  <c r="A363" i="6"/>
  <c r="A329" i="6"/>
  <c r="A44" i="14"/>
  <c r="A12" i="14"/>
  <c r="A233" i="6"/>
  <c r="C230" i="44"/>
  <c r="C395" i="44"/>
  <c r="C588" i="44"/>
  <c r="K588" i="44" s="1"/>
  <c r="A40" i="14"/>
  <c r="A174" i="6"/>
  <c r="L30" i="15"/>
  <c r="Q48" i="9"/>
  <c r="A297" i="6"/>
  <c r="A268" i="6"/>
  <c r="A169" i="14"/>
  <c r="C62" i="9"/>
  <c r="Q63" i="9"/>
  <c r="J61" i="9"/>
  <c r="A264" i="6"/>
  <c r="A42" i="6"/>
  <c r="A106" i="14"/>
  <c r="D25" i="15"/>
  <c r="A13" i="14"/>
  <c r="C23" i="9"/>
  <c r="J66" i="9"/>
  <c r="A15" i="14"/>
  <c r="A364" i="6"/>
  <c r="A393" i="6"/>
  <c r="C296" i="44"/>
  <c r="C231" i="44"/>
  <c r="C538" i="44"/>
  <c r="C621" i="44"/>
  <c r="K621" i="44" s="1"/>
  <c r="A494" i="6"/>
  <c r="C105" i="9"/>
  <c r="A207" i="6"/>
  <c r="A302" i="6"/>
  <c r="D6" i="15"/>
  <c r="A334" i="6"/>
  <c r="C64" i="9"/>
  <c r="A360" i="6"/>
  <c r="Q44" i="9"/>
  <c r="A172" i="6"/>
  <c r="A395" i="6"/>
  <c r="C42" i="9"/>
  <c r="A301" i="6"/>
  <c r="A78" i="14"/>
  <c r="A300" i="6"/>
  <c r="C46" i="9"/>
  <c r="A104" i="14"/>
  <c r="J27" i="9"/>
  <c r="C275" i="44"/>
  <c r="C539" i="44"/>
  <c r="C627" i="44"/>
  <c r="Q46" i="9"/>
  <c r="A175" i="6"/>
  <c r="A111" i="14"/>
  <c r="Q4" i="9"/>
  <c r="L7" i="15"/>
  <c r="Q5" i="9"/>
  <c r="T10" i="15"/>
  <c r="C86" i="9"/>
  <c r="J28" i="9"/>
  <c r="C84" i="9"/>
  <c r="C65" i="9"/>
  <c r="A298" i="6"/>
  <c r="C44" i="9"/>
  <c r="A8" i="6"/>
  <c r="A74" i="6"/>
  <c r="A425" i="6"/>
  <c r="J87" i="9"/>
  <c r="A15" i="6"/>
  <c r="C461" i="44"/>
  <c r="C286" i="44"/>
  <c r="C572" i="44"/>
  <c r="C631" i="44"/>
  <c r="K631" i="44" s="1"/>
  <c r="Q64" i="9"/>
  <c r="A204" i="6"/>
  <c r="Q10" i="9"/>
  <c r="D27" i="15"/>
  <c r="C100" i="9"/>
  <c r="A458" i="6"/>
  <c r="A271" i="6"/>
  <c r="C329" i="44"/>
  <c r="C109" i="44"/>
  <c r="C21" i="44"/>
  <c r="C121" i="44"/>
  <c r="C362" i="44"/>
  <c r="C450" i="44"/>
  <c r="C549" i="44"/>
  <c r="C589" i="44"/>
  <c r="K589" i="44" s="1"/>
  <c r="C611" i="44"/>
  <c r="K611" i="44" s="1"/>
  <c r="C633" i="44"/>
  <c r="K633" i="44" s="1"/>
  <c r="Q103" i="9"/>
  <c r="Q49" i="9"/>
  <c r="J104" i="9"/>
  <c r="C5" i="9"/>
  <c r="J99" i="9"/>
  <c r="A397" i="6"/>
  <c r="P4" i="5"/>
  <c r="C44" i="44"/>
  <c r="C308" i="44"/>
  <c r="C407" i="44"/>
  <c r="C506" i="44"/>
  <c r="C579" i="44"/>
  <c r="K579" i="44" s="1"/>
  <c r="C601" i="44"/>
  <c r="K601" i="44" s="1"/>
  <c r="C623" i="44"/>
  <c r="K623" i="44" s="1"/>
  <c r="A361" i="6"/>
  <c r="Q23" i="9"/>
  <c r="A201" i="6"/>
  <c r="A367" i="6"/>
  <c r="Q68" i="9"/>
  <c r="A362" i="6"/>
  <c r="A108" i="14"/>
  <c r="J8" i="9"/>
  <c r="B19" i="5"/>
  <c r="C274" i="44"/>
  <c r="C54" i="44"/>
  <c r="C55" i="44"/>
  <c r="C373" i="44"/>
  <c r="C472" i="44"/>
  <c r="C560" i="44"/>
  <c r="C591" i="44"/>
  <c r="K591" i="44" s="1"/>
  <c r="C613" i="44"/>
  <c r="K613" i="44" s="1"/>
  <c r="C635" i="44"/>
  <c r="K635" i="44" s="1"/>
  <c r="C208" i="44"/>
  <c r="C209" i="44"/>
  <c r="C374" i="44"/>
  <c r="C473" i="44"/>
  <c r="C561" i="44"/>
  <c r="C592" i="44"/>
  <c r="C614" i="44"/>
  <c r="C636" i="44"/>
  <c r="A428" i="6"/>
  <c r="Q86" i="9"/>
  <c r="T5" i="15"/>
  <c r="J30" i="9"/>
  <c r="J83" i="9"/>
  <c r="A172" i="14"/>
  <c r="A171" i="14"/>
  <c r="Q27" i="9"/>
  <c r="D23" i="15"/>
  <c r="B18" i="5"/>
  <c r="C307" i="44"/>
  <c r="C87" i="44"/>
  <c r="C77" i="44"/>
  <c r="C340" i="44"/>
  <c r="C428" i="44"/>
  <c r="C527" i="44"/>
  <c r="C582" i="44"/>
  <c r="C604" i="44"/>
  <c r="C626" i="44"/>
  <c r="A293" i="6"/>
  <c r="A325" i="6"/>
  <c r="A357" i="6"/>
  <c r="A421" i="6"/>
  <c r="A389" i="6"/>
  <c r="A261" i="6"/>
  <c r="A69" i="6"/>
  <c r="A101" i="6"/>
  <c r="A101" i="14"/>
  <c r="A453" i="6"/>
  <c r="A37" i="14"/>
  <c r="A229" i="6"/>
  <c r="A5" i="6"/>
  <c r="A69" i="14"/>
  <c r="A165" i="14"/>
  <c r="A485" i="6"/>
  <c r="A133" i="6"/>
  <c r="A37" i="6"/>
  <c r="A165" i="6"/>
  <c r="A5" i="14"/>
  <c r="A133" i="14"/>
  <c r="C394" i="44"/>
  <c r="C416" i="44"/>
  <c r="C460" i="44"/>
  <c r="C449" i="44"/>
  <c r="C537" i="44"/>
  <c r="C493" i="44"/>
  <c r="C427" i="44"/>
  <c r="C339" i="44"/>
  <c r="C570" i="44"/>
  <c r="C526" i="44"/>
  <c r="C438" i="44"/>
  <c r="C350" i="44"/>
  <c r="C372" i="44"/>
  <c r="C361" i="44"/>
  <c r="C482" i="44"/>
  <c r="C383" i="44"/>
  <c r="C504" i="44"/>
  <c r="C515" i="44"/>
  <c r="C548" i="44"/>
  <c r="C559" i="44"/>
  <c r="C471" i="44"/>
  <c r="C405" i="44"/>
  <c r="C174" i="44"/>
  <c r="C64" i="44"/>
  <c r="C207" i="44"/>
  <c r="C240" i="44"/>
  <c r="C130" i="44"/>
  <c r="C20" i="44"/>
  <c r="C9" i="44"/>
  <c r="C229" i="44"/>
  <c r="C97" i="44"/>
  <c r="C196" i="44"/>
  <c r="C119" i="44"/>
  <c r="C108" i="44"/>
  <c r="C141" i="44"/>
  <c r="C185" i="44"/>
  <c r="C42" i="44"/>
  <c r="C152" i="44"/>
  <c r="C75" i="44"/>
  <c r="C163" i="44"/>
  <c r="C86" i="44"/>
  <c r="C218" i="44"/>
  <c r="C31" i="44"/>
  <c r="C53" i="44"/>
  <c r="H130" i="18"/>
  <c r="G130" i="18"/>
  <c r="H131" i="18"/>
  <c r="F131" i="18"/>
  <c r="H133" i="18"/>
  <c r="F133" i="18"/>
  <c r="H128" i="18"/>
  <c r="G128" i="18"/>
  <c r="H129" i="18"/>
  <c r="G129" i="18"/>
  <c r="H134" i="18"/>
  <c r="F134" i="18"/>
  <c r="H91" i="18"/>
  <c r="H107" i="18"/>
  <c r="F95" i="18"/>
  <c r="F106" i="18"/>
  <c r="H106" i="18"/>
  <c r="H101" i="18"/>
  <c r="F105" i="18"/>
  <c r="H105" i="18"/>
  <c r="H28" i="18"/>
  <c r="F34" i="18"/>
  <c r="H34" i="18"/>
  <c r="F32" i="18"/>
  <c r="H32" i="18"/>
  <c r="F35" i="18"/>
  <c r="H35" i="18"/>
  <c r="H30" i="18"/>
  <c r="F30" i="18"/>
  <c r="G29" i="18"/>
  <c r="H29" i="18"/>
  <c r="H31" i="18"/>
  <c r="F31" i="18"/>
  <c r="T34" i="15" l="1"/>
  <c r="V26" i="15"/>
  <c r="D53" i="44"/>
  <c r="I53" i="44"/>
  <c r="D218" i="44"/>
  <c r="I218" i="44"/>
  <c r="I163" i="44"/>
  <c r="D163" i="44"/>
  <c r="D152" i="44"/>
  <c r="I152" i="44"/>
  <c r="I185" i="44"/>
  <c r="D185" i="44"/>
  <c r="I108" i="44"/>
  <c r="D108" i="44"/>
  <c r="I196" i="44"/>
  <c r="D196" i="44"/>
  <c r="D229" i="44"/>
  <c r="I229" i="44"/>
  <c r="I20" i="44"/>
  <c r="D20" i="44"/>
  <c r="D240" i="44"/>
  <c r="I240" i="44"/>
  <c r="I64" i="44"/>
  <c r="D64" i="44"/>
  <c r="P64" i="44" s="1"/>
  <c r="D405" i="44"/>
  <c r="I405" i="44"/>
  <c r="I559" i="44"/>
  <c r="D559" i="44"/>
  <c r="P559" i="44" s="1"/>
  <c r="I515" i="44"/>
  <c r="D515" i="44"/>
  <c r="P515" i="44" s="1"/>
  <c r="I383" i="44"/>
  <c r="D383" i="44"/>
  <c r="P383" i="44" s="1"/>
  <c r="I361" i="44"/>
  <c r="D361" i="44"/>
  <c r="I350" i="44"/>
  <c r="D350" i="44"/>
  <c r="P350" i="44" s="1"/>
  <c r="I526" i="44"/>
  <c r="D526" i="44"/>
  <c r="P526" i="44" s="1"/>
  <c r="I339" i="44"/>
  <c r="D339" i="44"/>
  <c r="I493" i="44"/>
  <c r="D493" i="44"/>
  <c r="P493" i="44" s="1"/>
  <c r="I449" i="44"/>
  <c r="D449" i="44"/>
  <c r="P449" i="44" s="1"/>
  <c r="I416" i="44"/>
  <c r="D416" i="44"/>
  <c r="AD604" i="44"/>
  <c r="AF604" i="44"/>
  <c r="AG604" i="44"/>
  <c r="AE604" i="44"/>
  <c r="I527" i="44"/>
  <c r="D527" i="44"/>
  <c r="P527" i="44" s="1"/>
  <c r="D340" i="44"/>
  <c r="P340" i="44" s="1"/>
  <c r="I340" i="44"/>
  <c r="I87" i="44"/>
  <c r="D87" i="44"/>
  <c r="N18" i="5"/>
  <c r="EA2" i="20"/>
  <c r="O18" i="5"/>
  <c r="D18" i="5"/>
  <c r="EJ1" i="32"/>
  <c r="EK1" i="32" s="1"/>
  <c r="U7" i="4"/>
  <c r="EJ1" i="20"/>
  <c r="EK1" i="20" s="1"/>
  <c r="U19" i="4"/>
  <c r="C18" i="5"/>
  <c r="EA2" i="32"/>
  <c r="Q35" i="9"/>
  <c r="S27" i="9"/>
  <c r="E172" i="14"/>
  <c r="BT172" i="14"/>
  <c r="A180" i="14"/>
  <c r="J38" i="9"/>
  <c r="K30" i="9"/>
  <c r="Q94" i="9"/>
  <c r="R86" i="9"/>
  <c r="AG636" i="44"/>
  <c r="AD636" i="44"/>
  <c r="AF636" i="44"/>
  <c r="AE636" i="44"/>
  <c r="AE592" i="44"/>
  <c r="AD592" i="44"/>
  <c r="AF592" i="44"/>
  <c r="AG592" i="44"/>
  <c r="I473" i="44"/>
  <c r="D473" i="44"/>
  <c r="D209" i="44"/>
  <c r="I209" i="44"/>
  <c r="D472" i="44"/>
  <c r="P472" i="44" s="1"/>
  <c r="I472" i="44"/>
  <c r="D55" i="44"/>
  <c r="I55" i="44"/>
  <c r="D274" i="44"/>
  <c r="P274" i="44" s="1"/>
  <c r="I274" i="44"/>
  <c r="J16" i="9"/>
  <c r="L8" i="9"/>
  <c r="A370" i="6"/>
  <c r="E370" i="6" s="1"/>
  <c r="E362" i="6"/>
  <c r="E367" i="6"/>
  <c r="A375" i="6"/>
  <c r="E375" i="6" s="1"/>
  <c r="Q31" i="9"/>
  <c r="S23" i="9"/>
  <c r="I407" i="44"/>
  <c r="D407" i="44"/>
  <c r="I44" i="44"/>
  <c r="D44" i="44"/>
  <c r="A405" i="6"/>
  <c r="E405" i="6" s="1"/>
  <c r="E397" i="6"/>
  <c r="C13" i="9"/>
  <c r="E5" i="9"/>
  <c r="Q57" i="9"/>
  <c r="R49" i="9"/>
  <c r="D450" i="44"/>
  <c r="P450" i="44" s="1"/>
  <c r="I450" i="44"/>
  <c r="I121" i="44"/>
  <c r="D121" i="44"/>
  <c r="D109" i="44"/>
  <c r="P109" i="44" s="1"/>
  <c r="I109" i="44"/>
  <c r="A279" i="6"/>
  <c r="E279" i="6" s="1"/>
  <c r="E271" i="6"/>
  <c r="C108" i="9"/>
  <c r="E100" i="9"/>
  <c r="Q18" i="9"/>
  <c r="R10" i="9"/>
  <c r="Q72" i="9"/>
  <c r="S64" i="9"/>
  <c r="I572" i="44"/>
  <c r="D572" i="44"/>
  <c r="I461" i="44"/>
  <c r="D461" i="44"/>
  <c r="P461" i="44" s="1"/>
  <c r="K87" i="9"/>
  <c r="J95" i="9"/>
  <c r="E74" i="6"/>
  <c r="A82" i="6"/>
  <c r="E82" i="6" s="1"/>
  <c r="C52" i="9"/>
  <c r="E44" i="9"/>
  <c r="C73" i="9"/>
  <c r="E65" i="9"/>
  <c r="J36" i="9"/>
  <c r="K28" i="9"/>
  <c r="T18" i="15"/>
  <c r="U10" i="15"/>
  <c r="L15" i="15"/>
  <c r="N7" i="15"/>
  <c r="BT111" i="14"/>
  <c r="A119" i="14"/>
  <c r="E111" i="14"/>
  <c r="Q54" i="9"/>
  <c r="S46" i="9"/>
  <c r="D539" i="44"/>
  <c r="I539" i="44"/>
  <c r="J35" i="9"/>
  <c r="L27" i="9"/>
  <c r="C54" i="9"/>
  <c r="E46" i="9"/>
  <c r="E78" i="14"/>
  <c r="A86" i="14"/>
  <c r="BT78" i="14"/>
  <c r="C50" i="9"/>
  <c r="E42" i="9"/>
  <c r="E172" i="6"/>
  <c r="A180" i="6"/>
  <c r="E180" i="6" s="1"/>
  <c r="E360" i="6"/>
  <c r="A368" i="6"/>
  <c r="E368" i="6" s="1"/>
  <c r="A342" i="6"/>
  <c r="E342" i="6" s="1"/>
  <c r="E334" i="6"/>
  <c r="A310" i="6"/>
  <c r="E310" i="6" s="1"/>
  <c r="E302" i="6"/>
  <c r="D105" i="9"/>
  <c r="C113" i="9"/>
  <c r="D231" i="44"/>
  <c r="I231" i="44"/>
  <c r="E393" i="6"/>
  <c r="A401" i="6"/>
  <c r="E401" i="6" s="1"/>
  <c r="E15" i="14"/>
  <c r="A23" i="14"/>
  <c r="BT15" i="14"/>
  <c r="C31" i="9"/>
  <c r="E23" i="9"/>
  <c r="D33" i="15"/>
  <c r="F25" i="15"/>
  <c r="A50" i="6"/>
  <c r="E50" i="6" s="1"/>
  <c r="E42" i="6"/>
  <c r="J69" i="9"/>
  <c r="L61" i="9"/>
  <c r="C70" i="9"/>
  <c r="E62" i="9"/>
  <c r="A276" i="6"/>
  <c r="E276" i="6" s="1"/>
  <c r="E268" i="6"/>
  <c r="Q56" i="9"/>
  <c r="R48" i="9"/>
  <c r="E174" i="6"/>
  <c r="A182" i="6"/>
  <c r="E182" i="6" s="1"/>
  <c r="D230" i="44"/>
  <c r="P230" i="44" s="1"/>
  <c r="I230" i="44"/>
  <c r="E12" i="14"/>
  <c r="BT12" i="14"/>
  <c r="A20" i="14"/>
  <c r="A337" i="6"/>
  <c r="E337" i="6" s="1"/>
  <c r="E329" i="6"/>
  <c r="BT43" i="14"/>
  <c r="A51" i="14"/>
  <c r="E43" i="14"/>
  <c r="E365" i="6"/>
  <c r="A373" i="6"/>
  <c r="E373" i="6" s="1"/>
  <c r="A145" i="6"/>
  <c r="E145" i="6" s="1"/>
  <c r="E137" i="6"/>
  <c r="E461" i="6"/>
  <c r="A469" i="6"/>
  <c r="E469" i="6" s="1"/>
  <c r="J13" i="9"/>
  <c r="L5" i="9"/>
  <c r="T12" i="15"/>
  <c r="V4" i="15"/>
  <c r="K106" i="9"/>
  <c r="J114" i="9"/>
  <c r="T31" i="15"/>
  <c r="V23" i="15"/>
  <c r="D494" i="44"/>
  <c r="P494" i="44" s="1"/>
  <c r="I494" i="44"/>
  <c r="BT45" i="14"/>
  <c r="E45" i="14"/>
  <c r="A53" i="14"/>
  <c r="J12" i="9"/>
  <c r="L4" i="9"/>
  <c r="C74" i="9"/>
  <c r="D66" i="9"/>
  <c r="Q73" i="9"/>
  <c r="S65" i="9"/>
  <c r="Q70" i="9"/>
  <c r="S62" i="9"/>
  <c r="C91" i="9"/>
  <c r="E83" i="9"/>
  <c r="A179" i="6"/>
  <c r="E179" i="6" s="1"/>
  <c r="E171" i="6"/>
  <c r="E41" i="14"/>
  <c r="BT41" i="14"/>
  <c r="A49" i="14"/>
  <c r="C35" i="9"/>
  <c r="E27" i="9"/>
  <c r="C37" i="9"/>
  <c r="D29" i="9"/>
  <c r="K29" i="9"/>
  <c r="J37" i="9"/>
  <c r="AG637" i="44"/>
  <c r="AF637" i="44"/>
  <c r="AE637" i="44"/>
  <c r="AD637" i="44"/>
  <c r="D351" i="44"/>
  <c r="P351" i="44" s="1"/>
  <c r="I351" i="44"/>
  <c r="A499" i="6"/>
  <c r="E499" i="6" s="1"/>
  <c r="E491" i="6"/>
  <c r="A374" i="6"/>
  <c r="E374" i="6" s="1"/>
  <c r="E366" i="6"/>
  <c r="Q36" i="9"/>
  <c r="R28" i="9"/>
  <c r="D17" i="15"/>
  <c r="E9" i="15"/>
  <c r="T36" i="15"/>
  <c r="U28" i="15"/>
  <c r="E237" i="6"/>
  <c r="A245" i="6"/>
  <c r="E245" i="6" s="1"/>
  <c r="R105" i="9"/>
  <c r="Q113" i="9"/>
  <c r="J14" i="9"/>
  <c r="L6" i="9"/>
  <c r="A439" i="6"/>
  <c r="E439" i="6" s="1"/>
  <c r="E431" i="6"/>
  <c r="A498" i="6"/>
  <c r="E498" i="6" s="1"/>
  <c r="E490" i="6"/>
  <c r="J71" i="9"/>
  <c r="L63" i="9"/>
  <c r="C88" i="9"/>
  <c r="E80" i="9"/>
  <c r="C71" i="9"/>
  <c r="E63" i="9"/>
  <c r="E202" i="6"/>
  <c r="A210" i="6"/>
  <c r="E210" i="6" s="1"/>
  <c r="Q33" i="9"/>
  <c r="S25" i="9"/>
  <c r="C34" i="9"/>
  <c r="E26" i="9"/>
  <c r="A400" i="6"/>
  <c r="E400" i="6" s="1"/>
  <c r="E392" i="6"/>
  <c r="E109" i="6"/>
  <c r="A117" i="6"/>
  <c r="E117" i="6" s="1"/>
  <c r="E138" i="14"/>
  <c r="BT138" i="14"/>
  <c r="A146" i="14"/>
  <c r="E44" i="6"/>
  <c r="A52" i="6"/>
  <c r="E52" i="6" s="1"/>
  <c r="A437" i="6"/>
  <c r="E437" i="6" s="1"/>
  <c r="E429" i="6"/>
  <c r="D385" i="44"/>
  <c r="I385" i="44"/>
  <c r="I341" i="44"/>
  <c r="D341" i="44"/>
  <c r="Q112" i="9"/>
  <c r="R104" i="9"/>
  <c r="A213" i="6"/>
  <c r="E213" i="6" s="1"/>
  <c r="E205" i="6"/>
  <c r="I99" i="44"/>
  <c r="D99" i="44"/>
  <c r="A150" i="14"/>
  <c r="E142" i="14"/>
  <c r="BT142" i="14"/>
  <c r="AE605" i="44"/>
  <c r="AG605" i="44"/>
  <c r="AD605" i="44"/>
  <c r="AF605" i="44"/>
  <c r="D11" i="44"/>
  <c r="I11" i="44"/>
  <c r="J113" i="9"/>
  <c r="K105" i="9"/>
  <c r="A214" i="6"/>
  <c r="E214" i="6" s="1"/>
  <c r="E206" i="6"/>
  <c r="D242" i="44"/>
  <c r="I242" i="44"/>
  <c r="D253" i="44"/>
  <c r="I253" i="44"/>
  <c r="D154" i="44"/>
  <c r="I154" i="44"/>
  <c r="D263" i="44"/>
  <c r="I263" i="44"/>
  <c r="D153" i="44"/>
  <c r="I153" i="44"/>
  <c r="AG615" i="44"/>
  <c r="AE615" i="44"/>
  <c r="AD615" i="44"/>
  <c r="AF615" i="44"/>
  <c r="I571" i="44"/>
  <c r="D571" i="44"/>
  <c r="P571" i="44" s="1"/>
  <c r="D384" i="44"/>
  <c r="P384" i="44" s="1"/>
  <c r="I384" i="44"/>
  <c r="I43" i="44"/>
  <c r="D43" i="44"/>
  <c r="P43" i="44" s="1"/>
  <c r="E79" i="6"/>
  <c r="A87" i="6"/>
  <c r="E87" i="6" s="1"/>
  <c r="E47" i="14"/>
  <c r="A55" i="14"/>
  <c r="BT47" i="14"/>
  <c r="A40" i="6"/>
  <c r="D8" i="15"/>
  <c r="AF625" i="44"/>
  <c r="AD625" i="44"/>
  <c r="AG625" i="44"/>
  <c r="AE625" i="44"/>
  <c r="AG581" i="44"/>
  <c r="AF581" i="44"/>
  <c r="AD581" i="44"/>
  <c r="AE581" i="44"/>
  <c r="D418" i="44"/>
  <c r="I418" i="44"/>
  <c r="I66" i="44"/>
  <c r="D66" i="44"/>
  <c r="C624" i="44"/>
  <c r="C580" i="44"/>
  <c r="D417" i="44"/>
  <c r="P417" i="44" s="1"/>
  <c r="I417" i="44"/>
  <c r="D10" i="44"/>
  <c r="I10" i="44"/>
  <c r="D318" i="44"/>
  <c r="P318" i="44" s="1"/>
  <c r="I318" i="44"/>
  <c r="Q101" i="9"/>
  <c r="A12" i="6"/>
  <c r="C43" i="9"/>
  <c r="C7" i="9"/>
  <c r="C612" i="44"/>
  <c r="D550" i="44"/>
  <c r="I550" i="44"/>
  <c r="I363" i="44"/>
  <c r="D363" i="44"/>
  <c r="I219" i="44"/>
  <c r="D219" i="44"/>
  <c r="P219" i="44" s="1"/>
  <c r="A170" i="14"/>
  <c r="D38" i="15"/>
  <c r="E30" i="15"/>
  <c r="E335" i="6"/>
  <c r="A343" i="6"/>
  <c r="E343" i="6" s="1"/>
  <c r="C622" i="44"/>
  <c r="C578" i="44"/>
  <c r="I406" i="44"/>
  <c r="D406" i="44"/>
  <c r="P406" i="44" s="1"/>
  <c r="D33" i="44"/>
  <c r="I33" i="44"/>
  <c r="I285" i="44"/>
  <c r="D285" i="44"/>
  <c r="P285" i="44" s="1"/>
  <c r="C114" i="9"/>
  <c r="D106" i="9"/>
  <c r="C82" i="9"/>
  <c r="D37" i="15"/>
  <c r="E29" i="15"/>
  <c r="C599" i="44"/>
  <c r="A426" i="6"/>
  <c r="E141" i="6"/>
  <c r="A149" i="6"/>
  <c r="E149" i="6" s="1"/>
  <c r="Q45" i="9"/>
  <c r="T7" i="15"/>
  <c r="BT141" i="14"/>
  <c r="E141" i="14"/>
  <c r="A149" i="14"/>
  <c r="A203" i="6"/>
  <c r="A74" i="14"/>
  <c r="Q6" i="9"/>
  <c r="M29" i="15"/>
  <c r="L37" i="15"/>
  <c r="T24" i="15"/>
  <c r="D429" i="44"/>
  <c r="I429" i="44"/>
  <c r="BT175" i="14"/>
  <c r="E175" i="14"/>
  <c r="A183" i="14"/>
  <c r="A267" i="6"/>
  <c r="T25" i="15"/>
  <c r="K10" i="9"/>
  <c r="J18" i="9"/>
  <c r="A107" i="14"/>
  <c r="J84" i="9"/>
  <c r="L25" i="15"/>
  <c r="BT79" i="14"/>
  <c r="A87" i="14"/>
  <c r="E79" i="14"/>
  <c r="L17" i="15"/>
  <c r="M9" i="15"/>
  <c r="D396" i="44"/>
  <c r="I396" i="44"/>
  <c r="Q26" i="9"/>
  <c r="C61" i="9"/>
  <c r="A170" i="6"/>
  <c r="C25" i="9"/>
  <c r="J65" i="9"/>
  <c r="A72" i="6"/>
  <c r="Q84" i="9"/>
  <c r="Q102" i="9"/>
  <c r="A138" i="6"/>
  <c r="A119" i="6"/>
  <c r="E119" i="6" s="1"/>
  <c r="E111" i="6"/>
  <c r="C620" i="44"/>
  <c r="D110" i="44"/>
  <c r="I110" i="44"/>
  <c r="U30" i="15"/>
  <c r="T38" i="15"/>
  <c r="A139" i="14"/>
  <c r="J93" i="9"/>
  <c r="K85" i="9"/>
  <c r="C81" i="9"/>
  <c r="J7" i="9"/>
  <c r="R29" i="9"/>
  <c r="Q37" i="9"/>
  <c r="Q42" i="9"/>
  <c r="A265" i="6"/>
  <c r="E398" i="6"/>
  <c r="A406" i="6"/>
  <c r="E406" i="6" s="1"/>
  <c r="A86" i="6"/>
  <c r="E86" i="6" s="1"/>
  <c r="E78" i="6"/>
  <c r="AE583" i="44"/>
  <c r="AG583" i="44"/>
  <c r="AF583" i="44"/>
  <c r="AD583" i="44"/>
  <c r="D32" i="44"/>
  <c r="P32" i="44" s="1"/>
  <c r="I32" i="44"/>
  <c r="E109" i="14"/>
  <c r="BT109" i="14"/>
  <c r="A117" i="14"/>
  <c r="T6" i="15"/>
  <c r="A137" i="14"/>
  <c r="Q82" i="9"/>
  <c r="A236" i="6"/>
  <c r="A105" i="6"/>
  <c r="E493" i="6"/>
  <c r="A501" i="6"/>
  <c r="E501" i="6" s="1"/>
  <c r="L26" i="15"/>
  <c r="E430" i="6"/>
  <c r="A438" i="6"/>
  <c r="E438" i="6" s="1"/>
  <c r="J57" i="9"/>
  <c r="K49" i="9"/>
  <c r="C24" i="9"/>
  <c r="I484" i="44"/>
  <c r="D484" i="44"/>
  <c r="A299" i="6"/>
  <c r="A330" i="6"/>
  <c r="C4" i="9"/>
  <c r="U29" i="15"/>
  <c r="T37" i="15"/>
  <c r="K48" i="9"/>
  <c r="J56" i="9"/>
  <c r="A42" i="14"/>
  <c r="D10" i="9"/>
  <c r="C18" i="9"/>
  <c r="A136" i="14"/>
  <c r="E495" i="6"/>
  <c r="A503" i="6"/>
  <c r="E503" i="6" s="1"/>
  <c r="K86" i="9"/>
  <c r="J94" i="9"/>
  <c r="L27" i="15"/>
  <c r="C93" i="9"/>
  <c r="D85" i="9"/>
  <c r="A460" i="6"/>
  <c r="A328" i="6"/>
  <c r="L36" i="15"/>
  <c r="M28" i="15"/>
  <c r="K68" i="9"/>
  <c r="J76" i="9"/>
  <c r="R99" i="9"/>
  <c r="Q107" i="9"/>
  <c r="Q61" i="9"/>
  <c r="D36" i="15"/>
  <c r="E28" i="15"/>
  <c r="D440" i="44"/>
  <c r="I440" i="44"/>
  <c r="A424" i="6"/>
  <c r="J64" i="9"/>
  <c r="A43" i="6"/>
  <c r="D120" i="44"/>
  <c r="P120" i="44" s="1"/>
  <c r="I120" i="44"/>
  <c r="L23" i="15"/>
  <c r="E269" i="6"/>
  <c r="A277" i="6"/>
  <c r="E277" i="6" s="1"/>
  <c r="A76" i="6"/>
  <c r="A10" i="14"/>
  <c r="C102" i="9"/>
  <c r="A232" i="6"/>
  <c r="E270" i="6"/>
  <c r="A278" i="6"/>
  <c r="E278" i="6" s="1"/>
  <c r="D241" i="44"/>
  <c r="I241" i="44"/>
  <c r="I187" i="44"/>
  <c r="D187" i="44"/>
  <c r="D143" i="44"/>
  <c r="I143" i="44"/>
  <c r="D252" i="44"/>
  <c r="I252" i="44"/>
  <c r="D142" i="44"/>
  <c r="I142" i="44"/>
  <c r="D31" i="44"/>
  <c r="I31" i="44"/>
  <c r="I86" i="44"/>
  <c r="I75" i="44"/>
  <c r="D75" i="44"/>
  <c r="P75" i="44" s="1"/>
  <c r="D42" i="44"/>
  <c r="I42" i="44"/>
  <c r="I141" i="44"/>
  <c r="D141" i="44"/>
  <c r="I119" i="44"/>
  <c r="D119" i="44"/>
  <c r="D97" i="44"/>
  <c r="I97" i="44"/>
  <c r="D9" i="44"/>
  <c r="I9" i="44"/>
  <c r="I130" i="44"/>
  <c r="D130" i="44"/>
  <c r="D207" i="44"/>
  <c r="I207" i="44"/>
  <c r="D174" i="44"/>
  <c r="I174" i="44"/>
  <c r="I471" i="44"/>
  <c r="D471" i="44"/>
  <c r="P471" i="44" s="1"/>
  <c r="I548" i="44"/>
  <c r="D548" i="44"/>
  <c r="I504" i="44"/>
  <c r="D504" i="44"/>
  <c r="I482" i="44"/>
  <c r="D482" i="44"/>
  <c r="I372" i="44"/>
  <c r="D372" i="44"/>
  <c r="I438" i="44"/>
  <c r="D438" i="44"/>
  <c r="I570" i="44"/>
  <c r="D570" i="44"/>
  <c r="P570" i="44" s="1"/>
  <c r="I427" i="44"/>
  <c r="D427" i="44"/>
  <c r="I537" i="44"/>
  <c r="D537" i="44"/>
  <c r="I460" i="44"/>
  <c r="D460" i="44"/>
  <c r="P460" i="44" s="1"/>
  <c r="I394" i="44"/>
  <c r="D394" i="44"/>
  <c r="AF626" i="44"/>
  <c r="AD626" i="44"/>
  <c r="AE626" i="44"/>
  <c r="AG626" i="44"/>
  <c r="AG582" i="44"/>
  <c r="AE582" i="44"/>
  <c r="AD582" i="44"/>
  <c r="AF582" i="44"/>
  <c r="D428" i="44"/>
  <c r="P428" i="44" s="1"/>
  <c r="I428" i="44"/>
  <c r="I77" i="44"/>
  <c r="D77" i="44"/>
  <c r="I307" i="44"/>
  <c r="D307" i="44"/>
  <c r="P307" i="44" s="1"/>
  <c r="D31" i="15"/>
  <c r="F23" i="15"/>
  <c r="A179" i="14"/>
  <c r="BT171" i="14"/>
  <c r="E171" i="14"/>
  <c r="J91" i="9"/>
  <c r="L83" i="9"/>
  <c r="T13" i="15"/>
  <c r="V5" i="15"/>
  <c r="E428" i="6"/>
  <c r="A436" i="6"/>
  <c r="E436" i="6" s="1"/>
  <c r="AG614" i="44"/>
  <c r="AD614" i="44"/>
  <c r="AF614" i="44"/>
  <c r="AE614" i="44"/>
  <c r="D561" i="44"/>
  <c r="I561" i="44"/>
  <c r="D374" i="44"/>
  <c r="I374" i="44"/>
  <c r="D208" i="44"/>
  <c r="P208" i="44" s="1"/>
  <c r="I208" i="44"/>
  <c r="D560" i="44"/>
  <c r="P560" i="44" s="1"/>
  <c r="I560" i="44"/>
  <c r="D373" i="44"/>
  <c r="P373" i="44" s="1"/>
  <c r="I373" i="44"/>
  <c r="I54" i="44"/>
  <c r="D54" i="44"/>
  <c r="P54" i="44" s="1"/>
  <c r="N19" i="5"/>
  <c r="FJ1" i="32"/>
  <c r="FK1" i="32" s="1"/>
  <c r="U8" i="4"/>
  <c r="FA2" i="20"/>
  <c r="U20" i="4"/>
  <c r="C19" i="5"/>
  <c r="O19" i="5"/>
  <c r="D19" i="5"/>
  <c r="FJ1" i="20"/>
  <c r="FK1" i="20" s="1"/>
  <c r="FA2" i="32"/>
  <c r="A116" i="14"/>
  <c r="BT108" i="14"/>
  <c r="E108" i="14"/>
  <c r="Q76" i="9"/>
  <c r="R68" i="9"/>
  <c r="E201" i="6"/>
  <c r="A209" i="6"/>
  <c r="E209" i="6" s="1"/>
  <c r="A369" i="6"/>
  <c r="E369" i="6" s="1"/>
  <c r="E361" i="6"/>
  <c r="I506" i="44"/>
  <c r="D506" i="44"/>
  <c r="D308" i="44"/>
  <c r="I308" i="44"/>
  <c r="J107" i="9"/>
  <c r="L99" i="9"/>
  <c r="J112" i="9"/>
  <c r="K104" i="9"/>
  <c r="R103" i="9"/>
  <c r="Q111" i="9"/>
  <c r="I549" i="44"/>
  <c r="D549" i="44"/>
  <c r="P549" i="44" s="1"/>
  <c r="I362" i="44"/>
  <c r="D362" i="44"/>
  <c r="P362" i="44" s="1"/>
  <c r="I21" i="44"/>
  <c r="D21" i="44"/>
  <c r="P21" i="44" s="1"/>
  <c r="I329" i="44"/>
  <c r="D329" i="44"/>
  <c r="P329" i="44" s="1"/>
  <c r="E458" i="6"/>
  <c r="A466" i="6"/>
  <c r="E466" i="6" s="1"/>
  <c r="D35" i="15"/>
  <c r="F27" i="15"/>
  <c r="A212" i="6"/>
  <c r="E212" i="6" s="1"/>
  <c r="E204" i="6"/>
  <c r="I286" i="44"/>
  <c r="D286" i="44"/>
  <c r="E15" i="6"/>
  <c r="A23" i="6"/>
  <c r="E23" i="6" s="1"/>
  <c r="E425" i="6"/>
  <c r="A433" i="6"/>
  <c r="E433" i="6" s="1"/>
  <c r="E8" i="6"/>
  <c r="A16" i="6"/>
  <c r="E16" i="6" s="1"/>
  <c r="E298" i="6"/>
  <c r="A306" i="6"/>
  <c r="E306" i="6" s="1"/>
  <c r="C92" i="9"/>
  <c r="E84" i="9"/>
  <c r="C94" i="9"/>
  <c r="D86" i="9"/>
  <c r="Q13" i="9"/>
  <c r="S5" i="9"/>
  <c r="Q12" i="9"/>
  <c r="S4" i="9"/>
  <c r="A183" i="6"/>
  <c r="E183" i="6" s="1"/>
  <c r="E175" i="6"/>
  <c r="AG627" i="44"/>
  <c r="AD627" i="44"/>
  <c r="AE627" i="44"/>
  <c r="AF627" i="44"/>
  <c r="D275" i="44"/>
  <c r="I275" i="44"/>
  <c r="A112" i="14"/>
  <c r="BT104" i="14"/>
  <c r="E104" i="14"/>
  <c r="A308" i="6"/>
  <c r="E308" i="6" s="1"/>
  <c r="E300" i="6"/>
  <c r="E301" i="6"/>
  <c r="A309" i="6"/>
  <c r="E309" i="6" s="1"/>
  <c r="A403" i="6"/>
  <c r="E403" i="6" s="1"/>
  <c r="E395" i="6"/>
  <c r="Q52" i="9"/>
  <c r="S44" i="9"/>
  <c r="C72" i="9"/>
  <c r="E64" i="9"/>
  <c r="D14" i="15"/>
  <c r="F6" i="15"/>
  <c r="E207" i="6"/>
  <c r="A215" i="6"/>
  <c r="E215" i="6" s="1"/>
  <c r="A502" i="6"/>
  <c r="E502" i="6" s="1"/>
  <c r="E494" i="6"/>
  <c r="D538" i="44"/>
  <c r="P538" i="44" s="1"/>
  <c r="I538" i="44"/>
  <c r="I296" i="44"/>
  <c r="D296" i="44"/>
  <c r="P296" i="44" s="1"/>
  <c r="A372" i="6"/>
  <c r="E372" i="6" s="1"/>
  <c r="E364" i="6"/>
  <c r="J74" i="9"/>
  <c r="K66" i="9"/>
  <c r="BT13" i="14"/>
  <c r="A21" i="14"/>
  <c r="E13" i="14"/>
  <c r="E106" i="14"/>
  <c r="A114" i="14"/>
  <c r="BT106" i="14"/>
  <c r="E264" i="6"/>
  <c r="A272" i="6"/>
  <c r="E272" i="6" s="1"/>
  <c r="Q71" i="9"/>
  <c r="S63" i="9"/>
  <c r="E169" i="14"/>
  <c r="BT169" i="14"/>
  <c r="A177" i="14"/>
  <c r="A305" i="6"/>
  <c r="E305" i="6" s="1"/>
  <c r="E297" i="6"/>
  <c r="L38" i="15"/>
  <c r="M30" i="15"/>
  <c r="BT40" i="14"/>
  <c r="A48" i="14"/>
  <c r="E40" i="14"/>
  <c r="I395" i="44"/>
  <c r="D395" i="44"/>
  <c r="E233" i="6"/>
  <c r="A241" i="6"/>
  <c r="E241" i="6" s="1"/>
  <c r="E44" i="14"/>
  <c r="BT44" i="14"/>
  <c r="A52" i="14"/>
  <c r="E363" i="6"/>
  <c r="A371" i="6"/>
  <c r="E371" i="6" s="1"/>
  <c r="K67" i="9"/>
  <c r="J75" i="9"/>
  <c r="Q74" i="9"/>
  <c r="R66" i="9"/>
  <c r="L16" i="15"/>
  <c r="N8" i="15"/>
  <c r="E72" i="14"/>
  <c r="BT72" i="14"/>
  <c r="A80" i="14"/>
  <c r="Q16" i="9"/>
  <c r="S8" i="9"/>
  <c r="BT173" i="14"/>
  <c r="A181" i="14"/>
  <c r="E173" i="14"/>
  <c r="D87" i="9"/>
  <c r="C95" i="9"/>
  <c r="I88" i="44"/>
  <c r="D88" i="44"/>
  <c r="E11" i="15"/>
  <c r="D19" i="15"/>
  <c r="J34" i="9"/>
  <c r="L26" i="9"/>
  <c r="L32" i="15"/>
  <c r="N24" i="15"/>
  <c r="Q15" i="9"/>
  <c r="S7" i="9"/>
  <c r="E77" i="14"/>
  <c r="A85" i="14"/>
  <c r="BT77" i="14"/>
  <c r="E104" i="6"/>
  <c r="A112" i="6"/>
  <c r="E112" i="6" s="1"/>
  <c r="L18" i="15"/>
  <c r="M10" i="15"/>
  <c r="E492" i="6"/>
  <c r="A500" i="6"/>
  <c r="E500" i="6" s="1"/>
  <c r="Q51" i="9"/>
  <c r="S43" i="9"/>
  <c r="E47" i="6"/>
  <c r="A55" i="6"/>
  <c r="E55" i="6" s="1"/>
  <c r="E110" i="14"/>
  <c r="BT110" i="14"/>
  <c r="A118" i="14"/>
  <c r="C38" i="9"/>
  <c r="D30" i="9"/>
  <c r="Q89" i="9"/>
  <c r="R81" i="9"/>
  <c r="J111" i="9"/>
  <c r="L103" i="9"/>
  <c r="C14" i="9"/>
  <c r="E6" i="9"/>
  <c r="A435" i="6"/>
  <c r="E435" i="6" s="1"/>
  <c r="E427" i="6"/>
  <c r="E459" i="6"/>
  <c r="A467" i="6"/>
  <c r="E467" i="6" s="1"/>
  <c r="L14" i="15"/>
  <c r="N6" i="15"/>
  <c r="R67" i="9"/>
  <c r="Q75" i="9"/>
  <c r="A54" i="6"/>
  <c r="E54" i="6" s="1"/>
  <c r="E46" i="6"/>
  <c r="D15" i="15"/>
  <c r="F7" i="15"/>
  <c r="A242" i="6"/>
  <c r="E242" i="6" s="1"/>
  <c r="E234" i="6"/>
  <c r="BT46" i="14"/>
  <c r="A54" i="14"/>
  <c r="E46" i="14"/>
  <c r="E296" i="6"/>
  <c r="A304" i="6"/>
  <c r="E304" i="6" s="1"/>
  <c r="A181" i="6"/>
  <c r="E181" i="6" s="1"/>
  <c r="E173" i="6"/>
  <c r="A407" i="6"/>
  <c r="E407" i="6" s="1"/>
  <c r="E399" i="6"/>
  <c r="D495" i="44"/>
  <c r="I495" i="44"/>
  <c r="C55" i="9"/>
  <c r="D47" i="9"/>
  <c r="E108" i="6"/>
  <c r="A116" i="6"/>
  <c r="E116" i="6" s="1"/>
  <c r="E139" i="6"/>
  <c r="A147" i="6"/>
  <c r="E147" i="6" s="1"/>
  <c r="T16" i="15"/>
  <c r="V8" i="15"/>
  <c r="E14" i="14"/>
  <c r="A22" i="14"/>
  <c r="BT14" i="14"/>
  <c r="A247" i="6"/>
  <c r="E247" i="6" s="1"/>
  <c r="E239" i="6"/>
  <c r="BT168" i="14"/>
  <c r="E168" i="14"/>
  <c r="A176" i="14"/>
  <c r="E266" i="6"/>
  <c r="A274" i="6"/>
  <c r="E274" i="6" s="1"/>
  <c r="T19" i="15"/>
  <c r="U11" i="15"/>
  <c r="A243" i="6"/>
  <c r="E243" i="6" s="1"/>
  <c r="E235" i="6"/>
  <c r="A115" i="6"/>
  <c r="E115" i="6" s="1"/>
  <c r="E107" i="6"/>
  <c r="A81" i="14"/>
  <c r="BT73" i="14"/>
  <c r="E73" i="14"/>
  <c r="A144" i="6"/>
  <c r="E144" i="6" s="1"/>
  <c r="E136" i="6"/>
  <c r="E14" i="6"/>
  <c r="A22" i="6"/>
  <c r="E22" i="6" s="1"/>
  <c r="J32" i="9"/>
  <c r="L24" i="9"/>
  <c r="I186" i="44"/>
  <c r="D186" i="44"/>
  <c r="D175" i="44"/>
  <c r="I175" i="44"/>
  <c r="D197" i="44"/>
  <c r="I197" i="44"/>
  <c r="D264" i="44"/>
  <c r="I264" i="44"/>
  <c r="AE593" i="44"/>
  <c r="AF593" i="44"/>
  <c r="AG593" i="44"/>
  <c r="AD593" i="44"/>
  <c r="D483" i="44"/>
  <c r="P483" i="44" s="1"/>
  <c r="I483" i="44"/>
  <c r="D220" i="44"/>
  <c r="I220" i="44"/>
  <c r="D131" i="44"/>
  <c r="P131" i="44" s="1"/>
  <c r="I131" i="44"/>
  <c r="D49" i="9"/>
  <c r="C57" i="9"/>
  <c r="A311" i="6"/>
  <c r="E311" i="6" s="1"/>
  <c r="E303" i="6"/>
  <c r="J42" i="9"/>
  <c r="J43" i="9"/>
  <c r="A76" i="14"/>
  <c r="AF603" i="44"/>
  <c r="AD603" i="44"/>
  <c r="AE603" i="44"/>
  <c r="AG603" i="44"/>
  <c r="I517" i="44"/>
  <c r="D517" i="44"/>
  <c r="I330" i="44"/>
  <c r="D330" i="44"/>
  <c r="C20" i="5"/>
  <c r="GJ1" i="20"/>
  <c r="GK1" i="20" s="1"/>
  <c r="O20" i="5"/>
  <c r="GA2" i="20"/>
  <c r="D20" i="5"/>
  <c r="U9" i="4"/>
  <c r="E98" i="44" s="1"/>
  <c r="V98" i="44" s="1"/>
  <c r="U21" i="4"/>
  <c r="N20" i="5"/>
  <c r="GJ1" i="32"/>
  <c r="GK1" i="32" s="1"/>
  <c r="GA2" i="32"/>
  <c r="C602" i="44"/>
  <c r="I516" i="44"/>
  <c r="D516" i="44"/>
  <c r="P516" i="44" s="1"/>
  <c r="E516" i="44"/>
  <c r="D319" i="44"/>
  <c r="I319" i="44"/>
  <c r="D98" i="44"/>
  <c r="P98" i="44" s="1"/>
  <c r="I98" i="44"/>
  <c r="A489" i="6"/>
  <c r="Q114" i="9"/>
  <c r="R106" i="9"/>
  <c r="A106" i="6"/>
  <c r="Q24" i="9"/>
  <c r="C634" i="44"/>
  <c r="C590" i="44"/>
  <c r="D451" i="44"/>
  <c r="I451" i="44"/>
  <c r="D132" i="44"/>
  <c r="I132" i="44"/>
  <c r="R80" i="9"/>
  <c r="Q88" i="9"/>
  <c r="C8" i="9"/>
  <c r="J81" i="9"/>
  <c r="J100" i="9"/>
  <c r="C600" i="44"/>
  <c r="I505" i="44"/>
  <c r="D505" i="44"/>
  <c r="P505" i="44" s="1"/>
  <c r="E505" i="44"/>
  <c r="V505" i="44" s="1"/>
  <c r="D297" i="44"/>
  <c r="I297" i="44"/>
  <c r="I65" i="44"/>
  <c r="D65" i="44"/>
  <c r="E65" i="44"/>
  <c r="E13" i="6"/>
  <c r="A21" i="6"/>
  <c r="E21" i="6" s="1"/>
  <c r="A105" i="14"/>
  <c r="A332" i="6"/>
  <c r="A75" i="6"/>
  <c r="D439" i="44"/>
  <c r="I439" i="44"/>
  <c r="E439" i="44"/>
  <c r="Q100" i="9"/>
  <c r="A331" i="6"/>
  <c r="D5" i="15"/>
  <c r="C56" i="9"/>
  <c r="D48" i="9"/>
  <c r="C103" i="9"/>
  <c r="A9" i="6"/>
  <c r="J25" i="9"/>
  <c r="A118" i="6"/>
  <c r="E118" i="6" s="1"/>
  <c r="E110" i="6"/>
  <c r="M11" i="15"/>
  <c r="L19" i="15"/>
  <c r="C598" i="44"/>
  <c r="A200" i="6"/>
  <c r="J23" i="9"/>
  <c r="A75" i="14"/>
  <c r="A457" i="6"/>
  <c r="J80" i="9"/>
  <c r="A182" i="14"/>
  <c r="BT174" i="14"/>
  <c r="E174" i="14"/>
  <c r="E333" i="6"/>
  <c r="A341" i="6"/>
  <c r="E341" i="6" s="1"/>
  <c r="A168" i="6"/>
  <c r="E463" i="6"/>
  <c r="A471" i="6"/>
  <c r="E471" i="6" s="1"/>
  <c r="AF594" i="44"/>
  <c r="AE594" i="44"/>
  <c r="AD594" i="44"/>
  <c r="AG594" i="44"/>
  <c r="I76" i="44"/>
  <c r="D76" i="44"/>
  <c r="P76" i="44" s="1"/>
  <c r="E76" i="44"/>
  <c r="A73" i="6"/>
  <c r="C45" i="9"/>
  <c r="Q93" i="9"/>
  <c r="R85" i="9"/>
  <c r="A140" i="14"/>
  <c r="C101" i="9"/>
  <c r="E142" i="6"/>
  <c r="A150" i="6"/>
  <c r="E150" i="6" s="1"/>
  <c r="L4" i="15"/>
  <c r="A10" i="6"/>
  <c r="C75" i="9"/>
  <c r="D67" i="9"/>
  <c r="J19" i="9"/>
  <c r="K11" i="9"/>
  <c r="I528" i="44"/>
  <c r="D528" i="44"/>
  <c r="E528" i="44"/>
  <c r="I462" i="44"/>
  <c r="D462" i="44"/>
  <c r="A169" i="6"/>
  <c r="A394" i="6"/>
  <c r="C17" i="9"/>
  <c r="D9" i="9"/>
  <c r="J82" i="9"/>
  <c r="J46" i="9"/>
  <c r="A140" i="6"/>
  <c r="J44" i="9"/>
  <c r="A11" i="14"/>
  <c r="D11" i="9"/>
  <c r="C19" i="9"/>
  <c r="AF638" i="44"/>
  <c r="AD638" i="44"/>
  <c r="AE638" i="44"/>
  <c r="AG638" i="44"/>
  <c r="D352" i="44"/>
  <c r="I352" i="44"/>
  <c r="E352" i="44"/>
  <c r="Q55" i="9"/>
  <c r="R47" i="9"/>
  <c r="J101" i="9"/>
  <c r="A9" i="14"/>
  <c r="Q83" i="9"/>
  <c r="E77" i="6"/>
  <c r="A85" i="6"/>
  <c r="E85" i="6" s="1"/>
  <c r="J62" i="9"/>
  <c r="D24" i="15"/>
  <c r="A246" i="6"/>
  <c r="E246" i="6" s="1"/>
  <c r="E238" i="6"/>
  <c r="C36" i="9"/>
  <c r="D28" i="9"/>
  <c r="R30" i="9"/>
  <c r="Q38" i="9"/>
  <c r="E143" i="6"/>
  <c r="A151" i="6"/>
  <c r="E151" i="6" s="1"/>
  <c r="C609" i="44"/>
  <c r="I22" i="44"/>
  <c r="D22" i="44"/>
  <c r="E22" i="44"/>
  <c r="J102" i="9"/>
  <c r="T17" i="15"/>
  <c r="U9" i="15"/>
  <c r="A8" i="14"/>
  <c r="C99" i="9"/>
  <c r="A488" i="6"/>
  <c r="D26" i="15"/>
  <c r="A396" i="6"/>
  <c r="Q95" i="9"/>
  <c r="R87" i="9"/>
  <c r="A470" i="6"/>
  <c r="E470" i="6" s="1"/>
  <c r="E462" i="6"/>
  <c r="C587" i="44"/>
  <c r="A456" i="6"/>
  <c r="E143" i="14"/>
  <c r="BT143" i="14"/>
  <c r="A151" i="14"/>
  <c r="C576" i="44"/>
  <c r="E10" i="15"/>
  <c r="D18" i="15"/>
  <c r="C76" i="9"/>
  <c r="D68" i="9"/>
  <c r="J55" i="9"/>
  <c r="K47" i="9"/>
  <c r="T27" i="15"/>
  <c r="C112" i="9"/>
  <c r="D104" i="9"/>
  <c r="A41" i="6"/>
  <c r="E45" i="6"/>
  <c r="A53" i="6"/>
  <c r="E53" i="6" s="1"/>
  <c r="D4" i="15"/>
  <c r="J17" i="9"/>
  <c r="K9" i="9"/>
  <c r="C632" i="44"/>
  <c r="Q19" i="9"/>
  <c r="R11" i="9"/>
  <c r="Q17" i="9"/>
  <c r="R9" i="9"/>
  <c r="AG616" i="44"/>
  <c r="AD616" i="44"/>
  <c r="AE616" i="44"/>
  <c r="AF616" i="44"/>
  <c r="K616" i="44"/>
  <c r="A11" i="6"/>
  <c r="L5" i="15"/>
  <c r="J45" i="9"/>
  <c r="F196" i="6"/>
  <c r="D198" i="44"/>
  <c r="I198" i="44"/>
  <c r="D165" i="44"/>
  <c r="I165" i="44"/>
  <c r="E165" i="44"/>
  <c r="D176" i="44"/>
  <c r="I176" i="44"/>
  <c r="D164" i="44"/>
  <c r="I164" i="44"/>
  <c r="E164" i="44"/>
  <c r="V76" i="44" l="1"/>
  <c r="V516" i="44"/>
  <c r="E132" i="44"/>
  <c r="M15" i="5"/>
  <c r="BA1" i="20"/>
  <c r="BA1" i="32"/>
  <c r="E6" i="34"/>
  <c r="Z4" i="4"/>
  <c r="Z15" i="4" s="1"/>
  <c r="DA1" i="20"/>
  <c r="Z6" i="4"/>
  <c r="Z18" i="4" s="1"/>
  <c r="DA1" i="32"/>
  <c r="E8" i="34"/>
  <c r="M17" i="5"/>
  <c r="Y14" i="4"/>
  <c r="E105" i="16"/>
  <c r="E128" i="16"/>
  <c r="E225" i="16"/>
  <c r="E235" i="16"/>
  <c r="E48" i="16"/>
  <c r="G56" i="18"/>
  <c r="G112" i="18"/>
  <c r="D28" i="17"/>
  <c r="E26" i="16"/>
  <c r="D40" i="17"/>
  <c r="E7" i="16"/>
  <c r="E71" i="16"/>
  <c r="E62" i="16"/>
  <c r="D16" i="17"/>
  <c r="E213" i="16"/>
  <c r="E115" i="16"/>
  <c r="E37" i="16"/>
  <c r="G40" i="18"/>
  <c r="E94" i="16"/>
  <c r="D6" i="17"/>
  <c r="E84" i="16"/>
  <c r="E15" i="16"/>
  <c r="E192" i="16"/>
  <c r="E126" i="16"/>
  <c r="D39" i="17"/>
  <c r="E5" i="16"/>
  <c r="D18" i="17"/>
  <c r="E74" i="16"/>
  <c r="E106" i="16"/>
  <c r="G79" i="18"/>
  <c r="E61" i="16"/>
  <c r="D50" i="17"/>
  <c r="E204" i="16"/>
  <c r="E28" i="16"/>
  <c r="G114" i="18"/>
  <c r="E228" i="16"/>
  <c r="G94" i="18"/>
  <c r="Y13" i="4"/>
  <c r="D29" i="17"/>
  <c r="D7" i="17"/>
  <c r="E180" i="16"/>
  <c r="E52" i="16"/>
  <c r="E237" i="16"/>
  <c r="D61" i="17"/>
  <c r="E95" i="16"/>
  <c r="E216" i="16"/>
  <c r="L37" i="16"/>
  <c r="G6" i="18"/>
  <c r="E82" i="16"/>
  <c r="E117" i="16"/>
  <c r="E191" i="16"/>
  <c r="M16" i="5"/>
  <c r="CA1" i="32"/>
  <c r="CA1" i="20"/>
  <c r="E7" i="34"/>
  <c r="Z5" i="4"/>
  <c r="Z17" i="4" s="1"/>
  <c r="G19" i="18"/>
  <c r="D4" i="17"/>
  <c r="E182" i="16"/>
  <c r="G76" i="18"/>
  <c r="D15" i="17"/>
  <c r="G2" i="18"/>
  <c r="E103" i="16"/>
  <c r="L114" i="16"/>
  <c r="G57" i="18"/>
  <c r="E226" i="16"/>
  <c r="E127" i="16"/>
  <c r="G111" i="18"/>
  <c r="D60" i="17"/>
  <c r="E70" i="16"/>
  <c r="E193" i="16"/>
  <c r="E27" i="16"/>
  <c r="E83" i="16"/>
  <c r="L38" i="16"/>
  <c r="G92" i="18"/>
  <c r="E60" i="16"/>
  <c r="D26" i="17"/>
  <c r="D49" i="17"/>
  <c r="Y15" i="4"/>
  <c r="G41" i="18"/>
  <c r="E202" i="16"/>
  <c r="E4" i="16"/>
  <c r="E215" i="16"/>
  <c r="E92" i="16"/>
  <c r="E16" i="16"/>
  <c r="D38" i="17"/>
  <c r="L235" i="16"/>
  <c r="E49" i="16"/>
  <c r="E72" i="16"/>
  <c r="E181" i="16"/>
  <c r="G110" i="18"/>
  <c r="D5" i="17"/>
  <c r="E224" i="16"/>
  <c r="E81" i="16"/>
  <c r="E239" i="16"/>
  <c r="L215" i="16"/>
  <c r="G4" i="18"/>
  <c r="G75" i="18"/>
  <c r="E50" i="16"/>
  <c r="D27" i="17"/>
  <c r="D37" i="17"/>
  <c r="E194" i="16"/>
  <c r="L125" i="16"/>
  <c r="E114" i="16"/>
  <c r="D59" i="17"/>
  <c r="G127" i="18"/>
  <c r="G20" i="18"/>
  <c r="Y17" i="4"/>
  <c r="G38" i="18"/>
  <c r="D48" i="17"/>
  <c r="G100" i="18"/>
  <c r="E93" i="16"/>
  <c r="E203" i="16"/>
  <c r="E17" i="16"/>
  <c r="E59" i="16"/>
  <c r="E104" i="16"/>
  <c r="D17" i="17"/>
  <c r="G55" i="18"/>
  <c r="E6" i="16"/>
  <c r="AA1" i="20"/>
  <c r="M14" i="5"/>
  <c r="Z3" i="4"/>
  <c r="Z14" i="4" s="1"/>
  <c r="AA1" i="32"/>
  <c r="E5" i="34"/>
  <c r="Z2" i="4"/>
  <c r="Z13" i="4" s="1"/>
  <c r="A1" i="20"/>
  <c r="E4" i="34"/>
  <c r="M13" i="5"/>
  <c r="A1" i="32"/>
  <c r="P164" i="44"/>
  <c r="V164" i="44"/>
  <c r="K176" i="44"/>
  <c r="J176" i="44"/>
  <c r="V165" i="44"/>
  <c r="P165" i="44"/>
  <c r="J198" i="44"/>
  <c r="K198" i="44"/>
  <c r="L13" i="15"/>
  <c r="N5" i="15"/>
  <c r="Q616" i="44"/>
  <c r="W616" i="44"/>
  <c r="AA616" i="44" s="1"/>
  <c r="S616" i="44"/>
  <c r="Y616" i="44"/>
  <c r="AC616" i="44" s="1"/>
  <c r="R19" i="9"/>
  <c r="S19" i="9"/>
  <c r="K17" i="9"/>
  <c r="L17" i="9"/>
  <c r="AG53" i="6"/>
  <c r="F53" i="6"/>
  <c r="A49" i="6"/>
  <c r="E49" i="6" s="1"/>
  <c r="E41" i="6"/>
  <c r="T35" i="15"/>
  <c r="V27" i="15"/>
  <c r="D76" i="9"/>
  <c r="E76" i="9"/>
  <c r="E18" i="15"/>
  <c r="F18" i="15"/>
  <c r="K576" i="44"/>
  <c r="E456" i="6"/>
  <c r="A464" i="6"/>
  <c r="E464" i="6" s="1"/>
  <c r="F462" i="6"/>
  <c r="AG462" i="6"/>
  <c r="R95" i="9"/>
  <c r="S95" i="9"/>
  <c r="D34" i="15"/>
  <c r="F26" i="15"/>
  <c r="C107" i="9"/>
  <c r="E99" i="9"/>
  <c r="U17" i="15"/>
  <c r="V17" i="15"/>
  <c r="J22" i="44"/>
  <c r="K22" i="44"/>
  <c r="AG151" i="6"/>
  <c r="F151" i="6"/>
  <c r="AG238" i="6"/>
  <c r="F238" i="6"/>
  <c r="D32" i="15"/>
  <c r="F24" i="15"/>
  <c r="AG85" i="6"/>
  <c r="F85" i="6"/>
  <c r="Q91" i="9"/>
  <c r="R83" i="9"/>
  <c r="S83" i="9"/>
  <c r="J109" i="9"/>
  <c r="L101" i="9"/>
  <c r="P352" i="44"/>
  <c r="V352" i="44"/>
  <c r="S638" i="44"/>
  <c r="Y638" i="44"/>
  <c r="AC638" i="44" s="1"/>
  <c r="P638" i="44"/>
  <c r="V638" i="44"/>
  <c r="Z638" i="44" s="1"/>
  <c r="D638" i="44"/>
  <c r="J52" i="9"/>
  <c r="L44" i="9"/>
  <c r="J54" i="9"/>
  <c r="L46" i="9"/>
  <c r="D17" i="9"/>
  <c r="E17" i="9"/>
  <c r="A177" i="6"/>
  <c r="E177" i="6" s="1"/>
  <c r="E169" i="6"/>
  <c r="P462" i="44"/>
  <c r="V462" i="44"/>
  <c r="J528" i="44"/>
  <c r="K528" i="44"/>
  <c r="D75" i="9"/>
  <c r="E75" i="9"/>
  <c r="L12" i="15"/>
  <c r="N4" i="15"/>
  <c r="F142" i="6"/>
  <c r="AG142" i="6"/>
  <c r="BT140" i="14"/>
  <c r="A148" i="14"/>
  <c r="E140" i="14"/>
  <c r="C53" i="9"/>
  <c r="E45" i="9"/>
  <c r="Z76" i="44"/>
  <c r="T76" i="44"/>
  <c r="J76" i="44"/>
  <c r="Q76" i="44" s="1"/>
  <c r="K76" i="44"/>
  <c r="S594" i="44"/>
  <c r="Y594" i="44"/>
  <c r="AC594" i="44" s="1"/>
  <c r="Q594" i="44"/>
  <c r="W594" i="44"/>
  <c r="AA594" i="44" s="1"/>
  <c r="AG471" i="6"/>
  <c r="F471" i="6"/>
  <c r="A176" i="6"/>
  <c r="E176" i="6" s="1"/>
  <c r="E168" i="6"/>
  <c r="F333" i="6"/>
  <c r="AG333" i="6"/>
  <c r="J88" i="9"/>
  <c r="L80" i="9"/>
  <c r="A83" i="14"/>
  <c r="BT75" i="14"/>
  <c r="E75" i="14"/>
  <c r="E200" i="6"/>
  <c r="A208" i="6"/>
  <c r="E208" i="6" s="1"/>
  <c r="AG118" i="6"/>
  <c r="F118" i="6"/>
  <c r="E9" i="6"/>
  <c r="A17" i="6"/>
  <c r="E17" i="6" s="1"/>
  <c r="D56" i="9"/>
  <c r="E56" i="9"/>
  <c r="E331" i="6"/>
  <c r="A339" i="6"/>
  <c r="E339" i="6" s="1"/>
  <c r="P439" i="44"/>
  <c r="V439" i="44"/>
  <c r="E332" i="6"/>
  <c r="A340" i="6"/>
  <c r="E340" i="6" s="1"/>
  <c r="F21" i="6"/>
  <c r="AG21" i="6"/>
  <c r="K65" i="44"/>
  <c r="J65" i="44"/>
  <c r="J297" i="44"/>
  <c r="K297" i="44"/>
  <c r="Z505" i="44"/>
  <c r="T505" i="44"/>
  <c r="K505" i="44"/>
  <c r="J505" i="44"/>
  <c r="J108" i="9"/>
  <c r="L100" i="9"/>
  <c r="C16" i="9"/>
  <c r="E8" i="9"/>
  <c r="S88" i="9"/>
  <c r="R88" i="9"/>
  <c r="P132" i="44"/>
  <c r="V132" i="44"/>
  <c r="K451" i="44"/>
  <c r="J451" i="44"/>
  <c r="K590" i="44"/>
  <c r="Q32" i="9"/>
  <c r="S24" i="9"/>
  <c r="R114" i="9"/>
  <c r="S114" i="9"/>
  <c r="T98" i="44"/>
  <c r="Z98" i="44"/>
  <c r="K319" i="44"/>
  <c r="J319" i="44"/>
  <c r="T516" i="44"/>
  <c r="Z516" i="44"/>
  <c r="J516" i="44"/>
  <c r="K516" i="44"/>
  <c r="GA121" i="32"/>
  <c r="GA93" i="32"/>
  <c r="GA117" i="32"/>
  <c r="GA100" i="32"/>
  <c r="GA80" i="32"/>
  <c r="GA97" i="32"/>
  <c r="GA84" i="32"/>
  <c r="GA115" i="32"/>
  <c r="GA112" i="32"/>
  <c r="GA125" i="32"/>
  <c r="GA109" i="32"/>
  <c r="GA86" i="32"/>
  <c r="GA127" i="32"/>
  <c r="GA101" i="32"/>
  <c r="GA111" i="32"/>
  <c r="GA105" i="32"/>
  <c r="GA118" i="32"/>
  <c r="GA122" i="32"/>
  <c r="GA91" i="32"/>
  <c r="GA104" i="32"/>
  <c r="GA120" i="32"/>
  <c r="GA90" i="32"/>
  <c r="GA126" i="32"/>
  <c r="GA88" i="32"/>
  <c r="GA81" i="32"/>
  <c r="GA113" i="32"/>
  <c r="GA116" i="32"/>
  <c r="GA114" i="32"/>
  <c r="GA83" i="32"/>
  <c r="GA78" i="32"/>
  <c r="GA103" i="32"/>
  <c r="GA87" i="32"/>
  <c r="GA130" i="32"/>
  <c r="GA77" i="32"/>
  <c r="GA85" i="32"/>
  <c r="GA76" i="32"/>
  <c r="GA102" i="32"/>
  <c r="GA123" i="32"/>
  <c r="GA96" i="32"/>
  <c r="GA89" i="32"/>
  <c r="GA82" i="32"/>
  <c r="GA108" i="32"/>
  <c r="GA129" i="32"/>
  <c r="GA106" i="32"/>
  <c r="GA98" i="32"/>
  <c r="GA75" i="32"/>
  <c r="GA79" i="32"/>
  <c r="GA92" i="32"/>
  <c r="GA119" i="32"/>
  <c r="GA128" i="32"/>
  <c r="GA110" i="32"/>
  <c r="GA94" i="32"/>
  <c r="GA124" i="32"/>
  <c r="GA99" i="32"/>
  <c r="GA95" i="32"/>
  <c r="GA107" i="32"/>
  <c r="Y9" i="4"/>
  <c r="Y21" i="4" s="1"/>
  <c r="Z9" i="4"/>
  <c r="Z21" i="4" s="1"/>
  <c r="GA129" i="20"/>
  <c r="GA106" i="20"/>
  <c r="GA75" i="20"/>
  <c r="GA91" i="20"/>
  <c r="GA120" i="20"/>
  <c r="GA85" i="20"/>
  <c r="GA115" i="20"/>
  <c r="GA114" i="20"/>
  <c r="GA110" i="20"/>
  <c r="GA122" i="20"/>
  <c r="GA84" i="20"/>
  <c r="GA123" i="20"/>
  <c r="GA93" i="20"/>
  <c r="GA127" i="20"/>
  <c r="GA121" i="20"/>
  <c r="GA112" i="20"/>
  <c r="GA105" i="20"/>
  <c r="GA103" i="20"/>
  <c r="GA79" i="20"/>
  <c r="GA111" i="20"/>
  <c r="GA113" i="20"/>
  <c r="GA107" i="20"/>
  <c r="GA130" i="20"/>
  <c r="GA125" i="20"/>
  <c r="GA78" i="20"/>
  <c r="GA94" i="20"/>
  <c r="GA128" i="20"/>
  <c r="GA117" i="20"/>
  <c r="GA116" i="20"/>
  <c r="GA87" i="20"/>
  <c r="GA80" i="20"/>
  <c r="GA124" i="20"/>
  <c r="GA126" i="20"/>
  <c r="GA100" i="20"/>
  <c r="GA96" i="20"/>
  <c r="GA89" i="20"/>
  <c r="GA119" i="20"/>
  <c r="GA88" i="20"/>
  <c r="GA95" i="20"/>
  <c r="GA99" i="20"/>
  <c r="GA98" i="20"/>
  <c r="GA90" i="20"/>
  <c r="GA83" i="20"/>
  <c r="GA118" i="20"/>
  <c r="GA102" i="20"/>
  <c r="GA108" i="20"/>
  <c r="GA77" i="20"/>
  <c r="GA101" i="20"/>
  <c r="GA76" i="20"/>
  <c r="GA86" i="20"/>
  <c r="GA109" i="20"/>
  <c r="GA92" i="20"/>
  <c r="GA81" i="20"/>
  <c r="GA82" i="20"/>
  <c r="GA104" i="20"/>
  <c r="GA97" i="20"/>
  <c r="E330" i="44"/>
  <c r="J330" i="44"/>
  <c r="K330" i="44"/>
  <c r="P517" i="44"/>
  <c r="V517" i="44"/>
  <c r="Y603" i="44"/>
  <c r="S603" i="44"/>
  <c r="P603" i="44"/>
  <c r="V603" i="44"/>
  <c r="D603" i="44"/>
  <c r="K603" i="44"/>
  <c r="J51" i="9"/>
  <c r="L43" i="9"/>
  <c r="F303" i="6"/>
  <c r="AG303" i="6"/>
  <c r="K131" i="44"/>
  <c r="J131" i="44"/>
  <c r="E220" i="44"/>
  <c r="P220" i="44"/>
  <c r="V220" i="44"/>
  <c r="J483" i="44"/>
  <c r="K483" i="44"/>
  <c r="K593" i="44"/>
  <c r="S593" i="44"/>
  <c r="Y593" i="44"/>
  <c r="AC593" i="44" s="1"/>
  <c r="Q593" i="44"/>
  <c r="W593" i="44"/>
  <c r="AA593" i="44" s="1"/>
  <c r="J264" i="44"/>
  <c r="K264" i="44"/>
  <c r="E197" i="44"/>
  <c r="P197" i="44"/>
  <c r="V197" i="44"/>
  <c r="K175" i="44"/>
  <c r="J175" i="44"/>
  <c r="E186" i="44"/>
  <c r="J186" i="44"/>
  <c r="K186" i="44"/>
  <c r="L32" i="9"/>
  <c r="AG14" i="6"/>
  <c r="F14" i="6"/>
  <c r="AG144" i="6"/>
  <c r="G144" i="6"/>
  <c r="AG107" i="6"/>
  <c r="G107" i="6"/>
  <c r="AG235" i="6"/>
  <c r="G235" i="6"/>
  <c r="U19" i="15"/>
  <c r="V19" i="15"/>
  <c r="AG266" i="6"/>
  <c r="G266" i="6"/>
  <c r="G168" i="14"/>
  <c r="AG239" i="6"/>
  <c r="F239" i="6"/>
  <c r="F14" i="14"/>
  <c r="V16" i="15"/>
  <c r="AG139" i="6"/>
  <c r="G139" i="6"/>
  <c r="AG108" i="6"/>
  <c r="G108" i="6"/>
  <c r="E495" i="44"/>
  <c r="P495" i="44"/>
  <c r="V495" i="44"/>
  <c r="AG407" i="6"/>
  <c r="F407" i="6"/>
  <c r="AG181" i="6"/>
  <c r="F181" i="6"/>
  <c r="AG296" i="6"/>
  <c r="G296" i="6"/>
  <c r="BT54" i="14"/>
  <c r="E54" i="14"/>
  <c r="AG234" i="6"/>
  <c r="G234" i="6"/>
  <c r="AG46" i="6"/>
  <c r="F46" i="6"/>
  <c r="N14" i="15"/>
  <c r="AG459" i="6"/>
  <c r="G459" i="6"/>
  <c r="AG435" i="6"/>
  <c r="G435" i="6"/>
  <c r="E14" i="9"/>
  <c r="L111" i="9"/>
  <c r="D38" i="9"/>
  <c r="E38" i="9"/>
  <c r="AG55" i="6"/>
  <c r="F55" i="6"/>
  <c r="AG500" i="6"/>
  <c r="G500" i="6"/>
  <c r="M18" i="15"/>
  <c r="N18" i="15"/>
  <c r="AG104" i="6"/>
  <c r="G104" i="6"/>
  <c r="BT85" i="14"/>
  <c r="E85" i="14"/>
  <c r="P88" i="44"/>
  <c r="V88" i="44"/>
  <c r="E181" i="14"/>
  <c r="BT181" i="14"/>
  <c r="E80" i="14"/>
  <c r="BT80" i="14"/>
  <c r="G72" i="14"/>
  <c r="N16" i="15"/>
  <c r="AG363" i="6"/>
  <c r="G363" i="6"/>
  <c r="AG241" i="6"/>
  <c r="G241" i="6"/>
  <c r="E395" i="44"/>
  <c r="J395" i="44"/>
  <c r="K395" i="44"/>
  <c r="BT48" i="14"/>
  <c r="E48" i="14"/>
  <c r="M38" i="15"/>
  <c r="N38" i="15"/>
  <c r="AG305" i="6"/>
  <c r="G305" i="6"/>
  <c r="AG272" i="6"/>
  <c r="G272" i="6"/>
  <c r="G106" i="14"/>
  <c r="BT21" i="14"/>
  <c r="E21" i="14"/>
  <c r="K74" i="9"/>
  <c r="L74" i="9"/>
  <c r="AG372" i="6"/>
  <c r="G372" i="6"/>
  <c r="E538" i="44"/>
  <c r="V538" i="44" s="1"/>
  <c r="AG502" i="6"/>
  <c r="F502" i="6"/>
  <c r="F207" i="6"/>
  <c r="AG207" i="6"/>
  <c r="F14" i="15"/>
  <c r="E72" i="9"/>
  <c r="S52" i="9"/>
  <c r="AG403" i="6"/>
  <c r="G403" i="6"/>
  <c r="F301" i="6"/>
  <c r="AG301" i="6"/>
  <c r="AG308" i="6"/>
  <c r="G308" i="6"/>
  <c r="E275" i="44"/>
  <c r="P275" i="44"/>
  <c r="V275" i="44"/>
  <c r="R627" i="44"/>
  <c r="X627" i="44"/>
  <c r="AB627" i="44" s="1"/>
  <c r="P627" i="44"/>
  <c r="V627" i="44"/>
  <c r="Z627" i="44" s="1"/>
  <c r="D627" i="44"/>
  <c r="F175" i="6"/>
  <c r="AG175" i="6"/>
  <c r="D94" i="9"/>
  <c r="E94" i="9"/>
  <c r="E92" i="9"/>
  <c r="AG298" i="6"/>
  <c r="G298" i="6"/>
  <c r="AG8" i="6"/>
  <c r="G8" i="6"/>
  <c r="AG425" i="6"/>
  <c r="G425" i="6"/>
  <c r="AG15" i="6"/>
  <c r="F15" i="6"/>
  <c r="P286" i="44"/>
  <c r="V286" i="44"/>
  <c r="AG204" i="6"/>
  <c r="G204" i="6"/>
  <c r="AG466" i="6"/>
  <c r="G466" i="6"/>
  <c r="E329" i="44"/>
  <c r="V329" i="44" s="1"/>
  <c r="K329" i="44"/>
  <c r="J329" i="44"/>
  <c r="E362" i="44"/>
  <c r="V362" i="44" s="1"/>
  <c r="J362" i="44"/>
  <c r="K362" i="44"/>
  <c r="S103" i="9"/>
  <c r="E308" i="44"/>
  <c r="P308" i="44"/>
  <c r="V308" i="44"/>
  <c r="P506" i="44"/>
  <c r="V506" i="44"/>
  <c r="AG361" i="6"/>
  <c r="G361" i="6"/>
  <c r="AG209" i="6"/>
  <c r="G209" i="6"/>
  <c r="R76" i="9"/>
  <c r="S76" i="9"/>
  <c r="FA97" i="32"/>
  <c r="FA98" i="32"/>
  <c r="FA111" i="32"/>
  <c r="FA106" i="32"/>
  <c r="FA85" i="32"/>
  <c r="FA105" i="32"/>
  <c r="FA117" i="32"/>
  <c r="FA90" i="32"/>
  <c r="FA84" i="32"/>
  <c r="FA128" i="32"/>
  <c r="FA75" i="32"/>
  <c r="FA127" i="32"/>
  <c r="FA101" i="32"/>
  <c r="FA87" i="32"/>
  <c r="FA130" i="32"/>
  <c r="FA110" i="32"/>
  <c r="FA92" i="32"/>
  <c r="FA89" i="32"/>
  <c r="FA95" i="32"/>
  <c r="FA118" i="32"/>
  <c r="FA124" i="32"/>
  <c r="FA113" i="32"/>
  <c r="FA112" i="32"/>
  <c r="FA78" i="32"/>
  <c r="FA86" i="32"/>
  <c r="FA94" i="32"/>
  <c r="FA76" i="32"/>
  <c r="FA119" i="32"/>
  <c r="FA83" i="32"/>
  <c r="FA88" i="32"/>
  <c r="FA129" i="32"/>
  <c r="FA115" i="32"/>
  <c r="FA126" i="32"/>
  <c r="FA108" i="32"/>
  <c r="FA109" i="32"/>
  <c r="FA120" i="32"/>
  <c r="FA96" i="32"/>
  <c r="FA123" i="32"/>
  <c r="FA79" i="32"/>
  <c r="FA121" i="32"/>
  <c r="FA93" i="32"/>
  <c r="FA102" i="32"/>
  <c r="FA100" i="32"/>
  <c r="FA81" i="32"/>
  <c r="FA77" i="32"/>
  <c r="FA114" i="32"/>
  <c r="FA82" i="32"/>
  <c r="FA116" i="32"/>
  <c r="FA104" i="32"/>
  <c r="FA122" i="32"/>
  <c r="FA125" i="32"/>
  <c r="FA80" i="32"/>
  <c r="FA91" i="32"/>
  <c r="FA99" i="32"/>
  <c r="FA107" i="32"/>
  <c r="FA103" i="32"/>
  <c r="FA1" i="32"/>
  <c r="E10" i="34"/>
  <c r="FA1" i="20"/>
  <c r="M19" i="5"/>
  <c r="FA121" i="20"/>
  <c r="FA98" i="20"/>
  <c r="FA107" i="20"/>
  <c r="FA106" i="20"/>
  <c r="FA117" i="20"/>
  <c r="FA76" i="20"/>
  <c r="FA100" i="20"/>
  <c r="FA129" i="20"/>
  <c r="FA103" i="20"/>
  <c r="FA104" i="20"/>
  <c r="FA102" i="20"/>
  <c r="FA94" i="20"/>
  <c r="FA87" i="20"/>
  <c r="FA108" i="20"/>
  <c r="FA127" i="20"/>
  <c r="FA91" i="20"/>
  <c r="FA116" i="20"/>
  <c r="FA124" i="20"/>
  <c r="FA92" i="20"/>
  <c r="FA105" i="20"/>
  <c r="FA79" i="20"/>
  <c r="FA109" i="20"/>
  <c r="FA82" i="20"/>
  <c r="FA126" i="20"/>
  <c r="FA81" i="20"/>
  <c r="FA89" i="20"/>
  <c r="FA125" i="20"/>
  <c r="FA99" i="20"/>
  <c r="FA93" i="20"/>
  <c r="FA75" i="20"/>
  <c r="FA119" i="20"/>
  <c r="FA118" i="20"/>
  <c r="FA122" i="20"/>
  <c r="FA114" i="20"/>
  <c r="FA85" i="20"/>
  <c r="FA113" i="20"/>
  <c r="FA80" i="20"/>
  <c r="FA84" i="20"/>
  <c r="FA123" i="20"/>
  <c r="FA86" i="20"/>
  <c r="FA77" i="20"/>
  <c r="FA111" i="20"/>
  <c r="FA130" i="20"/>
  <c r="FA115" i="20"/>
  <c r="FA97" i="20"/>
  <c r="FA128" i="20"/>
  <c r="FA101" i="20"/>
  <c r="FA96" i="20"/>
  <c r="FA110" i="20"/>
  <c r="FA88" i="20"/>
  <c r="FA78" i="20"/>
  <c r="FA120" i="20"/>
  <c r="FA112" i="20"/>
  <c r="FA90" i="20"/>
  <c r="FA83" i="20"/>
  <c r="FA95" i="20"/>
  <c r="E54" i="44"/>
  <c r="V54" i="44" s="1"/>
  <c r="K54" i="44"/>
  <c r="J54" i="44"/>
  <c r="K373" i="44"/>
  <c r="J373" i="44"/>
  <c r="E560" i="44"/>
  <c r="V560" i="44" s="1"/>
  <c r="J208" i="44"/>
  <c r="K208" i="44"/>
  <c r="E374" i="44"/>
  <c r="P374" i="44"/>
  <c r="V374" i="44"/>
  <c r="J561" i="44"/>
  <c r="K561" i="44"/>
  <c r="Q614" i="44"/>
  <c r="W614" i="44"/>
  <c r="D614" i="44"/>
  <c r="P614" i="44"/>
  <c r="V614" i="44"/>
  <c r="K614" i="44"/>
  <c r="G428" i="6"/>
  <c r="AG428" i="6"/>
  <c r="V13" i="15"/>
  <c r="L91" i="9"/>
  <c r="E307" i="44"/>
  <c r="V307" i="44" s="1"/>
  <c r="K307" i="44"/>
  <c r="J307" i="44"/>
  <c r="P77" i="44"/>
  <c r="V77" i="44"/>
  <c r="E428" i="44"/>
  <c r="V428" i="44" s="1"/>
  <c r="R582" i="44"/>
  <c r="X582" i="44"/>
  <c r="AB582" i="44" s="1"/>
  <c r="Q582" i="44"/>
  <c r="W582" i="44"/>
  <c r="AA582" i="44" s="1"/>
  <c r="K626" i="44"/>
  <c r="Q626" i="44"/>
  <c r="W626" i="44"/>
  <c r="AA626" i="44" s="1"/>
  <c r="R626" i="44"/>
  <c r="X626" i="44"/>
  <c r="AB626" i="44" s="1"/>
  <c r="F260" i="6"/>
  <c r="F452" i="6"/>
  <c r="F68" i="14"/>
  <c r="F36" i="6"/>
  <c r="J394" i="44"/>
  <c r="K394" i="44"/>
  <c r="K460" i="44"/>
  <c r="J460" i="44"/>
  <c r="P537" i="44"/>
  <c r="V537" i="44"/>
  <c r="P427" i="44"/>
  <c r="V427" i="44"/>
  <c r="J427" i="44"/>
  <c r="K427" i="44"/>
  <c r="E570" i="44"/>
  <c r="V570" i="44" s="1"/>
  <c r="E438" i="44"/>
  <c r="J438" i="44"/>
  <c r="K438" i="44"/>
  <c r="P372" i="44"/>
  <c r="V372" i="44"/>
  <c r="P482" i="44"/>
  <c r="V482" i="44"/>
  <c r="J482" i="44"/>
  <c r="K482" i="44"/>
  <c r="P504" i="44"/>
  <c r="V504" i="44"/>
  <c r="P548" i="44"/>
  <c r="V548" i="44"/>
  <c r="J548" i="44"/>
  <c r="K548" i="44"/>
  <c r="K174" i="44"/>
  <c r="J174" i="44"/>
  <c r="P174" i="44"/>
  <c r="V174" i="44"/>
  <c r="K207" i="44"/>
  <c r="J207" i="44"/>
  <c r="P130" i="44"/>
  <c r="V130" i="44"/>
  <c r="J130" i="44"/>
  <c r="K130" i="44"/>
  <c r="P9" i="44"/>
  <c r="V9" i="44"/>
  <c r="K97" i="44"/>
  <c r="J97" i="44"/>
  <c r="P97" i="44"/>
  <c r="V97" i="44"/>
  <c r="P119" i="44"/>
  <c r="V119" i="44"/>
  <c r="P141" i="44"/>
  <c r="V141" i="44"/>
  <c r="E141" i="44"/>
  <c r="P42" i="44"/>
  <c r="V42" i="44"/>
  <c r="J75" i="44"/>
  <c r="Q75" i="44" s="1"/>
  <c r="K75" i="44"/>
  <c r="W75" i="44" s="1"/>
  <c r="J86" i="44"/>
  <c r="K86" i="44"/>
  <c r="P31" i="44"/>
  <c r="V31" i="44"/>
  <c r="E142" i="44"/>
  <c r="P142" i="44"/>
  <c r="V142" i="44"/>
  <c r="J252" i="44"/>
  <c r="K252" i="44"/>
  <c r="E143" i="44"/>
  <c r="V143" i="44"/>
  <c r="P143" i="44"/>
  <c r="P187" i="44"/>
  <c r="V187" i="44"/>
  <c r="E241" i="44"/>
  <c r="P241" i="44"/>
  <c r="V241" i="44"/>
  <c r="AG270" i="6"/>
  <c r="F270" i="6"/>
  <c r="C110" i="9"/>
  <c r="E102" i="9"/>
  <c r="A84" i="6"/>
  <c r="E84" i="6" s="1"/>
  <c r="E76" i="6"/>
  <c r="AG269" i="6"/>
  <c r="F269" i="6"/>
  <c r="E120" i="44"/>
  <c r="V120" i="44" s="1"/>
  <c r="J72" i="9"/>
  <c r="L64" i="9"/>
  <c r="E440" i="44"/>
  <c r="P440" i="44"/>
  <c r="V440" i="44"/>
  <c r="Q69" i="9"/>
  <c r="S61" i="9"/>
  <c r="R107" i="9"/>
  <c r="S107" i="9"/>
  <c r="E328" i="6"/>
  <c r="A336" i="6"/>
  <c r="E336" i="6" s="1"/>
  <c r="D93" i="9"/>
  <c r="E93" i="9"/>
  <c r="F495" i="6"/>
  <c r="AG495" i="6"/>
  <c r="U37" i="15"/>
  <c r="V37" i="15"/>
  <c r="C12" i="9"/>
  <c r="E4" i="9"/>
  <c r="A307" i="6"/>
  <c r="E307" i="6" s="1"/>
  <c r="E299" i="6"/>
  <c r="P484" i="44"/>
  <c r="V484" i="44"/>
  <c r="C32" i="9"/>
  <c r="E24" i="9"/>
  <c r="AG438" i="6"/>
  <c r="F438" i="6"/>
  <c r="L34" i="15"/>
  <c r="N26" i="15"/>
  <c r="AG493" i="6"/>
  <c r="F493" i="6"/>
  <c r="E236" i="6"/>
  <c r="A244" i="6"/>
  <c r="E244" i="6" s="1"/>
  <c r="E137" i="14"/>
  <c r="A145" i="14"/>
  <c r="BT137" i="14"/>
  <c r="BT117" i="14"/>
  <c r="E117" i="14"/>
  <c r="F109" i="14"/>
  <c r="J32" i="44"/>
  <c r="K32" i="44"/>
  <c r="K583" i="44"/>
  <c r="R583" i="44"/>
  <c r="X583" i="44"/>
  <c r="AB583" i="44" s="1"/>
  <c r="Q583" i="44"/>
  <c r="W583" i="44"/>
  <c r="AA583" i="44" s="1"/>
  <c r="AG86" i="6"/>
  <c r="F86" i="6"/>
  <c r="AG398" i="6"/>
  <c r="F398" i="6"/>
  <c r="Q50" i="9"/>
  <c r="S42" i="9"/>
  <c r="R37" i="9"/>
  <c r="S37" i="9"/>
  <c r="J15" i="9"/>
  <c r="L7" i="9"/>
  <c r="K93" i="9"/>
  <c r="L93" i="9"/>
  <c r="J110" i="44"/>
  <c r="K110" i="44"/>
  <c r="K620" i="44"/>
  <c r="AG119" i="6"/>
  <c r="F119" i="6"/>
  <c r="Q110" i="9"/>
  <c r="R102" i="9"/>
  <c r="S102" i="9"/>
  <c r="E72" i="6"/>
  <c r="A80" i="6"/>
  <c r="E80" i="6" s="1"/>
  <c r="C33" i="9"/>
  <c r="E25" i="9"/>
  <c r="C69" i="9"/>
  <c r="E61" i="9"/>
  <c r="E396" i="44"/>
  <c r="P396" i="44"/>
  <c r="V396" i="44"/>
  <c r="F79" i="14"/>
  <c r="J92" i="9"/>
  <c r="L84" i="9"/>
  <c r="A275" i="6"/>
  <c r="E275" i="6" s="1"/>
  <c r="E267" i="6"/>
  <c r="F175" i="14"/>
  <c r="E429" i="44"/>
  <c r="P429" i="44"/>
  <c r="V429" i="44"/>
  <c r="E74" i="14"/>
  <c r="BT74" i="14"/>
  <c r="A82" i="14"/>
  <c r="E149" i="14"/>
  <c r="BT149" i="14"/>
  <c r="Q53" i="9"/>
  <c r="S45" i="9"/>
  <c r="F141" i="6"/>
  <c r="AG141" i="6"/>
  <c r="K599" i="44"/>
  <c r="C90" i="9"/>
  <c r="E82" i="9"/>
  <c r="E285" i="44"/>
  <c r="V285" i="44" s="1"/>
  <c r="J285" i="44"/>
  <c r="K285" i="44"/>
  <c r="K33" i="44"/>
  <c r="J33" i="44"/>
  <c r="E406" i="44"/>
  <c r="V406" i="44" s="1"/>
  <c r="J406" i="44"/>
  <c r="K406" i="44"/>
  <c r="K622" i="44"/>
  <c r="F335" i="6"/>
  <c r="AG335" i="6"/>
  <c r="E170" i="14"/>
  <c r="A178" i="14"/>
  <c r="BT170" i="14"/>
  <c r="E363" i="44"/>
  <c r="K363" i="44"/>
  <c r="J363" i="44"/>
  <c r="K550" i="44"/>
  <c r="J550" i="44"/>
  <c r="K612" i="44"/>
  <c r="C51" i="9"/>
  <c r="E43" i="9"/>
  <c r="Q109" i="9"/>
  <c r="R101" i="9"/>
  <c r="S101" i="9"/>
  <c r="K318" i="44"/>
  <c r="J318" i="44"/>
  <c r="E10" i="44"/>
  <c r="P10" i="44"/>
  <c r="V10" i="44"/>
  <c r="K417" i="44"/>
  <c r="J417" i="44"/>
  <c r="K580" i="44"/>
  <c r="E66" i="44"/>
  <c r="J66" i="44"/>
  <c r="K66" i="44"/>
  <c r="K418" i="44"/>
  <c r="J418" i="44"/>
  <c r="W581" i="44"/>
  <c r="Q581" i="44"/>
  <c r="R581" i="44"/>
  <c r="X581" i="44"/>
  <c r="K581" i="44"/>
  <c r="Y625" i="44"/>
  <c r="S625" i="44"/>
  <c r="R625" i="44"/>
  <c r="X625" i="44"/>
  <c r="D16" i="15"/>
  <c r="F8" i="15"/>
  <c r="F47" i="14"/>
  <c r="F79" i="6"/>
  <c r="AG79" i="6"/>
  <c r="E43" i="44"/>
  <c r="V43" i="44" s="1"/>
  <c r="J43" i="44"/>
  <c r="K43" i="44"/>
  <c r="J384" i="44"/>
  <c r="K384" i="44"/>
  <c r="E571" i="44"/>
  <c r="V571" i="44" s="1"/>
  <c r="K571" i="44"/>
  <c r="J571" i="44"/>
  <c r="R615" i="44"/>
  <c r="X615" i="44"/>
  <c r="AB615" i="44" s="1"/>
  <c r="Q615" i="44"/>
  <c r="W615" i="44"/>
  <c r="AA615" i="44" s="1"/>
  <c r="E153" i="44"/>
  <c r="V153" i="44"/>
  <c r="P153" i="44"/>
  <c r="K263" i="44"/>
  <c r="J263" i="44"/>
  <c r="E154" i="44"/>
  <c r="P154" i="44"/>
  <c r="V154" i="44"/>
  <c r="J253" i="44"/>
  <c r="K253" i="44"/>
  <c r="E242" i="44"/>
  <c r="P242" i="44"/>
  <c r="V242" i="44"/>
  <c r="AG214" i="6"/>
  <c r="F214" i="6"/>
  <c r="E11" i="44"/>
  <c r="P11" i="44"/>
  <c r="V11" i="44"/>
  <c r="R605" i="44"/>
  <c r="X605" i="44"/>
  <c r="AB605" i="44" s="1"/>
  <c r="S605" i="44"/>
  <c r="Y605" i="44"/>
  <c r="AC605" i="44" s="1"/>
  <c r="BT150" i="14"/>
  <c r="E150" i="14"/>
  <c r="P99" i="44"/>
  <c r="V99" i="44"/>
  <c r="F205" i="6"/>
  <c r="AG205" i="6"/>
  <c r="R112" i="9"/>
  <c r="S112" i="9"/>
  <c r="P341" i="44"/>
  <c r="V341" i="44"/>
  <c r="E385" i="44"/>
  <c r="P385" i="44"/>
  <c r="V385" i="44"/>
  <c r="AG437" i="6"/>
  <c r="F437" i="6"/>
  <c r="AG44" i="6"/>
  <c r="G44" i="6"/>
  <c r="AG117" i="6"/>
  <c r="F117" i="6"/>
  <c r="AG392" i="6"/>
  <c r="G392" i="6"/>
  <c r="AG210" i="6"/>
  <c r="G210" i="6"/>
  <c r="AG490" i="6"/>
  <c r="G490" i="6"/>
  <c r="F431" i="6"/>
  <c r="AG431" i="6"/>
  <c r="AG237" i="6"/>
  <c r="F237" i="6"/>
  <c r="E17" i="15"/>
  <c r="F17" i="15"/>
  <c r="F366" i="6"/>
  <c r="AG366" i="6"/>
  <c r="AG491" i="6"/>
  <c r="G491" i="6"/>
  <c r="E351" i="44"/>
  <c r="V351" i="44" s="1"/>
  <c r="P637" i="44"/>
  <c r="V637" i="44"/>
  <c r="Z637" i="44" s="1"/>
  <c r="D637" i="44"/>
  <c r="R637" i="44"/>
  <c r="X637" i="44"/>
  <c r="AB637" i="44" s="1"/>
  <c r="E49" i="14"/>
  <c r="BT49" i="14"/>
  <c r="G41" i="14"/>
  <c r="AG179" i="6"/>
  <c r="G179" i="6"/>
  <c r="E91" i="9"/>
  <c r="S70" i="9"/>
  <c r="S73" i="9"/>
  <c r="BT53" i="14"/>
  <c r="E53" i="14"/>
  <c r="J494" i="44"/>
  <c r="Q494" i="44" s="1"/>
  <c r="K494" i="44"/>
  <c r="W494" i="44" s="1"/>
  <c r="V12" i="15"/>
  <c r="L13" i="9"/>
  <c r="AG461" i="6"/>
  <c r="F461" i="6"/>
  <c r="AG145" i="6"/>
  <c r="G145" i="6"/>
  <c r="F365" i="6"/>
  <c r="AG365" i="6"/>
  <c r="BT51" i="14"/>
  <c r="E51" i="14"/>
  <c r="AG329" i="6"/>
  <c r="G329" i="6"/>
  <c r="BT20" i="14"/>
  <c r="E20" i="14"/>
  <c r="G12" i="14"/>
  <c r="J230" i="44"/>
  <c r="Q230" i="44" s="1"/>
  <c r="K230" i="44"/>
  <c r="W230" i="44" s="1"/>
  <c r="AG182" i="6"/>
  <c r="F182" i="6"/>
  <c r="R56" i="9"/>
  <c r="S56" i="9"/>
  <c r="AG276" i="6"/>
  <c r="G276" i="6"/>
  <c r="E70" i="9"/>
  <c r="L69" i="9"/>
  <c r="AG50" i="6"/>
  <c r="G50" i="6"/>
  <c r="F33" i="15"/>
  <c r="E31" i="9"/>
  <c r="E23" i="14"/>
  <c r="BT23" i="14"/>
  <c r="AG401" i="6"/>
  <c r="G401" i="6"/>
  <c r="E231" i="44"/>
  <c r="P231" i="44"/>
  <c r="V231" i="44"/>
  <c r="D113" i="9"/>
  <c r="E113" i="9"/>
  <c r="AG302" i="6"/>
  <c r="F302" i="6"/>
  <c r="F334" i="6"/>
  <c r="AG334" i="6"/>
  <c r="AG368" i="6"/>
  <c r="G368" i="6"/>
  <c r="AG180" i="6"/>
  <c r="G180" i="6"/>
  <c r="F78" i="14"/>
  <c r="E54" i="9"/>
  <c r="L35" i="9"/>
  <c r="J539" i="44"/>
  <c r="K539" i="44"/>
  <c r="F111" i="14"/>
  <c r="N15" i="15"/>
  <c r="K36" i="9"/>
  <c r="L36" i="9"/>
  <c r="E73" i="9"/>
  <c r="E52" i="9"/>
  <c r="AG74" i="6"/>
  <c r="G74" i="6"/>
  <c r="K95" i="9"/>
  <c r="L95" i="9"/>
  <c r="J461" i="44"/>
  <c r="Q461" i="44" s="1"/>
  <c r="K461" i="44"/>
  <c r="P572" i="44"/>
  <c r="V572" i="44"/>
  <c r="R18" i="9"/>
  <c r="S18" i="9"/>
  <c r="E108" i="9"/>
  <c r="F279" i="6"/>
  <c r="AG279" i="6"/>
  <c r="J109" i="44"/>
  <c r="K109" i="44"/>
  <c r="E121" i="44"/>
  <c r="K121" i="44"/>
  <c r="J121" i="44"/>
  <c r="J450" i="44"/>
  <c r="K450" i="44"/>
  <c r="S57" i="9"/>
  <c r="R57" i="9"/>
  <c r="E13" i="9"/>
  <c r="F405" i="6"/>
  <c r="AG405" i="6"/>
  <c r="P44" i="44"/>
  <c r="V44" i="44"/>
  <c r="E407" i="44"/>
  <c r="K407" i="44"/>
  <c r="J407" i="44"/>
  <c r="S31" i="9"/>
  <c r="AG367" i="6"/>
  <c r="F367" i="6"/>
  <c r="AG370" i="6"/>
  <c r="G370" i="6"/>
  <c r="L16" i="9"/>
  <c r="K274" i="44"/>
  <c r="J274" i="44"/>
  <c r="E55" i="44"/>
  <c r="P55" i="44"/>
  <c r="V55" i="44"/>
  <c r="J472" i="44"/>
  <c r="K472" i="44"/>
  <c r="E209" i="44"/>
  <c r="P209" i="44"/>
  <c r="V209" i="44"/>
  <c r="P473" i="44"/>
  <c r="V473" i="44"/>
  <c r="Y592" i="44"/>
  <c r="S592" i="44"/>
  <c r="D592" i="44"/>
  <c r="V592" i="44"/>
  <c r="P592" i="44"/>
  <c r="K592" i="44"/>
  <c r="R636" i="44"/>
  <c r="X636" i="44"/>
  <c r="Y636" i="44"/>
  <c r="S636" i="44"/>
  <c r="R94" i="9"/>
  <c r="S94" i="9"/>
  <c r="E180" i="14"/>
  <c r="BT180" i="14"/>
  <c r="G172" i="14"/>
  <c r="S35" i="9"/>
  <c r="M18" i="5"/>
  <c r="EA1" i="20"/>
  <c r="E9" i="34"/>
  <c r="EA1" i="32"/>
  <c r="P87" i="44"/>
  <c r="V87" i="44"/>
  <c r="E340" i="44"/>
  <c r="V340" i="44" s="1"/>
  <c r="K604" i="44"/>
  <c r="S604" i="44"/>
  <c r="Y604" i="44"/>
  <c r="AC604" i="44" s="1"/>
  <c r="P604" i="44"/>
  <c r="V604" i="44"/>
  <c r="Z604" i="44" s="1"/>
  <c r="D604" i="44"/>
  <c r="F356" i="6"/>
  <c r="F68" i="6"/>
  <c r="F36" i="14"/>
  <c r="F132" i="6"/>
  <c r="F132" i="14"/>
  <c r="E416" i="44"/>
  <c r="E449" i="44"/>
  <c r="V449" i="44" s="1"/>
  <c r="J449" i="44"/>
  <c r="K449" i="44"/>
  <c r="E339" i="44"/>
  <c r="K339" i="44"/>
  <c r="J339" i="44"/>
  <c r="E350" i="44"/>
  <c r="V350" i="44" s="1"/>
  <c r="J350" i="44"/>
  <c r="K350" i="44"/>
  <c r="P361" i="44"/>
  <c r="V361" i="44"/>
  <c r="E383" i="44"/>
  <c r="V383" i="44" s="1"/>
  <c r="J383" i="44"/>
  <c r="Q383" i="44" s="1"/>
  <c r="K383" i="44"/>
  <c r="E559" i="44"/>
  <c r="V559" i="44" s="1"/>
  <c r="J559" i="44"/>
  <c r="Q559" i="44" s="1"/>
  <c r="K559" i="44"/>
  <c r="W559" i="44" s="1"/>
  <c r="P405" i="44"/>
  <c r="V405" i="44"/>
  <c r="E64" i="44"/>
  <c r="V64" i="44" s="1"/>
  <c r="J64" i="44"/>
  <c r="Q64" i="44" s="1"/>
  <c r="K64" i="44"/>
  <c r="V240" i="44"/>
  <c r="P240" i="44"/>
  <c r="P20" i="44"/>
  <c r="V20" i="44"/>
  <c r="E20" i="44"/>
  <c r="K229" i="44"/>
  <c r="J229" i="44"/>
  <c r="V196" i="44"/>
  <c r="P196" i="44"/>
  <c r="E196" i="44"/>
  <c r="K108" i="44"/>
  <c r="J108" i="44"/>
  <c r="P185" i="44"/>
  <c r="V185" i="44"/>
  <c r="E185" i="44"/>
  <c r="V152" i="44"/>
  <c r="P152" i="44"/>
  <c r="E163" i="44"/>
  <c r="K163" i="44"/>
  <c r="J163" i="44"/>
  <c r="J218" i="44"/>
  <c r="K218" i="44"/>
  <c r="J53" i="44"/>
  <c r="Q53" i="44" s="1"/>
  <c r="K53" i="44"/>
  <c r="E53" i="44"/>
  <c r="K164" i="44"/>
  <c r="J164" i="44"/>
  <c r="E176" i="44"/>
  <c r="V176" i="44"/>
  <c r="P176" i="44"/>
  <c r="K165" i="44"/>
  <c r="J165" i="44"/>
  <c r="E198" i="44"/>
  <c r="V198" i="44"/>
  <c r="P198" i="44"/>
  <c r="J53" i="9"/>
  <c r="L45" i="9"/>
  <c r="A19" i="6"/>
  <c r="E19" i="6" s="1"/>
  <c r="E11" i="6"/>
  <c r="R616" i="44"/>
  <c r="X616" i="44"/>
  <c r="AB616" i="44" s="1"/>
  <c r="P616" i="44"/>
  <c r="D616" i="44"/>
  <c r="V616" i="44"/>
  <c r="Z616" i="44" s="1"/>
  <c r="R17" i="9"/>
  <c r="S17" i="9"/>
  <c r="K632" i="44"/>
  <c r="D12" i="15"/>
  <c r="F4" i="15"/>
  <c r="AG45" i="6"/>
  <c r="F45" i="6"/>
  <c r="D112" i="9"/>
  <c r="E112" i="9"/>
  <c r="K55" i="9"/>
  <c r="L55" i="9"/>
  <c r="BT151" i="14"/>
  <c r="E151" i="14"/>
  <c r="F143" i="14"/>
  <c r="K587" i="44"/>
  <c r="AG470" i="6"/>
  <c r="F470" i="6"/>
  <c r="E396" i="6"/>
  <c r="A404" i="6"/>
  <c r="E404" i="6" s="1"/>
  <c r="E488" i="6"/>
  <c r="A496" i="6"/>
  <c r="E496" i="6" s="1"/>
  <c r="E8" i="14"/>
  <c r="BT8" i="14"/>
  <c r="A16" i="14"/>
  <c r="J110" i="9"/>
  <c r="L102" i="9"/>
  <c r="P22" i="44"/>
  <c r="V22" i="44"/>
  <c r="K609" i="44"/>
  <c r="AG143" i="6"/>
  <c r="F143" i="6"/>
  <c r="R38" i="9"/>
  <c r="S38" i="9"/>
  <c r="D36" i="9"/>
  <c r="E36" i="9"/>
  <c r="F246" i="6"/>
  <c r="AG246" i="6"/>
  <c r="J70" i="9"/>
  <c r="L62" i="9"/>
  <c r="AG77" i="6"/>
  <c r="F77" i="6"/>
  <c r="BT9" i="14"/>
  <c r="E9" i="14"/>
  <c r="A17" i="14"/>
  <c r="R55" i="9"/>
  <c r="S55" i="9"/>
  <c r="J352" i="44"/>
  <c r="K352" i="44"/>
  <c r="K638" i="44"/>
  <c r="Q638" i="44"/>
  <c r="W638" i="44"/>
  <c r="AA638" i="44" s="1"/>
  <c r="R638" i="44"/>
  <c r="X638" i="44"/>
  <c r="AB638" i="44" s="1"/>
  <c r="D19" i="9"/>
  <c r="E19" i="9"/>
  <c r="BT11" i="14"/>
  <c r="E11" i="14"/>
  <c r="A19" i="14"/>
  <c r="A148" i="6"/>
  <c r="E148" i="6" s="1"/>
  <c r="E140" i="6"/>
  <c r="J90" i="9"/>
  <c r="L82" i="9"/>
  <c r="A402" i="6"/>
  <c r="E402" i="6" s="1"/>
  <c r="E394" i="6"/>
  <c r="J462" i="44"/>
  <c r="K462" i="44"/>
  <c r="P528" i="44"/>
  <c r="V528" i="44"/>
  <c r="K19" i="9"/>
  <c r="L19" i="9"/>
  <c r="A18" i="6"/>
  <c r="E18" i="6" s="1"/>
  <c r="E10" i="6"/>
  <c r="AG150" i="6"/>
  <c r="F150" i="6"/>
  <c r="C109" i="9"/>
  <c r="E101" i="9"/>
  <c r="R93" i="9"/>
  <c r="S93" i="9"/>
  <c r="E73" i="6"/>
  <c r="A81" i="6"/>
  <c r="E81" i="6" s="1"/>
  <c r="K594" i="44"/>
  <c r="P594" i="44"/>
  <c r="D594" i="44"/>
  <c r="V594" i="44"/>
  <c r="Z594" i="44" s="1"/>
  <c r="R594" i="44"/>
  <c r="X594" i="44"/>
  <c r="AB594" i="44" s="1"/>
  <c r="AG463" i="6"/>
  <c r="F463" i="6"/>
  <c r="AG341" i="6"/>
  <c r="F341" i="6"/>
  <c r="F174" i="14"/>
  <c r="BT182" i="14"/>
  <c r="E182" i="14"/>
  <c r="A465" i="6"/>
  <c r="E465" i="6" s="1"/>
  <c r="E457" i="6"/>
  <c r="J31" i="9"/>
  <c r="L23" i="9"/>
  <c r="K598" i="44"/>
  <c r="M19" i="15"/>
  <c r="N19" i="15"/>
  <c r="AG110" i="6"/>
  <c r="F110" i="6"/>
  <c r="J33" i="9"/>
  <c r="L25" i="9"/>
  <c r="C111" i="9"/>
  <c r="E103" i="9"/>
  <c r="D13" i="15"/>
  <c r="F5" i="15"/>
  <c r="Q108" i="9"/>
  <c r="R100" i="9"/>
  <c r="S100" i="9"/>
  <c r="J439" i="44"/>
  <c r="K439" i="44"/>
  <c r="A83" i="6"/>
  <c r="E83" i="6" s="1"/>
  <c r="E75" i="6"/>
  <c r="E105" i="14"/>
  <c r="BT105" i="14"/>
  <c r="A113" i="14"/>
  <c r="AG13" i="6"/>
  <c r="F13" i="6"/>
  <c r="P65" i="44"/>
  <c r="V65" i="44"/>
  <c r="E297" i="44"/>
  <c r="P297" i="44"/>
  <c r="V297" i="44"/>
  <c r="K600" i="44"/>
  <c r="J89" i="9"/>
  <c r="L81" i="9"/>
  <c r="S80" i="9"/>
  <c r="K132" i="44"/>
  <c r="J132" i="44"/>
  <c r="E451" i="44"/>
  <c r="P451" i="44"/>
  <c r="V451" i="44"/>
  <c r="K634" i="44"/>
  <c r="A114" i="6"/>
  <c r="E114" i="6" s="1"/>
  <c r="E106" i="6"/>
  <c r="E489" i="6"/>
  <c r="A497" i="6"/>
  <c r="E497" i="6" s="1"/>
  <c r="K98" i="44"/>
  <c r="J98" i="44"/>
  <c r="E319" i="44"/>
  <c r="P319" i="44"/>
  <c r="V319" i="44"/>
  <c r="K602" i="44"/>
  <c r="M20" i="5"/>
  <c r="GA1" i="32"/>
  <c r="E11" i="34"/>
  <c r="GA1" i="20"/>
  <c r="P330" i="44"/>
  <c r="V330" i="44"/>
  <c r="E517" i="44"/>
  <c r="J517" i="44"/>
  <c r="K517" i="44"/>
  <c r="Q603" i="44"/>
  <c r="W603" i="44"/>
  <c r="R603" i="44"/>
  <c r="X603" i="44"/>
  <c r="A84" i="14"/>
  <c r="E76" i="14"/>
  <c r="BT76" i="14"/>
  <c r="J50" i="9"/>
  <c r="L42" i="9"/>
  <c r="AG311" i="6"/>
  <c r="F311" i="6"/>
  <c r="E57" i="9"/>
  <c r="D57" i="9"/>
  <c r="E131" i="44"/>
  <c r="V131" i="44" s="1"/>
  <c r="J220" i="44"/>
  <c r="K220" i="44"/>
  <c r="E483" i="44"/>
  <c r="V483" i="44" s="1"/>
  <c r="P593" i="44"/>
  <c r="D593" i="44"/>
  <c r="V593" i="44"/>
  <c r="Z593" i="44" s="1"/>
  <c r="R593" i="44"/>
  <c r="X593" i="44"/>
  <c r="AB593" i="44" s="1"/>
  <c r="E264" i="44"/>
  <c r="V264" i="44"/>
  <c r="P264" i="44"/>
  <c r="K197" i="44"/>
  <c r="J197" i="44"/>
  <c r="E175" i="44"/>
  <c r="P175" i="44"/>
  <c r="V175" i="44"/>
  <c r="V186" i="44"/>
  <c r="P186" i="44"/>
  <c r="F22" i="6"/>
  <c r="AG22" i="6"/>
  <c r="AG136" i="6"/>
  <c r="G136" i="6"/>
  <c r="G73" i="14"/>
  <c r="BT81" i="14"/>
  <c r="E81" i="14"/>
  <c r="AG115" i="6"/>
  <c r="G115" i="6"/>
  <c r="AG243" i="6"/>
  <c r="G243" i="6"/>
  <c r="AG274" i="6"/>
  <c r="G274" i="6"/>
  <c r="E176" i="14"/>
  <c r="BT176" i="14"/>
  <c r="F247" i="6"/>
  <c r="AG247" i="6"/>
  <c r="E22" i="14"/>
  <c r="BT22" i="14"/>
  <c r="AG147" i="6"/>
  <c r="G147" i="6"/>
  <c r="AG116" i="6"/>
  <c r="G116" i="6"/>
  <c r="D55" i="9"/>
  <c r="E55" i="9"/>
  <c r="J495" i="44"/>
  <c r="K495" i="44"/>
  <c r="F399" i="6"/>
  <c r="AG399" i="6"/>
  <c r="AG173" i="6"/>
  <c r="F173" i="6"/>
  <c r="AG304" i="6"/>
  <c r="G304" i="6"/>
  <c r="F46" i="14"/>
  <c r="AG242" i="6"/>
  <c r="G242" i="6"/>
  <c r="F15" i="15"/>
  <c r="F54" i="6"/>
  <c r="AG54" i="6"/>
  <c r="R75" i="9"/>
  <c r="S75" i="9"/>
  <c r="AG467" i="6"/>
  <c r="G467" i="6"/>
  <c r="AG427" i="6"/>
  <c r="G427" i="6"/>
  <c r="S81" i="9"/>
  <c r="R89" i="9"/>
  <c r="S89" i="9"/>
  <c r="E118" i="14"/>
  <c r="BT118" i="14"/>
  <c r="F110" i="14"/>
  <c r="AG47" i="6"/>
  <c r="F47" i="6"/>
  <c r="S51" i="9"/>
  <c r="AG492" i="6"/>
  <c r="G492" i="6"/>
  <c r="AG112" i="6"/>
  <c r="G112" i="6"/>
  <c r="F77" i="14"/>
  <c r="S15" i="9"/>
  <c r="N32" i="15"/>
  <c r="L34" i="9"/>
  <c r="E19" i="15"/>
  <c r="F19" i="15"/>
  <c r="E88" i="44"/>
  <c r="J88" i="44"/>
  <c r="K88" i="44"/>
  <c r="D95" i="9"/>
  <c r="E95" i="9"/>
  <c r="F173" i="14"/>
  <c r="S16" i="9"/>
  <c r="R74" i="9"/>
  <c r="S74" i="9"/>
  <c r="K75" i="9"/>
  <c r="L75" i="9"/>
  <c r="AG371" i="6"/>
  <c r="G371" i="6"/>
  <c r="BT52" i="14"/>
  <c r="E52" i="14"/>
  <c r="G44" i="14"/>
  <c r="AG233" i="6"/>
  <c r="G233" i="6"/>
  <c r="P395" i="44"/>
  <c r="V395" i="44"/>
  <c r="G40" i="14"/>
  <c r="AG297" i="6"/>
  <c r="G297" i="6"/>
  <c r="BT177" i="14"/>
  <c r="E177" i="14"/>
  <c r="G169" i="14"/>
  <c r="S71" i="9"/>
  <c r="AG264" i="6"/>
  <c r="G264" i="6"/>
  <c r="E114" i="14"/>
  <c r="BT114" i="14"/>
  <c r="F13" i="14"/>
  <c r="AG364" i="6"/>
  <c r="G364" i="6"/>
  <c r="E296" i="44"/>
  <c r="V296" i="44" s="1"/>
  <c r="J296" i="44"/>
  <c r="Q296" i="44" s="1"/>
  <c r="K296" i="44"/>
  <c r="J538" i="44"/>
  <c r="Q538" i="44" s="1"/>
  <c r="K538" i="44"/>
  <c r="W538" i="44" s="1"/>
  <c r="AG494" i="6"/>
  <c r="F494" i="6"/>
  <c r="AG215" i="6"/>
  <c r="F215" i="6"/>
  <c r="AG395" i="6"/>
  <c r="G395" i="6"/>
  <c r="AG309" i="6"/>
  <c r="F309" i="6"/>
  <c r="AG300" i="6"/>
  <c r="G300" i="6"/>
  <c r="G104" i="14"/>
  <c r="E112" i="14"/>
  <c r="BT112" i="14"/>
  <c r="J275" i="44"/>
  <c r="K275" i="44"/>
  <c r="K627" i="44"/>
  <c r="Q627" i="44"/>
  <c r="W627" i="44"/>
  <c r="AA627" i="44" s="1"/>
  <c r="S627" i="44"/>
  <c r="Y627" i="44"/>
  <c r="AC627" i="44" s="1"/>
  <c r="AG183" i="6"/>
  <c r="F183" i="6"/>
  <c r="S12" i="9"/>
  <c r="S13" i="9"/>
  <c r="AG306" i="6"/>
  <c r="G306" i="6"/>
  <c r="AG16" i="6"/>
  <c r="G16" i="6"/>
  <c r="AG433" i="6"/>
  <c r="G433" i="6"/>
  <c r="F23" i="6"/>
  <c r="AG23" i="6"/>
  <c r="E286" i="44"/>
  <c r="J286" i="44"/>
  <c r="K286" i="44"/>
  <c r="AG212" i="6"/>
  <c r="G212" i="6"/>
  <c r="F35" i="15"/>
  <c r="AG458" i="6"/>
  <c r="G458" i="6"/>
  <c r="E21" i="44"/>
  <c r="V21" i="44" s="1"/>
  <c r="J21" i="44"/>
  <c r="K21" i="44"/>
  <c r="E549" i="44"/>
  <c r="V549" i="44" s="1"/>
  <c r="K549" i="44"/>
  <c r="J549" i="44"/>
  <c r="R111" i="9"/>
  <c r="S111" i="9"/>
  <c r="K112" i="9"/>
  <c r="L112" i="9"/>
  <c r="L107" i="9"/>
  <c r="K308" i="44"/>
  <c r="J308" i="44"/>
  <c r="E506" i="44"/>
  <c r="K506" i="44"/>
  <c r="J506" i="44"/>
  <c r="AG369" i="6"/>
  <c r="G369" i="6"/>
  <c r="AG201" i="6"/>
  <c r="G201" i="6"/>
  <c r="G108" i="14"/>
  <c r="E116" i="14"/>
  <c r="BT116" i="14"/>
  <c r="Z8" i="4"/>
  <c r="Y8" i="4"/>
  <c r="Y20" i="4" s="1"/>
  <c r="E373" i="44"/>
  <c r="V373" i="44" s="1"/>
  <c r="K560" i="44"/>
  <c r="J560" i="44"/>
  <c r="E208" i="44"/>
  <c r="V208" i="44" s="1"/>
  <c r="K374" i="44"/>
  <c r="J374" i="44"/>
  <c r="E561" i="44"/>
  <c r="P561" i="44"/>
  <c r="V561" i="44"/>
  <c r="R614" i="44"/>
  <c r="X614" i="44"/>
  <c r="Y614" i="44"/>
  <c r="S614" i="44"/>
  <c r="AG436" i="6"/>
  <c r="G436" i="6"/>
  <c r="G171" i="14"/>
  <c r="E179" i="14"/>
  <c r="BT179" i="14"/>
  <c r="F31" i="15"/>
  <c r="E77" i="44"/>
  <c r="K77" i="44"/>
  <c r="J77" i="44"/>
  <c r="J428" i="44"/>
  <c r="K428" i="44"/>
  <c r="K582" i="44"/>
  <c r="P582" i="44"/>
  <c r="D582" i="44"/>
  <c r="V582" i="44"/>
  <c r="Z582" i="44" s="1"/>
  <c r="S582" i="44"/>
  <c r="Y582" i="44"/>
  <c r="AC582" i="44" s="1"/>
  <c r="S626" i="44"/>
  <c r="Y626" i="44"/>
  <c r="AC626" i="44" s="1"/>
  <c r="P626" i="44"/>
  <c r="V626" i="44"/>
  <c r="Z626" i="44" s="1"/>
  <c r="D626" i="44"/>
  <c r="F420" i="6"/>
  <c r="F100" i="6"/>
  <c r="F228" i="6"/>
  <c r="F484" i="6"/>
  <c r="F4" i="14"/>
  <c r="P394" i="44"/>
  <c r="V394" i="44"/>
  <c r="E394" i="44"/>
  <c r="E537" i="44"/>
  <c r="J537" i="44"/>
  <c r="K537" i="44"/>
  <c r="E427" i="44"/>
  <c r="J570" i="44"/>
  <c r="K570" i="44"/>
  <c r="P438" i="44"/>
  <c r="V438" i="44"/>
  <c r="E372" i="44"/>
  <c r="K372" i="44"/>
  <c r="J372" i="44"/>
  <c r="E482" i="44"/>
  <c r="E504" i="44"/>
  <c r="K504" i="44"/>
  <c r="J504" i="44"/>
  <c r="E548" i="44"/>
  <c r="E471" i="44"/>
  <c r="V471" i="44" s="1"/>
  <c r="J471" i="44"/>
  <c r="Q471" i="44" s="1"/>
  <c r="K471" i="44"/>
  <c r="W471" i="44" s="1"/>
  <c r="E174" i="44"/>
  <c r="E207" i="44"/>
  <c r="P207" i="44"/>
  <c r="V207" i="44"/>
  <c r="E130" i="44"/>
  <c r="K9" i="44"/>
  <c r="J9" i="44"/>
  <c r="E9" i="44"/>
  <c r="E97" i="44"/>
  <c r="E119" i="44"/>
  <c r="K119" i="44"/>
  <c r="J119" i="44"/>
  <c r="K141" i="44"/>
  <c r="J141" i="44"/>
  <c r="J42" i="44"/>
  <c r="K42" i="44"/>
  <c r="E42" i="44"/>
  <c r="E75" i="44"/>
  <c r="V75" i="44" s="1"/>
  <c r="E86" i="44"/>
  <c r="J31" i="44"/>
  <c r="K31" i="44"/>
  <c r="E31" i="44"/>
  <c r="J142" i="44"/>
  <c r="K142" i="44"/>
  <c r="E252" i="44"/>
  <c r="V252" i="44"/>
  <c r="P252" i="44"/>
  <c r="K143" i="44"/>
  <c r="J143" i="44"/>
  <c r="E187" i="44"/>
  <c r="K187" i="44"/>
  <c r="J187" i="44"/>
  <c r="K241" i="44"/>
  <c r="J241" i="44"/>
  <c r="AG278" i="6"/>
  <c r="F278" i="6"/>
  <c r="E232" i="6"/>
  <c r="A240" i="6"/>
  <c r="E240" i="6" s="1"/>
  <c r="E10" i="14"/>
  <c r="A18" i="14"/>
  <c r="A224" i="12" s="1"/>
  <c r="BT10" i="14"/>
  <c r="AG277" i="6"/>
  <c r="F277" i="6"/>
  <c r="L31" i="15"/>
  <c r="N23" i="15"/>
  <c r="J120" i="44"/>
  <c r="Q120" i="44" s="1"/>
  <c r="K120" i="44"/>
  <c r="A51" i="6"/>
  <c r="E51" i="6" s="1"/>
  <c r="E43" i="6"/>
  <c r="A432" i="6"/>
  <c r="E432" i="6" s="1"/>
  <c r="E424" i="6"/>
  <c r="J440" i="44"/>
  <c r="K440" i="44"/>
  <c r="E36" i="15"/>
  <c r="F36" i="15"/>
  <c r="S99" i="9"/>
  <c r="K76" i="9"/>
  <c r="L76" i="9"/>
  <c r="M36" i="15"/>
  <c r="N36" i="15"/>
  <c r="E460" i="6"/>
  <c r="A468" i="6"/>
  <c r="E468" i="6" s="1"/>
  <c r="L35" i="15"/>
  <c r="N27" i="15"/>
  <c r="K94" i="9"/>
  <c r="L94" i="9"/>
  <c r="AG503" i="6"/>
  <c r="F503" i="6"/>
  <c r="BT136" i="14"/>
  <c r="A144" i="14"/>
  <c r="E136" i="14"/>
  <c r="D18" i="9"/>
  <c r="E18" i="9"/>
  <c r="A50" i="14"/>
  <c r="E42" i="14"/>
  <c r="BT42" i="14"/>
  <c r="K56" i="9"/>
  <c r="L56" i="9"/>
  <c r="A338" i="6"/>
  <c r="E338" i="6" s="1"/>
  <c r="E330" i="6"/>
  <c r="E484" i="44"/>
  <c r="J484" i="44"/>
  <c r="K484" i="44"/>
  <c r="K57" i="9"/>
  <c r="L57" i="9"/>
  <c r="AG430" i="6"/>
  <c r="F430" i="6"/>
  <c r="AG501" i="6"/>
  <c r="F501" i="6"/>
  <c r="A113" i="6"/>
  <c r="E113" i="6" s="1"/>
  <c r="E105" i="6"/>
  <c r="R82" i="9"/>
  <c r="Q90" i="9"/>
  <c r="S82" i="9"/>
  <c r="T14" i="15"/>
  <c r="V6" i="15"/>
  <c r="E32" i="44"/>
  <c r="V32" i="44" s="1"/>
  <c r="P583" i="44"/>
  <c r="D583" i="44"/>
  <c r="V583" i="44"/>
  <c r="Z583" i="44" s="1"/>
  <c r="S583" i="44"/>
  <c r="Y583" i="44"/>
  <c r="AC583" i="44" s="1"/>
  <c r="F78" i="6"/>
  <c r="AG78" i="6"/>
  <c r="AG406" i="6"/>
  <c r="F406" i="6"/>
  <c r="A273" i="6"/>
  <c r="E273" i="6" s="1"/>
  <c r="E265" i="6"/>
  <c r="C89" i="9"/>
  <c r="E81" i="9"/>
  <c r="E139" i="14"/>
  <c r="A147" i="14"/>
  <c r="BT139" i="14"/>
  <c r="U38" i="15"/>
  <c r="V38" i="15"/>
  <c r="E110" i="44"/>
  <c r="P110" i="44"/>
  <c r="V110" i="44"/>
  <c r="F111" i="6"/>
  <c r="AG111" i="6"/>
  <c r="E138" i="6"/>
  <c r="A146" i="6"/>
  <c r="E146" i="6" s="1"/>
  <c r="R84" i="9"/>
  <c r="Q92" i="9"/>
  <c r="S84" i="9"/>
  <c r="J73" i="9"/>
  <c r="L65" i="9"/>
  <c r="A178" i="6"/>
  <c r="E178" i="6" s="1"/>
  <c r="E170" i="6"/>
  <c r="Q34" i="9"/>
  <c r="S26" i="9"/>
  <c r="J396" i="44"/>
  <c r="K396" i="44"/>
  <c r="M17" i="15"/>
  <c r="N17" i="15"/>
  <c r="E87" i="14"/>
  <c r="BT87" i="14"/>
  <c r="L33" i="15"/>
  <c r="N25" i="15"/>
  <c r="A115" i="14"/>
  <c r="E107" i="14"/>
  <c r="BT107" i="14"/>
  <c r="K18" i="9"/>
  <c r="L18" i="9"/>
  <c r="T33" i="15"/>
  <c r="V25" i="15"/>
  <c r="BT183" i="14"/>
  <c r="E183" i="14"/>
  <c r="J429" i="44"/>
  <c r="K429" i="44"/>
  <c r="T32" i="15"/>
  <c r="V24" i="15"/>
  <c r="M37" i="15"/>
  <c r="N37" i="15"/>
  <c r="Q14" i="9"/>
  <c r="S6" i="9"/>
  <c r="E203" i="6"/>
  <c r="A211" i="6"/>
  <c r="E211" i="6" s="1"/>
  <c r="F141" i="14"/>
  <c r="T15" i="15"/>
  <c r="V7" i="15"/>
  <c r="AG149" i="6"/>
  <c r="F149" i="6"/>
  <c r="E426" i="6"/>
  <c r="A434" i="6"/>
  <c r="E434" i="6" s="1"/>
  <c r="E37" i="15"/>
  <c r="F37" i="15"/>
  <c r="D114" i="9"/>
  <c r="E114" i="9"/>
  <c r="E33" i="44"/>
  <c r="P33" i="44"/>
  <c r="V33" i="44"/>
  <c r="K578" i="44"/>
  <c r="F343" i="6"/>
  <c r="AG343" i="6"/>
  <c r="F38" i="15"/>
  <c r="E38" i="15"/>
  <c r="E219" i="44"/>
  <c r="V219" i="44" s="1"/>
  <c r="K219" i="44"/>
  <c r="J219" i="44"/>
  <c r="P363" i="44"/>
  <c r="V363" i="44"/>
  <c r="E550" i="44"/>
  <c r="P550" i="44"/>
  <c r="V550" i="44"/>
  <c r="C15" i="9"/>
  <c r="E7" i="9"/>
  <c r="A20" i="6"/>
  <c r="E20" i="6" s="1"/>
  <c r="E12" i="6"/>
  <c r="E318" i="44"/>
  <c r="V318" i="44" s="1"/>
  <c r="J10" i="44"/>
  <c r="K10" i="44"/>
  <c r="E417" i="44"/>
  <c r="V417" i="44" s="1"/>
  <c r="K624" i="44"/>
  <c r="P66" i="44"/>
  <c r="V66" i="44"/>
  <c r="E418" i="44"/>
  <c r="P418" i="44"/>
  <c r="V418" i="44"/>
  <c r="D581" i="44"/>
  <c r="V581" i="44"/>
  <c r="P581" i="44"/>
  <c r="S581" i="44"/>
  <c r="Y581" i="44"/>
  <c r="Q625" i="44"/>
  <c r="W625" i="44"/>
  <c r="P625" i="44"/>
  <c r="D625" i="44"/>
  <c r="V625" i="44"/>
  <c r="K625" i="44"/>
  <c r="E40" i="6"/>
  <c r="A48" i="6"/>
  <c r="E48" i="6" s="1"/>
  <c r="BT55" i="14"/>
  <c r="E55" i="14"/>
  <c r="AG87" i="6"/>
  <c r="F87" i="6"/>
  <c r="G87" i="6"/>
  <c r="E384" i="44"/>
  <c r="V384" i="44" s="1"/>
  <c r="K615" i="44"/>
  <c r="P615" i="44"/>
  <c r="V615" i="44"/>
  <c r="Z615" i="44" s="1"/>
  <c r="D615" i="44"/>
  <c r="S615" i="44"/>
  <c r="Y615" i="44"/>
  <c r="AC615" i="44" s="1"/>
  <c r="J153" i="44"/>
  <c r="K153" i="44"/>
  <c r="E263" i="44"/>
  <c r="P263" i="44"/>
  <c r="V263" i="44"/>
  <c r="J154" i="44"/>
  <c r="K154" i="44"/>
  <c r="E253" i="44"/>
  <c r="V253" i="44"/>
  <c r="P253" i="44"/>
  <c r="K242" i="44"/>
  <c r="J242" i="44"/>
  <c r="F206" i="6"/>
  <c r="AG206" i="6"/>
  <c r="K113" i="9"/>
  <c r="L113" i="9"/>
  <c r="J11" i="44"/>
  <c r="K11" i="44"/>
  <c r="K605" i="44"/>
  <c r="D605" i="44"/>
  <c r="P605" i="44"/>
  <c r="V605" i="44"/>
  <c r="Z605" i="44" s="1"/>
  <c r="Q605" i="44"/>
  <c r="W605" i="44"/>
  <c r="AA605" i="44" s="1"/>
  <c r="F142" i="14"/>
  <c r="E99" i="44"/>
  <c r="J99" i="44"/>
  <c r="K99" i="44"/>
  <c r="F213" i="6"/>
  <c r="AG213" i="6"/>
  <c r="G213" i="6"/>
  <c r="E341" i="44"/>
  <c r="J341" i="44"/>
  <c r="K341" i="44"/>
  <c r="J385" i="44"/>
  <c r="K385" i="44"/>
  <c r="F429" i="6"/>
  <c r="AG429" i="6"/>
  <c r="G429" i="6"/>
  <c r="AG52" i="6"/>
  <c r="G52" i="6"/>
  <c r="BT146" i="14"/>
  <c r="E146" i="14"/>
  <c r="G138" i="14"/>
  <c r="AG109" i="6"/>
  <c r="F109" i="6"/>
  <c r="AG400" i="6"/>
  <c r="G400" i="6"/>
  <c r="E34" i="9"/>
  <c r="S33" i="9"/>
  <c r="AG202" i="6"/>
  <c r="G202" i="6"/>
  <c r="E71" i="9"/>
  <c r="E88" i="9"/>
  <c r="L71" i="9"/>
  <c r="AG498" i="6"/>
  <c r="G498" i="6"/>
  <c r="AG439" i="6"/>
  <c r="F439" i="6"/>
  <c r="G439" i="6"/>
  <c r="L14" i="9"/>
  <c r="R113" i="9"/>
  <c r="S113" i="9"/>
  <c r="AG245" i="6"/>
  <c r="F245" i="6"/>
  <c r="U36" i="15"/>
  <c r="V36" i="15"/>
  <c r="R36" i="9"/>
  <c r="S36" i="9"/>
  <c r="F374" i="6"/>
  <c r="AG374" i="6"/>
  <c r="AG499" i="6"/>
  <c r="G499" i="6"/>
  <c r="J351" i="44"/>
  <c r="K351" i="44"/>
  <c r="K637" i="44"/>
  <c r="Q637" i="44"/>
  <c r="W637" i="44"/>
  <c r="AA637" i="44" s="1"/>
  <c r="S637" i="44"/>
  <c r="Y637" i="44"/>
  <c r="AC637" i="44" s="1"/>
  <c r="K37" i="9"/>
  <c r="L37" i="9"/>
  <c r="D37" i="9"/>
  <c r="E37" i="9"/>
  <c r="E35" i="9"/>
  <c r="AG171" i="6"/>
  <c r="G171" i="6"/>
  <c r="D74" i="9"/>
  <c r="E74" i="9"/>
  <c r="L12" i="9"/>
  <c r="F45" i="14"/>
  <c r="E494" i="44"/>
  <c r="V494" i="44" s="1"/>
  <c r="V31" i="15"/>
  <c r="K114" i="9"/>
  <c r="L114" i="9"/>
  <c r="AG469" i="6"/>
  <c r="F469" i="6"/>
  <c r="AG137" i="6"/>
  <c r="G137" i="6"/>
  <c r="AG373" i="6"/>
  <c r="F373" i="6"/>
  <c r="G43" i="14"/>
  <c r="AG337" i="6"/>
  <c r="G337" i="6"/>
  <c r="E230" i="44"/>
  <c r="V230" i="44" s="1"/>
  <c r="F174" i="6"/>
  <c r="AG174" i="6"/>
  <c r="AG268" i="6"/>
  <c r="G268" i="6"/>
  <c r="AG42" i="6"/>
  <c r="G42" i="6"/>
  <c r="F15" i="14"/>
  <c r="AG393" i="6"/>
  <c r="G393" i="6"/>
  <c r="J231" i="44"/>
  <c r="K231" i="44"/>
  <c r="AG310" i="6"/>
  <c r="F310" i="6"/>
  <c r="AG342" i="6"/>
  <c r="F342" i="6"/>
  <c r="AG360" i="6"/>
  <c r="G360" i="6"/>
  <c r="AG172" i="6"/>
  <c r="G172" i="6"/>
  <c r="E50" i="9"/>
  <c r="E86" i="14"/>
  <c r="BT86" i="14"/>
  <c r="E539" i="44"/>
  <c r="P539" i="44"/>
  <c r="V539" i="44"/>
  <c r="S54" i="9"/>
  <c r="BT119" i="14"/>
  <c r="E119" i="14"/>
  <c r="U18" i="15"/>
  <c r="V18" i="15"/>
  <c r="AG82" i="6"/>
  <c r="G82" i="6"/>
  <c r="E572" i="44"/>
  <c r="J572" i="44"/>
  <c r="K572" i="44"/>
  <c r="S72" i="9"/>
  <c r="F271" i="6"/>
  <c r="AG271" i="6"/>
  <c r="E109" i="44"/>
  <c r="V109" i="44" s="1"/>
  <c r="P121" i="44"/>
  <c r="V121" i="44"/>
  <c r="E450" i="44"/>
  <c r="V450" i="44" s="1"/>
  <c r="F397" i="6"/>
  <c r="AG397" i="6"/>
  <c r="G397" i="6"/>
  <c r="E44" i="44"/>
  <c r="J44" i="44"/>
  <c r="K44" i="44"/>
  <c r="P407" i="44"/>
  <c r="V407" i="44"/>
  <c r="AG375" i="6"/>
  <c r="F375" i="6"/>
  <c r="G375" i="6"/>
  <c r="AG362" i="6"/>
  <c r="G362" i="6"/>
  <c r="E274" i="44"/>
  <c r="V274" i="44" s="1"/>
  <c r="K55" i="44"/>
  <c r="J55" i="44"/>
  <c r="E472" i="44"/>
  <c r="V472" i="44" s="1"/>
  <c r="J209" i="44"/>
  <c r="K209" i="44"/>
  <c r="E473" i="44"/>
  <c r="K473" i="44"/>
  <c r="J473" i="44"/>
  <c r="X592" i="44"/>
  <c r="R592" i="44"/>
  <c r="Q592" i="44"/>
  <c r="W592" i="44"/>
  <c r="W636" i="44"/>
  <c r="Q636" i="44"/>
  <c r="P636" i="44"/>
  <c r="D636" i="44"/>
  <c r="V636" i="44"/>
  <c r="K636" i="44"/>
  <c r="K38" i="9"/>
  <c r="L38" i="9"/>
  <c r="EA119" i="32"/>
  <c r="EA77" i="32"/>
  <c r="EA123" i="32"/>
  <c r="EA112" i="32"/>
  <c r="EA95" i="32"/>
  <c r="EA91" i="32"/>
  <c r="EA106" i="32"/>
  <c r="EA104" i="32"/>
  <c r="EA116" i="32"/>
  <c r="EA130" i="32"/>
  <c r="EA97" i="32"/>
  <c r="EA103" i="32"/>
  <c r="EA126" i="32"/>
  <c r="EA81" i="32"/>
  <c r="EA89" i="32"/>
  <c r="EA120" i="32"/>
  <c r="EA96" i="32"/>
  <c r="EA87" i="32"/>
  <c r="EA78" i="32"/>
  <c r="EA76" i="32"/>
  <c r="EA94" i="32"/>
  <c r="EA127" i="32"/>
  <c r="EA101" i="32"/>
  <c r="EA93" i="32"/>
  <c r="EA100" i="32"/>
  <c r="EA98" i="32"/>
  <c r="EA124" i="32"/>
  <c r="EA129" i="32"/>
  <c r="EA110" i="32"/>
  <c r="EA107" i="32"/>
  <c r="EA121" i="32"/>
  <c r="EA128" i="32"/>
  <c r="EA86" i="32"/>
  <c r="EA105" i="32"/>
  <c r="EA122" i="32"/>
  <c r="EA125" i="32"/>
  <c r="EA99" i="32"/>
  <c r="EA111" i="32"/>
  <c r="EA79" i="32"/>
  <c r="EA109" i="32"/>
  <c r="EA85" i="32"/>
  <c r="EA117" i="32"/>
  <c r="EA114" i="32"/>
  <c r="EA90" i="32"/>
  <c r="EA75" i="32"/>
  <c r="EA118" i="32"/>
  <c r="EA84" i="32"/>
  <c r="EA82" i="32"/>
  <c r="EA108" i="32"/>
  <c r="EA113" i="32"/>
  <c r="EA92" i="32"/>
  <c r="EA88" i="32"/>
  <c r="EA102" i="32"/>
  <c r="EA83" i="32"/>
  <c r="EA115" i="32"/>
  <c r="EA80" i="32"/>
  <c r="E172" i="16"/>
  <c r="G125" i="18"/>
  <c r="D9" i="17"/>
  <c r="E158" i="16"/>
  <c r="E285" i="16"/>
  <c r="E109" i="16"/>
  <c r="L132" i="16"/>
  <c r="G46" i="18"/>
  <c r="E148" i="16"/>
  <c r="G51" i="18"/>
  <c r="G48" i="18"/>
  <c r="L184" i="16"/>
  <c r="L120" i="16"/>
  <c r="E260" i="16"/>
  <c r="E280" i="16"/>
  <c r="L115" i="16"/>
  <c r="L11" i="16"/>
  <c r="D65" i="17"/>
  <c r="L176" i="16"/>
  <c r="E31" i="16"/>
  <c r="E268" i="16"/>
  <c r="L236" i="16"/>
  <c r="E97" i="16"/>
  <c r="E263" i="16"/>
  <c r="E240" i="16"/>
  <c r="L27" i="16"/>
  <c r="L259" i="16"/>
  <c r="E154" i="16"/>
  <c r="L260" i="16"/>
  <c r="L84" i="16"/>
  <c r="L214" i="16"/>
  <c r="L269" i="16"/>
  <c r="L51" i="16"/>
  <c r="E241" i="16"/>
  <c r="L163" i="16"/>
  <c r="L193" i="16"/>
  <c r="G45" i="18"/>
  <c r="L213" i="16"/>
  <c r="E41" i="16"/>
  <c r="E151" i="16"/>
  <c r="E77" i="16"/>
  <c r="D63" i="17"/>
  <c r="L86" i="16"/>
  <c r="E171" i="16"/>
  <c r="L171" i="16"/>
  <c r="E98" i="16"/>
  <c r="L109" i="16"/>
  <c r="E273" i="16"/>
  <c r="L59" i="16"/>
  <c r="G3" i="18"/>
  <c r="L154" i="16"/>
  <c r="E22" i="16"/>
  <c r="D64" i="17"/>
  <c r="L218" i="16"/>
  <c r="E173" i="16"/>
  <c r="L48" i="16"/>
  <c r="E170" i="16"/>
  <c r="E136" i="16"/>
  <c r="G52" i="18"/>
  <c r="L209" i="16"/>
  <c r="L138" i="16"/>
  <c r="L264" i="16"/>
  <c r="E85" i="16"/>
  <c r="G74" i="18"/>
  <c r="E129" i="16"/>
  <c r="E270" i="16"/>
  <c r="E220" i="16"/>
  <c r="G9" i="18"/>
  <c r="D22" i="17"/>
  <c r="L275" i="16"/>
  <c r="L50" i="16"/>
  <c r="L148" i="16"/>
  <c r="L92" i="16"/>
  <c r="G39" i="18"/>
  <c r="E281" i="16"/>
  <c r="E29" i="16"/>
  <c r="E198" i="16"/>
  <c r="E197" i="16"/>
  <c r="L54" i="16"/>
  <c r="L147" i="16"/>
  <c r="L97" i="16"/>
  <c r="E86" i="16"/>
  <c r="L44" i="16"/>
  <c r="E18" i="16"/>
  <c r="E19" i="16"/>
  <c r="E275" i="16"/>
  <c r="G44" i="18"/>
  <c r="E286" i="16"/>
  <c r="D51" i="17"/>
  <c r="E125" i="16"/>
  <c r="E229" i="16"/>
  <c r="L285" i="16"/>
  <c r="L139" i="16"/>
  <c r="L140" i="16"/>
  <c r="L250" i="16"/>
  <c r="L153" i="16"/>
  <c r="E264" i="16"/>
  <c r="L224" i="16"/>
  <c r="D53" i="17"/>
  <c r="E261" i="16"/>
  <c r="L281" i="16"/>
  <c r="D32" i="17"/>
  <c r="E76" i="16"/>
  <c r="L247" i="16"/>
  <c r="L165" i="16"/>
  <c r="L231" i="16"/>
  <c r="L99" i="16"/>
  <c r="L10" i="16"/>
  <c r="L225" i="16"/>
  <c r="G118" i="18"/>
  <c r="L252" i="16"/>
  <c r="L173" i="16"/>
  <c r="L19" i="16"/>
  <c r="L55" i="16"/>
  <c r="L242" i="16"/>
  <c r="E271" i="16"/>
  <c r="E131" i="16"/>
  <c r="E108" i="16"/>
  <c r="G117" i="18"/>
  <c r="G17" i="18"/>
  <c r="L283" i="16"/>
  <c r="L174" i="16"/>
  <c r="E139" i="16"/>
  <c r="D31" i="17"/>
  <c r="E121" i="16"/>
  <c r="L162" i="16"/>
  <c r="E231" i="16"/>
  <c r="L149" i="16"/>
  <c r="L195" i="16"/>
  <c r="D55" i="17"/>
  <c r="L66" i="16"/>
  <c r="Z7" i="4"/>
  <c r="Z19" i="4" s="1"/>
  <c r="G86" i="18"/>
  <c r="L262" i="16"/>
  <c r="L63" i="16"/>
  <c r="L258" i="16"/>
  <c r="G47" i="18"/>
  <c r="L196" i="16"/>
  <c r="E161" i="16"/>
  <c r="L119" i="16"/>
  <c r="L41" i="16"/>
  <c r="L238" i="16"/>
  <c r="E141" i="16"/>
  <c r="L172" i="16"/>
  <c r="E258" i="16"/>
  <c r="L142" i="16"/>
  <c r="L279" i="16"/>
  <c r="L257" i="16"/>
  <c r="L246" i="16"/>
  <c r="E259" i="16"/>
  <c r="Y7" i="4"/>
  <c r="G462" i="6" s="1"/>
  <c r="L271" i="16"/>
  <c r="G14" i="18"/>
  <c r="E187" i="16"/>
  <c r="L263" i="16"/>
  <c r="E143" i="16"/>
  <c r="L208" i="16"/>
  <c r="L198" i="16"/>
  <c r="L152" i="16"/>
  <c r="E249" i="16"/>
  <c r="L16" i="16"/>
  <c r="L181" i="16"/>
  <c r="E279" i="16"/>
  <c r="L203" i="16"/>
  <c r="G113" i="18"/>
  <c r="L204" i="16"/>
  <c r="E251" i="16"/>
  <c r="L282" i="16"/>
  <c r="G119" i="18"/>
  <c r="E252" i="16"/>
  <c r="G5" i="18"/>
  <c r="D66" i="17"/>
  <c r="L32" i="16"/>
  <c r="E217" i="16"/>
  <c r="L248" i="16"/>
  <c r="E163" i="16"/>
  <c r="G13" i="18"/>
  <c r="E150" i="16"/>
  <c r="G15" i="18"/>
  <c r="E54" i="16"/>
  <c r="E262" i="16"/>
  <c r="L161" i="16"/>
  <c r="E248" i="16"/>
  <c r="E164" i="16"/>
  <c r="L273" i="16"/>
  <c r="G87" i="18"/>
  <c r="L87" i="16"/>
  <c r="G42" i="18"/>
  <c r="L185" i="16"/>
  <c r="E214" i="16"/>
  <c r="E118" i="16"/>
  <c r="E11" i="16"/>
  <c r="E87" i="16"/>
  <c r="L107" i="16"/>
  <c r="G121" i="18"/>
  <c r="L94" i="16"/>
  <c r="L251" i="16"/>
  <c r="E20" i="16"/>
  <c r="L159" i="16"/>
  <c r="L220" i="16"/>
  <c r="E152" i="16"/>
  <c r="L28" i="16"/>
  <c r="L64" i="16"/>
  <c r="L72" i="16"/>
  <c r="L158" i="16"/>
  <c r="L175" i="16"/>
  <c r="L274" i="16"/>
  <c r="G8" i="18"/>
  <c r="G88" i="18"/>
  <c r="L110" i="16"/>
  <c r="E283" i="16"/>
  <c r="L85" i="16"/>
  <c r="L53" i="16"/>
  <c r="L39" i="16"/>
  <c r="G12" i="18"/>
  <c r="E149" i="16"/>
  <c r="L202" i="16"/>
  <c r="L60" i="16"/>
  <c r="L128" i="16"/>
  <c r="L205" i="16"/>
  <c r="L182" i="16"/>
  <c r="E236" i="16"/>
  <c r="L280" i="16"/>
  <c r="L18" i="16"/>
  <c r="E274" i="16"/>
  <c r="L286" i="16"/>
  <c r="L143" i="16"/>
  <c r="E209" i="16"/>
  <c r="E132" i="16"/>
  <c r="D43" i="17"/>
  <c r="D44" i="17"/>
  <c r="L127" i="16"/>
  <c r="D52" i="17"/>
  <c r="E257" i="16"/>
  <c r="L17" i="16"/>
  <c r="E208" i="16"/>
  <c r="G16" i="18"/>
  <c r="L137" i="16"/>
  <c r="E247" i="16"/>
  <c r="E33" i="16"/>
  <c r="E142" i="16"/>
  <c r="E53" i="16"/>
  <c r="L227" i="16"/>
  <c r="E250" i="16"/>
  <c r="E137" i="16"/>
  <c r="L15" i="16"/>
  <c r="L5" i="16"/>
  <c r="D11" i="17"/>
  <c r="E55" i="16"/>
  <c r="E140" i="16"/>
  <c r="L270" i="16"/>
  <c r="E75" i="16"/>
  <c r="L249" i="16"/>
  <c r="G89" i="18"/>
  <c r="G116" i="18"/>
  <c r="G78" i="18"/>
  <c r="L9" i="16"/>
  <c r="L33" i="16"/>
  <c r="D54" i="17"/>
  <c r="E66" i="16"/>
  <c r="L40" i="16"/>
  <c r="E8" i="16"/>
  <c r="E159" i="16"/>
  <c r="G84" i="18"/>
  <c r="G124" i="18"/>
  <c r="E206" i="16"/>
  <c r="E272" i="16"/>
  <c r="G49" i="18"/>
  <c r="E10" i="16"/>
  <c r="E246" i="16"/>
  <c r="E44" i="16"/>
  <c r="E176" i="16"/>
  <c r="E120" i="16"/>
  <c r="L272" i="16"/>
  <c r="D41" i="17"/>
  <c r="E196" i="16"/>
  <c r="E99" i="16"/>
  <c r="L121" i="16"/>
  <c r="E138" i="16"/>
  <c r="E186" i="16"/>
  <c r="L118" i="16"/>
  <c r="E282" i="16"/>
  <c r="L131" i="16"/>
  <c r="E160" i="16"/>
  <c r="L268" i="16"/>
  <c r="E174" i="16"/>
  <c r="L187" i="16"/>
  <c r="L88" i="16"/>
  <c r="E65" i="16"/>
  <c r="L150" i="16"/>
  <c r="E64" i="16"/>
  <c r="E153" i="16"/>
  <c r="L105" i="16"/>
  <c r="G80" i="18"/>
  <c r="E40" i="16"/>
  <c r="E30" i="16"/>
  <c r="E110" i="16"/>
  <c r="D42" i="17"/>
  <c r="L61" i="16"/>
  <c r="D19" i="17"/>
  <c r="L106" i="16"/>
  <c r="E38" i="16"/>
  <c r="L81" i="16"/>
  <c r="L136" i="16"/>
  <c r="L240" i="16"/>
  <c r="E175" i="16"/>
  <c r="E119" i="16"/>
  <c r="L8" i="16"/>
  <c r="L130" i="16"/>
  <c r="D62" i="17"/>
  <c r="L229" i="16"/>
  <c r="L116" i="16"/>
  <c r="D20" i="17"/>
  <c r="E32" i="16"/>
  <c r="L253" i="16"/>
  <c r="E185" i="16"/>
  <c r="L197" i="16"/>
  <c r="E130" i="16"/>
  <c r="D33" i="17"/>
  <c r="G53" i="18"/>
  <c r="E43" i="16"/>
  <c r="L76" i="16"/>
  <c r="E162" i="16"/>
  <c r="L169" i="16"/>
  <c r="L22" i="16"/>
  <c r="L164" i="16"/>
  <c r="L261" i="16"/>
  <c r="E230" i="16"/>
  <c r="E116" i="16"/>
  <c r="E147" i="16"/>
  <c r="L141" i="16"/>
  <c r="L42" i="16"/>
  <c r="L104" i="16"/>
  <c r="L180" i="16"/>
  <c r="E207" i="16"/>
  <c r="E242" i="16"/>
  <c r="E218" i="16"/>
  <c r="G123" i="18"/>
  <c r="L151" i="16"/>
  <c r="G115" i="18"/>
  <c r="L230" i="16"/>
  <c r="E253" i="16"/>
  <c r="D8" i="17"/>
  <c r="L7" i="16"/>
  <c r="L207" i="16"/>
  <c r="L96" i="16"/>
  <c r="L6" i="16"/>
  <c r="L62" i="16"/>
  <c r="G11" i="18"/>
  <c r="G10" i="18"/>
  <c r="L191" i="16"/>
  <c r="L126" i="16"/>
  <c r="L26" i="16"/>
  <c r="G122" i="18"/>
  <c r="L20" i="16"/>
  <c r="L21" i="16"/>
  <c r="L219" i="16"/>
  <c r="L217" i="16"/>
  <c r="L29" i="16"/>
  <c r="E9" i="16"/>
  <c r="L237" i="16"/>
  <c r="L103" i="16"/>
  <c r="G120" i="18"/>
  <c r="L49" i="16"/>
  <c r="L117" i="16"/>
  <c r="L71" i="16"/>
  <c r="L239" i="16"/>
  <c r="G82" i="18"/>
  <c r="L73" i="16"/>
  <c r="G81" i="18"/>
  <c r="D10" i="17"/>
  <c r="E88" i="16"/>
  <c r="L30" i="16"/>
  <c r="E269" i="16"/>
  <c r="L216" i="16"/>
  <c r="L93" i="16"/>
  <c r="E284" i="16"/>
  <c r="G83" i="18"/>
  <c r="E42" i="16"/>
  <c r="D21" i="17"/>
  <c r="L170" i="16"/>
  <c r="L98" i="16"/>
  <c r="L160" i="16"/>
  <c r="L75" i="16"/>
  <c r="L77" i="16"/>
  <c r="L74" i="16"/>
  <c r="E165" i="16"/>
  <c r="L194" i="16"/>
  <c r="L284" i="16"/>
  <c r="E184" i="16"/>
  <c r="E169" i="16"/>
  <c r="E219" i="16"/>
  <c r="L31" i="16"/>
  <c r="E39" i="16"/>
  <c r="L226" i="16"/>
  <c r="L52" i="16"/>
  <c r="L70" i="16"/>
  <c r="L83" i="16"/>
  <c r="L228" i="16"/>
  <c r="L65" i="16"/>
  <c r="G85" i="18"/>
  <c r="L129" i="16"/>
  <c r="L4" i="16"/>
  <c r="L186" i="16"/>
  <c r="L241" i="16"/>
  <c r="G50" i="18"/>
  <c r="L108" i="16"/>
  <c r="L206" i="16"/>
  <c r="L43" i="16"/>
  <c r="L183" i="16"/>
  <c r="L82" i="16"/>
  <c r="E21" i="16"/>
  <c r="L95" i="16"/>
  <c r="L192" i="16"/>
  <c r="G103" i="18"/>
  <c r="G139" i="18"/>
  <c r="G138" i="18"/>
  <c r="G143" i="18"/>
  <c r="G137" i="18"/>
  <c r="G102" i="18"/>
  <c r="G61" i="18"/>
  <c r="G62" i="18"/>
  <c r="G67" i="18"/>
  <c r="G33" i="18"/>
  <c r="G25" i="18"/>
  <c r="G24" i="18"/>
  <c r="G26" i="18"/>
  <c r="G140" i="18"/>
  <c r="G136" i="18"/>
  <c r="G141" i="18"/>
  <c r="G97" i="18"/>
  <c r="G59" i="18"/>
  <c r="G71" i="18"/>
  <c r="G65" i="18"/>
  <c r="G60" i="18"/>
  <c r="G64" i="18"/>
  <c r="G23" i="18"/>
  <c r="G142" i="18"/>
  <c r="G98" i="18"/>
  <c r="G21" i="18"/>
  <c r="G96" i="18"/>
  <c r="G66" i="18"/>
  <c r="G70" i="18"/>
  <c r="G104" i="18"/>
  <c r="G133" i="18"/>
  <c r="G134" i="18"/>
  <c r="G91" i="18"/>
  <c r="G106" i="18"/>
  <c r="G101" i="18"/>
  <c r="G105" i="18"/>
  <c r="G34" i="18"/>
  <c r="G35" i="18"/>
  <c r="G68" i="18"/>
  <c r="G132" i="18"/>
  <c r="G69" i="18"/>
  <c r="G131" i="18"/>
  <c r="G107" i="18"/>
  <c r="G95" i="18"/>
  <c r="G28" i="18"/>
  <c r="G32" i="18"/>
  <c r="G30" i="18"/>
  <c r="G31" i="18"/>
  <c r="F18" i="5"/>
  <c r="EA128" i="20"/>
  <c r="EA109" i="20"/>
  <c r="EA111" i="20"/>
  <c r="EA127" i="20"/>
  <c r="EA113" i="20"/>
  <c r="EA97" i="20"/>
  <c r="EA115" i="20"/>
  <c r="EA112" i="20"/>
  <c r="EA88" i="20"/>
  <c r="EA102" i="20"/>
  <c r="EA104" i="20"/>
  <c r="EA116" i="20"/>
  <c r="EA121" i="20"/>
  <c r="EA91" i="20"/>
  <c r="EA125" i="20"/>
  <c r="EA96" i="20"/>
  <c r="EA126" i="20"/>
  <c r="EA80" i="20"/>
  <c r="EA129" i="20"/>
  <c r="EA82" i="20"/>
  <c r="EA122" i="20"/>
  <c r="EA123" i="20"/>
  <c r="EA107" i="20"/>
  <c r="EA84" i="20"/>
  <c r="EA77" i="20"/>
  <c r="EA93" i="20"/>
  <c r="EA100" i="20"/>
  <c r="EA119" i="20"/>
  <c r="EA130" i="20"/>
  <c r="EA94" i="20"/>
  <c r="EA78" i="20"/>
  <c r="EA103" i="20"/>
  <c r="EA83" i="20"/>
  <c r="EA108" i="20"/>
  <c r="EA117" i="20"/>
  <c r="EA86" i="20"/>
  <c r="EA92" i="20"/>
  <c r="EA76" i="20"/>
  <c r="EA95" i="20"/>
  <c r="EA118" i="20"/>
  <c r="EA101" i="20"/>
  <c r="EA81" i="20"/>
  <c r="EA75" i="20"/>
  <c r="EA106" i="20"/>
  <c r="EA114" i="20"/>
  <c r="EA99" i="20"/>
  <c r="EA87" i="20"/>
  <c r="EA79" i="20"/>
  <c r="EA124" i="20"/>
  <c r="EA110" i="20"/>
  <c r="EA89" i="20"/>
  <c r="EA90" i="20"/>
  <c r="EA85" i="20"/>
  <c r="EA105" i="20"/>
  <c r="EA98" i="20"/>
  <c r="EA120" i="20"/>
  <c r="E87" i="44"/>
  <c r="K87" i="44"/>
  <c r="J87" i="44"/>
  <c r="K340" i="44"/>
  <c r="J340" i="44"/>
  <c r="E527" i="44"/>
  <c r="V527" i="44" s="1"/>
  <c r="J527" i="44"/>
  <c r="K527" i="44"/>
  <c r="Q604" i="44"/>
  <c r="W604" i="44"/>
  <c r="AA604" i="44" s="1"/>
  <c r="R604" i="44"/>
  <c r="X604" i="44"/>
  <c r="AB604" i="44" s="1"/>
  <c r="F292" i="6"/>
  <c r="F388" i="6"/>
  <c r="F100" i="14"/>
  <c r="F4" i="6"/>
  <c r="A147" i="12"/>
  <c r="A169" i="12"/>
  <c r="A26" i="12"/>
  <c r="A37" i="12"/>
  <c r="A15" i="12"/>
  <c r="F164" i="14"/>
  <c r="F164" i="6"/>
  <c r="P416" i="44"/>
  <c r="V416" i="44"/>
  <c r="J416" i="44"/>
  <c r="K416" i="44"/>
  <c r="E493" i="44"/>
  <c r="V493" i="44" s="1"/>
  <c r="K493" i="44"/>
  <c r="J493" i="44"/>
  <c r="P339" i="44"/>
  <c r="V339" i="44"/>
  <c r="E526" i="44"/>
  <c r="V526" i="44" s="1"/>
  <c r="J526" i="44"/>
  <c r="Q526" i="44" s="1"/>
  <c r="K526" i="44"/>
  <c r="E361" i="44"/>
  <c r="K361" i="44"/>
  <c r="J361" i="44"/>
  <c r="E515" i="44"/>
  <c r="V515" i="44" s="1"/>
  <c r="J515" i="44"/>
  <c r="K515" i="44"/>
  <c r="K405" i="44"/>
  <c r="J405" i="44"/>
  <c r="E405" i="44"/>
  <c r="J240" i="44"/>
  <c r="K240" i="44"/>
  <c r="E240" i="44"/>
  <c r="J20" i="44"/>
  <c r="K20" i="44"/>
  <c r="E229" i="44"/>
  <c r="P229" i="44"/>
  <c r="V229" i="44"/>
  <c r="K196" i="44"/>
  <c r="J196" i="44"/>
  <c r="P108" i="44"/>
  <c r="V108" i="44"/>
  <c r="E108" i="44"/>
  <c r="K185" i="44"/>
  <c r="J185" i="44"/>
  <c r="K152" i="44"/>
  <c r="J152" i="44"/>
  <c r="E152" i="44"/>
  <c r="V163" i="44"/>
  <c r="P163" i="44"/>
  <c r="E218" i="44"/>
  <c r="V218" i="44"/>
  <c r="P218" i="44"/>
  <c r="P53" i="44"/>
  <c r="V53" i="44"/>
  <c r="V34" i="15"/>
  <c r="H200" i="6"/>
  <c r="G85" i="25"/>
  <c r="B59" i="50"/>
  <c r="B58" i="43"/>
  <c r="B44" i="49"/>
  <c r="G25" i="25"/>
  <c r="F98" i="25"/>
  <c r="Q65" i="25"/>
  <c r="J76" i="50"/>
  <c r="L80" i="25"/>
  <c r="F23" i="25"/>
  <c r="D86" i="25"/>
  <c r="I79" i="25"/>
  <c r="H303" i="6"/>
  <c r="E56" i="25"/>
  <c r="E93" i="25"/>
  <c r="F73" i="50"/>
  <c r="O98" i="25"/>
  <c r="G69" i="50"/>
  <c r="H457" i="6"/>
  <c r="L90" i="25"/>
  <c r="I60" i="42"/>
  <c r="M91" i="25"/>
  <c r="J6" i="40"/>
  <c r="C77" i="50"/>
  <c r="F42" i="25"/>
  <c r="H360" i="6"/>
  <c r="M30" i="41"/>
  <c r="H463" i="6"/>
  <c r="J77" i="50"/>
  <c r="H498" i="6"/>
  <c r="H299" i="6"/>
  <c r="G13" i="42"/>
  <c r="I24" i="25"/>
  <c r="E30" i="25"/>
  <c r="K24" i="25"/>
  <c r="I72" i="25"/>
  <c r="H278" i="6"/>
  <c r="K72" i="25"/>
  <c r="B59" i="43"/>
  <c r="S81" i="25"/>
  <c r="H88" i="25"/>
  <c r="H116" i="6"/>
  <c r="N72" i="25"/>
  <c r="N4" i="25"/>
  <c r="F97" i="25"/>
  <c r="N23" i="25"/>
  <c r="I59" i="25"/>
  <c r="AF169" i="14"/>
  <c r="J10" i="25"/>
  <c r="B178" i="40"/>
  <c r="M73" i="42"/>
  <c r="I69" i="41"/>
  <c r="L66" i="25"/>
  <c r="E85" i="25"/>
  <c r="AF49" i="14"/>
  <c r="I91" i="25"/>
  <c r="AF9" i="14"/>
  <c r="AF87" i="14"/>
  <c r="I3" i="40"/>
  <c r="R58" i="25"/>
  <c r="B19" i="50"/>
  <c r="P61" i="25"/>
  <c r="Q87" i="25"/>
  <c r="M58" i="42"/>
  <c r="C127" i="50"/>
  <c r="G82" i="25"/>
  <c r="D132" i="43"/>
  <c r="H89" i="25"/>
  <c r="H65" i="25"/>
  <c r="K74" i="25"/>
  <c r="J67" i="25"/>
  <c r="B63" i="43"/>
  <c r="P98" i="25"/>
  <c r="N76" i="25"/>
  <c r="F63" i="25"/>
  <c r="H23" i="6"/>
  <c r="N96" i="25"/>
  <c r="E54" i="25"/>
  <c r="H55" i="6"/>
  <c r="H268" i="6"/>
  <c r="A354" i="44"/>
  <c r="I65" i="49"/>
  <c r="H305" i="6"/>
  <c r="G58" i="50"/>
  <c r="C73" i="50"/>
  <c r="H489" i="6"/>
  <c r="A101" i="44"/>
  <c r="H74" i="6"/>
  <c r="A519" i="44"/>
  <c r="S84" i="25"/>
  <c r="H80" i="25"/>
  <c r="K84" i="25"/>
  <c r="Q62" i="25"/>
  <c r="N74" i="43"/>
  <c r="M74" i="43"/>
  <c r="H97" i="25"/>
  <c r="DW54" i="1"/>
  <c r="I57" i="50"/>
  <c r="K97" i="25"/>
  <c r="K14" i="42"/>
  <c r="I77" i="41"/>
  <c r="A24" i="44"/>
  <c r="M11" i="25"/>
  <c r="H431" i="6"/>
  <c r="M72" i="43"/>
  <c r="K35" i="25"/>
  <c r="I69" i="43"/>
  <c r="H49" i="25"/>
  <c r="M4" i="25"/>
  <c r="R88" i="25"/>
  <c r="I76" i="50"/>
  <c r="N72" i="43"/>
  <c r="B146" i="40"/>
  <c r="EB29" i="1"/>
  <c r="Q75" i="25"/>
  <c r="H177" i="6"/>
  <c r="EB19" i="1"/>
  <c r="F68" i="42"/>
  <c r="H14" i="6"/>
  <c r="H79" i="6"/>
  <c r="M55" i="25"/>
  <c r="G36" i="25"/>
  <c r="H433" i="6"/>
  <c r="AF147" i="14"/>
  <c r="K6" i="25"/>
  <c r="L21" i="25"/>
  <c r="AF104" i="14"/>
  <c r="K93" i="25"/>
  <c r="Q68" i="25"/>
  <c r="AF177" i="14"/>
  <c r="H55" i="25"/>
  <c r="G83" i="25"/>
  <c r="H144" i="6"/>
  <c r="O67" i="25"/>
  <c r="J71" i="25"/>
  <c r="L179" i="40"/>
  <c r="H367" i="6"/>
  <c r="J74" i="25"/>
  <c r="G31" i="25"/>
  <c r="N8" i="25"/>
  <c r="N67" i="25"/>
  <c r="G98" i="25"/>
  <c r="I60" i="50"/>
  <c r="Q59" i="25"/>
  <c r="P94" i="25"/>
  <c r="H35" i="25"/>
  <c r="H24" i="25"/>
  <c r="M124" i="43"/>
  <c r="I74" i="50"/>
  <c r="F16" i="25"/>
  <c r="M96" i="25"/>
  <c r="R125" i="43"/>
  <c r="AF15" i="14"/>
  <c r="I70" i="50"/>
  <c r="H84" i="25"/>
  <c r="N84" i="25"/>
  <c r="N10" i="25"/>
  <c r="K43" i="25"/>
  <c r="S97" i="25"/>
  <c r="I86" i="25"/>
  <c r="M99" i="25"/>
  <c r="G43" i="43"/>
  <c r="J97" i="25"/>
  <c r="L124" i="50"/>
  <c r="J99" i="25"/>
  <c r="J58" i="42"/>
  <c r="E92" i="25"/>
  <c r="K99" i="25"/>
  <c r="O94" i="25"/>
  <c r="H111" i="6"/>
  <c r="I83" i="25"/>
  <c r="P95" i="25"/>
  <c r="J8" i="25"/>
  <c r="N73" i="50"/>
  <c r="G57" i="42"/>
  <c r="R71" i="25"/>
  <c r="M74" i="25"/>
  <c r="P5" i="25"/>
  <c r="N34" i="25"/>
  <c r="G58" i="42"/>
  <c r="B127" i="50"/>
  <c r="H336" i="6"/>
  <c r="H138" i="6"/>
  <c r="B74" i="50"/>
  <c r="I67" i="25"/>
  <c r="H77" i="6"/>
  <c r="G76" i="43"/>
  <c r="N146" i="40"/>
  <c r="M83" i="25"/>
  <c r="F82" i="25"/>
  <c r="D43" i="25"/>
  <c r="N69" i="50"/>
  <c r="D87" i="25"/>
  <c r="N54" i="25"/>
  <c r="H62" i="25"/>
  <c r="H6" i="25"/>
  <c r="H168" i="6"/>
  <c r="H21" i="6"/>
  <c r="F96" i="25"/>
  <c r="O70" i="25"/>
  <c r="E71" i="25"/>
  <c r="AF178" i="14"/>
  <c r="H233" i="6"/>
  <c r="DW41" i="1"/>
  <c r="O48" i="25"/>
  <c r="C72" i="43"/>
  <c r="I58" i="25"/>
  <c r="C129" i="43"/>
  <c r="H169" i="6"/>
  <c r="B132" i="43"/>
  <c r="H341" i="6"/>
  <c r="EB39" i="1"/>
  <c r="L70" i="25"/>
  <c r="Q57" i="25"/>
  <c r="AF137" i="14"/>
  <c r="D68" i="25"/>
  <c r="I58" i="42"/>
  <c r="G2" i="40"/>
  <c r="K65" i="25"/>
  <c r="H329" i="6"/>
  <c r="C72" i="49"/>
  <c r="J59" i="25"/>
  <c r="I95" i="25"/>
  <c r="P68" i="25"/>
  <c r="M178" i="48"/>
  <c r="N48" i="25"/>
  <c r="E11" i="25"/>
  <c r="Q90" i="25"/>
  <c r="H76" i="6"/>
  <c r="L16" i="25"/>
  <c r="F68" i="43"/>
  <c r="N18" i="25"/>
  <c r="M36" i="43"/>
  <c r="G94" i="25"/>
  <c r="P57" i="25"/>
  <c r="O36" i="25"/>
  <c r="D14" i="50"/>
  <c r="H33" i="25"/>
  <c r="Q54" i="25"/>
  <c r="H8" i="25"/>
  <c r="D85" i="25"/>
  <c r="D8" i="25"/>
  <c r="F4" i="40"/>
  <c r="Q56" i="25"/>
  <c r="C124" i="50"/>
  <c r="D63" i="25"/>
  <c r="F86" i="25"/>
  <c r="D55" i="25"/>
  <c r="P82" i="25"/>
  <c r="F18" i="25"/>
  <c r="P93" i="25"/>
  <c r="G64" i="25"/>
  <c r="H74" i="25"/>
  <c r="H51" i="6"/>
  <c r="P76" i="25"/>
  <c r="B18" i="42"/>
  <c r="D69" i="50"/>
  <c r="M68" i="50"/>
  <c r="O95" i="25"/>
  <c r="L92" i="25"/>
  <c r="N72" i="50"/>
  <c r="AF149" i="14"/>
  <c r="L67" i="25"/>
  <c r="I62" i="25"/>
  <c r="I75" i="50"/>
  <c r="D132" i="50"/>
  <c r="E69" i="43"/>
  <c r="L8" i="25"/>
  <c r="M68" i="42"/>
  <c r="D25" i="41"/>
  <c r="I74" i="25"/>
  <c r="H12" i="6"/>
  <c r="E58" i="25"/>
  <c r="B132" i="50"/>
  <c r="F70" i="43"/>
  <c r="N81" i="25"/>
  <c r="I57" i="25"/>
  <c r="AF20" i="14"/>
  <c r="K60" i="25"/>
  <c r="S71" i="25"/>
  <c r="C15" i="50"/>
  <c r="B3" i="40"/>
  <c r="B168" i="48"/>
  <c r="L59" i="25"/>
  <c r="F35" i="49"/>
  <c r="I66" i="50"/>
  <c r="L64" i="25"/>
  <c r="H50" i="6"/>
  <c r="E48" i="25"/>
  <c r="K71" i="25"/>
  <c r="N64" i="25"/>
  <c r="D187" i="47"/>
  <c r="Q88" i="25"/>
  <c r="R61" i="25"/>
  <c r="M70" i="25"/>
  <c r="M182" i="40"/>
  <c r="G68" i="43"/>
  <c r="M132" i="50"/>
  <c r="J34" i="25"/>
  <c r="G93" i="25"/>
  <c r="F64" i="25"/>
  <c r="M42" i="25"/>
  <c r="B171" i="40"/>
  <c r="J69" i="47"/>
  <c r="AF55" i="14"/>
  <c r="H183" i="6"/>
  <c r="O81" i="25"/>
  <c r="P99" i="25"/>
  <c r="H78" i="6"/>
  <c r="H49" i="6"/>
  <c r="R74" i="25"/>
  <c r="I29" i="25"/>
  <c r="R67" i="25"/>
  <c r="O88" i="25"/>
  <c r="H363" i="6"/>
  <c r="I69" i="25"/>
  <c r="F85" i="25"/>
  <c r="K69" i="25"/>
  <c r="K55" i="25"/>
  <c r="I73" i="43"/>
  <c r="C127" i="49"/>
  <c r="AF21" i="14"/>
  <c r="O4" i="25"/>
  <c r="O63" i="25"/>
  <c r="S99" i="25"/>
  <c r="H72" i="25"/>
  <c r="J73" i="25"/>
  <c r="I56" i="25"/>
  <c r="DW46" i="1"/>
  <c r="L23" i="25"/>
  <c r="L15" i="25"/>
  <c r="E83" i="25"/>
  <c r="L98" i="25"/>
  <c r="B126" i="50"/>
  <c r="AF142" i="14"/>
  <c r="R55" i="25"/>
  <c r="H43" i="6"/>
  <c r="F59" i="25"/>
  <c r="H365" i="6"/>
  <c r="F93" i="25"/>
  <c r="M64" i="25"/>
  <c r="D94" i="25"/>
  <c r="B125" i="50"/>
  <c r="R96" i="25"/>
  <c r="S54" i="25"/>
  <c r="A332" i="44"/>
  <c r="L79" i="25"/>
  <c r="AF138" i="14"/>
  <c r="D82" i="25"/>
  <c r="N71" i="43"/>
  <c r="L96" i="25"/>
  <c r="J37" i="19"/>
  <c r="C74" i="43"/>
  <c r="B69" i="43"/>
  <c r="I99" i="25"/>
  <c r="G89" i="25"/>
  <c r="F69" i="49"/>
  <c r="Q84" i="25"/>
  <c r="R68" i="25"/>
  <c r="AF176" i="14"/>
  <c r="H99" i="25"/>
  <c r="H22" i="6"/>
  <c r="Q97" i="25"/>
  <c r="I6" i="25"/>
  <c r="R92" i="25"/>
  <c r="H271" i="6"/>
  <c r="G33" i="25"/>
  <c r="H308" i="6"/>
  <c r="A156" i="44"/>
  <c r="S65" i="25"/>
  <c r="N55" i="25"/>
  <c r="AF23" i="14"/>
  <c r="H396" i="6"/>
  <c r="AF14" i="14"/>
  <c r="F57" i="25"/>
  <c r="S68" i="25"/>
  <c r="EB3" i="1"/>
  <c r="E62" i="25"/>
  <c r="H73" i="25"/>
  <c r="E91" i="25"/>
  <c r="E99" i="25"/>
  <c r="S93" i="25"/>
  <c r="H405" i="6"/>
  <c r="R72" i="25"/>
  <c r="B60" i="50"/>
  <c r="J87" i="25"/>
  <c r="Q83" i="25"/>
  <c r="B74" i="43"/>
  <c r="R169" i="40"/>
  <c r="N59" i="25"/>
  <c r="B145" i="47"/>
  <c r="J69" i="43"/>
  <c r="M6" i="40"/>
  <c r="K95" i="25"/>
  <c r="M7" i="25"/>
  <c r="G71" i="25"/>
  <c r="C180" i="40"/>
  <c r="M71" i="25"/>
  <c r="A13" i="44"/>
  <c r="O69" i="25"/>
  <c r="D23" i="25"/>
  <c r="N66" i="25"/>
  <c r="K59" i="25"/>
  <c r="L69" i="50"/>
  <c r="DW45" i="1"/>
  <c r="F67" i="25"/>
  <c r="J75" i="49"/>
  <c r="L82" i="25"/>
  <c r="H398" i="6"/>
  <c r="B124" i="42"/>
  <c r="O54" i="25"/>
  <c r="I73" i="25"/>
  <c r="F66" i="25"/>
  <c r="O75" i="25"/>
  <c r="S60" i="25"/>
  <c r="N70" i="43"/>
  <c r="L9" i="25"/>
  <c r="M127" i="50"/>
  <c r="S69" i="25"/>
  <c r="I40" i="49"/>
  <c r="H370" i="6"/>
  <c r="H490" i="6"/>
  <c r="F55" i="25"/>
  <c r="D93" i="25"/>
  <c r="DW57" i="1"/>
  <c r="B40" i="49"/>
  <c r="I76" i="25"/>
  <c r="Q91" i="25"/>
  <c r="I36" i="25"/>
  <c r="N28" i="41"/>
  <c r="R125" i="42"/>
  <c r="H61" i="25"/>
  <c r="DW58" i="1"/>
  <c r="I62" i="43"/>
  <c r="DW49" i="1"/>
  <c r="K70" i="25"/>
  <c r="B57" i="43"/>
  <c r="O15" i="25"/>
  <c r="H81" i="25"/>
  <c r="B57" i="42"/>
  <c r="M131" i="42"/>
  <c r="H171" i="6"/>
  <c r="D79" i="25"/>
  <c r="G92" i="25"/>
  <c r="I69" i="50"/>
  <c r="N39" i="49"/>
  <c r="R98" i="25"/>
  <c r="I59" i="42"/>
  <c r="F71" i="43"/>
  <c r="J21" i="42"/>
  <c r="F74" i="43"/>
  <c r="H399" i="6"/>
  <c r="H425" i="6"/>
  <c r="G73" i="50"/>
  <c r="H119" i="6"/>
  <c r="O8" i="25"/>
  <c r="B71" i="50"/>
  <c r="AF8" i="14"/>
  <c r="P58" i="25"/>
  <c r="H11" i="25"/>
  <c r="R62" i="25"/>
  <c r="K25" i="25"/>
  <c r="N31" i="25"/>
  <c r="O61" i="25"/>
  <c r="E29" i="25"/>
  <c r="K14" i="25"/>
  <c r="K16" i="42"/>
  <c r="B77" i="50"/>
  <c r="C76" i="43"/>
  <c r="B182" i="47"/>
  <c r="D97" i="25"/>
  <c r="K86" i="25"/>
  <c r="DW44" i="1"/>
  <c r="O10" i="25"/>
  <c r="G74" i="43"/>
  <c r="C22" i="42"/>
  <c r="D176" i="47"/>
  <c r="I22" i="25"/>
  <c r="I44" i="43"/>
  <c r="G73" i="43"/>
  <c r="I85" i="25"/>
  <c r="I63" i="43"/>
  <c r="K66" i="25"/>
  <c r="M58" i="50"/>
  <c r="M87" i="25"/>
  <c r="C132" i="50"/>
  <c r="A189" i="44"/>
  <c r="R63" i="25"/>
  <c r="N15" i="25"/>
  <c r="F99" i="25"/>
  <c r="M130" i="43"/>
  <c r="H427" i="6"/>
  <c r="B14" i="50"/>
  <c r="D74" i="25"/>
  <c r="H432" i="6"/>
  <c r="R76" i="25"/>
  <c r="O60" i="25"/>
  <c r="AF50" i="14"/>
  <c r="G77" i="49"/>
  <c r="E79" i="25"/>
  <c r="N42" i="25"/>
  <c r="C170" i="48"/>
  <c r="D61" i="25"/>
  <c r="G99" i="25"/>
  <c r="H339" i="6"/>
  <c r="K85" i="25"/>
  <c r="D176" i="40"/>
  <c r="L56" i="25"/>
  <c r="H82" i="25"/>
  <c r="M65" i="25"/>
  <c r="AF73" i="14"/>
  <c r="F60" i="25"/>
  <c r="I68" i="49"/>
  <c r="M10" i="40"/>
  <c r="M33" i="25"/>
  <c r="N79" i="25"/>
  <c r="M54" i="25"/>
  <c r="H495" i="6"/>
  <c r="F92" i="25"/>
  <c r="M97" i="25"/>
  <c r="F71" i="50"/>
  <c r="G81" i="47"/>
  <c r="L4" i="25"/>
  <c r="O71" i="25"/>
  <c r="D99" i="25"/>
  <c r="G80" i="25"/>
  <c r="H206" i="6"/>
  <c r="B76" i="41"/>
  <c r="S70" i="25"/>
  <c r="F54" i="25"/>
  <c r="AF116" i="14"/>
  <c r="O24" i="25"/>
  <c r="F77" i="50"/>
  <c r="Q66" i="25"/>
  <c r="M59" i="25"/>
  <c r="Q89" i="25"/>
  <c r="H272" i="6"/>
  <c r="D42" i="25"/>
  <c r="J86" i="25"/>
  <c r="AF112" i="14"/>
  <c r="H175" i="6"/>
  <c r="C30" i="41"/>
  <c r="B181" i="41"/>
  <c r="O79" i="25"/>
  <c r="M19" i="42"/>
  <c r="H118" i="6"/>
  <c r="AF110" i="14"/>
  <c r="D21" i="25"/>
  <c r="A442" i="44"/>
  <c r="K64" i="25"/>
  <c r="C130" i="43"/>
  <c r="H45" i="6"/>
  <c r="N76" i="43"/>
  <c r="H491" i="6"/>
  <c r="A552" i="44"/>
  <c r="H241" i="6"/>
  <c r="N80" i="25"/>
  <c r="F48" i="25"/>
  <c r="AF19" i="14"/>
  <c r="A211" i="44"/>
  <c r="I72" i="50"/>
  <c r="J55" i="25"/>
  <c r="M171" i="40"/>
  <c r="EB6" i="1"/>
  <c r="D54" i="25"/>
  <c r="P69" i="25"/>
  <c r="L14" i="50"/>
  <c r="F68" i="25"/>
  <c r="H503" i="6"/>
  <c r="B75" i="43"/>
  <c r="H459" i="6"/>
  <c r="H146" i="6"/>
  <c r="N99" i="25"/>
  <c r="AF75" i="14"/>
  <c r="AF43" i="14"/>
  <c r="M73" i="50"/>
  <c r="H85" i="6"/>
  <c r="M29" i="49"/>
  <c r="M43" i="43"/>
  <c r="Q94" i="25"/>
  <c r="H42" i="25"/>
  <c r="I14" i="25"/>
  <c r="I4" i="25"/>
  <c r="K32" i="25"/>
  <c r="C185" i="40"/>
  <c r="E21" i="25"/>
  <c r="D183" i="41"/>
  <c r="K43" i="40"/>
  <c r="E58" i="50"/>
  <c r="O64" i="25"/>
  <c r="H66" i="25"/>
  <c r="H307" i="6"/>
  <c r="G97" i="25"/>
  <c r="K73" i="25"/>
  <c r="G146" i="40"/>
  <c r="D9" i="25"/>
  <c r="Q81" i="25"/>
  <c r="H95" i="25"/>
  <c r="AF76" i="14"/>
  <c r="K54" i="25"/>
  <c r="G72" i="43"/>
  <c r="E58" i="43"/>
  <c r="J80" i="25"/>
  <c r="D76" i="25"/>
  <c r="H20" i="6"/>
  <c r="E146" i="47"/>
  <c r="F87" i="25"/>
  <c r="C69" i="43"/>
  <c r="I68" i="25"/>
  <c r="K90" i="25"/>
  <c r="D48" i="25"/>
  <c r="K87" i="25"/>
  <c r="P65" i="25"/>
  <c r="F69" i="43"/>
  <c r="E4" i="25"/>
  <c r="M21" i="42"/>
  <c r="L88" i="25"/>
  <c r="E97" i="25"/>
  <c r="H90" i="25"/>
  <c r="J84" i="25"/>
  <c r="AF151" i="14"/>
  <c r="J56" i="25"/>
  <c r="E68" i="25"/>
  <c r="N41" i="49"/>
  <c r="D58" i="25"/>
  <c r="J70" i="43"/>
  <c r="N44" i="43"/>
  <c r="H204" i="6"/>
  <c r="H72" i="6"/>
  <c r="S57" i="25"/>
  <c r="DW30" i="1"/>
  <c r="B145" i="40"/>
  <c r="M92" i="25"/>
  <c r="G68" i="25"/>
  <c r="C43" i="49"/>
  <c r="N94" i="25"/>
  <c r="J81" i="25"/>
  <c r="K11" i="25"/>
  <c r="N93" i="25"/>
  <c r="M85" i="25"/>
  <c r="H497" i="6"/>
  <c r="F35" i="25"/>
  <c r="J92" i="25"/>
  <c r="M131" i="43"/>
  <c r="AF171" i="14"/>
  <c r="L58" i="50"/>
  <c r="K89" i="25"/>
  <c r="DW28" i="1"/>
  <c r="G72" i="25"/>
  <c r="P74" i="25"/>
  <c r="J72" i="25"/>
  <c r="N60" i="25"/>
  <c r="A486" i="44"/>
  <c r="H501" i="6"/>
  <c r="H56" i="25"/>
  <c r="Q99" i="25"/>
  <c r="H15" i="6"/>
  <c r="C18" i="42"/>
  <c r="H311" i="6"/>
  <c r="M95" i="25"/>
  <c r="B62" i="42"/>
  <c r="P92" i="25"/>
  <c r="C58" i="43"/>
  <c r="I63" i="49"/>
  <c r="B62" i="43"/>
  <c r="H333" i="6"/>
  <c r="I6" i="40"/>
  <c r="D57" i="25"/>
  <c r="M184" i="48"/>
  <c r="O9" i="25"/>
  <c r="I64" i="25"/>
  <c r="K69" i="43"/>
  <c r="C125" i="43"/>
  <c r="B73" i="43"/>
  <c r="H16" i="6"/>
  <c r="I26" i="25"/>
  <c r="H362" i="6"/>
  <c r="H63" i="25"/>
  <c r="E95" i="25"/>
  <c r="J44" i="25"/>
  <c r="H179" i="6"/>
  <c r="D73" i="25"/>
  <c r="L83" i="25"/>
  <c r="I18" i="42"/>
  <c r="F95" i="25"/>
  <c r="F83" i="25"/>
  <c r="I96" i="25"/>
  <c r="N68" i="25"/>
  <c r="I76" i="47"/>
  <c r="F15" i="42"/>
  <c r="Q64" i="25"/>
  <c r="H269" i="6"/>
  <c r="M69" i="42"/>
  <c r="P81" i="25"/>
  <c r="A420" i="44"/>
  <c r="I64" i="43"/>
  <c r="H30" i="25"/>
  <c r="D36" i="25"/>
  <c r="N63" i="25"/>
  <c r="J57" i="25"/>
  <c r="I76" i="43"/>
  <c r="K18" i="42"/>
  <c r="R56" i="25"/>
  <c r="B74" i="40"/>
  <c r="H91" i="25"/>
  <c r="N97" i="25"/>
  <c r="K69" i="49"/>
  <c r="J37" i="43"/>
  <c r="D74" i="43"/>
  <c r="K74" i="43"/>
  <c r="M37" i="49"/>
  <c r="G2" i="48"/>
  <c r="C131" i="50"/>
  <c r="O92" i="25"/>
  <c r="D81" i="25"/>
  <c r="H300" i="6"/>
  <c r="I62" i="50"/>
  <c r="B5" i="40"/>
  <c r="C75" i="42"/>
  <c r="N71" i="49"/>
  <c r="J42" i="25"/>
  <c r="I77" i="40"/>
  <c r="H136" i="6"/>
  <c r="D92" i="25"/>
  <c r="A79" i="44"/>
  <c r="B70" i="50"/>
  <c r="L30" i="25"/>
  <c r="P70" i="25"/>
  <c r="L7" i="25"/>
  <c r="B129" i="50"/>
  <c r="C17" i="19"/>
  <c r="S74" i="25"/>
  <c r="F62" i="25"/>
  <c r="K146" i="47"/>
  <c r="I73" i="48"/>
  <c r="J61" i="25"/>
  <c r="E65" i="25"/>
  <c r="O83" i="25"/>
  <c r="K80" i="25"/>
  <c r="P90" i="25"/>
  <c r="F79" i="25"/>
  <c r="B126" i="49"/>
  <c r="G68" i="41"/>
  <c r="H173" i="6"/>
  <c r="H47" i="6"/>
  <c r="AF119" i="14"/>
  <c r="M24" i="41"/>
  <c r="C11" i="40"/>
  <c r="C131" i="43"/>
  <c r="G70" i="49"/>
  <c r="C16" i="50"/>
  <c r="M74" i="49"/>
  <c r="H12" i="25"/>
  <c r="I82" i="40"/>
  <c r="O91" i="25"/>
  <c r="F94" i="25"/>
  <c r="F89" i="25"/>
  <c r="C127" i="43"/>
  <c r="A112" i="44"/>
  <c r="M129" i="43"/>
  <c r="Q95" i="25"/>
  <c r="G76" i="50"/>
  <c r="I62" i="42"/>
  <c r="J75" i="50"/>
  <c r="B76" i="50"/>
  <c r="J96" i="25"/>
  <c r="H96" i="25"/>
  <c r="AF46" i="14"/>
  <c r="C10" i="19"/>
  <c r="N83" i="47"/>
  <c r="N76" i="49"/>
  <c r="B25" i="41"/>
  <c r="AF53" i="14"/>
  <c r="R26" i="41"/>
  <c r="G74" i="50"/>
  <c r="M80" i="47"/>
  <c r="I60" i="47"/>
  <c r="D42" i="48"/>
  <c r="D17" i="50"/>
  <c r="O76" i="25"/>
  <c r="B65" i="47"/>
  <c r="AF109" i="14"/>
  <c r="J76" i="43"/>
  <c r="H373" i="6"/>
  <c r="AF47" i="14"/>
  <c r="H238" i="6"/>
  <c r="J83" i="25"/>
  <c r="H499" i="6"/>
  <c r="C77" i="43"/>
  <c r="J94" i="25"/>
  <c r="N26" i="25"/>
  <c r="B42" i="49"/>
  <c r="F76" i="50"/>
  <c r="E146" i="40"/>
  <c r="C75" i="43"/>
  <c r="H276" i="6"/>
  <c r="F24" i="41"/>
  <c r="P54" i="25"/>
  <c r="I64" i="50"/>
  <c r="O30" i="25"/>
  <c r="N21" i="25"/>
  <c r="I13" i="40"/>
  <c r="N42" i="47"/>
  <c r="A2" i="44"/>
  <c r="N25" i="25"/>
  <c r="B39" i="49"/>
  <c r="S76" i="25"/>
  <c r="I89" i="25"/>
  <c r="B65" i="50"/>
  <c r="C126" i="49"/>
  <c r="K8" i="25"/>
  <c r="L69" i="47"/>
  <c r="I77" i="42"/>
  <c r="B183" i="48"/>
  <c r="I73" i="50"/>
  <c r="I74" i="48"/>
  <c r="D77" i="49"/>
  <c r="F41" i="40"/>
  <c r="DW20" i="1"/>
  <c r="K18" i="50"/>
  <c r="M36" i="25"/>
  <c r="B58" i="47"/>
  <c r="I71" i="50"/>
  <c r="N13" i="25"/>
  <c r="P59" i="25"/>
  <c r="C182" i="47"/>
  <c r="B184" i="40"/>
  <c r="C26" i="41"/>
  <c r="M9" i="49"/>
  <c r="P37" i="25"/>
  <c r="J3" i="48"/>
  <c r="D98" i="25"/>
  <c r="G43" i="47"/>
  <c r="C21" i="40"/>
  <c r="G23" i="25"/>
  <c r="DW33" i="1"/>
  <c r="G44" i="43"/>
  <c r="S20" i="25"/>
  <c r="H36" i="25"/>
  <c r="J44" i="43"/>
  <c r="DW31" i="1"/>
  <c r="F16" i="50"/>
  <c r="R180" i="40"/>
  <c r="N38" i="49"/>
  <c r="C7" i="42"/>
  <c r="J9" i="41"/>
  <c r="F5" i="50"/>
  <c r="F17" i="40"/>
  <c r="J26" i="41"/>
  <c r="L63" i="25"/>
  <c r="O97" i="25"/>
  <c r="EB33" i="1"/>
  <c r="S89" i="25"/>
  <c r="R70" i="25"/>
  <c r="F21" i="42"/>
  <c r="N84" i="47"/>
  <c r="L62" i="25"/>
  <c r="AF17" i="14"/>
  <c r="R86" i="25"/>
  <c r="K9" i="25"/>
  <c r="I59" i="49"/>
  <c r="D26" i="25"/>
  <c r="H304" i="6"/>
  <c r="G86" i="25"/>
  <c r="E69" i="25"/>
  <c r="P66" i="25"/>
  <c r="J46" i="25"/>
  <c r="H392" i="6"/>
  <c r="J75" i="43"/>
  <c r="G90" i="25"/>
  <c r="F72" i="25"/>
  <c r="C186" i="47"/>
  <c r="K91" i="25"/>
  <c r="R57" i="25"/>
  <c r="I7" i="25"/>
  <c r="AF106" i="14"/>
  <c r="K62" i="25"/>
  <c r="M25" i="40"/>
  <c r="G35" i="40"/>
  <c r="M82" i="25"/>
  <c r="H75" i="25"/>
  <c r="M180" i="47"/>
  <c r="G70" i="43"/>
  <c r="I75" i="42"/>
  <c r="E43" i="25"/>
  <c r="Q71" i="25"/>
  <c r="C126" i="50"/>
  <c r="H174" i="6"/>
  <c r="H462" i="6"/>
  <c r="C21" i="42"/>
  <c r="S67" i="25"/>
  <c r="K63" i="25"/>
  <c r="O49" i="25"/>
  <c r="P96" i="25"/>
  <c r="B68" i="47"/>
  <c r="M38" i="43"/>
  <c r="DW16" i="1"/>
  <c r="C187" i="41"/>
  <c r="H5" i="25"/>
  <c r="P48" i="25"/>
  <c r="I44" i="49"/>
  <c r="C38" i="49"/>
  <c r="D40" i="25"/>
  <c r="C168" i="48"/>
  <c r="H15" i="25"/>
  <c r="Q49" i="25"/>
  <c r="I32" i="41"/>
  <c r="AF45" i="14"/>
  <c r="D15" i="50"/>
  <c r="B70" i="43"/>
  <c r="G68" i="49"/>
  <c r="C71" i="43"/>
  <c r="F43" i="25"/>
  <c r="C17" i="50"/>
  <c r="D19" i="25"/>
  <c r="Q15" i="25"/>
  <c r="H461" i="6"/>
  <c r="Q61" i="25"/>
  <c r="H75" i="6"/>
  <c r="I57" i="43"/>
  <c r="N71" i="50"/>
  <c r="H372" i="6"/>
  <c r="G75" i="42"/>
  <c r="A541" i="44"/>
  <c r="B175" i="41"/>
  <c r="C174" i="40"/>
  <c r="E59" i="25"/>
  <c r="G15" i="50"/>
  <c r="C179" i="41"/>
  <c r="F35" i="43"/>
  <c r="J88" i="25"/>
  <c r="K74" i="50"/>
  <c r="O85" i="25"/>
  <c r="R34" i="25"/>
  <c r="M178" i="47"/>
  <c r="G57" i="25"/>
  <c r="H343" i="6"/>
  <c r="F4" i="42"/>
  <c r="B81" i="47"/>
  <c r="K9" i="40"/>
  <c r="B179" i="48"/>
  <c r="B171" i="41"/>
  <c r="F33" i="48"/>
  <c r="G22" i="40"/>
  <c r="F84" i="47"/>
  <c r="M80" i="25"/>
  <c r="Q86" i="25"/>
  <c r="I64" i="49"/>
  <c r="I76" i="48"/>
  <c r="H430" i="6"/>
  <c r="M21" i="25"/>
  <c r="I19" i="40"/>
  <c r="P41" i="25"/>
  <c r="C169" i="41"/>
  <c r="R83" i="25"/>
  <c r="J21" i="50"/>
  <c r="G22" i="43"/>
  <c r="B19" i="43"/>
  <c r="M41" i="49"/>
  <c r="DW59" i="1"/>
  <c r="F75" i="25"/>
  <c r="H141" i="6"/>
  <c r="C129" i="49"/>
  <c r="J41" i="25"/>
  <c r="A35" i="44"/>
  <c r="M175" i="47"/>
  <c r="N41" i="43"/>
  <c r="C181" i="48"/>
  <c r="G5" i="25"/>
  <c r="S75" i="25"/>
  <c r="K15" i="50"/>
  <c r="C20" i="42"/>
  <c r="M29" i="41"/>
  <c r="D184" i="41"/>
  <c r="C69" i="48"/>
  <c r="I22" i="49"/>
  <c r="F31" i="25"/>
  <c r="B70" i="47"/>
  <c r="DW39" i="1"/>
  <c r="B64" i="43"/>
  <c r="C130" i="50"/>
  <c r="R64" i="25"/>
  <c r="H328" i="6"/>
  <c r="P87" i="25"/>
  <c r="J69" i="25"/>
  <c r="P85" i="25"/>
  <c r="H240" i="6"/>
  <c r="B58" i="42"/>
  <c r="E69" i="41"/>
  <c r="Q5" i="25"/>
  <c r="G87" i="25"/>
  <c r="N70" i="50"/>
  <c r="G72" i="49"/>
  <c r="N77" i="42"/>
  <c r="L24" i="25"/>
  <c r="D46" i="25"/>
  <c r="B74" i="42"/>
  <c r="D5" i="25"/>
  <c r="F26" i="41"/>
  <c r="B27" i="41"/>
  <c r="P67" i="25"/>
  <c r="N33" i="41"/>
  <c r="C169" i="40"/>
  <c r="M46" i="25"/>
  <c r="C42" i="49"/>
  <c r="D65" i="48"/>
  <c r="H44" i="25"/>
  <c r="K82" i="25"/>
  <c r="M75" i="25"/>
  <c r="G11" i="25"/>
  <c r="B68" i="42"/>
  <c r="AF84" i="14"/>
  <c r="C175" i="41"/>
  <c r="K58" i="42"/>
  <c r="N88" i="25"/>
  <c r="AF12" i="14"/>
  <c r="H107" i="6"/>
  <c r="M128" i="49"/>
  <c r="I94" i="25"/>
  <c r="F90" i="25"/>
  <c r="G75" i="25"/>
  <c r="I66" i="42"/>
  <c r="B73" i="47"/>
  <c r="I74" i="47"/>
  <c r="AF141" i="14"/>
  <c r="E44" i="25"/>
  <c r="D131" i="50"/>
  <c r="B24" i="41"/>
  <c r="H40" i="25"/>
  <c r="F22" i="50"/>
  <c r="O80" i="25"/>
  <c r="B33" i="41"/>
  <c r="DW53" i="1"/>
  <c r="B180" i="48"/>
  <c r="L168" i="48"/>
  <c r="N75" i="50"/>
  <c r="H406" i="6"/>
  <c r="C146" i="40"/>
  <c r="S58" i="25"/>
  <c r="D10" i="25"/>
  <c r="M84" i="25"/>
  <c r="C183" i="47"/>
  <c r="S82" i="25"/>
  <c r="H267" i="6"/>
  <c r="I48" i="25"/>
  <c r="Q70" i="25"/>
  <c r="I64" i="42"/>
  <c r="N56" i="25"/>
  <c r="D84" i="25"/>
  <c r="N30" i="41"/>
  <c r="J17" i="42"/>
  <c r="C72" i="50"/>
  <c r="D16" i="25"/>
  <c r="I85" i="47"/>
  <c r="M183" i="40"/>
  <c r="B70" i="40"/>
  <c r="H37" i="25"/>
  <c r="B124" i="43"/>
  <c r="B77" i="47"/>
  <c r="G35" i="43"/>
  <c r="G57" i="43"/>
  <c r="F13" i="50"/>
  <c r="D58" i="42"/>
  <c r="B123" i="43"/>
  <c r="J16" i="42"/>
  <c r="M35" i="25"/>
  <c r="B131" i="49"/>
  <c r="L89" i="25"/>
  <c r="R37" i="42"/>
  <c r="M19" i="47"/>
  <c r="G55" i="50"/>
  <c r="R94" i="25"/>
  <c r="AF179" i="14"/>
  <c r="B69" i="48"/>
  <c r="I44" i="25"/>
  <c r="M71" i="43"/>
  <c r="H137" i="6"/>
  <c r="C175" i="48"/>
  <c r="L10" i="25"/>
  <c r="F28" i="41"/>
  <c r="P11" i="25"/>
  <c r="J50" i="50"/>
  <c r="G4" i="50"/>
  <c r="B21" i="42"/>
  <c r="M132" i="42"/>
  <c r="F8" i="48"/>
  <c r="G58" i="25"/>
  <c r="H149" i="6"/>
  <c r="DW23" i="1"/>
  <c r="I21" i="42"/>
  <c r="J89" i="25"/>
  <c r="K36" i="43"/>
  <c r="L68" i="25"/>
  <c r="I43" i="49"/>
  <c r="J10" i="42"/>
  <c r="G16" i="25"/>
  <c r="B75" i="40"/>
  <c r="I52" i="42"/>
  <c r="M81" i="47"/>
  <c r="J21" i="48"/>
  <c r="C128" i="43"/>
  <c r="D80" i="25"/>
  <c r="M76" i="50"/>
  <c r="S91" i="25"/>
  <c r="F84" i="25"/>
  <c r="P84" i="25"/>
  <c r="H176" i="6"/>
  <c r="I46" i="25"/>
  <c r="E87" i="25"/>
  <c r="E36" i="25"/>
  <c r="E72" i="25"/>
  <c r="C187" i="47"/>
  <c r="B169" i="48"/>
  <c r="B125" i="43"/>
  <c r="F87" i="47"/>
  <c r="B174" i="41"/>
  <c r="H109" i="6"/>
  <c r="M63" i="25"/>
  <c r="H71" i="25"/>
  <c r="H273" i="6"/>
  <c r="B74" i="48"/>
  <c r="B36" i="43"/>
  <c r="L69" i="49"/>
  <c r="R37" i="40"/>
  <c r="P24" i="25"/>
  <c r="B65" i="49"/>
  <c r="M186" i="41"/>
  <c r="B38" i="48"/>
  <c r="J75" i="42"/>
  <c r="J39" i="25"/>
  <c r="D175" i="41"/>
  <c r="F22" i="40"/>
  <c r="E38" i="25"/>
  <c r="A123" i="44"/>
  <c r="I19" i="25"/>
  <c r="M174" i="48"/>
  <c r="G32" i="25"/>
  <c r="B63" i="50"/>
  <c r="N10" i="40"/>
  <c r="L97" i="25"/>
  <c r="B61" i="49"/>
  <c r="D173" i="40"/>
  <c r="G19" i="50"/>
  <c r="I42" i="49"/>
  <c r="L25" i="25"/>
  <c r="D3" i="42"/>
  <c r="M58" i="47"/>
  <c r="G42" i="48"/>
  <c r="C52" i="50"/>
  <c r="H64" i="25"/>
  <c r="D66" i="25"/>
  <c r="C41" i="43"/>
  <c r="N41" i="47"/>
  <c r="K16" i="25"/>
  <c r="G36" i="43"/>
  <c r="F74" i="50"/>
  <c r="I93" i="25"/>
  <c r="K96" i="25"/>
  <c r="B182" i="40"/>
  <c r="F77" i="49"/>
  <c r="E3" i="40"/>
  <c r="M17" i="42"/>
  <c r="I6" i="42"/>
  <c r="D174" i="48"/>
  <c r="M26" i="41"/>
  <c r="AF54" i="14"/>
  <c r="C69" i="47"/>
  <c r="I145" i="47"/>
  <c r="K72" i="42"/>
  <c r="G13" i="50"/>
  <c r="G43" i="25"/>
  <c r="K31" i="25"/>
  <c r="S34" i="25"/>
  <c r="B37" i="43"/>
  <c r="D69" i="40"/>
  <c r="I70" i="42"/>
  <c r="B178" i="48"/>
  <c r="B175" i="40"/>
  <c r="K41" i="42"/>
  <c r="C18" i="47"/>
  <c r="G82" i="40"/>
  <c r="DW60" i="1"/>
  <c r="G24" i="41"/>
  <c r="I74" i="41"/>
  <c r="I33" i="49"/>
  <c r="D176" i="41"/>
  <c r="M5" i="40"/>
  <c r="C170" i="41"/>
  <c r="J39" i="47"/>
  <c r="DW21" i="1"/>
  <c r="N14" i="41"/>
  <c r="F37" i="43"/>
  <c r="P4" i="25"/>
  <c r="EB8" i="1"/>
  <c r="R36" i="25"/>
  <c r="B6" i="49"/>
  <c r="I61" i="43"/>
  <c r="D70" i="25"/>
  <c r="EB30" i="1"/>
  <c r="B70" i="41"/>
  <c r="B127" i="43"/>
  <c r="F19" i="50"/>
  <c r="H375" i="6"/>
  <c r="H401" i="6"/>
  <c r="F65" i="25"/>
  <c r="F58" i="42"/>
  <c r="E57" i="25"/>
  <c r="E31" i="25"/>
  <c r="I58" i="50"/>
  <c r="N14" i="42"/>
  <c r="G69" i="40"/>
  <c r="I17" i="49"/>
  <c r="F16" i="42"/>
  <c r="C20" i="43"/>
  <c r="G26" i="25"/>
  <c r="DW14" i="1"/>
  <c r="E36" i="43"/>
  <c r="Q10" i="25"/>
  <c r="A68" i="44"/>
  <c r="M18" i="50"/>
  <c r="G77" i="43"/>
  <c r="B77" i="49"/>
  <c r="H439" i="6"/>
  <c r="C83" i="47"/>
  <c r="M52" i="41"/>
  <c r="D36" i="42"/>
  <c r="I70" i="43"/>
  <c r="M83" i="40"/>
  <c r="N81" i="47"/>
  <c r="J7" i="48"/>
  <c r="E25" i="25"/>
  <c r="I60" i="43"/>
  <c r="R33" i="25"/>
  <c r="I62" i="48"/>
  <c r="B61" i="42"/>
  <c r="M20" i="25"/>
  <c r="C20" i="19"/>
  <c r="F11" i="50"/>
  <c r="J16" i="50"/>
  <c r="N69" i="41"/>
  <c r="C52" i="48"/>
  <c r="M44" i="42"/>
  <c r="G17" i="42"/>
  <c r="C19" i="49"/>
  <c r="C64" i="47"/>
  <c r="M2" i="42"/>
  <c r="H117" i="6"/>
  <c r="M44" i="25"/>
  <c r="H34" i="25"/>
  <c r="G41" i="42"/>
  <c r="EB37" i="1"/>
  <c r="O6" i="25"/>
  <c r="K30" i="25"/>
  <c r="M39" i="49"/>
  <c r="I80" i="25"/>
  <c r="F80" i="47"/>
  <c r="J28" i="19"/>
  <c r="P13" i="25"/>
  <c r="F28" i="48"/>
  <c r="J27" i="42"/>
  <c r="I4" i="50"/>
  <c r="C84" i="48"/>
  <c r="J69" i="41"/>
  <c r="B54" i="49"/>
  <c r="S7" i="25"/>
  <c r="H17" i="25"/>
  <c r="I146" i="47"/>
  <c r="I71" i="49"/>
  <c r="F37" i="47"/>
  <c r="I8" i="40"/>
  <c r="DW22" i="1"/>
  <c r="B54" i="43"/>
  <c r="I49" i="42"/>
  <c r="N71" i="25"/>
  <c r="L49" i="25"/>
  <c r="I83" i="40"/>
  <c r="J31" i="42"/>
  <c r="R70" i="42"/>
  <c r="N69" i="43"/>
  <c r="F13" i="42"/>
  <c r="J81" i="47"/>
  <c r="E69" i="42"/>
  <c r="B20" i="49"/>
  <c r="S49" i="25"/>
  <c r="M88" i="40"/>
  <c r="B13" i="47"/>
  <c r="F82" i="48"/>
  <c r="C36" i="49"/>
  <c r="M43" i="47"/>
  <c r="M53" i="50"/>
  <c r="O17" i="25"/>
  <c r="E64" i="25"/>
  <c r="E69" i="49"/>
  <c r="AF115" i="14"/>
  <c r="J19" i="25"/>
  <c r="I15" i="40"/>
  <c r="E13" i="25"/>
  <c r="B68" i="48"/>
  <c r="K17" i="50"/>
  <c r="F46" i="25"/>
  <c r="J11" i="48"/>
  <c r="K69" i="42"/>
  <c r="K20" i="43"/>
  <c r="K72" i="49"/>
  <c r="F7" i="48"/>
  <c r="C42" i="48"/>
  <c r="K57" i="25"/>
  <c r="J41" i="43"/>
  <c r="C37" i="43"/>
  <c r="N62" i="25"/>
  <c r="D65" i="25"/>
  <c r="I31" i="41"/>
  <c r="G69" i="41"/>
  <c r="M11" i="40"/>
  <c r="K58" i="50"/>
  <c r="H59" i="25"/>
  <c r="H112" i="6"/>
  <c r="D16" i="42"/>
  <c r="I73" i="49"/>
  <c r="N37" i="42"/>
  <c r="I55" i="49"/>
  <c r="B72" i="42"/>
  <c r="B129" i="43"/>
  <c r="D83" i="25"/>
  <c r="E69" i="48"/>
  <c r="J42" i="19"/>
  <c r="AF136" i="14"/>
  <c r="C171" i="47"/>
  <c r="A167" i="44"/>
  <c r="H13" i="6"/>
  <c r="D146" i="40"/>
  <c r="H67" i="25"/>
  <c r="F56" i="25"/>
  <c r="H93" i="25"/>
  <c r="H397" i="6"/>
  <c r="F74" i="25"/>
  <c r="C186" i="41"/>
  <c r="G56" i="25"/>
  <c r="H492" i="6"/>
  <c r="J40" i="49"/>
  <c r="C184" i="47"/>
  <c r="M61" i="25"/>
  <c r="B170" i="41"/>
  <c r="K66" i="47"/>
  <c r="J19" i="42"/>
  <c r="O21" i="25"/>
  <c r="M42" i="49"/>
  <c r="AF48" i="14"/>
  <c r="M88" i="47"/>
  <c r="H340" i="6"/>
  <c r="C124" i="49"/>
  <c r="G7" i="25"/>
  <c r="C59" i="47"/>
  <c r="E32" i="25"/>
  <c r="M86" i="25"/>
  <c r="F44" i="47"/>
  <c r="D33" i="48"/>
  <c r="N74" i="49"/>
  <c r="R37" i="43"/>
  <c r="G14" i="50"/>
  <c r="B170" i="40"/>
  <c r="B32" i="42"/>
  <c r="J60" i="25"/>
  <c r="D75" i="49"/>
  <c r="G84" i="25"/>
  <c r="N20" i="42"/>
  <c r="I15" i="50"/>
  <c r="G10" i="25"/>
  <c r="B129" i="42"/>
  <c r="B18" i="50"/>
  <c r="B64" i="50"/>
  <c r="J6" i="41"/>
  <c r="C62" i="47"/>
  <c r="AF44" i="14"/>
  <c r="J33" i="42"/>
  <c r="N8" i="50"/>
  <c r="C87" i="40"/>
  <c r="I36" i="47"/>
  <c r="N4" i="40"/>
  <c r="B76" i="49"/>
  <c r="N57" i="25"/>
  <c r="M4" i="50"/>
  <c r="G9" i="25"/>
  <c r="O55" i="25"/>
  <c r="S95" i="25"/>
  <c r="E46" i="25"/>
  <c r="A222" i="44"/>
  <c r="K146" i="40"/>
  <c r="M69" i="43"/>
  <c r="G75" i="43"/>
  <c r="M72" i="42"/>
  <c r="C129" i="42"/>
  <c r="N37" i="25"/>
  <c r="J79" i="25"/>
  <c r="M168" i="47"/>
  <c r="J77" i="42"/>
  <c r="H148" i="6"/>
  <c r="B168" i="47"/>
  <c r="A145" i="44"/>
  <c r="J146" i="40"/>
  <c r="O89" i="25"/>
  <c r="Q44" i="25"/>
  <c r="F73" i="42"/>
  <c r="N9" i="25"/>
  <c r="I58" i="48"/>
  <c r="EB18" i="1"/>
  <c r="B3" i="50"/>
  <c r="N33" i="50"/>
  <c r="N17" i="49"/>
  <c r="M10" i="25"/>
  <c r="M86" i="47"/>
  <c r="D129" i="49"/>
  <c r="M32" i="25"/>
  <c r="AF117" i="14"/>
  <c r="M62" i="25"/>
  <c r="O62" i="25"/>
  <c r="I74" i="42"/>
  <c r="B187" i="40"/>
  <c r="B72" i="47"/>
  <c r="R180" i="41"/>
  <c r="J11" i="40"/>
  <c r="DW18" i="1"/>
  <c r="B17" i="42"/>
  <c r="M41" i="48"/>
  <c r="G28" i="43"/>
  <c r="I68" i="50"/>
  <c r="B59" i="42"/>
  <c r="S88" i="25"/>
  <c r="S83" i="25"/>
  <c r="I68" i="48"/>
  <c r="H243" i="6"/>
  <c r="H471" i="6"/>
  <c r="B65" i="42"/>
  <c r="H73" i="6"/>
  <c r="H48" i="6"/>
  <c r="H235" i="6"/>
  <c r="L14" i="43"/>
  <c r="P45" i="25"/>
  <c r="K73" i="49"/>
  <c r="J40" i="42"/>
  <c r="E58" i="47"/>
  <c r="D186" i="40"/>
  <c r="B14" i="40"/>
  <c r="N73" i="49"/>
  <c r="D20" i="42"/>
  <c r="F8" i="40"/>
  <c r="D51" i="42"/>
  <c r="D35" i="25"/>
  <c r="B69" i="42"/>
  <c r="E67" i="25"/>
  <c r="B172" i="48"/>
  <c r="M178" i="40"/>
  <c r="D20" i="25"/>
  <c r="J3" i="50"/>
  <c r="J14" i="43"/>
  <c r="M7" i="50"/>
  <c r="P22" i="25"/>
  <c r="I64" i="48"/>
  <c r="N27" i="43"/>
  <c r="M129" i="50"/>
  <c r="B73" i="42"/>
  <c r="Q45" i="25"/>
  <c r="O42" i="25"/>
  <c r="I8" i="25"/>
  <c r="F14" i="42"/>
  <c r="B126" i="43"/>
  <c r="J22" i="42"/>
  <c r="F41" i="49"/>
  <c r="I35" i="43"/>
  <c r="D183" i="48"/>
  <c r="D41" i="25"/>
  <c r="J15" i="25"/>
  <c r="N16" i="47"/>
  <c r="N37" i="43"/>
  <c r="DW4" i="1"/>
  <c r="M77" i="43"/>
  <c r="I60" i="25"/>
  <c r="M34" i="25"/>
  <c r="F58" i="43"/>
  <c r="L179" i="47"/>
  <c r="I19" i="42"/>
  <c r="P31" i="25"/>
  <c r="M173" i="48"/>
  <c r="E41" i="25"/>
  <c r="C40" i="49"/>
  <c r="L45" i="25"/>
  <c r="G44" i="49"/>
  <c r="E14" i="42"/>
  <c r="R4" i="47"/>
  <c r="F6" i="47"/>
  <c r="I65" i="47"/>
  <c r="G39" i="43"/>
  <c r="D21" i="47"/>
  <c r="N25" i="49"/>
  <c r="G24" i="50"/>
  <c r="G86" i="47"/>
  <c r="G35" i="49"/>
  <c r="C7" i="40"/>
  <c r="G37" i="49"/>
  <c r="F40" i="49"/>
  <c r="I48" i="41"/>
  <c r="R37" i="48"/>
  <c r="I77" i="50"/>
  <c r="L69" i="42"/>
  <c r="S24" i="25"/>
  <c r="EB10" i="1"/>
  <c r="G19" i="41"/>
  <c r="O43" i="25"/>
  <c r="E69" i="40"/>
  <c r="F87" i="40"/>
  <c r="C74" i="49"/>
  <c r="K44" i="43"/>
  <c r="I63" i="50"/>
  <c r="G14" i="42"/>
  <c r="M182" i="41"/>
  <c r="B50" i="49"/>
  <c r="M41" i="50"/>
  <c r="G58" i="47"/>
  <c r="C19" i="50"/>
  <c r="I55" i="25"/>
  <c r="E86" i="25"/>
  <c r="H110" i="6"/>
  <c r="C184" i="40"/>
  <c r="M176" i="41"/>
  <c r="E23" i="25"/>
  <c r="F59" i="47"/>
  <c r="N43" i="49"/>
  <c r="B184" i="48"/>
  <c r="J55" i="50"/>
  <c r="K3" i="42"/>
  <c r="C173" i="48"/>
  <c r="F47" i="40"/>
  <c r="N51" i="41"/>
  <c r="N16" i="40"/>
  <c r="M22" i="41"/>
  <c r="F72" i="50"/>
  <c r="N61" i="25"/>
  <c r="J71" i="43"/>
  <c r="EB12" i="1"/>
  <c r="P89" i="25"/>
  <c r="G17" i="25"/>
  <c r="C51" i="49"/>
  <c r="M180" i="41"/>
  <c r="J11" i="42"/>
  <c r="N17" i="40"/>
  <c r="J84" i="40"/>
  <c r="B176" i="41"/>
  <c r="C85" i="47"/>
  <c r="I47" i="25"/>
  <c r="K9" i="48"/>
  <c r="B16" i="41"/>
  <c r="H270" i="6"/>
  <c r="H310" i="6"/>
  <c r="G54" i="25"/>
  <c r="L73" i="25"/>
  <c r="M183" i="47"/>
  <c r="D174" i="47"/>
  <c r="D10" i="48"/>
  <c r="M73" i="43"/>
  <c r="I84" i="25"/>
  <c r="J82" i="47"/>
  <c r="N95" i="25"/>
  <c r="G55" i="25"/>
  <c r="EB21" i="1"/>
  <c r="G73" i="49"/>
  <c r="AF85" i="14"/>
  <c r="H85" i="25"/>
  <c r="C186" i="40"/>
  <c r="D61" i="47"/>
  <c r="B69" i="49"/>
  <c r="H150" i="6"/>
  <c r="G22" i="47"/>
  <c r="N26" i="42"/>
  <c r="K47" i="25"/>
  <c r="C5" i="48"/>
  <c r="G17" i="43"/>
  <c r="F26" i="49"/>
  <c r="J54" i="42"/>
  <c r="Q38" i="25"/>
  <c r="M86" i="48"/>
  <c r="F5" i="43"/>
  <c r="D20" i="48"/>
  <c r="D47" i="50"/>
  <c r="J64" i="25"/>
  <c r="N30" i="25"/>
  <c r="D69" i="43"/>
  <c r="N92" i="25"/>
  <c r="H429" i="6"/>
  <c r="M126" i="50"/>
  <c r="H332" i="6"/>
  <c r="K88" i="25"/>
  <c r="B58" i="49"/>
  <c r="J74" i="43"/>
  <c r="M123" i="49"/>
  <c r="H18" i="6"/>
  <c r="DW19" i="1"/>
  <c r="D44" i="25"/>
  <c r="M13" i="40"/>
  <c r="B61" i="43"/>
  <c r="B70" i="48"/>
  <c r="N17" i="25"/>
  <c r="S86" i="25"/>
  <c r="A563" i="44"/>
  <c r="N5" i="40"/>
  <c r="M25" i="41"/>
  <c r="H114" i="6"/>
  <c r="I16" i="42"/>
  <c r="D47" i="49"/>
  <c r="I76" i="40"/>
  <c r="I87" i="47"/>
  <c r="O59" i="25"/>
  <c r="K44" i="50"/>
  <c r="J5" i="40"/>
  <c r="I40" i="43"/>
  <c r="N24" i="25"/>
  <c r="F81" i="40"/>
  <c r="R84" i="25"/>
  <c r="J43" i="49"/>
  <c r="J87" i="47"/>
  <c r="E19" i="25"/>
  <c r="K42" i="43"/>
  <c r="A200" i="44"/>
  <c r="DW17" i="1"/>
  <c r="C3" i="40"/>
  <c r="M178" i="41"/>
  <c r="E98" i="25"/>
  <c r="B11" i="41"/>
  <c r="Q13" i="25"/>
  <c r="M19" i="41"/>
  <c r="Q4" i="25"/>
  <c r="J36" i="40"/>
  <c r="G36" i="47"/>
  <c r="L25" i="42"/>
  <c r="K76" i="25"/>
  <c r="C6" i="40"/>
  <c r="B183" i="40"/>
  <c r="J35" i="25"/>
  <c r="F32" i="41"/>
  <c r="H465" i="6"/>
  <c r="H435" i="6"/>
  <c r="H203" i="6"/>
  <c r="C169" i="48"/>
  <c r="C25" i="41"/>
  <c r="D88" i="47"/>
  <c r="C61" i="42"/>
  <c r="O46" i="25"/>
  <c r="B181" i="47"/>
  <c r="F53" i="41"/>
  <c r="I71" i="48"/>
  <c r="H438" i="6"/>
  <c r="G19" i="25"/>
  <c r="N75" i="49"/>
  <c r="Q18" i="25"/>
  <c r="AF182" i="14"/>
  <c r="C179" i="47"/>
  <c r="G33" i="41"/>
  <c r="H302" i="6"/>
  <c r="N18" i="42"/>
  <c r="M3" i="50"/>
  <c r="D176" i="48"/>
  <c r="R43" i="25"/>
  <c r="J15" i="47"/>
  <c r="G35" i="48"/>
  <c r="J22" i="40"/>
  <c r="N76" i="42"/>
  <c r="S79" i="25"/>
  <c r="N19" i="25"/>
  <c r="M127" i="42"/>
  <c r="I61" i="42"/>
  <c r="R15" i="40"/>
  <c r="Q33" i="25"/>
  <c r="H274" i="6"/>
  <c r="I60" i="49"/>
  <c r="I37" i="49"/>
  <c r="S48" i="25"/>
  <c r="F22" i="43"/>
  <c r="P29" i="25"/>
  <c r="G47" i="25"/>
  <c r="M15" i="25"/>
  <c r="M181" i="47"/>
  <c r="E76" i="25"/>
  <c r="M69" i="50"/>
  <c r="K46" i="25"/>
  <c r="AF108" i="14"/>
  <c r="H68" i="25"/>
  <c r="B74" i="47"/>
  <c r="H301" i="6"/>
  <c r="M75" i="43"/>
  <c r="R90" i="25"/>
  <c r="E55" i="25"/>
  <c r="S73" i="25"/>
  <c r="R125" i="49"/>
  <c r="J9" i="25"/>
  <c r="K9" i="42"/>
  <c r="M19" i="43"/>
  <c r="G24" i="43"/>
  <c r="M17" i="50"/>
  <c r="AF146" i="14"/>
  <c r="M169" i="47"/>
  <c r="L58" i="43"/>
  <c r="DW38" i="1"/>
  <c r="J29" i="19"/>
  <c r="P60" i="25"/>
  <c r="J75" i="25"/>
  <c r="D60" i="25"/>
  <c r="M180" i="48"/>
  <c r="DW26" i="1"/>
  <c r="G42" i="43"/>
  <c r="B19" i="42"/>
  <c r="C125" i="49"/>
  <c r="I70" i="49"/>
  <c r="I3" i="48"/>
  <c r="N11" i="42"/>
  <c r="AF80" i="14"/>
  <c r="B76" i="42"/>
  <c r="AF51" i="14"/>
  <c r="M171" i="47"/>
  <c r="D89" i="25"/>
  <c r="G74" i="49"/>
  <c r="B170" i="48"/>
  <c r="C71" i="42"/>
  <c r="M174" i="47"/>
  <c r="O57" i="25"/>
  <c r="M47" i="25"/>
  <c r="I26" i="49"/>
  <c r="N38" i="47"/>
  <c r="EB7" i="1"/>
  <c r="G70" i="25"/>
  <c r="F9" i="50"/>
  <c r="DW55" i="1"/>
  <c r="AF72" i="14"/>
  <c r="K19" i="25"/>
  <c r="D17" i="42"/>
  <c r="B37" i="49"/>
  <c r="DW32" i="1"/>
  <c r="J42" i="49"/>
  <c r="F76" i="49"/>
  <c r="F39" i="43"/>
  <c r="F43" i="49"/>
  <c r="I5" i="50"/>
  <c r="P25" i="25"/>
  <c r="F16" i="41"/>
  <c r="M21" i="50"/>
  <c r="F2" i="50"/>
  <c r="Q9" i="25"/>
  <c r="B173" i="48"/>
  <c r="B132" i="42"/>
  <c r="P21" i="25"/>
  <c r="C40" i="43"/>
  <c r="G40" i="42"/>
  <c r="N15" i="50"/>
  <c r="J20" i="40"/>
  <c r="DW42" i="1"/>
  <c r="C72" i="42"/>
  <c r="B63" i="47"/>
  <c r="N40" i="42"/>
  <c r="G58" i="43"/>
  <c r="H4" i="25"/>
  <c r="S63" i="25"/>
  <c r="G49" i="49"/>
  <c r="K79" i="25"/>
  <c r="F70" i="50"/>
  <c r="J20" i="42"/>
  <c r="M186" i="40"/>
  <c r="C65" i="43"/>
  <c r="H41" i="25"/>
  <c r="G53" i="48"/>
  <c r="F69" i="48"/>
  <c r="G9" i="42"/>
  <c r="C19" i="47"/>
  <c r="D9" i="47"/>
  <c r="M28" i="48"/>
  <c r="F18" i="50"/>
  <c r="C32" i="43"/>
  <c r="R73" i="25"/>
  <c r="F70" i="25"/>
  <c r="J71" i="50"/>
  <c r="S87" i="25"/>
  <c r="L5" i="25"/>
  <c r="F42" i="43"/>
  <c r="N84" i="41"/>
  <c r="I80" i="47"/>
  <c r="B64" i="47"/>
  <c r="M169" i="41"/>
  <c r="I38" i="49"/>
  <c r="I36" i="40"/>
  <c r="I9" i="47"/>
  <c r="I44" i="48"/>
  <c r="D14" i="41"/>
  <c r="I49" i="48"/>
  <c r="H469" i="6"/>
  <c r="E35" i="25"/>
  <c r="N42" i="43"/>
  <c r="N69" i="42"/>
  <c r="H368" i="6"/>
  <c r="C69" i="40"/>
  <c r="S21" i="25"/>
  <c r="L75" i="25"/>
  <c r="M68" i="43"/>
  <c r="M44" i="49"/>
  <c r="G18" i="42"/>
  <c r="N20" i="47"/>
  <c r="N33" i="25"/>
  <c r="D47" i="25"/>
  <c r="M175" i="40"/>
  <c r="I37" i="48"/>
  <c r="L17" i="25"/>
  <c r="L124" i="42"/>
  <c r="B173" i="41"/>
  <c r="F33" i="41"/>
  <c r="L58" i="42"/>
  <c r="B15" i="42"/>
  <c r="D185" i="40"/>
  <c r="DW56" i="1"/>
  <c r="Q42" i="25"/>
  <c r="N50" i="49"/>
  <c r="C125" i="50"/>
  <c r="L72" i="25"/>
  <c r="S47" i="25"/>
  <c r="N48" i="49"/>
  <c r="L74" i="25"/>
  <c r="M185" i="47"/>
  <c r="C74" i="50"/>
  <c r="K21" i="42"/>
  <c r="E70" i="25"/>
  <c r="H46" i="6"/>
  <c r="M170" i="47"/>
  <c r="B62" i="50"/>
  <c r="L58" i="25"/>
  <c r="F6" i="50"/>
  <c r="K16" i="41"/>
  <c r="B20" i="50"/>
  <c r="L14" i="49"/>
  <c r="J43" i="40"/>
  <c r="G50" i="41"/>
  <c r="K18" i="43"/>
  <c r="M24" i="49"/>
  <c r="G48" i="25"/>
  <c r="G88" i="25"/>
  <c r="K94" i="25"/>
  <c r="H86" i="25"/>
  <c r="K69" i="40"/>
  <c r="G67" i="25"/>
  <c r="K76" i="50"/>
  <c r="H84" i="6"/>
  <c r="C70" i="49"/>
  <c r="J38" i="47"/>
  <c r="I71" i="40"/>
  <c r="N89" i="25"/>
  <c r="F55" i="50"/>
  <c r="H142" i="6"/>
  <c r="N41" i="42"/>
  <c r="R169" i="48"/>
  <c r="D71" i="25"/>
  <c r="N43" i="50"/>
  <c r="C70" i="42"/>
  <c r="I68" i="47"/>
  <c r="C32" i="41"/>
  <c r="J80" i="47"/>
  <c r="F41" i="43"/>
  <c r="P32" i="25"/>
  <c r="N19" i="43"/>
  <c r="J23" i="25"/>
  <c r="I17" i="25"/>
  <c r="I75" i="25"/>
  <c r="D129" i="43"/>
  <c r="N25" i="42"/>
  <c r="H456" i="6"/>
  <c r="A376" i="44"/>
  <c r="D13" i="25"/>
  <c r="B172" i="40"/>
  <c r="H104" i="6"/>
  <c r="G42" i="25"/>
  <c r="M14" i="25"/>
  <c r="I61" i="48"/>
  <c r="DW51" i="1"/>
  <c r="J29" i="41"/>
  <c r="J19" i="47"/>
  <c r="N29" i="49"/>
  <c r="I69" i="49"/>
  <c r="L20" i="25"/>
  <c r="E14" i="43"/>
  <c r="C88" i="41"/>
  <c r="I75" i="48"/>
  <c r="C176" i="47"/>
  <c r="D20" i="41"/>
  <c r="M13" i="50"/>
  <c r="D87" i="47"/>
  <c r="J38" i="25"/>
  <c r="M62" i="47"/>
  <c r="H8" i="6"/>
  <c r="D25" i="25"/>
  <c r="B30" i="50"/>
  <c r="R46" i="25"/>
  <c r="A178" i="44"/>
  <c r="C181" i="40"/>
  <c r="G69" i="25"/>
  <c r="K33" i="42"/>
  <c r="D43" i="50"/>
  <c r="J73" i="41"/>
  <c r="M123" i="42"/>
  <c r="N33" i="42"/>
  <c r="J40" i="43"/>
  <c r="M36" i="49"/>
  <c r="N83" i="41"/>
  <c r="J49" i="41"/>
  <c r="I65" i="40"/>
  <c r="K51" i="42"/>
  <c r="E89" i="25"/>
  <c r="H201" i="6"/>
  <c r="H366" i="6"/>
  <c r="DW29" i="1"/>
  <c r="M66" i="25"/>
  <c r="K20" i="25"/>
  <c r="C18" i="50"/>
  <c r="C21" i="47"/>
  <c r="M76" i="42"/>
  <c r="G66" i="48"/>
  <c r="N58" i="42"/>
  <c r="L42" i="25"/>
  <c r="D183" i="40"/>
  <c r="B21" i="50"/>
  <c r="K9" i="50"/>
  <c r="L94" i="25"/>
  <c r="R79" i="25"/>
  <c r="F6" i="25"/>
  <c r="L32" i="25"/>
  <c r="J3" i="40"/>
  <c r="M20" i="49"/>
  <c r="N21" i="50"/>
  <c r="E8" i="25"/>
  <c r="B176" i="47"/>
  <c r="S15" i="25"/>
  <c r="R22" i="25"/>
  <c r="N42" i="50"/>
  <c r="M42" i="47"/>
  <c r="I30" i="25"/>
  <c r="D185" i="41"/>
  <c r="Q6" i="25"/>
  <c r="E94" i="25"/>
  <c r="Q79" i="25"/>
  <c r="E88" i="25"/>
  <c r="EB15" i="1"/>
  <c r="O96" i="25"/>
  <c r="G5" i="48"/>
  <c r="N72" i="42"/>
  <c r="B123" i="50"/>
  <c r="I21" i="25"/>
  <c r="B129" i="49"/>
  <c r="J32" i="25"/>
  <c r="N11" i="25"/>
  <c r="G71" i="43"/>
  <c r="F31" i="41"/>
  <c r="C58" i="49"/>
  <c r="AF145" i="14"/>
  <c r="I39" i="49"/>
  <c r="M63" i="40"/>
  <c r="E66" i="25"/>
  <c r="D33" i="25"/>
  <c r="C168" i="47"/>
  <c r="B179" i="40"/>
  <c r="J39" i="19"/>
  <c r="J69" i="42"/>
  <c r="M180" i="40"/>
  <c r="N69" i="40"/>
  <c r="D85" i="47"/>
  <c r="J37" i="25"/>
  <c r="B55" i="41"/>
  <c r="J27" i="48"/>
  <c r="B31" i="42"/>
  <c r="J10" i="41"/>
  <c r="M68" i="49"/>
  <c r="I61" i="50"/>
  <c r="C69" i="50"/>
  <c r="E10" i="25"/>
  <c r="J70" i="42"/>
  <c r="S36" i="25"/>
  <c r="I30" i="40"/>
  <c r="E39" i="25"/>
  <c r="S5" i="25"/>
  <c r="I30" i="49"/>
  <c r="P16" i="25"/>
  <c r="J68" i="25"/>
  <c r="M47" i="47"/>
  <c r="I55" i="50"/>
  <c r="F15" i="41"/>
  <c r="I81" i="40"/>
  <c r="H86" i="6"/>
  <c r="L146" i="47"/>
  <c r="AF183" i="14"/>
  <c r="C130" i="42"/>
  <c r="O44" i="25"/>
  <c r="G26" i="42"/>
  <c r="K3" i="48"/>
  <c r="D74" i="42"/>
  <c r="R13" i="25"/>
  <c r="F72" i="42"/>
  <c r="N65" i="25"/>
  <c r="M6" i="50"/>
  <c r="G80" i="47"/>
  <c r="C17" i="40"/>
  <c r="J31" i="25"/>
  <c r="N26" i="41"/>
  <c r="D175" i="40"/>
  <c r="G12" i="25"/>
  <c r="D8" i="48"/>
  <c r="S14" i="25"/>
  <c r="F14" i="41"/>
  <c r="O72" i="25"/>
  <c r="H296" i="6"/>
  <c r="B13" i="42"/>
  <c r="B31" i="50"/>
  <c r="B186" i="47"/>
  <c r="D54" i="50"/>
  <c r="B43" i="49"/>
  <c r="M17" i="25"/>
  <c r="B17" i="40"/>
  <c r="B60" i="40"/>
  <c r="M13" i="48"/>
  <c r="C32" i="50"/>
  <c r="M69" i="25"/>
  <c r="H106" i="6"/>
  <c r="I72" i="41"/>
  <c r="H17" i="6"/>
  <c r="I18" i="25"/>
  <c r="L11" i="25"/>
  <c r="H53" i="6"/>
  <c r="H242" i="6"/>
  <c r="M126" i="43"/>
  <c r="AF174" i="14"/>
  <c r="H496" i="6"/>
  <c r="G49" i="25"/>
  <c r="C175" i="47"/>
  <c r="H209" i="6"/>
  <c r="DW13" i="1"/>
  <c r="N54" i="43"/>
  <c r="M22" i="43"/>
  <c r="M130" i="49"/>
  <c r="F4" i="25"/>
  <c r="Q48" i="25"/>
  <c r="C9" i="50"/>
  <c r="B24" i="49"/>
  <c r="J58" i="25"/>
  <c r="B15" i="48"/>
  <c r="F71" i="25"/>
  <c r="N77" i="43"/>
  <c r="A508" i="44"/>
  <c r="G16" i="50"/>
  <c r="G22" i="42"/>
  <c r="F36" i="25"/>
  <c r="G70" i="50"/>
  <c r="B3" i="41"/>
  <c r="N72" i="49"/>
  <c r="M72" i="25"/>
  <c r="C26" i="48"/>
  <c r="N45" i="25"/>
  <c r="I41" i="47"/>
  <c r="F42" i="49"/>
  <c r="B181" i="40"/>
  <c r="S90" i="25"/>
  <c r="H298" i="6"/>
  <c r="F17" i="50"/>
  <c r="H70" i="25"/>
  <c r="H80" i="6"/>
  <c r="L43" i="25"/>
  <c r="EB5" i="1"/>
  <c r="B80" i="47"/>
  <c r="N16" i="41"/>
  <c r="D10" i="43"/>
  <c r="F2" i="41"/>
  <c r="J38" i="40"/>
  <c r="D76" i="49"/>
  <c r="M3" i="40"/>
  <c r="M129" i="49"/>
  <c r="M170" i="48"/>
  <c r="P88" i="25"/>
  <c r="H25" i="25"/>
  <c r="I97" i="25"/>
  <c r="B25" i="50"/>
  <c r="I30" i="42"/>
  <c r="N85" i="47"/>
  <c r="K43" i="49"/>
  <c r="N18" i="41"/>
  <c r="C70" i="50"/>
  <c r="K80" i="47"/>
  <c r="G44" i="42"/>
  <c r="M9" i="48"/>
  <c r="AF41" i="14"/>
  <c r="J69" i="48"/>
  <c r="K42" i="40"/>
  <c r="S43" i="25"/>
  <c r="B6" i="48"/>
  <c r="B125" i="49"/>
  <c r="N80" i="48"/>
  <c r="B63" i="42"/>
  <c r="O87" i="25"/>
  <c r="Q69" i="25"/>
  <c r="J17" i="50"/>
  <c r="C58" i="42"/>
  <c r="B70" i="49"/>
  <c r="E25" i="41"/>
  <c r="M37" i="47"/>
  <c r="H232" i="6"/>
  <c r="AF175" i="14"/>
  <c r="N46" i="25"/>
  <c r="D20" i="43"/>
  <c r="AF170" i="14"/>
  <c r="Q72" i="25"/>
  <c r="H361" i="6"/>
  <c r="I17" i="50"/>
  <c r="C27" i="41"/>
  <c r="H213" i="6"/>
  <c r="E69" i="47"/>
  <c r="R11" i="25"/>
  <c r="K75" i="25"/>
  <c r="J26" i="25"/>
  <c r="P73" i="25"/>
  <c r="AF52" i="14"/>
  <c r="A233" i="44"/>
  <c r="AF118" i="14"/>
  <c r="M68" i="25"/>
  <c r="H69" i="25"/>
  <c r="N58" i="41"/>
  <c r="AF139" i="14"/>
  <c r="EB27" i="1"/>
  <c r="G17" i="40"/>
  <c r="B69" i="47"/>
  <c r="F11" i="40"/>
  <c r="D77" i="50"/>
  <c r="AF13" i="14"/>
  <c r="G3" i="49"/>
  <c r="M82" i="47"/>
  <c r="H468" i="6"/>
  <c r="B40" i="50"/>
  <c r="K58" i="47"/>
  <c r="B71" i="40"/>
  <c r="C170" i="47"/>
  <c r="H426" i="6"/>
  <c r="B170" i="47"/>
  <c r="M181" i="41"/>
  <c r="R47" i="25"/>
  <c r="C5" i="40"/>
  <c r="D132" i="49"/>
  <c r="G22" i="25"/>
  <c r="F76" i="43"/>
  <c r="M82" i="40"/>
  <c r="H337" i="6"/>
  <c r="I79" i="48"/>
  <c r="G10" i="41"/>
  <c r="R70" i="50"/>
  <c r="J28" i="41"/>
  <c r="A409" i="44"/>
  <c r="B86" i="47"/>
  <c r="H32" i="25"/>
  <c r="N81" i="41"/>
  <c r="G31" i="41"/>
  <c r="S40" i="25"/>
  <c r="K44" i="25"/>
  <c r="C183" i="48"/>
  <c r="B10" i="50"/>
  <c r="C179" i="48"/>
  <c r="I29" i="41"/>
  <c r="L58" i="49"/>
  <c r="J4" i="50"/>
  <c r="M183" i="48"/>
  <c r="F21" i="50"/>
  <c r="B175" i="48"/>
  <c r="M38" i="25"/>
  <c r="M40" i="43"/>
  <c r="B185" i="47"/>
  <c r="D91" i="25"/>
  <c r="M37" i="50"/>
  <c r="M41" i="25"/>
  <c r="M20" i="42"/>
  <c r="M69" i="49"/>
  <c r="F20" i="49"/>
  <c r="D16" i="47"/>
  <c r="N7" i="42"/>
  <c r="N18" i="48"/>
  <c r="R82" i="25"/>
  <c r="E82" i="25"/>
  <c r="I5" i="25"/>
  <c r="C10" i="40"/>
  <c r="J31" i="41"/>
  <c r="N16" i="42"/>
  <c r="M175" i="48"/>
  <c r="B128" i="49"/>
  <c r="J16" i="19"/>
  <c r="D69" i="49"/>
  <c r="O41" i="25"/>
  <c r="D86" i="47"/>
  <c r="G40" i="25"/>
  <c r="M9" i="40"/>
  <c r="F19" i="49"/>
  <c r="N28" i="48"/>
  <c r="H434" i="6"/>
  <c r="S85" i="25"/>
  <c r="O93" i="25"/>
  <c r="J39" i="49"/>
  <c r="D20" i="50"/>
  <c r="I33" i="25"/>
  <c r="F59" i="48"/>
  <c r="H488" i="6"/>
  <c r="K92" i="25"/>
  <c r="M21" i="43"/>
  <c r="H334" i="6"/>
  <c r="I49" i="25"/>
  <c r="I69" i="48"/>
  <c r="I21" i="49"/>
  <c r="E60" i="25"/>
  <c r="I22" i="50"/>
  <c r="I35" i="47"/>
  <c r="D187" i="48"/>
  <c r="F73" i="25"/>
  <c r="R91" i="25"/>
  <c r="M22" i="25"/>
  <c r="K42" i="49"/>
  <c r="D14" i="49"/>
  <c r="F28" i="40"/>
  <c r="G38" i="42"/>
  <c r="M15" i="42"/>
  <c r="B130" i="43"/>
  <c r="D84" i="47"/>
  <c r="J14" i="50"/>
  <c r="R9" i="25"/>
  <c r="K17" i="40"/>
  <c r="K36" i="41"/>
  <c r="N82" i="25"/>
  <c r="A464" i="44"/>
  <c r="C170" i="40"/>
  <c r="B71" i="42"/>
  <c r="Q73" i="25"/>
  <c r="K77" i="49"/>
  <c r="I86" i="47"/>
  <c r="G71" i="50"/>
  <c r="D14" i="25"/>
  <c r="N15" i="42"/>
  <c r="G4" i="48"/>
  <c r="F30" i="47"/>
  <c r="N3" i="50"/>
  <c r="G83" i="48"/>
  <c r="F69" i="42"/>
  <c r="G69" i="43"/>
  <c r="H11" i="6"/>
  <c r="P62" i="25"/>
  <c r="G77" i="50"/>
  <c r="J71" i="42"/>
  <c r="G33" i="49"/>
  <c r="G72" i="50"/>
  <c r="E36" i="41"/>
  <c r="K30" i="41"/>
  <c r="B29" i="40"/>
  <c r="I85" i="40"/>
  <c r="AF40" i="14"/>
  <c r="B36" i="42"/>
  <c r="M43" i="50"/>
  <c r="D19" i="49"/>
  <c r="L95" i="25"/>
  <c r="M30" i="25"/>
  <c r="A475" i="44"/>
  <c r="C29" i="49"/>
  <c r="I25" i="50"/>
  <c r="K41" i="49"/>
  <c r="M27" i="48"/>
  <c r="Q63" i="25"/>
  <c r="M130" i="50"/>
  <c r="M167" i="40"/>
  <c r="C176" i="41"/>
  <c r="B123" i="49"/>
  <c r="R37" i="49"/>
  <c r="J8" i="48"/>
  <c r="D18" i="41"/>
  <c r="N30" i="42"/>
  <c r="J32" i="50"/>
  <c r="M27" i="49"/>
  <c r="N28" i="40"/>
  <c r="I88" i="25"/>
  <c r="H79" i="25"/>
  <c r="Q29" i="25"/>
  <c r="E24" i="25"/>
  <c r="K77" i="42"/>
  <c r="I38" i="25"/>
  <c r="K41" i="25"/>
  <c r="M36" i="50"/>
  <c r="J69" i="50"/>
  <c r="L19" i="25"/>
  <c r="J30" i="25"/>
  <c r="DW25" i="1"/>
  <c r="C71" i="49"/>
  <c r="D42" i="49"/>
  <c r="M20" i="50"/>
  <c r="C27" i="19"/>
  <c r="G8" i="41"/>
  <c r="B13" i="40"/>
  <c r="C44" i="41"/>
  <c r="M124" i="49"/>
  <c r="I13" i="49"/>
  <c r="E36" i="47"/>
  <c r="F70" i="42"/>
  <c r="J86" i="48"/>
  <c r="F91" i="25"/>
  <c r="J29" i="25"/>
  <c r="C6" i="19"/>
  <c r="E20" i="25"/>
  <c r="I41" i="49"/>
  <c r="M70" i="49"/>
  <c r="S9" i="25"/>
  <c r="D16" i="50"/>
  <c r="F36" i="43"/>
  <c r="J10" i="40"/>
  <c r="I4" i="48"/>
  <c r="C29" i="19"/>
  <c r="J70" i="40"/>
  <c r="J5" i="42"/>
  <c r="K29" i="19"/>
  <c r="F75" i="43"/>
  <c r="M2" i="40"/>
  <c r="AF78" i="14"/>
  <c r="L18" i="25"/>
  <c r="L124" i="43"/>
  <c r="R59" i="48"/>
  <c r="M168" i="40"/>
  <c r="J85" i="47"/>
  <c r="D86" i="40"/>
  <c r="G22" i="49"/>
  <c r="E16" i="25"/>
  <c r="K15" i="41"/>
  <c r="R38" i="25"/>
  <c r="F43" i="50"/>
  <c r="D64" i="47"/>
  <c r="B2" i="41"/>
  <c r="O86" i="25"/>
  <c r="S94" i="25"/>
  <c r="E75" i="25"/>
  <c r="I70" i="25"/>
  <c r="B73" i="41"/>
  <c r="M125" i="49"/>
  <c r="J44" i="42"/>
  <c r="F49" i="43"/>
  <c r="M172" i="41"/>
  <c r="B55" i="49"/>
  <c r="B184" i="41"/>
  <c r="M132" i="49"/>
  <c r="K58" i="25"/>
  <c r="M169" i="40"/>
  <c r="B128" i="42"/>
  <c r="M129" i="42"/>
  <c r="G88" i="47"/>
  <c r="G21" i="48"/>
  <c r="C28" i="40"/>
  <c r="R95" i="25"/>
  <c r="H54" i="25"/>
  <c r="I92" i="25"/>
  <c r="G21" i="49"/>
  <c r="F81" i="25"/>
  <c r="S62" i="25"/>
  <c r="I65" i="42"/>
  <c r="G5" i="40"/>
  <c r="B61" i="50"/>
  <c r="M93" i="25"/>
  <c r="C125" i="42"/>
  <c r="I47" i="42"/>
  <c r="C27" i="48"/>
  <c r="M74" i="42"/>
  <c r="I76" i="42"/>
  <c r="N31" i="49"/>
  <c r="H275" i="6"/>
  <c r="B180" i="47"/>
  <c r="G37" i="40"/>
  <c r="I11" i="48"/>
  <c r="J9" i="40"/>
  <c r="DW12" i="1"/>
  <c r="R35" i="25"/>
  <c r="M18" i="48"/>
  <c r="DW34" i="1"/>
  <c r="M125" i="43"/>
  <c r="M183" i="41"/>
  <c r="F36" i="48"/>
  <c r="M9" i="25"/>
  <c r="P91" i="25"/>
  <c r="N77" i="50"/>
  <c r="J51" i="43"/>
  <c r="O74" i="25"/>
  <c r="Q17" i="25"/>
  <c r="B39" i="43"/>
  <c r="H151" i="6"/>
  <c r="S55" i="25"/>
  <c r="O29" i="25"/>
  <c r="Q19" i="25"/>
  <c r="G45" i="25"/>
  <c r="F9" i="40"/>
  <c r="I81" i="25"/>
  <c r="G69" i="49"/>
  <c r="F75" i="50"/>
  <c r="C169" i="47"/>
  <c r="C55" i="48"/>
  <c r="I65" i="48"/>
  <c r="DW48" i="1"/>
  <c r="R60" i="25"/>
  <c r="P75" i="25"/>
  <c r="D32" i="50"/>
  <c r="G81" i="25"/>
  <c r="J146" i="47"/>
  <c r="I43" i="43"/>
  <c r="M2" i="50"/>
  <c r="R85" i="25"/>
  <c r="K22" i="25"/>
  <c r="D31" i="25"/>
  <c r="K76" i="43"/>
  <c r="N52" i="50"/>
  <c r="L3" i="49"/>
  <c r="K20" i="40"/>
  <c r="I83" i="47"/>
  <c r="I16" i="25"/>
  <c r="B131" i="43"/>
  <c r="G85" i="40"/>
  <c r="B22" i="42"/>
  <c r="K32" i="42"/>
  <c r="G83" i="41"/>
  <c r="I37" i="25"/>
  <c r="J91" i="25"/>
  <c r="H466" i="6"/>
  <c r="I54" i="25"/>
  <c r="J54" i="25"/>
  <c r="E22" i="25"/>
  <c r="M61" i="47"/>
  <c r="N22" i="50"/>
  <c r="I81" i="47"/>
  <c r="H244" i="6"/>
  <c r="M179" i="48"/>
  <c r="C31" i="42"/>
  <c r="J61" i="47"/>
  <c r="B44" i="48"/>
  <c r="I32" i="40"/>
  <c r="D49" i="49"/>
  <c r="I72" i="43"/>
  <c r="H470" i="6"/>
  <c r="B58" i="50"/>
  <c r="R24" i="25"/>
  <c r="I70" i="40"/>
  <c r="AF114" i="14"/>
  <c r="B7" i="49"/>
  <c r="B73" i="40"/>
  <c r="F13" i="47"/>
  <c r="P15" i="25"/>
  <c r="D17" i="48"/>
  <c r="M18" i="42"/>
  <c r="N43" i="41"/>
  <c r="F3" i="40"/>
  <c r="C36" i="48"/>
  <c r="F29" i="40"/>
  <c r="D95" i="25"/>
  <c r="L60" i="25"/>
  <c r="J77" i="43"/>
  <c r="E15" i="25"/>
  <c r="D184" i="47"/>
  <c r="G30" i="41"/>
  <c r="F7" i="50"/>
  <c r="B68" i="43"/>
  <c r="N38" i="25"/>
  <c r="G35" i="25"/>
  <c r="G65" i="25"/>
  <c r="H400" i="6"/>
  <c r="G3" i="40"/>
  <c r="J28" i="42"/>
  <c r="G146" i="47"/>
  <c r="I77" i="43"/>
  <c r="D21" i="41"/>
  <c r="D14" i="42"/>
  <c r="D58" i="50"/>
  <c r="H335" i="6"/>
  <c r="C20" i="50"/>
  <c r="G21" i="47"/>
  <c r="I20" i="40"/>
  <c r="M16" i="49"/>
  <c r="I43" i="41"/>
  <c r="B26" i="41"/>
  <c r="F16" i="48"/>
  <c r="J6" i="42"/>
  <c r="J42" i="50"/>
  <c r="G11" i="48"/>
  <c r="S92" i="25"/>
  <c r="N19" i="50"/>
  <c r="B75" i="50"/>
  <c r="B14" i="42"/>
  <c r="F73" i="49"/>
  <c r="S23" i="25"/>
  <c r="I59" i="50"/>
  <c r="K15" i="25"/>
  <c r="H394" i="6"/>
  <c r="L57" i="25"/>
  <c r="I86" i="40"/>
  <c r="D34" i="25"/>
  <c r="C84" i="40"/>
  <c r="M62" i="48"/>
  <c r="D14" i="47"/>
  <c r="N53" i="50"/>
  <c r="C58" i="50"/>
  <c r="H40" i="6"/>
  <c r="F58" i="50"/>
  <c r="H10" i="6"/>
  <c r="B75" i="47"/>
  <c r="J40" i="19"/>
  <c r="L36" i="25"/>
  <c r="D58" i="49"/>
  <c r="Q43" i="25"/>
  <c r="D184" i="48"/>
  <c r="L14" i="41"/>
  <c r="B66" i="50"/>
  <c r="H38" i="25"/>
  <c r="J43" i="19"/>
  <c r="K20" i="41"/>
  <c r="C22" i="50"/>
  <c r="M167" i="47"/>
  <c r="J38" i="19"/>
  <c r="F38" i="43"/>
  <c r="N22" i="47"/>
  <c r="I40" i="50"/>
  <c r="C73" i="43"/>
  <c r="M172" i="47"/>
  <c r="C75" i="49"/>
  <c r="H113" i="6"/>
  <c r="G57" i="50"/>
  <c r="J51" i="50"/>
  <c r="C11" i="41"/>
  <c r="I43" i="42"/>
  <c r="S22" i="25"/>
  <c r="S17" i="25"/>
  <c r="I38" i="40"/>
  <c r="L69" i="48"/>
  <c r="I38" i="48"/>
  <c r="F80" i="25"/>
  <c r="M125" i="50"/>
  <c r="G7" i="40"/>
  <c r="D36" i="49"/>
  <c r="G74" i="42"/>
  <c r="B41" i="49"/>
  <c r="B127" i="42"/>
  <c r="M98" i="25"/>
  <c r="N49" i="25"/>
  <c r="B64" i="42"/>
  <c r="H208" i="6"/>
  <c r="N7" i="25"/>
  <c r="I70" i="48"/>
  <c r="H297" i="6"/>
  <c r="F45" i="25"/>
  <c r="N38" i="42"/>
  <c r="B41" i="42"/>
  <c r="F60" i="48"/>
  <c r="J37" i="42"/>
  <c r="N50" i="40"/>
  <c r="B46" i="47"/>
  <c r="F14" i="47"/>
  <c r="B48" i="48"/>
  <c r="L168" i="40"/>
  <c r="M48" i="25"/>
  <c r="J7" i="25"/>
  <c r="J7" i="40"/>
  <c r="S98" i="25"/>
  <c r="J40" i="25"/>
  <c r="F46" i="50"/>
  <c r="H57" i="25"/>
  <c r="N22" i="42"/>
  <c r="M83" i="47"/>
  <c r="I19" i="50"/>
  <c r="C61" i="49"/>
  <c r="C179" i="40"/>
  <c r="G18" i="41"/>
  <c r="F5" i="40"/>
  <c r="I66" i="47"/>
  <c r="J38" i="50"/>
  <c r="J41" i="50"/>
  <c r="C37" i="49"/>
  <c r="O40" i="25"/>
  <c r="K8" i="41"/>
  <c r="G85" i="47"/>
  <c r="C168" i="40"/>
  <c r="L69" i="41"/>
  <c r="E17" i="25"/>
  <c r="AF172" i="14"/>
  <c r="J5" i="25"/>
  <c r="M14" i="50"/>
  <c r="G70" i="42"/>
  <c r="P30" i="25"/>
  <c r="M75" i="42"/>
  <c r="C50" i="50"/>
  <c r="F20" i="41"/>
  <c r="M26" i="49"/>
  <c r="D69" i="47"/>
  <c r="DW52" i="1"/>
  <c r="I16" i="40"/>
  <c r="AF107" i="14"/>
  <c r="DW27" i="1"/>
  <c r="R180" i="48"/>
  <c r="G50" i="47"/>
  <c r="B185" i="48"/>
  <c r="D69" i="41"/>
  <c r="L69" i="25"/>
  <c r="R65" i="25"/>
  <c r="G48" i="49"/>
  <c r="M6" i="25"/>
  <c r="G18" i="43"/>
  <c r="J5" i="41"/>
  <c r="N43" i="25"/>
  <c r="R80" i="25"/>
  <c r="F79" i="47"/>
  <c r="M39" i="25"/>
  <c r="I33" i="41"/>
  <c r="F13" i="49"/>
  <c r="I42" i="25"/>
  <c r="F68" i="49"/>
  <c r="AF168" i="14"/>
  <c r="S56" i="25"/>
  <c r="H20" i="25"/>
  <c r="G52" i="50"/>
  <c r="I88" i="47"/>
  <c r="N76" i="50"/>
  <c r="N70" i="49"/>
  <c r="N6" i="25"/>
  <c r="H54" i="6"/>
  <c r="M8" i="50"/>
  <c r="S8" i="25"/>
  <c r="M37" i="41"/>
  <c r="C69" i="49"/>
  <c r="K67" i="25"/>
  <c r="I45" i="25"/>
  <c r="N86" i="47"/>
  <c r="B9" i="47"/>
  <c r="C17" i="42"/>
  <c r="C54" i="49"/>
  <c r="F85" i="47"/>
  <c r="G6" i="25"/>
  <c r="B85" i="40"/>
  <c r="E61" i="25"/>
  <c r="B57" i="50"/>
  <c r="M173" i="47"/>
  <c r="J7" i="41"/>
  <c r="E34" i="25"/>
  <c r="M55" i="41"/>
  <c r="G53" i="41"/>
  <c r="B15" i="41"/>
  <c r="K60" i="48"/>
  <c r="P20" i="25"/>
  <c r="N47" i="50"/>
  <c r="K16" i="49"/>
  <c r="AF79" i="14"/>
  <c r="K33" i="25"/>
  <c r="C21" i="50"/>
  <c r="G21" i="42"/>
  <c r="L71" i="25"/>
  <c r="L65" i="25"/>
  <c r="F7" i="25"/>
  <c r="N14" i="25"/>
  <c r="G62" i="25"/>
  <c r="C71" i="50"/>
  <c r="B72" i="49"/>
  <c r="B38" i="49"/>
  <c r="G27" i="41"/>
  <c r="F13" i="43"/>
  <c r="B182" i="41"/>
  <c r="Q30" i="25"/>
  <c r="F14" i="25"/>
  <c r="I38" i="43"/>
  <c r="N87" i="47"/>
  <c r="J20" i="25"/>
  <c r="G30" i="42"/>
  <c r="G9" i="40"/>
  <c r="K49" i="25"/>
  <c r="K73" i="43"/>
  <c r="E80" i="25"/>
  <c r="L93" i="25"/>
  <c r="F11" i="25"/>
  <c r="M33" i="41"/>
  <c r="D8" i="40"/>
  <c r="F39" i="49"/>
  <c r="C126" i="43"/>
  <c r="J33" i="25"/>
  <c r="J36" i="50"/>
  <c r="I31" i="49"/>
  <c r="P8" i="25"/>
  <c r="D25" i="48"/>
  <c r="B46" i="43"/>
  <c r="N55" i="42"/>
  <c r="R8" i="25"/>
  <c r="G49" i="43"/>
  <c r="O56" i="25"/>
  <c r="F88" i="25"/>
  <c r="L35" i="25"/>
  <c r="F44" i="49"/>
  <c r="G29" i="41"/>
  <c r="L6" i="25"/>
  <c r="C181" i="41"/>
  <c r="I35" i="48"/>
  <c r="C86" i="40"/>
  <c r="I17" i="47"/>
  <c r="G34" i="25"/>
  <c r="G41" i="47"/>
  <c r="J73" i="49"/>
  <c r="H393" i="6"/>
  <c r="D3" i="40"/>
  <c r="J40" i="40"/>
  <c r="H26" i="25"/>
  <c r="O66" i="25"/>
  <c r="AF82" i="14"/>
  <c r="G25" i="41"/>
  <c r="G60" i="25"/>
  <c r="B178" i="41"/>
  <c r="I16" i="50"/>
  <c r="N9" i="40"/>
  <c r="D48" i="50"/>
  <c r="I11" i="40"/>
  <c r="Q12" i="25"/>
  <c r="N52" i="42"/>
  <c r="L33" i="25"/>
  <c r="E36" i="49"/>
  <c r="EB14" i="1"/>
  <c r="G4" i="25"/>
  <c r="C81" i="47"/>
  <c r="B169" i="41"/>
  <c r="J58" i="40"/>
  <c r="R66" i="25"/>
  <c r="M16" i="42"/>
  <c r="K17" i="42"/>
  <c r="Q96" i="25"/>
  <c r="M173" i="40"/>
  <c r="D186" i="41"/>
  <c r="B174" i="48"/>
  <c r="N4" i="50"/>
  <c r="D131" i="42"/>
  <c r="N11" i="41"/>
  <c r="I90" i="25"/>
  <c r="H246" i="6"/>
  <c r="M176" i="48"/>
  <c r="C73" i="42"/>
  <c r="J69" i="40"/>
  <c r="D39" i="25"/>
  <c r="C185" i="48"/>
  <c r="H266" i="6"/>
  <c r="J9" i="43"/>
  <c r="J82" i="40"/>
  <c r="M186" i="47"/>
  <c r="K85" i="40"/>
  <c r="F69" i="50"/>
  <c r="N73" i="43"/>
  <c r="Q93" i="25"/>
  <c r="AF16" i="14"/>
  <c r="N29" i="25"/>
  <c r="E63" i="25"/>
  <c r="I76" i="41"/>
  <c r="K77" i="50"/>
  <c r="J58" i="43"/>
  <c r="G91" i="25"/>
  <c r="B60" i="43"/>
  <c r="O16" i="25"/>
  <c r="DW9" i="1"/>
  <c r="I79" i="40"/>
  <c r="M175" i="41"/>
  <c r="N14" i="48"/>
  <c r="B77" i="43"/>
  <c r="I68" i="40"/>
  <c r="J16" i="25"/>
  <c r="F77" i="42"/>
  <c r="M52" i="47"/>
  <c r="N44" i="50"/>
  <c r="C16" i="43"/>
  <c r="R30" i="25"/>
  <c r="N91" i="25"/>
  <c r="H395" i="6"/>
  <c r="H180" i="6"/>
  <c r="C38" i="43"/>
  <c r="K26" i="25"/>
  <c r="B19" i="47"/>
  <c r="S4" i="25"/>
  <c r="I21" i="50"/>
  <c r="N5" i="42"/>
  <c r="C22" i="19"/>
  <c r="O14" i="25"/>
  <c r="M2" i="41"/>
  <c r="G5" i="43"/>
  <c r="C29" i="40"/>
  <c r="Q31" i="25"/>
  <c r="H279" i="6"/>
  <c r="H404" i="6"/>
  <c r="Q82" i="25"/>
  <c r="G11" i="50"/>
  <c r="F36" i="40"/>
  <c r="M69" i="47"/>
  <c r="B7" i="40"/>
  <c r="M67" i="25"/>
  <c r="P7" i="25"/>
  <c r="J62" i="40"/>
  <c r="M37" i="42"/>
  <c r="J17" i="25"/>
  <c r="H147" i="6"/>
  <c r="L179" i="41"/>
  <c r="H277" i="6"/>
  <c r="D174" i="40"/>
  <c r="L76" i="25"/>
  <c r="G83" i="47"/>
  <c r="G69" i="48"/>
  <c r="R15" i="42"/>
  <c r="J18" i="42"/>
  <c r="F86" i="40"/>
  <c r="G75" i="50"/>
  <c r="M181" i="48"/>
  <c r="L13" i="25"/>
  <c r="M28" i="41"/>
  <c r="C69" i="41"/>
  <c r="N85" i="25"/>
  <c r="M185" i="40"/>
  <c r="G20" i="42"/>
  <c r="J24" i="25"/>
  <c r="M71" i="49"/>
  <c r="B68" i="49"/>
  <c r="G57" i="48"/>
  <c r="D72" i="25"/>
  <c r="B76" i="40"/>
  <c r="R10" i="25"/>
  <c r="M24" i="42"/>
  <c r="M41" i="43"/>
  <c r="H214" i="6"/>
  <c r="F25" i="41"/>
  <c r="B183" i="47"/>
  <c r="M13" i="43"/>
  <c r="I75" i="40"/>
  <c r="I88" i="40"/>
  <c r="N19" i="42"/>
  <c r="B74" i="41"/>
  <c r="A387" i="44"/>
  <c r="O35" i="25"/>
  <c r="B167" i="47"/>
  <c r="C61" i="47"/>
  <c r="J69" i="49"/>
  <c r="AF148" i="14"/>
  <c r="H39" i="25"/>
  <c r="B9" i="48"/>
  <c r="F8" i="25"/>
  <c r="C3" i="48"/>
  <c r="I15" i="47"/>
  <c r="J39" i="48"/>
  <c r="R87" i="25"/>
  <c r="M187" i="48"/>
  <c r="N22" i="25"/>
  <c r="M7" i="40"/>
  <c r="B132" i="49"/>
  <c r="N17" i="42"/>
  <c r="F59" i="41"/>
  <c r="N30" i="49"/>
  <c r="B124" i="50"/>
  <c r="M69" i="41"/>
  <c r="G38" i="40"/>
  <c r="C82" i="48"/>
  <c r="B11" i="50"/>
  <c r="J41" i="48"/>
  <c r="L29" i="25"/>
  <c r="N59" i="47"/>
  <c r="P49" i="25"/>
  <c r="H44" i="6"/>
  <c r="M58" i="49"/>
  <c r="C33" i="41"/>
  <c r="R17" i="25"/>
  <c r="M26" i="19"/>
  <c r="B35" i="43"/>
  <c r="I41" i="25"/>
  <c r="J45" i="25"/>
  <c r="M4" i="48"/>
  <c r="K75" i="50"/>
  <c r="F21" i="25"/>
  <c r="I39" i="43"/>
  <c r="C128" i="50"/>
  <c r="H210" i="6"/>
  <c r="I74" i="43"/>
  <c r="I57" i="49"/>
  <c r="Q55" i="25"/>
  <c r="J44" i="49"/>
  <c r="K86" i="47"/>
  <c r="B48" i="43"/>
  <c r="H94" i="25"/>
  <c r="B71" i="43"/>
  <c r="H202" i="6"/>
  <c r="G29" i="25"/>
  <c r="S29" i="25"/>
  <c r="B167" i="40"/>
  <c r="M18" i="25"/>
  <c r="F11" i="48"/>
  <c r="I28" i="42"/>
  <c r="M65" i="47"/>
  <c r="I30" i="48"/>
  <c r="N48" i="41"/>
  <c r="J40" i="47"/>
  <c r="F44" i="40"/>
  <c r="M76" i="25"/>
  <c r="I25" i="40"/>
  <c r="O90" i="25"/>
  <c r="H22" i="25"/>
  <c r="I66" i="25"/>
  <c r="J83" i="47"/>
  <c r="H9" i="6"/>
  <c r="G22" i="50"/>
  <c r="K13" i="25"/>
  <c r="N44" i="49"/>
  <c r="D36" i="43"/>
  <c r="G14" i="41"/>
  <c r="B29" i="48"/>
  <c r="J7" i="49"/>
  <c r="D11" i="43"/>
  <c r="N20" i="40"/>
  <c r="D146" i="47"/>
  <c r="C31" i="50"/>
  <c r="G76" i="25"/>
  <c r="J62" i="25"/>
  <c r="O25" i="25"/>
  <c r="G8" i="40"/>
  <c r="H436" i="6"/>
  <c r="O37" i="25"/>
  <c r="B186" i="40"/>
  <c r="D36" i="47"/>
  <c r="N32" i="48"/>
  <c r="D48" i="42"/>
  <c r="G16" i="40"/>
  <c r="K11" i="43"/>
  <c r="G21" i="25"/>
  <c r="K72" i="43"/>
  <c r="L168" i="41"/>
  <c r="J90" i="25"/>
  <c r="E73" i="25"/>
  <c r="M85" i="47"/>
  <c r="C129" i="50"/>
  <c r="J37" i="49"/>
  <c r="B36" i="49"/>
  <c r="R32" i="25"/>
  <c r="D59" i="25"/>
  <c r="F54" i="50"/>
  <c r="F49" i="42"/>
  <c r="J5" i="50"/>
  <c r="K18" i="49"/>
  <c r="B15" i="40"/>
  <c r="Q85" i="25"/>
  <c r="F25" i="25"/>
  <c r="B123" i="42"/>
  <c r="S30" i="25"/>
  <c r="F46" i="49"/>
  <c r="D31" i="49"/>
  <c r="S66" i="25"/>
  <c r="L26" i="25"/>
  <c r="C7" i="50"/>
  <c r="C82" i="40"/>
  <c r="A530" i="44"/>
  <c r="M168" i="41"/>
  <c r="J85" i="41"/>
  <c r="N40" i="49"/>
  <c r="N14" i="50"/>
  <c r="F35" i="48"/>
  <c r="C63" i="40"/>
  <c r="R81" i="25"/>
  <c r="AF144" i="14"/>
  <c r="H52" i="6"/>
  <c r="D69" i="25"/>
  <c r="C40" i="40"/>
  <c r="M32" i="48"/>
  <c r="J17" i="47"/>
  <c r="D173" i="47"/>
  <c r="G15" i="40"/>
  <c r="I42" i="43"/>
  <c r="D59" i="48"/>
  <c r="F58" i="47"/>
  <c r="AF111" i="14"/>
  <c r="N83" i="25"/>
  <c r="L91" i="25"/>
  <c r="M126" i="42"/>
  <c r="B181" i="48"/>
  <c r="J51" i="41"/>
  <c r="B131" i="50"/>
  <c r="E36" i="48"/>
  <c r="O82" i="25"/>
  <c r="AF18" i="14"/>
  <c r="A343" i="44"/>
  <c r="S18" i="25"/>
  <c r="J21" i="25"/>
  <c r="F88" i="47"/>
  <c r="C69" i="42"/>
  <c r="K86" i="40"/>
  <c r="B124" i="49"/>
  <c r="Q47" i="25"/>
  <c r="D22" i="40"/>
  <c r="C87" i="47"/>
  <c r="B5" i="42"/>
  <c r="J31" i="40"/>
  <c r="J11" i="25"/>
  <c r="I21" i="40"/>
  <c r="I65" i="25"/>
  <c r="I58" i="49"/>
  <c r="M176" i="40"/>
  <c r="K7" i="25"/>
  <c r="F68" i="50"/>
  <c r="I13" i="50"/>
  <c r="J12" i="25"/>
  <c r="N16" i="50"/>
  <c r="D76" i="43"/>
  <c r="I6" i="50"/>
  <c r="J20" i="50"/>
  <c r="C131" i="49"/>
  <c r="F76" i="25"/>
  <c r="H234" i="6"/>
  <c r="C174" i="48"/>
  <c r="C74" i="42"/>
  <c r="L48" i="25"/>
  <c r="M29" i="40"/>
  <c r="G15" i="25"/>
  <c r="C37" i="42"/>
  <c r="G68" i="48"/>
  <c r="G44" i="25"/>
  <c r="B84" i="47"/>
  <c r="K55" i="42"/>
  <c r="J8" i="40"/>
  <c r="P42" i="25"/>
  <c r="F10" i="40"/>
  <c r="G15" i="42"/>
  <c r="J59" i="48"/>
  <c r="H83" i="25"/>
  <c r="D88" i="25"/>
  <c r="D74" i="50"/>
  <c r="N18" i="50"/>
  <c r="K72" i="50"/>
  <c r="J72" i="50"/>
  <c r="B171" i="48"/>
  <c r="R15" i="25"/>
  <c r="H105" i="6"/>
  <c r="H364" i="6"/>
  <c r="B76" i="43"/>
  <c r="M31" i="25"/>
  <c r="N11" i="48"/>
  <c r="C172" i="40"/>
  <c r="C38" i="42"/>
  <c r="F15" i="40"/>
  <c r="J29" i="42"/>
  <c r="S46" i="25"/>
  <c r="D49" i="25"/>
  <c r="S64" i="25"/>
  <c r="J22" i="50"/>
  <c r="K44" i="49"/>
  <c r="E58" i="42"/>
  <c r="H403" i="6"/>
  <c r="F40" i="25"/>
  <c r="H92" i="25"/>
  <c r="B74" i="49"/>
  <c r="H46" i="25"/>
  <c r="H205" i="6"/>
  <c r="N98" i="25"/>
  <c r="B185" i="41"/>
  <c r="F71" i="49"/>
  <c r="O31" i="25"/>
  <c r="F43" i="47"/>
  <c r="D175" i="48"/>
  <c r="M8" i="25"/>
  <c r="J38" i="49"/>
  <c r="F19" i="25"/>
  <c r="I8" i="42"/>
  <c r="P71" i="25"/>
  <c r="F77" i="43"/>
  <c r="C86" i="47"/>
  <c r="K62" i="47"/>
  <c r="G79" i="47"/>
  <c r="M15" i="50"/>
  <c r="H330" i="6"/>
  <c r="L61" i="25"/>
  <c r="L3" i="40"/>
  <c r="J18" i="50"/>
  <c r="J25" i="40"/>
  <c r="N64" i="47"/>
  <c r="A90" i="44"/>
  <c r="F13" i="25"/>
  <c r="G24" i="42"/>
  <c r="I35" i="42"/>
  <c r="A134" i="44"/>
  <c r="L84" i="25"/>
  <c r="D88" i="40"/>
  <c r="C18" i="19"/>
  <c r="M184" i="40"/>
  <c r="J37" i="40"/>
  <c r="G21" i="50"/>
  <c r="H371" i="6"/>
  <c r="Q32" i="25"/>
  <c r="L31" i="25"/>
  <c r="B87" i="40"/>
  <c r="G63" i="25"/>
  <c r="B79" i="47"/>
  <c r="G60" i="48"/>
  <c r="M170" i="41"/>
  <c r="H23" i="25"/>
  <c r="D18" i="48"/>
  <c r="I82" i="47"/>
  <c r="I23" i="25"/>
  <c r="B59" i="48"/>
  <c r="L168" i="47"/>
  <c r="N40" i="40"/>
  <c r="N35" i="25"/>
  <c r="H98" i="25"/>
  <c r="I70" i="47"/>
  <c r="I38" i="50"/>
  <c r="P18" i="25"/>
  <c r="I9" i="50"/>
  <c r="B18" i="48"/>
  <c r="Q41" i="25"/>
  <c r="G18" i="25"/>
  <c r="N75" i="25"/>
  <c r="D18" i="50"/>
  <c r="F73" i="43"/>
  <c r="M11" i="42"/>
  <c r="M73" i="25"/>
  <c r="S38" i="25"/>
  <c r="E69" i="50"/>
  <c r="M29" i="50"/>
  <c r="H145" i="6"/>
  <c r="DW6" i="1"/>
  <c r="G58" i="49"/>
  <c r="M146" i="47"/>
  <c r="F18" i="49"/>
  <c r="B42" i="48"/>
  <c r="M16" i="40"/>
  <c r="R39" i="25"/>
  <c r="M31" i="42"/>
  <c r="B32" i="41"/>
  <c r="B57" i="48"/>
  <c r="J25" i="43"/>
  <c r="H502" i="6"/>
  <c r="M128" i="43"/>
  <c r="C132" i="43"/>
  <c r="H87" i="25"/>
  <c r="K76" i="49"/>
  <c r="D18" i="25"/>
  <c r="C73" i="49"/>
  <c r="F32" i="42"/>
  <c r="M90" i="25"/>
  <c r="M16" i="25"/>
  <c r="I36" i="43"/>
  <c r="K31" i="41"/>
  <c r="H458" i="6"/>
  <c r="P43" i="25"/>
  <c r="S45" i="25"/>
  <c r="EB36" i="1"/>
  <c r="G88" i="40"/>
  <c r="D183" i="47"/>
  <c r="K43" i="48"/>
  <c r="M31" i="41"/>
  <c r="N22" i="41"/>
  <c r="D41" i="42"/>
  <c r="G77" i="42"/>
  <c r="K58" i="43"/>
  <c r="L99" i="25"/>
  <c r="L86" i="25"/>
  <c r="D132" i="42"/>
  <c r="AF11" i="14"/>
  <c r="K11" i="40"/>
  <c r="F22" i="25"/>
  <c r="N75" i="42"/>
  <c r="B17" i="48"/>
  <c r="M51" i="41"/>
  <c r="G41" i="25"/>
  <c r="N47" i="25"/>
  <c r="R169" i="41"/>
  <c r="I10" i="25"/>
  <c r="B42" i="42"/>
  <c r="M29" i="25"/>
  <c r="M132" i="43"/>
  <c r="H493" i="6"/>
  <c r="I98" i="25"/>
  <c r="H41" i="6"/>
  <c r="E9" i="25"/>
  <c r="B87" i="47"/>
  <c r="M24" i="25"/>
  <c r="J26" i="19"/>
  <c r="G62" i="47"/>
  <c r="I27" i="42"/>
  <c r="I72" i="40"/>
  <c r="C10" i="50"/>
  <c r="N8" i="42"/>
  <c r="D65" i="47"/>
  <c r="F38" i="41"/>
  <c r="R48" i="49"/>
  <c r="I65" i="50"/>
  <c r="A398" i="44"/>
  <c r="O68" i="25"/>
  <c r="J6" i="25"/>
  <c r="K34" i="25"/>
  <c r="G27" i="42"/>
  <c r="M179" i="40"/>
  <c r="N3" i="40"/>
  <c r="B17" i="47"/>
  <c r="B44" i="50"/>
  <c r="N69" i="25"/>
  <c r="R15" i="43"/>
  <c r="D49" i="42"/>
  <c r="R75" i="25"/>
  <c r="M181" i="40"/>
  <c r="C172" i="48"/>
  <c r="L37" i="25"/>
  <c r="B42" i="43"/>
  <c r="I54" i="49"/>
  <c r="N90" i="25"/>
  <c r="I71" i="47"/>
  <c r="B40" i="47"/>
  <c r="G54" i="42"/>
  <c r="H464" i="6"/>
  <c r="D44" i="49"/>
  <c r="F47" i="25"/>
  <c r="G21" i="41"/>
  <c r="E37" i="25"/>
  <c r="F69" i="25"/>
  <c r="L58" i="48"/>
  <c r="G96" i="25"/>
  <c r="D37" i="25"/>
  <c r="B51" i="50"/>
  <c r="B169" i="47"/>
  <c r="G40" i="43"/>
  <c r="K19" i="50"/>
  <c r="K88" i="47"/>
  <c r="M44" i="43"/>
  <c r="H13" i="25"/>
  <c r="F39" i="40"/>
  <c r="K30" i="42"/>
  <c r="G32" i="40"/>
  <c r="D96" i="25"/>
  <c r="K81" i="25"/>
  <c r="C76" i="50"/>
  <c r="F17" i="25"/>
  <c r="I11" i="25"/>
  <c r="B16" i="40"/>
  <c r="I66" i="49"/>
  <c r="D50" i="50"/>
  <c r="F29" i="25"/>
  <c r="I59" i="43"/>
  <c r="J4" i="25"/>
  <c r="M179" i="47"/>
  <c r="J70" i="49"/>
  <c r="I66" i="43"/>
  <c r="J38" i="43"/>
  <c r="D11" i="40"/>
  <c r="AF140" i="14"/>
  <c r="I36" i="49"/>
  <c r="I33" i="50"/>
  <c r="G25" i="42"/>
  <c r="N59" i="48"/>
  <c r="I37" i="47"/>
  <c r="J22" i="25"/>
  <c r="N21" i="43"/>
  <c r="Q58" i="25"/>
  <c r="L81" i="25"/>
  <c r="J77" i="49"/>
  <c r="B180" i="40"/>
  <c r="D62" i="25"/>
  <c r="L36" i="49"/>
  <c r="C44" i="43"/>
  <c r="B42" i="50"/>
  <c r="K21" i="50"/>
  <c r="G28" i="41"/>
  <c r="H265" i="6"/>
  <c r="I73" i="42"/>
  <c r="G38" i="49"/>
  <c r="F44" i="43"/>
  <c r="N62" i="41"/>
  <c r="B8" i="40"/>
  <c r="N14" i="40"/>
  <c r="B173" i="40"/>
  <c r="D4" i="25"/>
  <c r="G39" i="49"/>
  <c r="G87" i="47"/>
  <c r="I27" i="41"/>
  <c r="I25" i="41"/>
  <c r="Q34" i="25"/>
  <c r="F71" i="42"/>
  <c r="H207" i="6"/>
  <c r="S42" i="25"/>
  <c r="G41" i="50"/>
  <c r="J98" i="25"/>
  <c r="E49" i="25"/>
  <c r="M43" i="49"/>
  <c r="K32" i="41"/>
  <c r="D21" i="50"/>
  <c r="J42" i="43"/>
  <c r="F86" i="48"/>
  <c r="E3" i="43"/>
  <c r="E45" i="25"/>
  <c r="O11" i="25"/>
  <c r="N58" i="43"/>
  <c r="H178" i="6"/>
  <c r="M22" i="42"/>
  <c r="J33" i="41"/>
  <c r="B77" i="41"/>
  <c r="F15" i="50"/>
  <c r="L22" i="25"/>
  <c r="O32" i="25"/>
  <c r="L80" i="40"/>
  <c r="O33" i="25"/>
  <c r="I43" i="25"/>
  <c r="M16" i="50"/>
  <c r="O58" i="25"/>
  <c r="K83" i="25"/>
  <c r="J95" i="25"/>
  <c r="B7" i="41"/>
  <c r="J48" i="25"/>
  <c r="H18" i="25"/>
  <c r="M125" i="42"/>
  <c r="F146" i="47"/>
  <c r="M70" i="50"/>
  <c r="B172" i="41"/>
  <c r="H140" i="6"/>
  <c r="R48" i="25"/>
  <c r="C28" i="41"/>
  <c r="D15" i="25"/>
  <c r="F26" i="25"/>
  <c r="I4" i="40"/>
  <c r="G63" i="48"/>
  <c r="N82" i="47"/>
  <c r="J76" i="25"/>
  <c r="B167" i="48"/>
  <c r="N11" i="40"/>
  <c r="H428" i="6"/>
  <c r="G51" i="49"/>
  <c r="B47" i="42"/>
  <c r="D187" i="40"/>
  <c r="B178" i="47"/>
  <c r="C180" i="48"/>
  <c r="J81" i="40"/>
  <c r="I25" i="25"/>
  <c r="O7" i="25"/>
  <c r="M39" i="43"/>
  <c r="G61" i="25"/>
  <c r="G68" i="42"/>
  <c r="C76" i="42"/>
  <c r="F83" i="40"/>
  <c r="AF181" i="14"/>
  <c r="C40" i="42"/>
  <c r="I60" i="41"/>
  <c r="DW24" i="1"/>
  <c r="H76" i="25"/>
  <c r="F42" i="47"/>
  <c r="M7" i="49"/>
  <c r="J74" i="50"/>
  <c r="J43" i="43"/>
  <c r="B72" i="43"/>
  <c r="C70" i="43"/>
  <c r="B72" i="41"/>
  <c r="K75" i="43"/>
  <c r="J93" i="25"/>
  <c r="J66" i="25"/>
  <c r="P9" i="25"/>
  <c r="B187" i="41"/>
  <c r="K15" i="42"/>
  <c r="B68" i="50"/>
  <c r="J85" i="25"/>
  <c r="M75" i="49"/>
  <c r="H338" i="6"/>
  <c r="M94" i="25"/>
  <c r="B27" i="49"/>
  <c r="H115" i="6"/>
  <c r="J76" i="49"/>
  <c r="C128" i="42"/>
  <c r="G73" i="42"/>
  <c r="H374" i="6"/>
  <c r="C183" i="41"/>
  <c r="I20" i="50"/>
  <c r="N69" i="48"/>
  <c r="F46" i="42"/>
  <c r="F69" i="47"/>
  <c r="F51" i="50"/>
  <c r="B25" i="47"/>
  <c r="R81" i="41"/>
  <c r="I7" i="43"/>
  <c r="G29" i="43"/>
  <c r="N30" i="47"/>
  <c r="S19" i="25"/>
  <c r="F88" i="40"/>
  <c r="N22" i="40"/>
  <c r="G36" i="48"/>
  <c r="N48" i="50"/>
  <c r="I2" i="40"/>
  <c r="B8" i="50"/>
  <c r="K39" i="50"/>
  <c r="I26" i="41"/>
  <c r="C173" i="41"/>
  <c r="B15" i="49"/>
  <c r="G20" i="50"/>
  <c r="I8" i="43"/>
  <c r="J49" i="48"/>
  <c r="C83" i="41"/>
  <c r="B11" i="43"/>
  <c r="K61" i="41"/>
  <c r="M51" i="49"/>
  <c r="DW11" i="1"/>
  <c r="G84" i="41"/>
  <c r="N38" i="50"/>
  <c r="I13" i="25"/>
  <c r="M10" i="41"/>
  <c r="C47" i="47"/>
  <c r="F40" i="42"/>
  <c r="G82" i="47"/>
  <c r="G6" i="42"/>
  <c r="I15" i="41"/>
  <c r="K39" i="43"/>
  <c r="N9" i="48"/>
  <c r="N5" i="43"/>
  <c r="N21" i="41"/>
  <c r="F87" i="48"/>
  <c r="G53" i="43"/>
  <c r="M182" i="48"/>
  <c r="M44" i="47"/>
  <c r="N12" i="25"/>
  <c r="Q92" i="25"/>
  <c r="G26" i="50"/>
  <c r="J17" i="49"/>
  <c r="F8" i="41"/>
  <c r="D86" i="48"/>
  <c r="M65" i="40"/>
  <c r="J10" i="48"/>
  <c r="B25" i="40"/>
  <c r="F50" i="47"/>
  <c r="B7" i="12"/>
  <c r="M32" i="50"/>
  <c r="B19" i="48"/>
  <c r="I57" i="41"/>
  <c r="D14" i="40"/>
  <c r="H182" i="6"/>
  <c r="R37" i="25"/>
  <c r="F25" i="42"/>
  <c r="F53" i="49"/>
  <c r="C38" i="47"/>
  <c r="A431" i="44"/>
  <c r="P38" i="25"/>
  <c r="J36" i="49"/>
  <c r="B57" i="49"/>
  <c r="M11" i="48"/>
  <c r="N60" i="40"/>
  <c r="B20" i="48"/>
  <c r="C44" i="48"/>
  <c r="M20" i="40"/>
  <c r="D17" i="41"/>
  <c r="N7" i="48"/>
  <c r="F2" i="49"/>
  <c r="K25" i="50"/>
  <c r="F48" i="48"/>
  <c r="G33" i="40"/>
  <c r="E47" i="47"/>
  <c r="F88" i="48"/>
  <c r="F25" i="43"/>
  <c r="J42" i="48"/>
  <c r="I71" i="25"/>
  <c r="G11" i="49"/>
  <c r="G87" i="48"/>
  <c r="D25" i="43"/>
  <c r="K33" i="48"/>
  <c r="F42" i="19"/>
  <c r="D59" i="47"/>
  <c r="B50" i="50"/>
  <c r="F61" i="48"/>
  <c r="N54" i="49"/>
  <c r="H10" i="25"/>
  <c r="C128" i="49"/>
  <c r="B31" i="41"/>
  <c r="I33" i="43"/>
  <c r="Q67" i="25"/>
  <c r="N5" i="48"/>
  <c r="M21" i="47"/>
  <c r="P55" i="25"/>
  <c r="J76" i="40"/>
  <c r="K5" i="25"/>
  <c r="B77" i="42"/>
  <c r="B38" i="43"/>
  <c r="B17" i="49"/>
  <c r="EB4" i="1"/>
  <c r="F37" i="25"/>
  <c r="G40" i="50"/>
  <c r="K36" i="25"/>
  <c r="F18" i="43"/>
  <c r="H264" i="6"/>
  <c r="P64" i="25"/>
  <c r="K22" i="43"/>
  <c r="M76" i="49"/>
  <c r="F10" i="25"/>
  <c r="D75" i="43"/>
  <c r="Q36" i="25"/>
  <c r="J65" i="48"/>
  <c r="E81" i="25"/>
  <c r="H306" i="6"/>
  <c r="D80" i="47"/>
  <c r="L44" i="25"/>
  <c r="D69" i="48"/>
  <c r="K56" i="25"/>
  <c r="B10" i="40"/>
  <c r="R37" i="47"/>
  <c r="M12" i="25"/>
  <c r="F36" i="50"/>
  <c r="D31" i="48"/>
  <c r="K11" i="49"/>
  <c r="F36" i="41"/>
  <c r="N54" i="42"/>
  <c r="M28" i="47"/>
  <c r="G16" i="41"/>
  <c r="C47" i="41"/>
  <c r="N53" i="40"/>
  <c r="M30" i="40"/>
  <c r="K48" i="50"/>
  <c r="K84" i="47"/>
  <c r="G33" i="42"/>
  <c r="DW37" i="1"/>
  <c r="C124" i="42"/>
  <c r="J15" i="40"/>
  <c r="J19" i="49"/>
  <c r="N38" i="48"/>
  <c r="N74" i="50"/>
  <c r="I2" i="49"/>
  <c r="G7" i="42"/>
  <c r="D19" i="48"/>
  <c r="N26" i="50"/>
  <c r="R26" i="43"/>
  <c r="N44" i="48"/>
  <c r="I10" i="49"/>
  <c r="I17" i="42"/>
  <c r="B126" i="42"/>
  <c r="DW7" i="1"/>
  <c r="L124" i="49"/>
  <c r="B50" i="42"/>
  <c r="H45" i="25"/>
  <c r="E58" i="48"/>
  <c r="N84" i="40"/>
  <c r="N51" i="40"/>
  <c r="E14" i="47"/>
  <c r="I39" i="50"/>
  <c r="F49" i="48"/>
  <c r="G46" i="40"/>
  <c r="B52" i="40"/>
  <c r="J28" i="48"/>
  <c r="F61" i="41"/>
  <c r="G3" i="48"/>
  <c r="I39" i="47"/>
  <c r="P47" i="25"/>
  <c r="B10" i="48"/>
  <c r="F75" i="42"/>
  <c r="D3" i="48"/>
  <c r="M29" i="19"/>
  <c r="J48" i="47"/>
  <c r="I41" i="48"/>
  <c r="I46" i="43"/>
  <c r="G6" i="48"/>
  <c r="M2" i="47"/>
  <c r="D65" i="40"/>
  <c r="N49" i="43"/>
  <c r="N50" i="42"/>
  <c r="K22" i="42"/>
  <c r="N88" i="47"/>
  <c r="O22" i="25"/>
  <c r="H139" i="6"/>
  <c r="N75" i="43"/>
  <c r="G21" i="40"/>
  <c r="I14" i="50"/>
  <c r="D43" i="47"/>
  <c r="D3" i="50"/>
  <c r="R25" i="25"/>
  <c r="M66" i="47"/>
  <c r="J27" i="50"/>
  <c r="B10" i="47"/>
  <c r="R59" i="25"/>
  <c r="N10" i="48"/>
  <c r="N6" i="40"/>
  <c r="D15" i="42"/>
  <c r="F146" i="40"/>
  <c r="J25" i="41"/>
  <c r="I32" i="49"/>
  <c r="S80" i="25"/>
  <c r="K14" i="50"/>
  <c r="L85" i="25"/>
  <c r="EB35" i="1"/>
  <c r="M179" i="41"/>
  <c r="I39" i="25"/>
  <c r="AF42" i="14"/>
  <c r="S6" i="25"/>
  <c r="L14" i="47"/>
  <c r="N37" i="47"/>
  <c r="J20" i="49"/>
  <c r="I63" i="42"/>
  <c r="H81" i="6"/>
  <c r="B182" i="48"/>
  <c r="H331" i="6"/>
  <c r="M30" i="42"/>
  <c r="R70" i="43"/>
  <c r="B35" i="47"/>
  <c r="B41" i="40"/>
  <c r="P86" i="25"/>
  <c r="H237" i="6"/>
  <c r="H143" i="6"/>
  <c r="EB24" i="1"/>
  <c r="D17" i="25"/>
  <c r="I63" i="48"/>
  <c r="M127" i="49"/>
  <c r="M8" i="42"/>
  <c r="B26" i="42"/>
  <c r="L54" i="25"/>
  <c r="K16" i="50"/>
  <c r="C61" i="43"/>
  <c r="O39" i="25"/>
  <c r="M87" i="40"/>
  <c r="M182" i="47"/>
  <c r="C27" i="40"/>
  <c r="J47" i="49"/>
  <c r="D25" i="42"/>
  <c r="N17" i="48"/>
  <c r="I38" i="41"/>
  <c r="H369" i="6"/>
  <c r="S44" i="25"/>
  <c r="M40" i="49"/>
  <c r="I13" i="47"/>
  <c r="D44" i="48"/>
  <c r="C52" i="43"/>
  <c r="I37" i="40"/>
  <c r="G7" i="43"/>
  <c r="B11" i="48"/>
  <c r="I10" i="41"/>
  <c r="K44" i="42"/>
  <c r="F44" i="41"/>
  <c r="R48" i="42"/>
  <c r="R26" i="47"/>
  <c r="N88" i="40"/>
  <c r="E47" i="42"/>
  <c r="F32" i="25"/>
  <c r="G46" i="41"/>
  <c r="M13" i="25"/>
  <c r="G9" i="50"/>
  <c r="M84" i="47"/>
  <c r="J27" i="41"/>
  <c r="J73" i="42"/>
  <c r="F26" i="43"/>
  <c r="B5" i="49"/>
  <c r="C22" i="49"/>
  <c r="K36" i="47"/>
  <c r="G14" i="43"/>
  <c r="J43" i="41"/>
  <c r="I50" i="41"/>
  <c r="M24" i="48"/>
  <c r="C29" i="41"/>
  <c r="M64" i="47"/>
  <c r="G19" i="42"/>
  <c r="C39" i="43"/>
  <c r="M171" i="41"/>
  <c r="B131" i="42"/>
  <c r="B54" i="42"/>
  <c r="G86" i="40"/>
  <c r="R4" i="42"/>
  <c r="I33" i="47"/>
  <c r="I17" i="40"/>
  <c r="F3" i="49"/>
  <c r="D51" i="43"/>
  <c r="C41" i="48"/>
  <c r="F14" i="48"/>
  <c r="L36" i="48"/>
  <c r="C131" i="42"/>
  <c r="I30" i="41"/>
  <c r="F43" i="43"/>
  <c r="H494" i="6"/>
  <c r="J39" i="40"/>
  <c r="C5" i="42"/>
  <c r="C63" i="48"/>
  <c r="D50" i="43"/>
  <c r="F51" i="41"/>
  <c r="D87" i="48"/>
  <c r="G15" i="41"/>
  <c r="I26" i="43"/>
  <c r="D21" i="43"/>
  <c r="I5" i="47"/>
  <c r="I29" i="42"/>
  <c r="C33" i="42"/>
  <c r="N21" i="42"/>
  <c r="B28" i="48"/>
  <c r="E8" i="43"/>
  <c r="M171" i="48"/>
  <c r="I18" i="40"/>
  <c r="M73" i="49"/>
  <c r="C28" i="49"/>
  <c r="R26" i="25"/>
  <c r="C8" i="40"/>
  <c r="F34" i="25"/>
  <c r="I24" i="42"/>
  <c r="P97" i="25"/>
  <c r="O84" i="25"/>
  <c r="B72" i="48"/>
  <c r="R42" i="25"/>
  <c r="G54" i="48"/>
  <c r="F13" i="41"/>
  <c r="I44" i="50"/>
  <c r="B26" i="49"/>
  <c r="N49" i="42"/>
  <c r="L25" i="41"/>
  <c r="K20" i="47"/>
  <c r="K51" i="50"/>
  <c r="L41" i="25"/>
  <c r="M40" i="40"/>
  <c r="B65" i="48"/>
  <c r="F33" i="49"/>
  <c r="C4" i="49"/>
  <c r="N31" i="40"/>
  <c r="C39" i="42"/>
  <c r="F20" i="48"/>
  <c r="G47" i="47"/>
  <c r="L25" i="48"/>
  <c r="B37" i="48"/>
  <c r="D18" i="40"/>
  <c r="M4" i="42"/>
  <c r="N27" i="50"/>
  <c r="B25" i="43"/>
  <c r="N15" i="41"/>
  <c r="I50" i="50"/>
  <c r="G52" i="49"/>
  <c r="E47" i="41"/>
  <c r="C15" i="19"/>
  <c r="N25" i="48"/>
  <c r="C32" i="49"/>
  <c r="B57" i="40"/>
  <c r="F32" i="50"/>
  <c r="J22" i="48"/>
  <c r="J9" i="42"/>
  <c r="D16" i="49"/>
  <c r="D32" i="43"/>
  <c r="N62" i="47"/>
  <c r="I35" i="41"/>
  <c r="G64" i="47"/>
  <c r="M2" i="49"/>
  <c r="N36" i="42"/>
  <c r="I44" i="41"/>
  <c r="M15" i="41"/>
  <c r="C4" i="43"/>
  <c r="N44" i="41"/>
  <c r="F9" i="41"/>
  <c r="I66" i="41"/>
  <c r="M86" i="41"/>
  <c r="G84" i="48"/>
  <c r="M49" i="50"/>
  <c r="D25" i="40"/>
  <c r="M41" i="42"/>
  <c r="K42" i="19"/>
  <c r="K61" i="48"/>
  <c r="B11" i="49"/>
  <c r="K48" i="25"/>
  <c r="N20" i="41"/>
  <c r="C80" i="47"/>
  <c r="I41" i="42"/>
  <c r="K49" i="49"/>
  <c r="J60" i="47"/>
  <c r="B179" i="41"/>
  <c r="N4" i="48"/>
  <c r="C49" i="40"/>
  <c r="J31" i="48"/>
  <c r="M62" i="40"/>
  <c r="K55" i="41"/>
  <c r="G60" i="47"/>
  <c r="N54" i="40"/>
  <c r="G146" i="48"/>
  <c r="B39" i="41"/>
  <c r="C11" i="49"/>
  <c r="J84" i="48"/>
  <c r="J47" i="40"/>
  <c r="N30" i="40"/>
  <c r="G50" i="48"/>
  <c r="I48" i="42"/>
  <c r="C44" i="42"/>
  <c r="C10" i="48"/>
  <c r="B31" i="47"/>
  <c r="B47" i="40"/>
  <c r="F14" i="43"/>
  <c r="C25" i="49"/>
  <c r="N36" i="49"/>
  <c r="K60" i="40"/>
  <c r="F44" i="50"/>
  <c r="K87" i="48"/>
  <c r="M48" i="40"/>
  <c r="N48" i="40"/>
  <c r="C10" i="49"/>
  <c r="J81" i="48"/>
  <c r="I7" i="41"/>
  <c r="E29" i="48"/>
  <c r="E3" i="41"/>
  <c r="B51" i="43"/>
  <c r="L36" i="41"/>
  <c r="F46" i="43"/>
  <c r="K9" i="41"/>
  <c r="D31" i="50"/>
  <c r="F20" i="43"/>
  <c r="B31" i="43"/>
  <c r="G47" i="42"/>
  <c r="F63" i="40"/>
  <c r="F39" i="42"/>
  <c r="N33" i="47"/>
  <c r="D9" i="41"/>
  <c r="K65" i="48"/>
  <c r="C11" i="48"/>
  <c r="K19" i="47"/>
  <c r="F3" i="48"/>
  <c r="D38" i="25"/>
  <c r="S31" i="25"/>
  <c r="M36" i="40"/>
  <c r="J21" i="40"/>
  <c r="D3" i="49"/>
  <c r="B16" i="48"/>
  <c r="B18" i="49"/>
  <c r="I59" i="41"/>
  <c r="G68" i="47"/>
  <c r="B179" i="47"/>
  <c r="C184" i="48"/>
  <c r="M76" i="43"/>
  <c r="P6" i="25"/>
  <c r="B75" i="49"/>
  <c r="J86" i="40"/>
  <c r="K73" i="50"/>
  <c r="C124" i="43"/>
  <c r="O23" i="25"/>
  <c r="G74" i="25"/>
  <c r="I71" i="43"/>
  <c r="G44" i="50"/>
  <c r="J53" i="50"/>
  <c r="M26" i="25"/>
  <c r="C44" i="49"/>
  <c r="K98" i="25"/>
  <c r="C132" i="49"/>
  <c r="K54" i="50"/>
  <c r="I79" i="47"/>
  <c r="B71" i="49"/>
  <c r="J73" i="48"/>
  <c r="K21" i="25"/>
  <c r="J15" i="49"/>
  <c r="D75" i="25"/>
  <c r="M28" i="42"/>
  <c r="C7" i="48"/>
  <c r="C53" i="50"/>
  <c r="G76" i="49"/>
  <c r="J61" i="48"/>
  <c r="G57" i="47"/>
  <c r="C168" i="41"/>
  <c r="H43" i="25"/>
  <c r="G24" i="25"/>
  <c r="N18" i="43"/>
  <c r="F16" i="47"/>
  <c r="C14" i="42"/>
  <c r="C174" i="41"/>
  <c r="M33" i="40"/>
  <c r="F49" i="25"/>
  <c r="AF10" i="14"/>
  <c r="B77" i="40"/>
  <c r="F83" i="47"/>
  <c r="H467" i="6"/>
  <c r="F69" i="40"/>
  <c r="B50" i="41"/>
  <c r="B128" i="50"/>
  <c r="B85" i="47"/>
  <c r="H309" i="6"/>
  <c r="N17" i="50"/>
  <c r="F20" i="47"/>
  <c r="D44" i="47"/>
  <c r="E90" i="25"/>
  <c r="C176" i="40"/>
  <c r="Q25" i="25"/>
  <c r="B15" i="50"/>
  <c r="F19" i="42"/>
  <c r="B72" i="40"/>
  <c r="M131" i="50"/>
  <c r="D32" i="42"/>
  <c r="EB31" i="1"/>
  <c r="F29" i="42"/>
  <c r="B173" i="47"/>
  <c r="E14" i="50"/>
  <c r="I18" i="50"/>
  <c r="D14" i="43"/>
  <c r="D31" i="43"/>
  <c r="G76" i="42"/>
  <c r="EB9" i="1"/>
  <c r="D44" i="43"/>
  <c r="C11" i="50"/>
  <c r="J53" i="42"/>
  <c r="B75" i="48"/>
  <c r="B2" i="48"/>
  <c r="G82" i="48"/>
  <c r="I49" i="47"/>
  <c r="B7" i="50"/>
  <c r="C36" i="42"/>
  <c r="F62" i="47"/>
  <c r="G51" i="50"/>
  <c r="B46" i="40"/>
  <c r="M19" i="25"/>
  <c r="G15" i="43"/>
  <c r="K64" i="40"/>
  <c r="I14" i="42"/>
  <c r="M8" i="41"/>
  <c r="B53" i="41"/>
  <c r="G42" i="42"/>
  <c r="R125" i="50"/>
  <c r="J32" i="48"/>
  <c r="EB38" i="1"/>
  <c r="D9" i="48"/>
  <c r="G3" i="50"/>
  <c r="I75" i="41"/>
  <c r="C43" i="48"/>
  <c r="K41" i="50"/>
  <c r="J51" i="47"/>
  <c r="I9" i="40"/>
  <c r="J15" i="42"/>
  <c r="N66" i="48"/>
  <c r="F20" i="40"/>
  <c r="B5" i="47"/>
  <c r="S16" i="25"/>
  <c r="C54" i="48"/>
  <c r="B30" i="48"/>
  <c r="N41" i="48"/>
  <c r="C27" i="50"/>
  <c r="J18" i="47"/>
  <c r="K25" i="43"/>
  <c r="B41" i="50"/>
  <c r="D55" i="48"/>
  <c r="E41" i="47"/>
  <c r="N11" i="47"/>
  <c r="F79" i="48"/>
  <c r="B41" i="47"/>
  <c r="C173" i="40"/>
  <c r="R5" i="25"/>
  <c r="F36" i="47"/>
  <c r="C181" i="47"/>
  <c r="N51" i="42"/>
  <c r="C38" i="40"/>
  <c r="B15" i="47"/>
  <c r="D187" i="41"/>
  <c r="F85" i="40"/>
  <c r="M27" i="50"/>
  <c r="M53" i="42"/>
  <c r="J44" i="41"/>
  <c r="E3" i="47"/>
  <c r="B42" i="47"/>
  <c r="R20" i="25"/>
  <c r="M184" i="47"/>
  <c r="M124" i="42"/>
  <c r="C15" i="47"/>
  <c r="G44" i="47"/>
  <c r="G24" i="40"/>
  <c r="B28" i="47"/>
  <c r="J66" i="48"/>
  <c r="N36" i="43"/>
  <c r="J30" i="49"/>
  <c r="M22" i="47"/>
  <c r="G88" i="41"/>
  <c r="F57" i="41"/>
  <c r="N66" i="47"/>
  <c r="N11" i="49"/>
  <c r="D58" i="41"/>
  <c r="B13" i="41"/>
  <c r="D18" i="47"/>
  <c r="F40" i="40"/>
  <c r="D48" i="43"/>
  <c r="F57" i="48"/>
  <c r="N60" i="41"/>
  <c r="N55" i="43"/>
  <c r="J19" i="40"/>
  <c r="I24" i="49"/>
  <c r="K54" i="43"/>
  <c r="B64" i="41"/>
  <c r="K52" i="48"/>
  <c r="K15" i="48"/>
  <c r="M26" i="40"/>
  <c r="F86" i="41"/>
  <c r="M17" i="48"/>
  <c r="C50" i="48"/>
  <c r="F44" i="25"/>
  <c r="N74" i="42"/>
  <c r="D18" i="42"/>
  <c r="I11" i="42"/>
  <c r="K54" i="48"/>
  <c r="Q74" i="25"/>
  <c r="N52" i="41"/>
  <c r="P39" i="25"/>
  <c r="H245" i="6"/>
  <c r="J72" i="42"/>
  <c r="B69" i="50"/>
  <c r="M128" i="42"/>
  <c r="D44" i="40"/>
  <c r="N42" i="42"/>
  <c r="M88" i="25"/>
  <c r="R93" i="25"/>
  <c r="C11" i="42"/>
  <c r="C182" i="40"/>
  <c r="M9" i="42"/>
  <c r="F79" i="40"/>
  <c r="I15" i="42"/>
  <c r="B168" i="40"/>
  <c r="F58" i="25"/>
  <c r="M127" i="43"/>
  <c r="D9" i="40"/>
  <c r="B20" i="40"/>
  <c r="D174" i="41"/>
  <c r="O73" i="25"/>
  <c r="M187" i="40"/>
  <c r="J72" i="43"/>
  <c r="L47" i="25"/>
  <c r="M14" i="42"/>
  <c r="J25" i="25"/>
  <c r="B6" i="40"/>
  <c r="I8" i="48"/>
  <c r="C39" i="49"/>
  <c r="N15" i="48"/>
  <c r="N31" i="42"/>
  <c r="I48" i="48"/>
  <c r="J42" i="42"/>
  <c r="K55" i="40"/>
  <c r="B82" i="40"/>
  <c r="D54" i="43"/>
  <c r="G14" i="47"/>
  <c r="M50" i="43"/>
  <c r="B33" i="40"/>
  <c r="M54" i="47"/>
  <c r="B20" i="42"/>
  <c r="B69" i="40"/>
  <c r="J4" i="40"/>
  <c r="K12" i="25"/>
  <c r="J28" i="50"/>
  <c r="M128" i="50"/>
  <c r="D32" i="25"/>
  <c r="G7" i="48"/>
  <c r="J47" i="41"/>
  <c r="G37" i="47"/>
  <c r="B63" i="48"/>
  <c r="E3" i="42"/>
  <c r="K53" i="48"/>
  <c r="G52" i="48"/>
  <c r="J53" i="48"/>
  <c r="K87" i="40"/>
  <c r="C14" i="47"/>
  <c r="B79" i="40"/>
  <c r="I84" i="47"/>
  <c r="N37" i="41"/>
  <c r="F13" i="40"/>
  <c r="C176" i="48"/>
  <c r="C22" i="43"/>
  <c r="D66" i="47"/>
  <c r="D45" i="25"/>
  <c r="M18" i="49"/>
  <c r="C8" i="19"/>
  <c r="F48" i="41"/>
  <c r="I64" i="41"/>
  <c r="C16" i="49"/>
  <c r="K51" i="43"/>
  <c r="M72" i="50"/>
  <c r="AF113" i="14"/>
  <c r="D7" i="25"/>
  <c r="E36" i="42"/>
  <c r="F66" i="47"/>
  <c r="K73" i="42"/>
  <c r="B59" i="49"/>
  <c r="I51" i="50"/>
  <c r="B26" i="50"/>
  <c r="J28" i="43"/>
  <c r="D62" i="40"/>
  <c r="G25" i="48"/>
  <c r="K59" i="41"/>
  <c r="D65" i="41"/>
  <c r="G55" i="41"/>
  <c r="I33" i="40"/>
  <c r="J17" i="43"/>
  <c r="M69" i="48"/>
  <c r="K52" i="41"/>
  <c r="D76" i="50"/>
  <c r="J25" i="42"/>
  <c r="F24" i="50"/>
  <c r="C19" i="41"/>
  <c r="Q21" i="25"/>
  <c r="B51" i="49"/>
  <c r="C43" i="41"/>
  <c r="C52" i="40"/>
  <c r="J51" i="49"/>
  <c r="J42" i="40"/>
  <c r="N42" i="49"/>
  <c r="J32" i="41"/>
  <c r="Q76" i="25"/>
  <c r="N40" i="25"/>
  <c r="I7" i="40"/>
  <c r="D29" i="25"/>
  <c r="M49" i="49"/>
  <c r="N8" i="40"/>
  <c r="R18" i="25"/>
  <c r="N58" i="50"/>
  <c r="M123" i="43"/>
  <c r="I13" i="42"/>
  <c r="B4" i="50"/>
  <c r="B128" i="43"/>
  <c r="O18" i="25"/>
  <c r="D55" i="41"/>
  <c r="C15" i="42"/>
  <c r="K10" i="25"/>
  <c r="L55" i="25"/>
  <c r="F9" i="25"/>
  <c r="C77" i="42"/>
  <c r="G69" i="47"/>
  <c r="I35" i="49"/>
  <c r="N26" i="48"/>
  <c r="B46" i="50"/>
  <c r="G41" i="49"/>
  <c r="H48" i="25"/>
  <c r="I58" i="43"/>
  <c r="F82" i="47"/>
  <c r="H181" i="6"/>
  <c r="DW35" i="1"/>
  <c r="DW8" i="1"/>
  <c r="F41" i="25"/>
  <c r="J82" i="48"/>
  <c r="F17" i="47"/>
  <c r="N32" i="42"/>
  <c r="C14" i="43"/>
  <c r="F5" i="48"/>
  <c r="I16" i="43"/>
  <c r="C38" i="48"/>
  <c r="F10" i="50"/>
  <c r="K32" i="50"/>
  <c r="J40" i="41"/>
  <c r="K84" i="41"/>
  <c r="K11" i="48"/>
  <c r="I68" i="41"/>
  <c r="J13" i="25"/>
  <c r="S35" i="25"/>
  <c r="C132" i="42"/>
  <c r="N40" i="47"/>
  <c r="I48" i="50"/>
  <c r="K4" i="25"/>
  <c r="B175" i="47"/>
  <c r="I29" i="48"/>
  <c r="J33" i="47"/>
  <c r="B63" i="41"/>
  <c r="F17" i="43"/>
  <c r="K36" i="50"/>
  <c r="C71" i="48"/>
  <c r="C20" i="49"/>
  <c r="F40" i="47"/>
  <c r="I145" i="40"/>
  <c r="M49" i="25"/>
  <c r="M22" i="50"/>
  <c r="J44" i="47"/>
  <c r="B10" i="41"/>
  <c r="K40" i="25"/>
  <c r="B59" i="47"/>
  <c r="N20" i="49"/>
  <c r="G61" i="47"/>
  <c r="J30" i="40"/>
  <c r="G52" i="43"/>
  <c r="M62" i="41"/>
  <c r="F55" i="48"/>
  <c r="C30" i="40"/>
  <c r="J50" i="42"/>
  <c r="M44" i="41"/>
  <c r="C36" i="43"/>
  <c r="N37" i="49"/>
  <c r="I69" i="47"/>
  <c r="G50" i="50"/>
  <c r="B33" i="49"/>
  <c r="B14" i="41"/>
  <c r="M18" i="47"/>
  <c r="D55" i="49"/>
  <c r="G53" i="50"/>
  <c r="M124" i="50"/>
  <c r="M167" i="48"/>
  <c r="D84" i="48"/>
  <c r="I58" i="40"/>
  <c r="D3" i="43"/>
  <c r="N52" i="49"/>
  <c r="N31" i="47"/>
  <c r="H83" i="6"/>
  <c r="B73" i="49"/>
  <c r="F14" i="49"/>
  <c r="F31" i="49"/>
  <c r="DW50" i="1"/>
  <c r="R41" i="25"/>
  <c r="N20" i="25"/>
  <c r="F46" i="41"/>
  <c r="I26" i="42"/>
  <c r="J50" i="40"/>
  <c r="B18" i="41"/>
  <c r="N31" i="50"/>
  <c r="B37" i="40"/>
  <c r="C17" i="43"/>
  <c r="D74" i="49"/>
  <c r="F49" i="49"/>
  <c r="C80" i="40"/>
  <c r="C86" i="48"/>
  <c r="N80" i="40"/>
  <c r="I55" i="42"/>
  <c r="N5" i="25"/>
  <c r="B187" i="47"/>
  <c r="J63" i="25"/>
  <c r="G41" i="40"/>
  <c r="J41" i="42"/>
  <c r="EB20" i="1"/>
  <c r="B176" i="40"/>
  <c r="H9" i="25"/>
  <c r="J5" i="48"/>
  <c r="F64" i="47"/>
  <c r="K55" i="50"/>
  <c r="B27" i="43"/>
  <c r="K3" i="41"/>
  <c r="M6" i="42"/>
  <c r="I6" i="49"/>
  <c r="N82" i="41"/>
  <c r="M42" i="43"/>
  <c r="M11" i="50"/>
  <c r="J49" i="47"/>
  <c r="N19" i="49"/>
  <c r="M18" i="40"/>
  <c r="B44" i="43"/>
  <c r="K40" i="48"/>
  <c r="N27" i="40"/>
  <c r="G20" i="25"/>
  <c r="D62" i="47"/>
  <c r="C44" i="47"/>
  <c r="I54" i="50"/>
  <c r="F24" i="40"/>
  <c r="B11" i="42"/>
  <c r="G50" i="49"/>
  <c r="B60" i="47"/>
  <c r="B4" i="12"/>
  <c r="B87" i="48"/>
  <c r="J51" i="40"/>
  <c r="J30" i="50"/>
  <c r="J11" i="50"/>
  <c r="F24" i="47"/>
  <c r="I62" i="41"/>
  <c r="G43" i="41"/>
  <c r="C55" i="40"/>
  <c r="C58" i="47"/>
  <c r="M7" i="42"/>
  <c r="N63" i="48"/>
  <c r="K53" i="41"/>
  <c r="G20" i="41"/>
  <c r="R4" i="41"/>
  <c r="C43" i="42"/>
  <c r="N83" i="48"/>
  <c r="G27" i="48"/>
  <c r="J55" i="40"/>
  <c r="B46" i="41"/>
  <c r="C48" i="41"/>
  <c r="F39" i="47"/>
  <c r="I20" i="43"/>
  <c r="D86" i="41"/>
  <c r="M4" i="43"/>
  <c r="I31" i="47"/>
  <c r="I36" i="41"/>
  <c r="B83" i="41"/>
  <c r="C26" i="43"/>
  <c r="K85" i="47"/>
  <c r="B147" i="40"/>
  <c r="M79" i="40"/>
  <c r="F29" i="48"/>
  <c r="K53" i="42"/>
  <c r="M39" i="40"/>
  <c r="J33" i="40"/>
  <c r="J55" i="47"/>
  <c r="C61" i="48"/>
  <c r="B68" i="41"/>
  <c r="B7" i="48"/>
  <c r="D60" i="48"/>
  <c r="G27" i="40"/>
  <c r="M11" i="47"/>
  <c r="J44" i="50"/>
  <c r="F40" i="48"/>
  <c r="G9" i="48"/>
  <c r="B32" i="48"/>
  <c r="J18" i="41"/>
  <c r="C5" i="43"/>
  <c r="C21" i="43"/>
  <c r="B4" i="49"/>
  <c r="K50" i="50"/>
  <c r="J66" i="40"/>
  <c r="C62" i="49"/>
  <c r="F17" i="48"/>
  <c r="C66" i="41"/>
  <c r="O20" i="25"/>
  <c r="M24" i="43"/>
  <c r="F35" i="50"/>
  <c r="N52" i="40"/>
  <c r="G18" i="40"/>
  <c r="F27" i="40"/>
  <c r="M5" i="49"/>
  <c r="I50" i="43"/>
  <c r="G43" i="42"/>
  <c r="K55" i="48"/>
  <c r="K21" i="41"/>
  <c r="M66" i="41"/>
  <c r="K3" i="49"/>
  <c r="M55" i="40"/>
  <c r="D63" i="40"/>
  <c r="K64" i="47"/>
  <c r="N28" i="47"/>
  <c r="N41" i="25"/>
  <c r="M15" i="47"/>
  <c r="C63" i="47"/>
  <c r="D53" i="40"/>
  <c r="G32" i="50"/>
  <c r="G47" i="41"/>
  <c r="M59" i="41"/>
  <c r="N66" i="41"/>
  <c r="K52" i="50"/>
  <c r="N86" i="48"/>
  <c r="D66" i="41"/>
  <c r="M2" i="43"/>
  <c r="N53" i="48"/>
  <c r="Q16" i="25"/>
  <c r="B29" i="42"/>
  <c r="R4" i="40"/>
  <c r="I50" i="42"/>
  <c r="G33" i="47"/>
  <c r="I21" i="43"/>
  <c r="C40" i="50"/>
  <c r="J26" i="47"/>
  <c r="K49" i="50"/>
  <c r="C29" i="43"/>
  <c r="Q98" i="25"/>
  <c r="N71" i="42"/>
  <c r="N17" i="43"/>
  <c r="G17" i="50"/>
  <c r="B184" i="47"/>
  <c r="J15" i="19"/>
  <c r="C16" i="42"/>
  <c r="H342" i="6"/>
  <c r="O38" i="25"/>
  <c r="N27" i="49"/>
  <c r="N31" i="41"/>
  <c r="M71" i="50"/>
  <c r="H87" i="6"/>
  <c r="K3" i="50"/>
  <c r="S59" i="25"/>
  <c r="Q40" i="25"/>
  <c r="L14" i="42"/>
  <c r="I32" i="42"/>
  <c r="A46" i="44"/>
  <c r="H21" i="25"/>
  <c r="B83" i="47"/>
  <c r="M32" i="41"/>
  <c r="M74" i="50"/>
  <c r="M25" i="25"/>
  <c r="L69" i="43"/>
  <c r="S25" i="25"/>
  <c r="M170" i="40"/>
  <c r="M89" i="25"/>
  <c r="I22" i="42"/>
  <c r="F8" i="42"/>
  <c r="B16" i="47"/>
  <c r="I68" i="43"/>
  <c r="B30" i="41"/>
  <c r="F18" i="42"/>
  <c r="C77" i="49"/>
  <c r="R89" i="25"/>
  <c r="G95" i="25"/>
  <c r="B167" i="41"/>
  <c r="J63" i="41"/>
  <c r="R69" i="25"/>
  <c r="N14" i="49"/>
  <c r="F6" i="40"/>
  <c r="B59" i="41"/>
  <c r="K23" i="25"/>
  <c r="D32" i="48"/>
  <c r="M40" i="47"/>
  <c r="AF74" i="14"/>
  <c r="M37" i="25"/>
  <c r="H247" i="6"/>
  <c r="H29" i="25"/>
  <c r="M72" i="49"/>
  <c r="K75" i="42"/>
  <c r="P63" i="25"/>
  <c r="D130" i="50"/>
  <c r="K29" i="25"/>
  <c r="I31" i="40"/>
  <c r="B73" i="48"/>
  <c r="K68" i="25"/>
  <c r="H16" i="25"/>
  <c r="N80" i="47"/>
  <c r="D30" i="25"/>
  <c r="B66" i="48"/>
  <c r="I76" i="49"/>
  <c r="H19" i="6"/>
  <c r="M172" i="48"/>
  <c r="AF105" i="14"/>
  <c r="Q80" i="25"/>
  <c r="O47" i="25"/>
  <c r="F58" i="49"/>
  <c r="G40" i="49"/>
  <c r="K22" i="48"/>
  <c r="L3" i="41"/>
  <c r="C42" i="40"/>
  <c r="N42" i="48"/>
  <c r="B17" i="43"/>
  <c r="J15" i="48"/>
  <c r="F37" i="42"/>
  <c r="I50" i="47"/>
  <c r="D58" i="48"/>
  <c r="C51" i="43"/>
  <c r="J38" i="42"/>
  <c r="B41" i="43"/>
  <c r="K69" i="41"/>
  <c r="Q23" i="25"/>
  <c r="B28" i="42"/>
  <c r="M48" i="47"/>
  <c r="J21" i="43"/>
  <c r="K21" i="49"/>
  <c r="C187" i="48"/>
  <c r="N59" i="41"/>
  <c r="O5" i="25"/>
  <c r="F66" i="48"/>
  <c r="F35" i="47"/>
  <c r="M7" i="43"/>
  <c r="D131" i="49"/>
  <c r="R59" i="41"/>
  <c r="G17" i="41"/>
  <c r="P36" i="25"/>
  <c r="B19" i="40"/>
  <c r="G9" i="41"/>
  <c r="AF83" i="14"/>
  <c r="C65" i="47"/>
  <c r="S41" i="25"/>
  <c r="C20" i="40"/>
  <c r="G52" i="47"/>
  <c r="B35" i="50"/>
  <c r="C42" i="43"/>
  <c r="K76" i="42"/>
  <c r="G13" i="41"/>
  <c r="I3" i="47"/>
  <c r="J53" i="47"/>
  <c r="J54" i="40"/>
  <c r="N16" i="48"/>
  <c r="M77" i="42"/>
  <c r="C25" i="42"/>
  <c r="C130" i="49"/>
  <c r="M37" i="40"/>
  <c r="D15" i="49"/>
  <c r="D85" i="40"/>
  <c r="B174" i="40"/>
  <c r="G48" i="50"/>
  <c r="C17" i="41"/>
  <c r="C55" i="42"/>
  <c r="N43" i="47"/>
  <c r="I3" i="49"/>
  <c r="F44" i="48"/>
  <c r="J50" i="43"/>
  <c r="C22" i="40"/>
  <c r="D42" i="47"/>
  <c r="M146" i="40"/>
  <c r="B171" i="47"/>
  <c r="M38" i="49"/>
  <c r="K18" i="41"/>
  <c r="E12" i="25"/>
  <c r="N15" i="47"/>
  <c r="G42" i="50"/>
  <c r="M41" i="47"/>
  <c r="J9" i="48"/>
  <c r="C8" i="42"/>
  <c r="C22" i="47"/>
  <c r="I37" i="42"/>
  <c r="I9" i="12"/>
  <c r="N4" i="49"/>
  <c r="K73" i="41"/>
  <c r="B60" i="48"/>
  <c r="G26" i="41"/>
  <c r="I51" i="49"/>
  <c r="G6" i="41"/>
  <c r="C60" i="47"/>
  <c r="I48" i="43"/>
  <c r="N47" i="41"/>
  <c r="F19" i="41"/>
  <c r="M42" i="42"/>
  <c r="D36" i="40"/>
  <c r="B37" i="41"/>
  <c r="M20" i="47"/>
  <c r="F35" i="42"/>
  <c r="C4" i="47"/>
  <c r="C37" i="40"/>
  <c r="N49" i="47"/>
  <c r="I8" i="41"/>
  <c r="J88" i="40"/>
  <c r="J66" i="47"/>
  <c r="L39" i="25"/>
  <c r="N73" i="25"/>
  <c r="B66" i="43"/>
  <c r="B71" i="47"/>
  <c r="N70" i="42"/>
  <c r="DW47" i="1"/>
  <c r="D55" i="50"/>
  <c r="M81" i="25"/>
  <c r="K61" i="25"/>
  <c r="C186" i="48"/>
  <c r="D22" i="50"/>
  <c r="F72" i="43"/>
  <c r="G84" i="47"/>
  <c r="A497" i="44"/>
  <c r="B70" i="42"/>
  <c r="B185" i="40"/>
  <c r="J70" i="25"/>
  <c r="D130" i="43"/>
  <c r="O26" i="25"/>
  <c r="H108" i="6"/>
  <c r="G8" i="25"/>
  <c r="P83" i="25"/>
  <c r="I52" i="50"/>
  <c r="B27" i="42"/>
  <c r="J16" i="40"/>
  <c r="G57" i="49"/>
  <c r="I82" i="25"/>
  <c r="AF180" i="14"/>
  <c r="B22" i="50"/>
  <c r="B75" i="42"/>
  <c r="A453" i="44"/>
  <c r="J58" i="49"/>
  <c r="N3" i="42"/>
  <c r="R4" i="25"/>
  <c r="D11" i="48"/>
  <c r="EB11" i="1"/>
  <c r="D52" i="50"/>
  <c r="K17" i="43"/>
  <c r="D22" i="49"/>
  <c r="G16" i="48"/>
  <c r="N65" i="47"/>
  <c r="K14" i="41"/>
  <c r="J26" i="49"/>
  <c r="J5" i="43"/>
  <c r="K11" i="50"/>
  <c r="B48" i="50"/>
  <c r="F75" i="49"/>
  <c r="M21" i="40"/>
  <c r="O13" i="25"/>
  <c r="I14" i="47"/>
  <c r="L36" i="47"/>
  <c r="F10" i="49"/>
  <c r="M185" i="41"/>
  <c r="E7" i="25"/>
  <c r="B63" i="49"/>
  <c r="F3" i="41"/>
  <c r="D42" i="43"/>
  <c r="L47" i="43"/>
  <c r="K40" i="50"/>
  <c r="F81" i="48"/>
  <c r="G87" i="41"/>
  <c r="G71" i="42"/>
  <c r="G46" i="25"/>
  <c r="N58" i="49"/>
  <c r="K8" i="40"/>
  <c r="B25" i="48"/>
  <c r="N44" i="42"/>
  <c r="F2" i="48"/>
  <c r="C172" i="47"/>
  <c r="B49" i="50"/>
  <c r="B180" i="41"/>
  <c r="G35" i="47"/>
  <c r="L36" i="40"/>
  <c r="F52" i="40"/>
  <c r="K31" i="47"/>
  <c r="B146" i="48"/>
  <c r="J16" i="41"/>
  <c r="E6" i="25"/>
  <c r="F40" i="43"/>
  <c r="B130" i="49"/>
  <c r="C84" i="47"/>
  <c r="N83" i="40"/>
  <c r="C21" i="41"/>
  <c r="C58" i="41"/>
  <c r="I15" i="43"/>
  <c r="C25" i="48"/>
  <c r="B52" i="42"/>
  <c r="G46" i="49"/>
  <c r="D33" i="50"/>
  <c r="I66" i="40"/>
  <c r="I50" i="49"/>
  <c r="I46" i="49"/>
  <c r="J29" i="48"/>
  <c r="R48" i="50"/>
  <c r="P26" i="25"/>
  <c r="M169" i="48"/>
  <c r="M20" i="41"/>
  <c r="F3" i="43"/>
  <c r="M85" i="40"/>
  <c r="J4" i="47"/>
  <c r="M16" i="48"/>
  <c r="B63" i="40"/>
  <c r="G58" i="48"/>
  <c r="B31" i="49"/>
  <c r="N25" i="50"/>
  <c r="C3" i="50"/>
  <c r="I24" i="41"/>
  <c r="E80" i="47"/>
  <c r="B2" i="40"/>
  <c r="B68" i="40"/>
  <c r="B16" i="42"/>
  <c r="P14" i="25"/>
  <c r="J43" i="50"/>
  <c r="N27" i="41"/>
  <c r="C31" i="41"/>
  <c r="E74" i="25"/>
  <c r="H215" i="6"/>
  <c r="N17" i="47"/>
  <c r="F15" i="25"/>
  <c r="C185" i="47"/>
  <c r="J39" i="43"/>
  <c r="B146" i="47"/>
  <c r="B22" i="40"/>
  <c r="P34" i="25"/>
  <c r="H60" i="25"/>
  <c r="I15" i="25"/>
  <c r="G38" i="43"/>
  <c r="I69" i="40"/>
  <c r="F47" i="41"/>
  <c r="O65" i="25"/>
  <c r="B33" i="47"/>
  <c r="B88" i="48"/>
  <c r="M77" i="49"/>
  <c r="M23" i="25"/>
  <c r="K69" i="50"/>
  <c r="I39" i="48"/>
  <c r="N74" i="25"/>
  <c r="K43" i="43"/>
  <c r="J30" i="42"/>
  <c r="C82" i="47"/>
  <c r="J3" i="41"/>
  <c r="J42" i="47"/>
  <c r="I5" i="42"/>
  <c r="G54" i="40"/>
  <c r="J60" i="41"/>
  <c r="F33" i="50"/>
  <c r="C6" i="43"/>
  <c r="C28" i="42"/>
  <c r="G46" i="48"/>
  <c r="F62" i="40"/>
  <c r="I86" i="48"/>
  <c r="B125" i="42"/>
  <c r="G41" i="43"/>
  <c r="I146" i="40"/>
  <c r="I72" i="47"/>
  <c r="R16" i="25"/>
  <c r="D73" i="42"/>
  <c r="I3" i="50"/>
  <c r="P17" i="25"/>
  <c r="B51" i="42"/>
  <c r="M81" i="41"/>
  <c r="D33" i="40"/>
  <c r="M47" i="49"/>
  <c r="I2" i="42"/>
  <c r="K47" i="49"/>
  <c r="F10" i="47"/>
  <c r="C43" i="50"/>
  <c r="Q35" i="25"/>
  <c r="L58" i="47"/>
  <c r="F38" i="25"/>
  <c r="N58" i="48"/>
  <c r="I14" i="41"/>
  <c r="K3" i="40"/>
  <c r="DW15" i="1"/>
  <c r="C30" i="49"/>
  <c r="I8" i="50"/>
  <c r="G81" i="40"/>
  <c r="K6" i="40"/>
  <c r="J52" i="40"/>
  <c r="F62" i="48"/>
  <c r="F57" i="40"/>
  <c r="G20" i="48"/>
  <c r="I75" i="47"/>
  <c r="D19" i="47"/>
  <c r="S61" i="25"/>
  <c r="I40" i="25"/>
  <c r="F58" i="48"/>
  <c r="M130" i="42"/>
  <c r="K14" i="48"/>
  <c r="K69" i="48"/>
  <c r="C76" i="49"/>
  <c r="J22" i="49"/>
  <c r="F27" i="42"/>
  <c r="K36" i="42"/>
  <c r="G48" i="43"/>
  <c r="N39" i="47"/>
  <c r="B20" i="43"/>
  <c r="N65" i="41"/>
  <c r="G42" i="49"/>
  <c r="D76" i="42"/>
  <c r="J22" i="47"/>
  <c r="J36" i="43"/>
  <c r="R6" i="25"/>
  <c r="F35" i="40"/>
  <c r="B43" i="43"/>
  <c r="G59" i="47"/>
  <c r="G60" i="40"/>
  <c r="J88" i="41"/>
  <c r="C60" i="48"/>
  <c r="M48" i="50"/>
  <c r="I25" i="42"/>
  <c r="K49" i="42"/>
  <c r="G3" i="43"/>
  <c r="M54" i="48"/>
  <c r="M50" i="42"/>
  <c r="C32" i="48"/>
  <c r="J48" i="49"/>
  <c r="I13" i="48"/>
  <c r="B36" i="47"/>
  <c r="M43" i="25"/>
  <c r="L87" i="25"/>
  <c r="B32" i="50"/>
  <c r="K36" i="49"/>
  <c r="I28" i="49"/>
  <c r="F30" i="41"/>
  <c r="F33" i="42"/>
  <c r="M60" i="25"/>
  <c r="N16" i="43"/>
  <c r="B57" i="47"/>
  <c r="B46" i="42"/>
  <c r="M24" i="47"/>
  <c r="F4" i="41"/>
  <c r="I63" i="47"/>
  <c r="N65" i="48"/>
  <c r="F47" i="47"/>
  <c r="EB32" i="1"/>
  <c r="D33" i="41"/>
  <c r="F31" i="43"/>
  <c r="D36" i="41"/>
  <c r="K15" i="49"/>
  <c r="B59" i="40"/>
  <c r="C3" i="49"/>
  <c r="G75" i="49"/>
  <c r="F72" i="49"/>
  <c r="N52" i="47"/>
  <c r="K43" i="42"/>
  <c r="K85" i="41"/>
  <c r="G5" i="47"/>
  <c r="C39" i="40"/>
  <c r="M25" i="47"/>
  <c r="F85" i="41"/>
  <c r="E25" i="50"/>
  <c r="B38" i="40"/>
  <c r="B5" i="50"/>
  <c r="G2" i="43"/>
  <c r="C48" i="43"/>
  <c r="M18" i="43"/>
  <c r="J41" i="41"/>
  <c r="N3" i="47"/>
  <c r="N27" i="47"/>
  <c r="K61" i="47"/>
  <c r="J22" i="43"/>
  <c r="B43" i="47"/>
  <c r="B62" i="41"/>
  <c r="I68" i="42"/>
  <c r="J33" i="48"/>
  <c r="B35" i="49"/>
  <c r="AF150" i="14"/>
  <c r="F47" i="50"/>
  <c r="R169" i="47"/>
  <c r="E96" i="25"/>
  <c r="D56" i="25"/>
  <c r="D64" i="25"/>
  <c r="N58" i="25"/>
  <c r="B28" i="41"/>
  <c r="N36" i="25"/>
  <c r="D90" i="25"/>
  <c r="M79" i="25"/>
  <c r="B75" i="41"/>
  <c r="L14" i="25"/>
  <c r="M167" i="41"/>
  <c r="H239" i="6"/>
  <c r="B31" i="48"/>
  <c r="M53" i="43"/>
  <c r="B48" i="41"/>
  <c r="G66" i="47"/>
  <c r="Q11" i="25"/>
  <c r="I49" i="41"/>
  <c r="K17" i="41"/>
  <c r="B76" i="48"/>
  <c r="C55" i="47"/>
  <c r="D129" i="50"/>
  <c r="B24" i="48"/>
  <c r="K59" i="47"/>
  <c r="Q39" i="25"/>
  <c r="N14" i="47"/>
  <c r="M13" i="41"/>
  <c r="P40" i="25"/>
  <c r="K21" i="47"/>
  <c r="M10" i="42"/>
  <c r="J41" i="40"/>
  <c r="D64" i="40"/>
  <c r="F80" i="48"/>
  <c r="I22" i="47"/>
  <c r="I24" i="50"/>
  <c r="B9" i="40"/>
  <c r="B44" i="47"/>
  <c r="M126" i="49"/>
  <c r="R54" i="25"/>
  <c r="C42" i="50"/>
  <c r="F33" i="25"/>
  <c r="S32" i="25"/>
  <c r="A57" i="44"/>
  <c r="M37" i="43"/>
  <c r="N61" i="47"/>
  <c r="F19" i="40"/>
  <c r="B26" i="47"/>
  <c r="C15" i="41"/>
  <c r="D51" i="49"/>
  <c r="C51" i="42"/>
  <c r="F43" i="40"/>
  <c r="J15" i="50"/>
  <c r="C10" i="42"/>
  <c r="B30" i="40"/>
  <c r="F53" i="50"/>
  <c r="B4" i="41"/>
  <c r="M87" i="47"/>
  <c r="C9" i="41"/>
  <c r="G11" i="42"/>
  <c r="J14" i="42"/>
  <c r="J32" i="40"/>
  <c r="I83" i="48"/>
  <c r="I72" i="48"/>
  <c r="J55" i="41"/>
  <c r="M14" i="49"/>
  <c r="R70" i="49"/>
  <c r="AF22" i="14"/>
  <c r="C180" i="47"/>
  <c r="C174" i="47"/>
  <c r="J5" i="47"/>
  <c r="C16" i="40"/>
  <c r="N39" i="42"/>
  <c r="K14" i="49"/>
  <c r="G30" i="49"/>
  <c r="M87" i="41"/>
  <c r="F16" i="49"/>
  <c r="B11" i="47"/>
  <c r="B71" i="41"/>
  <c r="F52" i="42"/>
  <c r="K36" i="40"/>
  <c r="G22" i="48"/>
  <c r="C4" i="41"/>
  <c r="E40" i="25"/>
  <c r="G20" i="40"/>
  <c r="D31" i="47"/>
  <c r="B64" i="48"/>
  <c r="C27" i="49"/>
  <c r="I10" i="43"/>
  <c r="G9" i="49"/>
  <c r="F53" i="48"/>
  <c r="G14" i="25"/>
  <c r="K22" i="47"/>
  <c r="C62" i="48"/>
  <c r="K3" i="47"/>
  <c r="I7" i="42"/>
  <c r="K66" i="41"/>
  <c r="B65" i="41"/>
  <c r="M6" i="43"/>
  <c r="K47" i="43"/>
  <c r="M47" i="50"/>
  <c r="M52" i="42"/>
  <c r="J44" i="40"/>
  <c r="N6" i="47"/>
  <c r="D60" i="41"/>
  <c r="F49" i="50"/>
  <c r="F38" i="42"/>
  <c r="G54" i="50"/>
  <c r="D64" i="48"/>
  <c r="M33" i="48"/>
  <c r="K25" i="48"/>
  <c r="B3" i="49"/>
  <c r="I5" i="49"/>
  <c r="K55" i="47"/>
  <c r="J29" i="40"/>
  <c r="F38" i="49"/>
  <c r="M54" i="43"/>
  <c r="F11" i="43"/>
  <c r="G51" i="40"/>
  <c r="I24" i="40"/>
  <c r="J47" i="42"/>
  <c r="L80" i="47"/>
  <c r="D31" i="41"/>
  <c r="DW10" i="1"/>
  <c r="N47" i="49"/>
  <c r="K62" i="40"/>
  <c r="N36" i="48"/>
  <c r="K47" i="48"/>
  <c r="M43" i="48"/>
  <c r="I47" i="50"/>
  <c r="J29" i="43"/>
  <c r="I10" i="47"/>
  <c r="I32" i="25"/>
  <c r="R19" i="25"/>
  <c r="B4" i="47"/>
  <c r="D19" i="43"/>
  <c r="J62" i="48"/>
  <c r="M49" i="41"/>
  <c r="J47" i="47"/>
  <c r="N44" i="47"/>
  <c r="K60" i="41"/>
  <c r="I29" i="49"/>
  <c r="F39" i="50"/>
  <c r="C30" i="43"/>
  <c r="K41" i="41"/>
  <c r="J33" i="19"/>
  <c r="J25" i="49"/>
  <c r="N25" i="47"/>
  <c r="M15" i="40"/>
  <c r="C43" i="47"/>
  <c r="C43" i="43"/>
  <c r="N87" i="25"/>
  <c r="I46" i="50"/>
  <c r="G71" i="49"/>
  <c r="J73" i="50"/>
  <c r="F81" i="47"/>
  <c r="D24" i="25"/>
  <c r="G37" i="43"/>
  <c r="I9" i="42"/>
  <c r="G6" i="47"/>
  <c r="M9" i="50"/>
  <c r="G13" i="25"/>
  <c r="D61" i="48"/>
  <c r="D47" i="43"/>
  <c r="G38" i="25"/>
  <c r="B47" i="49"/>
  <c r="C14" i="41"/>
  <c r="N29" i="40"/>
  <c r="C49" i="49"/>
  <c r="I30" i="50"/>
  <c r="J62" i="47"/>
  <c r="M70" i="41"/>
  <c r="H437" i="6"/>
  <c r="B168" i="41"/>
  <c r="F3" i="50"/>
  <c r="K52" i="49"/>
  <c r="M16" i="41"/>
  <c r="J53" i="49"/>
  <c r="B14" i="49"/>
  <c r="B61" i="41"/>
  <c r="C14" i="50"/>
  <c r="J87" i="40"/>
  <c r="K74" i="42"/>
  <c r="G80" i="41"/>
  <c r="I38" i="42"/>
  <c r="F52" i="49"/>
  <c r="J72" i="48"/>
  <c r="C73" i="48"/>
  <c r="M58" i="41"/>
  <c r="N55" i="50"/>
  <c r="M29" i="43"/>
  <c r="I28" i="50"/>
  <c r="G15" i="48"/>
  <c r="M45" i="25"/>
  <c r="F25" i="49"/>
  <c r="K61" i="40"/>
  <c r="F3" i="47"/>
  <c r="G8" i="48"/>
  <c r="N29" i="50"/>
  <c r="D16" i="48"/>
  <c r="G14" i="40"/>
  <c r="G30" i="48"/>
  <c r="N40" i="48"/>
  <c r="I11" i="50"/>
  <c r="J83" i="41"/>
  <c r="N5" i="49"/>
  <c r="I37" i="50"/>
  <c r="B2" i="47"/>
  <c r="K20" i="49"/>
  <c r="K66" i="48"/>
  <c r="J31" i="47"/>
  <c r="K11" i="42"/>
  <c r="G65" i="47"/>
  <c r="F22" i="42"/>
  <c r="K42" i="47"/>
  <c r="N85" i="48"/>
  <c r="C6" i="41"/>
  <c r="K18" i="40"/>
  <c r="C64" i="42"/>
  <c r="I20" i="47"/>
  <c r="G26" i="43"/>
  <c r="K18" i="48"/>
  <c r="G15" i="47"/>
  <c r="G18" i="49"/>
  <c r="K32" i="40"/>
  <c r="J64" i="47"/>
  <c r="M11" i="43"/>
  <c r="C66" i="42"/>
  <c r="N5" i="41"/>
  <c r="F5" i="42"/>
  <c r="J18" i="49"/>
  <c r="G37" i="25"/>
  <c r="B55" i="42"/>
  <c r="F54" i="40"/>
  <c r="R4" i="48"/>
  <c r="B3" i="43"/>
  <c r="G28" i="40"/>
  <c r="M55" i="43"/>
  <c r="J52" i="43"/>
  <c r="I63" i="25"/>
  <c r="K53" i="47"/>
  <c r="I57" i="40"/>
  <c r="B21" i="43"/>
  <c r="N82" i="48"/>
  <c r="I62" i="47"/>
  <c r="N4" i="42"/>
  <c r="M30" i="48"/>
  <c r="N37" i="40"/>
  <c r="C5" i="50"/>
  <c r="F6" i="43"/>
  <c r="F50" i="40"/>
  <c r="C53" i="40"/>
  <c r="B49" i="41"/>
  <c r="J60" i="48"/>
  <c r="D75" i="42"/>
  <c r="L146" i="41"/>
  <c r="K40" i="43"/>
  <c r="F54" i="41"/>
  <c r="R21" i="25"/>
  <c r="J20" i="41"/>
  <c r="D58" i="47"/>
  <c r="B5" i="41"/>
  <c r="I54" i="48"/>
  <c r="N9" i="41"/>
  <c r="D44" i="42"/>
  <c r="C184" i="41"/>
  <c r="J48" i="40"/>
  <c r="J64" i="41"/>
  <c r="I4" i="41"/>
  <c r="C5" i="41"/>
  <c r="J8" i="47"/>
  <c r="G59" i="41"/>
  <c r="B8" i="43"/>
  <c r="I40" i="47"/>
  <c r="G24" i="48"/>
  <c r="I52" i="48"/>
  <c r="B10" i="42"/>
  <c r="E58" i="49"/>
  <c r="H58" i="25"/>
  <c r="B40" i="43"/>
  <c r="G80" i="48"/>
  <c r="C26" i="42"/>
  <c r="L40" i="25"/>
  <c r="F12" i="25"/>
  <c r="J73" i="43"/>
  <c r="EB28" i="1"/>
  <c r="C32" i="47"/>
  <c r="F49" i="41"/>
  <c r="N64" i="40"/>
  <c r="G51" i="41"/>
  <c r="J28" i="49"/>
  <c r="D80" i="40"/>
  <c r="D130" i="42"/>
  <c r="D75" i="50"/>
  <c r="O19" i="25"/>
  <c r="G8" i="47"/>
  <c r="B54" i="41"/>
  <c r="J49" i="25"/>
  <c r="D55" i="43"/>
  <c r="M14" i="40"/>
  <c r="F63" i="48"/>
  <c r="B77" i="48"/>
  <c r="B5" i="48"/>
  <c r="G79" i="40"/>
  <c r="G28" i="49"/>
  <c r="C51" i="41"/>
  <c r="F54" i="48"/>
  <c r="B54" i="48"/>
  <c r="E36" i="40"/>
  <c r="B85" i="48"/>
  <c r="L47" i="48"/>
  <c r="B186" i="41"/>
  <c r="C10" i="43"/>
  <c r="G20" i="43"/>
  <c r="M13" i="47"/>
  <c r="M40" i="19"/>
  <c r="B8" i="49"/>
  <c r="C18" i="40"/>
  <c r="J53" i="40"/>
  <c r="F29" i="47"/>
  <c r="B33" i="50"/>
  <c r="I53" i="47"/>
  <c r="M9" i="43"/>
  <c r="D30" i="40"/>
  <c r="L25" i="50"/>
  <c r="B43" i="41"/>
  <c r="I51" i="42"/>
  <c r="J80" i="41"/>
  <c r="L3" i="47"/>
  <c r="B60" i="41"/>
  <c r="I85" i="48"/>
  <c r="G86" i="41"/>
  <c r="F8" i="47"/>
  <c r="I82" i="48"/>
  <c r="D11" i="47"/>
  <c r="N9" i="42"/>
  <c r="F7" i="49"/>
  <c r="J54" i="43"/>
  <c r="I16" i="47"/>
  <c r="B55" i="50"/>
  <c r="M44" i="19"/>
  <c r="G2" i="50"/>
  <c r="G43" i="40"/>
  <c r="D61" i="41"/>
  <c r="K43" i="41"/>
  <c r="F7" i="47"/>
  <c r="C15" i="49"/>
  <c r="M53" i="49"/>
  <c r="N3" i="43"/>
  <c r="K33" i="47"/>
  <c r="G30" i="47"/>
  <c r="B82" i="41"/>
  <c r="N58" i="40"/>
  <c r="R15" i="41"/>
  <c r="F37" i="41"/>
  <c r="K10" i="49"/>
  <c r="F2" i="47"/>
  <c r="J50" i="47"/>
  <c r="G28" i="48"/>
  <c r="B40" i="42"/>
  <c r="G33" i="50"/>
  <c r="C58" i="40"/>
  <c r="D66" i="40"/>
  <c r="B48" i="40"/>
  <c r="K20" i="48"/>
  <c r="J10" i="47"/>
  <c r="I32" i="43"/>
  <c r="M60" i="47"/>
  <c r="B49" i="47"/>
  <c r="G11" i="47"/>
  <c r="C22" i="48"/>
  <c r="I82" i="41"/>
  <c r="K38" i="25"/>
  <c r="B66" i="49"/>
  <c r="D17" i="43"/>
  <c r="G38" i="47"/>
  <c r="M6" i="47"/>
  <c r="N53" i="49"/>
  <c r="K10" i="43"/>
  <c r="G25" i="40"/>
  <c r="J44" i="48"/>
  <c r="G19" i="43"/>
  <c r="K51" i="40"/>
  <c r="G55" i="49"/>
  <c r="M9" i="41"/>
  <c r="C17" i="47"/>
  <c r="F32" i="48"/>
  <c r="M41" i="41"/>
  <c r="K58" i="40"/>
  <c r="F84" i="41"/>
  <c r="I42" i="50"/>
  <c r="M26" i="48"/>
  <c r="I22" i="41"/>
  <c r="H82" i="6"/>
  <c r="J72" i="49"/>
  <c r="M70" i="42"/>
  <c r="P23" i="25"/>
  <c r="I8" i="49"/>
  <c r="D11" i="50"/>
  <c r="G29" i="42"/>
  <c r="J16" i="43"/>
  <c r="N85" i="41"/>
  <c r="F28" i="49"/>
  <c r="M36" i="47"/>
  <c r="B39" i="40"/>
  <c r="K7" i="47"/>
  <c r="I54" i="43"/>
  <c r="N55" i="49"/>
  <c r="G63" i="41"/>
  <c r="M61" i="40"/>
  <c r="I87" i="40"/>
  <c r="K69" i="47"/>
  <c r="G48" i="41"/>
  <c r="I40" i="42"/>
  <c r="I84" i="48"/>
  <c r="M43" i="41"/>
  <c r="R31" i="25"/>
  <c r="F20" i="25"/>
  <c r="C9" i="47"/>
  <c r="B47" i="43"/>
  <c r="N26" i="47"/>
  <c r="I53" i="43"/>
  <c r="N29" i="48"/>
  <c r="M49" i="48"/>
  <c r="K42" i="50"/>
  <c r="J47" i="48"/>
  <c r="B51" i="48"/>
  <c r="I37" i="43"/>
  <c r="M51" i="42"/>
  <c r="K86" i="48"/>
  <c r="C52" i="47"/>
  <c r="M8" i="19"/>
  <c r="K40" i="19"/>
  <c r="I4" i="49"/>
  <c r="N51" i="43"/>
  <c r="G31" i="42"/>
  <c r="M21" i="19"/>
  <c r="M4" i="19"/>
  <c r="J41" i="47"/>
  <c r="G62" i="48"/>
  <c r="EB16" i="1"/>
  <c r="D25" i="50"/>
  <c r="N3" i="49"/>
  <c r="M42" i="48"/>
  <c r="J54" i="47"/>
  <c r="G68" i="40"/>
  <c r="I60" i="40"/>
  <c r="N48" i="48"/>
  <c r="N55" i="48"/>
  <c r="C10" i="47"/>
  <c r="K38" i="19"/>
  <c r="F24" i="48"/>
  <c r="B6" i="12"/>
  <c r="K11" i="19"/>
  <c r="L173" i="41"/>
  <c r="G61" i="48"/>
  <c r="R48" i="41"/>
  <c r="I41" i="50"/>
  <c r="F75" i="40"/>
  <c r="F51" i="47"/>
  <c r="I10" i="42"/>
  <c r="G38" i="48"/>
  <c r="I47" i="40"/>
  <c r="C59" i="40"/>
  <c r="D47" i="48"/>
  <c r="C62" i="40"/>
  <c r="J8" i="49"/>
  <c r="F37" i="48"/>
  <c r="K31" i="48"/>
  <c r="C64" i="40"/>
  <c r="K55" i="43"/>
  <c r="N62" i="40"/>
  <c r="EB17" i="1"/>
  <c r="E42" i="25"/>
  <c r="B53" i="50"/>
  <c r="I61" i="25"/>
  <c r="D186" i="47"/>
  <c r="H172" i="6"/>
  <c r="F39" i="25"/>
  <c r="I31" i="42"/>
  <c r="D77" i="42"/>
  <c r="R14" i="25"/>
  <c r="K42" i="25"/>
  <c r="G69" i="42"/>
  <c r="J74" i="42"/>
  <c r="J9" i="19"/>
  <c r="D186" i="48"/>
  <c r="C36" i="40"/>
  <c r="B4" i="40"/>
  <c r="C175" i="40"/>
  <c r="C19" i="42"/>
  <c r="C51" i="48"/>
  <c r="J27" i="43"/>
  <c r="C75" i="50"/>
  <c r="G2" i="49"/>
  <c r="C50" i="41"/>
  <c r="N53" i="41"/>
  <c r="J14" i="49"/>
  <c r="P44" i="25"/>
  <c r="I87" i="48"/>
  <c r="N16" i="25"/>
  <c r="D62" i="48"/>
  <c r="F11" i="47"/>
  <c r="B8" i="12"/>
  <c r="B151" i="40" s="1"/>
  <c r="C36" i="47"/>
  <c r="F81" i="41"/>
  <c r="J11" i="49"/>
  <c r="F18" i="47"/>
  <c r="M173" i="41"/>
  <c r="F24" i="49"/>
  <c r="E25" i="42"/>
  <c r="G7" i="47"/>
  <c r="J7" i="50"/>
  <c r="C182" i="41"/>
  <c r="I10" i="40"/>
  <c r="N73" i="42"/>
  <c r="H407" i="6"/>
  <c r="M58" i="43"/>
  <c r="M5" i="25"/>
  <c r="I9" i="48"/>
  <c r="N29" i="41"/>
  <c r="R15" i="50"/>
  <c r="N39" i="48"/>
  <c r="M14" i="43"/>
  <c r="N40" i="43"/>
  <c r="M60" i="48"/>
  <c r="N9" i="47"/>
  <c r="L14" i="40"/>
  <c r="I16" i="41"/>
  <c r="C9" i="48"/>
  <c r="G24" i="49"/>
  <c r="I51" i="40"/>
  <c r="G10" i="42"/>
  <c r="G4" i="41"/>
  <c r="K33" i="50"/>
  <c r="F6" i="49"/>
  <c r="B21" i="40"/>
  <c r="D19" i="42"/>
  <c r="B42" i="40"/>
  <c r="C173" i="47"/>
  <c r="M39" i="42"/>
  <c r="B169" i="40"/>
  <c r="M63" i="48"/>
  <c r="C32" i="42"/>
  <c r="O34" i="25"/>
  <c r="M17" i="49"/>
  <c r="M123" i="50"/>
  <c r="J47" i="50"/>
  <c r="G2" i="42"/>
  <c r="B38" i="42"/>
  <c r="N60" i="48"/>
  <c r="G16" i="42"/>
  <c r="N25" i="41"/>
  <c r="C88" i="40"/>
  <c r="N6" i="42"/>
  <c r="L146" i="40"/>
  <c r="I44" i="47"/>
  <c r="K25" i="49"/>
  <c r="C27" i="43"/>
  <c r="M187" i="41"/>
  <c r="B13" i="50"/>
  <c r="B11" i="40"/>
  <c r="B86" i="41"/>
  <c r="B43" i="42"/>
  <c r="P72" i="25"/>
  <c r="B21" i="48"/>
  <c r="I29" i="47"/>
  <c r="K88" i="41"/>
  <c r="E5" i="25"/>
  <c r="B58" i="48"/>
  <c r="F31" i="48"/>
  <c r="I11" i="43"/>
  <c r="M27" i="40"/>
  <c r="C18" i="48"/>
  <c r="G32" i="42"/>
  <c r="G55" i="40"/>
  <c r="C47" i="43"/>
  <c r="K30" i="47"/>
  <c r="C84" i="41"/>
  <c r="F40" i="50"/>
  <c r="M6" i="49"/>
  <c r="M80" i="48"/>
  <c r="D47" i="42"/>
  <c r="B38" i="47"/>
  <c r="D85" i="41"/>
  <c r="N29" i="47"/>
  <c r="D16" i="41"/>
  <c r="F26" i="40"/>
  <c r="N44" i="40"/>
  <c r="M39" i="50"/>
  <c r="D19" i="41"/>
  <c r="B44" i="42"/>
  <c r="J22" i="41"/>
  <c r="I26" i="50"/>
  <c r="I47" i="49"/>
  <c r="M54" i="41"/>
  <c r="G46" i="50"/>
  <c r="G21" i="43"/>
  <c r="K60" i="47"/>
  <c r="J53" i="43"/>
  <c r="F39" i="48"/>
  <c r="M55" i="42"/>
  <c r="J20" i="43"/>
  <c r="N53" i="42"/>
  <c r="R40" i="25"/>
  <c r="I18" i="47"/>
  <c r="G19" i="48"/>
  <c r="N5" i="47"/>
  <c r="M7" i="48"/>
  <c r="E3" i="48"/>
  <c r="I84" i="40"/>
  <c r="B24" i="47"/>
  <c r="K86" i="41"/>
  <c r="N32" i="40"/>
  <c r="M49" i="40"/>
  <c r="E40" i="50"/>
  <c r="F53" i="40"/>
  <c r="M43" i="42"/>
  <c r="I46" i="47"/>
  <c r="M19" i="49"/>
  <c r="C8" i="50"/>
  <c r="C54" i="41"/>
  <c r="D9" i="19"/>
  <c r="J27" i="19"/>
  <c r="M11" i="19"/>
  <c r="M38" i="19"/>
  <c r="B43" i="48"/>
  <c r="C83" i="40"/>
  <c r="M19" i="50"/>
  <c r="S96" i="25"/>
  <c r="I71" i="41"/>
  <c r="J26" i="42"/>
  <c r="F14" i="40"/>
  <c r="N7" i="40"/>
  <c r="G63" i="47"/>
  <c r="S72" i="25"/>
  <c r="N77" i="49"/>
  <c r="G52" i="41"/>
  <c r="I83" i="41"/>
  <c r="N37" i="50"/>
  <c r="B130" i="50"/>
  <c r="M13" i="49"/>
  <c r="Q8" i="25"/>
  <c r="K19" i="49"/>
  <c r="C88" i="47"/>
  <c r="J88" i="47"/>
  <c r="B8" i="47"/>
  <c r="C48" i="49"/>
  <c r="Q37" i="25"/>
  <c r="C8" i="43"/>
  <c r="N32" i="49"/>
  <c r="I42" i="42"/>
  <c r="C39" i="47"/>
  <c r="E18" i="25"/>
  <c r="G40" i="48"/>
  <c r="M50" i="49"/>
  <c r="G52" i="40"/>
  <c r="B35" i="42"/>
  <c r="G36" i="49"/>
  <c r="C171" i="41"/>
  <c r="J8" i="41"/>
  <c r="J64" i="50"/>
  <c r="I146" i="41"/>
  <c r="F65" i="40"/>
  <c r="C20" i="47"/>
  <c r="F43" i="48"/>
  <c r="J5" i="19"/>
  <c r="I21" i="41"/>
  <c r="F21" i="40"/>
  <c r="K52" i="47"/>
  <c r="N49" i="40"/>
  <c r="J52" i="47"/>
  <c r="I25" i="48"/>
  <c r="G10" i="43"/>
  <c r="I80" i="48"/>
  <c r="M33" i="50"/>
  <c r="B10" i="49"/>
  <c r="M21" i="49"/>
  <c r="N81" i="40"/>
  <c r="E8" i="49"/>
  <c r="B28" i="40"/>
  <c r="G4" i="47"/>
  <c r="K66" i="40"/>
  <c r="J52" i="50"/>
  <c r="B81" i="41"/>
  <c r="B18" i="40"/>
  <c r="G32" i="43"/>
  <c r="D54" i="47"/>
  <c r="M28" i="49"/>
  <c r="C38" i="41"/>
  <c r="C33" i="49"/>
  <c r="F6" i="19"/>
  <c r="M25" i="49"/>
  <c r="C31" i="47"/>
  <c r="F8" i="49"/>
  <c r="B47" i="50"/>
  <c r="C11" i="43"/>
  <c r="C14" i="40"/>
  <c r="F15" i="48"/>
  <c r="F76" i="42"/>
  <c r="M131" i="49"/>
  <c r="B20" i="47"/>
  <c r="F60" i="41"/>
  <c r="D9" i="50"/>
  <c r="G88" i="48"/>
  <c r="J43" i="47"/>
  <c r="J60" i="42"/>
  <c r="K14" i="47"/>
  <c r="F11" i="42"/>
  <c r="C61" i="40"/>
  <c r="G40" i="40"/>
  <c r="R48" i="43"/>
  <c r="K48" i="43"/>
  <c r="K51" i="47"/>
  <c r="N4" i="47"/>
  <c r="B24" i="40"/>
  <c r="N52" i="43"/>
  <c r="D185" i="47"/>
  <c r="I49" i="50"/>
  <c r="G46" i="43"/>
  <c r="C85" i="41"/>
  <c r="G30" i="43"/>
  <c r="L47" i="47"/>
  <c r="F25" i="48"/>
  <c r="I14" i="43"/>
  <c r="M27" i="42"/>
  <c r="G65" i="41"/>
  <c r="J64" i="48"/>
  <c r="R15" i="47"/>
  <c r="D33" i="49"/>
  <c r="B46" i="48"/>
  <c r="M22" i="40"/>
  <c r="B9" i="50"/>
  <c r="I152" i="40"/>
  <c r="I22" i="40"/>
  <c r="K17" i="49"/>
  <c r="B2" i="42"/>
  <c r="N14" i="43"/>
  <c r="M66" i="40"/>
  <c r="B42" i="41"/>
  <c r="N30" i="50"/>
  <c r="M5" i="41"/>
  <c r="J52" i="49"/>
  <c r="G53" i="49"/>
  <c r="G54" i="47"/>
  <c r="F18" i="19"/>
  <c r="F62" i="42" s="1"/>
  <c r="C3" i="47"/>
  <c r="J4" i="48"/>
  <c r="N32" i="25"/>
  <c r="N55" i="47"/>
  <c r="I81" i="41"/>
  <c r="F27" i="41"/>
  <c r="C25" i="40"/>
  <c r="K41" i="48"/>
  <c r="B62" i="48"/>
  <c r="M27" i="43"/>
  <c r="J58" i="50"/>
  <c r="K30" i="49"/>
  <c r="R97" i="25"/>
  <c r="G68" i="50"/>
  <c r="F6" i="42"/>
  <c r="H211" i="6"/>
  <c r="E14" i="25"/>
  <c r="F69" i="41"/>
  <c r="N20" i="50"/>
  <c r="G22" i="41"/>
  <c r="D42" i="50"/>
  <c r="I44" i="40"/>
  <c r="J44" i="19"/>
  <c r="B49" i="49"/>
  <c r="B51" i="41"/>
  <c r="N8" i="48"/>
  <c r="N51" i="49"/>
  <c r="K8" i="48"/>
  <c r="J58" i="48"/>
  <c r="N36" i="47"/>
  <c r="B9" i="41"/>
  <c r="G44" i="40"/>
  <c r="G87" i="40"/>
  <c r="F26" i="42"/>
  <c r="F51" i="48"/>
  <c r="K8" i="47"/>
  <c r="F4" i="43"/>
  <c r="K73" i="48"/>
  <c r="F9" i="49"/>
  <c r="I51" i="41"/>
  <c r="F29" i="49"/>
  <c r="E33" i="25"/>
  <c r="C73" i="41"/>
  <c r="I52" i="49"/>
  <c r="F54" i="49"/>
  <c r="I47" i="48"/>
  <c r="M24" i="40"/>
  <c r="G48" i="40"/>
  <c r="B25" i="49"/>
  <c r="M51" i="43"/>
  <c r="F80" i="40"/>
  <c r="D54" i="42"/>
  <c r="J49" i="43"/>
  <c r="I7" i="47"/>
  <c r="B79" i="41"/>
  <c r="G62" i="41"/>
  <c r="J40" i="48"/>
  <c r="G42" i="41"/>
  <c r="I24" i="43"/>
  <c r="C65" i="40"/>
  <c r="B50" i="47"/>
  <c r="C53" i="41"/>
  <c r="M168" i="48"/>
  <c r="N19" i="40"/>
  <c r="C30" i="42"/>
  <c r="K11" i="41"/>
  <c r="F47" i="42"/>
  <c r="F84" i="48"/>
  <c r="B35" i="41"/>
  <c r="N30" i="43"/>
  <c r="D18" i="43"/>
  <c r="F2" i="43"/>
  <c r="M7" i="47"/>
  <c r="F54" i="43"/>
  <c r="J19" i="50"/>
  <c r="D32" i="47"/>
  <c r="K87" i="47"/>
  <c r="I74" i="40"/>
  <c r="F50" i="42"/>
  <c r="I70" i="41"/>
  <c r="K16" i="47"/>
  <c r="I16" i="48"/>
  <c r="Q22" i="25"/>
  <c r="J19" i="41"/>
  <c r="EB40" i="1"/>
  <c r="N54" i="50"/>
  <c r="F33" i="43"/>
  <c r="I31" i="43"/>
  <c r="I27" i="40"/>
  <c r="M54" i="42"/>
  <c r="E146" i="48"/>
  <c r="C6" i="42"/>
  <c r="D21" i="40"/>
  <c r="C50" i="47"/>
  <c r="I43" i="40"/>
  <c r="N51" i="47"/>
  <c r="F55" i="41"/>
  <c r="B62" i="40"/>
  <c r="C47" i="48"/>
  <c r="D41" i="41"/>
  <c r="M32" i="43"/>
  <c r="I61" i="41"/>
  <c r="F52" i="47"/>
  <c r="M9" i="19"/>
  <c r="J14" i="47"/>
  <c r="G19" i="47"/>
  <c r="J11" i="41"/>
  <c r="B47" i="41"/>
  <c r="Q7" i="25"/>
  <c r="B84" i="40"/>
  <c r="J55" i="42"/>
  <c r="C31" i="43"/>
  <c r="I12" i="25"/>
  <c r="N7" i="43"/>
  <c r="K52" i="40"/>
  <c r="D146" i="41"/>
  <c r="D16" i="43"/>
  <c r="M5" i="48"/>
  <c r="I35" i="25"/>
  <c r="M8" i="43"/>
  <c r="M38" i="48"/>
  <c r="C29" i="47"/>
  <c r="J14" i="40"/>
  <c r="K54" i="47"/>
  <c r="B145" i="41"/>
  <c r="D88" i="48"/>
  <c r="M174" i="41"/>
  <c r="C172" i="41"/>
  <c r="E3" i="49"/>
  <c r="M38" i="47"/>
  <c r="C32" i="40"/>
  <c r="G29" i="47"/>
  <c r="G28" i="42"/>
  <c r="N32" i="50"/>
  <c r="I27" i="48"/>
  <c r="E47" i="48"/>
  <c r="B50" i="40"/>
  <c r="M83" i="41"/>
  <c r="I146" i="48"/>
  <c r="M26" i="50"/>
  <c r="M84" i="41"/>
  <c r="F21" i="19"/>
  <c r="C55" i="50"/>
  <c r="K10" i="40"/>
  <c r="K17" i="48"/>
  <c r="G48" i="42"/>
  <c r="M3" i="43"/>
  <c r="B35" i="40"/>
  <c r="N86" i="41"/>
  <c r="D33" i="43"/>
  <c r="F29" i="43"/>
  <c r="J47" i="25"/>
  <c r="J30" i="43"/>
  <c r="I40" i="48"/>
  <c r="N22" i="43"/>
  <c r="C8" i="47"/>
  <c r="J80" i="40"/>
  <c r="F4" i="47"/>
  <c r="K49" i="43"/>
  <c r="M70" i="48"/>
  <c r="M40" i="41"/>
  <c r="N21" i="48"/>
  <c r="R59" i="40"/>
  <c r="N15" i="43"/>
  <c r="M5" i="19"/>
  <c r="D44" i="19"/>
  <c r="I22" i="43"/>
  <c r="M16" i="19"/>
  <c r="M5" i="42"/>
  <c r="G39" i="48"/>
  <c r="F28" i="42"/>
  <c r="M54" i="40"/>
  <c r="I65" i="41"/>
  <c r="D185" i="48"/>
  <c r="J39" i="42"/>
  <c r="N32" i="41"/>
  <c r="M44" i="40"/>
  <c r="I62" i="40"/>
  <c r="N36" i="40"/>
  <c r="I14" i="49"/>
  <c r="J41" i="19"/>
  <c r="B80" i="40"/>
  <c r="M10" i="50"/>
  <c r="E80" i="48"/>
  <c r="I152" i="47"/>
  <c r="J20" i="19"/>
  <c r="J64" i="42" s="1"/>
  <c r="B76" i="47"/>
  <c r="M33" i="19"/>
  <c r="K6" i="19"/>
  <c r="G3" i="42"/>
  <c r="M53" i="41"/>
  <c r="K53" i="50"/>
  <c r="K20" i="50"/>
  <c r="J31" i="19"/>
  <c r="G31" i="40"/>
  <c r="N49" i="49"/>
  <c r="I27" i="43"/>
  <c r="M4" i="47"/>
  <c r="G13" i="49"/>
  <c r="I11" i="12"/>
  <c r="J60" i="40"/>
  <c r="G81" i="48"/>
  <c r="K44" i="48"/>
  <c r="B4" i="48"/>
  <c r="I2" i="43"/>
  <c r="F6" i="41"/>
  <c r="F32" i="19"/>
  <c r="G57" i="41"/>
  <c r="I18" i="49"/>
  <c r="I24" i="48"/>
  <c r="M22" i="48"/>
  <c r="B53" i="43"/>
  <c r="L25" i="40"/>
  <c r="G6" i="43"/>
  <c r="P59" i="16"/>
  <c r="P203" i="16"/>
  <c r="P239" i="16"/>
  <c r="P83" i="16"/>
  <c r="P62" i="16"/>
  <c r="P103" i="16"/>
  <c r="Q105" i="16"/>
  <c r="Q82" i="16"/>
  <c r="Q71" i="16"/>
  <c r="Q181" i="16"/>
  <c r="M71" i="47"/>
  <c r="Q37" i="16"/>
  <c r="L29" i="17"/>
  <c r="L37" i="17"/>
  <c r="Q180" i="16"/>
  <c r="J75" i="41"/>
  <c r="I28" i="48"/>
  <c r="B30" i="47"/>
  <c r="G24" i="47"/>
  <c r="N43" i="43"/>
  <c r="I59" i="47"/>
  <c r="D36" i="50"/>
  <c r="M49" i="42"/>
  <c r="I62" i="49"/>
  <c r="AF81" i="14"/>
  <c r="I7" i="50"/>
  <c r="J14" i="48"/>
  <c r="R180" i="47"/>
  <c r="M75" i="50"/>
  <c r="D32" i="41"/>
  <c r="I6" i="48"/>
  <c r="F20" i="42"/>
  <c r="J43" i="25"/>
  <c r="EB23" i="1"/>
  <c r="I88" i="48"/>
  <c r="I57" i="42"/>
  <c r="E47" i="25"/>
  <c r="M8" i="47"/>
  <c r="J31" i="43"/>
  <c r="C44" i="40"/>
  <c r="F10" i="43"/>
  <c r="I20" i="42"/>
  <c r="F24" i="42"/>
  <c r="D6" i="25"/>
  <c r="C171" i="40"/>
  <c r="M19" i="40"/>
  <c r="B52" i="43"/>
  <c r="EB22" i="1"/>
  <c r="C64" i="49"/>
  <c r="D42" i="40"/>
  <c r="B49" i="42"/>
  <c r="K41" i="43"/>
  <c r="B71" i="48"/>
  <c r="F79" i="41"/>
  <c r="K53" i="40"/>
  <c r="F17" i="41"/>
  <c r="C26" i="50"/>
  <c r="M40" i="42"/>
  <c r="N42" i="40"/>
  <c r="B40" i="40"/>
  <c r="R81" i="47"/>
  <c r="C3" i="42"/>
  <c r="C182" i="48"/>
  <c r="M71" i="42"/>
  <c r="B73" i="50"/>
  <c r="EB13" i="1"/>
  <c r="J82" i="25"/>
  <c r="I77" i="48"/>
  <c r="N25" i="43"/>
  <c r="M21" i="48"/>
  <c r="D15" i="48"/>
  <c r="N146" i="47"/>
  <c r="N19" i="41"/>
  <c r="I86" i="41"/>
  <c r="C3" i="41"/>
  <c r="N6" i="50"/>
  <c r="S39" i="25"/>
  <c r="F30" i="50"/>
  <c r="J25" i="47"/>
  <c r="K25" i="41"/>
  <c r="C28" i="48"/>
  <c r="J27" i="40"/>
  <c r="C86" i="41"/>
  <c r="I71" i="42"/>
  <c r="I26" i="48"/>
  <c r="L34" i="25"/>
  <c r="I39" i="40"/>
  <c r="B17" i="50"/>
  <c r="E84" i="25"/>
  <c r="H236" i="6"/>
  <c r="F41" i="41"/>
  <c r="C146" i="47"/>
  <c r="G49" i="48"/>
  <c r="D58" i="43"/>
  <c r="J30" i="41"/>
  <c r="M49" i="47"/>
  <c r="J40" i="50"/>
  <c r="M7" i="41"/>
  <c r="F21" i="43"/>
  <c r="C42" i="47"/>
  <c r="G54" i="41"/>
  <c r="J52" i="42"/>
  <c r="I53" i="50"/>
  <c r="D20" i="40"/>
  <c r="D21" i="49"/>
  <c r="N6" i="48"/>
  <c r="EB34" i="1"/>
  <c r="L36" i="50"/>
  <c r="G37" i="41"/>
  <c r="C126" i="42"/>
  <c r="N86" i="40"/>
  <c r="G55" i="47"/>
  <c r="F27" i="48"/>
  <c r="D8" i="47"/>
  <c r="J19" i="48"/>
  <c r="I31" i="25"/>
  <c r="G59" i="25"/>
  <c r="J41" i="49"/>
  <c r="M58" i="25"/>
  <c r="F14" i="50"/>
  <c r="K62" i="48"/>
  <c r="F50" i="48"/>
  <c r="M81" i="40"/>
  <c r="J53" i="41"/>
  <c r="J72" i="47"/>
  <c r="G30" i="50"/>
  <c r="J65" i="47"/>
  <c r="I63" i="41"/>
  <c r="C49" i="41"/>
  <c r="G37" i="50"/>
  <c r="R15" i="48"/>
  <c r="M32" i="47"/>
  <c r="L179" i="48"/>
  <c r="I27" i="47"/>
  <c r="J47" i="43"/>
  <c r="J58" i="41"/>
  <c r="G47" i="43"/>
  <c r="M3" i="42"/>
  <c r="M52" i="40"/>
  <c r="B29" i="49"/>
  <c r="K53" i="49"/>
  <c r="C53" i="48"/>
  <c r="C63" i="43"/>
  <c r="M88" i="48"/>
  <c r="N50" i="50"/>
  <c r="S13" i="25"/>
  <c r="J31" i="50"/>
  <c r="K54" i="41"/>
  <c r="J21" i="41"/>
  <c r="D10" i="47"/>
  <c r="I73" i="40"/>
  <c r="M16" i="43"/>
  <c r="J10" i="43"/>
  <c r="I2" i="47"/>
  <c r="M59" i="47"/>
  <c r="E29" i="50"/>
  <c r="K65" i="47"/>
  <c r="G8" i="42"/>
  <c r="D62" i="41"/>
  <c r="I57" i="47"/>
  <c r="G13" i="43"/>
  <c r="N47" i="43"/>
  <c r="J18" i="43"/>
  <c r="G53" i="40"/>
  <c r="N50" i="47"/>
  <c r="C38" i="50"/>
  <c r="I7" i="49"/>
  <c r="C41" i="19"/>
  <c r="M47" i="48"/>
  <c r="E51" i="41"/>
  <c r="D32" i="19"/>
  <c r="D76" i="41"/>
  <c r="B147" i="47"/>
  <c r="D21" i="19"/>
  <c r="F36" i="42"/>
  <c r="I28" i="41"/>
  <c r="M13" i="42"/>
  <c r="H460" i="6"/>
  <c r="R99" i="25"/>
  <c r="B37" i="42"/>
  <c r="C4" i="40"/>
  <c r="N28" i="49"/>
  <c r="I75" i="49"/>
  <c r="G6" i="40"/>
  <c r="P46" i="25"/>
  <c r="B36" i="41"/>
  <c r="N64" i="48"/>
  <c r="K22" i="50"/>
  <c r="B127" i="49"/>
  <c r="G39" i="40"/>
  <c r="F87" i="41"/>
  <c r="I74" i="49"/>
  <c r="C4" i="48"/>
  <c r="N19" i="48"/>
  <c r="G37" i="48"/>
  <c r="I33" i="48"/>
  <c r="F18" i="40"/>
  <c r="C16" i="48"/>
  <c r="C26" i="49"/>
  <c r="C19" i="43"/>
  <c r="K64" i="41"/>
  <c r="AF77" i="14"/>
  <c r="L146" i="48"/>
  <c r="G39" i="42"/>
  <c r="M73" i="48"/>
  <c r="B14" i="43"/>
  <c r="S26" i="25"/>
  <c r="N40" i="41"/>
  <c r="D19" i="50"/>
  <c r="M31" i="40"/>
  <c r="N50" i="41"/>
  <c r="G55" i="48"/>
  <c r="D60" i="40"/>
  <c r="M59" i="48"/>
  <c r="F7" i="41"/>
  <c r="D131" i="43"/>
  <c r="I46" i="41"/>
  <c r="M69" i="40"/>
  <c r="S11" i="25"/>
  <c r="J84" i="47"/>
  <c r="R23" i="25"/>
  <c r="N146" i="48"/>
  <c r="G32" i="48"/>
  <c r="K16" i="48"/>
  <c r="C15" i="43"/>
  <c r="J14" i="41"/>
  <c r="B27" i="48"/>
  <c r="N49" i="48"/>
  <c r="B22" i="43"/>
  <c r="C82" i="41"/>
  <c r="B65" i="40"/>
  <c r="D58" i="40"/>
  <c r="B53" i="48"/>
  <c r="I61" i="40"/>
  <c r="D10" i="49"/>
  <c r="D44" i="41"/>
  <c r="B88" i="41"/>
  <c r="C4" i="50"/>
  <c r="F10" i="42"/>
  <c r="G82" i="41"/>
  <c r="F22" i="47"/>
  <c r="D55" i="47"/>
  <c r="N48" i="42"/>
  <c r="J26" i="40"/>
  <c r="K15" i="47"/>
  <c r="G20" i="47"/>
  <c r="C15" i="40"/>
  <c r="G85" i="41"/>
  <c r="M20" i="43"/>
  <c r="M44" i="48"/>
  <c r="F48" i="49"/>
  <c r="B32" i="43"/>
  <c r="C54" i="42"/>
  <c r="D11" i="42"/>
  <c r="G63" i="40"/>
  <c r="N31" i="43"/>
  <c r="B8" i="42"/>
  <c r="C25" i="47"/>
  <c r="I32" i="47"/>
  <c r="N38" i="40"/>
  <c r="B19" i="41"/>
  <c r="K8" i="42"/>
  <c r="D41" i="50"/>
  <c r="I5" i="12"/>
  <c r="D3" i="41"/>
  <c r="G46" i="42"/>
  <c r="B50" i="48"/>
  <c r="P19" i="25"/>
  <c r="M42" i="19"/>
  <c r="M82" i="48"/>
  <c r="M64" i="48"/>
  <c r="I15" i="48"/>
  <c r="J50" i="48"/>
  <c r="K31" i="50"/>
  <c r="B86" i="40"/>
  <c r="K65" i="41"/>
  <c r="C54" i="40"/>
  <c r="C19" i="48"/>
  <c r="M48" i="48"/>
  <c r="F80" i="41"/>
  <c r="C30" i="47"/>
  <c r="D15" i="47"/>
  <c r="D53" i="50"/>
  <c r="G25" i="49"/>
  <c r="K25" i="42"/>
  <c r="I40" i="41"/>
  <c r="C49" i="43"/>
  <c r="D48" i="49"/>
  <c r="D54" i="48"/>
  <c r="J63" i="40"/>
  <c r="N41" i="50"/>
  <c r="I46" i="48"/>
  <c r="I51" i="47"/>
  <c r="N47" i="47"/>
  <c r="F27" i="47"/>
  <c r="M53" i="47"/>
  <c r="G64" i="48"/>
  <c r="I51" i="43"/>
  <c r="K32" i="47"/>
  <c r="N84" i="48"/>
  <c r="M47" i="43"/>
  <c r="I79" i="41"/>
  <c r="G44" i="48"/>
  <c r="M57" i="25"/>
  <c r="I57" i="48"/>
  <c r="S33" i="25"/>
  <c r="B88" i="47"/>
  <c r="G79" i="25"/>
  <c r="B39" i="47"/>
  <c r="G66" i="25"/>
  <c r="M176" i="47"/>
  <c r="F82" i="41"/>
  <c r="J20" i="48"/>
  <c r="G47" i="49"/>
  <c r="C66" i="48"/>
  <c r="J48" i="41"/>
  <c r="R49" i="25"/>
  <c r="N18" i="49"/>
  <c r="Q60" i="25"/>
  <c r="G41" i="48"/>
  <c r="J50" i="41"/>
  <c r="B37" i="50"/>
  <c r="D22" i="42"/>
  <c r="K77" i="43"/>
  <c r="K15" i="43"/>
  <c r="G27" i="47"/>
  <c r="D21" i="42"/>
  <c r="B8" i="48"/>
  <c r="I4" i="42"/>
  <c r="I54" i="47"/>
  <c r="M26" i="43"/>
  <c r="G26" i="40"/>
  <c r="G35" i="41"/>
  <c r="B39" i="48"/>
  <c r="B28" i="49"/>
  <c r="N38" i="43"/>
  <c r="K25" i="47"/>
  <c r="J49" i="50"/>
  <c r="C54" i="47"/>
  <c r="J7" i="43"/>
  <c r="J4" i="43"/>
  <c r="M30" i="43"/>
  <c r="L47" i="41"/>
  <c r="J16" i="47"/>
  <c r="B47" i="48"/>
  <c r="C18" i="49"/>
  <c r="J61" i="41"/>
  <c r="D22" i="48"/>
  <c r="M52" i="43"/>
  <c r="B32" i="47"/>
  <c r="N20" i="48"/>
  <c r="K41" i="47"/>
  <c r="N88" i="48"/>
  <c r="K6" i="47"/>
  <c r="G31" i="48"/>
  <c r="B33" i="48"/>
  <c r="B6" i="50"/>
  <c r="C49" i="50"/>
  <c r="D32" i="49"/>
  <c r="M85" i="41"/>
  <c r="J59" i="40"/>
  <c r="G50" i="40"/>
  <c r="E30" i="49"/>
  <c r="F42" i="40"/>
  <c r="N10" i="42"/>
  <c r="K32" i="43"/>
  <c r="I27" i="50"/>
  <c r="B15" i="43"/>
  <c r="G17" i="49"/>
  <c r="C62" i="41"/>
  <c r="J64" i="40"/>
  <c r="I29" i="43"/>
  <c r="N41" i="41"/>
  <c r="I31" i="50"/>
  <c r="N49" i="41"/>
  <c r="J58" i="47"/>
  <c r="N39" i="50"/>
  <c r="K47" i="42"/>
  <c r="I51" i="48"/>
  <c r="I42" i="40"/>
  <c r="B5" i="43"/>
  <c r="G84" i="40"/>
  <c r="I19" i="48"/>
  <c r="B22" i="47"/>
  <c r="R26" i="48"/>
  <c r="J37" i="50"/>
  <c r="G29" i="49"/>
  <c r="D66" i="48"/>
  <c r="C10" i="41"/>
  <c r="I52" i="43"/>
  <c r="R44" i="25"/>
  <c r="K84" i="48"/>
  <c r="N38" i="41"/>
  <c r="F48" i="47"/>
  <c r="I6" i="12"/>
  <c r="J65" i="41"/>
  <c r="J4" i="19"/>
  <c r="I58" i="47"/>
  <c r="K30" i="48"/>
  <c r="B55" i="47"/>
  <c r="F5" i="49"/>
  <c r="C6" i="47"/>
  <c r="C28" i="47"/>
  <c r="I17" i="48"/>
  <c r="E25" i="47"/>
  <c r="F48" i="43"/>
  <c r="D53" i="42"/>
  <c r="K16" i="40"/>
  <c r="F31" i="47"/>
  <c r="B66" i="40"/>
  <c r="I30" i="47"/>
  <c r="M172" i="40"/>
  <c r="G36" i="50"/>
  <c r="F7" i="40"/>
  <c r="N5" i="50"/>
  <c r="F66" i="41"/>
  <c r="J7" i="42"/>
  <c r="K50" i="42"/>
  <c r="C59" i="48"/>
  <c r="G10" i="48"/>
  <c r="G43" i="49"/>
  <c r="I5" i="40"/>
  <c r="I73" i="41"/>
  <c r="G30" i="25"/>
  <c r="D22" i="43"/>
  <c r="I48" i="47"/>
  <c r="G39" i="41"/>
  <c r="C41" i="41"/>
  <c r="N31" i="48"/>
  <c r="J29" i="50"/>
  <c r="C15" i="48"/>
  <c r="F3" i="42"/>
  <c r="F9" i="42"/>
  <c r="M50" i="41"/>
  <c r="J29" i="49"/>
  <c r="C9" i="42"/>
  <c r="D10" i="42"/>
  <c r="F4" i="49"/>
  <c r="G5" i="49"/>
  <c r="F21" i="48"/>
  <c r="K33" i="41"/>
  <c r="N59" i="40"/>
  <c r="G6" i="49"/>
  <c r="J39" i="41"/>
  <c r="F20" i="50"/>
  <c r="C5" i="49"/>
  <c r="C30" i="50"/>
  <c r="C146" i="48"/>
  <c r="I4" i="47"/>
  <c r="C37" i="48"/>
  <c r="B9" i="42"/>
  <c r="I47" i="47"/>
  <c r="J85" i="48"/>
  <c r="B6" i="47"/>
  <c r="C30" i="19"/>
  <c r="D11" i="19"/>
  <c r="J48" i="42"/>
  <c r="K8" i="19"/>
  <c r="J59" i="42"/>
  <c r="M39" i="19"/>
  <c r="F75" i="47"/>
  <c r="J48" i="43"/>
  <c r="G13" i="48"/>
  <c r="C40" i="19"/>
  <c r="N27" i="42"/>
  <c r="L14" i="48"/>
  <c r="D67" i="25"/>
  <c r="J70" i="50"/>
  <c r="M8" i="48"/>
  <c r="B83" i="48"/>
  <c r="B176" i="48"/>
  <c r="J54" i="50"/>
  <c r="I5" i="41"/>
  <c r="C21" i="49"/>
  <c r="I32" i="48"/>
  <c r="L38" i="25"/>
  <c r="C65" i="41"/>
  <c r="R4" i="49"/>
  <c r="F7" i="19"/>
  <c r="N36" i="50"/>
  <c r="K31" i="19"/>
  <c r="J86" i="41"/>
  <c r="B32" i="40"/>
  <c r="G66" i="40"/>
  <c r="J27" i="49"/>
  <c r="N28" i="43"/>
  <c r="C64" i="48"/>
  <c r="N54" i="48"/>
  <c r="I3" i="42"/>
  <c r="I29" i="50"/>
  <c r="M29" i="47"/>
  <c r="G17" i="47"/>
  <c r="D63" i="47"/>
  <c r="F49" i="40"/>
  <c r="I42" i="41"/>
  <c r="I28" i="47"/>
  <c r="B41" i="41"/>
  <c r="E14" i="40"/>
  <c r="J59" i="49"/>
  <c r="D41" i="19"/>
  <c r="D74" i="40" s="1"/>
  <c r="C53" i="43"/>
  <c r="I19" i="43"/>
  <c r="C49" i="48"/>
  <c r="J6" i="19"/>
  <c r="K66" i="50"/>
  <c r="N63" i="41"/>
  <c r="C33" i="19"/>
  <c r="J7" i="19"/>
  <c r="P60" i="16"/>
  <c r="Q72" i="16"/>
  <c r="Q96" i="16"/>
  <c r="Q126" i="16"/>
  <c r="Q227" i="16"/>
  <c r="Q106" i="16"/>
  <c r="L5" i="17"/>
  <c r="P26" i="16"/>
  <c r="P50" i="16"/>
  <c r="P16" i="16"/>
  <c r="C73" i="47"/>
  <c r="P191" i="16"/>
  <c r="P238" i="16"/>
  <c r="Q52" i="16"/>
  <c r="Q117" i="16"/>
  <c r="P215" i="16"/>
  <c r="I154" i="47"/>
  <c r="D15" i="40"/>
  <c r="I49" i="43"/>
  <c r="I9" i="25"/>
  <c r="C171" i="48"/>
  <c r="G73" i="25"/>
  <c r="I87" i="25"/>
  <c r="I40" i="40"/>
  <c r="D50" i="49"/>
  <c r="K21" i="43"/>
  <c r="I30" i="43"/>
  <c r="B55" i="48"/>
  <c r="B30" i="43"/>
  <c r="N44" i="25"/>
  <c r="H500" i="6"/>
  <c r="B21" i="49"/>
  <c r="F7" i="43"/>
  <c r="C81" i="41"/>
  <c r="N43" i="40"/>
  <c r="B39" i="50"/>
  <c r="F15" i="47"/>
  <c r="I17" i="43"/>
  <c r="M44" i="50"/>
  <c r="I66" i="48"/>
  <c r="M6" i="48"/>
  <c r="EB25" i="1"/>
  <c r="H19" i="25"/>
  <c r="G38" i="50"/>
  <c r="I49" i="40"/>
  <c r="C33" i="40"/>
  <c r="B22" i="49"/>
  <c r="C31" i="19"/>
  <c r="C75" i="48" s="1"/>
  <c r="I20" i="25"/>
  <c r="K33" i="40"/>
  <c r="B24" i="43"/>
  <c r="M174" i="40"/>
  <c r="J21" i="47"/>
  <c r="G14" i="48"/>
  <c r="I21" i="48"/>
  <c r="G29" i="40"/>
  <c r="K7" i="19"/>
  <c r="G51" i="48"/>
  <c r="J65" i="25"/>
  <c r="C183" i="40"/>
  <c r="F5" i="25"/>
  <c r="C65" i="50"/>
  <c r="B28" i="50"/>
  <c r="P56" i="25"/>
  <c r="I10" i="12"/>
  <c r="O12" i="25"/>
  <c r="F83" i="48"/>
  <c r="B52" i="49"/>
  <c r="J65" i="40"/>
  <c r="J83" i="48"/>
  <c r="J8" i="43"/>
  <c r="D184" i="40"/>
  <c r="K31" i="42"/>
  <c r="C39" i="48"/>
  <c r="F8" i="50"/>
  <c r="D53" i="49"/>
  <c r="J3" i="49"/>
  <c r="M31" i="49"/>
  <c r="D42" i="41"/>
  <c r="K25" i="40"/>
  <c r="F26" i="50"/>
  <c r="M38" i="40"/>
  <c r="M40" i="48"/>
  <c r="I41" i="40"/>
  <c r="C80" i="48"/>
  <c r="I43" i="47"/>
  <c r="I7" i="12"/>
  <c r="B49" i="48"/>
  <c r="N30" i="48"/>
  <c r="K10" i="42"/>
  <c r="H170" i="6"/>
  <c r="Q26" i="25"/>
  <c r="M40" i="25"/>
  <c r="D10" i="40"/>
  <c r="G11" i="40"/>
  <c r="N62" i="48"/>
  <c r="C64" i="41"/>
  <c r="L36" i="42"/>
  <c r="G8" i="43"/>
  <c r="G44" i="41"/>
  <c r="G33" i="48"/>
  <c r="N58" i="47"/>
  <c r="B53" i="47"/>
  <c r="F21" i="41"/>
  <c r="J72" i="40"/>
  <c r="C61" i="41"/>
  <c r="M33" i="49"/>
  <c r="F30" i="48"/>
  <c r="J25" i="48"/>
  <c r="C52" i="42"/>
  <c r="F57" i="47"/>
  <c r="C7" i="43"/>
  <c r="K42" i="48"/>
  <c r="G86" i="48"/>
  <c r="L80" i="41"/>
  <c r="R26" i="49"/>
  <c r="D8" i="41"/>
  <c r="I18" i="41"/>
  <c r="Q46" i="25"/>
  <c r="D63" i="48"/>
  <c r="M50" i="40"/>
  <c r="F88" i="41"/>
  <c r="C25" i="50"/>
  <c r="I46" i="40"/>
  <c r="G65" i="48"/>
  <c r="I19" i="41"/>
  <c r="I61" i="47"/>
  <c r="F62" i="49"/>
  <c r="M17" i="47"/>
  <c r="G18" i="50"/>
  <c r="G33" i="43"/>
  <c r="I64" i="40"/>
  <c r="J9" i="47"/>
  <c r="E40" i="48"/>
  <c r="N4" i="41"/>
  <c r="B48" i="47"/>
  <c r="B51" i="47"/>
  <c r="J87" i="41"/>
  <c r="M32" i="42"/>
  <c r="G50" i="42"/>
  <c r="K10" i="50"/>
  <c r="F16" i="43"/>
  <c r="D20" i="19"/>
  <c r="D64" i="49" s="1"/>
  <c r="Q92" i="16"/>
  <c r="Q125" i="16"/>
  <c r="P115" i="16"/>
  <c r="L49" i="17"/>
  <c r="Q60" i="16"/>
  <c r="P70" i="16"/>
  <c r="J62" i="43"/>
  <c r="P39" i="16"/>
  <c r="P38" i="16"/>
  <c r="M27" i="41"/>
  <c r="B150" i="47"/>
  <c r="N33" i="40"/>
  <c r="N50" i="43"/>
  <c r="K18" i="47"/>
  <c r="D31" i="40"/>
  <c r="D43" i="48"/>
  <c r="N51" i="50"/>
  <c r="J66" i="41"/>
  <c r="N3" i="48"/>
  <c r="N22" i="49"/>
  <c r="D10" i="19"/>
  <c r="D15" i="41"/>
  <c r="AF143" i="14"/>
  <c r="G35" i="42"/>
  <c r="E47" i="49"/>
  <c r="Q24" i="25"/>
  <c r="N25" i="40"/>
  <c r="K21" i="40"/>
  <c r="F5" i="41"/>
  <c r="N4" i="43"/>
  <c r="L58" i="41"/>
  <c r="M54" i="49"/>
  <c r="M20" i="48"/>
  <c r="M5" i="47"/>
  <c r="D53" i="48"/>
  <c r="M42" i="41"/>
  <c r="D22" i="19"/>
  <c r="N6" i="41"/>
  <c r="I53" i="41"/>
  <c r="C8" i="48"/>
  <c r="M29" i="42"/>
  <c r="C33" i="43"/>
  <c r="L25" i="49"/>
  <c r="B36" i="50"/>
  <c r="B18" i="43"/>
  <c r="M37" i="48"/>
  <c r="I16" i="49"/>
  <c r="K39" i="25"/>
  <c r="C37" i="41"/>
  <c r="N36" i="41"/>
  <c r="C7" i="47"/>
  <c r="J16" i="49"/>
  <c r="N32" i="47"/>
  <c r="F33" i="40"/>
  <c r="H42" i="6"/>
  <c r="J80" i="48"/>
  <c r="I150" i="47"/>
  <c r="C40" i="48"/>
  <c r="M64" i="41"/>
  <c r="F28" i="19"/>
  <c r="D77" i="47"/>
  <c r="E25" i="49"/>
  <c r="J32" i="19"/>
  <c r="C19" i="40"/>
  <c r="I37" i="41"/>
  <c r="K20" i="19"/>
  <c r="C47" i="49"/>
  <c r="K20" i="42"/>
  <c r="J10" i="49"/>
  <c r="F37" i="50"/>
  <c r="B27" i="50"/>
  <c r="I6" i="43"/>
  <c r="F48" i="50"/>
  <c r="F64" i="41"/>
  <c r="B3" i="47"/>
  <c r="K14" i="40"/>
  <c r="N7" i="49"/>
  <c r="F19" i="43"/>
  <c r="C5" i="19"/>
  <c r="N55" i="40"/>
  <c r="M10" i="48"/>
  <c r="M77" i="48"/>
  <c r="C9" i="43"/>
  <c r="C37" i="50"/>
  <c r="N18" i="47"/>
  <c r="J74" i="40"/>
  <c r="M32" i="49"/>
  <c r="J33" i="43"/>
  <c r="F38" i="47"/>
  <c r="N81" i="48"/>
  <c r="K84" i="40"/>
  <c r="F65" i="41"/>
  <c r="I7" i="48"/>
  <c r="B54" i="50"/>
  <c r="J42" i="41"/>
  <c r="N54" i="47"/>
  <c r="I145" i="48"/>
  <c r="M64" i="40"/>
  <c r="M17" i="19"/>
  <c r="C75" i="41"/>
  <c r="E29" i="41"/>
  <c r="M31" i="43"/>
  <c r="J17" i="41"/>
  <c r="K75" i="40"/>
  <c r="F43" i="19"/>
  <c r="I85" i="41"/>
  <c r="K44" i="19"/>
  <c r="M60" i="49"/>
  <c r="P74" i="16"/>
  <c r="P127" i="16"/>
  <c r="P15" i="16"/>
  <c r="P214" i="16"/>
  <c r="P95" i="16"/>
  <c r="L6" i="17"/>
  <c r="M61" i="49"/>
  <c r="M25" i="50"/>
  <c r="B146" i="41"/>
  <c r="I6" i="47"/>
  <c r="F146" i="48"/>
  <c r="B19" i="49"/>
  <c r="I11" i="49"/>
  <c r="C28" i="43"/>
  <c r="F30" i="19"/>
  <c r="DW40" i="1"/>
  <c r="R29" i="25"/>
  <c r="C16" i="19"/>
  <c r="G46" i="47"/>
  <c r="C127" i="42"/>
  <c r="B38" i="50"/>
  <c r="M14" i="48"/>
  <c r="M36" i="41"/>
  <c r="K54" i="42"/>
  <c r="M14" i="47"/>
  <c r="I33" i="42"/>
  <c r="I53" i="49"/>
  <c r="D30" i="47"/>
  <c r="M2" i="48"/>
  <c r="K54" i="40"/>
  <c r="M4" i="41"/>
  <c r="L25" i="47"/>
  <c r="M11" i="49"/>
  <c r="C36" i="50"/>
  <c r="M50" i="50"/>
  <c r="D17" i="49"/>
  <c r="J11" i="43"/>
  <c r="I50" i="40"/>
  <c r="K74" i="49"/>
  <c r="B10" i="43"/>
  <c r="N146" i="41"/>
  <c r="M55" i="49"/>
  <c r="M146" i="48"/>
  <c r="C85" i="40"/>
  <c r="B81" i="40"/>
  <c r="J32" i="43"/>
  <c r="G27" i="43"/>
  <c r="M17" i="40"/>
  <c r="J19" i="43"/>
  <c r="D32" i="40"/>
  <c r="M18" i="19"/>
  <c r="C74" i="40"/>
  <c r="D8" i="19"/>
  <c r="C74" i="41"/>
  <c r="D53" i="47"/>
  <c r="J18" i="19"/>
  <c r="E40" i="43"/>
  <c r="E80" i="40"/>
  <c r="K9" i="19"/>
  <c r="M10" i="19"/>
  <c r="B2" i="43"/>
  <c r="K3" i="43"/>
  <c r="N28" i="42"/>
  <c r="C50" i="49"/>
  <c r="I47" i="43"/>
  <c r="F42" i="50"/>
  <c r="F25" i="47"/>
  <c r="N27" i="48"/>
  <c r="C87" i="48"/>
  <c r="G57" i="40"/>
  <c r="I49" i="49"/>
  <c r="F9" i="43"/>
  <c r="M62" i="42"/>
  <c r="B150" i="40"/>
  <c r="G48" i="48"/>
  <c r="F20" i="19"/>
  <c r="M59" i="43"/>
  <c r="M10" i="43"/>
  <c r="I3" i="43"/>
  <c r="M4" i="49"/>
  <c r="K43" i="47"/>
  <c r="I148" i="40"/>
  <c r="N33" i="48"/>
  <c r="C59" i="41"/>
  <c r="N55" i="41"/>
  <c r="F74" i="49"/>
  <c r="C44" i="50"/>
  <c r="M18" i="41"/>
  <c r="J37" i="41"/>
  <c r="J36" i="47"/>
  <c r="B36" i="40"/>
  <c r="B85" i="41"/>
  <c r="K40" i="40"/>
  <c r="I2" i="41"/>
  <c r="F16" i="40"/>
  <c r="J11" i="19"/>
  <c r="C60" i="49"/>
  <c r="J49" i="49"/>
  <c r="I55" i="43"/>
  <c r="G9" i="43"/>
  <c r="M72" i="40"/>
  <c r="M31" i="50"/>
  <c r="F5" i="47"/>
  <c r="J60" i="43"/>
  <c r="M30" i="19"/>
  <c r="L38" i="17"/>
  <c r="Q84" i="16"/>
  <c r="Q93" i="16"/>
  <c r="Q224" i="16"/>
  <c r="F64" i="42"/>
  <c r="Q103" i="16"/>
  <c r="Q95" i="16"/>
  <c r="L7" i="17"/>
  <c r="P17" i="16"/>
  <c r="P114" i="16"/>
  <c r="Q50" i="16"/>
  <c r="Q236" i="16"/>
  <c r="J64" i="49"/>
  <c r="F76" i="47"/>
  <c r="G4" i="40"/>
  <c r="H31" i="25"/>
  <c r="F25" i="50"/>
  <c r="J27" i="47"/>
  <c r="B48" i="42"/>
  <c r="C18" i="43"/>
  <c r="N8" i="49"/>
  <c r="D14" i="48"/>
  <c r="D52" i="42"/>
  <c r="C47" i="50"/>
  <c r="N8" i="43"/>
  <c r="F29" i="41"/>
  <c r="E30" i="42"/>
  <c r="J32" i="47"/>
  <c r="I8" i="47"/>
  <c r="C180" i="41"/>
  <c r="N26" i="40"/>
  <c r="C26" i="19"/>
  <c r="M73" i="47"/>
  <c r="F22" i="49"/>
  <c r="G36" i="40"/>
  <c r="F7" i="42"/>
  <c r="B27" i="47"/>
  <c r="C50" i="43"/>
  <c r="N26" i="43"/>
  <c r="D16" i="40"/>
  <c r="G49" i="42"/>
  <c r="B81" i="48"/>
  <c r="F41" i="19"/>
  <c r="C37" i="19"/>
  <c r="K43" i="19"/>
  <c r="M63" i="50"/>
  <c r="Q16" i="16"/>
  <c r="P28" i="16"/>
  <c r="J61" i="43"/>
  <c r="M36" i="42"/>
  <c r="F24" i="25"/>
  <c r="C66" i="40"/>
  <c r="N40" i="50"/>
  <c r="D59" i="40"/>
  <c r="K58" i="48"/>
  <c r="F9" i="19"/>
  <c r="B13" i="49"/>
  <c r="D33" i="19"/>
  <c r="D87" i="40"/>
  <c r="I5" i="43"/>
  <c r="K33" i="49"/>
  <c r="B39" i="42"/>
  <c r="K62" i="50"/>
  <c r="M65" i="43"/>
  <c r="P106" i="16"/>
  <c r="C61" i="50"/>
  <c r="L30" i="17"/>
  <c r="F74" i="40"/>
  <c r="N49" i="50"/>
  <c r="J84" i="41"/>
  <c r="M26" i="42"/>
  <c r="M15" i="43"/>
  <c r="F47" i="43"/>
  <c r="Q237" i="16"/>
  <c r="K21" i="19"/>
  <c r="G16" i="47"/>
  <c r="C65" i="48"/>
  <c r="D20" i="47"/>
  <c r="C28" i="50"/>
  <c r="C20" i="41"/>
  <c r="F53" i="43"/>
  <c r="C53" i="42"/>
  <c r="C31" i="40"/>
  <c r="D42" i="19"/>
  <c r="G30" i="40"/>
  <c r="M51" i="40"/>
  <c r="P126" i="16"/>
  <c r="P49" i="16"/>
  <c r="P125" i="16"/>
  <c r="F8" i="19"/>
  <c r="J18" i="40"/>
  <c r="D36" i="48"/>
  <c r="J50" i="49"/>
  <c r="J59" i="47"/>
  <c r="C33" i="47"/>
  <c r="P63" i="16"/>
  <c r="D76" i="48"/>
  <c r="L182" i="48"/>
  <c r="E27" i="50"/>
  <c r="E16" i="42"/>
  <c r="L54" i="42"/>
  <c r="L53" i="40"/>
  <c r="E15" i="41"/>
  <c r="E50" i="42"/>
  <c r="E21" i="49"/>
  <c r="L130" i="50"/>
  <c r="E49" i="49"/>
  <c r="L28" i="49"/>
  <c r="L39" i="47"/>
  <c r="E18" i="42"/>
  <c r="L15" i="47"/>
  <c r="E8" i="47"/>
  <c r="E31" i="49"/>
  <c r="E31" i="47"/>
  <c r="L15" i="50"/>
  <c r="E55" i="48"/>
  <c r="L37" i="40"/>
  <c r="E32" i="43"/>
  <c r="L38" i="40"/>
  <c r="E81" i="47"/>
  <c r="L125" i="42"/>
  <c r="L169" i="40"/>
  <c r="L71" i="43"/>
  <c r="E85" i="41"/>
  <c r="E33" i="43"/>
  <c r="L27" i="49"/>
  <c r="E40" i="49"/>
  <c r="L170" i="47"/>
  <c r="E33" i="41"/>
  <c r="E32" i="40"/>
  <c r="L5" i="42"/>
  <c r="L39" i="40"/>
  <c r="E18" i="49"/>
  <c r="L15" i="40"/>
  <c r="L22" i="42"/>
  <c r="L15" i="41"/>
  <c r="L129" i="43"/>
  <c r="E64" i="41"/>
  <c r="L8" i="42"/>
  <c r="E55" i="40"/>
  <c r="E44" i="47"/>
  <c r="L184" i="48"/>
  <c r="L131" i="43"/>
  <c r="E43" i="40"/>
  <c r="L27" i="42"/>
  <c r="E38" i="47"/>
  <c r="E4" i="49"/>
  <c r="E26" i="42"/>
  <c r="L42" i="43"/>
  <c r="L129" i="42"/>
  <c r="L44" i="50"/>
  <c r="L28" i="43"/>
  <c r="E20" i="41"/>
  <c r="L54" i="49"/>
  <c r="L40" i="48"/>
  <c r="E6" i="47"/>
  <c r="L183" i="48"/>
  <c r="L16" i="50"/>
  <c r="L4" i="42"/>
  <c r="L62" i="41"/>
  <c r="L126" i="43"/>
  <c r="E6" i="48"/>
  <c r="E17" i="41"/>
  <c r="L39" i="48"/>
  <c r="L42" i="47"/>
  <c r="L11" i="43"/>
  <c r="E55" i="50"/>
  <c r="L37" i="41"/>
  <c r="L169" i="47"/>
  <c r="L31" i="43"/>
  <c r="E83" i="41"/>
  <c r="L38" i="42"/>
  <c r="L55" i="42"/>
  <c r="E44" i="40"/>
  <c r="E15" i="48"/>
  <c r="L41" i="43"/>
  <c r="L50" i="48"/>
  <c r="E37" i="42"/>
  <c r="E48" i="50"/>
  <c r="L40" i="40"/>
  <c r="E10" i="48"/>
  <c r="E5" i="48"/>
  <c r="L4" i="48"/>
  <c r="E4" i="48"/>
  <c r="L183" i="41"/>
  <c r="E16" i="43"/>
  <c r="L16" i="40"/>
  <c r="L174" i="41"/>
  <c r="E41" i="43"/>
  <c r="L10" i="41"/>
  <c r="L43" i="50"/>
  <c r="E9" i="48"/>
  <c r="L41" i="41"/>
  <c r="E44" i="41"/>
  <c r="L174" i="47"/>
  <c r="L51" i="42"/>
  <c r="L75" i="43"/>
  <c r="L184" i="47"/>
  <c r="L88" i="48"/>
  <c r="L88" i="40"/>
  <c r="L9" i="40"/>
  <c r="L9" i="48"/>
  <c r="L27" i="48"/>
  <c r="E26" i="43"/>
  <c r="E37" i="41"/>
  <c r="E71" i="49"/>
  <c r="E85" i="47"/>
  <c r="E10" i="49"/>
  <c r="L26" i="42"/>
  <c r="E61" i="41"/>
  <c r="J62" i="50"/>
  <c r="E71" i="50"/>
  <c r="L82" i="47"/>
  <c r="E72" i="49"/>
  <c r="E10" i="47"/>
  <c r="E11" i="43"/>
  <c r="L27" i="40"/>
  <c r="E9" i="42"/>
  <c r="E33" i="42"/>
  <c r="E76" i="49"/>
  <c r="L41" i="47"/>
  <c r="L44" i="41"/>
  <c r="E54" i="49"/>
  <c r="L39" i="43"/>
  <c r="L183" i="40"/>
  <c r="L22" i="49"/>
  <c r="L15" i="48"/>
  <c r="L129" i="50"/>
  <c r="E10" i="43"/>
  <c r="E77" i="43"/>
  <c r="E6" i="50"/>
  <c r="L4" i="40"/>
  <c r="L37" i="48"/>
  <c r="L22" i="48"/>
  <c r="E42" i="49"/>
  <c r="E4" i="43"/>
  <c r="E11" i="49"/>
  <c r="E8" i="40"/>
  <c r="L21" i="40"/>
  <c r="L16" i="42"/>
  <c r="L59" i="48"/>
  <c r="E7" i="50"/>
  <c r="E60" i="41"/>
  <c r="L64" i="41"/>
  <c r="E87" i="41"/>
  <c r="E42" i="43"/>
  <c r="L132" i="42"/>
  <c r="L11" i="42"/>
  <c r="E28" i="50"/>
  <c r="L6" i="48"/>
  <c r="E30" i="48"/>
  <c r="E4" i="50"/>
  <c r="L50" i="42"/>
  <c r="E53" i="42"/>
  <c r="E87" i="47"/>
  <c r="E15" i="50"/>
  <c r="L83" i="41"/>
  <c r="L29" i="42"/>
  <c r="E53" i="48"/>
  <c r="L71" i="50"/>
  <c r="B83" i="40"/>
  <c r="DW36" i="1"/>
  <c r="I55" i="41"/>
  <c r="D50" i="42"/>
  <c r="J18" i="25"/>
  <c r="B130" i="42"/>
  <c r="H402" i="6"/>
  <c r="G39" i="25"/>
  <c r="D175" i="47"/>
  <c r="R48" i="47"/>
  <c r="E47" i="50"/>
  <c r="C50" i="42"/>
  <c r="R7" i="25"/>
  <c r="F30" i="25"/>
  <c r="G39" i="47"/>
  <c r="C52" i="49"/>
  <c r="I72" i="49"/>
  <c r="P79" i="25"/>
  <c r="M70" i="43"/>
  <c r="N51" i="48"/>
  <c r="K19" i="43"/>
  <c r="M47" i="42"/>
  <c r="N50" i="48"/>
  <c r="I36" i="42"/>
  <c r="E26" i="25"/>
  <c r="J14" i="25"/>
  <c r="G37" i="42"/>
  <c r="I19" i="49"/>
  <c r="B4" i="43"/>
  <c r="M27" i="47"/>
  <c r="B40" i="41"/>
  <c r="J8" i="50"/>
  <c r="F55" i="43"/>
  <c r="M31" i="48"/>
  <c r="B61" i="47"/>
  <c r="M186" i="48"/>
  <c r="B9" i="43"/>
  <c r="C44" i="19"/>
  <c r="C77" i="47" s="1"/>
  <c r="M66" i="43"/>
  <c r="D43" i="41"/>
  <c r="M77" i="50"/>
  <c r="K19" i="48"/>
  <c r="L47" i="42"/>
  <c r="M56" i="25"/>
  <c r="J54" i="49"/>
  <c r="K51" i="49"/>
  <c r="I27" i="49"/>
  <c r="B7" i="47"/>
  <c r="B10" i="12"/>
  <c r="L47" i="50"/>
  <c r="D49" i="50"/>
  <c r="J146" i="48"/>
  <c r="I28" i="40"/>
  <c r="J85" i="40"/>
  <c r="G66" i="41"/>
  <c r="N33" i="43"/>
  <c r="L47" i="49"/>
  <c r="J54" i="48"/>
  <c r="B6" i="43"/>
  <c r="B61" i="40"/>
  <c r="N15" i="49"/>
  <c r="C87" i="41"/>
  <c r="C27" i="42"/>
  <c r="E25" i="48"/>
  <c r="M63" i="47"/>
  <c r="I80" i="41"/>
  <c r="K40" i="41"/>
  <c r="M51" i="47"/>
  <c r="I9" i="43"/>
  <c r="C14" i="49"/>
  <c r="K44" i="40"/>
  <c r="K32" i="49"/>
  <c r="H424" i="6"/>
  <c r="K22" i="40"/>
  <c r="C43" i="40"/>
  <c r="F10" i="48"/>
  <c r="F10" i="41"/>
  <c r="J32" i="42"/>
  <c r="E146" i="41"/>
  <c r="B53" i="42"/>
  <c r="I11" i="41"/>
  <c r="G14" i="49"/>
  <c r="C41" i="47"/>
  <c r="C50" i="40"/>
  <c r="B86" i="48"/>
  <c r="B38" i="41"/>
  <c r="C48" i="50"/>
  <c r="M17" i="43"/>
  <c r="F27" i="49"/>
  <c r="D41" i="49"/>
  <c r="C58" i="48"/>
  <c r="B62" i="47"/>
  <c r="K10" i="41"/>
  <c r="D41" i="48"/>
  <c r="C7" i="49"/>
  <c r="J11" i="47"/>
  <c r="G61" i="41"/>
  <c r="D80" i="48"/>
  <c r="M54" i="50"/>
  <c r="C51" i="47"/>
  <c r="P80" i="25"/>
  <c r="N6" i="49"/>
  <c r="D9" i="49"/>
  <c r="B172" i="47"/>
  <c r="B22" i="48"/>
  <c r="D52" i="43"/>
  <c r="F18" i="48"/>
  <c r="J38" i="48"/>
  <c r="M81" i="48"/>
  <c r="M77" i="40"/>
  <c r="D64" i="43"/>
  <c r="F58" i="40"/>
  <c r="I5" i="48"/>
  <c r="F47" i="48"/>
  <c r="F64" i="40"/>
  <c r="M15" i="19"/>
  <c r="M59" i="42" s="1"/>
  <c r="I32" i="50"/>
  <c r="M11" i="41"/>
  <c r="F26" i="48"/>
  <c r="N60" i="47"/>
  <c r="F76" i="41"/>
  <c r="F15" i="49"/>
  <c r="J76" i="47"/>
  <c r="J28" i="47"/>
  <c r="Q73" i="16"/>
  <c r="P105" i="16"/>
  <c r="P183" i="16"/>
  <c r="P182" i="16"/>
  <c r="P51" i="16"/>
  <c r="F62" i="50"/>
  <c r="P4" i="16"/>
  <c r="L60" i="17"/>
  <c r="D10" i="41"/>
  <c r="G72" i="42"/>
  <c r="H47" i="25"/>
  <c r="F38" i="50"/>
  <c r="J31" i="49"/>
  <c r="B26" i="40"/>
  <c r="B22" i="41"/>
  <c r="H7" i="25"/>
  <c r="B80" i="48"/>
  <c r="B31" i="40"/>
  <c r="I145" i="41"/>
  <c r="B66" i="42"/>
  <c r="C81" i="40"/>
  <c r="C54" i="50"/>
  <c r="B60" i="49"/>
  <c r="D53" i="41"/>
  <c r="D130" i="49"/>
  <c r="G32" i="41"/>
  <c r="C41" i="42"/>
  <c r="K47" i="40"/>
  <c r="B84" i="41"/>
  <c r="B174" i="47"/>
  <c r="F32" i="49"/>
  <c r="F39" i="41"/>
  <c r="C52" i="41"/>
  <c r="B20" i="41"/>
  <c r="B2" i="49"/>
  <c r="M87" i="48"/>
  <c r="B55" i="43"/>
  <c r="I28" i="43"/>
  <c r="G17" i="48"/>
  <c r="F28" i="43"/>
  <c r="J72" i="41"/>
  <c r="F48" i="42"/>
  <c r="N9" i="50"/>
  <c r="I84" i="41"/>
  <c r="G36" i="41"/>
  <c r="K9" i="49"/>
  <c r="J36" i="42"/>
  <c r="J21" i="49"/>
  <c r="I150" i="40"/>
  <c r="B79" i="48"/>
  <c r="N53" i="47"/>
  <c r="F22" i="41"/>
  <c r="G49" i="47"/>
  <c r="K59" i="40"/>
  <c r="J4" i="41"/>
  <c r="F11" i="19"/>
  <c r="F66" i="43" s="1"/>
  <c r="C7" i="19"/>
  <c r="K39" i="19"/>
  <c r="K72" i="47" s="1"/>
  <c r="M6" i="19"/>
  <c r="M61" i="50" s="1"/>
  <c r="B7" i="43"/>
  <c r="F61" i="43"/>
  <c r="K75" i="47"/>
  <c r="B57" i="41"/>
  <c r="F29" i="50"/>
  <c r="E29" i="43"/>
  <c r="M26" i="47"/>
  <c r="C25" i="43"/>
  <c r="J9" i="49"/>
  <c r="I9" i="49"/>
  <c r="I10" i="48"/>
  <c r="J20" i="47"/>
  <c r="C11" i="47"/>
  <c r="K8" i="49"/>
  <c r="D25" i="49"/>
  <c r="K47" i="41"/>
  <c r="J38" i="41"/>
  <c r="AF86" i="14"/>
  <c r="J8" i="42"/>
  <c r="N42" i="41"/>
  <c r="J43" i="48"/>
  <c r="D64" i="50"/>
  <c r="G13" i="40"/>
  <c r="B50" i="43"/>
  <c r="I8" i="12"/>
  <c r="J62" i="41"/>
  <c r="M7" i="19"/>
  <c r="N29" i="43"/>
  <c r="N54" i="41"/>
  <c r="I41" i="41"/>
  <c r="G35" i="50"/>
  <c r="M63" i="41"/>
  <c r="G11" i="43"/>
  <c r="F54" i="47"/>
  <c r="R81" i="48"/>
  <c r="M47" i="41"/>
  <c r="G28" i="47"/>
  <c r="B153" i="40"/>
  <c r="E40" i="41"/>
  <c r="E58" i="41"/>
  <c r="K75" i="48"/>
  <c r="D20" i="49"/>
  <c r="K30" i="40"/>
  <c r="D63" i="41"/>
  <c r="G85" i="48"/>
  <c r="F59" i="40"/>
  <c r="B43" i="40"/>
  <c r="M27" i="19"/>
  <c r="P202" i="16"/>
  <c r="P205" i="16"/>
  <c r="P227" i="16"/>
  <c r="L4" i="17"/>
  <c r="P195" i="16"/>
  <c r="P37" i="16"/>
  <c r="C77" i="48"/>
  <c r="I9" i="41"/>
  <c r="F60" i="47"/>
  <c r="G25" i="43"/>
  <c r="M28" i="43"/>
  <c r="M58" i="40"/>
  <c r="G55" i="43"/>
  <c r="J33" i="50"/>
  <c r="I65" i="43"/>
  <c r="DW5" i="1"/>
  <c r="I75" i="43"/>
  <c r="B64" i="49"/>
  <c r="B62" i="49"/>
  <c r="F53" i="47"/>
  <c r="B30" i="42"/>
  <c r="N47" i="48"/>
  <c r="C55" i="43"/>
  <c r="G62" i="40"/>
  <c r="J6" i="50"/>
  <c r="E14" i="49"/>
  <c r="J55" i="43"/>
  <c r="M84" i="40"/>
  <c r="F41" i="50"/>
  <c r="B9" i="49"/>
  <c r="B13" i="43"/>
  <c r="B16" i="49"/>
  <c r="I20" i="41"/>
  <c r="N39" i="25"/>
  <c r="J51" i="48"/>
  <c r="G5" i="42"/>
  <c r="I58" i="41"/>
  <c r="G6" i="50"/>
  <c r="I17" i="41"/>
  <c r="F33" i="47"/>
  <c r="M33" i="47"/>
  <c r="M52" i="48"/>
  <c r="G15" i="49"/>
  <c r="N39" i="40"/>
  <c r="M15" i="49"/>
  <c r="M52" i="49"/>
  <c r="F26" i="47"/>
  <c r="I88" i="41"/>
  <c r="K9" i="43"/>
  <c r="D9" i="42"/>
  <c r="G47" i="40"/>
  <c r="K18" i="19"/>
  <c r="B153" i="47"/>
  <c r="J60" i="49"/>
  <c r="D51" i="50"/>
  <c r="J17" i="19"/>
  <c r="M75" i="40"/>
  <c r="G50" i="43"/>
  <c r="D88" i="41"/>
  <c r="C88" i="48"/>
  <c r="C59" i="49"/>
  <c r="B21" i="47"/>
  <c r="I35" i="50"/>
  <c r="D55" i="42"/>
  <c r="I25" i="47"/>
  <c r="C39" i="50"/>
  <c r="M60" i="40"/>
  <c r="I48" i="40"/>
  <c r="B37" i="47"/>
  <c r="B26" i="48"/>
  <c r="D25" i="47"/>
  <c r="F24" i="43"/>
  <c r="F30" i="43"/>
  <c r="G52" i="42"/>
  <c r="N87" i="41"/>
  <c r="I148" i="47"/>
  <c r="M32" i="19"/>
  <c r="N69" i="49"/>
  <c r="M83" i="48"/>
  <c r="B5" i="12"/>
  <c r="B148" i="47" s="1"/>
  <c r="J10" i="50"/>
  <c r="C38" i="19"/>
  <c r="F42" i="48"/>
  <c r="F55" i="40"/>
  <c r="M17" i="41"/>
  <c r="I20" i="49"/>
  <c r="D21" i="48"/>
  <c r="C7" i="41"/>
  <c r="J54" i="41"/>
  <c r="C16" i="47"/>
  <c r="M51" i="48"/>
  <c r="L58" i="40"/>
  <c r="J26" i="48"/>
  <c r="F52" i="41"/>
  <c r="K19" i="19"/>
  <c r="D63" i="50"/>
  <c r="G31" i="50"/>
  <c r="C20" i="48"/>
  <c r="N87" i="40"/>
  <c r="B54" i="40"/>
  <c r="E8" i="42"/>
  <c r="K19" i="41"/>
  <c r="N10" i="47"/>
  <c r="J146" i="41"/>
  <c r="B148" i="40"/>
  <c r="Q215" i="16"/>
  <c r="C62" i="50"/>
  <c r="L61" i="17"/>
  <c r="P93" i="16"/>
  <c r="L59" i="17"/>
  <c r="P7" i="16"/>
  <c r="L18" i="17"/>
  <c r="P72" i="16"/>
  <c r="K66" i="43"/>
  <c r="Q202" i="16"/>
  <c r="P71" i="16"/>
  <c r="M72" i="47"/>
  <c r="K77" i="40"/>
  <c r="D77" i="43"/>
  <c r="I77" i="49"/>
  <c r="I13" i="41"/>
  <c r="B16" i="50"/>
  <c r="M38" i="50"/>
  <c r="F2" i="40"/>
  <c r="N53" i="43"/>
  <c r="G19" i="40"/>
  <c r="J30" i="47"/>
  <c r="N48" i="47"/>
  <c r="L12" i="25"/>
  <c r="M187" i="47"/>
  <c r="C42" i="42"/>
  <c r="J7" i="47"/>
  <c r="K58" i="49"/>
  <c r="G8" i="49"/>
  <c r="B35" i="48"/>
  <c r="G31" i="47"/>
  <c r="F46" i="40"/>
  <c r="G4" i="42"/>
  <c r="F43" i="41"/>
  <c r="J26" i="43"/>
  <c r="M28" i="40"/>
  <c r="M71" i="40"/>
  <c r="G41" i="41"/>
  <c r="K71" i="47"/>
  <c r="I61" i="49"/>
  <c r="M60" i="41"/>
  <c r="R37" i="41"/>
  <c r="B87" i="41"/>
  <c r="D66" i="49"/>
  <c r="F31" i="19"/>
  <c r="L16" i="17"/>
  <c r="K61" i="43"/>
  <c r="Q203" i="16"/>
  <c r="J32" i="49"/>
  <c r="C70" i="40"/>
  <c r="J71" i="40"/>
  <c r="B32" i="49"/>
  <c r="E41" i="40"/>
  <c r="J28" i="40"/>
  <c r="D49" i="43"/>
  <c r="K45" i="25"/>
  <c r="F27" i="19"/>
  <c r="C9" i="49"/>
  <c r="C48" i="47"/>
  <c r="J3" i="47"/>
  <c r="C29" i="42"/>
  <c r="B49" i="43"/>
  <c r="N61" i="40"/>
  <c r="D129" i="42"/>
  <c r="Q38" i="16"/>
  <c r="K63" i="49"/>
  <c r="Q39" i="16"/>
  <c r="K64" i="42"/>
  <c r="F75" i="41"/>
  <c r="K62" i="43"/>
  <c r="B58" i="41"/>
  <c r="B66" i="41"/>
  <c r="C11" i="19"/>
  <c r="M10" i="49"/>
  <c r="G59" i="48"/>
  <c r="P82" i="16"/>
  <c r="N43" i="42"/>
  <c r="G28" i="50"/>
  <c r="G47" i="50"/>
  <c r="M39" i="41"/>
  <c r="F84" i="40"/>
  <c r="J22" i="19"/>
  <c r="M73" i="40"/>
  <c r="D33" i="42"/>
  <c r="M48" i="43"/>
  <c r="F31" i="40"/>
  <c r="F64" i="49"/>
  <c r="J62" i="49"/>
  <c r="C83" i="48"/>
  <c r="P225" i="16"/>
  <c r="Q182" i="16"/>
  <c r="F66" i="50"/>
  <c r="J63" i="47"/>
  <c r="G27" i="50"/>
  <c r="C26" i="40"/>
  <c r="B52" i="47"/>
  <c r="C39" i="19"/>
  <c r="Q115" i="16"/>
  <c r="I154" i="40"/>
  <c r="L171" i="41"/>
  <c r="L128" i="50"/>
  <c r="L39" i="42"/>
  <c r="L17" i="47"/>
  <c r="L16" i="41"/>
  <c r="E42" i="42"/>
  <c r="E19" i="42"/>
  <c r="L18" i="48"/>
  <c r="E54" i="41"/>
  <c r="E85" i="40"/>
  <c r="E8" i="48"/>
  <c r="L20" i="50"/>
  <c r="E84" i="41"/>
  <c r="E17" i="42"/>
  <c r="L27" i="43"/>
  <c r="L55" i="47"/>
  <c r="L19" i="49"/>
  <c r="L49" i="49"/>
  <c r="L4" i="49"/>
  <c r="E32" i="47"/>
  <c r="L27" i="47"/>
  <c r="E48" i="42"/>
  <c r="L171" i="47"/>
  <c r="E28" i="40"/>
  <c r="E38" i="43"/>
  <c r="L43" i="49"/>
  <c r="L32" i="42"/>
  <c r="L5" i="49"/>
  <c r="L21" i="48"/>
  <c r="L172" i="40"/>
  <c r="L125" i="50"/>
  <c r="E26" i="40"/>
  <c r="E61" i="47"/>
  <c r="L176" i="47"/>
  <c r="L29" i="48"/>
  <c r="E84" i="48"/>
  <c r="E17" i="49"/>
  <c r="L27" i="50"/>
  <c r="E74" i="49"/>
  <c r="L51" i="41"/>
  <c r="E86" i="40"/>
  <c r="E66" i="40"/>
  <c r="E44" i="43"/>
  <c r="L10" i="50"/>
  <c r="L54" i="43"/>
  <c r="E88" i="40"/>
  <c r="L54" i="40"/>
  <c r="L19" i="40"/>
  <c r="E19" i="43"/>
  <c r="E28" i="42"/>
  <c r="E39" i="47"/>
  <c r="L43" i="41"/>
  <c r="L186" i="40"/>
  <c r="E55" i="49"/>
  <c r="L28" i="48"/>
  <c r="L22" i="50"/>
  <c r="L32" i="48"/>
  <c r="L53" i="47"/>
  <c r="E73" i="50"/>
  <c r="E52" i="47"/>
  <c r="L16" i="47"/>
  <c r="E43" i="42"/>
  <c r="L30" i="50"/>
  <c r="E27" i="48"/>
  <c r="E18" i="47"/>
  <c r="L26" i="48"/>
  <c r="L28" i="47"/>
  <c r="E19" i="41"/>
  <c r="E88" i="41"/>
  <c r="L10" i="40"/>
  <c r="L176" i="40"/>
  <c r="E81" i="40"/>
  <c r="L185" i="48"/>
  <c r="L29" i="40"/>
  <c r="L125" i="43"/>
  <c r="L61" i="47"/>
  <c r="E54" i="43"/>
  <c r="L48" i="50"/>
  <c r="L33" i="50"/>
  <c r="E32" i="41"/>
  <c r="L29" i="47"/>
  <c r="E37" i="47"/>
  <c r="L38" i="47"/>
  <c r="E6" i="41"/>
  <c r="E49" i="47"/>
  <c r="E5" i="47"/>
  <c r="E27" i="42"/>
  <c r="E5" i="49"/>
  <c r="E18" i="43"/>
  <c r="L8" i="41"/>
  <c r="L5" i="48"/>
  <c r="L44" i="47"/>
  <c r="E82" i="40"/>
  <c r="L10" i="49"/>
  <c r="E20" i="49"/>
  <c r="L19" i="42"/>
  <c r="E17" i="47"/>
  <c r="E38" i="49"/>
  <c r="L86" i="40"/>
  <c r="L9" i="50"/>
  <c r="E9" i="41"/>
  <c r="L48" i="48"/>
  <c r="L6" i="41"/>
  <c r="E18" i="48"/>
  <c r="L29" i="41"/>
  <c r="E77" i="50"/>
  <c r="D65" i="49"/>
  <c r="E29" i="49"/>
  <c r="E27" i="47"/>
  <c r="E48" i="41"/>
  <c r="E53" i="43"/>
  <c r="E62" i="48"/>
  <c r="L59" i="47"/>
  <c r="E22" i="50"/>
  <c r="E30" i="43"/>
  <c r="E70" i="43"/>
  <c r="E60" i="47"/>
  <c r="L20" i="42"/>
  <c r="L9" i="47"/>
  <c r="L41" i="48"/>
  <c r="E44" i="48"/>
  <c r="L174" i="40"/>
  <c r="E53" i="47"/>
  <c r="L50" i="43"/>
  <c r="L176" i="41"/>
  <c r="E15" i="43"/>
  <c r="L83" i="48"/>
  <c r="L29" i="49"/>
  <c r="E74" i="42"/>
  <c r="L51" i="48"/>
  <c r="E86" i="47"/>
  <c r="E66" i="48"/>
  <c r="L66" i="40"/>
  <c r="L172" i="41"/>
  <c r="E16" i="50"/>
  <c r="E32" i="42"/>
  <c r="L26" i="41"/>
  <c r="E85" i="48"/>
  <c r="E5" i="50"/>
  <c r="L49" i="43"/>
  <c r="E50" i="50"/>
  <c r="E87" i="48"/>
  <c r="L175" i="47"/>
  <c r="L175" i="41"/>
  <c r="E37" i="50"/>
  <c r="L70" i="43"/>
  <c r="L6" i="49"/>
  <c r="L11" i="40"/>
  <c r="L15" i="42"/>
  <c r="L32" i="47"/>
  <c r="E49" i="48"/>
  <c r="L27" i="41"/>
  <c r="L42" i="41"/>
  <c r="E48" i="40"/>
  <c r="E52" i="48"/>
  <c r="L126" i="50"/>
  <c r="E30" i="47"/>
  <c r="L7" i="47"/>
  <c r="L75" i="49"/>
  <c r="L21" i="42"/>
  <c r="E43" i="43"/>
  <c r="E41" i="41"/>
  <c r="E11" i="41"/>
  <c r="L10" i="47"/>
  <c r="C9" i="19"/>
  <c r="C64" i="43" s="1"/>
  <c r="J36" i="25"/>
  <c r="B60" i="42"/>
  <c r="F74" i="42"/>
  <c r="D84" i="40"/>
  <c r="I54" i="41"/>
  <c r="D54" i="41"/>
  <c r="J86" i="47"/>
  <c r="L69" i="40"/>
  <c r="K80" i="48"/>
  <c r="C18" i="41"/>
  <c r="H212" i="6"/>
  <c r="K80" i="40"/>
  <c r="M4" i="40"/>
  <c r="K17" i="25"/>
  <c r="N29" i="42"/>
  <c r="D73" i="49"/>
  <c r="F70" i="49"/>
  <c r="I34" i="25"/>
  <c r="F31" i="42"/>
  <c r="D47" i="47"/>
  <c r="G25" i="50"/>
  <c r="F21" i="47"/>
  <c r="R26" i="40"/>
  <c r="G42" i="47"/>
  <c r="M16" i="47"/>
  <c r="B183" i="41"/>
  <c r="B33" i="43"/>
  <c r="K63" i="41"/>
  <c r="B29" i="41"/>
  <c r="I6" i="41"/>
  <c r="M52" i="50"/>
  <c r="M50" i="48"/>
  <c r="D33" i="47"/>
  <c r="G29" i="48"/>
  <c r="F36" i="49"/>
  <c r="K31" i="40"/>
  <c r="K33" i="19"/>
  <c r="F15" i="19"/>
  <c r="S12" i="25"/>
  <c r="A365" i="44"/>
  <c r="F48" i="40"/>
  <c r="M184" i="41"/>
  <c r="C16" i="41"/>
  <c r="M30" i="49"/>
  <c r="M25" i="43"/>
  <c r="I39" i="42"/>
  <c r="B28" i="43"/>
  <c r="F50" i="49"/>
  <c r="G5" i="50"/>
  <c r="C17" i="48"/>
  <c r="K7" i="40"/>
  <c r="G10" i="50"/>
  <c r="I22" i="48"/>
  <c r="I54" i="42"/>
  <c r="M146" i="41"/>
  <c r="G42" i="40"/>
  <c r="I14" i="40"/>
  <c r="D146" i="48"/>
  <c r="G20" i="49"/>
  <c r="D64" i="41"/>
  <c r="F15" i="43"/>
  <c r="K30" i="19"/>
  <c r="K74" i="48" s="1"/>
  <c r="B52" i="41"/>
  <c r="I53" i="42"/>
  <c r="M29" i="48"/>
  <c r="G60" i="41"/>
  <c r="F30" i="49"/>
  <c r="M80" i="41"/>
  <c r="N47" i="40"/>
  <c r="M42" i="40"/>
  <c r="N86" i="25"/>
  <c r="L46" i="25"/>
  <c r="I31" i="48"/>
  <c r="B3" i="42"/>
  <c r="N85" i="40"/>
  <c r="N80" i="41"/>
  <c r="F50" i="50"/>
  <c r="N11" i="50"/>
  <c r="M28" i="50"/>
  <c r="N21" i="49"/>
  <c r="B66" i="47"/>
  <c r="B52" i="50"/>
  <c r="D52" i="49"/>
  <c r="K42" i="41"/>
  <c r="I35" i="40"/>
  <c r="F146" i="41"/>
  <c r="G3" i="41"/>
  <c r="D19" i="40"/>
  <c r="K44" i="47"/>
  <c r="M32" i="40"/>
  <c r="I18" i="43"/>
  <c r="F54" i="42"/>
  <c r="M50" i="47"/>
  <c r="G5" i="41"/>
  <c r="M39" i="47"/>
  <c r="K64" i="48"/>
  <c r="G80" i="40"/>
  <c r="F55" i="42"/>
  <c r="J49" i="42"/>
  <c r="J17" i="48"/>
  <c r="D60" i="47"/>
  <c r="B49" i="40"/>
  <c r="F4" i="48"/>
  <c r="B4" i="42"/>
  <c r="N16" i="49"/>
  <c r="G25" i="47"/>
  <c r="G16" i="49"/>
  <c r="D61" i="40"/>
  <c r="F37" i="19"/>
  <c r="F70" i="40" s="1"/>
  <c r="G7" i="41"/>
  <c r="J59" i="41"/>
  <c r="N39" i="41"/>
  <c r="I43" i="48"/>
  <c r="C59" i="42"/>
  <c r="M20" i="19"/>
  <c r="K11" i="47"/>
  <c r="M79" i="41"/>
  <c r="J81" i="41"/>
  <c r="C53" i="49"/>
  <c r="J88" i="48"/>
  <c r="I52" i="47"/>
  <c r="M19" i="19"/>
  <c r="M63" i="42" s="1"/>
  <c r="K58" i="41"/>
  <c r="L15" i="17"/>
  <c r="Q4" i="16"/>
  <c r="Q48" i="16"/>
  <c r="Q70" i="16"/>
  <c r="M63" i="49"/>
  <c r="M77" i="41"/>
  <c r="L39" i="17"/>
  <c r="I149" i="47"/>
  <c r="C73" i="40"/>
  <c r="F64" i="48"/>
  <c r="Q20" i="25"/>
  <c r="M53" i="40"/>
  <c r="C51" i="50"/>
  <c r="G64" i="40"/>
  <c r="J43" i="42"/>
  <c r="K52" i="42"/>
  <c r="F42" i="42"/>
  <c r="K15" i="40"/>
  <c r="N10" i="49"/>
  <c r="N32" i="43"/>
  <c r="B186" i="48"/>
  <c r="B187" i="48"/>
  <c r="N8" i="41"/>
  <c r="C41" i="50"/>
  <c r="M48" i="41"/>
  <c r="I44" i="42"/>
  <c r="E14" i="48"/>
  <c r="J83" i="40"/>
  <c r="G38" i="41"/>
  <c r="G9" i="47"/>
  <c r="G26" i="48"/>
  <c r="D43" i="40"/>
  <c r="I36" i="48"/>
  <c r="C66" i="47"/>
  <c r="D42" i="42"/>
  <c r="M5" i="50"/>
  <c r="C48" i="48"/>
  <c r="E25" i="43"/>
  <c r="D11" i="41"/>
  <c r="C6" i="49"/>
  <c r="M88" i="41"/>
  <c r="B9" i="12"/>
  <c r="J33" i="49"/>
  <c r="K80" i="41"/>
  <c r="I43" i="50"/>
  <c r="I38" i="47"/>
  <c r="M53" i="48"/>
  <c r="C21" i="19"/>
  <c r="C65" i="49" s="1"/>
  <c r="C64" i="50"/>
  <c r="C33" i="48"/>
  <c r="F19" i="47"/>
  <c r="J6" i="43"/>
  <c r="C21" i="48"/>
  <c r="K10" i="47"/>
  <c r="C48" i="42"/>
  <c r="I14" i="48"/>
  <c r="N8" i="47"/>
  <c r="J75" i="47"/>
  <c r="F17" i="19"/>
  <c r="F61" i="42" s="1"/>
  <c r="F26" i="19"/>
  <c r="F70" i="41" s="1"/>
  <c r="F63" i="41"/>
  <c r="K73" i="47"/>
  <c r="J71" i="41"/>
  <c r="C31" i="49"/>
  <c r="C62" i="42"/>
  <c r="D19" i="19"/>
  <c r="G58" i="40"/>
  <c r="K62" i="41"/>
  <c r="R37" i="50"/>
  <c r="R15" i="49"/>
  <c r="N11" i="43"/>
  <c r="L3" i="43"/>
  <c r="G79" i="41"/>
  <c r="M55" i="47"/>
  <c r="G8" i="50"/>
  <c r="K48" i="42"/>
  <c r="B29" i="47"/>
  <c r="F30" i="42"/>
  <c r="M37" i="19"/>
  <c r="M70" i="40" s="1"/>
  <c r="J5" i="49"/>
  <c r="D66" i="43"/>
  <c r="C32" i="19"/>
  <c r="N26" i="49"/>
  <c r="G10" i="49"/>
  <c r="M51" i="50"/>
  <c r="J52" i="48"/>
  <c r="G40" i="41"/>
  <c r="F33" i="19"/>
  <c r="J30" i="48"/>
  <c r="I81" i="48"/>
  <c r="K59" i="48"/>
  <c r="M21" i="41"/>
  <c r="B61" i="48"/>
  <c r="F35" i="41"/>
  <c r="B41" i="48"/>
  <c r="K9" i="47"/>
  <c r="N48" i="43"/>
  <c r="J17" i="40"/>
  <c r="K44" i="41"/>
  <c r="C42" i="19"/>
  <c r="C75" i="40" s="1"/>
  <c r="C75" i="47"/>
  <c r="F19" i="48"/>
  <c r="B6" i="42"/>
  <c r="J82" i="41"/>
  <c r="G36" i="42"/>
  <c r="G7" i="49"/>
  <c r="C146" i="41"/>
  <c r="R45" i="25"/>
  <c r="F10" i="19"/>
  <c r="F65" i="43" s="1"/>
  <c r="B149" i="47"/>
  <c r="Q193" i="16"/>
  <c r="P226" i="16"/>
  <c r="M71" i="41"/>
  <c r="P94" i="16"/>
  <c r="Q15" i="16"/>
  <c r="Q114" i="16"/>
  <c r="P84" i="16"/>
  <c r="F61" i="25"/>
  <c r="L36" i="43"/>
  <c r="D3" i="47"/>
  <c r="N21" i="40"/>
  <c r="L3" i="48"/>
  <c r="N52" i="48"/>
  <c r="I21" i="47"/>
  <c r="D53" i="43"/>
  <c r="N21" i="47"/>
  <c r="K19" i="42"/>
  <c r="AF173" i="14"/>
  <c r="M185" i="48"/>
  <c r="I59" i="48"/>
  <c r="J63" i="48"/>
  <c r="F37" i="40"/>
  <c r="N43" i="48"/>
  <c r="G18" i="48"/>
  <c r="G43" i="50"/>
  <c r="K54" i="49"/>
  <c r="L3" i="42"/>
  <c r="M61" i="41"/>
  <c r="I18" i="48"/>
  <c r="F4" i="50"/>
  <c r="M19" i="48"/>
  <c r="E25" i="40"/>
  <c r="F25" i="40"/>
  <c r="M73" i="41"/>
  <c r="D54" i="40"/>
  <c r="F53" i="42"/>
  <c r="G58" i="41"/>
  <c r="K48" i="49"/>
  <c r="J21" i="19"/>
  <c r="C40" i="47"/>
  <c r="G10" i="40"/>
  <c r="G10" i="47"/>
  <c r="C14" i="48"/>
  <c r="M25" i="48"/>
  <c r="D59" i="41"/>
  <c r="N63" i="47"/>
  <c r="L25" i="43"/>
  <c r="J3" i="42"/>
  <c r="J70" i="48"/>
  <c r="R81" i="40"/>
  <c r="G4" i="49"/>
  <c r="B47" i="47"/>
  <c r="E51" i="40"/>
  <c r="K72" i="40"/>
  <c r="M60" i="43"/>
  <c r="D66" i="42"/>
  <c r="N10" i="50"/>
  <c r="M55" i="50"/>
  <c r="K17" i="47"/>
  <c r="J4" i="49"/>
  <c r="L173" i="48"/>
  <c r="M85" i="48"/>
  <c r="C31" i="48"/>
  <c r="B7" i="42"/>
  <c r="G29" i="50"/>
  <c r="J48" i="48"/>
  <c r="B54" i="47"/>
  <c r="M33" i="43"/>
  <c r="B55" i="40"/>
  <c r="E47" i="43"/>
  <c r="I26" i="40"/>
  <c r="F41" i="48"/>
  <c r="G31" i="43"/>
  <c r="F4" i="19"/>
  <c r="F59" i="50" s="1"/>
  <c r="F28" i="47"/>
  <c r="J19" i="19"/>
  <c r="D9" i="43"/>
  <c r="J60" i="50"/>
  <c r="I72" i="42"/>
  <c r="K42" i="42"/>
  <c r="I39" i="41"/>
  <c r="C63" i="41"/>
  <c r="M65" i="49"/>
  <c r="J76" i="48"/>
  <c r="K22" i="49"/>
  <c r="I10" i="50"/>
  <c r="C17" i="49"/>
  <c r="F18" i="41"/>
  <c r="E47" i="40"/>
  <c r="E80" i="41"/>
  <c r="I60" i="48"/>
  <c r="N3" i="41"/>
  <c r="M79" i="48"/>
  <c r="S10" i="25"/>
  <c r="N88" i="41"/>
  <c r="B29" i="50"/>
  <c r="K10" i="48"/>
  <c r="J71" i="48"/>
  <c r="I80" i="40"/>
  <c r="J71" i="49"/>
  <c r="F28" i="50"/>
  <c r="C5" i="47"/>
  <c r="J8" i="19"/>
  <c r="G79" i="48"/>
  <c r="G32" i="47"/>
  <c r="J63" i="49"/>
  <c r="M60" i="50"/>
  <c r="Q226" i="16"/>
  <c r="P128" i="16"/>
  <c r="P204" i="16"/>
  <c r="Q116" i="16"/>
  <c r="P27" i="16"/>
  <c r="K64" i="50"/>
  <c r="Q51" i="16"/>
  <c r="P107" i="16"/>
  <c r="P5" i="16"/>
  <c r="Q216" i="16"/>
  <c r="Q192" i="16"/>
  <c r="K64" i="49"/>
  <c r="F65" i="50"/>
  <c r="O99" i="25"/>
  <c r="J55" i="49"/>
  <c r="DW43" i="1"/>
  <c r="N18" i="40"/>
  <c r="I36" i="50"/>
  <c r="K75" i="49"/>
  <c r="G43" i="48"/>
  <c r="M25" i="42"/>
  <c r="N7" i="41"/>
  <c r="B11" i="12"/>
  <c r="B2" i="50"/>
  <c r="D85" i="48"/>
  <c r="B16" i="43"/>
  <c r="F44" i="42"/>
  <c r="F43" i="42"/>
  <c r="E36" i="50"/>
  <c r="R26" i="50"/>
  <c r="N10" i="41"/>
  <c r="I153" i="40"/>
  <c r="M64" i="50"/>
  <c r="D31" i="42"/>
  <c r="J36" i="41"/>
  <c r="K33" i="43"/>
  <c r="K40" i="47"/>
  <c r="F17" i="42"/>
  <c r="L47" i="40"/>
  <c r="F47" i="49"/>
  <c r="F46" i="47"/>
  <c r="F5" i="19"/>
  <c r="D41" i="43"/>
  <c r="C49" i="42"/>
  <c r="P192" i="16"/>
  <c r="P92" i="16"/>
  <c r="P193" i="16"/>
  <c r="B46" i="49"/>
  <c r="J37" i="47"/>
  <c r="D65" i="50"/>
  <c r="F62" i="43"/>
  <c r="M22" i="19"/>
  <c r="R4" i="50"/>
  <c r="F17" i="49"/>
  <c r="C27" i="47"/>
  <c r="J59" i="43"/>
  <c r="K10" i="19"/>
  <c r="R48" i="40"/>
  <c r="I3" i="41"/>
  <c r="G11" i="41"/>
  <c r="E14" i="41"/>
  <c r="G55" i="42"/>
  <c r="C51" i="40"/>
  <c r="N69" i="47"/>
  <c r="C65" i="42"/>
  <c r="Q27" i="16"/>
  <c r="Q26" i="16"/>
  <c r="P52" i="16"/>
  <c r="D12" i="25"/>
  <c r="F55" i="47"/>
  <c r="F29" i="19"/>
  <c r="F31" i="50"/>
  <c r="K71" i="40"/>
  <c r="K146" i="48"/>
  <c r="L27" i="17"/>
  <c r="K22" i="19"/>
  <c r="M43" i="19"/>
  <c r="J26" i="50"/>
  <c r="F32" i="43"/>
  <c r="F63" i="47"/>
  <c r="M3" i="47"/>
  <c r="N61" i="41"/>
  <c r="K32" i="19"/>
  <c r="F50" i="41"/>
  <c r="C26" i="47"/>
  <c r="I2" i="50"/>
  <c r="B3" i="48"/>
  <c r="D43" i="19"/>
  <c r="J66" i="43"/>
  <c r="P216" i="16"/>
  <c r="L40" i="17"/>
  <c r="D77" i="48"/>
  <c r="J52" i="41"/>
  <c r="C47" i="42"/>
  <c r="D87" i="41"/>
  <c r="I20" i="48"/>
  <c r="F51" i="43"/>
  <c r="K85" i="48"/>
  <c r="P104" i="16"/>
  <c r="D77" i="40"/>
  <c r="E5" i="41"/>
  <c r="L4" i="41"/>
  <c r="E4" i="41"/>
  <c r="L32" i="43"/>
  <c r="L72" i="42"/>
  <c r="L85" i="41"/>
  <c r="L15" i="49"/>
  <c r="L40" i="43"/>
  <c r="E33" i="47"/>
  <c r="L4" i="50"/>
  <c r="E11" i="40"/>
  <c r="L52" i="47"/>
  <c r="L76" i="50"/>
  <c r="L132" i="43"/>
  <c r="L8" i="40"/>
  <c r="E50" i="43"/>
  <c r="E15" i="40"/>
  <c r="E21" i="41"/>
  <c r="E60" i="40"/>
  <c r="E21" i="50"/>
  <c r="L26" i="43"/>
  <c r="L18" i="49"/>
  <c r="E6" i="42"/>
  <c r="E39" i="43"/>
  <c r="E37" i="43"/>
  <c r="L130" i="43"/>
  <c r="E4" i="47"/>
  <c r="L38" i="49"/>
  <c r="E10" i="50"/>
  <c r="D76" i="40"/>
  <c r="E70" i="42"/>
  <c r="E26" i="41"/>
  <c r="L180" i="41"/>
  <c r="L49" i="48"/>
  <c r="E76" i="50"/>
  <c r="L70" i="50"/>
  <c r="L76" i="43"/>
  <c r="L132" i="50"/>
  <c r="L8" i="47"/>
  <c r="L63" i="40"/>
  <c r="E17" i="43"/>
  <c r="L7" i="43"/>
  <c r="L174" i="48"/>
  <c r="E41" i="50"/>
  <c r="L11" i="47"/>
  <c r="L48" i="43"/>
  <c r="L26" i="47"/>
  <c r="EB43" i="1"/>
  <c r="L48" i="42"/>
  <c r="E49" i="41"/>
  <c r="E50" i="47"/>
  <c r="L48" i="47"/>
  <c r="L185" i="40"/>
  <c r="E51" i="43"/>
  <c r="L51" i="43"/>
  <c r="L5" i="40"/>
  <c r="L7" i="41"/>
  <c r="L41" i="42"/>
  <c r="E62" i="41"/>
  <c r="L128" i="42"/>
  <c r="E72" i="43"/>
  <c r="L6" i="50"/>
  <c r="E16" i="48"/>
  <c r="L16" i="48"/>
  <c r="E30" i="41"/>
  <c r="M43" i="40"/>
  <c r="B65" i="43"/>
  <c r="K18" i="25"/>
  <c r="B33" i="42"/>
  <c r="B69" i="41"/>
  <c r="R12" i="25"/>
  <c r="S37" i="25"/>
  <c r="J25" i="50"/>
  <c r="J6" i="48"/>
  <c r="J77" i="41"/>
  <c r="G19" i="49"/>
  <c r="B24" i="50"/>
  <c r="F27" i="50"/>
  <c r="K146" i="41"/>
  <c r="M38" i="41"/>
  <c r="I69" i="42"/>
  <c r="D43" i="43"/>
  <c r="I53" i="40"/>
  <c r="N87" i="48"/>
  <c r="M36" i="48"/>
  <c r="K53" i="43"/>
  <c r="G64" i="41"/>
  <c r="F32" i="47"/>
  <c r="G16" i="43"/>
  <c r="D17" i="40"/>
  <c r="B21" i="41"/>
  <c r="K41" i="40"/>
  <c r="D11" i="49"/>
  <c r="K22" i="41"/>
  <c r="J29" i="47"/>
  <c r="M84" i="48"/>
  <c r="P235" i="16"/>
  <c r="C77" i="41"/>
  <c r="B51" i="40"/>
  <c r="B24" i="42"/>
  <c r="G40" i="47"/>
  <c r="J4" i="42"/>
  <c r="C22" i="41"/>
  <c r="F19" i="19"/>
  <c r="F9" i="48"/>
  <c r="K43" i="50"/>
  <c r="H14" i="25"/>
  <c r="B44" i="41"/>
  <c r="C41" i="49"/>
  <c r="G2" i="47"/>
  <c r="J76" i="42"/>
  <c r="N9" i="49"/>
  <c r="B53" i="40"/>
  <c r="I42" i="47"/>
  <c r="B64" i="40"/>
  <c r="F2" i="42"/>
  <c r="K41" i="19"/>
  <c r="N10" i="43"/>
  <c r="M38" i="42"/>
  <c r="D44" i="50"/>
  <c r="M58" i="48"/>
  <c r="M31" i="47"/>
  <c r="M77" i="47"/>
  <c r="Q191" i="16"/>
  <c r="P96" i="16"/>
  <c r="M10" i="47"/>
  <c r="M3" i="41"/>
  <c r="D11" i="25"/>
  <c r="N9" i="43"/>
  <c r="D54" i="49"/>
  <c r="R48" i="48"/>
  <c r="B17" i="41"/>
  <c r="J61" i="40"/>
  <c r="D10" i="50"/>
  <c r="C30" i="48"/>
  <c r="N47" i="42"/>
  <c r="M64" i="43"/>
  <c r="D47" i="40"/>
  <c r="C77" i="40"/>
  <c r="G54" i="49"/>
  <c r="M6" i="41"/>
  <c r="J71" i="47"/>
  <c r="C28" i="19"/>
  <c r="M8" i="40"/>
  <c r="M62" i="49"/>
  <c r="M3" i="48"/>
  <c r="K52" i="43"/>
  <c r="F22" i="19"/>
  <c r="F50" i="43"/>
  <c r="I26" i="47"/>
  <c r="Q83" i="16"/>
  <c r="P237" i="16"/>
  <c r="P6" i="16"/>
  <c r="J75" i="48"/>
  <c r="C187" i="40"/>
  <c r="I24" i="47"/>
  <c r="C33" i="50"/>
  <c r="K63" i="48"/>
  <c r="F61" i="49"/>
  <c r="M61" i="48"/>
  <c r="I25" i="49"/>
  <c r="G49" i="50"/>
  <c r="L17" i="17"/>
  <c r="Q213" i="16"/>
  <c r="B14" i="48"/>
  <c r="N37" i="48"/>
  <c r="B151" i="47"/>
  <c r="Q28" i="16"/>
  <c r="M82" i="41"/>
  <c r="J3" i="43"/>
  <c r="K63" i="43"/>
  <c r="F59" i="43"/>
  <c r="C85" i="48"/>
  <c r="P116" i="16"/>
  <c r="F65" i="48"/>
  <c r="K66" i="42"/>
  <c r="E5" i="40"/>
  <c r="E10" i="41"/>
  <c r="L41" i="50"/>
  <c r="L21" i="50"/>
  <c r="L82" i="48"/>
  <c r="L20" i="40"/>
  <c r="E28" i="41"/>
  <c r="L187" i="41"/>
  <c r="E65" i="40"/>
  <c r="L21" i="43"/>
  <c r="L53" i="41"/>
  <c r="L31" i="40"/>
  <c r="E32" i="50"/>
  <c r="L65" i="48"/>
  <c r="E54" i="47"/>
  <c r="L18" i="42"/>
  <c r="L182" i="40"/>
  <c r="L51" i="47"/>
  <c r="E22" i="49"/>
  <c r="E20" i="48"/>
  <c r="E28" i="47"/>
  <c r="L172" i="47"/>
  <c r="L84" i="41"/>
  <c r="L131" i="50"/>
  <c r="L50" i="47"/>
  <c r="E59" i="40"/>
  <c r="E42" i="41"/>
  <c r="L128" i="43"/>
  <c r="L185" i="47"/>
  <c r="L42" i="50"/>
  <c r="E44" i="50"/>
  <c r="L55" i="40"/>
  <c r="L87" i="40"/>
  <c r="E33" i="49"/>
  <c r="E8" i="41"/>
  <c r="L28" i="41"/>
  <c r="L186" i="48"/>
  <c r="L74" i="50"/>
  <c r="E7" i="42"/>
  <c r="L127" i="42"/>
  <c r="L32" i="41"/>
  <c r="L8" i="50"/>
  <c r="E50" i="48"/>
  <c r="L88" i="47"/>
  <c r="E64" i="47"/>
  <c r="L73" i="49"/>
  <c r="L52" i="43"/>
  <c r="E22" i="41"/>
  <c r="E42" i="40"/>
  <c r="L71" i="42"/>
  <c r="E51" i="49"/>
  <c r="K63" i="50"/>
  <c r="E55" i="43"/>
  <c r="L17" i="40"/>
  <c r="L42" i="48"/>
  <c r="E52" i="42"/>
  <c r="L49" i="41"/>
  <c r="L44" i="43"/>
  <c r="L21" i="47"/>
  <c r="E54" i="48"/>
  <c r="E4" i="42"/>
  <c r="L9" i="42"/>
  <c r="E82" i="48"/>
  <c r="L33" i="49"/>
  <c r="E54" i="42"/>
  <c r="L183" i="47"/>
  <c r="E63" i="40"/>
  <c r="E86" i="41"/>
  <c r="L38" i="48"/>
  <c r="E21" i="40"/>
  <c r="E53" i="41"/>
  <c r="L55" i="43"/>
  <c r="E51" i="50"/>
  <c r="E43" i="49"/>
  <c r="L60" i="47"/>
  <c r="L49" i="47"/>
  <c r="E74" i="43"/>
  <c r="E29" i="47"/>
  <c r="L181" i="47"/>
  <c r="L180" i="40"/>
  <c r="L28" i="42"/>
  <c r="L16" i="43"/>
  <c r="L6" i="42"/>
  <c r="L187" i="47"/>
  <c r="L126" i="49"/>
  <c r="E50" i="41"/>
  <c r="E40" i="47"/>
  <c r="L18" i="50"/>
  <c r="E33" i="50"/>
  <c r="L33" i="41"/>
  <c r="L17" i="42"/>
  <c r="E22" i="47"/>
  <c r="L29" i="43"/>
  <c r="L32" i="40"/>
  <c r="L52" i="49"/>
  <c r="L66" i="41"/>
  <c r="L30" i="47"/>
  <c r="E75" i="43"/>
  <c r="L52" i="50"/>
  <c r="L61" i="48"/>
  <c r="E22" i="48"/>
  <c r="L187" i="48"/>
  <c r="E73" i="43"/>
  <c r="L81" i="40"/>
  <c r="E52" i="40"/>
  <c r="E18" i="50"/>
  <c r="L31" i="48"/>
  <c r="E87" i="40"/>
  <c r="E18" i="40"/>
  <c r="L70" i="49"/>
  <c r="L72" i="49"/>
  <c r="E15" i="42"/>
  <c r="L20" i="41"/>
  <c r="L66" i="48"/>
  <c r="L185" i="41"/>
  <c r="E54" i="50"/>
  <c r="L39" i="41"/>
  <c r="E16" i="47"/>
  <c r="L66" i="47"/>
  <c r="L125" i="49"/>
  <c r="L62" i="40"/>
  <c r="L43" i="48"/>
  <c r="E26" i="48"/>
  <c r="L186" i="41"/>
  <c r="L42" i="40"/>
  <c r="L53" i="50"/>
  <c r="E50" i="49"/>
  <c r="L85" i="47"/>
  <c r="L187" i="40"/>
  <c r="E39" i="40"/>
  <c r="E30" i="40"/>
  <c r="E31" i="40"/>
  <c r="C66" i="49"/>
  <c r="C74" i="48"/>
  <c r="C62" i="43"/>
  <c r="J76" i="41"/>
  <c r="M62" i="43"/>
  <c r="F74" i="41"/>
  <c r="J61" i="49"/>
  <c r="M76" i="48"/>
  <c r="J66" i="50"/>
  <c r="K76" i="47"/>
  <c r="F71" i="41"/>
  <c r="C66" i="43"/>
  <c r="M76" i="40"/>
  <c r="K76" i="41"/>
  <c r="F63" i="50"/>
  <c r="N28" i="50"/>
  <c r="P228" i="16"/>
  <c r="F30" i="40"/>
  <c r="I52" i="41"/>
  <c r="J16" i="48"/>
  <c r="L52" i="41"/>
  <c r="E7" i="43"/>
  <c r="EB44" i="1"/>
  <c r="L37" i="49"/>
  <c r="L60" i="41"/>
  <c r="E39" i="50"/>
  <c r="E88" i="47"/>
  <c r="E20" i="40"/>
  <c r="L130" i="42"/>
  <c r="L40" i="49"/>
  <c r="L62" i="48"/>
  <c r="E29" i="40"/>
  <c r="L26" i="49"/>
  <c r="L17" i="43"/>
  <c r="E74" i="50"/>
  <c r="L28" i="50"/>
  <c r="E11" i="47"/>
  <c r="E28" i="49"/>
  <c r="E55" i="42"/>
  <c r="E53" i="50"/>
  <c r="E22" i="40"/>
  <c r="L55" i="41"/>
  <c r="L11" i="49"/>
  <c r="E48" i="48"/>
  <c r="L19" i="43"/>
  <c r="E16" i="40"/>
  <c r="L65" i="47"/>
  <c r="L85" i="40"/>
  <c r="L17" i="50"/>
  <c r="L19" i="50"/>
  <c r="E39" i="42"/>
  <c r="E53" i="49"/>
  <c r="L32" i="50"/>
  <c r="L7" i="48"/>
  <c r="E19" i="40"/>
  <c r="L171" i="40"/>
  <c r="E40" i="42"/>
  <c r="L31" i="47"/>
  <c r="E61" i="48"/>
  <c r="L74" i="49"/>
  <c r="B152" i="40"/>
  <c r="J61" i="42"/>
  <c r="M74" i="41"/>
  <c r="F64" i="50"/>
  <c r="B72" i="50"/>
  <c r="K47" i="47"/>
  <c r="F11" i="41"/>
  <c r="P12" i="25"/>
  <c r="K50" i="49"/>
  <c r="M48" i="49"/>
  <c r="G32" i="49"/>
  <c r="N82" i="40"/>
  <c r="F9" i="47"/>
  <c r="M79" i="47"/>
  <c r="D17" i="47"/>
  <c r="N20" i="43"/>
  <c r="M9" i="47"/>
  <c r="C37" i="47"/>
  <c r="M40" i="50"/>
  <c r="N6" i="43"/>
  <c r="M30" i="47"/>
  <c r="B18" i="47"/>
  <c r="G53" i="42"/>
  <c r="B13" i="48"/>
  <c r="E8" i="50"/>
  <c r="M8" i="49"/>
  <c r="F83" i="41"/>
  <c r="I25" i="43"/>
  <c r="C40" i="41"/>
  <c r="E58" i="40"/>
  <c r="C47" i="40"/>
  <c r="F41" i="42"/>
  <c r="F6" i="48"/>
  <c r="B43" i="50"/>
  <c r="G54" i="43"/>
  <c r="Q104" i="16"/>
  <c r="L28" i="17"/>
  <c r="G83" i="40"/>
  <c r="M65" i="41"/>
  <c r="K47" i="50"/>
  <c r="I2" i="48"/>
  <c r="F22" i="48"/>
  <c r="K14" i="43"/>
  <c r="G146" i="41"/>
  <c r="G65" i="40"/>
  <c r="G51" i="47"/>
  <c r="I77" i="47"/>
  <c r="C41" i="40"/>
  <c r="B27" i="40"/>
  <c r="J75" i="40"/>
  <c r="F51" i="42"/>
  <c r="F38" i="48"/>
  <c r="G7" i="50"/>
  <c r="F32" i="40"/>
  <c r="M75" i="47"/>
  <c r="M30" i="50"/>
  <c r="C60" i="43"/>
  <c r="I11" i="47"/>
  <c r="I48" i="49"/>
  <c r="G31" i="49"/>
  <c r="F58" i="41"/>
  <c r="M5" i="43"/>
  <c r="P73" i="16"/>
  <c r="P48" i="16"/>
  <c r="M14" i="41"/>
  <c r="M80" i="40"/>
  <c r="I73" i="47"/>
  <c r="G61" i="40"/>
  <c r="G47" i="48"/>
  <c r="M59" i="40"/>
  <c r="F38" i="40"/>
  <c r="I63" i="40"/>
  <c r="N19" i="47"/>
  <c r="G51" i="43"/>
  <c r="B30" i="49"/>
  <c r="J74" i="49"/>
  <c r="D65" i="42"/>
  <c r="F11" i="49"/>
  <c r="B48" i="49"/>
  <c r="C53" i="47"/>
  <c r="F65" i="42"/>
  <c r="G27" i="49"/>
  <c r="E51" i="48"/>
  <c r="N15" i="40"/>
  <c r="M65" i="48"/>
  <c r="N22" i="48"/>
  <c r="G2" i="41"/>
  <c r="L3" i="50"/>
  <c r="Q235" i="16"/>
  <c r="Q94" i="16"/>
  <c r="P181" i="16"/>
  <c r="J61" i="50"/>
  <c r="M66" i="48"/>
  <c r="M39" i="48"/>
  <c r="F27" i="43"/>
  <c r="B25" i="42"/>
  <c r="F52" i="43"/>
  <c r="M28" i="19"/>
  <c r="M72" i="41" s="1"/>
  <c r="B80" i="41"/>
  <c r="F52" i="48"/>
  <c r="K77" i="47"/>
  <c r="N7" i="50"/>
  <c r="D22" i="25"/>
  <c r="C43" i="19"/>
  <c r="C76" i="40" s="1"/>
  <c r="G26" i="47"/>
  <c r="Q214" i="16"/>
  <c r="C36" i="41"/>
  <c r="I42" i="48"/>
  <c r="C74" i="47"/>
  <c r="P117" i="16"/>
  <c r="G18" i="47"/>
  <c r="C71" i="41"/>
  <c r="E27" i="49"/>
  <c r="L9" i="49"/>
  <c r="L11" i="50"/>
  <c r="L33" i="47"/>
  <c r="L70" i="42"/>
  <c r="L41" i="49"/>
  <c r="E11" i="48"/>
  <c r="M63" i="43"/>
  <c r="L59" i="40"/>
  <c r="L33" i="40"/>
  <c r="L5" i="41"/>
  <c r="L53" i="43"/>
  <c r="E37" i="49"/>
  <c r="L15" i="43"/>
  <c r="E16" i="49"/>
  <c r="L33" i="42"/>
  <c r="L22" i="41"/>
  <c r="L51" i="49"/>
  <c r="L76" i="42"/>
  <c r="L86" i="41"/>
  <c r="E48" i="43"/>
  <c r="L181" i="48"/>
  <c r="E43" i="41"/>
  <c r="L40" i="50"/>
  <c r="L9" i="41"/>
  <c r="L75" i="42"/>
  <c r="M66" i="50"/>
  <c r="E27" i="43"/>
  <c r="E59" i="47"/>
  <c r="E64" i="48"/>
  <c r="E55" i="47"/>
  <c r="E49" i="50"/>
  <c r="E73" i="49"/>
  <c r="L5" i="50"/>
  <c r="L72" i="50"/>
  <c r="L31" i="41"/>
  <c r="EB50" i="1"/>
  <c r="K65" i="49"/>
  <c r="L181" i="40"/>
  <c r="L173" i="40"/>
  <c r="E11" i="50"/>
  <c r="E7" i="47"/>
  <c r="E38" i="41"/>
  <c r="L31" i="42"/>
  <c r="E17" i="40"/>
  <c r="L86" i="47"/>
  <c r="L37" i="43"/>
  <c r="L21" i="49"/>
  <c r="E41" i="48"/>
  <c r="E17" i="50"/>
  <c r="L20" i="47"/>
  <c r="E39" i="48"/>
  <c r="L48" i="41"/>
  <c r="E48" i="47"/>
  <c r="L30" i="40"/>
  <c r="L43" i="43"/>
  <c r="E62" i="40"/>
  <c r="L44" i="42"/>
  <c r="L54" i="50"/>
  <c r="E84" i="40"/>
  <c r="L130" i="49"/>
  <c r="E27" i="41"/>
  <c r="L170" i="48"/>
  <c r="L51" i="50"/>
  <c r="L53" i="49"/>
  <c r="E59" i="41"/>
  <c r="L55" i="50"/>
  <c r="L42" i="49"/>
  <c r="E75" i="49"/>
  <c r="L73" i="43"/>
  <c r="E49" i="42"/>
  <c r="L52" i="40"/>
  <c r="L83" i="47"/>
  <c r="E33" i="48"/>
  <c r="E76" i="43"/>
  <c r="E66" i="41"/>
  <c r="E42" i="48"/>
  <c r="K62" i="42"/>
  <c r="E7" i="49"/>
  <c r="L169" i="41"/>
  <c r="L127" i="49"/>
  <c r="L87" i="47"/>
  <c r="L5" i="47"/>
  <c r="L33" i="48"/>
  <c r="L63" i="48"/>
  <c r="E71" i="43"/>
  <c r="L82" i="40"/>
  <c r="E72" i="42"/>
  <c r="E55" i="41"/>
  <c r="L59" i="41"/>
  <c r="E86" i="48"/>
  <c r="L38" i="41"/>
  <c r="E21" i="47"/>
  <c r="L132" i="49"/>
  <c r="E65" i="48"/>
  <c r="L50" i="40"/>
  <c r="L49" i="50"/>
  <c r="E52" i="43"/>
  <c r="L28" i="40"/>
  <c r="L41" i="40"/>
  <c r="L44" i="48"/>
  <c r="L49" i="40"/>
  <c r="L38" i="43"/>
  <c r="E6" i="43"/>
  <c r="E39" i="41"/>
  <c r="L4" i="47"/>
  <c r="L8" i="48"/>
  <c r="L131" i="42"/>
  <c r="L49" i="42"/>
  <c r="E20" i="50"/>
  <c r="L32" i="49"/>
  <c r="L85" i="48"/>
  <c r="L127" i="50"/>
  <c r="E20" i="43"/>
  <c r="E41" i="42"/>
  <c r="L75" i="50"/>
  <c r="E43" i="48"/>
  <c r="L20" i="43"/>
  <c r="L87" i="41"/>
  <c r="L30" i="43"/>
  <c r="E28" i="48"/>
  <c r="E65" i="47"/>
  <c r="L170" i="40"/>
  <c r="L77" i="49"/>
  <c r="E88" i="48"/>
  <c r="L26" i="40"/>
  <c r="E31" i="48"/>
  <c r="E65" i="41"/>
  <c r="E26" i="49"/>
  <c r="L82" i="41"/>
  <c r="E60" i="48"/>
  <c r="C63" i="50"/>
  <c r="F70" i="47"/>
  <c r="F72" i="41"/>
  <c r="C60" i="50"/>
  <c r="M62" i="50"/>
  <c r="C60" i="42"/>
  <c r="C71" i="47"/>
  <c r="J63" i="50"/>
  <c r="C70" i="48"/>
  <c r="F60" i="50"/>
  <c r="M66" i="42"/>
  <c r="F71" i="48"/>
  <c r="C76" i="47"/>
  <c r="C66" i="50"/>
  <c r="M76" i="47"/>
  <c r="D75" i="40"/>
  <c r="C72" i="40"/>
  <c r="D43" i="49"/>
  <c r="J6" i="47"/>
  <c r="O45" i="25"/>
  <c r="P33" i="25"/>
  <c r="D18" i="49"/>
  <c r="F40" i="41"/>
  <c r="C60" i="41"/>
  <c r="K31" i="49"/>
  <c r="D47" i="41"/>
  <c r="G53" i="47"/>
  <c r="I19" i="47"/>
  <c r="C55" i="49"/>
  <c r="F55" i="49"/>
  <c r="I55" i="48"/>
  <c r="Q62" i="16"/>
  <c r="G26" i="49"/>
  <c r="C55" i="41"/>
  <c r="G51" i="42"/>
  <c r="N61" i="48"/>
  <c r="I46" i="42"/>
  <c r="C8" i="41"/>
  <c r="I64" i="47"/>
  <c r="B88" i="40"/>
  <c r="F41" i="47"/>
  <c r="B29" i="43"/>
  <c r="M31" i="19"/>
  <c r="J74" i="47"/>
  <c r="M65" i="42"/>
  <c r="J18" i="48"/>
  <c r="F85" i="48"/>
  <c r="K55" i="49"/>
  <c r="N17" i="41"/>
  <c r="M47" i="40"/>
  <c r="F65" i="47"/>
  <c r="F70" i="48"/>
  <c r="L80" i="48"/>
  <c r="B40" i="48"/>
  <c r="J30" i="19"/>
  <c r="K63" i="47"/>
  <c r="J55" i="48"/>
  <c r="C72" i="41"/>
  <c r="Q5" i="16"/>
  <c r="G13" i="47"/>
  <c r="J10" i="19"/>
  <c r="C42" i="41"/>
  <c r="L50" i="17"/>
  <c r="P224" i="16"/>
  <c r="D30" i="19"/>
  <c r="D74" i="48" s="1"/>
  <c r="D55" i="40"/>
  <c r="F74" i="47"/>
  <c r="E31" i="41"/>
  <c r="L7" i="42"/>
  <c r="L181" i="41"/>
  <c r="E82" i="47"/>
  <c r="L63" i="41"/>
  <c r="E10" i="42"/>
  <c r="L186" i="47"/>
  <c r="L129" i="49"/>
  <c r="L48" i="40"/>
  <c r="L22" i="40"/>
  <c r="L9" i="43"/>
  <c r="L30" i="42"/>
  <c r="E19" i="50"/>
  <c r="E49" i="40"/>
  <c r="E31" i="50"/>
  <c r="L54" i="41"/>
  <c r="L81" i="41"/>
  <c r="L63" i="47"/>
  <c r="E77" i="42"/>
  <c r="E31" i="42"/>
  <c r="E52" i="49"/>
  <c r="L18" i="47"/>
  <c r="L64" i="40"/>
  <c r="L17" i="41"/>
  <c r="L10" i="42"/>
  <c r="E15" i="49"/>
  <c r="E64" i="40"/>
  <c r="E29" i="42"/>
  <c r="E20" i="42"/>
  <c r="L64" i="48"/>
  <c r="E7" i="41"/>
  <c r="L31" i="50"/>
  <c r="L6" i="40"/>
  <c r="E84" i="47"/>
  <c r="E9" i="40"/>
  <c r="L81" i="48"/>
  <c r="L172" i="48"/>
  <c r="L175" i="40"/>
  <c r="L55" i="48"/>
  <c r="L170" i="41"/>
  <c r="L55" i="49"/>
  <c r="L37" i="42"/>
  <c r="E19" i="48"/>
  <c r="E22" i="42"/>
  <c r="L29" i="50"/>
  <c r="L19" i="41"/>
  <c r="J77" i="40"/>
  <c r="M61" i="43"/>
  <c r="F74" i="48"/>
  <c r="F66" i="42"/>
  <c r="K76" i="40"/>
  <c r="F73" i="48"/>
  <c r="J66" i="49"/>
  <c r="F51" i="49"/>
  <c r="J36" i="48"/>
  <c r="N66" i="40"/>
  <c r="K32" i="48"/>
  <c r="N70" i="25"/>
  <c r="D69" i="42"/>
  <c r="EB26" i="1"/>
  <c r="C60" i="40"/>
  <c r="C6" i="50"/>
  <c r="C29" i="48"/>
  <c r="K19" i="40"/>
  <c r="B8" i="41"/>
  <c r="F46" i="48"/>
  <c r="M55" i="48"/>
  <c r="C54" i="43"/>
  <c r="K36" i="48"/>
  <c r="R26" i="42"/>
  <c r="J9" i="50"/>
  <c r="N39" i="43"/>
  <c r="F52" i="50"/>
  <c r="C4" i="42"/>
  <c r="I53" i="48"/>
  <c r="P10" i="25"/>
  <c r="G49" i="40"/>
  <c r="K50" i="43"/>
  <c r="K37" i="25"/>
  <c r="M48" i="42"/>
  <c r="I55" i="40"/>
  <c r="F60" i="40"/>
  <c r="G49" i="41"/>
  <c r="C4" i="19"/>
  <c r="L48" i="17"/>
  <c r="P194" i="16"/>
  <c r="P81" i="16"/>
  <c r="F13" i="48"/>
  <c r="B26" i="43"/>
  <c r="G48" i="47"/>
  <c r="J39" i="50"/>
  <c r="B145" i="48"/>
  <c r="M49" i="43"/>
  <c r="F82" i="40"/>
  <c r="I47" i="41"/>
  <c r="K31" i="43"/>
  <c r="F86" i="47"/>
  <c r="K16" i="43"/>
  <c r="M42" i="50"/>
  <c r="F38" i="19"/>
  <c r="C8" i="49"/>
  <c r="F49" i="47"/>
  <c r="F61" i="40"/>
  <c r="R4" i="43"/>
  <c r="M22" i="49"/>
  <c r="I29" i="40"/>
  <c r="I52" i="40"/>
  <c r="N33" i="49"/>
  <c r="M24" i="50"/>
  <c r="M41" i="19"/>
  <c r="M74" i="40" s="1"/>
  <c r="C185" i="41"/>
  <c r="N64" i="41"/>
  <c r="P180" i="16"/>
  <c r="Q59" i="16"/>
  <c r="D22" i="47"/>
  <c r="D80" i="41"/>
  <c r="F37" i="49"/>
  <c r="G81" i="41"/>
  <c r="G39" i="50"/>
  <c r="M86" i="40"/>
  <c r="B53" i="49"/>
  <c r="B14" i="47"/>
  <c r="M33" i="42"/>
  <c r="C39" i="41"/>
  <c r="D15" i="43"/>
  <c r="J77" i="48"/>
  <c r="B44" i="40"/>
  <c r="M3" i="49"/>
  <c r="I4" i="43"/>
  <c r="B6" i="41"/>
  <c r="C19" i="19"/>
  <c r="D66" i="50"/>
  <c r="F62" i="41"/>
  <c r="D22" i="41"/>
  <c r="J48" i="50"/>
  <c r="I4" i="12"/>
  <c r="F39" i="19"/>
  <c r="E3" i="50"/>
  <c r="K63" i="40"/>
  <c r="L26" i="17"/>
  <c r="Q61" i="16"/>
  <c r="Q225" i="16"/>
  <c r="M74" i="48"/>
  <c r="F61" i="47"/>
  <c r="C3" i="43"/>
  <c r="B82" i="48"/>
  <c r="B82" i="47"/>
  <c r="J49" i="40"/>
  <c r="F44" i="19"/>
  <c r="C29" i="50"/>
  <c r="P236" i="16"/>
  <c r="D63" i="49"/>
  <c r="J70" i="41"/>
  <c r="J77" i="47"/>
  <c r="I55" i="47"/>
  <c r="J59" i="50"/>
  <c r="F60" i="43"/>
  <c r="M66" i="49"/>
  <c r="F77" i="48"/>
  <c r="F21" i="49"/>
  <c r="G59" i="40"/>
  <c r="B84" i="48"/>
  <c r="P61" i="16"/>
  <c r="D84" i="41"/>
  <c r="Q81" i="16"/>
  <c r="E5" i="42"/>
  <c r="L33" i="43"/>
  <c r="E63" i="41"/>
  <c r="E59" i="48"/>
  <c r="E44" i="49"/>
  <c r="E81" i="41"/>
  <c r="L6" i="43"/>
  <c r="E83" i="48"/>
  <c r="L7" i="49"/>
  <c r="L77" i="50"/>
  <c r="L44" i="40"/>
  <c r="E42" i="50"/>
  <c r="E37" i="40"/>
  <c r="L64" i="47"/>
  <c r="L88" i="41"/>
  <c r="L16" i="49"/>
  <c r="L22" i="43"/>
  <c r="L30" i="49"/>
  <c r="L10" i="48"/>
  <c r="L38" i="50"/>
  <c r="L18" i="43"/>
  <c r="L180" i="48"/>
  <c r="E83" i="40"/>
  <c r="E21" i="42"/>
  <c r="E31" i="43"/>
  <c r="L62" i="47"/>
  <c r="L171" i="48"/>
  <c r="L39" i="49"/>
  <c r="L65" i="41"/>
  <c r="E66" i="47"/>
  <c r="L10" i="43"/>
  <c r="L173" i="47"/>
  <c r="E9" i="49"/>
  <c r="E76" i="42"/>
  <c r="L52" i="48"/>
  <c r="E9" i="43"/>
  <c r="E43" i="47"/>
  <c r="D63" i="43"/>
  <c r="L169" i="48"/>
  <c r="L17" i="48"/>
  <c r="L84" i="48"/>
  <c r="L126" i="42"/>
  <c r="E40" i="40"/>
  <c r="E21" i="43"/>
  <c r="E73" i="42"/>
  <c r="L5" i="43"/>
  <c r="L61" i="41"/>
  <c r="L53" i="42"/>
  <c r="L77" i="43"/>
  <c r="L53" i="48"/>
  <c r="E22" i="43"/>
  <c r="E39" i="49"/>
  <c r="L74" i="43"/>
  <c r="E52" i="41"/>
  <c r="E9" i="47"/>
  <c r="L40" i="42"/>
  <c r="E81" i="48"/>
  <c r="E26" i="47"/>
  <c r="L184" i="41"/>
  <c r="L175" i="48"/>
  <c r="L7" i="40"/>
  <c r="L127" i="43"/>
  <c r="E5" i="43"/>
  <c r="E32" i="49"/>
  <c r="L39" i="50"/>
  <c r="E19" i="47"/>
  <c r="L72" i="43"/>
  <c r="L65" i="40"/>
  <c r="L6" i="47"/>
  <c r="L30" i="41"/>
  <c r="E63" i="47"/>
  <c r="E77" i="49"/>
  <c r="L11" i="41"/>
  <c r="L61" i="40"/>
  <c r="L77" i="42"/>
  <c r="L48" i="49"/>
  <c r="L40" i="47"/>
  <c r="E26" i="50"/>
  <c r="E37" i="48"/>
  <c r="E71" i="42"/>
  <c r="L4" i="43"/>
  <c r="E54" i="40"/>
  <c r="E61" i="40"/>
  <c r="E51" i="42"/>
  <c r="L131" i="49"/>
  <c r="E30" i="50"/>
  <c r="E70" i="50"/>
  <c r="E9" i="50"/>
  <c r="L87" i="48"/>
  <c r="L43" i="47"/>
  <c r="L42" i="42"/>
  <c r="E75" i="42"/>
  <c r="L73" i="50"/>
  <c r="E32" i="48"/>
  <c r="L84" i="40"/>
  <c r="L50" i="41"/>
  <c r="L51" i="40"/>
  <c r="E17" i="48"/>
  <c r="E53" i="40"/>
  <c r="L50" i="50"/>
  <c r="L176" i="48"/>
  <c r="L26" i="50"/>
  <c r="L44" i="49"/>
  <c r="L128" i="49"/>
  <c r="E6" i="40"/>
  <c r="E72" i="50"/>
  <c r="E4" i="40"/>
  <c r="L50" i="49"/>
  <c r="L11" i="48"/>
  <c r="E11" i="42"/>
  <c r="E62" i="47"/>
  <c r="L184" i="40"/>
  <c r="E82" i="41"/>
  <c r="E16" i="41"/>
  <c r="E52" i="50"/>
  <c r="L43" i="42"/>
  <c r="E83" i="47"/>
  <c r="L19" i="48"/>
  <c r="L54" i="48"/>
  <c r="E6" i="49"/>
  <c r="E38" i="50"/>
  <c r="L43" i="40"/>
  <c r="E70" i="49"/>
  <c r="E44" i="42"/>
  <c r="L86" i="48"/>
  <c r="L76" i="49"/>
  <c r="L54" i="47"/>
  <c r="E33" i="40"/>
  <c r="L52" i="42"/>
  <c r="E38" i="40"/>
  <c r="L22" i="47"/>
  <c r="L20" i="48"/>
  <c r="J73" i="40"/>
  <c r="F61" i="50"/>
  <c r="B152" i="47"/>
  <c r="F72" i="48"/>
  <c r="K74" i="40"/>
  <c r="M74" i="47"/>
  <c r="J65" i="49"/>
  <c r="J62" i="42"/>
  <c r="C72" i="48"/>
  <c r="C71" i="40"/>
  <c r="J63" i="43"/>
  <c r="C70" i="41"/>
  <c r="C70" i="47"/>
  <c r="F64" i="43"/>
  <c r="K65" i="50"/>
  <c r="F73" i="41"/>
  <c r="D74" i="41"/>
  <c r="J66" i="42"/>
  <c r="D75" i="47"/>
  <c r="C72" i="47"/>
  <c r="F42" i="41"/>
  <c r="I54" i="40"/>
  <c r="DW3" i="1"/>
  <c r="I41" i="43"/>
  <c r="R59" i="47"/>
  <c r="E51" i="47"/>
  <c r="J87" i="48"/>
  <c r="C6" i="48"/>
  <c r="B58" i="40"/>
  <c r="J51" i="42"/>
  <c r="G4" i="43"/>
  <c r="F66" i="40"/>
  <c r="G3" i="47"/>
  <c r="I59" i="40"/>
  <c r="I50" i="48"/>
  <c r="F40" i="19"/>
  <c r="J64" i="43"/>
  <c r="D74" i="47"/>
  <c r="N41" i="40"/>
  <c r="M15" i="48"/>
  <c r="J70" i="47"/>
  <c r="I13" i="43"/>
  <c r="D43" i="42"/>
  <c r="J37" i="48"/>
  <c r="I15" i="49"/>
  <c r="D31" i="19"/>
  <c r="D75" i="48" s="1"/>
  <c r="Q14" i="25"/>
  <c r="K65" i="40"/>
  <c r="P35" i="25"/>
  <c r="J15" i="43"/>
  <c r="K21" i="48"/>
  <c r="P213" i="16"/>
  <c r="F51" i="40"/>
  <c r="K88" i="48"/>
  <c r="C80" i="41"/>
  <c r="J15" i="41"/>
  <c r="F16" i="19"/>
  <c r="K87" i="41"/>
  <c r="N65" i="40"/>
  <c r="C49" i="47"/>
  <c r="N7" i="47"/>
  <c r="C48" i="40"/>
  <c r="K88" i="40"/>
  <c r="J63" i="42"/>
  <c r="M59" i="50"/>
  <c r="C9" i="40"/>
  <c r="N63" i="40"/>
  <c r="C81" i="48"/>
  <c r="B52" i="48"/>
  <c r="I87" i="41"/>
  <c r="F8" i="43"/>
  <c r="J6" i="49"/>
  <c r="M41" i="40"/>
  <c r="Q49" i="16"/>
  <c r="B36" i="48"/>
  <c r="D76" i="47"/>
  <c r="L74" i="42"/>
  <c r="E49" i="43"/>
  <c r="E10" i="40"/>
  <c r="L71" i="49"/>
  <c r="E28" i="43"/>
  <c r="L81" i="47"/>
  <c r="E15" i="47"/>
  <c r="L60" i="40"/>
  <c r="L84" i="47"/>
  <c r="L182" i="41"/>
  <c r="L8" i="49"/>
  <c r="L73" i="42"/>
  <c r="L31" i="49"/>
  <c r="L180" i="47"/>
  <c r="E7" i="48"/>
  <c r="E38" i="42"/>
  <c r="E43" i="50"/>
  <c r="L7" i="50"/>
  <c r="L83" i="40"/>
  <c r="L40" i="41"/>
  <c r="L18" i="41"/>
  <c r="L182" i="47"/>
  <c r="E42" i="47"/>
  <c r="L17" i="49"/>
  <c r="E63" i="48"/>
  <c r="L20" i="49"/>
  <c r="M65" i="50"/>
  <c r="E27" i="40"/>
  <c r="L18" i="40"/>
  <c r="E7" i="40"/>
  <c r="E38" i="48"/>
  <c r="L37" i="47"/>
  <c r="L30" i="48"/>
  <c r="L60" i="48"/>
  <c r="E41" i="49"/>
  <c r="L37" i="50"/>
  <c r="E48" i="49"/>
  <c r="L21" i="41"/>
  <c r="L8" i="43"/>
  <c r="E21" i="48"/>
  <c r="E75" i="50"/>
  <c r="E20" i="47"/>
  <c r="L19" i="47"/>
  <c r="E18" i="41"/>
  <c r="E19" i="49"/>
  <c r="E50" i="40"/>
  <c r="J73" i="47"/>
  <c r="I151" i="40"/>
  <c r="J65" i="42"/>
  <c r="M76" i="41"/>
  <c r="M72" i="48"/>
  <c r="K65" i="43"/>
  <c r="F63" i="43"/>
  <c r="K77" i="41"/>
  <c r="K77" i="48"/>
  <c r="F59" i="49"/>
  <c r="F59" i="42"/>
  <c r="M64" i="42"/>
  <c r="M64" i="49"/>
  <c r="C76" i="48"/>
  <c r="C76" i="41"/>
  <c r="B154" i="40"/>
  <c r="F63" i="49"/>
  <c r="M75" i="41"/>
  <c r="M75" i="48"/>
  <c r="J74" i="48"/>
  <c r="J74" i="41"/>
  <c r="J65" i="43"/>
  <c r="J65" i="50"/>
  <c r="C59" i="43"/>
  <c r="C59" i="50"/>
  <c r="F71" i="40"/>
  <c r="C63" i="42"/>
  <c r="C63" i="49"/>
  <c r="I147" i="40"/>
  <c r="I147" i="47"/>
  <c r="F72" i="40"/>
  <c r="F72" i="47"/>
  <c r="F77" i="40"/>
  <c r="F73" i="40"/>
  <c r="F73" i="47"/>
  <c r="F60" i="49"/>
  <c r="F60" i="42"/>
  <c r="V75" i="40" l="1"/>
  <c r="W75" i="40"/>
  <c r="T75" i="40"/>
  <c r="T74" i="48"/>
  <c r="W74" i="48"/>
  <c r="V74" i="48"/>
  <c r="D252" i="50"/>
  <c r="T252" i="50" s="1"/>
  <c r="U65" i="50"/>
  <c r="U76" i="40"/>
  <c r="D263" i="40"/>
  <c r="D261" i="40"/>
  <c r="U74" i="40"/>
  <c r="D272" i="48"/>
  <c r="U85" i="48"/>
  <c r="T39" i="19"/>
  <c r="G39" i="19" s="1"/>
  <c r="E39" i="19"/>
  <c r="Z27" i="50"/>
  <c r="V36" i="48"/>
  <c r="T36" i="48"/>
  <c r="W36" i="48"/>
  <c r="G8" i="19"/>
  <c r="W77" i="48"/>
  <c r="V77" i="48"/>
  <c r="T77" i="48"/>
  <c r="V55" i="40"/>
  <c r="W55" i="40"/>
  <c r="T55" i="40"/>
  <c r="Z30" i="40"/>
  <c r="Z59" i="40"/>
  <c r="D261" i="48"/>
  <c r="U74" i="48"/>
  <c r="U22" i="19"/>
  <c r="Q22" i="19"/>
  <c r="L22" i="19"/>
  <c r="Z47" i="50"/>
  <c r="N43" i="19"/>
  <c r="Z28" i="50"/>
  <c r="U146" i="48"/>
  <c r="D333" i="48"/>
  <c r="Z59" i="48"/>
  <c r="D258" i="40"/>
  <c r="T258" i="40" s="1"/>
  <c r="U71" i="40"/>
  <c r="P11" i="19"/>
  <c r="E11" i="19"/>
  <c r="U63" i="49"/>
  <c r="D250" i="49"/>
  <c r="V250" i="49" s="1"/>
  <c r="U62" i="50"/>
  <c r="D249" i="50"/>
  <c r="V249" i="50" s="1"/>
  <c r="T43" i="19"/>
  <c r="G43" i="19" s="1"/>
  <c r="P43" i="19"/>
  <c r="E43" i="19"/>
  <c r="D220" i="49"/>
  <c r="U33" i="49"/>
  <c r="W87" i="40"/>
  <c r="V87" i="40"/>
  <c r="T87" i="40"/>
  <c r="M27" i="15"/>
  <c r="G9" i="19"/>
  <c r="U58" i="48"/>
  <c r="D245" i="48"/>
  <c r="V59" i="40"/>
  <c r="T59" i="40"/>
  <c r="W59" i="40"/>
  <c r="N22" i="19"/>
  <c r="V65" i="50"/>
  <c r="T65" i="50"/>
  <c r="W65" i="50"/>
  <c r="G28" i="17"/>
  <c r="AF600" i="44"/>
  <c r="R600" i="44" s="1"/>
  <c r="T63" i="49"/>
  <c r="V63" i="49"/>
  <c r="W63" i="49"/>
  <c r="W66" i="49"/>
  <c r="T66" i="49"/>
  <c r="V66" i="49"/>
  <c r="T37" i="19"/>
  <c r="G37" i="19" s="1"/>
  <c r="E37" i="19"/>
  <c r="R37" i="19"/>
  <c r="S37" i="19"/>
  <c r="Z49" i="50"/>
  <c r="G5" i="19"/>
  <c r="W16" i="40"/>
  <c r="T16" i="40"/>
  <c r="V16" i="40"/>
  <c r="E234" i="40"/>
  <c r="Z36" i="40"/>
  <c r="R26" i="19"/>
  <c r="S26" i="19"/>
  <c r="E26" i="19"/>
  <c r="T26" i="19"/>
  <c r="G26" i="19" s="1"/>
  <c r="Q10" i="19"/>
  <c r="L10" i="19"/>
  <c r="Z8" i="49"/>
  <c r="D245" i="49"/>
  <c r="U58" i="49"/>
  <c r="D250" i="48"/>
  <c r="U63" i="48"/>
  <c r="V85" i="48"/>
  <c r="T85" i="48"/>
  <c r="W85" i="48"/>
  <c r="Z19" i="40"/>
  <c r="V14" i="48"/>
  <c r="T14" i="48"/>
  <c r="W14" i="48"/>
  <c r="Z43" i="48"/>
  <c r="D262" i="49"/>
  <c r="U75" i="49"/>
  <c r="DX43" i="1"/>
  <c r="F54" i="34" s="1"/>
  <c r="D49" i="16"/>
  <c r="Z4" i="40"/>
  <c r="U77" i="40"/>
  <c r="D264" i="40"/>
  <c r="D251" i="49"/>
  <c r="V251" i="49" s="1"/>
  <c r="U64" i="49"/>
  <c r="D251" i="50"/>
  <c r="U64" i="50"/>
  <c r="N30" i="19"/>
  <c r="D250" i="40"/>
  <c r="V250" i="40" s="1"/>
  <c r="U63" i="40"/>
  <c r="Z79" i="48"/>
  <c r="Q8" i="19"/>
  <c r="L8" i="19"/>
  <c r="U88" i="40"/>
  <c r="D275" i="40"/>
  <c r="Z31" i="50"/>
  <c r="T63" i="50"/>
  <c r="W63" i="50"/>
  <c r="V63" i="50"/>
  <c r="Q11" i="19"/>
  <c r="L11" i="19"/>
  <c r="U10" i="48"/>
  <c r="D197" i="48"/>
  <c r="V197" i="48" s="1"/>
  <c r="D227" i="40"/>
  <c r="T227" i="40" s="1"/>
  <c r="U40" i="40"/>
  <c r="E245" i="40"/>
  <c r="T21" i="48"/>
  <c r="W21" i="48"/>
  <c r="V21" i="48"/>
  <c r="D209" i="49"/>
  <c r="U22" i="49"/>
  <c r="E38" i="19"/>
  <c r="T38" i="19"/>
  <c r="G38" i="19" s="1"/>
  <c r="Z27" i="49"/>
  <c r="U30" i="19"/>
  <c r="Q30" i="19"/>
  <c r="L30" i="19"/>
  <c r="N32" i="19"/>
  <c r="T66" i="50"/>
  <c r="W66" i="50"/>
  <c r="V66" i="50"/>
  <c r="Z48" i="48"/>
  <c r="E28" i="19"/>
  <c r="T28" i="19"/>
  <c r="G28" i="19" s="1"/>
  <c r="Q19" i="19"/>
  <c r="U19" i="19"/>
  <c r="L19" i="19"/>
  <c r="P19" i="19"/>
  <c r="T19" i="19"/>
  <c r="G19" i="19" s="1"/>
  <c r="E19" i="19"/>
  <c r="F2" i="19"/>
  <c r="G4" i="19"/>
  <c r="Z57" i="40"/>
  <c r="Z29" i="50"/>
  <c r="Z54" i="49"/>
  <c r="E267" i="48"/>
  <c r="N10" i="19"/>
  <c r="T75" i="48"/>
  <c r="V75" i="48"/>
  <c r="W75" i="48"/>
  <c r="U17" i="19"/>
  <c r="N17" i="19" s="1"/>
  <c r="L17" i="19"/>
  <c r="Q18" i="19"/>
  <c r="L18" i="19"/>
  <c r="U18" i="19"/>
  <c r="T47" i="40"/>
  <c r="V47" i="40"/>
  <c r="W47" i="40"/>
  <c r="T51" i="50"/>
  <c r="W51" i="50"/>
  <c r="V51" i="50"/>
  <c r="D259" i="40"/>
  <c r="U72" i="40"/>
  <c r="Z47" i="40"/>
  <c r="N18" i="19"/>
  <c r="Z4" i="49"/>
  <c r="W32" i="40"/>
  <c r="T32" i="40"/>
  <c r="V32" i="40"/>
  <c r="Z15" i="49"/>
  <c r="Z10" i="40"/>
  <c r="V10" i="50"/>
  <c r="W10" i="50"/>
  <c r="T10" i="50"/>
  <c r="U74" i="49"/>
  <c r="D261" i="49"/>
  <c r="Q21" i="19"/>
  <c r="L21" i="19"/>
  <c r="U21" i="19"/>
  <c r="Z6" i="50"/>
  <c r="U48" i="49"/>
  <c r="D235" i="49"/>
  <c r="V17" i="49"/>
  <c r="W17" i="49"/>
  <c r="T17" i="49"/>
  <c r="V54" i="40"/>
  <c r="T54" i="40"/>
  <c r="W54" i="40"/>
  <c r="U54" i="40"/>
  <c r="D241" i="40"/>
  <c r="U88" i="48"/>
  <c r="D275" i="48"/>
  <c r="V275" i="48" s="1"/>
  <c r="Z39" i="50"/>
  <c r="D241" i="49"/>
  <c r="U54" i="49"/>
  <c r="Z47" i="48"/>
  <c r="Z43" i="50"/>
  <c r="Z62" i="40"/>
  <c r="W54" i="49"/>
  <c r="T54" i="49"/>
  <c r="V54" i="49"/>
  <c r="Z18" i="48"/>
  <c r="U55" i="49"/>
  <c r="D242" i="49"/>
  <c r="T242" i="49" s="1"/>
  <c r="Z61" i="40"/>
  <c r="E16" i="19"/>
  <c r="T16" i="19"/>
  <c r="G16" i="19" s="1"/>
  <c r="DX5" i="1"/>
  <c r="F16" i="34" s="1"/>
  <c r="DX40" i="1"/>
  <c r="F51" i="34" s="1"/>
  <c r="D28" i="16"/>
  <c r="D37" i="16"/>
  <c r="G10" i="19"/>
  <c r="Z85" i="48"/>
  <c r="Z7" i="49"/>
  <c r="D262" i="40"/>
  <c r="T262" i="40" s="1"/>
  <c r="U75" i="40"/>
  <c r="U21" i="48"/>
  <c r="D208" i="48"/>
  <c r="D217" i="40"/>
  <c r="T217" i="40" s="1"/>
  <c r="U30" i="40"/>
  <c r="V20" i="49"/>
  <c r="T20" i="49"/>
  <c r="W20" i="49"/>
  <c r="D262" i="48"/>
  <c r="U75" i="48"/>
  <c r="N31" i="19"/>
  <c r="N41" i="19"/>
  <c r="T42" i="19"/>
  <c r="G42" i="19" s="1"/>
  <c r="P42" i="19"/>
  <c r="E42" i="19"/>
  <c r="Z31" i="49"/>
  <c r="V44" i="50"/>
  <c r="W44" i="50"/>
  <c r="T44" i="50"/>
  <c r="Z35" i="50"/>
  <c r="D271" i="40"/>
  <c r="U84" i="40"/>
  <c r="D246" i="48"/>
  <c r="U59" i="48"/>
  <c r="N7" i="19"/>
  <c r="Z10" i="49"/>
  <c r="Z13" i="40"/>
  <c r="T64" i="50"/>
  <c r="W64" i="50"/>
  <c r="V64" i="50"/>
  <c r="P32" i="19"/>
  <c r="T32" i="19"/>
  <c r="G32" i="19" s="1"/>
  <c r="E32" i="19"/>
  <c r="U65" i="40"/>
  <c r="D252" i="40"/>
  <c r="E5" i="19"/>
  <c r="U14" i="40"/>
  <c r="D201" i="40"/>
  <c r="V201" i="40" s="1"/>
  <c r="Z8" i="50"/>
  <c r="V25" i="49"/>
  <c r="T25" i="49"/>
  <c r="W25" i="49"/>
  <c r="D195" i="49"/>
  <c r="U8" i="49"/>
  <c r="Z7" i="50"/>
  <c r="Z58" i="40"/>
  <c r="U32" i="19"/>
  <c r="L32" i="19"/>
  <c r="Q32" i="19"/>
  <c r="F24" i="19"/>
  <c r="N6" i="19"/>
  <c r="E7" i="19"/>
  <c r="G11" i="19"/>
  <c r="U59" i="40"/>
  <c r="D246" i="40"/>
  <c r="T246" i="40" s="1"/>
  <c r="N42" i="6"/>
  <c r="W42" i="6" s="1"/>
  <c r="T21" i="19"/>
  <c r="G21" i="19" s="1"/>
  <c r="E21" i="19"/>
  <c r="P21" i="19"/>
  <c r="D196" i="49"/>
  <c r="U9" i="49"/>
  <c r="E212" i="49"/>
  <c r="Z17" i="48"/>
  <c r="Z65" i="40"/>
  <c r="D230" i="50"/>
  <c r="U43" i="50"/>
  <c r="V53" i="48"/>
  <c r="T53" i="48"/>
  <c r="W53" i="48"/>
  <c r="T43" i="40"/>
  <c r="V43" i="40"/>
  <c r="W43" i="40"/>
  <c r="Z26" i="48"/>
  <c r="U47" i="40"/>
  <c r="D234" i="40"/>
  <c r="D208" i="40"/>
  <c r="V208" i="40" s="1"/>
  <c r="U21" i="40"/>
  <c r="Z26" i="49"/>
  <c r="U47" i="50"/>
  <c r="D234" i="50"/>
  <c r="T234" i="50" s="1"/>
  <c r="U15" i="40"/>
  <c r="D202" i="40"/>
  <c r="D182" i="16"/>
  <c r="W43" i="48"/>
  <c r="V43" i="48"/>
  <c r="T43" i="48"/>
  <c r="W31" i="40"/>
  <c r="T31" i="40"/>
  <c r="V31" i="40"/>
  <c r="Z64" i="40"/>
  <c r="Z83" i="40"/>
  <c r="W15" i="40"/>
  <c r="V15" i="40"/>
  <c r="T15" i="40"/>
  <c r="V74" i="40"/>
  <c r="T74" i="40"/>
  <c r="W74" i="40"/>
  <c r="T64" i="49"/>
  <c r="V64" i="49"/>
  <c r="W64" i="49"/>
  <c r="Q7" i="19"/>
  <c r="L7" i="19"/>
  <c r="T33" i="19"/>
  <c r="G33" i="19" s="1"/>
  <c r="P33" i="19"/>
  <c r="E33" i="19"/>
  <c r="E212" i="40"/>
  <c r="D253" i="50"/>
  <c r="U66" i="50"/>
  <c r="N19" i="19"/>
  <c r="Q6" i="19"/>
  <c r="L6" i="19"/>
  <c r="U10" i="50"/>
  <c r="D197" i="50"/>
  <c r="S4" i="19"/>
  <c r="R4" i="19"/>
  <c r="E4" i="19"/>
  <c r="U31" i="48"/>
  <c r="D218" i="48"/>
  <c r="U44" i="48"/>
  <c r="D231" i="48"/>
  <c r="V231" i="48" s="1"/>
  <c r="Z81" i="48"/>
  <c r="T47" i="48"/>
  <c r="W47" i="48"/>
  <c r="V47" i="48"/>
  <c r="Z13" i="49"/>
  <c r="Z38" i="48"/>
  <c r="Z31" i="40"/>
  <c r="U31" i="19"/>
  <c r="Q31" i="19"/>
  <c r="L31" i="19"/>
  <c r="U20" i="50"/>
  <c r="D207" i="50"/>
  <c r="V207" i="50" s="1"/>
  <c r="U53" i="50"/>
  <c r="D240" i="50"/>
  <c r="T240" i="50" s="1"/>
  <c r="Z66" i="40"/>
  <c r="Z61" i="48"/>
  <c r="N20" i="19"/>
  <c r="N33" i="19"/>
  <c r="G7" i="19"/>
  <c r="U20" i="19"/>
  <c r="Q20" i="19"/>
  <c r="L20" i="19"/>
  <c r="U41" i="19"/>
  <c r="Q41" i="19"/>
  <c r="L41" i="19"/>
  <c r="Z68" i="40"/>
  <c r="V25" i="50"/>
  <c r="T25" i="50"/>
  <c r="W25" i="50"/>
  <c r="EC16" i="1"/>
  <c r="D64" i="9"/>
  <c r="Z62" i="48"/>
  <c r="E201" i="48"/>
  <c r="N4" i="19"/>
  <c r="T40" i="19"/>
  <c r="G40" i="19" s="1"/>
  <c r="E40" i="19"/>
  <c r="N21" i="19"/>
  <c r="Z18" i="50"/>
  <c r="Z13" i="48"/>
  <c r="Z39" i="48"/>
  <c r="V11" i="49"/>
  <c r="T11" i="49"/>
  <c r="W11" i="49"/>
  <c r="N39" i="19"/>
  <c r="N8" i="19"/>
  <c r="N5" i="19"/>
  <c r="F35" i="19"/>
  <c r="D273" i="48"/>
  <c r="T273" i="48" s="1"/>
  <c r="U86" i="48"/>
  <c r="T30" i="19"/>
  <c r="G30" i="19" s="1"/>
  <c r="P30" i="19"/>
  <c r="E30" i="19"/>
  <c r="V61" i="40"/>
  <c r="W61" i="40"/>
  <c r="T61" i="40"/>
  <c r="U42" i="50"/>
  <c r="D229" i="50"/>
  <c r="Z16" i="49"/>
  <c r="U41" i="40"/>
  <c r="D228" i="40"/>
  <c r="Z65" i="48"/>
  <c r="Z6" i="49"/>
  <c r="Z5" i="49"/>
  <c r="D204" i="48"/>
  <c r="U17" i="48"/>
  <c r="D197" i="40"/>
  <c r="U10" i="40"/>
  <c r="V9" i="49"/>
  <c r="W9" i="49"/>
  <c r="T9" i="49"/>
  <c r="V11" i="50"/>
  <c r="T11" i="50"/>
  <c r="W11" i="50"/>
  <c r="T63" i="48"/>
  <c r="V63" i="48"/>
  <c r="W63" i="48"/>
  <c r="Z43" i="49"/>
  <c r="Z10" i="48"/>
  <c r="N82" i="6"/>
  <c r="W82" i="6" s="1"/>
  <c r="Y82" i="6" s="1"/>
  <c r="V88" i="48"/>
  <c r="T88" i="48"/>
  <c r="W88" i="48"/>
  <c r="D245" i="40"/>
  <c r="U58" i="40"/>
  <c r="W17" i="40"/>
  <c r="V17" i="40"/>
  <c r="T17" i="40"/>
  <c r="Z36" i="50"/>
  <c r="F3" i="18"/>
  <c r="F28" i="18" s="1"/>
  <c r="Z55" i="49"/>
  <c r="Z80" i="40"/>
  <c r="D238" i="40"/>
  <c r="V238" i="40" s="1"/>
  <c r="U51" i="40"/>
  <c r="W80" i="48"/>
  <c r="V80" i="48"/>
  <c r="T80" i="48"/>
  <c r="D203" i="40"/>
  <c r="U16" i="40"/>
  <c r="D239" i="40"/>
  <c r="U52" i="40"/>
  <c r="Z25" i="40"/>
  <c r="D251" i="48"/>
  <c r="U64" i="48"/>
  <c r="Z86" i="48"/>
  <c r="D217" i="48"/>
  <c r="U30" i="48"/>
  <c r="L4" i="19"/>
  <c r="N9" i="19"/>
  <c r="U42" i="48"/>
  <c r="D229" i="48"/>
  <c r="T41" i="48"/>
  <c r="W41" i="48"/>
  <c r="V41" i="48"/>
  <c r="U84" i="48"/>
  <c r="D271" i="48"/>
  <c r="U20" i="48"/>
  <c r="D207" i="48"/>
  <c r="Z49" i="40"/>
  <c r="V66" i="40"/>
  <c r="W66" i="40"/>
  <c r="T66" i="40"/>
  <c r="T66" i="48"/>
  <c r="V66" i="48"/>
  <c r="W66" i="48"/>
  <c r="Z29" i="49"/>
  <c r="Z33" i="50"/>
  <c r="W21" i="40"/>
  <c r="V21" i="40"/>
  <c r="T21" i="40"/>
  <c r="Z28" i="48"/>
  <c r="Z84" i="40"/>
  <c r="U10" i="49"/>
  <c r="D197" i="49"/>
  <c r="EC40" i="1"/>
  <c r="W41" i="49"/>
  <c r="V41" i="49"/>
  <c r="T41" i="49"/>
  <c r="W19" i="40"/>
  <c r="T19" i="40"/>
  <c r="V19" i="40"/>
  <c r="Z17" i="49"/>
  <c r="Z43" i="40"/>
  <c r="N44" i="19"/>
  <c r="Z50" i="40"/>
  <c r="V32" i="49"/>
  <c r="T32" i="49"/>
  <c r="W32" i="49"/>
  <c r="Z31" i="48"/>
  <c r="W52" i="49"/>
  <c r="T52" i="49"/>
  <c r="V52" i="49"/>
  <c r="E212" i="50"/>
  <c r="V30" i="40"/>
  <c r="T30" i="40"/>
  <c r="W30" i="40"/>
  <c r="V22" i="48"/>
  <c r="T22" i="48"/>
  <c r="W22" i="48"/>
  <c r="Z33" i="48"/>
  <c r="Z14" i="49"/>
  <c r="N40" i="19"/>
  <c r="Z48" i="40"/>
  <c r="E234" i="48"/>
  <c r="K203" i="16"/>
  <c r="Z26" i="40"/>
  <c r="U73" i="48"/>
  <c r="D260" i="48"/>
  <c r="Z28" i="49"/>
  <c r="Z79" i="40"/>
  <c r="Z87" i="40"/>
  <c r="Z44" i="40"/>
  <c r="G5" i="17"/>
  <c r="AF577" i="44"/>
  <c r="Z11" i="40"/>
  <c r="D195" i="48"/>
  <c r="U8" i="48"/>
  <c r="Z41" i="48"/>
  <c r="W75" i="50"/>
  <c r="V75" i="50"/>
  <c r="T75" i="50"/>
  <c r="T10" i="40"/>
  <c r="W10" i="40"/>
  <c r="V10" i="40"/>
  <c r="T80" i="40"/>
  <c r="V80" i="40"/>
  <c r="W80" i="40"/>
  <c r="U44" i="19"/>
  <c r="Q44" i="19"/>
  <c r="L44" i="19"/>
  <c r="Z47" i="49"/>
  <c r="W42" i="50"/>
  <c r="T42" i="50"/>
  <c r="V42" i="50"/>
  <c r="D209" i="40"/>
  <c r="U22" i="40"/>
  <c r="EC28" i="1"/>
  <c r="U6" i="15"/>
  <c r="N211" i="6"/>
  <c r="W211" i="6" s="1"/>
  <c r="N424" i="6"/>
  <c r="W424" i="6" s="1"/>
  <c r="K103" i="16"/>
  <c r="N170" i="6"/>
  <c r="W170" i="6" s="1"/>
  <c r="Z68" i="50"/>
  <c r="Z80" i="48"/>
  <c r="D217" i="49"/>
  <c r="U30" i="49"/>
  <c r="K235" i="16"/>
  <c r="U32" i="49"/>
  <c r="D219" i="49"/>
  <c r="Z44" i="48"/>
  <c r="U41" i="48"/>
  <c r="D228" i="48"/>
  <c r="Z24" i="48"/>
  <c r="U44" i="40"/>
  <c r="D231" i="40"/>
  <c r="U31" i="49"/>
  <c r="D218" i="49"/>
  <c r="T218" i="49" s="1"/>
  <c r="Z64" i="48"/>
  <c r="Z53" i="49"/>
  <c r="T54" i="48"/>
  <c r="W54" i="48"/>
  <c r="V54" i="48"/>
  <c r="V48" i="49"/>
  <c r="T48" i="49"/>
  <c r="W48" i="49"/>
  <c r="Z25" i="49"/>
  <c r="W53" i="50"/>
  <c r="T53" i="50"/>
  <c r="V53" i="50"/>
  <c r="U17" i="49"/>
  <c r="D204" i="49"/>
  <c r="V33" i="49"/>
  <c r="T33" i="49"/>
  <c r="W33" i="49"/>
  <c r="U31" i="50"/>
  <c r="D218" i="50"/>
  <c r="N42" i="19"/>
  <c r="U25" i="40"/>
  <c r="D212" i="40"/>
  <c r="W41" i="50"/>
  <c r="V41" i="50"/>
  <c r="T41" i="50"/>
  <c r="Z28" i="40"/>
  <c r="D223" i="48"/>
  <c r="U36" i="48"/>
  <c r="Z40" i="40"/>
  <c r="Z20" i="49"/>
  <c r="Z63" i="40"/>
  <c r="W146" i="48"/>
  <c r="V146" i="48"/>
  <c r="T146" i="48"/>
  <c r="Z88" i="48"/>
  <c r="V9" i="50"/>
  <c r="W9" i="50"/>
  <c r="T9" i="50"/>
  <c r="U32" i="40"/>
  <c r="D219" i="40"/>
  <c r="T219" i="40" s="1"/>
  <c r="Z18" i="49"/>
  <c r="D205" i="48"/>
  <c r="U18" i="48"/>
  <c r="V53" i="49"/>
  <c r="T53" i="49"/>
  <c r="W53" i="49"/>
  <c r="Z42" i="40"/>
  <c r="E234" i="49"/>
  <c r="U18" i="40"/>
  <c r="D205" i="40"/>
  <c r="G6" i="19"/>
  <c r="D253" i="48"/>
  <c r="U66" i="48"/>
  <c r="T10" i="49"/>
  <c r="V10" i="49"/>
  <c r="W10" i="49"/>
  <c r="U20" i="49"/>
  <c r="D207" i="49"/>
  <c r="W58" i="40"/>
  <c r="T58" i="40"/>
  <c r="V58" i="40"/>
  <c r="U66" i="40"/>
  <c r="D253" i="40"/>
  <c r="V253" i="40" s="1"/>
  <c r="Z10" i="50"/>
  <c r="Z30" i="48"/>
  <c r="Z14" i="40"/>
  <c r="W16" i="48"/>
  <c r="V16" i="48"/>
  <c r="T16" i="48"/>
  <c r="D194" i="40"/>
  <c r="U7" i="40"/>
  <c r="D203" i="48"/>
  <c r="U16" i="48"/>
  <c r="Z8" i="48"/>
  <c r="Z32" i="48"/>
  <c r="D248" i="40"/>
  <c r="V248" i="40" s="1"/>
  <c r="U61" i="40"/>
  <c r="T49" i="50"/>
  <c r="V49" i="50"/>
  <c r="W49" i="50"/>
  <c r="Z15" i="48"/>
  <c r="Z5" i="50"/>
  <c r="E234" i="50"/>
  <c r="L5" i="19"/>
  <c r="V60" i="40"/>
  <c r="T60" i="40"/>
  <c r="W60" i="40"/>
  <c r="Z55" i="48"/>
  <c r="V19" i="50"/>
  <c r="T19" i="50"/>
  <c r="W19" i="50"/>
  <c r="Z36" i="49"/>
  <c r="Z52" i="40"/>
  <c r="E333" i="48"/>
  <c r="W18" i="49"/>
  <c r="V18" i="49"/>
  <c r="T18" i="49"/>
  <c r="Z40" i="48"/>
  <c r="D239" i="49"/>
  <c r="U52" i="49"/>
  <c r="F337" i="6"/>
  <c r="D108" i="9"/>
  <c r="D238" i="49"/>
  <c r="U51" i="49"/>
  <c r="N437" i="6"/>
  <c r="W437" i="6" s="1"/>
  <c r="Y437" i="6" s="1"/>
  <c r="Z437" i="6" s="1"/>
  <c r="Z37" i="48"/>
  <c r="D206" i="49"/>
  <c r="U19" i="49"/>
  <c r="Z19" i="49"/>
  <c r="Z39" i="40"/>
  <c r="W61" i="48"/>
  <c r="V61" i="48"/>
  <c r="T61" i="48"/>
  <c r="D209" i="50"/>
  <c r="U22" i="50"/>
  <c r="D206" i="48"/>
  <c r="T206" i="48" s="1"/>
  <c r="U19" i="48"/>
  <c r="Z6" i="40"/>
  <c r="G29" i="17"/>
  <c r="AF602" i="44"/>
  <c r="X602" i="44" s="1"/>
  <c r="D206" i="40"/>
  <c r="U19" i="40"/>
  <c r="A369" i="44"/>
  <c r="A371" i="44"/>
  <c r="C367" i="44"/>
  <c r="A372" i="44"/>
  <c r="A370" i="44"/>
  <c r="C368" i="44"/>
  <c r="D368" i="44" s="1"/>
  <c r="C369" i="44"/>
  <c r="C370" i="44"/>
  <c r="E365" i="44"/>
  <c r="C371" i="44"/>
  <c r="D371" i="44" s="1"/>
  <c r="P371" i="44" s="1"/>
  <c r="A374" i="44"/>
  <c r="A367" i="44"/>
  <c r="B365" i="44"/>
  <c r="A373" i="44" s="1"/>
  <c r="A366" i="44"/>
  <c r="H365" i="44"/>
  <c r="Z71" i="49"/>
  <c r="F107" i="6"/>
  <c r="K26" i="9"/>
  <c r="N460" i="6"/>
  <c r="W460" i="6" s="1"/>
  <c r="Z51" i="48"/>
  <c r="U77" i="48"/>
  <c r="D264" i="48"/>
  <c r="T264" i="48" s="1"/>
  <c r="F13" i="19"/>
  <c r="N38" i="19"/>
  <c r="N11" i="19"/>
  <c r="U27" i="19"/>
  <c r="N27" i="19" s="1"/>
  <c r="L27" i="19"/>
  <c r="Q33" i="19"/>
  <c r="U33" i="19"/>
  <c r="L33" i="19"/>
  <c r="T44" i="19"/>
  <c r="G44" i="19" s="1"/>
  <c r="P44" i="19"/>
  <c r="E44" i="19"/>
  <c r="T41" i="19"/>
  <c r="G41" i="19" s="1"/>
  <c r="E41" i="19"/>
  <c r="P41" i="19"/>
  <c r="U49" i="50"/>
  <c r="D236" i="50"/>
  <c r="Z29" i="40"/>
  <c r="D218" i="40"/>
  <c r="U31" i="40"/>
  <c r="Z53" i="40"/>
  <c r="D252" i="48"/>
  <c r="U65" i="48"/>
  <c r="D239" i="50"/>
  <c r="U52" i="50"/>
  <c r="Z14" i="48"/>
  <c r="Z32" i="50"/>
  <c r="W53" i="40"/>
  <c r="T53" i="40"/>
  <c r="V53" i="40"/>
  <c r="T31" i="50"/>
  <c r="V31" i="50"/>
  <c r="W31" i="50"/>
  <c r="Z29" i="48"/>
  <c r="T63" i="40"/>
  <c r="W63" i="40"/>
  <c r="V63" i="40"/>
  <c r="Z19" i="48"/>
  <c r="U55" i="48"/>
  <c r="D242" i="48"/>
  <c r="U87" i="48"/>
  <c r="D274" i="48"/>
  <c r="T274" i="48" s="1"/>
  <c r="D234" i="48"/>
  <c r="U47" i="48"/>
  <c r="D247" i="40"/>
  <c r="V247" i="40" s="1"/>
  <c r="U60" i="40"/>
  <c r="Z18" i="40"/>
  <c r="U62" i="40"/>
  <c r="D249" i="40"/>
  <c r="DX10" i="1"/>
  <c r="F21" i="34" s="1"/>
  <c r="Z50" i="48"/>
  <c r="D237" i="50"/>
  <c r="U50" i="50"/>
  <c r="Z146" i="48"/>
  <c r="Z46" i="50"/>
  <c r="U33" i="40"/>
  <c r="D220" i="40"/>
  <c r="T220" i="40" s="1"/>
  <c r="Z9" i="48"/>
  <c r="Z51" i="40"/>
  <c r="U53" i="49"/>
  <c r="D240" i="49"/>
  <c r="Z27" i="40"/>
  <c r="W60" i="48"/>
  <c r="V60" i="48"/>
  <c r="T60" i="48"/>
  <c r="D236" i="49"/>
  <c r="U49" i="49"/>
  <c r="F5" i="17"/>
  <c r="AE577" i="44"/>
  <c r="D577" i="44" s="1"/>
  <c r="D248" i="48"/>
  <c r="U61" i="48"/>
  <c r="P31" i="19"/>
  <c r="T31" i="19"/>
  <c r="G31" i="19" s="1"/>
  <c r="E31" i="19"/>
  <c r="U25" i="48"/>
  <c r="D212" i="48"/>
  <c r="T25" i="40"/>
  <c r="W25" i="40"/>
  <c r="V25" i="40"/>
  <c r="Z84" i="48"/>
  <c r="T64" i="48"/>
  <c r="W64" i="48"/>
  <c r="V64" i="48"/>
  <c r="Z54" i="50"/>
  <c r="Z32" i="49"/>
  <c r="Z37" i="50"/>
  <c r="Z27" i="48"/>
  <c r="V16" i="49"/>
  <c r="T16" i="49"/>
  <c r="W16" i="49"/>
  <c r="Z30" i="50"/>
  <c r="E15" i="19"/>
  <c r="S15" i="19"/>
  <c r="S1" i="19" s="1"/>
  <c r="R15" i="19"/>
  <c r="T15" i="19"/>
  <c r="G15" i="19" s="1"/>
  <c r="Z52" i="49"/>
  <c r="Z55" i="40"/>
  <c r="Z50" i="49"/>
  <c r="V18" i="40"/>
  <c r="T18" i="40"/>
  <c r="W18" i="40"/>
  <c r="E212" i="48"/>
  <c r="D249" i="48"/>
  <c r="U62" i="48"/>
  <c r="Z75" i="49"/>
  <c r="D227" i="48"/>
  <c r="U40" i="48"/>
  <c r="D202" i="49"/>
  <c r="U15" i="49"/>
  <c r="U51" i="50"/>
  <c r="D238" i="50"/>
  <c r="V238" i="50" s="1"/>
  <c r="Z38" i="50"/>
  <c r="EC32" i="1"/>
  <c r="EC26" i="1"/>
  <c r="Z54" i="48"/>
  <c r="U55" i="50"/>
  <c r="D242" i="50"/>
  <c r="V242" i="50" s="1"/>
  <c r="EC20" i="1"/>
  <c r="AG623" i="44"/>
  <c r="H50" i="17"/>
  <c r="K50" i="16"/>
  <c r="U36" i="49"/>
  <c r="D223" i="49"/>
  <c r="Z41" i="40"/>
  <c r="F428" i="6"/>
  <c r="R27" i="9"/>
  <c r="D35" i="9"/>
  <c r="W74" i="49"/>
  <c r="V74" i="49"/>
  <c r="T74" i="49"/>
  <c r="Z9" i="49"/>
  <c r="T87" i="48"/>
  <c r="V87" i="48"/>
  <c r="W87" i="48"/>
  <c r="Z60" i="40"/>
  <c r="EC25" i="1"/>
  <c r="DX50" i="1"/>
  <c r="F61" i="34" s="1"/>
  <c r="N494" i="6"/>
  <c r="W494" i="6" s="1"/>
  <c r="Y494" i="6" s="1"/>
  <c r="Z494" i="6" s="1"/>
  <c r="N83" i="6"/>
  <c r="W83" i="6" s="1"/>
  <c r="Z42" i="49"/>
  <c r="E223" i="48"/>
  <c r="W84" i="48"/>
  <c r="V84" i="48"/>
  <c r="T84" i="48"/>
  <c r="Z20" i="40"/>
  <c r="Z53" i="50"/>
  <c r="E223" i="50"/>
  <c r="W55" i="49"/>
  <c r="V55" i="49"/>
  <c r="T55" i="49"/>
  <c r="Z86" i="40"/>
  <c r="U69" i="48"/>
  <c r="D256" i="48"/>
  <c r="T256" i="48" s="1"/>
  <c r="U14" i="48"/>
  <c r="D201" i="48"/>
  <c r="EC34" i="1"/>
  <c r="Z50" i="50"/>
  <c r="Z20" i="48"/>
  <c r="Z22" i="48"/>
  <c r="Z25" i="50"/>
  <c r="V21" i="49"/>
  <c r="T21" i="49"/>
  <c r="W21" i="49"/>
  <c r="U25" i="49"/>
  <c r="D212" i="49"/>
  <c r="D193" i="40"/>
  <c r="U6" i="40"/>
  <c r="D223" i="40"/>
  <c r="U36" i="40"/>
  <c r="Z81" i="40"/>
  <c r="W20" i="40"/>
  <c r="T20" i="40"/>
  <c r="V20" i="40"/>
  <c r="DX15" i="1"/>
  <c r="F26" i="34" s="1"/>
  <c r="Z9" i="50"/>
  <c r="E333" i="40"/>
  <c r="AG576" i="44"/>
  <c r="Y576" i="44" s="1"/>
  <c r="U47" i="49"/>
  <c r="D234" i="49"/>
  <c r="D223" i="50"/>
  <c r="U36" i="50"/>
  <c r="T33" i="40"/>
  <c r="V33" i="40"/>
  <c r="W33" i="40"/>
  <c r="K115" i="16"/>
  <c r="W44" i="48"/>
  <c r="T44" i="48"/>
  <c r="V44" i="48"/>
  <c r="Z30" i="49"/>
  <c r="N369" i="6"/>
  <c r="W369" i="6" s="1"/>
  <c r="Y369" i="6" s="1"/>
  <c r="D237" i="49"/>
  <c r="U50" i="49"/>
  <c r="D198" i="48"/>
  <c r="V198" i="48" s="1"/>
  <c r="U11" i="48"/>
  <c r="U14" i="49"/>
  <c r="D201" i="49"/>
  <c r="V201" i="49" s="1"/>
  <c r="Z46" i="48"/>
  <c r="D219" i="50"/>
  <c r="U32" i="50"/>
  <c r="Z54" i="40"/>
  <c r="D203" i="50"/>
  <c r="U16" i="50"/>
  <c r="DX8" i="1"/>
  <c r="F19" i="34" s="1"/>
  <c r="DX35" i="1"/>
  <c r="F46" i="34" s="1"/>
  <c r="F235" i="6"/>
  <c r="K64" i="9"/>
  <c r="N181" i="6"/>
  <c r="W181" i="6" s="1"/>
  <c r="Y181" i="6" s="1"/>
  <c r="Z181" i="6" s="1"/>
  <c r="EC24" i="1"/>
  <c r="U69" i="50"/>
  <c r="D256" i="50"/>
  <c r="N143" i="6"/>
  <c r="W143" i="6" s="1"/>
  <c r="Y143" i="6" s="1"/>
  <c r="Z143" i="6" s="1"/>
  <c r="F30" i="17"/>
  <c r="AE598" i="44"/>
  <c r="Q598" i="44" s="1"/>
  <c r="N237" i="6"/>
  <c r="W237" i="6" s="1"/>
  <c r="Y237" i="6" s="1"/>
  <c r="Z237" i="6" s="1"/>
  <c r="E4" i="17"/>
  <c r="AD579" i="44"/>
  <c r="Z41" i="49"/>
  <c r="Z49" i="48"/>
  <c r="N331" i="6"/>
  <c r="W331" i="6" s="1"/>
  <c r="D50" i="9"/>
  <c r="F144" i="6"/>
  <c r="N81" i="6"/>
  <c r="W81" i="6" s="1"/>
  <c r="F111" i="18"/>
  <c r="F128" i="18" s="1"/>
  <c r="F74" i="18"/>
  <c r="F91" i="18" s="1"/>
  <c r="DX3" i="1"/>
  <c r="F14" i="34" s="1"/>
  <c r="AN42" i="14"/>
  <c r="AJ42" i="14"/>
  <c r="N236" i="6"/>
  <c r="W236" i="6" s="1"/>
  <c r="D44" i="9"/>
  <c r="N215" i="6"/>
  <c r="W215" i="6" s="1"/>
  <c r="Y215" i="6" s="1"/>
  <c r="EC35" i="1"/>
  <c r="AG613" i="44"/>
  <c r="S613" i="44" s="1"/>
  <c r="H39" i="17"/>
  <c r="F43" i="18"/>
  <c r="F58" i="18" s="1"/>
  <c r="U14" i="50"/>
  <c r="D201" i="50"/>
  <c r="D95" i="16"/>
  <c r="Z58" i="48"/>
  <c r="V73" i="49"/>
  <c r="W73" i="49"/>
  <c r="T73" i="49"/>
  <c r="Z21" i="40"/>
  <c r="T76" i="50"/>
  <c r="V76" i="50"/>
  <c r="W76" i="50"/>
  <c r="N139" i="6"/>
  <c r="W139" i="6" s="1"/>
  <c r="V65" i="40"/>
  <c r="W65" i="40"/>
  <c r="T65" i="40"/>
  <c r="V33" i="50"/>
  <c r="T33" i="50"/>
  <c r="W33" i="50"/>
  <c r="Z25" i="48"/>
  <c r="Z6" i="48"/>
  <c r="Z46" i="49"/>
  <c r="V62" i="40"/>
  <c r="W62" i="40"/>
  <c r="T62" i="40"/>
  <c r="U33" i="50"/>
  <c r="D220" i="50"/>
  <c r="N29" i="19"/>
  <c r="D180" i="16"/>
  <c r="K73" i="16"/>
  <c r="Z46" i="40"/>
  <c r="E223" i="40"/>
  <c r="P8" i="19"/>
  <c r="E8" i="19"/>
  <c r="Z24" i="49"/>
  <c r="K69" i="9"/>
  <c r="W124" i="49"/>
  <c r="D195" i="40"/>
  <c r="U8" i="40"/>
  <c r="DX7" i="1"/>
  <c r="F18" i="34" s="1"/>
  <c r="U13" i="15"/>
  <c r="D274" i="40"/>
  <c r="U87" i="40"/>
  <c r="Z52" i="48"/>
  <c r="U40" i="50"/>
  <c r="D227" i="50"/>
  <c r="U53" i="48"/>
  <c r="D240" i="48"/>
  <c r="T240" i="48" s="1"/>
  <c r="E201" i="40"/>
  <c r="V19" i="48"/>
  <c r="T19" i="48"/>
  <c r="W19" i="48"/>
  <c r="K182" i="16"/>
  <c r="Z7" i="48"/>
  <c r="V51" i="49"/>
  <c r="W51" i="49"/>
  <c r="T51" i="49"/>
  <c r="DX37" i="1"/>
  <c r="F48" i="34" s="1"/>
  <c r="U48" i="50"/>
  <c r="D235" i="50"/>
  <c r="T235" i="50" s="1"/>
  <c r="U11" i="50"/>
  <c r="D198" i="50"/>
  <c r="T15" i="48"/>
  <c r="W15" i="48"/>
  <c r="V15" i="48"/>
  <c r="D219" i="48"/>
  <c r="U32" i="48"/>
  <c r="Z16" i="48"/>
  <c r="D242" i="40"/>
  <c r="U55" i="40"/>
  <c r="T22" i="49"/>
  <c r="V22" i="49"/>
  <c r="W22" i="49"/>
  <c r="D198" i="49"/>
  <c r="U11" i="49"/>
  <c r="V31" i="48"/>
  <c r="W31" i="48"/>
  <c r="T31" i="48"/>
  <c r="V52" i="50"/>
  <c r="W52" i="50"/>
  <c r="T52" i="50"/>
  <c r="D267" i="40"/>
  <c r="U80" i="40"/>
  <c r="EC11" i="1"/>
  <c r="V11" i="48"/>
  <c r="T11" i="48"/>
  <c r="W11" i="48"/>
  <c r="K83" i="16"/>
  <c r="E48" i="17"/>
  <c r="AD624" i="44"/>
  <c r="V69" i="48"/>
  <c r="W69" i="48"/>
  <c r="T69" i="48"/>
  <c r="A455" i="44"/>
  <c r="C459" i="44"/>
  <c r="A459" i="44"/>
  <c r="C456" i="44"/>
  <c r="A460" i="44"/>
  <c r="A458" i="44"/>
  <c r="C457" i="44"/>
  <c r="C458" i="44"/>
  <c r="A454" i="44"/>
  <c r="A462" i="44"/>
  <c r="H453" i="44"/>
  <c r="C455" i="44"/>
  <c r="A457" i="44"/>
  <c r="E453" i="44"/>
  <c r="B453" i="44"/>
  <c r="A461" i="44" s="1"/>
  <c r="R43" i="9"/>
  <c r="C60" i="44"/>
  <c r="A63" i="44"/>
  <c r="C62" i="44"/>
  <c r="I62" i="44" s="1"/>
  <c r="A58" i="44"/>
  <c r="A66" i="44"/>
  <c r="C61" i="44"/>
  <c r="B57" i="44"/>
  <c r="A65" i="44" s="1"/>
  <c r="A64" i="44"/>
  <c r="C59" i="44"/>
  <c r="A61" i="44"/>
  <c r="H57" i="44"/>
  <c r="E57" i="44"/>
  <c r="A62" i="44"/>
  <c r="C63" i="44"/>
  <c r="E63" i="44" s="1"/>
  <c r="A59" i="44"/>
  <c r="D59" i="44" s="1"/>
  <c r="P59" i="44" s="1"/>
  <c r="N306" i="6"/>
  <c r="W306" i="6" s="1"/>
  <c r="N500" i="6"/>
  <c r="W500" i="6" s="1"/>
  <c r="K60" i="16"/>
  <c r="Z57" i="49"/>
  <c r="V9" i="40"/>
  <c r="W9" i="40"/>
  <c r="T9" i="40"/>
  <c r="EC13" i="1"/>
  <c r="D235" i="16"/>
  <c r="K226" i="16"/>
  <c r="N212" i="6"/>
  <c r="W212" i="6" s="1"/>
  <c r="N108" i="6"/>
  <c r="W108" i="6" s="1"/>
  <c r="N264" i="6"/>
  <c r="W264" i="6" s="1"/>
  <c r="Z40" i="50"/>
  <c r="EC4" i="1"/>
  <c r="N407" i="6"/>
  <c r="W407" i="6" s="1"/>
  <c r="Y407" i="6" s="1"/>
  <c r="Z407" i="6" s="1"/>
  <c r="AD407" i="6" s="1"/>
  <c r="AA407" i="6" s="1"/>
  <c r="B407" i="6" s="1"/>
  <c r="E497" i="44"/>
  <c r="A499" i="44"/>
  <c r="C502" i="44"/>
  <c r="A503" i="44"/>
  <c r="A498" i="44"/>
  <c r="C499" i="44"/>
  <c r="H497" i="44"/>
  <c r="C500" i="44"/>
  <c r="E500" i="44" s="1"/>
  <c r="B497" i="44"/>
  <c r="A505" i="44" s="1"/>
  <c r="C501" i="44"/>
  <c r="C503" i="44"/>
  <c r="A506" i="44"/>
  <c r="A501" i="44"/>
  <c r="A504" i="44"/>
  <c r="A502" i="44"/>
  <c r="V44" i="40"/>
  <c r="T44" i="40"/>
  <c r="W44" i="40"/>
  <c r="V22" i="50"/>
  <c r="T22" i="50"/>
  <c r="W22" i="50"/>
  <c r="N245" i="6"/>
  <c r="W245" i="6" s="1"/>
  <c r="Y245" i="6" s="1"/>
  <c r="T55" i="50"/>
  <c r="V55" i="50"/>
  <c r="W55" i="50"/>
  <c r="DX47" i="1"/>
  <c r="F58" i="34" s="1"/>
  <c r="U54" i="48"/>
  <c r="D241" i="48"/>
  <c r="T241" i="48" s="1"/>
  <c r="F76" i="18"/>
  <c r="F92" i="18" s="1"/>
  <c r="F459" i="6"/>
  <c r="R45" i="9"/>
  <c r="D220" i="48"/>
  <c r="U33" i="48"/>
  <c r="D202" i="48"/>
  <c r="U15" i="48"/>
  <c r="D239" i="48"/>
  <c r="V239" i="48" s="1"/>
  <c r="U52" i="48"/>
  <c r="Z87" i="48"/>
  <c r="Z11" i="49"/>
  <c r="W36" i="40"/>
  <c r="V36" i="40"/>
  <c r="T36" i="40"/>
  <c r="U80" i="48"/>
  <c r="D267" i="48"/>
  <c r="V267" i="48" s="1"/>
  <c r="Z33" i="40"/>
  <c r="W64" i="40"/>
  <c r="V64" i="40"/>
  <c r="T64" i="40"/>
  <c r="D212" i="50"/>
  <c r="U25" i="50"/>
  <c r="U53" i="40"/>
  <c r="D240" i="40"/>
  <c r="V240" i="40" s="1"/>
  <c r="Z42" i="50"/>
  <c r="C434" i="44"/>
  <c r="C435" i="44"/>
  <c r="A433" i="44"/>
  <c r="D436" i="44" s="1"/>
  <c r="P436" i="44" s="1"/>
  <c r="A435" i="44"/>
  <c r="H431" i="44"/>
  <c r="A432" i="44"/>
  <c r="C437" i="44"/>
  <c r="A436" i="44"/>
  <c r="C436" i="44"/>
  <c r="A438" i="44"/>
  <c r="C433" i="44"/>
  <c r="I433" i="44" s="1"/>
  <c r="E431" i="44"/>
  <c r="B431" i="44"/>
  <c r="A439" i="44" s="1"/>
  <c r="A437" i="44"/>
  <c r="A440" i="44"/>
  <c r="E256" i="40"/>
  <c r="Z24" i="40"/>
  <c r="N182" i="6"/>
  <c r="W182" i="6" s="1"/>
  <c r="Y182" i="6" s="1"/>
  <c r="T14" i="40"/>
  <c r="V14" i="40"/>
  <c r="W14" i="40"/>
  <c r="T42" i="40"/>
  <c r="W42" i="40"/>
  <c r="V42" i="40"/>
  <c r="Z48" i="50"/>
  <c r="W86" i="48"/>
  <c r="V86" i="48"/>
  <c r="T86" i="48"/>
  <c r="W85" i="40"/>
  <c r="V85" i="40"/>
  <c r="T85" i="40"/>
  <c r="V15" i="49"/>
  <c r="T15" i="49"/>
  <c r="W15" i="49"/>
  <c r="Z26" i="50"/>
  <c r="W62" i="48"/>
  <c r="V62" i="48"/>
  <c r="T62" i="48"/>
  <c r="EC22" i="1"/>
  <c r="T55" i="48"/>
  <c r="V55" i="48"/>
  <c r="W55" i="48"/>
  <c r="N402" i="6"/>
  <c r="W402" i="6" s="1"/>
  <c r="D74" i="16"/>
  <c r="DX11" i="1"/>
  <c r="F22" i="34" s="1"/>
  <c r="U41" i="50"/>
  <c r="D228" i="50"/>
  <c r="V228" i="50" s="1"/>
  <c r="V50" i="49"/>
  <c r="T50" i="49"/>
  <c r="W50" i="49"/>
  <c r="V9" i="48"/>
  <c r="W9" i="48"/>
  <c r="T9" i="48"/>
  <c r="EC38" i="1"/>
  <c r="Z20" i="50"/>
  <c r="U21" i="49"/>
  <c r="D208" i="49"/>
  <c r="D226" i="50"/>
  <c r="U39" i="50"/>
  <c r="D251" i="40"/>
  <c r="U64" i="40"/>
  <c r="Z36" i="48"/>
  <c r="F433" i="6"/>
  <c r="Z51" i="50"/>
  <c r="W58" i="48"/>
  <c r="T58" i="48"/>
  <c r="V58" i="48"/>
  <c r="Z82" i="48"/>
  <c r="W84" i="40"/>
  <c r="T84" i="40"/>
  <c r="V84" i="40"/>
  <c r="D209" i="48"/>
  <c r="U22" i="48"/>
  <c r="M24" i="15"/>
  <c r="Z40" i="49"/>
  <c r="EC9" i="1"/>
  <c r="K52" i="16"/>
  <c r="N239" i="6"/>
  <c r="W239" i="6" s="1"/>
  <c r="Y239" i="6" s="1"/>
  <c r="Z239" i="6" s="1"/>
  <c r="N178" i="6"/>
  <c r="W178" i="6" s="1"/>
  <c r="N364" i="6"/>
  <c r="W364" i="6" s="1"/>
  <c r="N374" i="6"/>
  <c r="W374" i="6" s="1"/>
  <c r="Y374" i="6" s="1"/>
  <c r="Z374" i="6" s="1"/>
  <c r="D101" i="9"/>
  <c r="N105" i="6"/>
  <c r="W105" i="6" s="1"/>
  <c r="Y114" i="6" s="1"/>
  <c r="D259" i="50"/>
  <c r="U72" i="50"/>
  <c r="W21" i="50"/>
  <c r="V21" i="50"/>
  <c r="T21" i="50"/>
  <c r="V74" i="50"/>
  <c r="W74" i="50"/>
  <c r="T74" i="50"/>
  <c r="N19" i="6"/>
  <c r="W19" i="6" s="1"/>
  <c r="N115" i="6"/>
  <c r="W115" i="6" s="1"/>
  <c r="H7" i="17"/>
  <c r="AG580" i="44"/>
  <c r="Y580" i="44" s="1"/>
  <c r="D215" i="16"/>
  <c r="E17" i="17"/>
  <c r="AD588" i="44"/>
  <c r="Z41" i="50"/>
  <c r="F401" i="6"/>
  <c r="R13" i="9"/>
  <c r="N207" i="6"/>
  <c r="W207" i="6" s="1"/>
  <c r="EC31" i="1"/>
  <c r="N338" i="6"/>
  <c r="W338" i="6" s="1"/>
  <c r="Y338" i="6" s="1"/>
  <c r="F467" i="6"/>
  <c r="K7" i="9"/>
  <c r="Z68" i="48"/>
  <c r="F38" i="18"/>
  <c r="F55" i="18" s="1"/>
  <c r="EC23" i="1"/>
  <c r="Z39" i="49"/>
  <c r="D117" i="16"/>
  <c r="D52" i="9"/>
  <c r="AD576" i="44"/>
  <c r="N279" i="6"/>
  <c r="W279" i="6" s="1"/>
  <c r="N234" i="6"/>
  <c r="W234" i="6" s="1"/>
  <c r="Z38" i="49"/>
  <c r="AF633" i="44"/>
  <c r="K93" i="16"/>
  <c r="N265" i="6"/>
  <c r="W265" i="6" s="1"/>
  <c r="T22" i="19"/>
  <c r="G22" i="19" s="1"/>
  <c r="E22" i="19"/>
  <c r="P22" i="19"/>
  <c r="U21" i="50"/>
  <c r="D208" i="50"/>
  <c r="D25" i="9"/>
  <c r="F74" i="6"/>
  <c r="E223" i="49"/>
  <c r="D4" i="9"/>
  <c r="F8" i="6"/>
  <c r="H48" i="17"/>
  <c r="AG624" i="44"/>
  <c r="Y624" i="44" s="1"/>
  <c r="Q9" i="19"/>
  <c r="L9" i="19"/>
  <c r="K180" i="16"/>
  <c r="N180" i="6"/>
  <c r="W180" i="6" s="1"/>
  <c r="Y180" i="6" s="1"/>
  <c r="Z180" i="6" s="1"/>
  <c r="D63" i="16"/>
  <c r="N395" i="6"/>
  <c r="W395" i="6" s="1"/>
  <c r="F266" i="6"/>
  <c r="D82" i="9"/>
  <c r="F112" i="6"/>
  <c r="M26" i="15"/>
  <c r="T22" i="40"/>
  <c r="W22" i="40"/>
  <c r="V22" i="40"/>
  <c r="K4" i="9"/>
  <c r="W11" i="40"/>
  <c r="T11" i="40"/>
  <c r="V11" i="40"/>
  <c r="U86" i="40"/>
  <c r="D273" i="40"/>
  <c r="D92" i="16"/>
  <c r="E4" i="15"/>
  <c r="DX9" i="1"/>
  <c r="F20" i="34" s="1"/>
  <c r="N247" i="6"/>
  <c r="W247" i="6" s="1"/>
  <c r="Y247" i="6" s="1"/>
  <c r="Z247" i="6" s="1"/>
  <c r="D114" i="16"/>
  <c r="C349" i="44"/>
  <c r="A345" i="44"/>
  <c r="C347" i="44"/>
  <c r="C348" i="44"/>
  <c r="A344" i="44"/>
  <c r="A352" i="44"/>
  <c r="A349" i="44"/>
  <c r="A347" i="44"/>
  <c r="C346" i="44"/>
  <c r="A350" i="44"/>
  <c r="H343" i="44"/>
  <c r="B343" i="44"/>
  <c r="A351" i="44" s="1"/>
  <c r="E343" i="44"/>
  <c r="A348" i="44"/>
  <c r="C345" i="44"/>
  <c r="N309" i="6"/>
  <c r="W309" i="6" s="1"/>
  <c r="Y309" i="6" s="1"/>
  <c r="Z309" i="6" s="1"/>
  <c r="D94" i="16"/>
  <c r="W50" i="50"/>
  <c r="T50" i="50"/>
  <c r="V50" i="50"/>
  <c r="D264" i="50"/>
  <c r="U77" i="50"/>
  <c r="K27" i="16"/>
  <c r="AE611" i="44"/>
  <c r="Q611" i="44" s="1"/>
  <c r="F40" i="17"/>
  <c r="K62" i="9"/>
  <c r="F233" i="6"/>
  <c r="K62" i="16"/>
  <c r="M7" i="15"/>
  <c r="F43" i="14"/>
  <c r="Z32" i="40"/>
  <c r="U85" i="40"/>
  <c r="D272" i="40"/>
  <c r="V59" i="48"/>
  <c r="W59" i="48"/>
  <c r="T59" i="48"/>
  <c r="Z15" i="40"/>
  <c r="N266" i="6"/>
  <c r="W266" i="6" s="1"/>
  <c r="W32" i="48"/>
  <c r="V32" i="48"/>
  <c r="T32" i="48"/>
  <c r="U19" i="50"/>
  <c r="D206" i="50"/>
  <c r="R61" i="9"/>
  <c r="F27" i="17"/>
  <c r="AE599" i="44"/>
  <c r="N52" i="6"/>
  <c r="W52" i="6" s="1"/>
  <c r="N467" i="6"/>
  <c r="W467" i="6" s="1"/>
  <c r="N246" i="6"/>
  <c r="W246" i="6" s="1"/>
  <c r="Y246" i="6" s="1"/>
  <c r="G60" i="17"/>
  <c r="AF631" i="44"/>
  <c r="E245" i="48"/>
  <c r="R64" i="9"/>
  <c r="F491" i="6"/>
  <c r="DX24" i="1"/>
  <c r="F35" i="34" s="1"/>
  <c r="W44" i="49"/>
  <c r="T44" i="49"/>
  <c r="V44" i="49"/>
  <c r="N464" i="6"/>
  <c r="W464" i="6" s="1"/>
  <c r="C536" i="44"/>
  <c r="D536" i="44" s="1"/>
  <c r="A537" i="44"/>
  <c r="E530" i="44"/>
  <c r="H530" i="44"/>
  <c r="A536" i="44"/>
  <c r="A532" i="44"/>
  <c r="A535" i="44"/>
  <c r="A534" i="44"/>
  <c r="B530" i="44"/>
  <c r="A538" i="44" s="1"/>
  <c r="A531" i="44"/>
  <c r="C535" i="44"/>
  <c r="C532" i="44"/>
  <c r="I532" i="44" s="1"/>
  <c r="C533" i="44"/>
  <c r="I533" i="44" s="1"/>
  <c r="K533" i="44" s="1"/>
  <c r="C534" i="44"/>
  <c r="A539" i="44"/>
  <c r="K107" i="9"/>
  <c r="F368" i="6"/>
  <c r="AF621" i="44"/>
  <c r="V31" i="49"/>
  <c r="W31" i="49"/>
  <c r="T31" i="49"/>
  <c r="K116" i="16"/>
  <c r="G6" i="17"/>
  <c r="AF578" i="44"/>
  <c r="EC14" i="1"/>
  <c r="AD622" i="44"/>
  <c r="D205" i="16"/>
  <c r="U18" i="49"/>
  <c r="D205" i="49"/>
  <c r="V205" i="49" s="1"/>
  <c r="V48" i="50"/>
  <c r="W48" i="50"/>
  <c r="T48" i="50"/>
  <c r="D72" i="16"/>
  <c r="C401" i="44"/>
  <c r="B398" i="44"/>
  <c r="A406" i="44" s="1"/>
  <c r="C400" i="44"/>
  <c r="C404" i="44"/>
  <c r="H398" i="44"/>
  <c r="A402" i="44"/>
  <c r="A400" i="44"/>
  <c r="E398" i="44"/>
  <c r="A404" i="44"/>
  <c r="C403" i="44"/>
  <c r="C402" i="44"/>
  <c r="A399" i="44"/>
  <c r="A405" i="44"/>
  <c r="A403" i="44"/>
  <c r="A407" i="44"/>
  <c r="AE613" i="44"/>
  <c r="F39" i="17"/>
  <c r="G49" i="17"/>
  <c r="AF620" i="44"/>
  <c r="K39" i="16"/>
  <c r="N393" i="6"/>
  <c r="W393" i="6" s="1"/>
  <c r="Z16" i="40"/>
  <c r="H28" i="17"/>
  <c r="AG600" i="44"/>
  <c r="Y600" i="44" s="1"/>
  <c r="L26" i="19"/>
  <c r="U26" i="19"/>
  <c r="N26" i="19" s="1"/>
  <c r="H30" i="17"/>
  <c r="AG598" i="44"/>
  <c r="Y598" i="44" s="1"/>
  <c r="D73" i="16"/>
  <c r="N436" i="6"/>
  <c r="W436" i="6" s="1"/>
  <c r="Z8" i="40"/>
  <c r="D23" i="9"/>
  <c r="N41" i="6"/>
  <c r="W41" i="6" s="1"/>
  <c r="F7" i="18"/>
  <c r="F22" i="18" s="1"/>
  <c r="F49" i="17"/>
  <c r="AE620" i="44"/>
  <c r="W620" i="44" s="1"/>
  <c r="F15" i="17"/>
  <c r="AE590" i="44"/>
  <c r="N493" i="6"/>
  <c r="W493" i="6" s="1"/>
  <c r="Y493" i="6" s="1"/>
  <c r="Z493" i="6" s="1"/>
  <c r="AG633" i="44"/>
  <c r="K96" i="16"/>
  <c r="F80" i="18"/>
  <c r="F102" i="18" s="1"/>
  <c r="T25" i="48"/>
  <c r="V25" i="48"/>
  <c r="W25" i="48"/>
  <c r="D203" i="16"/>
  <c r="M23" i="15"/>
  <c r="Z22" i="50"/>
  <c r="D198" i="40"/>
  <c r="U11" i="40"/>
  <c r="N9" i="6"/>
  <c r="W9" i="6" s="1"/>
  <c r="Y9" i="6" s="1"/>
  <c r="Z9" i="6" s="1"/>
  <c r="AD9" i="6" s="1"/>
  <c r="AA9" i="6" s="1"/>
  <c r="B9" i="6" s="1"/>
  <c r="V8" i="40"/>
  <c r="T8" i="40"/>
  <c r="W8" i="40"/>
  <c r="Z76" i="49"/>
  <c r="D26" i="16"/>
  <c r="M25" i="15"/>
  <c r="F138" i="14"/>
  <c r="F268" i="6"/>
  <c r="D84" i="9"/>
  <c r="D82" i="16"/>
  <c r="AF587" i="44"/>
  <c r="AG632" i="44"/>
  <c r="H5" i="17"/>
  <c r="AG577" i="44"/>
  <c r="Z9" i="40"/>
  <c r="T43" i="49"/>
  <c r="W43" i="49"/>
  <c r="V43" i="49"/>
  <c r="U43" i="48"/>
  <c r="D230" i="48"/>
  <c r="Z51" i="49"/>
  <c r="Z88" i="40"/>
  <c r="EC36" i="1"/>
  <c r="N428" i="6"/>
  <c r="W428" i="6" s="1"/>
  <c r="N458" i="6"/>
  <c r="W458" i="6" s="1"/>
  <c r="K95" i="16"/>
  <c r="E61" i="17"/>
  <c r="AD634" i="44"/>
  <c r="N202" i="6"/>
  <c r="W202" i="6" s="1"/>
  <c r="Y212" i="6" s="1"/>
  <c r="K13" i="9"/>
  <c r="M15" i="15"/>
  <c r="R8" i="9"/>
  <c r="AE621" i="44"/>
  <c r="D100" i="9"/>
  <c r="F329" i="6"/>
  <c r="K24" i="9"/>
  <c r="D6" i="16"/>
  <c r="U76" i="49"/>
  <c r="D263" i="49"/>
  <c r="U25" i="15"/>
  <c r="G59" i="17"/>
  <c r="AF635" i="44"/>
  <c r="N210" i="6"/>
  <c r="W210" i="6" s="1"/>
  <c r="N502" i="6"/>
  <c r="W502" i="6" s="1"/>
  <c r="Y502" i="6" s="1"/>
  <c r="D203" i="49"/>
  <c r="V203" i="49" s="1"/>
  <c r="U16" i="49"/>
  <c r="E5" i="15"/>
  <c r="U75" i="50"/>
  <c r="D262" i="50"/>
  <c r="T262" i="50" s="1"/>
  <c r="N172" i="6"/>
  <c r="W172" i="6" s="1"/>
  <c r="D247" i="48"/>
  <c r="U60" i="48"/>
  <c r="Z63" i="48"/>
  <c r="E8" i="15"/>
  <c r="F12" i="14"/>
  <c r="Z58" i="49"/>
  <c r="DX6" i="1"/>
  <c r="F17" i="34" s="1"/>
  <c r="DX36" i="1"/>
  <c r="F47" i="34" s="1"/>
  <c r="N145" i="6"/>
  <c r="W145" i="6" s="1"/>
  <c r="Y145" i="6" s="1"/>
  <c r="Z145" i="6" s="1"/>
  <c r="N44" i="6"/>
  <c r="W44" i="6" s="1"/>
  <c r="D38" i="16"/>
  <c r="A55" i="44"/>
  <c r="C51" i="44"/>
  <c r="C48" i="44"/>
  <c r="A48" i="44"/>
  <c r="D50" i="44" s="1"/>
  <c r="P50" i="44" s="1"/>
  <c r="C50" i="44"/>
  <c r="E50" i="44" s="1"/>
  <c r="A53" i="44"/>
  <c r="A51" i="44"/>
  <c r="A52" i="44"/>
  <c r="A47" i="44"/>
  <c r="C49" i="44"/>
  <c r="I49" i="44" s="1"/>
  <c r="H46" i="44"/>
  <c r="B46" i="44"/>
  <c r="A54" i="44" s="1"/>
  <c r="C52" i="44"/>
  <c r="E46" i="44"/>
  <c r="A50" i="44"/>
  <c r="Z21" i="48"/>
  <c r="U54" i="50"/>
  <c r="D241" i="50"/>
  <c r="K72" i="16"/>
  <c r="AF622" i="44"/>
  <c r="R622" i="44" s="1"/>
  <c r="D229" i="40"/>
  <c r="U42" i="40"/>
  <c r="D96" i="16"/>
  <c r="AE609" i="44"/>
  <c r="Q609" i="44" s="1"/>
  <c r="D46" i="9"/>
  <c r="U43" i="49"/>
  <c r="D230" i="49"/>
  <c r="W18" i="50"/>
  <c r="V18" i="50"/>
  <c r="T18" i="50"/>
  <c r="Z38" i="40"/>
  <c r="F61" i="17"/>
  <c r="AE634" i="44"/>
  <c r="E49" i="17"/>
  <c r="AD620" i="44"/>
  <c r="AE588" i="44"/>
  <c r="F17" i="17"/>
  <c r="W76" i="49"/>
  <c r="V76" i="49"/>
  <c r="T76" i="49"/>
  <c r="F50" i="6"/>
  <c r="K14" i="9"/>
  <c r="Z22" i="49"/>
  <c r="T86" i="40"/>
  <c r="W86" i="40"/>
  <c r="V86" i="40"/>
  <c r="N54" i="6"/>
  <c r="W54" i="6" s="1"/>
  <c r="Y54" i="6" s="1"/>
  <c r="Z54" i="6" s="1"/>
  <c r="EC5" i="1"/>
  <c r="D27" i="9"/>
  <c r="N80" i="6"/>
  <c r="W80" i="6" s="1"/>
  <c r="AD590" i="44"/>
  <c r="E15" i="17"/>
  <c r="D103" i="9"/>
  <c r="N298" i="6"/>
  <c r="W298" i="6" s="1"/>
  <c r="AG621" i="44"/>
  <c r="N140" i="6"/>
  <c r="W140" i="6" s="1"/>
  <c r="Z52" i="50"/>
  <c r="T29" i="19"/>
  <c r="G29" i="19" s="1"/>
  <c r="E29" i="19"/>
  <c r="AE601" i="44"/>
  <c r="W601" i="44" s="1"/>
  <c r="F26" i="17"/>
  <c r="D225" i="16"/>
  <c r="T16" i="50"/>
  <c r="V16" i="50"/>
  <c r="W16" i="50"/>
  <c r="Z70" i="50"/>
  <c r="D7" i="16"/>
  <c r="W18" i="48"/>
  <c r="V18" i="48"/>
  <c r="T18" i="48"/>
  <c r="D39" i="16"/>
  <c r="Z16" i="50"/>
  <c r="AD601" i="44"/>
  <c r="E26" i="17"/>
  <c r="E6" i="19"/>
  <c r="C513" i="44"/>
  <c r="A510" i="44"/>
  <c r="A513" i="44"/>
  <c r="C512" i="44"/>
  <c r="C514" i="44"/>
  <c r="A509" i="44"/>
  <c r="C510" i="44"/>
  <c r="H508" i="44"/>
  <c r="B508" i="44"/>
  <c r="A516" i="44" s="1"/>
  <c r="A515" i="44"/>
  <c r="A514" i="44"/>
  <c r="C511" i="44"/>
  <c r="A512" i="44"/>
  <c r="E508" i="44"/>
  <c r="A517" i="44"/>
  <c r="AJ148" i="14"/>
  <c r="AN148" i="14"/>
  <c r="D181" i="16"/>
  <c r="D93" i="16"/>
  <c r="K111" i="9"/>
  <c r="F372" i="6"/>
  <c r="AE576" i="44"/>
  <c r="U24" i="15"/>
  <c r="F169" i="14"/>
  <c r="N87" i="6"/>
  <c r="W87" i="6" s="1"/>
  <c r="D239" i="16"/>
  <c r="Z44" i="50"/>
  <c r="Z60" i="48"/>
  <c r="D115" i="16"/>
  <c r="E27" i="19"/>
  <c r="T27" i="19"/>
  <c r="G27" i="19" s="1"/>
  <c r="DX13" i="1"/>
  <c r="F24" i="34" s="1"/>
  <c r="N297" i="6"/>
  <c r="W297" i="6" s="1"/>
  <c r="W42" i="49"/>
  <c r="V42" i="49"/>
  <c r="T42" i="49"/>
  <c r="N209" i="6"/>
  <c r="W209" i="6" s="1"/>
  <c r="DX25" i="1"/>
  <c r="F36" i="34" s="1"/>
  <c r="AG578" i="44"/>
  <c r="H6" i="17"/>
  <c r="N208" i="6"/>
  <c r="W208" i="6" s="1"/>
  <c r="Y208" i="6" s="1"/>
  <c r="Z208" i="6" s="1"/>
  <c r="AE208" i="6" s="1"/>
  <c r="AB208" i="6" s="1"/>
  <c r="C208" i="6" s="1"/>
  <c r="N496" i="6"/>
  <c r="W496" i="6" s="1"/>
  <c r="R24" i="9"/>
  <c r="F425" i="6"/>
  <c r="AE587" i="44"/>
  <c r="Q587" i="44" s="1"/>
  <c r="N242" i="6"/>
  <c r="W242" i="6" s="1"/>
  <c r="Y242" i="6" s="1"/>
  <c r="N53" i="6"/>
  <c r="W53" i="6" s="1"/>
  <c r="C390" i="44"/>
  <c r="A392" i="44"/>
  <c r="C389" i="44"/>
  <c r="C391" i="44"/>
  <c r="I391" i="44" s="1"/>
  <c r="K391" i="44" s="1"/>
  <c r="A388" i="44"/>
  <c r="A396" i="44"/>
  <c r="B387" i="44"/>
  <c r="A395" i="44" s="1"/>
  <c r="C392" i="44"/>
  <c r="I392" i="44" s="1"/>
  <c r="H387" i="44"/>
  <c r="C393" i="44"/>
  <c r="E393" i="44" s="1"/>
  <c r="A394" i="44"/>
  <c r="A391" i="44"/>
  <c r="A389" i="44"/>
  <c r="A393" i="44"/>
  <c r="E387" i="44"/>
  <c r="W36" i="49"/>
  <c r="V36" i="49"/>
  <c r="T36" i="49"/>
  <c r="H29" i="17"/>
  <c r="AG602" i="44"/>
  <c r="N17" i="6"/>
  <c r="W17" i="6" s="1"/>
  <c r="Y17" i="6" s="1"/>
  <c r="D51" i="16"/>
  <c r="Z7" i="40"/>
  <c r="D103" i="16"/>
  <c r="N106" i="6"/>
  <c r="W106" i="6" s="1"/>
  <c r="R70" i="9"/>
  <c r="E256" i="48"/>
  <c r="F242" i="6"/>
  <c r="K71" i="9"/>
  <c r="N371" i="6"/>
  <c r="W371" i="6" s="1"/>
  <c r="V54" i="50"/>
  <c r="W54" i="50"/>
  <c r="T54" i="50"/>
  <c r="Z57" i="50"/>
  <c r="Z21" i="50"/>
  <c r="N113" i="6"/>
  <c r="W113" i="6" s="1"/>
  <c r="N296" i="6"/>
  <c r="W296" i="6" s="1"/>
  <c r="H40" i="17"/>
  <c r="AG611" i="44"/>
  <c r="D228" i="49"/>
  <c r="U41" i="49"/>
  <c r="W8" i="48"/>
  <c r="V8" i="48"/>
  <c r="T8" i="48"/>
  <c r="Z48" i="49"/>
  <c r="U38" i="19"/>
  <c r="Q38" i="19"/>
  <c r="L38" i="19"/>
  <c r="H475" i="44"/>
  <c r="E475" i="44"/>
  <c r="A479" i="44"/>
  <c r="A477" i="44"/>
  <c r="C481" i="44"/>
  <c r="B475" i="44"/>
  <c r="A483" i="44" s="1"/>
  <c r="C478" i="44"/>
  <c r="E478" i="44" s="1"/>
  <c r="C479" i="44"/>
  <c r="A481" i="44"/>
  <c r="C480" i="44"/>
  <c r="E480" i="44" s="1"/>
  <c r="A476" i="44"/>
  <c r="A480" i="44"/>
  <c r="A482" i="44"/>
  <c r="C477" i="44"/>
  <c r="D477" i="44" s="1"/>
  <c r="P477" i="44" s="1"/>
  <c r="A484" i="44"/>
  <c r="D50" i="16"/>
  <c r="T19" i="49"/>
  <c r="V19" i="49"/>
  <c r="W19" i="49"/>
  <c r="T36" i="50"/>
  <c r="V36" i="50"/>
  <c r="W36" i="50"/>
  <c r="Q43" i="19"/>
  <c r="U43" i="19"/>
  <c r="L43" i="19"/>
  <c r="T18" i="19"/>
  <c r="G18" i="19" s="1"/>
  <c r="E18" i="19"/>
  <c r="R62" i="9"/>
  <c r="T88" i="40"/>
  <c r="W88" i="40"/>
  <c r="V88" i="40"/>
  <c r="N214" i="6"/>
  <c r="W214" i="6" s="1"/>
  <c r="Y214" i="6" s="1"/>
  <c r="Z214" i="6" s="1"/>
  <c r="W58" i="49"/>
  <c r="V58" i="49"/>
  <c r="T58" i="49"/>
  <c r="Z72" i="50"/>
  <c r="U40" i="19"/>
  <c r="Q40" i="19"/>
  <c r="L40" i="19"/>
  <c r="Z33" i="49"/>
  <c r="N10" i="6"/>
  <c r="W10" i="6" s="1"/>
  <c r="Z77" i="50"/>
  <c r="D99" i="9"/>
  <c r="N40" i="6"/>
  <c r="W40" i="6" s="1"/>
  <c r="Y40" i="6" s="1"/>
  <c r="Z40" i="6" s="1"/>
  <c r="N11" i="6"/>
  <c r="W11" i="6" s="1"/>
  <c r="N86" i="6"/>
  <c r="W86" i="6" s="1"/>
  <c r="A138" i="44"/>
  <c r="E134" i="44"/>
  <c r="H134" i="44"/>
  <c r="C140" i="44"/>
  <c r="E140" i="44" s="1"/>
  <c r="C139" i="44"/>
  <c r="A140" i="44"/>
  <c r="A143" i="44"/>
  <c r="A135" i="44"/>
  <c r="C138" i="44"/>
  <c r="I138" i="44" s="1"/>
  <c r="A139" i="44"/>
  <c r="A141" i="44"/>
  <c r="C137" i="44"/>
  <c r="B134" i="44"/>
  <c r="A142" i="44" s="1"/>
  <c r="C136" i="44"/>
  <c r="A136" i="44"/>
  <c r="Z83" i="48"/>
  <c r="K44" i="9"/>
  <c r="Z4" i="48"/>
  <c r="D195" i="16"/>
  <c r="N394" i="6"/>
  <c r="W394" i="6" s="1"/>
  <c r="Y404" i="6" s="1"/>
  <c r="Z71" i="50"/>
  <c r="F147" i="6"/>
  <c r="DX27" i="1"/>
  <c r="F38" i="34" s="1"/>
  <c r="U77" i="49"/>
  <c r="D264" i="49"/>
  <c r="E27" i="15"/>
  <c r="F108" i="14"/>
  <c r="A466" i="44"/>
  <c r="D466" i="44" s="1"/>
  <c r="P466" i="44" s="1"/>
  <c r="A469" i="44"/>
  <c r="E464" i="44"/>
  <c r="A470" i="44"/>
  <c r="A473" i="44"/>
  <c r="H464" i="44"/>
  <c r="A468" i="44"/>
  <c r="A471" i="44"/>
  <c r="C470" i="44"/>
  <c r="C467" i="44"/>
  <c r="C466" i="44"/>
  <c r="A465" i="44"/>
  <c r="C468" i="44"/>
  <c r="C469" i="44"/>
  <c r="B464" i="44"/>
  <c r="A472" i="44" s="1"/>
  <c r="AD577" i="44"/>
  <c r="E5" i="17"/>
  <c r="A91" i="44"/>
  <c r="A97" i="44"/>
  <c r="A94" i="44"/>
  <c r="A99" i="44"/>
  <c r="A95" i="44"/>
  <c r="C93" i="44"/>
  <c r="I93" i="44" s="1"/>
  <c r="C92" i="44"/>
  <c r="E90" i="44"/>
  <c r="H90" i="44"/>
  <c r="B90" i="44"/>
  <c r="A98" i="44" s="1"/>
  <c r="A92" i="44"/>
  <c r="A96" i="44"/>
  <c r="C95" i="44"/>
  <c r="C94" i="44"/>
  <c r="C96" i="44"/>
  <c r="Z57" i="48"/>
  <c r="Z11" i="48"/>
  <c r="U17" i="40"/>
  <c r="D204" i="40"/>
  <c r="T204" i="40" s="1"/>
  <c r="DX52" i="1"/>
  <c r="F63" i="34" s="1"/>
  <c r="N342" i="6"/>
  <c r="W342" i="6" s="1"/>
  <c r="Y342" i="6" s="1"/>
  <c r="Z342" i="6" s="1"/>
  <c r="W14" i="49"/>
  <c r="V14" i="49"/>
  <c r="T14" i="49"/>
  <c r="U39" i="19"/>
  <c r="L39" i="19"/>
  <c r="Q39" i="19"/>
  <c r="D229" i="49"/>
  <c r="U42" i="49"/>
  <c r="D260" i="50"/>
  <c r="U73" i="50"/>
  <c r="M32" i="15"/>
  <c r="N335" i="6"/>
  <c r="W335" i="6" s="1"/>
  <c r="Y335" i="6" s="1"/>
  <c r="Z335" i="6" s="1"/>
  <c r="AD335" i="6" s="1"/>
  <c r="AA335" i="6" s="1"/>
  <c r="B335" i="6" s="1"/>
  <c r="D204" i="16"/>
  <c r="AF599" i="44"/>
  <c r="G27" i="17"/>
  <c r="W58" i="50"/>
  <c r="V58" i="50"/>
  <c r="T58" i="50"/>
  <c r="AD611" i="44"/>
  <c r="E40" i="17"/>
  <c r="D14" i="9"/>
  <c r="E9" i="19"/>
  <c r="P9" i="19"/>
  <c r="N400" i="6"/>
  <c r="W400" i="6" s="1"/>
  <c r="AG579" i="44"/>
  <c r="H4" i="17"/>
  <c r="N334" i="6"/>
  <c r="W334" i="6" s="1"/>
  <c r="Y340" i="6" s="1"/>
  <c r="F304" i="6"/>
  <c r="N330" i="6"/>
  <c r="W330" i="6" s="1"/>
  <c r="N488" i="6"/>
  <c r="W488" i="6" s="1"/>
  <c r="K202" i="16"/>
  <c r="Z5" i="48"/>
  <c r="V20" i="50"/>
  <c r="W20" i="50"/>
  <c r="T20" i="50"/>
  <c r="D54" i="9"/>
  <c r="EC15" i="1"/>
  <c r="N434" i="6"/>
  <c r="W434" i="6" s="1"/>
  <c r="R12" i="9"/>
  <c r="F400" i="6"/>
  <c r="T17" i="48"/>
  <c r="V17" i="48"/>
  <c r="W17" i="48"/>
  <c r="W69" i="49"/>
  <c r="T69" i="49"/>
  <c r="V69" i="49"/>
  <c r="U15" i="19"/>
  <c r="N15" i="19" s="1"/>
  <c r="L15" i="19"/>
  <c r="U16" i="19"/>
  <c r="N16" i="19" s="1"/>
  <c r="L16" i="19"/>
  <c r="Z75" i="50"/>
  <c r="D71" i="16"/>
  <c r="N470" i="6"/>
  <c r="W470" i="6" s="1"/>
  <c r="Y470" i="6" s="1"/>
  <c r="D214" i="16"/>
  <c r="R5" i="9"/>
  <c r="F393" i="6"/>
  <c r="T49" i="49"/>
  <c r="V49" i="49"/>
  <c r="W49" i="49"/>
  <c r="U9" i="50"/>
  <c r="D196" i="50"/>
  <c r="F243" i="6"/>
  <c r="F371" i="6"/>
  <c r="K101" i="9"/>
  <c r="F362" i="6"/>
  <c r="Z66" i="48"/>
  <c r="N244" i="6"/>
  <c r="W244" i="6" s="1"/>
  <c r="F427" i="6"/>
  <c r="R26" i="9"/>
  <c r="D13" i="9"/>
  <c r="K125" i="16"/>
  <c r="DX29" i="1"/>
  <c r="F40" i="34" s="1"/>
  <c r="K126" i="16"/>
  <c r="N366" i="6"/>
  <c r="W366" i="6" s="1"/>
  <c r="Y366" i="6" s="1"/>
  <c r="Z366" i="6" s="1"/>
  <c r="Z69" i="48"/>
  <c r="N466" i="6"/>
  <c r="W466" i="6" s="1"/>
  <c r="N201" i="6"/>
  <c r="W201" i="6" s="1"/>
  <c r="F6" i="17"/>
  <c r="AE578" i="44"/>
  <c r="Q578" i="44" s="1"/>
  <c r="W47" i="50"/>
  <c r="V47" i="50"/>
  <c r="T47" i="50"/>
  <c r="W20" i="48"/>
  <c r="T20" i="48"/>
  <c r="V20" i="48"/>
  <c r="K227" i="16"/>
  <c r="E245" i="49"/>
  <c r="E201" i="49"/>
  <c r="Z85" i="40"/>
  <c r="D238" i="16"/>
  <c r="AF632" i="44"/>
  <c r="X632" i="44" s="1"/>
  <c r="N46" i="6"/>
  <c r="W46" i="6" s="1"/>
  <c r="Y46" i="6" s="1"/>
  <c r="Z46" i="6" s="1"/>
  <c r="N150" i="6"/>
  <c r="W150" i="6" s="1"/>
  <c r="Y150" i="6" s="1"/>
  <c r="Z150" i="6" s="1"/>
  <c r="F466" i="6"/>
  <c r="R52" i="9"/>
  <c r="Z17" i="50"/>
  <c r="F41" i="18"/>
  <c r="F57" i="18" s="1"/>
  <c r="D207" i="40"/>
  <c r="U20" i="40"/>
  <c r="AF609" i="44"/>
  <c r="Z73" i="49"/>
  <c r="EC21" i="1"/>
  <c r="T43" i="50"/>
  <c r="V43" i="50"/>
  <c r="W43" i="50"/>
  <c r="E24" i="15"/>
  <c r="F499" i="6"/>
  <c r="R72" i="9"/>
  <c r="DX56" i="1"/>
  <c r="F67" i="34" s="1"/>
  <c r="D52" i="16"/>
  <c r="A415" i="44"/>
  <c r="B409" i="44"/>
  <c r="A417" i="44" s="1"/>
  <c r="A416" i="44"/>
  <c r="C414" i="44"/>
  <c r="E414" i="44" s="1"/>
  <c r="A413" i="44"/>
  <c r="H409" i="44"/>
  <c r="C411" i="44"/>
  <c r="E409" i="44"/>
  <c r="C415" i="44"/>
  <c r="C412" i="44"/>
  <c r="E412" i="44" s="1"/>
  <c r="A414" i="44"/>
  <c r="A411" i="44"/>
  <c r="A418" i="44"/>
  <c r="A410" i="44"/>
  <c r="C413" i="44"/>
  <c r="T10" i="48"/>
  <c r="V10" i="48"/>
  <c r="W10" i="48"/>
  <c r="H167" i="44"/>
  <c r="C172" i="44"/>
  <c r="I172" i="44" s="1"/>
  <c r="B167" i="44"/>
  <c r="A175" i="44" s="1"/>
  <c r="C171" i="44"/>
  <c r="A172" i="44"/>
  <c r="A173" i="44"/>
  <c r="A176" i="44"/>
  <c r="A168" i="44"/>
  <c r="C173" i="44"/>
  <c r="I173" i="44" s="1"/>
  <c r="E167" i="44"/>
  <c r="A174" i="44"/>
  <c r="A171" i="44"/>
  <c r="A169" i="44"/>
  <c r="C170" i="44"/>
  <c r="C169" i="44"/>
  <c r="D169" i="44" s="1"/>
  <c r="V169" i="44" s="1"/>
  <c r="AD609" i="44"/>
  <c r="U42" i="19"/>
  <c r="Q42" i="19"/>
  <c r="L42" i="19"/>
  <c r="E178" i="44"/>
  <c r="H178" i="44"/>
  <c r="B178" i="44"/>
  <c r="A186" i="44" s="1"/>
  <c r="A187" i="44"/>
  <c r="C184" i="44"/>
  <c r="C181" i="44"/>
  <c r="A183" i="44"/>
  <c r="C183" i="44"/>
  <c r="A179" i="44"/>
  <c r="C182" i="44"/>
  <c r="A182" i="44"/>
  <c r="A184" i="44"/>
  <c r="A180" i="44"/>
  <c r="C180" i="44"/>
  <c r="A185" i="44"/>
  <c r="N310" i="6"/>
  <c r="W310" i="6" s="1"/>
  <c r="Y310" i="6" s="1"/>
  <c r="Z310" i="6" s="1"/>
  <c r="AD310" i="6" s="1"/>
  <c r="AA310" i="6" s="1"/>
  <c r="B310" i="6" s="1"/>
  <c r="D216" i="16"/>
  <c r="N277" i="6"/>
  <c r="W277" i="6" s="1"/>
  <c r="Y277" i="6" s="1"/>
  <c r="K63" i="9"/>
  <c r="F234" i="6"/>
  <c r="N270" i="6"/>
  <c r="W270" i="6" s="1"/>
  <c r="Y270" i="6" s="1"/>
  <c r="U9" i="48"/>
  <c r="D196" i="48"/>
  <c r="N112" i="6"/>
  <c r="W112" i="6" s="1"/>
  <c r="Y112" i="6" s="1"/>
  <c r="U58" i="50"/>
  <c r="D245" i="50"/>
  <c r="AD632" i="44"/>
  <c r="AD623" i="44"/>
  <c r="E50" i="17"/>
  <c r="F241" i="6"/>
  <c r="N368" i="6"/>
  <c r="W368" i="6" s="1"/>
  <c r="Y368" i="6" s="1"/>
  <c r="Z368" i="6" s="1"/>
  <c r="K27" i="9"/>
  <c r="F108" i="6"/>
  <c r="EC12" i="1"/>
  <c r="N337" i="6"/>
  <c r="W337" i="6" s="1"/>
  <c r="N8" i="6"/>
  <c r="W8" i="6" s="1"/>
  <c r="F5" i="18"/>
  <c r="F21" i="18" s="1"/>
  <c r="N469" i="6"/>
  <c r="W469" i="6" s="1"/>
  <c r="Y469" i="6" s="1"/>
  <c r="K191" i="16"/>
  <c r="K61" i="16"/>
  <c r="D259" i="49"/>
  <c r="U72" i="49"/>
  <c r="W32" i="50"/>
  <c r="T32" i="50"/>
  <c r="V32" i="50"/>
  <c r="U5" i="15"/>
  <c r="F73" i="14"/>
  <c r="D204" i="50"/>
  <c r="U17" i="50"/>
  <c r="F29" i="17"/>
  <c r="AE602" i="44"/>
  <c r="R25" i="9"/>
  <c r="N110" i="6"/>
  <c r="W110" i="6" s="1"/>
  <c r="N147" i="6"/>
  <c r="W147" i="6" s="1"/>
  <c r="DX48" i="1"/>
  <c r="F59" i="34" s="1"/>
  <c r="Z53" i="48"/>
  <c r="K105" i="16"/>
  <c r="EC10" i="1"/>
  <c r="Z49" i="49"/>
  <c r="K61" i="9"/>
  <c r="AF576" i="44"/>
  <c r="K114" i="16"/>
  <c r="N426" i="6"/>
  <c r="W426" i="6" s="1"/>
  <c r="DX22" i="1"/>
  <c r="F33" i="34" s="1"/>
  <c r="Z69" i="49"/>
  <c r="Z37" i="49"/>
  <c r="DX42" i="1"/>
  <c r="F53" i="34" s="1"/>
  <c r="Z35" i="49"/>
  <c r="K59" i="16"/>
  <c r="Z24" i="50"/>
  <c r="K65" i="9"/>
  <c r="N205" i="6"/>
  <c r="W205" i="6" s="1"/>
  <c r="Z44" i="49"/>
  <c r="U28" i="19"/>
  <c r="N28" i="19" s="1"/>
  <c r="L28" i="19"/>
  <c r="N468" i="6"/>
  <c r="W468" i="6" s="1"/>
  <c r="D31" i="9"/>
  <c r="DX32" i="1"/>
  <c r="F43" i="34" s="1"/>
  <c r="EC37" i="1"/>
  <c r="DX51" i="1"/>
  <c r="F62" i="34" s="1"/>
  <c r="R33" i="9"/>
  <c r="F113" i="18"/>
  <c r="F136" i="18" s="1"/>
  <c r="R51" i="9"/>
  <c r="U8" i="15"/>
  <c r="N117" i="6"/>
  <c r="W117" i="6" s="1"/>
  <c r="Y117" i="6" s="1"/>
  <c r="DX55" i="1"/>
  <c r="F66" i="34" s="1"/>
  <c r="DX4" i="1"/>
  <c r="F15" i="34" s="1"/>
  <c r="EC7" i="1"/>
  <c r="F139" i="6"/>
  <c r="D45" i="9"/>
  <c r="N151" i="6"/>
  <c r="W151" i="6" s="1"/>
  <c r="Y151" i="6" s="1"/>
  <c r="Z151" i="6" s="1"/>
  <c r="V77" i="50"/>
  <c r="W77" i="50"/>
  <c r="T77" i="50"/>
  <c r="T20" i="19"/>
  <c r="G20" i="19" s="1"/>
  <c r="P20" i="19"/>
  <c r="E20" i="19"/>
  <c r="F369" i="6"/>
  <c r="Z74" i="49"/>
  <c r="K225" i="16"/>
  <c r="N104" i="6"/>
  <c r="W104" i="6" s="1"/>
  <c r="AE623" i="44"/>
  <c r="F50" i="17"/>
  <c r="Z17" i="40"/>
  <c r="DX26" i="1"/>
  <c r="F37" i="34" s="1"/>
  <c r="N439" i="6"/>
  <c r="W439" i="6" s="1"/>
  <c r="Y439" i="6" s="1"/>
  <c r="EC27" i="1"/>
  <c r="F114" i="18"/>
  <c r="F130" i="18" s="1"/>
  <c r="D72" i="9"/>
  <c r="A385" i="44"/>
  <c r="C380" i="44"/>
  <c r="A378" i="44"/>
  <c r="A377" i="44"/>
  <c r="C382" i="44"/>
  <c r="I382" i="44" s="1"/>
  <c r="H376" i="44"/>
  <c r="A383" i="44"/>
  <c r="A382" i="44"/>
  <c r="A380" i="44"/>
  <c r="B376" i="44"/>
  <c r="A384" i="44" s="1"/>
  <c r="C379" i="44"/>
  <c r="I379" i="44" s="1"/>
  <c r="A381" i="44"/>
  <c r="E376" i="44"/>
  <c r="C378" i="44"/>
  <c r="C381" i="44"/>
  <c r="AD635" i="44"/>
  <c r="E59" i="17"/>
  <c r="F6" i="18"/>
  <c r="F29" i="18" s="1"/>
  <c r="A69" i="44"/>
  <c r="C73" i="44"/>
  <c r="A72" i="44"/>
  <c r="A75" i="44"/>
  <c r="C71" i="44"/>
  <c r="C72" i="44"/>
  <c r="I72" i="44" s="1"/>
  <c r="K72" i="44" s="1"/>
  <c r="A73" i="44"/>
  <c r="C74" i="44"/>
  <c r="I74" i="44" s="1"/>
  <c r="K74" i="44" s="1"/>
  <c r="A74" i="44"/>
  <c r="H68" i="44"/>
  <c r="A77" i="44"/>
  <c r="B68" i="44"/>
  <c r="A76" i="44" s="1"/>
  <c r="A70" i="44"/>
  <c r="D70" i="44" s="1"/>
  <c r="P70" i="44" s="1"/>
  <c r="C70" i="44"/>
  <c r="E68" i="44"/>
  <c r="Q29" i="19"/>
  <c r="U29" i="19"/>
  <c r="L29" i="19"/>
  <c r="DX38" i="1"/>
  <c r="F49" i="34" s="1"/>
  <c r="N456" i="6"/>
  <c r="W456" i="6" s="1"/>
  <c r="DX14" i="1"/>
  <c r="F25" i="34" s="1"/>
  <c r="F300" i="6"/>
  <c r="K84" i="9"/>
  <c r="AG622" i="44"/>
  <c r="AN146" i="14"/>
  <c r="AJ146" i="14"/>
  <c r="F210" i="6"/>
  <c r="D71" i="9"/>
  <c r="Z69" i="40"/>
  <c r="U73" i="49"/>
  <c r="D260" i="49"/>
  <c r="F492" i="6"/>
  <c r="R65" i="9"/>
  <c r="K51" i="16"/>
  <c r="N235" i="6"/>
  <c r="W235" i="6" s="1"/>
  <c r="K192" i="16"/>
  <c r="N48" i="6"/>
  <c r="W48" i="6" s="1"/>
  <c r="F180" i="6"/>
  <c r="N73" i="6"/>
  <c r="W73" i="6" s="1"/>
  <c r="K25" i="9"/>
  <c r="F60" i="17"/>
  <c r="AE631" i="44"/>
  <c r="Q631" i="44" s="1"/>
  <c r="N401" i="6"/>
  <c r="W401" i="6" s="1"/>
  <c r="Y401" i="6" s="1"/>
  <c r="N301" i="6"/>
  <c r="W301" i="6" s="1"/>
  <c r="Y301" i="6" s="1"/>
  <c r="Z301" i="6" s="1"/>
  <c r="N471" i="6"/>
  <c r="W471" i="6" s="1"/>
  <c r="N375" i="6"/>
  <c r="W375" i="6" s="1"/>
  <c r="Y375" i="6" s="1"/>
  <c r="N243" i="6"/>
  <c r="W243" i="6" s="1"/>
  <c r="K42" i="9"/>
  <c r="U12" i="15"/>
  <c r="EC30" i="1"/>
  <c r="DX34" i="1"/>
  <c r="F45" i="34" s="1"/>
  <c r="A237" i="44"/>
  <c r="A242" i="44"/>
  <c r="C237" i="44"/>
  <c r="A235" i="44"/>
  <c r="C239" i="44"/>
  <c r="I239" i="44" s="1"/>
  <c r="E233" i="44"/>
  <c r="H233" i="44"/>
  <c r="A234" i="44"/>
  <c r="C236" i="44"/>
  <c r="A238" i="44"/>
  <c r="A240" i="44"/>
  <c r="C238" i="44"/>
  <c r="C235" i="44"/>
  <c r="B233" i="44"/>
  <c r="A241" i="44" s="1"/>
  <c r="A239" i="44"/>
  <c r="AG634" i="44"/>
  <c r="H61" i="17"/>
  <c r="E27" i="17"/>
  <c r="AD599" i="44"/>
  <c r="F145" i="6"/>
  <c r="EC8" i="1"/>
  <c r="DX18" i="1"/>
  <c r="F29" i="34" s="1"/>
  <c r="DX21" i="1"/>
  <c r="F32" i="34" s="1"/>
  <c r="N274" i="6"/>
  <c r="W274" i="6" s="1"/>
  <c r="DX12" i="1"/>
  <c r="F23" i="34" s="1"/>
  <c r="G48" i="17"/>
  <c r="AF624" i="44"/>
  <c r="N403" i="6"/>
  <c r="W403" i="6" s="1"/>
  <c r="DX60" i="1"/>
  <c r="F71" i="34" s="1"/>
  <c r="AE635" i="44"/>
  <c r="F59" i="17"/>
  <c r="F78" i="18"/>
  <c r="F101" i="18" s="1"/>
  <c r="Z82" i="40"/>
  <c r="Z35" i="48"/>
  <c r="EC18" i="1"/>
  <c r="V69" i="40"/>
  <c r="T69" i="40"/>
  <c r="W69" i="40"/>
  <c r="Z37" i="40"/>
  <c r="N302" i="6"/>
  <c r="W302" i="6" s="1"/>
  <c r="Y302" i="6" s="1"/>
  <c r="K49" i="16"/>
  <c r="EC17" i="1"/>
  <c r="D34" i="9"/>
  <c r="E145" i="44"/>
  <c r="A150" i="44"/>
  <c r="C147" i="44"/>
  <c r="D147" i="44" s="1"/>
  <c r="P147" i="44" s="1"/>
  <c r="A152" i="44"/>
  <c r="C150" i="44"/>
  <c r="E150" i="44" s="1"/>
  <c r="C148" i="44"/>
  <c r="C151" i="44"/>
  <c r="D151" i="44" s="1"/>
  <c r="A151" i="44"/>
  <c r="A146" i="44"/>
  <c r="C149" i="44"/>
  <c r="B145" i="44"/>
  <c r="A153" i="44" s="1"/>
  <c r="A149" i="44"/>
  <c r="A154" i="44"/>
  <c r="A147" i="44"/>
  <c r="H145" i="44"/>
  <c r="Z13" i="50"/>
  <c r="N213" i="6"/>
  <c r="W213" i="6" s="1"/>
  <c r="Y213" i="6" s="1"/>
  <c r="N148" i="6"/>
  <c r="W148" i="6" s="1"/>
  <c r="F435" i="6"/>
  <c r="N275" i="6"/>
  <c r="W275" i="6" s="1"/>
  <c r="N438" i="6"/>
  <c r="W438" i="6" s="1"/>
  <c r="Y438" i="6" s="1"/>
  <c r="D104" i="16"/>
  <c r="U26" i="15"/>
  <c r="F171" i="14"/>
  <c r="D193" i="16"/>
  <c r="D333" i="40"/>
  <c r="U146" i="40"/>
  <c r="A227" i="44"/>
  <c r="H222" i="44"/>
  <c r="A224" i="44"/>
  <c r="A223" i="44"/>
  <c r="A231" i="44"/>
  <c r="C228" i="44"/>
  <c r="I228" i="44" s="1"/>
  <c r="C226" i="44"/>
  <c r="C225" i="44"/>
  <c r="A229" i="44"/>
  <c r="B222" i="44"/>
  <c r="A230" i="44" s="1"/>
  <c r="C227" i="44"/>
  <c r="I227" i="44" s="1"/>
  <c r="A228" i="44"/>
  <c r="E222" i="44"/>
  <c r="C224" i="44"/>
  <c r="A226" i="44"/>
  <c r="N361" i="6"/>
  <c r="W361" i="6" s="1"/>
  <c r="Y363" i="6" s="1"/>
  <c r="N203" i="6"/>
  <c r="W203" i="6" s="1"/>
  <c r="D88" i="9"/>
  <c r="F272" i="6"/>
  <c r="N435" i="6"/>
  <c r="W435" i="6" s="1"/>
  <c r="N465" i="6"/>
  <c r="W465" i="6" s="1"/>
  <c r="K12" i="9"/>
  <c r="F4" i="18"/>
  <c r="F20" i="18" s="1"/>
  <c r="U44" i="49"/>
  <c r="D231" i="49"/>
  <c r="T231" i="49" s="1"/>
  <c r="D6" i="9"/>
  <c r="H59" i="17"/>
  <c r="AG635" i="44"/>
  <c r="N142" i="6"/>
  <c r="W142" i="6" s="1"/>
  <c r="Y142" i="6" s="1"/>
  <c r="Z142" i="6" s="1"/>
  <c r="AE142" i="6" s="1"/>
  <c r="AB142" i="6" s="1"/>
  <c r="C142" i="6" s="1"/>
  <c r="Z42" i="48"/>
  <c r="Z11" i="50"/>
  <c r="AD621" i="44"/>
  <c r="Z19" i="50"/>
  <c r="AE591" i="44"/>
  <c r="F18" i="17"/>
  <c r="DX17" i="1"/>
  <c r="F28" i="34" s="1"/>
  <c r="D92" i="9"/>
  <c r="F276" i="6"/>
  <c r="C204" i="44"/>
  <c r="C202" i="44"/>
  <c r="A205" i="44"/>
  <c r="A206" i="44"/>
  <c r="A209" i="44"/>
  <c r="C203" i="44"/>
  <c r="D203" i="44" s="1"/>
  <c r="P203" i="44" s="1"/>
  <c r="B200" i="44"/>
  <c r="A208" i="44" s="1"/>
  <c r="A202" i="44"/>
  <c r="A207" i="44"/>
  <c r="C206" i="44"/>
  <c r="D206" i="44" s="1"/>
  <c r="P206" i="44" s="1"/>
  <c r="C205" i="44"/>
  <c r="I205" i="44" s="1"/>
  <c r="K205" i="44" s="1"/>
  <c r="H200" i="44"/>
  <c r="A204" i="44"/>
  <c r="A201" i="44"/>
  <c r="E200" i="44"/>
  <c r="R31" i="9"/>
  <c r="W75" i="49"/>
  <c r="V75" i="49"/>
  <c r="T75" i="49"/>
  <c r="R35" i="9"/>
  <c r="F436" i="6"/>
  <c r="F110" i="18"/>
  <c r="F127" i="18" s="1"/>
  <c r="A128" i="44"/>
  <c r="C125" i="44"/>
  <c r="A129" i="44"/>
  <c r="C126" i="44"/>
  <c r="E126" i="44" s="1"/>
  <c r="A124" i="44"/>
  <c r="E123" i="44"/>
  <c r="C127" i="44"/>
  <c r="C128" i="44"/>
  <c r="H123" i="44"/>
  <c r="A132" i="44"/>
  <c r="C129" i="44"/>
  <c r="E129" i="44" s="1"/>
  <c r="A125" i="44"/>
  <c r="A127" i="44"/>
  <c r="A130" i="44"/>
  <c r="B123" i="44"/>
  <c r="A131" i="44" s="1"/>
  <c r="N232" i="6"/>
  <c r="W232" i="6" s="1"/>
  <c r="Y243" i="6" s="1"/>
  <c r="U15" i="50"/>
  <c r="D202" i="50"/>
  <c r="Z14" i="50"/>
  <c r="K16" i="9"/>
  <c r="F52" i="6"/>
  <c r="Z5" i="40"/>
  <c r="DX31" i="1"/>
  <c r="F42" i="34" s="1"/>
  <c r="K46" i="9"/>
  <c r="F172" i="6"/>
  <c r="E35" i="44"/>
  <c r="B35" i="44"/>
  <c r="A43" i="44" s="1"/>
  <c r="C40" i="44"/>
  <c r="C37" i="44"/>
  <c r="C39" i="44"/>
  <c r="C38" i="44"/>
  <c r="A42" i="44"/>
  <c r="A41" i="44"/>
  <c r="C41" i="44"/>
  <c r="I41" i="44" s="1"/>
  <c r="A44" i="44"/>
  <c r="A40" i="44"/>
  <c r="A36" i="44"/>
  <c r="A39" i="44"/>
  <c r="H35" i="44"/>
  <c r="A37" i="44"/>
  <c r="D4" i="16"/>
  <c r="DX23" i="1"/>
  <c r="F34" i="34" s="1"/>
  <c r="N141" i="6"/>
  <c r="W141" i="6" s="1"/>
  <c r="Y141" i="6" s="1"/>
  <c r="Z141" i="6" s="1"/>
  <c r="DX33" i="1"/>
  <c r="F44" i="34" s="1"/>
  <c r="N149" i="6"/>
  <c r="W149" i="6" s="1"/>
  <c r="AD633" i="44"/>
  <c r="F28" i="17"/>
  <c r="AE600" i="44"/>
  <c r="D600" i="44" s="1"/>
  <c r="K236" i="16"/>
  <c r="DX59" i="1"/>
  <c r="F70" i="34" s="1"/>
  <c r="D231" i="50"/>
  <c r="V231" i="50" s="1"/>
  <c r="U44" i="50"/>
  <c r="W33" i="48"/>
  <c r="V33" i="48"/>
  <c r="T33" i="48"/>
  <c r="AD591" i="44"/>
  <c r="D591" i="44" s="1"/>
  <c r="E18" i="17"/>
  <c r="Z4" i="50"/>
  <c r="F77" i="18"/>
  <c r="F93" i="18" s="1"/>
  <c r="E14" i="15"/>
  <c r="N137" i="6"/>
  <c r="W137" i="6" s="1"/>
  <c r="N430" i="6"/>
  <c r="W430" i="6" s="1"/>
  <c r="R54" i="9"/>
  <c r="D205" i="50"/>
  <c r="V205" i="50" s="1"/>
  <c r="U18" i="50"/>
  <c r="DX20" i="1"/>
  <c r="F31" i="34" s="1"/>
  <c r="N84" i="6"/>
  <c r="W84" i="6" s="1"/>
  <c r="Z55" i="50"/>
  <c r="Z22" i="40"/>
  <c r="V47" i="49"/>
  <c r="T47" i="49"/>
  <c r="W47" i="49"/>
  <c r="V77" i="49"/>
  <c r="T77" i="49"/>
  <c r="W77" i="49"/>
  <c r="E267" i="40"/>
  <c r="U9" i="40"/>
  <c r="D196" i="40"/>
  <c r="E256" i="49"/>
  <c r="N343" i="6"/>
  <c r="W343" i="6" s="1"/>
  <c r="Y343" i="6" s="1"/>
  <c r="Z343" i="6" s="1"/>
  <c r="AD343" i="6" s="1"/>
  <c r="AA343" i="6" s="1"/>
  <c r="B343" i="6" s="1"/>
  <c r="K224" i="16"/>
  <c r="N114" i="6"/>
  <c r="W114" i="6" s="1"/>
  <c r="U74" i="50"/>
  <c r="D261" i="50"/>
  <c r="N340" i="6"/>
  <c r="W340" i="6" s="1"/>
  <c r="A8" i="44"/>
  <c r="C4" i="44"/>
  <c r="E2" i="44"/>
  <c r="A4" i="44"/>
  <c r="A6" i="44"/>
  <c r="C8" i="44"/>
  <c r="C6" i="44"/>
  <c r="A11" i="44"/>
  <c r="A9" i="44"/>
  <c r="B2" i="44"/>
  <c r="A10" i="44" s="1"/>
  <c r="C5" i="44"/>
  <c r="I5" i="44" s="1"/>
  <c r="K5" i="44" s="1"/>
  <c r="A7" i="44"/>
  <c r="A3" i="44"/>
  <c r="C7" i="44"/>
  <c r="H2" i="44"/>
  <c r="U76" i="50"/>
  <c r="D263" i="50"/>
  <c r="T263" i="50" s="1"/>
  <c r="Z15" i="50"/>
  <c r="K6" i="9"/>
  <c r="F42" i="6"/>
  <c r="N273" i="6"/>
  <c r="W273" i="6" s="1"/>
  <c r="C545" i="44"/>
  <c r="A545" i="44"/>
  <c r="A542" i="44"/>
  <c r="C547" i="44"/>
  <c r="A548" i="44"/>
  <c r="H541" i="44"/>
  <c r="A547" i="44"/>
  <c r="C546" i="44"/>
  <c r="I546" i="44" s="1"/>
  <c r="K546" i="44" s="1"/>
  <c r="B541" i="44"/>
  <c r="A549" i="44" s="1"/>
  <c r="C543" i="44"/>
  <c r="A543" i="44"/>
  <c r="C544" i="44"/>
  <c r="E544" i="44" s="1"/>
  <c r="E541" i="44"/>
  <c r="A550" i="44"/>
  <c r="A546" i="44"/>
  <c r="A569" i="44"/>
  <c r="A572" i="44"/>
  <c r="C568" i="44"/>
  <c r="D568" i="44" s="1"/>
  <c r="C569" i="44"/>
  <c r="A564" i="44"/>
  <c r="A565" i="44"/>
  <c r="B563" i="44"/>
  <c r="A571" i="44" s="1"/>
  <c r="P569" i="44" s="1"/>
  <c r="E563" i="44"/>
  <c r="A570" i="44"/>
  <c r="C565" i="44"/>
  <c r="E565" i="44" s="1"/>
  <c r="H563" i="44"/>
  <c r="C566" i="44"/>
  <c r="E566" i="44" s="1"/>
  <c r="A567" i="44"/>
  <c r="A568" i="44"/>
  <c r="C567" i="44"/>
  <c r="I567" i="44" s="1"/>
  <c r="K567" i="44" s="1"/>
  <c r="N372" i="6"/>
  <c r="W372" i="6" s="1"/>
  <c r="N276" i="6"/>
  <c r="W276" i="6" s="1"/>
  <c r="U27" i="15"/>
  <c r="F172" i="14"/>
  <c r="D62" i="16"/>
  <c r="N75" i="6"/>
  <c r="W75" i="6" s="1"/>
  <c r="Y75" i="6" s="1"/>
  <c r="Z75" i="6" s="1"/>
  <c r="AE579" i="44"/>
  <c r="W579" i="44" s="1"/>
  <c r="F4" i="17"/>
  <c r="N267" i="6"/>
  <c r="W267" i="6" s="1"/>
  <c r="N461" i="6"/>
  <c r="W461" i="6" s="1"/>
  <c r="Y461" i="6" s="1"/>
  <c r="R6" i="9"/>
  <c r="R23" i="9"/>
  <c r="N499" i="6"/>
  <c r="W499" i="6" s="1"/>
  <c r="N109" i="6"/>
  <c r="W109" i="6" s="1"/>
  <c r="Y109" i="6" s="1"/>
  <c r="F79" i="18"/>
  <c r="F94" i="18" s="1"/>
  <c r="D26" i="9"/>
  <c r="K215" i="16"/>
  <c r="D70" i="9"/>
  <c r="F209" i="6"/>
  <c r="N238" i="6"/>
  <c r="W238" i="6" s="1"/>
  <c r="Z68" i="49"/>
  <c r="N406" i="6"/>
  <c r="W406" i="6" s="1"/>
  <c r="Y406" i="6" s="1"/>
  <c r="Z406" i="6" s="1"/>
  <c r="N373" i="6"/>
  <c r="W373" i="6" s="1"/>
  <c r="Y373" i="6" s="1"/>
  <c r="T15" i="50"/>
  <c r="W15" i="50"/>
  <c r="V15" i="50"/>
  <c r="N404" i="6"/>
  <c r="W404" i="6" s="1"/>
  <c r="DX53" i="1"/>
  <c r="F64" i="34" s="1"/>
  <c r="F136" i="6"/>
  <c r="D42" i="9"/>
  <c r="V17" i="50"/>
  <c r="T17" i="50"/>
  <c r="W17" i="50"/>
  <c r="Z21" i="49"/>
  <c r="W42" i="48"/>
  <c r="T42" i="48"/>
  <c r="V42" i="48"/>
  <c r="Z74" i="50"/>
  <c r="R42" i="9"/>
  <c r="DX16" i="1"/>
  <c r="F27" i="34" s="1"/>
  <c r="D256" i="40"/>
  <c r="V256" i="40" s="1"/>
  <c r="U69" i="40"/>
  <c r="DX19" i="1"/>
  <c r="F30" i="34" s="1"/>
  <c r="P10" i="19"/>
  <c r="E10" i="19"/>
  <c r="AE633" i="44"/>
  <c r="F44" i="14"/>
  <c r="M8" i="15"/>
  <c r="R16" i="9"/>
  <c r="M4" i="15"/>
  <c r="F40" i="14"/>
  <c r="N18" i="6"/>
  <c r="W18" i="6" s="1"/>
  <c r="N107" i="6"/>
  <c r="W107" i="6" s="1"/>
  <c r="E35" i="15"/>
  <c r="N462" i="6"/>
  <c r="W462" i="6" s="1"/>
  <c r="Y462" i="6" s="1"/>
  <c r="F308" i="6"/>
  <c r="N174" i="6"/>
  <c r="W174" i="6" s="1"/>
  <c r="Y174" i="6" s="1"/>
  <c r="Z76" i="50"/>
  <c r="N492" i="6"/>
  <c r="W492" i="6" s="1"/>
  <c r="K5" i="16"/>
  <c r="B112" i="44"/>
  <c r="A120" i="44" s="1"/>
  <c r="C116" i="44"/>
  <c r="E112" i="44"/>
  <c r="A119" i="44"/>
  <c r="C118" i="44"/>
  <c r="E118" i="44" s="1"/>
  <c r="A116" i="44"/>
  <c r="C115" i="44"/>
  <c r="I115" i="44" s="1"/>
  <c r="K115" i="44" s="1"/>
  <c r="A118" i="44"/>
  <c r="C117" i="44"/>
  <c r="I117" i="44" s="1"/>
  <c r="A121" i="44"/>
  <c r="A114" i="44"/>
  <c r="C114" i="44"/>
  <c r="A113" i="44"/>
  <c r="H112" i="44"/>
  <c r="A117" i="44"/>
  <c r="N136" i="6"/>
  <c r="W136" i="6" s="1"/>
  <c r="Y139" i="6" s="1"/>
  <c r="K99" i="9"/>
  <c r="F360" i="6"/>
  <c r="Z146" i="40"/>
  <c r="K26" i="16"/>
  <c r="F37" i="17"/>
  <c r="AE610" i="44"/>
  <c r="Q610" i="44" s="1"/>
  <c r="K82" i="16"/>
  <c r="AE632" i="44"/>
  <c r="Q632" i="44" s="1"/>
  <c r="N307" i="6"/>
  <c r="W307" i="6" s="1"/>
  <c r="Y307" i="6" s="1"/>
  <c r="Z307" i="6" s="1"/>
  <c r="R7" i="9"/>
  <c r="F395" i="6"/>
  <c r="D7" i="9"/>
  <c r="E60" i="17"/>
  <c r="AD631" i="44"/>
  <c r="P631" i="44" s="1"/>
  <c r="N300" i="6"/>
  <c r="W300" i="6" s="1"/>
  <c r="D16" i="16"/>
  <c r="D61" i="16"/>
  <c r="R46" i="9"/>
  <c r="U43" i="40"/>
  <c r="D230" i="40"/>
  <c r="T65" i="48"/>
  <c r="V65" i="48"/>
  <c r="W65" i="48"/>
  <c r="Z35" i="40"/>
  <c r="E15" i="15"/>
  <c r="U16" i="15"/>
  <c r="D116" i="16"/>
  <c r="U69" i="49"/>
  <c r="D256" i="49"/>
  <c r="T256" i="49" s="1"/>
  <c r="K103" i="9"/>
  <c r="F364" i="6"/>
  <c r="N85" i="6"/>
  <c r="W85" i="6" s="1"/>
  <c r="K94" i="16"/>
  <c r="Z70" i="49"/>
  <c r="D194" i="16"/>
  <c r="F48" i="17"/>
  <c r="AE624" i="44"/>
  <c r="K181" i="16"/>
  <c r="D5" i="16"/>
  <c r="N146" i="6"/>
  <c r="W146" i="6" s="1"/>
  <c r="D27" i="16"/>
  <c r="AF611" i="44"/>
  <c r="X611" i="44" s="1"/>
  <c r="G40" i="17"/>
  <c r="N459" i="6"/>
  <c r="W459" i="6" s="1"/>
  <c r="A422" i="44"/>
  <c r="A429" i="44"/>
  <c r="C425" i="44"/>
  <c r="A426" i="44"/>
  <c r="A425" i="44"/>
  <c r="A427" i="44"/>
  <c r="C422" i="44"/>
  <c r="I422" i="44" s="1"/>
  <c r="B420" i="44"/>
  <c r="A428" i="44" s="1"/>
  <c r="C426" i="44"/>
  <c r="E426" i="44" s="1"/>
  <c r="A421" i="44"/>
  <c r="C423" i="44"/>
  <c r="E420" i="44"/>
  <c r="A424" i="44"/>
  <c r="H420" i="44"/>
  <c r="C424" i="44"/>
  <c r="E424" i="44" s="1"/>
  <c r="N503" i="6"/>
  <c r="W503" i="6" s="1"/>
  <c r="Y503" i="6" s="1"/>
  <c r="Z503" i="6" s="1"/>
  <c r="AE503" i="6" s="1"/>
  <c r="AB503" i="6" s="1"/>
  <c r="C503" i="6" s="1"/>
  <c r="F171" i="6"/>
  <c r="K45" i="9"/>
  <c r="N176" i="6"/>
  <c r="W176" i="6" s="1"/>
  <c r="E201" i="50"/>
  <c r="N119" i="6"/>
  <c r="W119" i="6" s="1"/>
  <c r="N269" i="6"/>
  <c r="W269" i="6" s="1"/>
  <c r="Z73" i="50"/>
  <c r="D126" i="16"/>
  <c r="N425" i="6"/>
  <c r="W425" i="6" s="1"/>
  <c r="EC6" i="1"/>
  <c r="N399" i="6"/>
  <c r="W399" i="6" s="1"/>
  <c r="Y399" i="6" s="1"/>
  <c r="D127" i="16"/>
  <c r="M16" i="15"/>
  <c r="D213" i="16"/>
  <c r="A213" i="44"/>
  <c r="C215" i="44"/>
  <c r="C216" i="44"/>
  <c r="A217" i="44"/>
  <c r="A218" i="44"/>
  <c r="E211" i="44"/>
  <c r="H211" i="44"/>
  <c r="B211" i="44"/>
  <c r="A219" i="44" s="1"/>
  <c r="C214" i="44"/>
  <c r="D214" i="44" s="1"/>
  <c r="V214" i="44" s="1"/>
  <c r="C217" i="44"/>
  <c r="I217" i="44" s="1"/>
  <c r="A212" i="44"/>
  <c r="A216" i="44"/>
  <c r="A220" i="44"/>
  <c r="A215" i="44"/>
  <c r="C213" i="44"/>
  <c r="I213" i="44" s="1"/>
  <c r="N332" i="6"/>
  <c r="W332" i="6" s="1"/>
  <c r="E6" i="17"/>
  <c r="AD578" i="44"/>
  <c r="V578" i="44" s="1"/>
  <c r="E23" i="15"/>
  <c r="F104" i="14"/>
  <c r="N47" i="6"/>
  <c r="W47" i="6" s="1"/>
  <c r="E39" i="17"/>
  <c r="AD613" i="44"/>
  <c r="N241" i="6"/>
  <c r="W241" i="6" s="1"/>
  <c r="F305" i="6"/>
  <c r="N397" i="6"/>
  <c r="W397" i="6" s="1"/>
  <c r="Y397" i="6" s="1"/>
  <c r="N179" i="6"/>
  <c r="W179" i="6" s="1"/>
  <c r="Y179" i="6" s="1"/>
  <c r="A556" i="44"/>
  <c r="C558" i="44"/>
  <c r="H552" i="44"/>
  <c r="E552" i="44"/>
  <c r="C557" i="44"/>
  <c r="C554" i="44"/>
  <c r="A553" i="44"/>
  <c r="A559" i="44"/>
  <c r="A554" i="44"/>
  <c r="D558" i="44" s="1"/>
  <c r="B552" i="44"/>
  <c r="A560" i="44" s="1"/>
  <c r="A557" i="44"/>
  <c r="A558" i="44"/>
  <c r="C555" i="44"/>
  <c r="C556" i="44"/>
  <c r="I556" i="44" s="1"/>
  <c r="K556" i="44" s="1"/>
  <c r="A561" i="44"/>
  <c r="D106" i="16"/>
  <c r="R44" i="9"/>
  <c r="F458" i="6"/>
  <c r="N491" i="6"/>
  <c r="W491" i="6" s="1"/>
  <c r="Y488" i="6" s="1"/>
  <c r="N171" i="6"/>
  <c r="W171" i="6" s="1"/>
  <c r="N173" i="6"/>
  <c r="W173" i="6" s="1"/>
  <c r="Y173" i="6" s="1"/>
  <c r="Z173" i="6" s="1"/>
  <c r="N45" i="6"/>
  <c r="W45" i="6" s="1"/>
  <c r="N362" i="6"/>
  <c r="W362" i="6" s="1"/>
  <c r="Y362" i="6" s="1"/>
  <c r="Z362" i="6" s="1"/>
  <c r="D60" i="16"/>
  <c r="U7" i="15"/>
  <c r="H49" i="17"/>
  <c r="AG620" i="44"/>
  <c r="D620" i="44" s="1"/>
  <c r="N16" i="6"/>
  <c r="W16" i="6" s="1"/>
  <c r="Y16" i="6" s="1"/>
  <c r="Z16" i="6" s="1"/>
  <c r="C448" i="44"/>
  <c r="A451" i="44"/>
  <c r="C445" i="44"/>
  <c r="D445" i="44" s="1"/>
  <c r="V445" i="44" s="1"/>
  <c r="H442" i="44"/>
  <c r="A444" i="44"/>
  <c r="C447" i="44"/>
  <c r="A446" i="44"/>
  <c r="C446" i="44"/>
  <c r="A447" i="44"/>
  <c r="A449" i="44"/>
  <c r="A448" i="44"/>
  <c r="C444" i="44"/>
  <c r="E442" i="44"/>
  <c r="B442" i="44"/>
  <c r="A450" i="44" s="1"/>
  <c r="A443" i="44"/>
  <c r="E7" i="15"/>
  <c r="DX49" i="1"/>
  <c r="F60" i="34" s="1"/>
  <c r="AF598" i="44"/>
  <c r="G30" i="17"/>
  <c r="N118" i="6"/>
  <c r="W118" i="6" s="1"/>
  <c r="Y118" i="6" s="1"/>
  <c r="Z118" i="6" s="1"/>
  <c r="N392" i="6"/>
  <c r="W392" i="6" s="1"/>
  <c r="DX58" i="1"/>
  <c r="F69" i="34" s="1"/>
  <c r="K38" i="16"/>
  <c r="D191" i="16"/>
  <c r="U4" i="15"/>
  <c r="F72" i="14"/>
  <c r="N175" i="6"/>
  <c r="W175" i="6" s="1"/>
  <c r="Y175" i="6" s="1"/>
  <c r="Z175" i="6" s="1"/>
  <c r="K4" i="16"/>
  <c r="D105" i="16"/>
  <c r="N333" i="6"/>
  <c r="W333" i="6" s="1"/>
  <c r="Y333" i="6" s="1"/>
  <c r="D80" i="9"/>
  <c r="F264" i="6"/>
  <c r="D17" i="16"/>
  <c r="H60" i="17"/>
  <c r="AG631" i="44"/>
  <c r="D631" i="44" s="1"/>
  <c r="Z72" i="49"/>
  <c r="K102" i="9"/>
  <c r="F363" i="6"/>
  <c r="N272" i="6"/>
  <c r="W272" i="6" s="1"/>
  <c r="DX57" i="1"/>
  <c r="F68" i="34" s="1"/>
  <c r="D81" i="9"/>
  <c r="N490" i="6"/>
  <c r="W490" i="6" s="1"/>
  <c r="N311" i="6"/>
  <c r="W311" i="6" s="1"/>
  <c r="Y311" i="6" s="1"/>
  <c r="N370" i="6"/>
  <c r="W370" i="6" s="1"/>
  <c r="N15" i="6"/>
  <c r="W15" i="6" s="1"/>
  <c r="D128" i="16"/>
  <c r="K15" i="16"/>
  <c r="D83" i="16"/>
  <c r="N501" i="6"/>
  <c r="W501" i="6" s="1"/>
  <c r="Y501" i="6" s="1"/>
  <c r="Z501" i="6" s="1"/>
  <c r="N429" i="6"/>
  <c r="W429" i="6" s="1"/>
  <c r="E486" i="44"/>
  <c r="C488" i="44"/>
  <c r="A490" i="44"/>
  <c r="H486" i="44"/>
  <c r="A492" i="44"/>
  <c r="C492" i="44"/>
  <c r="E492" i="44" s="1"/>
  <c r="A487" i="44"/>
  <c r="C490" i="44"/>
  <c r="E490" i="44" s="1"/>
  <c r="C489" i="44"/>
  <c r="D489" i="44" s="1"/>
  <c r="P489" i="44" s="1"/>
  <c r="A495" i="44"/>
  <c r="A488" i="44"/>
  <c r="B486" i="44"/>
  <c r="A494" i="44" s="1"/>
  <c r="A491" i="44"/>
  <c r="C491" i="44"/>
  <c r="A493" i="44"/>
  <c r="N206" i="6"/>
  <c r="W206" i="6" s="1"/>
  <c r="Y206" i="6" s="1"/>
  <c r="Z206" i="6" s="1"/>
  <c r="N304" i="6"/>
  <c r="W304" i="6" s="1"/>
  <c r="E26" i="15"/>
  <c r="G18" i="17"/>
  <c r="AF591" i="44"/>
  <c r="R591" i="44" s="1"/>
  <c r="D8" i="9"/>
  <c r="F116" i="6"/>
  <c r="K35" i="9"/>
  <c r="F38" i="17"/>
  <c r="AE612" i="44"/>
  <c r="W612" i="44" s="1"/>
  <c r="D84" i="16"/>
  <c r="E31" i="15"/>
  <c r="DX28" i="1"/>
  <c r="F39" i="34" s="1"/>
  <c r="AF623" i="44"/>
  <c r="G50" i="17"/>
  <c r="N398" i="6"/>
  <c r="W398" i="6" s="1"/>
  <c r="Y398" i="6" s="1"/>
  <c r="E245" i="50"/>
  <c r="K81" i="9"/>
  <c r="F297" i="6"/>
  <c r="N495" i="6"/>
  <c r="W495" i="6" s="1"/>
  <c r="Y495" i="6" s="1"/>
  <c r="Z495" i="6" s="1"/>
  <c r="AE495" i="6" s="1"/>
  <c r="AB495" i="6" s="1"/>
  <c r="C495" i="6" s="1"/>
  <c r="D62" i="9"/>
  <c r="F201" i="6"/>
  <c r="F296" i="6"/>
  <c r="K80" i="9"/>
  <c r="DX45" i="1"/>
  <c r="F56" i="34" s="1"/>
  <c r="E256" i="50"/>
  <c r="G7" i="17"/>
  <c r="AF580" i="44"/>
  <c r="N497" i="6"/>
  <c r="W497" i="6" s="1"/>
  <c r="Y497" i="6" s="1"/>
  <c r="N240" i="6"/>
  <c r="W240" i="6" s="1"/>
  <c r="Y240" i="6" s="1"/>
  <c r="E29" i="17"/>
  <c r="AD602" i="44"/>
  <c r="F112" i="18"/>
  <c r="F129" i="18" s="1"/>
  <c r="D59" i="16"/>
  <c r="C19" i="44"/>
  <c r="A18" i="44"/>
  <c r="H13" i="44"/>
  <c r="C18" i="44"/>
  <c r="D18" i="44" s="1"/>
  <c r="P18" i="44" s="1"/>
  <c r="C16" i="44"/>
  <c r="I16" i="44" s="1"/>
  <c r="A14" i="44"/>
  <c r="C15" i="44"/>
  <c r="A19" i="44"/>
  <c r="B13" i="44"/>
  <c r="A21" i="44" s="1"/>
  <c r="E13" i="44"/>
  <c r="A22" i="44"/>
  <c r="A20" i="44"/>
  <c r="A15" i="44"/>
  <c r="D19" i="44" s="1"/>
  <c r="C17" i="44"/>
  <c r="E17" i="44" s="1"/>
  <c r="A17" i="44"/>
  <c r="K32" i="9"/>
  <c r="F179" i="6"/>
  <c r="E6" i="15"/>
  <c r="D65" i="9"/>
  <c r="F204" i="6"/>
  <c r="K70" i="16"/>
  <c r="F306" i="6"/>
  <c r="F490" i="6"/>
  <c r="R63" i="9"/>
  <c r="N433" i="6"/>
  <c r="W433" i="6" s="1"/>
  <c r="F39" i="18"/>
  <c r="F64" i="18" s="1"/>
  <c r="D102" i="9"/>
  <c r="DX30" i="1"/>
  <c r="F41" i="34" s="1"/>
  <c r="N339" i="6"/>
  <c r="W339" i="6" s="1"/>
  <c r="N79" i="6"/>
  <c r="W79" i="6" s="1"/>
  <c r="Y79" i="6" s="1"/>
  <c r="D15" i="16"/>
  <c r="N14" i="6"/>
  <c r="W14" i="6" s="1"/>
  <c r="Y14" i="6" s="1"/>
  <c r="AG589" i="44"/>
  <c r="H16" i="17"/>
  <c r="N72" i="6"/>
  <c r="W72" i="6" s="1"/>
  <c r="EC19" i="1"/>
  <c r="K37" i="16"/>
  <c r="N177" i="6"/>
  <c r="W177" i="6" s="1"/>
  <c r="N204" i="6"/>
  <c r="W204" i="6" s="1"/>
  <c r="D228" i="16"/>
  <c r="EC29" i="1"/>
  <c r="D226" i="16"/>
  <c r="E17" i="19"/>
  <c r="T17" i="19"/>
  <c r="G17" i="19" s="1"/>
  <c r="K106" i="16"/>
  <c r="D202" i="16"/>
  <c r="D237" i="16"/>
  <c r="V14" i="50"/>
  <c r="W14" i="50"/>
  <c r="T14" i="50"/>
  <c r="Z77" i="49"/>
  <c r="G4" i="17"/>
  <c r="AF579" i="44"/>
  <c r="N328" i="6"/>
  <c r="W328" i="6" s="1"/>
  <c r="F403" i="6"/>
  <c r="R15" i="9"/>
  <c r="N431" i="6"/>
  <c r="W431" i="6" s="1"/>
  <c r="H15" i="17"/>
  <c r="AG590" i="44"/>
  <c r="K5" i="9"/>
  <c r="C27" i="44"/>
  <c r="C28" i="44"/>
  <c r="C26" i="44"/>
  <c r="C29" i="44"/>
  <c r="D29" i="44" s="1"/>
  <c r="A31" i="44"/>
  <c r="B24" i="44"/>
  <c r="A32" i="44" s="1"/>
  <c r="A29" i="44"/>
  <c r="C30" i="44"/>
  <c r="I30" i="44" s="1"/>
  <c r="A25" i="44"/>
  <c r="A26" i="44"/>
  <c r="A33" i="44"/>
  <c r="H24" i="44"/>
  <c r="A30" i="44"/>
  <c r="E24" i="44"/>
  <c r="A28" i="44"/>
  <c r="N76" i="6"/>
  <c r="W76" i="6" s="1"/>
  <c r="Y76" i="6" s="1"/>
  <c r="D81" i="16"/>
  <c r="U37" i="19"/>
  <c r="N37" i="19" s="1"/>
  <c r="L37" i="19"/>
  <c r="K28" i="16"/>
  <c r="M6" i="15"/>
  <c r="DX54" i="1"/>
  <c r="F65" i="34" s="1"/>
  <c r="N432" i="6"/>
  <c r="W432" i="6" s="1"/>
  <c r="D107" i="16"/>
  <c r="N405" i="6"/>
  <c r="W405" i="6" s="1"/>
  <c r="Y405" i="6" s="1"/>
  <c r="C337" i="44"/>
  <c r="A337" i="44"/>
  <c r="A338" i="44"/>
  <c r="A333" i="44"/>
  <c r="C338" i="44"/>
  <c r="E338" i="44" s="1"/>
  <c r="B332" i="44"/>
  <c r="A340" i="44" s="1"/>
  <c r="A334" i="44"/>
  <c r="D336" i="44" s="1"/>
  <c r="P336" i="44" s="1"/>
  <c r="A336" i="44"/>
  <c r="C335" i="44"/>
  <c r="I335" i="44" s="1"/>
  <c r="K335" i="44" s="1"/>
  <c r="A341" i="44"/>
  <c r="C334" i="44"/>
  <c r="A339" i="44"/>
  <c r="H332" i="44"/>
  <c r="C336" i="44"/>
  <c r="I336" i="44" s="1"/>
  <c r="E332" i="44"/>
  <c r="N329" i="6"/>
  <c r="W329" i="6" s="1"/>
  <c r="K34" i="9"/>
  <c r="F115" i="6"/>
  <c r="AF613" i="44"/>
  <c r="D613" i="44" s="1"/>
  <c r="G39" i="17"/>
  <c r="F392" i="6"/>
  <c r="R4" i="9"/>
  <c r="H519" i="44"/>
  <c r="E519" i="44"/>
  <c r="C524" i="44"/>
  <c r="E524" i="44" s="1"/>
  <c r="A523" i="44"/>
  <c r="A521" i="44"/>
  <c r="A528" i="44"/>
  <c r="A524" i="44"/>
  <c r="C522" i="44"/>
  <c r="I522" i="44" s="1"/>
  <c r="K522" i="44" s="1"/>
  <c r="A525" i="44"/>
  <c r="B519" i="44"/>
  <c r="A527" i="44" s="1"/>
  <c r="C521" i="44"/>
  <c r="C523" i="44"/>
  <c r="I523" i="44" s="1"/>
  <c r="C525" i="44"/>
  <c r="A520" i="44"/>
  <c r="A526" i="44"/>
  <c r="K43" i="9"/>
  <c r="N74" i="6"/>
  <c r="W74" i="6" s="1"/>
  <c r="D83" i="9"/>
  <c r="A107" i="44"/>
  <c r="H101" i="44"/>
  <c r="C105" i="44"/>
  <c r="D105" i="44" s="1"/>
  <c r="E101" i="44"/>
  <c r="C107" i="44"/>
  <c r="I107" i="44" s="1"/>
  <c r="A106" i="44"/>
  <c r="C103" i="44"/>
  <c r="E103" i="44" s="1"/>
  <c r="C104" i="44"/>
  <c r="C106" i="44"/>
  <c r="I106" i="44" s="1"/>
  <c r="A105" i="44"/>
  <c r="A110" i="44"/>
  <c r="A108" i="44"/>
  <c r="A103" i="44"/>
  <c r="A102" i="44"/>
  <c r="B101" i="44"/>
  <c r="A109" i="44" s="1"/>
  <c r="P107" i="44" s="1"/>
  <c r="N365" i="6"/>
  <c r="W365" i="6" s="1"/>
  <c r="N489" i="6"/>
  <c r="W489" i="6" s="1"/>
  <c r="AG591" i="44"/>
  <c r="H18" i="17"/>
  <c r="D183" i="16"/>
  <c r="N43" i="6"/>
  <c r="W43" i="6" s="1"/>
  <c r="Y43" i="6" s="1"/>
  <c r="Z43" i="6" s="1"/>
  <c r="EC39" i="1"/>
  <c r="Z58" i="50"/>
  <c r="N341" i="6"/>
  <c r="W341" i="6" s="1"/>
  <c r="N305" i="6"/>
  <c r="W305" i="6" s="1"/>
  <c r="N427" i="6"/>
  <c r="W427" i="6" s="1"/>
  <c r="N169" i="6"/>
  <c r="W169" i="6" s="1"/>
  <c r="Y169" i="6" s="1"/>
  <c r="E354" i="44"/>
  <c r="C360" i="44"/>
  <c r="C357" i="44"/>
  <c r="H354" i="44"/>
  <c r="C358" i="44"/>
  <c r="C359" i="44"/>
  <c r="I359" i="44" s="1"/>
  <c r="A359" i="44"/>
  <c r="A356" i="44"/>
  <c r="A360" i="44"/>
  <c r="A363" i="44"/>
  <c r="A361" i="44"/>
  <c r="B354" i="44"/>
  <c r="A362" i="44" s="1"/>
  <c r="A355" i="44"/>
  <c r="C356" i="44"/>
  <c r="A358" i="44"/>
  <c r="T146" i="40"/>
  <c r="W146" i="40"/>
  <c r="V146" i="40"/>
  <c r="AD587" i="44"/>
  <c r="N268" i="6"/>
  <c r="W268" i="6" s="1"/>
  <c r="K216" i="16"/>
  <c r="D236" i="16"/>
  <c r="N55" i="6"/>
  <c r="W55" i="6" s="1"/>
  <c r="Y55" i="6" s="1"/>
  <c r="Z55" i="6" s="1"/>
  <c r="D43" i="9"/>
  <c r="F137" i="6"/>
  <c r="E38" i="17"/>
  <c r="AD612" i="44"/>
  <c r="E30" i="17"/>
  <c r="AD598" i="44"/>
  <c r="DX46" i="1"/>
  <c r="F57" i="34" s="1"/>
  <c r="DX41" i="1"/>
  <c r="F52" i="34" s="1"/>
  <c r="N23" i="6"/>
  <c r="W23" i="6" s="1"/>
  <c r="K81" i="16"/>
  <c r="N233" i="6"/>
  <c r="W233" i="6" s="1"/>
  <c r="G16" i="17"/>
  <c r="AF589" i="44"/>
  <c r="X589" i="44" s="1"/>
  <c r="E37" i="17"/>
  <c r="AD610" i="44"/>
  <c r="E25" i="15"/>
  <c r="F106" i="14"/>
  <c r="U34" i="15"/>
  <c r="K117" i="16"/>
  <c r="M5" i="15"/>
  <c r="F41" i="14"/>
  <c r="D61" i="9"/>
  <c r="N21" i="6"/>
  <c r="W21" i="6" s="1"/>
  <c r="Y21" i="6" s="1"/>
  <c r="Z21" i="6" s="1"/>
  <c r="AG610" i="44"/>
  <c r="H37" i="17"/>
  <c r="EC3" i="1"/>
  <c r="N168" i="6"/>
  <c r="W168" i="6" s="1"/>
  <c r="F104" i="6"/>
  <c r="K23" i="9"/>
  <c r="D70" i="16"/>
  <c r="R71" i="9"/>
  <c r="F498" i="6"/>
  <c r="F40" i="18"/>
  <c r="F56" i="18" s="1"/>
  <c r="R73" i="9"/>
  <c r="F500" i="6"/>
  <c r="D24" i="9"/>
  <c r="A190" i="44"/>
  <c r="A198" i="44"/>
  <c r="C193" i="44"/>
  <c r="E193" i="44" s="1"/>
  <c r="A191" i="44"/>
  <c r="A196" i="44"/>
  <c r="A195" i="44"/>
  <c r="A194" i="44"/>
  <c r="A193" i="44"/>
  <c r="B189" i="44"/>
  <c r="A197" i="44" s="1"/>
  <c r="C194" i="44"/>
  <c r="I194" i="44" s="1"/>
  <c r="K194" i="44" s="1"/>
  <c r="H189" i="44"/>
  <c r="C192" i="44"/>
  <c r="C195" i="44"/>
  <c r="C191" i="44"/>
  <c r="I191" i="44" s="1"/>
  <c r="E189" i="44"/>
  <c r="N363" i="6"/>
  <c r="W363" i="6" s="1"/>
  <c r="D192" i="16"/>
  <c r="K92" i="16"/>
  <c r="N77" i="6"/>
  <c r="W77" i="6" s="1"/>
  <c r="Y77" i="6" s="1"/>
  <c r="Z77" i="6" s="1"/>
  <c r="N49" i="6"/>
  <c r="W49" i="6" s="1"/>
  <c r="D73" i="9"/>
  <c r="F212" i="6"/>
  <c r="N78" i="6"/>
  <c r="W78" i="6" s="1"/>
  <c r="Y78" i="6" s="1"/>
  <c r="Z78" i="6" s="1"/>
  <c r="E7" i="17"/>
  <c r="AD580" i="44"/>
  <c r="P580" i="44" s="1"/>
  <c r="N138" i="6"/>
  <c r="W138" i="6" s="1"/>
  <c r="N336" i="6"/>
  <c r="W336" i="6" s="1"/>
  <c r="N396" i="6"/>
  <c r="W396" i="6" s="1"/>
  <c r="N183" i="6"/>
  <c r="W183" i="6" s="1"/>
  <c r="Y183" i="6" s="1"/>
  <c r="D5" i="9"/>
  <c r="F370" i="6"/>
  <c r="AG609" i="44"/>
  <c r="F75" i="18"/>
  <c r="F100" i="18" s="1"/>
  <c r="D91" i="9"/>
  <c r="F16" i="6"/>
  <c r="D224" i="16"/>
  <c r="DX39" i="1"/>
  <c r="F50" i="34" s="1"/>
  <c r="K214" i="16"/>
  <c r="N111" i="6"/>
  <c r="W111" i="6" s="1"/>
  <c r="Y111" i="6" s="1"/>
  <c r="Z111" i="6" s="1"/>
  <c r="N116" i="6"/>
  <c r="W116" i="6" s="1"/>
  <c r="EC33" i="1"/>
  <c r="AG588" i="44"/>
  <c r="Y588" i="44" s="1"/>
  <c r="H17" i="17"/>
  <c r="K91" i="9"/>
  <c r="F42" i="18"/>
  <c r="F65" i="18" s="1"/>
  <c r="E156" i="44"/>
  <c r="C161" i="44"/>
  <c r="A165" i="44"/>
  <c r="A157" i="44"/>
  <c r="C158" i="44"/>
  <c r="I158" i="44" s="1"/>
  <c r="H156" i="44"/>
  <c r="A161" i="44"/>
  <c r="B156" i="44"/>
  <c r="A164" i="44" s="1"/>
  <c r="A162" i="44"/>
  <c r="A158" i="44"/>
  <c r="A160" i="44"/>
  <c r="C160" i="44"/>
  <c r="I160" i="44" s="1"/>
  <c r="C162" i="44"/>
  <c r="E162" i="44" s="1"/>
  <c r="C159" i="44"/>
  <c r="A163" i="44"/>
  <c r="U31" i="15"/>
  <c r="AF588" i="44"/>
  <c r="X588" i="44" s="1"/>
  <c r="G17" i="17"/>
  <c r="N278" i="6"/>
  <c r="W278" i="6" s="1"/>
  <c r="F7" i="17"/>
  <c r="AE580" i="44"/>
  <c r="W124" i="50"/>
  <c r="E33" i="15"/>
  <c r="N50" i="6"/>
  <c r="W50" i="6" s="1"/>
  <c r="H27" i="17"/>
  <c r="AG599" i="44"/>
  <c r="N308" i="6"/>
  <c r="W308" i="6" s="1"/>
  <c r="AG587" i="44"/>
  <c r="D587" i="44" s="1"/>
  <c r="H26" i="17"/>
  <c r="AG601" i="44"/>
  <c r="K16" i="16"/>
  <c r="N20" i="6"/>
  <c r="W20" i="6" s="1"/>
  <c r="Y20" i="6" s="1"/>
  <c r="Z20" i="6" s="1"/>
  <c r="N299" i="6"/>
  <c r="W299" i="6" s="1"/>
  <c r="F82" i="6"/>
  <c r="N498" i="6"/>
  <c r="W498" i="6" s="1"/>
  <c r="N463" i="6"/>
  <c r="W463" i="6" s="1"/>
  <c r="Y463" i="6" s="1"/>
  <c r="Z463" i="6" s="1"/>
  <c r="AD463" i="6" s="1"/>
  <c r="AA463" i="6" s="1"/>
  <c r="B463" i="6" s="1"/>
  <c r="G61" i="17"/>
  <c r="AF634" i="44"/>
  <c r="N360" i="6"/>
  <c r="W360" i="6" s="1"/>
  <c r="Y360" i="6" s="1"/>
  <c r="Z360" i="6" s="1"/>
  <c r="N271" i="6"/>
  <c r="W271" i="6" s="1"/>
  <c r="K100" i="9"/>
  <c r="F361" i="6"/>
  <c r="K193" i="16"/>
  <c r="M14" i="15"/>
  <c r="K8" i="9"/>
  <c r="F44" i="6"/>
  <c r="B79" i="44"/>
  <c r="A87" i="44" s="1"/>
  <c r="C85" i="44"/>
  <c r="D85" i="44" s="1"/>
  <c r="P85" i="44" s="1"/>
  <c r="C83" i="44"/>
  <c r="C84" i="44"/>
  <c r="C81" i="44"/>
  <c r="E81" i="44" s="1"/>
  <c r="A88" i="44"/>
  <c r="E79" i="44"/>
  <c r="A84" i="44"/>
  <c r="A81" i="44"/>
  <c r="H79" i="44"/>
  <c r="A85" i="44"/>
  <c r="A80" i="44"/>
  <c r="A83" i="44"/>
  <c r="C82" i="44"/>
  <c r="A86" i="44"/>
  <c r="K237" i="16"/>
  <c r="N12" i="6"/>
  <c r="W12" i="6" s="1"/>
  <c r="AF601" i="44"/>
  <c r="X601" i="44" s="1"/>
  <c r="G26" i="17"/>
  <c r="N457" i="6"/>
  <c r="W457" i="6" s="1"/>
  <c r="AG612" i="44"/>
  <c r="H38" i="17"/>
  <c r="F2" i="18"/>
  <c r="F19" i="18" s="1"/>
  <c r="Z69" i="50"/>
  <c r="K71" i="16"/>
  <c r="N13" i="6"/>
  <c r="W13" i="6" s="1"/>
  <c r="D227" i="16"/>
  <c r="AE589" i="44"/>
  <c r="F16" i="17"/>
  <c r="K84" i="16"/>
  <c r="N303" i="6"/>
  <c r="W303" i="6" s="1"/>
  <c r="D48" i="16"/>
  <c r="K104" i="16"/>
  <c r="D125" i="16"/>
  <c r="K48" i="16"/>
  <c r="F202" i="6"/>
  <c r="D63" i="9"/>
  <c r="AF610" i="44"/>
  <c r="R610" i="44" s="1"/>
  <c r="G37" i="17"/>
  <c r="E28" i="17"/>
  <c r="AD600" i="44"/>
  <c r="N22" i="6"/>
  <c r="W22" i="6" s="1"/>
  <c r="Y22" i="6" s="1"/>
  <c r="Z22" i="6" s="1"/>
  <c r="N367" i="6"/>
  <c r="W367" i="6" s="1"/>
  <c r="Y367" i="6" s="1"/>
  <c r="Z367" i="6" s="1"/>
  <c r="F298" i="6"/>
  <c r="K82" i="9"/>
  <c r="F168" i="14"/>
  <c r="U23" i="15"/>
  <c r="DX44" i="1"/>
  <c r="F55" i="34" s="1"/>
  <c r="E16" i="17"/>
  <c r="AD589" i="44"/>
  <c r="G15" i="17"/>
  <c r="AF590" i="44"/>
  <c r="N144" i="6"/>
  <c r="W144" i="6" s="1"/>
  <c r="AE622" i="44"/>
  <c r="W622" i="44" s="1"/>
  <c r="K83" i="9"/>
  <c r="W69" i="50"/>
  <c r="T69" i="50"/>
  <c r="V69" i="50"/>
  <c r="K213" i="16"/>
  <c r="N51" i="6"/>
  <c r="W51" i="6" s="1"/>
  <c r="Y51" i="6" s="1"/>
  <c r="F44" i="18"/>
  <c r="F66" i="18" s="1"/>
  <c r="G38" i="17"/>
  <c r="AF612" i="44"/>
  <c r="F274" i="6"/>
  <c r="N200" i="6"/>
  <c r="W200" i="6" s="1"/>
  <c r="V256" i="49"/>
  <c r="D544" i="44"/>
  <c r="T249" i="50"/>
  <c r="D116" i="44"/>
  <c r="D510" i="44"/>
  <c r="P510" i="44" s="1"/>
  <c r="D488" i="44"/>
  <c r="V263" i="50"/>
  <c r="T208" i="40"/>
  <c r="D403" i="44"/>
  <c r="E391" i="44"/>
  <c r="D139" i="44"/>
  <c r="I50" i="44"/>
  <c r="E382" i="44"/>
  <c r="I38" i="44"/>
  <c r="T238" i="50"/>
  <c r="E481" i="44"/>
  <c r="E239" i="44"/>
  <c r="AD142" i="6"/>
  <c r="AA142" i="6" s="1"/>
  <c r="B142" i="6" s="1"/>
  <c r="V246" i="40"/>
  <c r="I524" i="44"/>
  <c r="D547" i="44"/>
  <c r="I356" i="44"/>
  <c r="D413" i="44"/>
  <c r="V231" i="49"/>
  <c r="I149" i="44"/>
  <c r="J149" i="44" s="1"/>
  <c r="Q149" i="44" s="1"/>
  <c r="E345" i="44"/>
  <c r="I501" i="44"/>
  <c r="J501" i="44" s="1"/>
  <c r="Q501" i="44" s="1"/>
  <c r="I469" i="44"/>
  <c r="K469" i="44" s="1"/>
  <c r="E94" i="44"/>
  <c r="I544" i="44"/>
  <c r="J544" i="44" s="1"/>
  <c r="W544" i="44" s="1"/>
  <c r="E205" i="44"/>
  <c r="E227" i="44"/>
  <c r="E556" i="44"/>
  <c r="I129" i="44"/>
  <c r="I566" i="44"/>
  <c r="W631" i="44"/>
  <c r="J93" i="44"/>
  <c r="W93" i="44" s="1"/>
  <c r="D545" i="44"/>
  <c r="D26" i="44"/>
  <c r="V26" i="44" s="1"/>
  <c r="E213" i="44"/>
  <c r="D182" i="44"/>
  <c r="I424" i="44"/>
  <c r="J424" i="44" s="1"/>
  <c r="W610" i="44"/>
  <c r="E522" i="44"/>
  <c r="D27" i="44"/>
  <c r="D424" i="44"/>
  <c r="V424" i="44" s="1"/>
  <c r="J392" i="44"/>
  <c r="Q392" i="44" s="1"/>
  <c r="E138" i="44"/>
  <c r="S588" i="44"/>
  <c r="D180" i="44"/>
  <c r="D171" i="44"/>
  <c r="V171" i="44" s="1"/>
  <c r="D511" i="44"/>
  <c r="AE151" i="6"/>
  <c r="AB151" i="6" s="1"/>
  <c r="C151" i="6" s="1"/>
  <c r="K382" i="44"/>
  <c r="Y613" i="44"/>
  <c r="D138" i="44"/>
  <c r="V138" i="44" s="1"/>
  <c r="D412" i="44"/>
  <c r="E117" i="44"/>
  <c r="Q579" i="44"/>
  <c r="E74" i="44"/>
  <c r="I565" i="44"/>
  <c r="K565" i="44" s="1"/>
  <c r="D106" i="44"/>
  <c r="AD40" i="6"/>
  <c r="AA40" i="6" s="1"/>
  <c r="B40" i="6" s="1"/>
  <c r="D532" i="44"/>
  <c r="D161" i="44"/>
  <c r="P161" i="44" s="1"/>
  <c r="D392" i="44"/>
  <c r="D448" i="44"/>
  <c r="D228" i="44"/>
  <c r="P228" i="44" s="1"/>
  <c r="D4" i="44"/>
  <c r="P4" i="44" s="1"/>
  <c r="AE335" i="6"/>
  <c r="AB335" i="6" s="1"/>
  <c r="C335" i="6" s="1"/>
  <c r="J138" i="44"/>
  <c r="K138" i="44"/>
  <c r="J173" i="44"/>
  <c r="Q173" i="44" s="1"/>
  <c r="K173" i="44"/>
  <c r="D86" i="44"/>
  <c r="E335" i="44"/>
  <c r="P19" i="44"/>
  <c r="Y491" i="6"/>
  <c r="X579" i="44"/>
  <c r="R579" i="44"/>
  <c r="E235" i="44"/>
  <c r="I235" i="44"/>
  <c r="D235" i="44"/>
  <c r="D205" i="44"/>
  <c r="E49" i="44"/>
  <c r="T212" i="40"/>
  <c r="V212" i="40"/>
  <c r="V242" i="48"/>
  <c r="T242" i="48"/>
  <c r="I238" i="44"/>
  <c r="E238" i="44"/>
  <c r="V260" i="48"/>
  <c r="T260" i="48"/>
  <c r="K93" i="44"/>
  <c r="K392" i="44"/>
  <c r="K523" i="44"/>
  <c r="T201" i="40"/>
  <c r="T253" i="40"/>
  <c r="V274" i="48"/>
  <c r="I63" i="44"/>
  <c r="D173" i="44"/>
  <c r="E392" i="44"/>
  <c r="D183" i="44"/>
  <c r="E532" i="44"/>
  <c r="D170" i="44"/>
  <c r="P170" i="44" s="1"/>
  <c r="I412" i="44"/>
  <c r="D83" i="44"/>
  <c r="P83" i="44" s="1"/>
  <c r="E158" i="44"/>
  <c r="E106" i="44"/>
  <c r="Z302" i="6"/>
  <c r="AE302" i="6" s="1"/>
  <c r="AB302" i="6" s="1"/>
  <c r="C302" i="6" s="1"/>
  <c r="I492" i="44"/>
  <c r="K492" i="44" s="1"/>
  <c r="E95" i="44"/>
  <c r="D95" i="44"/>
  <c r="I95" i="44"/>
  <c r="T263" i="49"/>
  <c r="V263" i="49"/>
  <c r="E511" i="44"/>
  <c r="I511" i="44"/>
  <c r="V220" i="50"/>
  <c r="T220" i="50"/>
  <c r="K158" i="44"/>
  <c r="E173" i="44"/>
  <c r="J391" i="44"/>
  <c r="Q391" i="44" s="1"/>
  <c r="J556" i="44"/>
  <c r="I490" i="44"/>
  <c r="E191" i="44"/>
  <c r="V240" i="50"/>
  <c r="T201" i="49"/>
  <c r="T231" i="50"/>
  <c r="E41" i="44"/>
  <c r="P214" i="44"/>
  <c r="E104" i="44"/>
  <c r="I104" i="44"/>
  <c r="D389" i="44"/>
  <c r="P389" i="44" s="1"/>
  <c r="D390" i="44"/>
  <c r="P390" i="44" s="1"/>
  <c r="E346" i="44"/>
  <c r="D346" i="44"/>
  <c r="T198" i="50"/>
  <c r="V198" i="50"/>
  <c r="K41" i="44"/>
  <c r="D238" i="44"/>
  <c r="I426" i="44"/>
  <c r="J426" i="44" s="1"/>
  <c r="I346" i="44"/>
  <c r="J346" i="44" s="1"/>
  <c r="Q346" i="44" s="1"/>
  <c r="AD342" i="6"/>
  <c r="AA342" i="6" s="1"/>
  <c r="B342" i="6" s="1"/>
  <c r="D191" i="44"/>
  <c r="Y172" i="6"/>
  <c r="Z172" i="6" s="1"/>
  <c r="D557" i="44"/>
  <c r="P557" i="44" s="1"/>
  <c r="J115" i="44"/>
  <c r="D566" i="44"/>
  <c r="P566" i="44" s="1"/>
  <c r="J546" i="44"/>
  <c r="D236" i="44"/>
  <c r="V236" i="44" s="1"/>
  <c r="D184" i="44"/>
  <c r="P184" i="44" s="1"/>
  <c r="D522" i="44"/>
  <c r="D117" i="44"/>
  <c r="J205" i="44"/>
  <c r="W205" i="44" s="1"/>
  <c r="AD239" i="6"/>
  <c r="AA239" i="6" s="1"/>
  <c r="B239" i="6" s="1"/>
  <c r="AD309" i="6"/>
  <c r="AA309" i="6" s="1"/>
  <c r="B309" i="6" s="1"/>
  <c r="AD493" i="6"/>
  <c r="AA493" i="6" s="1"/>
  <c r="B493" i="6" s="1"/>
  <c r="AD16" i="6"/>
  <c r="AA16" i="6" s="1"/>
  <c r="B16" i="6" s="1"/>
  <c r="AE374" i="6"/>
  <c r="AB374" i="6" s="1"/>
  <c r="C374" i="6" s="1"/>
  <c r="AE141" i="6"/>
  <c r="AB141" i="6" s="1"/>
  <c r="C141" i="6" s="1"/>
  <c r="I162" i="44"/>
  <c r="AD374" i="6"/>
  <c r="AA374" i="6" s="1"/>
  <c r="B374" i="6" s="1"/>
  <c r="AD494" i="6"/>
  <c r="AA494" i="6" s="1"/>
  <c r="B494" i="6" s="1"/>
  <c r="AE437" i="6"/>
  <c r="AB437" i="6" s="1"/>
  <c r="C437" i="6" s="1"/>
  <c r="AE118" i="6"/>
  <c r="AB118" i="6" s="1"/>
  <c r="C118" i="6" s="1"/>
  <c r="AD406" i="6"/>
  <c r="AA406" i="6" s="1"/>
  <c r="B406" i="6" s="1"/>
  <c r="R588" i="44"/>
  <c r="D107" i="44"/>
  <c r="Y200" i="6"/>
  <c r="Z200" i="6" s="1"/>
  <c r="Z183" i="6"/>
  <c r="AD183" i="6" s="1"/>
  <c r="AA183" i="6" s="1"/>
  <c r="B183" i="6" s="1"/>
  <c r="V204" i="40"/>
  <c r="AE46" i="6"/>
  <c r="AB46" i="6" s="1"/>
  <c r="C46" i="6" s="1"/>
  <c r="Z333" i="6"/>
  <c r="AE333" i="6" s="1"/>
  <c r="AB333" i="6" s="1"/>
  <c r="C333" i="6" s="1"/>
  <c r="E115" i="44"/>
  <c r="Z399" i="6"/>
  <c r="AD399" i="6" s="1"/>
  <c r="AA399" i="6" s="1"/>
  <c r="B399" i="6" s="1"/>
  <c r="I447" i="44"/>
  <c r="Y429" i="6"/>
  <c r="Z429" i="6" s="1"/>
  <c r="Z375" i="6"/>
  <c r="AD375" i="6" s="1"/>
  <c r="AA375" i="6" s="1"/>
  <c r="B375" i="6" s="1"/>
  <c r="D491" i="44"/>
  <c r="P491" i="44" s="1"/>
  <c r="I491" i="44"/>
  <c r="I358" i="44"/>
  <c r="E358" i="44"/>
  <c r="I81" i="44"/>
  <c r="D81" i="44"/>
  <c r="P81" i="44" s="1"/>
  <c r="I338" i="44"/>
  <c r="Y15" i="6"/>
  <c r="Z15" i="6" s="1"/>
  <c r="AD15" i="6" s="1"/>
  <c r="AA15" i="6" s="1"/>
  <c r="B15" i="6" s="1"/>
  <c r="D569" i="44"/>
  <c r="D226" i="44"/>
  <c r="P226" i="44" s="1"/>
  <c r="E226" i="44"/>
  <c r="I8" i="44"/>
  <c r="E8" i="44"/>
  <c r="Y104" i="6"/>
  <c r="D93" i="44"/>
  <c r="P93" i="44" s="1"/>
  <c r="E93" i="44"/>
  <c r="AE40" i="6"/>
  <c r="AB40" i="6" s="1"/>
  <c r="C40" i="6" s="1"/>
  <c r="AE150" i="6"/>
  <c r="AB150" i="6" s="1"/>
  <c r="C150" i="6" s="1"/>
  <c r="E228" i="44"/>
  <c r="I118" i="44"/>
  <c r="K118" i="44" s="1"/>
  <c r="R611" i="44"/>
  <c r="Z462" i="6"/>
  <c r="AE462" i="6" s="1"/>
  <c r="AB462" i="6" s="1"/>
  <c r="C462" i="6" s="1"/>
  <c r="D422" i="44"/>
  <c r="D16" i="44"/>
  <c r="P16" i="44" s="1"/>
  <c r="AE501" i="6"/>
  <c r="AB501" i="6" s="1"/>
  <c r="C501" i="6" s="1"/>
  <c r="I521" i="44"/>
  <c r="AD55" i="6"/>
  <c r="AA55" i="6" s="1"/>
  <c r="B55" i="6" s="1"/>
  <c r="D446" i="44"/>
  <c r="P446" i="44" s="1"/>
  <c r="Z17" i="6"/>
  <c r="AE17" i="6" s="1"/>
  <c r="AB17" i="6" s="1"/>
  <c r="C17" i="6" s="1"/>
  <c r="Z470" i="6"/>
  <c r="AE470" i="6" s="1"/>
  <c r="AB470" i="6" s="1"/>
  <c r="C470" i="6" s="1"/>
  <c r="Z469" i="6"/>
  <c r="AE469" i="6" s="1"/>
  <c r="AB469" i="6" s="1"/>
  <c r="C469" i="6" s="1"/>
  <c r="E72" i="44"/>
  <c r="D239" i="44"/>
  <c r="I226" i="44"/>
  <c r="V631" i="44"/>
  <c r="Z277" i="6"/>
  <c r="AE277" i="6" s="1"/>
  <c r="AB277" i="6" s="1"/>
  <c r="C277" i="6" s="1"/>
  <c r="K49" i="44"/>
  <c r="AE181" i="6"/>
  <c r="AB181" i="6" s="1"/>
  <c r="C181" i="6" s="1"/>
  <c r="E422" i="44"/>
  <c r="E16" i="44"/>
  <c r="E107" i="44"/>
  <c r="D565" i="44"/>
  <c r="Z246" i="6"/>
  <c r="AD246" i="6" s="1"/>
  <c r="AA246" i="6" s="1"/>
  <c r="B246" i="6" s="1"/>
  <c r="D8" i="44"/>
  <c r="P8" i="44" s="1"/>
  <c r="D115" i="44"/>
  <c r="E447" i="44"/>
  <c r="E491" i="44"/>
  <c r="T256" i="40"/>
  <c r="J194" i="44"/>
  <c r="D194" i="44"/>
  <c r="E194" i="44"/>
  <c r="D192" i="44"/>
  <c r="V192" i="44" s="1"/>
  <c r="D490" i="44"/>
  <c r="P490" i="44" s="1"/>
  <c r="D391" i="44"/>
  <c r="P391" i="44" s="1"/>
  <c r="D193" i="44"/>
  <c r="P193" i="44" s="1"/>
  <c r="D148" i="44"/>
  <c r="P148" i="44" s="1"/>
  <c r="E191" i="40"/>
  <c r="E235" i="40"/>
  <c r="E268" i="40"/>
  <c r="U63" i="50"/>
  <c r="D250" i="50"/>
  <c r="E269" i="40"/>
  <c r="V76" i="40"/>
  <c r="W76" i="40"/>
  <c r="T76" i="40"/>
  <c r="U65" i="49"/>
  <c r="D252" i="49"/>
  <c r="V65" i="49"/>
  <c r="T65" i="49"/>
  <c r="W65" i="49"/>
  <c r="E226" i="49"/>
  <c r="E191" i="48"/>
  <c r="W76" i="48"/>
  <c r="T76" i="48"/>
  <c r="V76" i="48"/>
  <c r="T77" i="40"/>
  <c r="W77" i="40"/>
  <c r="V77" i="40"/>
  <c r="H14" i="5"/>
  <c r="G141" i="14"/>
  <c r="G13" i="14"/>
  <c r="G173" i="14"/>
  <c r="G173" i="6"/>
  <c r="W461" i="44"/>
  <c r="G4" i="34"/>
  <c r="F4" i="34"/>
  <c r="G7" i="34"/>
  <c r="F7" i="34"/>
  <c r="E523" i="44"/>
  <c r="X610" i="44"/>
  <c r="Y303" i="6"/>
  <c r="Y365" i="6"/>
  <c r="Z365" i="6" s="1"/>
  <c r="D213" i="44"/>
  <c r="Y431" i="6"/>
  <c r="Z431" i="6" s="1"/>
  <c r="AE431" i="6" s="1"/>
  <c r="AB431" i="6" s="1"/>
  <c r="C431" i="6" s="1"/>
  <c r="I444" i="44"/>
  <c r="D444" i="44"/>
  <c r="E444" i="44"/>
  <c r="E446" i="44"/>
  <c r="I446" i="44"/>
  <c r="Y269" i="6"/>
  <c r="Z269" i="6" s="1"/>
  <c r="Y146" i="6"/>
  <c r="I378" i="44"/>
  <c r="E378" i="44"/>
  <c r="Y149" i="6"/>
  <c r="Z149" i="6" s="1"/>
  <c r="E39" i="44"/>
  <c r="I39" i="44"/>
  <c r="V229" i="40"/>
  <c r="T229" i="40"/>
  <c r="T264" i="50"/>
  <c r="V264" i="50"/>
  <c r="E502" i="44"/>
  <c r="I502" i="44"/>
  <c r="I513" i="44"/>
  <c r="V588" i="44"/>
  <c r="P588" i="44"/>
  <c r="I370" i="44"/>
  <c r="E370" i="44"/>
  <c r="D579" i="44"/>
  <c r="I400" i="44"/>
  <c r="D400" i="44"/>
  <c r="E400" i="44"/>
  <c r="E401" i="44"/>
  <c r="D401" i="44"/>
  <c r="I401" i="44"/>
  <c r="I61" i="44"/>
  <c r="E61" i="44"/>
  <c r="I458" i="44"/>
  <c r="E458" i="44"/>
  <c r="D458" i="44"/>
  <c r="T237" i="49"/>
  <c r="V237" i="49"/>
  <c r="T274" i="40"/>
  <c r="V274" i="40"/>
  <c r="V195" i="40"/>
  <c r="T195" i="40"/>
  <c r="V195" i="48"/>
  <c r="T195" i="48"/>
  <c r="X577" i="44"/>
  <c r="R577" i="44"/>
  <c r="T201" i="48"/>
  <c r="V201" i="48"/>
  <c r="T207" i="49"/>
  <c r="V207" i="49"/>
  <c r="T197" i="49"/>
  <c r="V197" i="49"/>
  <c r="T247" i="40"/>
  <c r="V251" i="48"/>
  <c r="T251" i="48"/>
  <c r="V245" i="40"/>
  <c r="T245" i="40"/>
  <c r="T231" i="48"/>
  <c r="V217" i="40"/>
  <c r="V264" i="40"/>
  <c r="T264" i="40"/>
  <c r="G310" i="6"/>
  <c r="G15" i="14"/>
  <c r="G174" i="6"/>
  <c r="G109" i="6"/>
  <c r="G142" i="14"/>
  <c r="G206" i="6"/>
  <c r="G501" i="6"/>
  <c r="W120" i="44"/>
  <c r="G309" i="6"/>
  <c r="G247" i="6"/>
  <c r="AE173" i="6"/>
  <c r="AB173" i="6" s="1"/>
  <c r="C173" i="6" s="1"/>
  <c r="AE75" i="6"/>
  <c r="AB75" i="6" s="1"/>
  <c r="C75" i="6" s="1"/>
  <c r="AD360" i="6"/>
  <c r="AA360" i="6" s="1"/>
  <c r="B360" i="6" s="1"/>
  <c r="AE206" i="6"/>
  <c r="AB206" i="6" s="1"/>
  <c r="C206" i="6" s="1"/>
  <c r="X591" i="44"/>
  <c r="F8" i="34"/>
  <c r="G8" i="34"/>
  <c r="Y47" i="6"/>
  <c r="Z47" i="6" s="1"/>
  <c r="S601" i="44"/>
  <c r="Y601" i="44"/>
  <c r="Y50" i="6"/>
  <c r="P86" i="44"/>
  <c r="V86" i="44"/>
  <c r="Y370" i="6"/>
  <c r="Z370" i="6" s="1"/>
  <c r="AD370" i="6" s="1"/>
  <c r="AA370" i="6" s="1"/>
  <c r="B370" i="6" s="1"/>
  <c r="D17" i="44"/>
  <c r="I17" i="44"/>
  <c r="E214" i="44"/>
  <c r="I214" i="44"/>
  <c r="I555" i="44"/>
  <c r="D555" i="44"/>
  <c r="E555" i="44"/>
  <c r="D556" i="44"/>
  <c r="P556" i="44" s="1"/>
  <c r="D114" i="44"/>
  <c r="P114" i="44" s="1"/>
  <c r="P613" i="44"/>
  <c r="V613" i="44"/>
  <c r="Y119" i="6"/>
  <c r="Z119" i="6" s="1"/>
  <c r="AE119" i="6" s="1"/>
  <c r="AB119" i="6" s="1"/>
  <c r="C119" i="6" s="1"/>
  <c r="Y492" i="6"/>
  <c r="D426" i="44"/>
  <c r="E546" i="44"/>
  <c r="D546" i="44"/>
  <c r="E224" i="44"/>
  <c r="I224" i="44"/>
  <c r="D224" i="44"/>
  <c r="D227" i="44"/>
  <c r="P227" i="44" s="1"/>
  <c r="E7" i="44"/>
  <c r="D7" i="44"/>
  <c r="I7" i="44"/>
  <c r="T196" i="40"/>
  <c r="V196" i="40"/>
  <c r="E148" i="44"/>
  <c r="I148" i="44"/>
  <c r="I150" i="44"/>
  <c r="D150" i="44"/>
  <c r="E37" i="44"/>
  <c r="I37" i="44"/>
  <c r="I236" i="44"/>
  <c r="E236" i="44"/>
  <c r="W591" i="44"/>
  <c r="Q591" i="44"/>
  <c r="E536" i="44"/>
  <c r="E479" i="44"/>
  <c r="D479" i="44"/>
  <c r="I479" i="44"/>
  <c r="I478" i="44"/>
  <c r="D478" i="44"/>
  <c r="V241" i="48"/>
  <c r="V241" i="50"/>
  <c r="T241" i="50"/>
  <c r="R631" i="44"/>
  <c r="X631" i="44"/>
  <c r="V273" i="40"/>
  <c r="T273" i="40"/>
  <c r="V601" i="44"/>
  <c r="P601" i="44"/>
  <c r="V208" i="50"/>
  <c r="T208" i="50"/>
  <c r="Y115" i="6"/>
  <c r="Z115" i="6" s="1"/>
  <c r="I369" i="44"/>
  <c r="E369" i="44"/>
  <c r="D369" i="44"/>
  <c r="E62" i="44"/>
  <c r="T209" i="48"/>
  <c r="V209" i="48"/>
  <c r="V240" i="48"/>
  <c r="T234" i="49"/>
  <c r="V234" i="49"/>
  <c r="V223" i="40"/>
  <c r="T223" i="40"/>
  <c r="D433" i="44"/>
  <c r="I436" i="44"/>
  <c r="E436" i="44"/>
  <c r="T239" i="48"/>
  <c r="V202" i="48"/>
  <c r="T202" i="48"/>
  <c r="V241" i="49"/>
  <c r="T241" i="49"/>
  <c r="V212" i="48"/>
  <c r="T212" i="48"/>
  <c r="V205" i="40"/>
  <c r="T205" i="40"/>
  <c r="T271" i="48"/>
  <c r="V271" i="48"/>
  <c r="V202" i="40"/>
  <c r="T202" i="40"/>
  <c r="V231" i="40"/>
  <c r="T231" i="40"/>
  <c r="T252" i="40"/>
  <c r="V252" i="40"/>
  <c r="V227" i="40"/>
  <c r="T275" i="40"/>
  <c r="V275" i="40"/>
  <c r="T208" i="48"/>
  <c r="V208" i="48"/>
  <c r="T251" i="49"/>
  <c r="G374" i="6"/>
  <c r="G149" i="6"/>
  <c r="G111" i="6"/>
  <c r="G406" i="6"/>
  <c r="W296" i="44"/>
  <c r="G110" i="14"/>
  <c r="AD181" i="6"/>
  <c r="AA181" i="6" s="1"/>
  <c r="B181" i="6" s="1"/>
  <c r="AD366" i="6"/>
  <c r="AA366" i="6" s="1"/>
  <c r="B366" i="6" s="1"/>
  <c r="AD118" i="6"/>
  <c r="AA118" i="6" s="1"/>
  <c r="B118" i="6" s="1"/>
  <c r="AE21" i="6"/>
  <c r="AB21" i="6" s="1"/>
  <c r="C21" i="6" s="1"/>
  <c r="AE143" i="6"/>
  <c r="AB143" i="6" s="1"/>
  <c r="C143" i="6" s="1"/>
  <c r="AD247" i="6"/>
  <c r="AA247" i="6" s="1"/>
  <c r="B247" i="6" s="1"/>
  <c r="AD75" i="6"/>
  <c r="AA75" i="6" s="1"/>
  <c r="B75" i="6" s="1"/>
  <c r="AD206" i="6"/>
  <c r="AA206" i="6" s="1"/>
  <c r="B206" i="6" s="1"/>
  <c r="F6" i="34"/>
  <c r="G6" i="34"/>
  <c r="Y278" i="6"/>
  <c r="Z278" i="6" s="1"/>
  <c r="Y341" i="6"/>
  <c r="Z341" i="6" s="1"/>
  <c r="AD341" i="6" s="1"/>
  <c r="AA341" i="6" s="1"/>
  <c r="B341" i="6" s="1"/>
  <c r="I15" i="44"/>
  <c r="E15" i="44"/>
  <c r="D15" i="44"/>
  <c r="E554" i="44"/>
  <c r="D554" i="44"/>
  <c r="I554" i="44"/>
  <c r="E557" i="44"/>
  <c r="V557" i="44" s="1"/>
  <c r="I557" i="44"/>
  <c r="I423" i="44"/>
  <c r="E423" i="44"/>
  <c r="D423" i="44"/>
  <c r="I73" i="44"/>
  <c r="E73" i="44"/>
  <c r="E204" i="44"/>
  <c r="D204" i="44"/>
  <c r="I204" i="44"/>
  <c r="D92" i="44"/>
  <c r="P92" i="44" s="1"/>
  <c r="I466" i="44"/>
  <c r="E466" i="44"/>
  <c r="V196" i="50"/>
  <c r="T196" i="50"/>
  <c r="I136" i="44"/>
  <c r="E136" i="44"/>
  <c r="D136" i="44"/>
  <c r="E535" i="44"/>
  <c r="D535" i="44"/>
  <c r="I535" i="44"/>
  <c r="I534" i="44"/>
  <c r="E534" i="44"/>
  <c r="D534" i="44"/>
  <c r="E52" i="44"/>
  <c r="I52" i="44"/>
  <c r="Y279" i="6"/>
  <c r="Z279" i="6" s="1"/>
  <c r="I411" i="44"/>
  <c r="E411" i="44"/>
  <c r="V201" i="50"/>
  <c r="T201" i="50"/>
  <c r="Y53" i="6"/>
  <c r="Z53" i="6" s="1"/>
  <c r="Y207" i="6"/>
  <c r="Z207" i="6" s="1"/>
  <c r="AE207" i="6" s="1"/>
  <c r="AB207" i="6" s="1"/>
  <c r="C207" i="6" s="1"/>
  <c r="E367" i="44"/>
  <c r="I367" i="44"/>
  <c r="D367" i="44"/>
  <c r="D402" i="44"/>
  <c r="P402" i="44" s="1"/>
  <c r="V235" i="50"/>
  <c r="T251" i="40"/>
  <c r="V251" i="40"/>
  <c r="V206" i="49"/>
  <c r="T206" i="49"/>
  <c r="T267" i="48"/>
  <c r="T223" i="48"/>
  <c r="V223" i="48"/>
  <c r="T229" i="48"/>
  <c r="V229" i="48"/>
  <c r="V264" i="48"/>
  <c r="V209" i="49"/>
  <c r="T209" i="49"/>
  <c r="G215" i="6"/>
  <c r="F5" i="34"/>
  <c r="G5" i="34"/>
  <c r="E192" i="44"/>
  <c r="I192" i="44"/>
  <c r="T260" i="49"/>
  <c r="V260" i="49"/>
  <c r="V148" i="44"/>
  <c r="Y430" i="6"/>
  <c r="Z430" i="6" s="1"/>
  <c r="AD430" i="6" s="1"/>
  <c r="AA430" i="6" s="1"/>
  <c r="B430" i="6" s="1"/>
  <c r="V635" i="44"/>
  <c r="P635" i="44"/>
  <c r="V207" i="40"/>
  <c r="T207" i="40"/>
  <c r="Y274" i="6"/>
  <c r="Z274" i="6" s="1"/>
  <c r="T202" i="50"/>
  <c r="V202" i="50"/>
  <c r="I126" i="44"/>
  <c r="T196" i="48"/>
  <c r="V196" i="48"/>
  <c r="I181" i="44"/>
  <c r="D181" i="44"/>
  <c r="E181" i="44"/>
  <c r="I184" i="44"/>
  <c r="E184" i="44"/>
  <c r="V184" i="44" s="1"/>
  <c r="E172" i="44"/>
  <c r="D172" i="44"/>
  <c r="D414" i="44"/>
  <c r="P414" i="44" s="1"/>
  <c r="I414" i="44"/>
  <c r="V247" i="48"/>
  <c r="T247" i="48"/>
  <c r="T223" i="49"/>
  <c r="V223" i="49"/>
  <c r="I500" i="44"/>
  <c r="I499" i="44"/>
  <c r="D499" i="44"/>
  <c r="E499" i="44"/>
  <c r="Y621" i="44"/>
  <c r="S621" i="44"/>
  <c r="I59" i="44"/>
  <c r="E59" i="44"/>
  <c r="E455" i="44"/>
  <c r="I455" i="44"/>
  <c r="T242" i="40"/>
  <c r="V242" i="40"/>
  <c r="T208" i="49"/>
  <c r="V208" i="49"/>
  <c r="T227" i="50"/>
  <c r="V227" i="50"/>
  <c r="T228" i="50"/>
  <c r="T249" i="48"/>
  <c r="V249" i="48"/>
  <c r="V248" i="48"/>
  <c r="T248" i="48"/>
  <c r="V218" i="50"/>
  <c r="T218" i="50"/>
  <c r="T238" i="40"/>
  <c r="V239" i="50"/>
  <c r="T239" i="50"/>
  <c r="V258" i="40"/>
  <c r="T197" i="50"/>
  <c r="V197" i="50"/>
  <c r="T333" i="48"/>
  <c r="V333" i="48"/>
  <c r="Z338" i="6"/>
  <c r="AD338" i="6" s="1"/>
  <c r="AA338" i="6" s="1"/>
  <c r="B338" i="6" s="1"/>
  <c r="J532" i="44"/>
  <c r="Q532" i="44" s="1"/>
  <c r="K532" i="44"/>
  <c r="Z213" i="6"/>
  <c r="AD213" i="6" s="1"/>
  <c r="AA213" i="6" s="1"/>
  <c r="B213" i="6" s="1"/>
  <c r="J228" i="44"/>
  <c r="K228" i="44"/>
  <c r="Z373" i="6"/>
  <c r="AD373" i="6" s="1"/>
  <c r="AA373" i="6" s="1"/>
  <c r="B373" i="6" s="1"/>
  <c r="Z461" i="6"/>
  <c r="AE461" i="6" s="1"/>
  <c r="AB461" i="6" s="1"/>
  <c r="C461" i="6" s="1"/>
  <c r="Z79" i="6"/>
  <c r="AE79" i="6" s="1"/>
  <c r="AB79" i="6" s="1"/>
  <c r="C79" i="6" s="1"/>
  <c r="Z51" i="6"/>
  <c r="AD51" i="6" s="1"/>
  <c r="AA51" i="6" s="1"/>
  <c r="B51" i="6" s="1"/>
  <c r="Z182" i="6"/>
  <c r="AE182" i="6" s="1"/>
  <c r="AB182" i="6" s="1"/>
  <c r="C182" i="6" s="1"/>
  <c r="Z82" i="6"/>
  <c r="AD82" i="6" s="1"/>
  <c r="AA82" i="6" s="1"/>
  <c r="B82" i="6" s="1"/>
  <c r="Z439" i="6"/>
  <c r="AE439" i="6" s="1"/>
  <c r="AB439" i="6" s="1"/>
  <c r="C439" i="6" s="1"/>
  <c r="Z179" i="6"/>
  <c r="AE179" i="6" s="1"/>
  <c r="AB179" i="6" s="1"/>
  <c r="C179" i="6" s="1"/>
  <c r="Z497" i="6"/>
  <c r="AD497" i="6" s="1"/>
  <c r="AA497" i="6" s="1"/>
  <c r="B497" i="6" s="1"/>
  <c r="Z405" i="6"/>
  <c r="AE405" i="6" s="1"/>
  <c r="AB405" i="6" s="1"/>
  <c r="C405" i="6" s="1"/>
  <c r="AE200" i="6"/>
  <c r="AB200" i="6" s="1"/>
  <c r="C200" i="6" s="1"/>
  <c r="AD214" i="6"/>
  <c r="AA214" i="6" s="1"/>
  <c r="B214" i="6" s="1"/>
  <c r="AE111" i="6"/>
  <c r="AB111" i="6" s="1"/>
  <c r="C111" i="6" s="1"/>
  <c r="AD54" i="6"/>
  <c r="AA54" i="6" s="1"/>
  <c r="B54" i="6" s="1"/>
  <c r="AE247" i="6"/>
  <c r="AB247" i="6" s="1"/>
  <c r="C247" i="6" s="1"/>
  <c r="AD180" i="6"/>
  <c r="AA180" i="6" s="1"/>
  <c r="B180" i="6" s="1"/>
  <c r="AD237" i="6"/>
  <c r="AA237" i="6" s="1"/>
  <c r="B237" i="6" s="1"/>
  <c r="AD368" i="6"/>
  <c r="AA368" i="6" s="1"/>
  <c r="B368" i="6" s="1"/>
  <c r="AD145" i="6"/>
  <c r="AA145" i="6" s="1"/>
  <c r="B145" i="6" s="1"/>
  <c r="AD151" i="6"/>
  <c r="AA151" i="6" s="1"/>
  <c r="B151" i="6" s="1"/>
  <c r="AE214" i="6"/>
  <c r="AB214" i="6" s="1"/>
  <c r="C214" i="6" s="1"/>
  <c r="AD46" i="6"/>
  <c r="AA46" i="6" s="1"/>
  <c r="B46" i="6" s="1"/>
  <c r="AE307" i="6"/>
  <c r="AB307" i="6" s="1"/>
  <c r="C307" i="6" s="1"/>
  <c r="AD173" i="6"/>
  <c r="AA173" i="6" s="1"/>
  <c r="B173" i="6" s="1"/>
  <c r="AD301" i="6"/>
  <c r="AA301" i="6" s="1"/>
  <c r="B301" i="6" s="1"/>
  <c r="AD43" i="6"/>
  <c r="AA43" i="6" s="1"/>
  <c r="B43" i="6" s="1"/>
  <c r="AE360" i="6"/>
  <c r="AB360" i="6" s="1"/>
  <c r="C360" i="6" s="1"/>
  <c r="AD111" i="6"/>
  <c r="AA111" i="6" s="1"/>
  <c r="B111" i="6" s="1"/>
  <c r="AE367" i="6"/>
  <c r="AB367" i="6" s="1"/>
  <c r="C367" i="6" s="1"/>
  <c r="P235" i="44"/>
  <c r="V235" i="44"/>
  <c r="W424" i="44"/>
  <c r="Q424" i="44"/>
  <c r="J213" i="44"/>
  <c r="Q213" i="44" s="1"/>
  <c r="K213" i="44"/>
  <c r="P403" i="44"/>
  <c r="W173" i="44"/>
  <c r="P392" i="44"/>
  <c r="P182" i="44"/>
  <c r="Z270" i="6"/>
  <c r="AD270" i="6" s="1"/>
  <c r="AA270" i="6" s="1"/>
  <c r="B270" i="6" s="1"/>
  <c r="P139" i="44"/>
  <c r="V139" i="44"/>
  <c r="P413" i="44"/>
  <c r="P205" i="44"/>
  <c r="V205" i="44"/>
  <c r="Z117" i="6"/>
  <c r="AD117" i="6" s="1"/>
  <c r="AA117" i="6" s="1"/>
  <c r="B117" i="6" s="1"/>
  <c r="P545" i="44"/>
  <c r="P27" i="44"/>
  <c r="V27" i="44"/>
  <c r="Z398" i="6"/>
  <c r="AD398" i="6" s="1"/>
  <c r="AA398" i="6" s="1"/>
  <c r="B398" i="6" s="1"/>
  <c r="P422" i="44"/>
  <c r="V422" i="44"/>
  <c r="K422" i="44"/>
  <c r="J422" i="44"/>
  <c r="P448" i="44"/>
  <c r="P488" i="44"/>
  <c r="J191" i="44"/>
  <c r="K191" i="44"/>
  <c r="J172" i="44"/>
  <c r="K172" i="44"/>
  <c r="P346" i="44"/>
  <c r="P180" i="44"/>
  <c r="Z502" i="6"/>
  <c r="AE502" i="6" s="1"/>
  <c r="AB502" i="6" s="1"/>
  <c r="C502" i="6" s="1"/>
  <c r="V8" i="44"/>
  <c r="J239" i="44"/>
  <c r="K239" i="44"/>
  <c r="V544" i="44"/>
  <c r="P544" i="44"/>
  <c r="P115" i="44"/>
  <c r="V115" i="44"/>
  <c r="V566" i="44"/>
  <c r="Z109" i="6"/>
  <c r="AD109" i="6" s="1"/>
  <c r="AA109" i="6" s="1"/>
  <c r="B109" i="6" s="1"/>
  <c r="V81" i="44"/>
  <c r="K524" i="44"/>
  <c r="J106" i="44"/>
  <c r="K106" i="44"/>
  <c r="AE9" i="6"/>
  <c r="AB9" i="6" s="1"/>
  <c r="C9" i="6" s="1"/>
  <c r="AE494" i="6"/>
  <c r="AB494" i="6" s="1"/>
  <c r="C494" i="6" s="1"/>
  <c r="Z369" i="6"/>
  <c r="AE369" i="6" s="1"/>
  <c r="AB369" i="6" s="1"/>
  <c r="C369" i="6" s="1"/>
  <c r="AD437" i="6"/>
  <c r="AA437" i="6" s="1"/>
  <c r="B437" i="6" s="1"/>
  <c r="Z215" i="6"/>
  <c r="AE215" i="6" s="1"/>
  <c r="AB215" i="6" s="1"/>
  <c r="C215" i="6" s="1"/>
  <c r="AE239" i="6"/>
  <c r="AB239" i="6" s="1"/>
  <c r="C239" i="6" s="1"/>
  <c r="AE493" i="6"/>
  <c r="AB493" i="6" s="1"/>
  <c r="C493" i="6" s="1"/>
  <c r="AE366" i="6"/>
  <c r="AB366" i="6" s="1"/>
  <c r="C366" i="6" s="1"/>
  <c r="P532" i="44"/>
  <c r="AD150" i="6"/>
  <c r="AA150" i="6" s="1"/>
  <c r="B150" i="6" s="1"/>
  <c r="AD141" i="6"/>
  <c r="AA141" i="6" s="1"/>
  <c r="B141" i="6" s="1"/>
  <c r="J227" i="44"/>
  <c r="K227" i="44"/>
  <c r="P26" i="44"/>
  <c r="AE406" i="6"/>
  <c r="AB406" i="6" s="1"/>
  <c r="C406" i="6" s="1"/>
  <c r="Z401" i="6"/>
  <c r="AE401" i="6" s="1"/>
  <c r="AB401" i="6" s="1"/>
  <c r="C401" i="6" s="1"/>
  <c r="J16" i="44"/>
  <c r="K16" i="44"/>
  <c r="AE16" i="6"/>
  <c r="AB16" i="6" s="1"/>
  <c r="C16" i="6" s="1"/>
  <c r="Z311" i="6"/>
  <c r="AE311" i="6" s="1"/>
  <c r="AB311" i="6" s="1"/>
  <c r="C311" i="6" s="1"/>
  <c r="AD501" i="6"/>
  <c r="AA501" i="6" s="1"/>
  <c r="B501" i="6" s="1"/>
  <c r="K336" i="44"/>
  <c r="V107" i="44"/>
  <c r="AE55" i="6"/>
  <c r="AB55" i="6" s="1"/>
  <c r="C55" i="6" s="1"/>
  <c r="AD200" i="6"/>
  <c r="AA200" i="6" s="1"/>
  <c r="B200" i="6" s="1"/>
  <c r="AD21" i="6"/>
  <c r="AA21" i="6" s="1"/>
  <c r="B21" i="6" s="1"/>
  <c r="P116" i="44"/>
  <c r="P558" i="44"/>
  <c r="P565" i="44"/>
  <c r="V565" i="44"/>
  <c r="AE54" i="6"/>
  <c r="AB54" i="6" s="1"/>
  <c r="C54" i="6" s="1"/>
  <c r="AD143" i="6"/>
  <c r="AA143" i="6" s="1"/>
  <c r="B143" i="6" s="1"/>
  <c r="AE237" i="6"/>
  <c r="AB237" i="6" s="1"/>
  <c r="C237" i="6" s="1"/>
  <c r="Z242" i="6"/>
  <c r="AD242" i="6" s="1"/>
  <c r="AA242" i="6" s="1"/>
  <c r="B242" i="6" s="1"/>
  <c r="V170" i="44"/>
  <c r="P171" i="44"/>
  <c r="AE368" i="6"/>
  <c r="AB368" i="6" s="1"/>
  <c r="C368" i="6" s="1"/>
  <c r="AE145" i="6"/>
  <c r="AB145" i="6" s="1"/>
  <c r="C145" i="6" s="1"/>
  <c r="AD277" i="6"/>
  <c r="AA277" i="6" s="1"/>
  <c r="B277" i="6" s="1"/>
  <c r="Q138" i="44"/>
  <c r="W138" i="44"/>
  <c r="Z245" i="6"/>
  <c r="AD245" i="6" s="1"/>
  <c r="AA245" i="6" s="1"/>
  <c r="B245" i="6" s="1"/>
  <c r="AE342" i="6"/>
  <c r="AB342" i="6" s="1"/>
  <c r="C342" i="6" s="1"/>
  <c r="P412" i="44"/>
  <c r="V412" i="44"/>
  <c r="Z438" i="6"/>
  <c r="AD438" i="6" s="1"/>
  <c r="AA438" i="6" s="1"/>
  <c r="B438" i="6" s="1"/>
  <c r="AD307" i="6"/>
  <c r="AA307" i="6" s="1"/>
  <c r="B307" i="6" s="1"/>
  <c r="P547" i="44"/>
  <c r="J117" i="44"/>
  <c r="Q117" i="44" s="1"/>
  <c r="K117" i="44"/>
  <c r="Z174" i="6"/>
  <c r="AD174" i="6" s="1"/>
  <c r="AA174" i="6" s="1"/>
  <c r="B174" i="6" s="1"/>
  <c r="AE301" i="6"/>
  <c r="AB301" i="6" s="1"/>
  <c r="C301" i="6" s="1"/>
  <c r="AE43" i="6"/>
  <c r="AB43" i="6" s="1"/>
  <c r="C43" i="6" s="1"/>
  <c r="V161" i="44"/>
  <c r="J358" i="44"/>
  <c r="Q358" i="44" s="1"/>
  <c r="K358" i="44"/>
  <c r="AE78" i="6"/>
  <c r="AB78" i="6" s="1"/>
  <c r="C78" i="6" s="1"/>
  <c r="AD367" i="6"/>
  <c r="AA367" i="6" s="1"/>
  <c r="B367" i="6" s="1"/>
  <c r="V106" i="44"/>
  <c r="AE375" i="6"/>
  <c r="AB375" i="6" s="1"/>
  <c r="C375" i="6" s="1"/>
  <c r="V251" i="50"/>
  <c r="T251" i="50"/>
  <c r="T250" i="49"/>
  <c r="E225" i="40"/>
  <c r="E227" i="48"/>
  <c r="E228" i="50"/>
  <c r="E230" i="48"/>
  <c r="E195" i="40"/>
  <c r="E219" i="49"/>
  <c r="E215" i="40"/>
  <c r="E217" i="50"/>
  <c r="E227" i="40"/>
  <c r="E217" i="48"/>
  <c r="E218" i="48"/>
  <c r="E197" i="50"/>
  <c r="W131" i="49"/>
  <c r="V131" i="49"/>
  <c r="T131" i="49"/>
  <c r="E192" i="50"/>
  <c r="E214" i="48"/>
  <c r="E214" i="50"/>
  <c r="E191" i="49"/>
  <c r="E228" i="49"/>
  <c r="E263" i="49"/>
  <c r="E192" i="40"/>
  <c r="E216" i="49"/>
  <c r="E195" i="50"/>
  <c r="E260" i="50"/>
  <c r="E224" i="48"/>
  <c r="E273" i="40"/>
  <c r="E208" i="48"/>
  <c r="E202" i="40"/>
  <c r="E219" i="48"/>
  <c r="E193" i="48"/>
  <c r="T183" i="40"/>
  <c r="E261" i="50"/>
  <c r="E202" i="50"/>
  <c r="T129" i="49"/>
  <c r="V129" i="49"/>
  <c r="W129" i="49"/>
  <c r="T174" i="40"/>
  <c r="E205" i="49"/>
  <c r="E220" i="40"/>
  <c r="E198" i="48"/>
  <c r="E250" i="48"/>
  <c r="E275" i="48"/>
  <c r="V132" i="50"/>
  <c r="T132" i="50"/>
  <c r="W132" i="50"/>
  <c r="E257" i="49"/>
  <c r="E203" i="50"/>
  <c r="E193" i="40"/>
  <c r="T175" i="40"/>
  <c r="E253" i="40"/>
  <c r="E260" i="49"/>
  <c r="E227" i="50"/>
  <c r="E214" i="49"/>
  <c r="E270" i="40"/>
  <c r="E217" i="40"/>
  <c r="E198" i="49"/>
  <c r="E208" i="40"/>
  <c r="E215" i="48"/>
  <c r="E270" i="48"/>
  <c r="E231" i="49"/>
  <c r="E193" i="50"/>
  <c r="E195" i="49"/>
  <c r="E205" i="48"/>
  <c r="T187" i="40"/>
  <c r="E249" i="40"/>
  <c r="E226" i="50"/>
  <c r="E225" i="50"/>
  <c r="E225" i="48"/>
  <c r="E231" i="40"/>
  <c r="E249" i="48"/>
  <c r="E235" i="49"/>
  <c r="E208" i="50"/>
  <c r="E205" i="40"/>
  <c r="E238" i="40"/>
  <c r="E196" i="48"/>
  <c r="E229" i="40"/>
  <c r="E236" i="49"/>
  <c r="E240" i="49"/>
  <c r="T187" i="48"/>
  <c r="E204" i="49"/>
  <c r="E206" i="48"/>
  <c r="T174" i="48"/>
  <c r="E207" i="40"/>
  <c r="E220" i="50"/>
  <c r="E206" i="40"/>
  <c r="E263" i="50"/>
  <c r="E242" i="48"/>
  <c r="E236" i="50"/>
  <c r="T175" i="48"/>
  <c r="E235" i="48"/>
  <c r="E208" i="49"/>
  <c r="E206" i="50"/>
  <c r="E252" i="40"/>
  <c r="E202" i="49"/>
  <c r="E203" i="49"/>
  <c r="E253" i="48"/>
  <c r="E242" i="49"/>
  <c r="E231" i="50"/>
  <c r="E213" i="50"/>
  <c r="E229" i="49"/>
  <c r="T184" i="40"/>
  <c r="E224" i="49"/>
  <c r="E226" i="40"/>
  <c r="E247" i="48"/>
  <c r="E216" i="40"/>
  <c r="E269" i="48"/>
  <c r="E236" i="40"/>
  <c r="T186" i="40"/>
  <c r="E192" i="48"/>
  <c r="E228" i="48"/>
  <c r="EC43" i="1"/>
  <c r="EC50" i="1"/>
  <c r="EC44" i="1"/>
  <c r="E194" i="50"/>
  <c r="E214" i="40"/>
  <c r="E274" i="40"/>
  <c r="E196" i="49"/>
  <c r="E241" i="40"/>
  <c r="E257" i="50"/>
  <c r="E239" i="48"/>
  <c r="E213" i="48"/>
  <c r="E237" i="48"/>
  <c r="E273" i="48"/>
  <c r="E251" i="40"/>
  <c r="E220" i="48"/>
  <c r="E204" i="48"/>
  <c r="E203" i="40"/>
  <c r="E227" i="49"/>
  <c r="E272" i="48"/>
  <c r="V131" i="50"/>
  <c r="T131" i="50"/>
  <c r="W131" i="50"/>
  <c r="E216" i="48"/>
  <c r="E239" i="40"/>
  <c r="E194" i="48"/>
  <c r="E237" i="40"/>
  <c r="E271" i="48"/>
  <c r="E230" i="49"/>
  <c r="E262" i="49"/>
  <c r="E268" i="48"/>
  <c r="E224" i="40"/>
  <c r="E259" i="50"/>
  <c r="E229" i="50"/>
  <c r="T129" i="50"/>
  <c r="V129" i="50"/>
  <c r="W129" i="50"/>
  <c r="E241" i="48"/>
  <c r="E206" i="49"/>
  <c r="E192" i="49"/>
  <c r="E207" i="50"/>
  <c r="E239" i="49"/>
  <c r="E264" i="49"/>
  <c r="T176" i="48"/>
  <c r="E230" i="40"/>
  <c r="E242" i="50"/>
  <c r="W130" i="49"/>
  <c r="V130" i="49"/>
  <c r="T130" i="49"/>
  <c r="E240" i="48"/>
  <c r="E196" i="40"/>
  <c r="E240" i="40"/>
  <c r="E213" i="40"/>
  <c r="E194" i="49"/>
  <c r="E215" i="49"/>
  <c r="E193" i="49"/>
  <c r="E231" i="48"/>
  <c r="E246" i="48"/>
  <c r="E197" i="40"/>
  <c r="E195" i="48"/>
  <c r="T173" i="40"/>
  <c r="E271" i="40"/>
  <c r="T186" i="48"/>
  <c r="E262" i="50"/>
  <c r="E238" i="50"/>
  <c r="E248" i="48"/>
  <c r="E258" i="50"/>
  <c r="E238" i="48"/>
  <c r="E259" i="49"/>
  <c r="T184" i="48"/>
  <c r="E209" i="50"/>
  <c r="E247" i="40"/>
  <c r="E226" i="48"/>
  <c r="E194" i="40"/>
  <c r="E224" i="50"/>
  <c r="E218" i="50"/>
  <c r="E252" i="48"/>
  <c r="E202" i="48"/>
  <c r="E218" i="49"/>
  <c r="E203" i="48"/>
  <c r="E240" i="50"/>
  <c r="E229" i="48"/>
  <c r="E219" i="40"/>
  <c r="E251" i="48"/>
  <c r="E237" i="50"/>
  <c r="E274" i="48"/>
  <c r="E258" i="49"/>
  <c r="E207" i="49"/>
  <c r="E230" i="50"/>
  <c r="E241" i="49"/>
  <c r="E235" i="50"/>
  <c r="E246" i="40"/>
  <c r="E272" i="40"/>
  <c r="E217" i="49"/>
  <c r="E220" i="49"/>
  <c r="E228" i="40"/>
  <c r="E250" i="40"/>
  <c r="E242" i="40"/>
  <c r="E261" i="49"/>
  <c r="E241" i="50"/>
  <c r="E236" i="48"/>
  <c r="E198" i="50"/>
  <c r="E209" i="48"/>
  <c r="E248" i="40"/>
  <c r="T185" i="48"/>
  <c r="E239" i="50"/>
  <c r="E205" i="50"/>
  <c r="T183" i="48"/>
  <c r="E275" i="40"/>
  <c r="E196" i="50"/>
  <c r="E219" i="50"/>
  <c r="E191" i="50"/>
  <c r="E215" i="50"/>
  <c r="W132" i="49"/>
  <c r="T132" i="49"/>
  <c r="V132" i="49"/>
  <c r="E204" i="50"/>
  <c r="T185" i="40"/>
  <c r="E209" i="49"/>
  <c r="E213" i="49"/>
  <c r="E197" i="49"/>
  <c r="E204" i="40"/>
  <c r="E218" i="40"/>
  <c r="E207" i="48"/>
  <c r="E216" i="50"/>
  <c r="E225" i="49"/>
  <c r="E238" i="49"/>
  <c r="E237" i="49"/>
  <c r="E209" i="40"/>
  <c r="E264" i="50"/>
  <c r="E197" i="48"/>
  <c r="E198" i="40"/>
  <c r="V130" i="50"/>
  <c r="T130" i="50"/>
  <c r="W130" i="50"/>
  <c r="Q196" i="44"/>
  <c r="W196" i="44"/>
  <c r="Z229" i="44"/>
  <c r="T229" i="44"/>
  <c r="Q20" i="44"/>
  <c r="W20" i="44"/>
  <c r="Q515" i="44"/>
  <c r="W515" i="44"/>
  <c r="Q361" i="44"/>
  <c r="W361" i="44"/>
  <c r="T339" i="44"/>
  <c r="Z339" i="44"/>
  <c r="Q493" i="44"/>
  <c r="W493" i="44"/>
  <c r="Z493" i="44"/>
  <c r="T493" i="44"/>
  <c r="Q416" i="44"/>
  <c r="W416" i="44"/>
  <c r="T527" i="44"/>
  <c r="Z527" i="44"/>
  <c r="F17" i="5"/>
  <c r="Q473" i="44"/>
  <c r="W473" i="44"/>
  <c r="Q209" i="44"/>
  <c r="W209" i="44"/>
  <c r="Q55" i="44"/>
  <c r="W55" i="44"/>
  <c r="Z274" i="44"/>
  <c r="T274" i="44"/>
  <c r="Q44" i="44"/>
  <c r="W44" i="44"/>
  <c r="T121" i="44"/>
  <c r="Z121" i="44"/>
  <c r="Z109" i="44"/>
  <c r="T109" i="44"/>
  <c r="F119" i="14"/>
  <c r="G119" i="14"/>
  <c r="T539" i="44"/>
  <c r="Z539" i="44"/>
  <c r="F86" i="14"/>
  <c r="G86" i="14"/>
  <c r="Q231" i="44"/>
  <c r="W231" i="44"/>
  <c r="Z494" i="44"/>
  <c r="T494" i="44"/>
  <c r="Q351" i="44"/>
  <c r="W351" i="44"/>
  <c r="Q385" i="44"/>
  <c r="W385" i="44"/>
  <c r="Q341" i="44"/>
  <c r="W341" i="44"/>
  <c r="Q99" i="44"/>
  <c r="W99" i="44"/>
  <c r="Z253" i="44"/>
  <c r="T253" i="44"/>
  <c r="Z263" i="44"/>
  <c r="T263" i="44"/>
  <c r="Q153" i="44"/>
  <c r="W153" i="44"/>
  <c r="AG40" i="6"/>
  <c r="G40" i="6"/>
  <c r="F40" i="6"/>
  <c r="Z418" i="44"/>
  <c r="T418" i="44"/>
  <c r="Q624" i="44"/>
  <c r="W624" i="44"/>
  <c r="Z417" i="44"/>
  <c r="T417" i="44"/>
  <c r="Q10" i="44"/>
  <c r="W10" i="44"/>
  <c r="AG12" i="6"/>
  <c r="G12" i="6"/>
  <c r="F12" i="6"/>
  <c r="E15" i="9"/>
  <c r="D15" i="9"/>
  <c r="Z363" i="44"/>
  <c r="T363" i="44"/>
  <c r="Q219" i="44"/>
  <c r="W219" i="44"/>
  <c r="T219" i="44"/>
  <c r="Z219" i="44"/>
  <c r="S578" i="44"/>
  <c r="Y578" i="44"/>
  <c r="AG434" i="6"/>
  <c r="G434" i="6"/>
  <c r="F434" i="6"/>
  <c r="AG211" i="6"/>
  <c r="G211" i="6"/>
  <c r="F211" i="6"/>
  <c r="S14" i="9"/>
  <c r="R14" i="9"/>
  <c r="F183" i="14"/>
  <c r="G183" i="14"/>
  <c r="V33" i="15"/>
  <c r="U33" i="15"/>
  <c r="G107" i="14"/>
  <c r="F107" i="14"/>
  <c r="N33" i="15"/>
  <c r="M33" i="15"/>
  <c r="F87" i="14"/>
  <c r="G87" i="14"/>
  <c r="Q396" i="44"/>
  <c r="W396" i="44"/>
  <c r="AG170" i="6"/>
  <c r="G170" i="6"/>
  <c r="F170" i="6"/>
  <c r="L73" i="9"/>
  <c r="K73" i="9"/>
  <c r="R92" i="9"/>
  <c r="S92" i="9"/>
  <c r="AG146" i="6"/>
  <c r="G146" i="6"/>
  <c r="F146" i="6"/>
  <c r="G139" i="14"/>
  <c r="F139" i="14"/>
  <c r="AG265" i="6"/>
  <c r="G265" i="6"/>
  <c r="F265" i="6"/>
  <c r="V14" i="15"/>
  <c r="U14" i="15"/>
  <c r="R90" i="9"/>
  <c r="S90" i="9"/>
  <c r="AG105" i="6"/>
  <c r="G105" i="6"/>
  <c r="F105" i="6"/>
  <c r="AG338" i="6"/>
  <c r="G338" i="6"/>
  <c r="F338" i="6"/>
  <c r="G42" i="14"/>
  <c r="F42" i="14"/>
  <c r="G136" i="14"/>
  <c r="F136" i="14"/>
  <c r="N35" i="15"/>
  <c r="M35" i="15"/>
  <c r="AG460" i="6"/>
  <c r="G460" i="6"/>
  <c r="F460" i="6"/>
  <c r="AG424" i="6"/>
  <c r="G424" i="6"/>
  <c r="F424" i="6"/>
  <c r="AG43" i="6"/>
  <c r="G43" i="6"/>
  <c r="F43" i="6"/>
  <c r="U120" i="44"/>
  <c r="AA120" i="44"/>
  <c r="N31" i="15"/>
  <c r="M31" i="15"/>
  <c r="G10" i="14"/>
  <c r="F10" i="14"/>
  <c r="AG232" i="6"/>
  <c r="G232" i="6"/>
  <c r="F232" i="6"/>
  <c r="Q241" i="44"/>
  <c r="W241" i="44"/>
  <c r="Q187" i="44"/>
  <c r="W187" i="44"/>
  <c r="T252" i="44"/>
  <c r="Z252" i="44"/>
  <c r="Q31" i="44"/>
  <c r="W31" i="44"/>
  <c r="Q141" i="44"/>
  <c r="W141" i="44"/>
  <c r="W119" i="44"/>
  <c r="Q119" i="44"/>
  <c r="Q504" i="44"/>
  <c r="W504" i="44"/>
  <c r="Q372" i="44"/>
  <c r="W372" i="44"/>
  <c r="Q570" i="44"/>
  <c r="W570" i="44"/>
  <c r="Q77" i="44"/>
  <c r="W77" i="44"/>
  <c r="G179" i="14"/>
  <c r="F179" i="14"/>
  <c r="Z561" i="44"/>
  <c r="T561" i="44"/>
  <c r="Q560" i="44"/>
  <c r="W560" i="44"/>
  <c r="T373" i="44"/>
  <c r="Z373" i="44"/>
  <c r="F324" i="6"/>
  <c r="Z20" i="4"/>
  <c r="G116" i="14"/>
  <c r="F116" i="14"/>
  <c r="Q308" i="44"/>
  <c r="W308" i="44"/>
  <c r="Q549" i="44"/>
  <c r="W549" i="44"/>
  <c r="Z549" i="44"/>
  <c r="T549" i="44"/>
  <c r="Q21" i="44"/>
  <c r="W21" i="44"/>
  <c r="Q275" i="44"/>
  <c r="W275" i="44"/>
  <c r="G112" i="14"/>
  <c r="F112" i="14"/>
  <c r="AA538" i="44"/>
  <c r="U538" i="44"/>
  <c r="U296" i="44"/>
  <c r="AA296" i="44"/>
  <c r="T296" i="44"/>
  <c r="Z296" i="44"/>
  <c r="Z395" i="44"/>
  <c r="T395" i="44"/>
  <c r="G176" i="14"/>
  <c r="F176" i="14"/>
  <c r="G81" i="14"/>
  <c r="F81" i="14"/>
  <c r="T175" i="44"/>
  <c r="Z175" i="44"/>
  <c r="T264" i="44"/>
  <c r="Z264" i="44"/>
  <c r="T131" i="44"/>
  <c r="Z131" i="44"/>
  <c r="L50" i="9"/>
  <c r="K50" i="9"/>
  <c r="G76" i="14"/>
  <c r="F76" i="14"/>
  <c r="F11" i="34"/>
  <c r="G11" i="34"/>
  <c r="H20" i="5"/>
  <c r="Y602" i="44"/>
  <c r="S602" i="44"/>
  <c r="Q602" i="44"/>
  <c r="W602" i="44"/>
  <c r="T319" i="44"/>
  <c r="Z319" i="44"/>
  <c r="AG489" i="6"/>
  <c r="G489" i="6"/>
  <c r="F489" i="6"/>
  <c r="AG114" i="6"/>
  <c r="G114" i="6"/>
  <c r="F114" i="6"/>
  <c r="Q634" i="44"/>
  <c r="W634" i="44"/>
  <c r="P634" i="44"/>
  <c r="D634" i="44"/>
  <c r="V634" i="44"/>
  <c r="T451" i="44"/>
  <c r="Z451" i="44"/>
  <c r="L89" i="9"/>
  <c r="K89" i="9"/>
  <c r="S600" i="44"/>
  <c r="Z297" i="44"/>
  <c r="T297" i="44"/>
  <c r="BT113" i="14"/>
  <c r="E113" i="14"/>
  <c r="G105" i="14"/>
  <c r="F105" i="14"/>
  <c r="AG83" i="6"/>
  <c r="G83" i="6"/>
  <c r="F83" i="6"/>
  <c r="Q439" i="44"/>
  <c r="W439" i="44"/>
  <c r="F13" i="15"/>
  <c r="E13" i="15"/>
  <c r="L33" i="9"/>
  <c r="K33" i="9"/>
  <c r="S598" i="44"/>
  <c r="X598" i="44"/>
  <c r="R598" i="44"/>
  <c r="AG457" i="6"/>
  <c r="G457" i="6"/>
  <c r="F457" i="6"/>
  <c r="F182" i="14"/>
  <c r="G182" i="14"/>
  <c r="G174" i="14"/>
  <c r="G341" i="6"/>
  <c r="AG81" i="6"/>
  <c r="G81" i="6"/>
  <c r="F81" i="6"/>
  <c r="E109" i="9"/>
  <c r="D109" i="9"/>
  <c r="AG10" i="6"/>
  <c r="G10" i="6"/>
  <c r="F10" i="6"/>
  <c r="T528" i="44"/>
  <c r="Z528" i="44"/>
  <c r="AG394" i="6"/>
  <c r="G394" i="6"/>
  <c r="F394" i="6"/>
  <c r="L90" i="9"/>
  <c r="K90" i="9"/>
  <c r="AG148" i="6"/>
  <c r="G148" i="6"/>
  <c r="F148" i="6"/>
  <c r="G11" i="14"/>
  <c r="F11" i="14"/>
  <c r="Q352" i="44"/>
  <c r="W352" i="44"/>
  <c r="G9" i="14"/>
  <c r="F9" i="14"/>
  <c r="G77" i="6"/>
  <c r="G246" i="6"/>
  <c r="S609" i="44"/>
  <c r="Y609" i="44"/>
  <c r="X609" i="44"/>
  <c r="R609" i="44"/>
  <c r="BT16" i="14"/>
  <c r="E16" i="14"/>
  <c r="A202" i="12"/>
  <c r="A191" i="12"/>
  <c r="A213" i="12"/>
  <c r="G8" i="14"/>
  <c r="F8" i="14"/>
  <c r="AG488" i="6"/>
  <c r="G488" i="6"/>
  <c r="F488" i="6"/>
  <c r="AG396" i="6"/>
  <c r="G396" i="6"/>
  <c r="F396" i="6"/>
  <c r="P587" i="44"/>
  <c r="V587" i="44"/>
  <c r="W587" i="44"/>
  <c r="F12" i="15"/>
  <c r="E12" i="15"/>
  <c r="D632" i="44"/>
  <c r="V632" i="44"/>
  <c r="P632" i="44"/>
  <c r="AG19" i="6"/>
  <c r="G19" i="6"/>
  <c r="F19" i="6"/>
  <c r="Z176" i="44"/>
  <c r="T176" i="44"/>
  <c r="Q164" i="44"/>
  <c r="W164" i="44"/>
  <c r="W218" i="44"/>
  <c r="Q218" i="44"/>
  <c r="W229" i="44"/>
  <c r="Q229" i="44"/>
  <c r="T240" i="44"/>
  <c r="Z240" i="44"/>
  <c r="T405" i="44"/>
  <c r="Z405" i="44"/>
  <c r="T361" i="44"/>
  <c r="Z361" i="44"/>
  <c r="Z449" i="44"/>
  <c r="T449" i="44"/>
  <c r="A70" i="12"/>
  <c r="A81" i="12"/>
  <c r="A103" i="12"/>
  <c r="A125" i="12"/>
  <c r="T87" i="44"/>
  <c r="Z87" i="44"/>
  <c r="Z473" i="44"/>
  <c r="T473" i="44"/>
  <c r="T209" i="44"/>
  <c r="Z209" i="44"/>
  <c r="Q472" i="44"/>
  <c r="W472" i="44"/>
  <c r="Q274" i="44"/>
  <c r="W274" i="44"/>
  <c r="Q407" i="44"/>
  <c r="W407" i="44"/>
  <c r="Q121" i="44"/>
  <c r="W121" i="44"/>
  <c r="Q109" i="44"/>
  <c r="W109" i="44"/>
  <c r="T572" i="44"/>
  <c r="Z572" i="44"/>
  <c r="U461" i="44"/>
  <c r="AA461" i="44"/>
  <c r="Q539" i="44"/>
  <c r="W539" i="44"/>
  <c r="G302" i="6"/>
  <c r="F23" i="14"/>
  <c r="G23" i="14"/>
  <c r="U230" i="44"/>
  <c r="AA230" i="44"/>
  <c r="G20" i="14"/>
  <c r="F20" i="14"/>
  <c r="U494" i="44"/>
  <c r="AA494" i="44"/>
  <c r="F53" i="14"/>
  <c r="G53" i="14"/>
  <c r="G49" i="14"/>
  <c r="F49" i="14"/>
  <c r="Z351" i="44"/>
  <c r="T351" i="44"/>
  <c r="G366" i="6"/>
  <c r="G431" i="6"/>
  <c r="G117" i="6"/>
  <c r="G437" i="6"/>
  <c r="T341" i="44"/>
  <c r="Z341" i="44"/>
  <c r="G205" i="6"/>
  <c r="G214" i="6"/>
  <c r="T154" i="44"/>
  <c r="Z154" i="44"/>
  <c r="T153" i="44"/>
  <c r="Z153" i="44"/>
  <c r="Q571" i="44"/>
  <c r="W571" i="44"/>
  <c r="Z571" i="44"/>
  <c r="T571" i="44"/>
  <c r="Q384" i="44"/>
  <c r="W384" i="44"/>
  <c r="Q43" i="44"/>
  <c r="W43" i="44"/>
  <c r="G79" i="6"/>
  <c r="Q66" i="44"/>
  <c r="W66" i="44"/>
  <c r="X580" i="44"/>
  <c r="R580" i="44"/>
  <c r="Q318" i="44"/>
  <c r="W318" i="44"/>
  <c r="R109" i="9"/>
  <c r="S109" i="9"/>
  <c r="P612" i="44"/>
  <c r="V612" i="44"/>
  <c r="G170" i="14"/>
  <c r="F170" i="14"/>
  <c r="Q622" i="44"/>
  <c r="V622" i="44"/>
  <c r="D622" i="44"/>
  <c r="P622" i="44"/>
  <c r="Q406" i="44"/>
  <c r="W406" i="44"/>
  <c r="Q33" i="44"/>
  <c r="W33" i="44"/>
  <c r="T285" i="44"/>
  <c r="Z285" i="44"/>
  <c r="X599" i="44"/>
  <c r="R599" i="44"/>
  <c r="Y599" i="44"/>
  <c r="S599" i="44"/>
  <c r="S53" i="9"/>
  <c r="R53" i="9"/>
  <c r="F149" i="14"/>
  <c r="G149" i="14"/>
  <c r="T429" i="44"/>
  <c r="Z429" i="44"/>
  <c r="AG275" i="6"/>
  <c r="G275" i="6"/>
  <c r="F275" i="6"/>
  <c r="G79" i="14"/>
  <c r="Z396" i="44"/>
  <c r="T396" i="44"/>
  <c r="E33" i="9"/>
  <c r="D33" i="9"/>
  <c r="AG72" i="6"/>
  <c r="G72" i="6"/>
  <c r="F72" i="6"/>
  <c r="G119" i="6"/>
  <c r="L15" i="9"/>
  <c r="K15" i="9"/>
  <c r="G398" i="6"/>
  <c r="Q32" i="44"/>
  <c r="W32" i="44"/>
  <c r="E145" i="14"/>
  <c r="BT145" i="14"/>
  <c r="AG244" i="6"/>
  <c r="G244" i="6"/>
  <c r="F244" i="6"/>
  <c r="G493" i="6"/>
  <c r="G438" i="6"/>
  <c r="T484" i="44"/>
  <c r="Z484" i="44"/>
  <c r="AG299" i="6"/>
  <c r="G299" i="6"/>
  <c r="F299" i="6"/>
  <c r="E12" i="9"/>
  <c r="D12" i="9"/>
  <c r="AG336" i="6"/>
  <c r="G336" i="6"/>
  <c r="F336" i="6"/>
  <c r="S69" i="9"/>
  <c r="R69" i="9"/>
  <c r="L72" i="9"/>
  <c r="K72" i="9"/>
  <c r="G269" i="6"/>
  <c r="AG84" i="6"/>
  <c r="G84" i="6"/>
  <c r="F84" i="6"/>
  <c r="G270" i="6"/>
  <c r="T187" i="44"/>
  <c r="Z187" i="44"/>
  <c r="W252" i="44"/>
  <c r="Q252" i="44"/>
  <c r="W130" i="44"/>
  <c r="Q130" i="44"/>
  <c r="Q548" i="44"/>
  <c r="W548" i="44"/>
  <c r="Q482" i="44"/>
  <c r="W482" i="44"/>
  <c r="Q438" i="44"/>
  <c r="W438" i="44"/>
  <c r="T570" i="44"/>
  <c r="Z570" i="44"/>
  <c r="Q427" i="44"/>
  <c r="W427" i="44"/>
  <c r="Q394" i="44"/>
  <c r="W394" i="44"/>
  <c r="Z428" i="44"/>
  <c r="T428" i="44"/>
  <c r="Q561" i="44"/>
  <c r="W561" i="44"/>
  <c r="T560" i="44"/>
  <c r="Z560" i="44"/>
  <c r="F10" i="34"/>
  <c r="G10" i="34"/>
  <c r="H19" i="5"/>
  <c r="Z506" i="44"/>
  <c r="T506" i="44"/>
  <c r="Z308" i="44"/>
  <c r="T308" i="44"/>
  <c r="T362" i="44"/>
  <c r="Z362" i="44"/>
  <c r="Z286" i="44"/>
  <c r="T286" i="44"/>
  <c r="G15" i="6"/>
  <c r="G175" i="6"/>
  <c r="T275" i="44"/>
  <c r="Z275" i="44"/>
  <c r="G301" i="6"/>
  <c r="G207" i="6"/>
  <c r="T538" i="44"/>
  <c r="Z538" i="44"/>
  <c r="F21" i="14"/>
  <c r="G21" i="14"/>
  <c r="F48" i="14"/>
  <c r="G80" i="14"/>
  <c r="F80" i="14"/>
  <c r="F181" i="14"/>
  <c r="G181" i="14"/>
  <c r="G46" i="6"/>
  <c r="F54" i="14"/>
  <c r="G54" i="14"/>
  <c r="G407" i="6"/>
  <c r="G14" i="14"/>
  <c r="G239" i="6"/>
  <c r="Q483" i="44"/>
  <c r="W483" i="44"/>
  <c r="Q131" i="44"/>
  <c r="W131" i="44"/>
  <c r="G303" i="6"/>
  <c r="Z517" i="44"/>
  <c r="T517" i="44"/>
  <c r="Q516" i="44"/>
  <c r="W516" i="44"/>
  <c r="S590" i="44"/>
  <c r="Y590" i="44"/>
  <c r="Q590" i="44"/>
  <c r="W590" i="44"/>
  <c r="L108" i="9"/>
  <c r="K108" i="9"/>
  <c r="Q297" i="44"/>
  <c r="W297" i="44"/>
  <c r="AG340" i="6"/>
  <c r="G340" i="6"/>
  <c r="F340" i="6"/>
  <c r="Z439" i="44"/>
  <c r="T439" i="44"/>
  <c r="AG339" i="6"/>
  <c r="G339" i="6"/>
  <c r="F339" i="6"/>
  <c r="AG17" i="6"/>
  <c r="G17" i="6"/>
  <c r="F17" i="6"/>
  <c r="G118" i="6"/>
  <c r="AG200" i="6"/>
  <c r="G200" i="6"/>
  <c r="F200" i="6"/>
  <c r="L88" i="9"/>
  <c r="K88" i="9"/>
  <c r="AG168" i="6"/>
  <c r="G168" i="6"/>
  <c r="F168" i="6"/>
  <c r="G471" i="6"/>
  <c r="G140" i="14"/>
  <c r="F140" i="14"/>
  <c r="N12" i="15"/>
  <c r="M12" i="15"/>
  <c r="Q528" i="44"/>
  <c r="W528" i="44"/>
  <c r="AG177" i="6"/>
  <c r="G177" i="6"/>
  <c r="F177" i="6"/>
  <c r="L52" i="9"/>
  <c r="K52" i="9"/>
  <c r="Z352" i="44"/>
  <c r="T352" i="44"/>
  <c r="L109" i="9"/>
  <c r="K109" i="9"/>
  <c r="G85" i="6"/>
  <c r="G238" i="6"/>
  <c r="E107" i="9"/>
  <c r="D107" i="9"/>
  <c r="AG456" i="6"/>
  <c r="G456" i="6"/>
  <c r="F456" i="6"/>
  <c r="D576" i="44"/>
  <c r="P576" i="44"/>
  <c r="V576" i="44"/>
  <c r="V35" i="15"/>
  <c r="U35" i="15"/>
  <c r="AG49" i="6"/>
  <c r="G49" i="6"/>
  <c r="F49" i="6"/>
  <c r="N13" i="15"/>
  <c r="M13" i="15"/>
  <c r="Q198" i="44"/>
  <c r="W198" i="44"/>
  <c r="Z165" i="44"/>
  <c r="T165" i="44"/>
  <c r="H13" i="5"/>
  <c r="F16" i="5"/>
  <c r="F14" i="5"/>
  <c r="Z163" i="44"/>
  <c r="T163" i="44"/>
  <c r="W152" i="44"/>
  <c r="Q152" i="44"/>
  <c r="W185" i="44"/>
  <c r="Q185" i="44"/>
  <c r="W240" i="44"/>
  <c r="Q240" i="44"/>
  <c r="Q405" i="44"/>
  <c r="W405" i="44"/>
  <c r="T515" i="44"/>
  <c r="Z515" i="44"/>
  <c r="W526" i="44"/>
  <c r="Z416" i="44"/>
  <c r="T416" i="44"/>
  <c r="A135" i="48"/>
  <c r="A135" i="47"/>
  <c r="A135" i="41"/>
  <c r="A135" i="40"/>
  <c r="A102" i="50"/>
  <c r="A102" i="43"/>
  <c r="A114" i="12"/>
  <c r="A158" i="12"/>
  <c r="Q527" i="44"/>
  <c r="W527" i="44"/>
  <c r="Q340" i="44"/>
  <c r="W340" i="44"/>
  <c r="Q87" i="44"/>
  <c r="W87" i="44"/>
  <c r="H18" i="5"/>
  <c r="H17" i="5"/>
  <c r="Y19" i="4"/>
  <c r="G48" i="14" s="1"/>
  <c r="L30" i="9"/>
  <c r="L87" i="9"/>
  <c r="V10" i="15"/>
  <c r="E105" i="9"/>
  <c r="E66" i="9"/>
  <c r="E29" i="9"/>
  <c r="S28" i="9"/>
  <c r="V28" i="15"/>
  <c r="L105" i="9"/>
  <c r="F30" i="15"/>
  <c r="E106" i="9"/>
  <c r="F29" i="15"/>
  <c r="N9" i="15"/>
  <c r="S29" i="9"/>
  <c r="L49" i="9"/>
  <c r="V29" i="15"/>
  <c r="N28" i="15"/>
  <c r="F28" i="15"/>
  <c r="L104" i="9"/>
  <c r="S66" i="9"/>
  <c r="E47" i="9"/>
  <c r="S85" i="9"/>
  <c r="L11" i="9"/>
  <c r="E462" i="44"/>
  <c r="S47" i="9"/>
  <c r="E28" i="9"/>
  <c r="F10" i="15"/>
  <c r="L47" i="9"/>
  <c r="E104" i="9"/>
  <c r="S9" i="9"/>
  <c r="S86" i="9"/>
  <c r="S49" i="9"/>
  <c r="S10" i="9"/>
  <c r="E461" i="44"/>
  <c r="V461" i="44" s="1"/>
  <c r="L28" i="9"/>
  <c r="S48" i="9"/>
  <c r="L106" i="9"/>
  <c r="L29" i="9"/>
  <c r="F9" i="15"/>
  <c r="S105" i="9"/>
  <c r="S104" i="9"/>
  <c r="N29" i="15"/>
  <c r="L10" i="9"/>
  <c r="V30" i="15"/>
  <c r="L85" i="9"/>
  <c r="L48" i="9"/>
  <c r="E10" i="9"/>
  <c r="L86" i="9"/>
  <c r="E85" i="9"/>
  <c r="L68" i="9"/>
  <c r="E460" i="44"/>
  <c r="V460" i="44" s="1"/>
  <c r="S68" i="9"/>
  <c r="E86" i="9"/>
  <c r="L66" i="9"/>
  <c r="N30" i="15"/>
  <c r="L67" i="9"/>
  <c r="E87" i="9"/>
  <c r="F11" i="15"/>
  <c r="N10" i="15"/>
  <c r="E30" i="9"/>
  <c r="S67" i="9"/>
  <c r="V11" i="15"/>
  <c r="E49" i="9"/>
  <c r="S106" i="9"/>
  <c r="E48" i="9"/>
  <c r="N11" i="15"/>
  <c r="E67" i="9"/>
  <c r="E9" i="9"/>
  <c r="E11" i="9"/>
  <c r="S30" i="9"/>
  <c r="V9" i="15"/>
  <c r="S87" i="9"/>
  <c r="E68" i="9"/>
  <c r="L9" i="9"/>
  <c r="S11" i="9"/>
  <c r="T472" i="44"/>
  <c r="Z472" i="44"/>
  <c r="T407" i="44"/>
  <c r="Z407" i="44"/>
  <c r="T450" i="44"/>
  <c r="Z450" i="44"/>
  <c r="G271" i="6"/>
  <c r="Q572" i="44"/>
  <c r="W572" i="44"/>
  <c r="G342" i="6"/>
  <c r="Z230" i="44"/>
  <c r="T230" i="44"/>
  <c r="G373" i="6"/>
  <c r="G469" i="6"/>
  <c r="G45" i="14"/>
  <c r="G245" i="6"/>
  <c r="G146" i="14"/>
  <c r="F146" i="14"/>
  <c r="Q11" i="44"/>
  <c r="W11" i="44"/>
  <c r="W242" i="44"/>
  <c r="Q242" i="44"/>
  <c r="W154" i="44"/>
  <c r="Q154" i="44"/>
  <c r="T384" i="44"/>
  <c r="Z384" i="44"/>
  <c r="F55" i="14"/>
  <c r="G55" i="14"/>
  <c r="AG48" i="6"/>
  <c r="G48" i="6"/>
  <c r="F48" i="6"/>
  <c r="T66" i="44"/>
  <c r="Z66" i="44"/>
  <c r="X624" i="44"/>
  <c r="R624" i="44"/>
  <c r="V624" i="44"/>
  <c r="P624" i="44"/>
  <c r="Z318" i="44"/>
  <c r="T318" i="44"/>
  <c r="AG20" i="6"/>
  <c r="G20" i="6"/>
  <c r="F20" i="6"/>
  <c r="T550" i="44"/>
  <c r="Z550" i="44"/>
  <c r="G343" i="6"/>
  <c r="R578" i="44"/>
  <c r="X578" i="44"/>
  <c r="T33" i="44"/>
  <c r="Z33" i="44"/>
  <c r="AG426" i="6"/>
  <c r="G426" i="6"/>
  <c r="F426" i="6"/>
  <c r="V15" i="15"/>
  <c r="U15" i="15"/>
  <c r="AG203" i="6"/>
  <c r="G203" i="6"/>
  <c r="F203" i="6"/>
  <c r="V32" i="15"/>
  <c r="U32" i="15"/>
  <c r="Q429" i="44"/>
  <c r="W429" i="44"/>
  <c r="BT115" i="14"/>
  <c r="E115" i="14"/>
  <c r="S34" i="9"/>
  <c r="R34" i="9"/>
  <c r="AG178" i="6"/>
  <c r="G178" i="6"/>
  <c r="F178" i="6"/>
  <c r="AG138" i="6"/>
  <c r="G138" i="6"/>
  <c r="F138" i="6"/>
  <c r="T110" i="44"/>
  <c r="Z110" i="44"/>
  <c r="BT147" i="14"/>
  <c r="E147" i="14"/>
  <c r="E89" i="9"/>
  <c r="D89" i="9"/>
  <c r="AG273" i="6"/>
  <c r="G273" i="6"/>
  <c r="F273" i="6"/>
  <c r="G78" i="6"/>
  <c r="T32" i="44"/>
  <c r="Z32" i="44"/>
  <c r="AG113" i="6"/>
  <c r="G113" i="6"/>
  <c r="F113" i="6"/>
  <c r="G430" i="6"/>
  <c r="Q484" i="44"/>
  <c r="W484" i="44"/>
  <c r="AG330" i="6"/>
  <c r="G330" i="6"/>
  <c r="F330" i="6"/>
  <c r="E50" i="14"/>
  <c r="BT50" i="14"/>
  <c r="BT144" i="14"/>
  <c r="E144" i="14"/>
  <c r="G503" i="6"/>
  <c r="AG468" i="6"/>
  <c r="G468" i="6"/>
  <c r="F468" i="6"/>
  <c r="Q440" i="44"/>
  <c r="W440" i="44"/>
  <c r="AG432" i="6"/>
  <c r="G432" i="6"/>
  <c r="F432" i="6"/>
  <c r="AG51" i="6"/>
  <c r="G51" i="6"/>
  <c r="F51" i="6"/>
  <c r="G277" i="6"/>
  <c r="BT18" i="14"/>
  <c r="E18" i="14"/>
  <c r="AG240" i="6"/>
  <c r="G240" i="6"/>
  <c r="F240" i="6"/>
  <c r="G278" i="6"/>
  <c r="W143" i="44"/>
  <c r="Q143" i="44"/>
  <c r="W142" i="44"/>
  <c r="Q142" i="44"/>
  <c r="W42" i="44"/>
  <c r="Q42" i="44"/>
  <c r="Q9" i="44"/>
  <c r="W9" i="44"/>
  <c r="Z438" i="44"/>
  <c r="T438" i="44"/>
  <c r="Q537" i="44"/>
  <c r="W537" i="44"/>
  <c r="A235" i="12"/>
  <c r="Q428" i="44"/>
  <c r="W428" i="44"/>
  <c r="Q374" i="44"/>
  <c r="W374" i="44"/>
  <c r="T208" i="44"/>
  <c r="Z208" i="44"/>
  <c r="Q506" i="44"/>
  <c r="W506" i="44"/>
  <c r="T21" i="44"/>
  <c r="Z21" i="44"/>
  <c r="Q286" i="44"/>
  <c r="W286" i="44"/>
  <c r="G23" i="6"/>
  <c r="G183" i="6"/>
  <c r="G494" i="6"/>
  <c r="G114" i="14"/>
  <c r="F114" i="14"/>
  <c r="G177" i="14"/>
  <c r="F177" i="14"/>
  <c r="G52" i="14"/>
  <c r="F52" i="14"/>
  <c r="Q88" i="44"/>
  <c r="W88" i="44"/>
  <c r="G77" i="14"/>
  <c r="G47" i="6"/>
  <c r="F118" i="14"/>
  <c r="G118" i="14"/>
  <c r="G54" i="6"/>
  <c r="G46" i="14"/>
  <c r="G399" i="6"/>
  <c r="Q495" i="44"/>
  <c r="W495" i="44"/>
  <c r="F22" i="14"/>
  <c r="G22" i="14"/>
  <c r="G22" i="6"/>
  <c r="Z186" i="44"/>
  <c r="T186" i="44"/>
  <c r="W197" i="44"/>
  <c r="Q197" i="44"/>
  <c r="Z483" i="44"/>
  <c r="T483" i="44"/>
  <c r="Q220" i="44"/>
  <c r="W220" i="44"/>
  <c r="G311" i="6"/>
  <c r="BT84" i="14"/>
  <c r="E84" i="14"/>
  <c r="Q517" i="44"/>
  <c r="W517" i="44"/>
  <c r="Z330" i="44"/>
  <c r="T330" i="44"/>
  <c r="F20" i="5"/>
  <c r="V602" i="44"/>
  <c r="P602" i="44"/>
  <c r="D602" i="44"/>
  <c r="Q98" i="44"/>
  <c r="W98" i="44"/>
  <c r="AG497" i="6"/>
  <c r="G497" i="6"/>
  <c r="F497" i="6"/>
  <c r="AG106" i="6"/>
  <c r="G106" i="6"/>
  <c r="F106" i="6"/>
  <c r="R634" i="44"/>
  <c r="X634" i="44"/>
  <c r="Y634" i="44"/>
  <c r="S634" i="44"/>
  <c r="Q132" i="44"/>
  <c r="W132" i="44"/>
  <c r="P600" i="44"/>
  <c r="V600" i="44"/>
  <c r="Q600" i="44"/>
  <c r="T65" i="44"/>
  <c r="Z65" i="44"/>
  <c r="G13" i="6"/>
  <c r="AG75" i="6"/>
  <c r="G75" i="6"/>
  <c r="F75" i="6"/>
  <c r="R108" i="9"/>
  <c r="S108" i="9"/>
  <c r="E111" i="9"/>
  <c r="D111" i="9"/>
  <c r="G110" i="6"/>
  <c r="V598" i="44"/>
  <c r="P598" i="44"/>
  <c r="W598" i="44"/>
  <c r="L31" i="9"/>
  <c r="K31" i="9"/>
  <c r="AG465" i="6"/>
  <c r="G465" i="6"/>
  <c r="F465" i="6"/>
  <c r="G463" i="6"/>
  <c r="AG73" i="6"/>
  <c r="G73" i="6"/>
  <c r="F73" i="6"/>
  <c r="G150" i="6"/>
  <c r="AG18" i="6"/>
  <c r="G18" i="6"/>
  <c r="F18" i="6"/>
  <c r="Q462" i="44"/>
  <c r="W462" i="44"/>
  <c r="AG402" i="6"/>
  <c r="G402" i="6"/>
  <c r="F402" i="6"/>
  <c r="AG140" i="6"/>
  <c r="G140" i="6"/>
  <c r="F140" i="6"/>
  <c r="E19" i="14"/>
  <c r="BT19" i="14"/>
  <c r="BT17" i="14"/>
  <c r="E17" i="14"/>
  <c r="L70" i="9"/>
  <c r="K70" i="9"/>
  <c r="G143" i="6"/>
  <c r="V609" i="44"/>
  <c r="D609" i="44"/>
  <c r="P609" i="44"/>
  <c r="T22" i="44"/>
  <c r="Z22" i="44"/>
  <c r="L110" i="9"/>
  <c r="K110" i="9"/>
  <c r="AG496" i="6"/>
  <c r="G496" i="6"/>
  <c r="F496" i="6"/>
  <c r="AG404" i="6"/>
  <c r="G404" i="6"/>
  <c r="F404" i="6"/>
  <c r="G470" i="6"/>
  <c r="X587" i="44"/>
  <c r="R587" i="44"/>
  <c r="G143" i="14"/>
  <c r="F151" i="14"/>
  <c r="G151" i="14"/>
  <c r="G45" i="6"/>
  <c r="Y632" i="44"/>
  <c r="S632" i="44"/>
  <c r="AG11" i="6"/>
  <c r="G11" i="6"/>
  <c r="F11" i="6"/>
  <c r="L53" i="9"/>
  <c r="K53" i="9"/>
  <c r="T198" i="44"/>
  <c r="Z198" i="44"/>
  <c r="W165" i="44"/>
  <c r="Q165" i="44"/>
  <c r="W53" i="44"/>
  <c r="W163" i="44"/>
  <c r="Q163" i="44"/>
  <c r="T152" i="44"/>
  <c r="Z152" i="44"/>
  <c r="W108" i="44"/>
  <c r="Q108" i="44"/>
  <c r="W64" i="44"/>
  <c r="W383" i="44"/>
  <c r="Z383" i="44"/>
  <c r="T383" i="44"/>
  <c r="Q350" i="44"/>
  <c r="W350" i="44"/>
  <c r="Q339" i="44"/>
  <c r="W339" i="44"/>
  <c r="Q449" i="44"/>
  <c r="W449" i="44"/>
  <c r="A92" i="12"/>
  <c r="A136" i="12"/>
  <c r="A59" i="12"/>
  <c r="A48" i="12"/>
  <c r="T340" i="44"/>
  <c r="Z340" i="44"/>
  <c r="G9" i="34"/>
  <c r="F9" i="34"/>
  <c r="G180" i="14"/>
  <c r="F180" i="14"/>
  <c r="Z55" i="44"/>
  <c r="T55" i="44"/>
  <c r="G367" i="6"/>
  <c r="T44" i="44"/>
  <c r="Z44" i="44"/>
  <c r="G405" i="6"/>
  <c r="Q450" i="44"/>
  <c r="W450" i="44"/>
  <c r="G279" i="6"/>
  <c r="G111" i="14"/>
  <c r="G78" i="14"/>
  <c r="G334" i="6"/>
  <c r="Z231" i="44"/>
  <c r="T231" i="44"/>
  <c r="G182" i="6"/>
  <c r="G51" i="14"/>
  <c r="F51" i="14"/>
  <c r="G365" i="6"/>
  <c r="G461" i="6"/>
  <c r="G237" i="6"/>
  <c r="T385" i="44"/>
  <c r="Z385" i="44"/>
  <c r="T99" i="44"/>
  <c r="Z99" i="44"/>
  <c r="F150" i="14"/>
  <c r="G150" i="14"/>
  <c r="T11" i="44"/>
  <c r="Z11" i="44"/>
  <c r="T242" i="44"/>
  <c r="Z242" i="44"/>
  <c r="Q253" i="44"/>
  <c r="W253" i="44"/>
  <c r="W263" i="44"/>
  <c r="Q263" i="44"/>
  <c r="T43" i="44"/>
  <c r="Z43" i="44"/>
  <c r="G47" i="14"/>
  <c r="F16" i="15"/>
  <c r="E16" i="15"/>
  <c r="Q418" i="44"/>
  <c r="W418" i="44"/>
  <c r="W580" i="44"/>
  <c r="Q580" i="44"/>
  <c r="Q417" i="44"/>
  <c r="W417" i="44"/>
  <c r="T10" i="44"/>
  <c r="Z10" i="44"/>
  <c r="E51" i="9"/>
  <c r="D51" i="9"/>
  <c r="Y612" i="44"/>
  <c r="S612" i="44"/>
  <c r="R612" i="44"/>
  <c r="X612" i="44"/>
  <c r="Q550" i="44"/>
  <c r="W550" i="44"/>
  <c r="Q363" i="44"/>
  <c r="W363" i="44"/>
  <c r="BT178" i="14"/>
  <c r="E178" i="14"/>
  <c r="G335" i="6"/>
  <c r="S622" i="44"/>
  <c r="Y622" i="44"/>
  <c r="X622" i="44"/>
  <c r="Z406" i="44"/>
  <c r="T406" i="44"/>
  <c r="Q285" i="44"/>
  <c r="W285" i="44"/>
  <c r="E90" i="9"/>
  <c r="D90" i="9"/>
  <c r="W599" i="44"/>
  <c r="Q599" i="44"/>
  <c r="V599" i="44"/>
  <c r="P599" i="44"/>
  <c r="D599" i="44"/>
  <c r="G141" i="6"/>
  <c r="E82" i="14"/>
  <c r="BT82" i="14"/>
  <c r="G74" i="14"/>
  <c r="F74" i="14"/>
  <c r="G175" i="14"/>
  <c r="AG267" i="6"/>
  <c r="G267" i="6"/>
  <c r="F267" i="6"/>
  <c r="L92" i="9"/>
  <c r="K92" i="9"/>
  <c r="E69" i="9"/>
  <c r="D69" i="9"/>
  <c r="AG80" i="6"/>
  <c r="G80" i="6"/>
  <c r="F80" i="6"/>
  <c r="R110" i="9"/>
  <c r="S110" i="9"/>
  <c r="P620" i="44"/>
  <c r="V620" i="44"/>
  <c r="R620" i="44"/>
  <c r="X620" i="44"/>
  <c r="Q110" i="44"/>
  <c r="W110" i="44"/>
  <c r="S50" i="9"/>
  <c r="R50" i="9"/>
  <c r="G86" i="6"/>
  <c r="G109" i="14"/>
  <c r="F117" i="14"/>
  <c r="G117" i="14"/>
  <c r="G137" i="14"/>
  <c r="F137" i="14"/>
  <c r="AG236" i="6"/>
  <c r="G236" i="6"/>
  <c r="F236" i="6"/>
  <c r="N34" i="15"/>
  <c r="M34" i="15"/>
  <c r="E32" i="9"/>
  <c r="D32" i="9"/>
  <c r="AG307" i="6"/>
  <c r="G307" i="6"/>
  <c r="F307" i="6"/>
  <c r="G495" i="6"/>
  <c r="AG328" i="6"/>
  <c r="G328" i="6"/>
  <c r="F328" i="6"/>
  <c r="T440" i="44"/>
  <c r="Z440" i="44"/>
  <c r="Z120" i="44"/>
  <c r="T120" i="44"/>
  <c r="AG76" i="6"/>
  <c r="G76" i="6"/>
  <c r="F76" i="6"/>
  <c r="E110" i="9"/>
  <c r="D110" i="9"/>
  <c r="Z241" i="44"/>
  <c r="T241" i="44"/>
  <c r="T143" i="44"/>
  <c r="Z143" i="44"/>
  <c r="T142" i="44"/>
  <c r="Z142" i="44"/>
  <c r="Q86" i="44"/>
  <c r="W86" i="44"/>
  <c r="Z141" i="44"/>
  <c r="T141" i="44"/>
  <c r="W97" i="44"/>
  <c r="Q97" i="44"/>
  <c r="W207" i="44"/>
  <c r="Q207" i="44"/>
  <c r="T174" i="44"/>
  <c r="Z174" i="44"/>
  <c r="W174" i="44"/>
  <c r="Q174" i="44"/>
  <c r="T548" i="44"/>
  <c r="Z548" i="44"/>
  <c r="T504" i="44"/>
  <c r="Z504" i="44"/>
  <c r="Z482" i="44"/>
  <c r="T482" i="44"/>
  <c r="T372" i="44"/>
  <c r="Z372" i="44"/>
  <c r="T427" i="44"/>
  <c r="Z427" i="44"/>
  <c r="Z537" i="44"/>
  <c r="T537" i="44"/>
  <c r="Q460" i="44"/>
  <c r="W460" i="44"/>
  <c r="T77" i="44"/>
  <c r="Z77" i="44"/>
  <c r="Q307" i="44"/>
  <c r="W307" i="44"/>
  <c r="Z307" i="44"/>
  <c r="T307" i="44"/>
  <c r="Z374" i="44"/>
  <c r="T374" i="44"/>
  <c r="Q208" i="44"/>
  <c r="W208" i="44"/>
  <c r="Q373" i="44"/>
  <c r="W373" i="44"/>
  <c r="Q54" i="44"/>
  <c r="W54" i="44"/>
  <c r="Z54" i="44"/>
  <c r="T54" i="44"/>
  <c r="F19" i="5"/>
  <c r="Q362" i="44"/>
  <c r="W362" i="44"/>
  <c r="Q329" i="44"/>
  <c r="W329" i="44"/>
  <c r="T329" i="44"/>
  <c r="Z329" i="44"/>
  <c r="G502" i="6"/>
  <c r="Q395" i="44"/>
  <c r="W395" i="44"/>
  <c r="Z88" i="44"/>
  <c r="T88" i="44"/>
  <c r="F85" i="14"/>
  <c r="G85" i="14"/>
  <c r="G55" i="6"/>
  <c r="G181" i="6"/>
  <c r="T495" i="44"/>
  <c r="Z495" i="44"/>
  <c r="G14" i="6"/>
  <c r="Q186" i="44"/>
  <c r="W186" i="44"/>
  <c r="W175" i="44"/>
  <c r="Q175" i="44"/>
  <c r="T197" i="44"/>
  <c r="Z197" i="44"/>
  <c r="Q264" i="44"/>
  <c r="W264" i="44"/>
  <c r="Z220" i="44"/>
  <c r="T220" i="44"/>
  <c r="L51" i="9"/>
  <c r="K51" i="9"/>
  <c r="Q330" i="44"/>
  <c r="W330" i="44"/>
  <c r="Q319" i="44"/>
  <c r="W319" i="44"/>
  <c r="S32" i="9"/>
  <c r="R32" i="9"/>
  <c r="R590" i="44"/>
  <c r="X590" i="44"/>
  <c r="P590" i="44"/>
  <c r="V590" i="44"/>
  <c r="D590" i="44"/>
  <c r="Q451" i="44"/>
  <c r="W451" i="44"/>
  <c r="Z132" i="44"/>
  <c r="T132" i="44"/>
  <c r="E16" i="9"/>
  <c r="D16" i="9"/>
  <c r="Q505" i="44"/>
  <c r="W505" i="44"/>
  <c r="Q65" i="44"/>
  <c r="W65" i="44"/>
  <c r="G21" i="6"/>
  <c r="AG332" i="6"/>
  <c r="G332" i="6"/>
  <c r="F332" i="6"/>
  <c r="AG331" i="6"/>
  <c r="G331" i="6"/>
  <c r="F331" i="6"/>
  <c r="AG9" i="6"/>
  <c r="G9" i="6"/>
  <c r="F9" i="6"/>
  <c r="AG208" i="6"/>
  <c r="G208" i="6"/>
  <c r="F208" i="6"/>
  <c r="G75" i="14"/>
  <c r="F75" i="14"/>
  <c r="E83" i="14"/>
  <c r="BT83" i="14"/>
  <c r="G333" i="6"/>
  <c r="AG176" i="6"/>
  <c r="G176" i="6"/>
  <c r="F176" i="6"/>
  <c r="W76" i="44"/>
  <c r="E53" i="9"/>
  <c r="D53" i="9"/>
  <c r="E148" i="14"/>
  <c r="BT148" i="14"/>
  <c r="G142" i="6"/>
  <c r="T462" i="44"/>
  <c r="Z462" i="44"/>
  <c r="AG169" i="6"/>
  <c r="G169" i="6"/>
  <c r="F169" i="6"/>
  <c r="L54" i="9"/>
  <c r="K54" i="9"/>
  <c r="R91" i="9"/>
  <c r="S91" i="9"/>
  <c r="F32" i="15"/>
  <c r="E32" i="15"/>
  <c r="G151" i="6"/>
  <c r="Q22" i="44"/>
  <c r="W22" i="44"/>
  <c r="F34" i="15"/>
  <c r="E34" i="15"/>
  <c r="AG464" i="6"/>
  <c r="G464" i="6"/>
  <c r="F464" i="6"/>
  <c r="X576" i="44"/>
  <c r="R576" i="44"/>
  <c r="W576" i="44"/>
  <c r="Q576" i="44"/>
  <c r="AG41" i="6"/>
  <c r="G41" i="6"/>
  <c r="F41" i="6"/>
  <c r="G53" i="6"/>
  <c r="W176" i="44"/>
  <c r="Q176" i="44"/>
  <c r="Z164" i="44"/>
  <c r="T164" i="44"/>
  <c r="F13" i="5"/>
  <c r="F15" i="5"/>
  <c r="H15" i="5"/>
  <c r="H16" i="5"/>
  <c r="F77" i="47"/>
  <c r="B154" i="47"/>
  <c r="M71" i="48"/>
  <c r="F76" i="40"/>
  <c r="F65" i="49"/>
  <c r="P39" i="19"/>
  <c r="E70" i="40"/>
  <c r="N76" i="48"/>
  <c r="N65" i="43"/>
  <c r="L62" i="49"/>
  <c r="G76" i="41"/>
  <c r="AJ86" i="14"/>
  <c r="E77" i="41"/>
  <c r="P4" i="19"/>
  <c r="K73" i="40"/>
  <c r="N73" i="47"/>
  <c r="N75" i="47"/>
  <c r="Q27" i="19"/>
  <c r="G74" i="47"/>
  <c r="G45" i="34"/>
  <c r="D37" i="48"/>
  <c r="D127" i="49"/>
  <c r="E66" i="42"/>
  <c r="K82" i="48"/>
  <c r="AJ181" i="14"/>
  <c r="K28" i="41"/>
  <c r="D181" i="48"/>
  <c r="D5" i="48"/>
  <c r="L76" i="40"/>
  <c r="G26" i="34"/>
  <c r="D30" i="43"/>
  <c r="D182" i="41"/>
  <c r="L72" i="48"/>
  <c r="AJ51" i="14"/>
  <c r="D170" i="48"/>
  <c r="K48" i="41"/>
  <c r="E65" i="50"/>
  <c r="D181" i="47"/>
  <c r="AJ119" i="14"/>
  <c r="AJ112" i="14"/>
  <c r="K70" i="42"/>
  <c r="D50" i="41"/>
  <c r="L70" i="47"/>
  <c r="D49" i="40"/>
  <c r="K26" i="19"/>
  <c r="D26" i="43"/>
  <c r="D126" i="42"/>
  <c r="N76" i="47"/>
  <c r="R70" i="40"/>
  <c r="E70" i="41"/>
  <c r="E71" i="40"/>
  <c r="E63" i="42"/>
  <c r="N62" i="49"/>
  <c r="N75" i="41"/>
  <c r="E76" i="41"/>
  <c r="L76" i="41"/>
  <c r="G66" i="43"/>
  <c r="D39" i="41"/>
  <c r="N77" i="41"/>
  <c r="N63" i="43"/>
  <c r="I149" i="40"/>
  <c r="N71" i="40"/>
  <c r="G77" i="47"/>
  <c r="E75" i="41"/>
  <c r="K5" i="41"/>
  <c r="K50" i="48"/>
  <c r="G20" i="34"/>
  <c r="K37" i="41"/>
  <c r="K29" i="49"/>
  <c r="AN181" i="14"/>
  <c r="N70" i="48"/>
  <c r="K8" i="43"/>
  <c r="D72" i="50"/>
  <c r="AJ41" i="14"/>
  <c r="D169" i="48"/>
  <c r="D52" i="47"/>
  <c r="D29" i="43"/>
  <c r="L73" i="47"/>
  <c r="D41" i="40"/>
  <c r="E64" i="50"/>
  <c r="K5" i="47"/>
  <c r="G23" i="34"/>
  <c r="AJ13" i="14"/>
  <c r="AJ80" i="14"/>
  <c r="K29" i="50"/>
  <c r="AJ117" i="14"/>
  <c r="D40" i="40"/>
  <c r="AJ8" i="14"/>
  <c r="K70" i="43"/>
  <c r="D29" i="47"/>
  <c r="AJ147" i="14"/>
  <c r="E61" i="49"/>
  <c r="Q37" i="19"/>
  <c r="D40" i="41"/>
  <c r="AJ87" i="14"/>
  <c r="D48" i="41"/>
  <c r="AJ15" i="14"/>
  <c r="K27" i="48"/>
  <c r="K76" i="48"/>
  <c r="G70" i="41"/>
  <c r="N74" i="48"/>
  <c r="L63" i="49"/>
  <c r="L65" i="49"/>
  <c r="D81" i="40"/>
  <c r="K74" i="47"/>
  <c r="E65" i="42"/>
  <c r="L61" i="50"/>
  <c r="K61" i="50"/>
  <c r="P40" i="19"/>
  <c r="N64" i="50"/>
  <c r="N66" i="50"/>
  <c r="G31" i="34"/>
  <c r="K39" i="41"/>
  <c r="K27" i="42"/>
  <c r="AJ105" i="14"/>
  <c r="D6" i="43"/>
  <c r="D7" i="19"/>
  <c r="D27" i="47"/>
  <c r="G73" i="48"/>
  <c r="D83" i="47"/>
  <c r="D5" i="43"/>
  <c r="E62" i="49"/>
  <c r="D39" i="50"/>
  <c r="N59" i="42"/>
  <c r="D38" i="49"/>
  <c r="D51" i="47"/>
  <c r="K37" i="40"/>
  <c r="K26" i="42"/>
  <c r="AJ108" i="14"/>
  <c r="D39" i="47"/>
  <c r="K49" i="47"/>
  <c r="D29" i="49"/>
  <c r="K71" i="43"/>
  <c r="D6" i="41"/>
  <c r="D5" i="40"/>
  <c r="D37" i="49"/>
  <c r="D6" i="42"/>
  <c r="D172" i="41"/>
  <c r="G61" i="49"/>
  <c r="D26" i="40"/>
  <c r="D173" i="41"/>
  <c r="AJ21" i="14"/>
  <c r="AN87" i="14"/>
  <c r="K29" i="47"/>
  <c r="AJ76" i="14"/>
  <c r="L66" i="49"/>
  <c r="N66" i="49"/>
  <c r="R70" i="48"/>
  <c r="L63" i="50"/>
  <c r="P38" i="19"/>
  <c r="G59" i="43"/>
  <c r="G65" i="43"/>
  <c r="N62" i="50"/>
  <c r="D75" i="41"/>
  <c r="E59" i="43"/>
  <c r="N64" i="42"/>
  <c r="L64" i="49"/>
  <c r="N65" i="49"/>
  <c r="N60" i="50"/>
  <c r="K38" i="43"/>
  <c r="K4" i="49"/>
  <c r="AJ77" i="14"/>
  <c r="E77" i="40"/>
  <c r="D125" i="43"/>
  <c r="D7" i="43"/>
  <c r="K29" i="48"/>
  <c r="D39" i="49"/>
  <c r="D30" i="49"/>
  <c r="D4" i="41"/>
  <c r="K83" i="40"/>
  <c r="D182" i="40"/>
  <c r="E73" i="48"/>
  <c r="P27" i="19"/>
  <c r="D4" i="42"/>
  <c r="D28" i="43"/>
  <c r="L59" i="42"/>
  <c r="D27" i="48"/>
  <c r="L75" i="47"/>
  <c r="G21" i="34"/>
  <c r="N72" i="41"/>
  <c r="L73" i="41"/>
  <c r="AJ118" i="14"/>
  <c r="K27" i="43"/>
  <c r="D5" i="19"/>
  <c r="D71" i="42"/>
  <c r="AJ75" i="14"/>
  <c r="D7" i="49"/>
  <c r="D7" i="47"/>
  <c r="K81" i="40"/>
  <c r="K40" i="42"/>
  <c r="D169" i="40"/>
  <c r="D26" i="41"/>
  <c r="D4" i="19"/>
  <c r="K26" i="50"/>
  <c r="I29" i="12"/>
  <c r="I154" i="12"/>
  <c r="I170" i="12"/>
  <c r="B150" i="12"/>
  <c r="I30" i="12"/>
  <c r="I152" i="12"/>
  <c r="I15" i="12"/>
  <c r="EB52" i="1"/>
  <c r="B32" i="12"/>
  <c r="EB59" i="1"/>
  <c r="I172" i="12"/>
  <c r="I21" i="12"/>
  <c r="B17" i="12"/>
  <c r="B27" i="12"/>
  <c r="B149" i="41"/>
  <c r="B28" i="12"/>
  <c r="I43" i="12"/>
  <c r="B169" i="12"/>
  <c r="EB47" i="1"/>
  <c r="I26" i="12"/>
  <c r="B41" i="12"/>
  <c r="B37" i="12"/>
  <c r="I33" i="12"/>
  <c r="I32" i="12"/>
  <c r="B151" i="12"/>
  <c r="I42" i="12"/>
  <c r="I147" i="48"/>
  <c r="AN80" i="14"/>
  <c r="AN117" i="14"/>
  <c r="D60" i="43"/>
  <c r="K30" i="50"/>
  <c r="L60" i="49"/>
  <c r="K6" i="42"/>
  <c r="D70" i="50"/>
  <c r="D128" i="42"/>
  <c r="K27" i="40"/>
  <c r="D6" i="40"/>
  <c r="AJ116" i="14"/>
  <c r="D50" i="40"/>
  <c r="D8" i="49"/>
  <c r="D128" i="43"/>
  <c r="K37" i="42"/>
  <c r="E66" i="43"/>
  <c r="G72" i="47"/>
  <c r="L74" i="41"/>
  <c r="G75" i="47"/>
  <c r="E62" i="43"/>
  <c r="B149" i="40"/>
  <c r="G74" i="48"/>
  <c r="N71" i="41"/>
  <c r="AJ22" i="14"/>
  <c r="AN22" i="14" s="1"/>
  <c r="E63" i="50"/>
  <c r="D4" i="43"/>
  <c r="AJ74" i="14"/>
  <c r="AJ11" i="14"/>
  <c r="D49" i="41"/>
  <c r="AJ107" i="14"/>
  <c r="AN107" i="14" s="1"/>
  <c r="K28" i="49"/>
  <c r="K4" i="48"/>
  <c r="K38" i="40"/>
  <c r="AJ106" i="14"/>
  <c r="K26" i="48"/>
  <c r="N70" i="47"/>
  <c r="AN21" i="14"/>
  <c r="D51" i="41"/>
  <c r="EB56" i="1"/>
  <c r="B18" i="12"/>
  <c r="B44" i="12"/>
  <c r="B39" i="12"/>
  <c r="I27" i="12"/>
  <c r="B19" i="12"/>
  <c r="G73" i="47"/>
  <c r="I31" i="12"/>
  <c r="B170" i="12"/>
  <c r="I153" i="41"/>
  <c r="K62" i="49"/>
  <c r="I153" i="47"/>
  <c r="F71" i="47"/>
  <c r="F77" i="41"/>
  <c r="K65" i="42"/>
  <c r="M61" i="42"/>
  <c r="G76" i="40"/>
  <c r="L66" i="50"/>
  <c r="N76" i="41"/>
  <c r="N65" i="50"/>
  <c r="L62" i="42"/>
  <c r="G76" i="48"/>
  <c r="P7" i="19"/>
  <c r="E77" i="48"/>
  <c r="K75" i="41"/>
  <c r="F68" i="40"/>
  <c r="N73" i="40"/>
  <c r="N75" i="40"/>
  <c r="L77" i="48"/>
  <c r="G75" i="41"/>
  <c r="G35" i="34"/>
  <c r="D48" i="40"/>
  <c r="D127" i="42"/>
  <c r="L64" i="43"/>
  <c r="AJ111" i="14"/>
  <c r="L70" i="41"/>
  <c r="K28" i="48"/>
  <c r="D181" i="41"/>
  <c r="D5" i="41"/>
  <c r="AJ40" i="14"/>
  <c r="Q15" i="19"/>
  <c r="D30" i="50"/>
  <c r="D182" i="48"/>
  <c r="K37" i="19"/>
  <c r="K70" i="47" s="1"/>
  <c r="D180" i="40"/>
  <c r="AJ48" i="14"/>
  <c r="AN48" i="14" s="1"/>
  <c r="E65" i="43"/>
  <c r="D28" i="42"/>
  <c r="AJ110" i="14"/>
  <c r="AN110" i="14" s="1"/>
  <c r="D72" i="42"/>
  <c r="AJ171" i="14"/>
  <c r="K7" i="42"/>
  <c r="AJ138" i="14"/>
  <c r="D170" i="40"/>
  <c r="K50" i="40"/>
  <c r="D171" i="48"/>
  <c r="K17" i="19"/>
  <c r="K61" i="42" s="1"/>
  <c r="N76" i="40"/>
  <c r="R70" i="47"/>
  <c r="E70" i="48"/>
  <c r="E71" i="47"/>
  <c r="E63" i="49"/>
  <c r="AJ173" i="14"/>
  <c r="N75" i="48"/>
  <c r="E76" i="48"/>
  <c r="N61" i="50"/>
  <c r="G65" i="49"/>
  <c r="D64" i="42"/>
  <c r="E73" i="47"/>
  <c r="E74" i="41"/>
  <c r="K48" i="47"/>
  <c r="N71" i="47"/>
  <c r="G77" i="40"/>
  <c r="E75" i="48"/>
  <c r="K28" i="50"/>
  <c r="D38" i="19"/>
  <c r="K28" i="40"/>
  <c r="K50" i="41"/>
  <c r="K5" i="43"/>
  <c r="AJ140" i="14"/>
  <c r="K29" i="42"/>
  <c r="D28" i="48"/>
  <c r="D29" i="41"/>
  <c r="D81" i="48"/>
  <c r="D38" i="41"/>
  <c r="E71" i="48"/>
  <c r="G62" i="49"/>
  <c r="L73" i="40"/>
  <c r="D172" i="47"/>
  <c r="N60" i="42"/>
  <c r="K5" i="40"/>
  <c r="AJ115" i="14"/>
  <c r="G64" i="42"/>
  <c r="G38" i="34"/>
  <c r="K29" i="43"/>
  <c r="G29" i="34"/>
  <c r="AJ109" i="14"/>
  <c r="AN109" i="14" s="1"/>
  <c r="D40" i="47"/>
  <c r="AN119" i="14"/>
  <c r="D37" i="40"/>
  <c r="AN112" i="14"/>
  <c r="D29" i="40"/>
  <c r="AJ17" i="14"/>
  <c r="E61" i="42"/>
  <c r="AJ151" i="14"/>
  <c r="AN151" i="14" s="1"/>
  <c r="AJ49" i="14"/>
  <c r="D48" i="48"/>
  <c r="K39" i="40"/>
  <c r="K5" i="49"/>
  <c r="E76" i="40"/>
  <c r="D27" i="50"/>
  <c r="G71" i="47"/>
  <c r="L61" i="42"/>
  <c r="E60" i="49"/>
  <c r="D81" i="47"/>
  <c r="M70" i="47"/>
  <c r="E65" i="49"/>
  <c r="L61" i="43"/>
  <c r="M59" i="49"/>
  <c r="M60" i="42"/>
  <c r="N77" i="40"/>
  <c r="G59" i="49"/>
  <c r="D26" i="19"/>
  <c r="D70" i="48" s="1"/>
  <c r="D180" i="48"/>
  <c r="G15" i="34"/>
  <c r="D6" i="50"/>
  <c r="K28" i="19"/>
  <c r="K72" i="41" s="1"/>
  <c r="D27" i="40"/>
  <c r="D125" i="49"/>
  <c r="D73" i="43"/>
  <c r="E61" i="43"/>
  <c r="G71" i="41"/>
  <c r="D39" i="43"/>
  <c r="N59" i="49"/>
  <c r="D38" i="42"/>
  <c r="D51" i="40"/>
  <c r="K6" i="49"/>
  <c r="K49" i="48"/>
  <c r="K27" i="19"/>
  <c r="D39" i="40"/>
  <c r="D70" i="43"/>
  <c r="D128" i="49"/>
  <c r="D29" i="42"/>
  <c r="AJ141" i="14"/>
  <c r="K27" i="47"/>
  <c r="K38" i="48"/>
  <c r="D5" i="47"/>
  <c r="D37" i="42"/>
  <c r="D6" i="49"/>
  <c r="AJ73" i="14"/>
  <c r="D52" i="48"/>
  <c r="D50" i="47"/>
  <c r="D26" i="47"/>
  <c r="D8" i="42"/>
  <c r="D16" i="19"/>
  <c r="D128" i="50"/>
  <c r="K29" i="40"/>
  <c r="K37" i="49"/>
  <c r="E72" i="40"/>
  <c r="E66" i="50"/>
  <c r="G70" i="40"/>
  <c r="R70" i="41"/>
  <c r="G72" i="40"/>
  <c r="L74" i="48"/>
  <c r="G59" i="50"/>
  <c r="G65" i="50"/>
  <c r="N62" i="43"/>
  <c r="E62" i="50"/>
  <c r="E59" i="50"/>
  <c r="N64" i="49"/>
  <c r="G27" i="34"/>
  <c r="N65" i="42"/>
  <c r="N60" i="43"/>
  <c r="K38" i="50"/>
  <c r="K74" i="41"/>
  <c r="N71" i="48"/>
  <c r="E59" i="42"/>
  <c r="D125" i="50"/>
  <c r="N73" i="48"/>
  <c r="E63" i="43"/>
  <c r="AJ83" i="14"/>
  <c r="AN83" i="14" s="1"/>
  <c r="D15" i="19"/>
  <c r="D59" i="42" s="1"/>
  <c r="D30" i="42"/>
  <c r="D4" i="48"/>
  <c r="D40" i="43"/>
  <c r="K83" i="47"/>
  <c r="D182" i="47"/>
  <c r="D49" i="48"/>
  <c r="AJ150" i="14"/>
  <c r="L71" i="47"/>
  <c r="P18" i="19"/>
  <c r="L59" i="49"/>
  <c r="K4" i="40"/>
  <c r="L75" i="40"/>
  <c r="K4" i="41"/>
  <c r="L73" i="48"/>
  <c r="AN108" i="14"/>
  <c r="AJ47" i="14"/>
  <c r="AJ84" i="14"/>
  <c r="D71" i="49"/>
  <c r="D71" i="50"/>
  <c r="D7" i="42"/>
  <c r="D7" i="40"/>
  <c r="K81" i="47"/>
  <c r="N70" i="40"/>
  <c r="K40" i="49"/>
  <c r="D169" i="47"/>
  <c r="K4" i="43"/>
  <c r="K38" i="42"/>
  <c r="D51" i="48"/>
  <c r="AJ149" i="14"/>
  <c r="AN149" i="14" s="1"/>
  <c r="B40" i="12"/>
  <c r="B31" i="12"/>
  <c r="B147" i="12"/>
  <c r="EB60" i="1"/>
  <c r="I150" i="12"/>
  <c r="EB46" i="1"/>
  <c r="I37" i="12"/>
  <c r="EB42" i="1"/>
  <c r="B29" i="12"/>
  <c r="EB57" i="1"/>
  <c r="B16" i="12"/>
  <c r="EB55" i="1"/>
  <c r="B26" i="12"/>
  <c r="I171" i="12"/>
  <c r="EB51" i="1"/>
  <c r="I41" i="12"/>
  <c r="I148" i="12"/>
  <c r="B153" i="12"/>
  <c r="G73" i="40"/>
  <c r="EB49" i="1"/>
  <c r="I151" i="12"/>
  <c r="AN11" i="14"/>
  <c r="B30" i="12"/>
  <c r="I16" i="12"/>
  <c r="I147" i="12"/>
  <c r="EB54" i="1"/>
  <c r="I153" i="12"/>
  <c r="I148" i="41"/>
  <c r="D71" i="47"/>
  <c r="AN105" i="14"/>
  <c r="K72" i="48"/>
  <c r="AN141" i="14"/>
  <c r="D60" i="49"/>
  <c r="D59" i="49"/>
  <c r="D60" i="50"/>
  <c r="K51" i="41"/>
  <c r="K49" i="41"/>
  <c r="AJ170" i="14"/>
  <c r="K39" i="49"/>
  <c r="K38" i="41"/>
  <c r="D171" i="47"/>
  <c r="D52" i="41"/>
  <c r="K83" i="41"/>
  <c r="D38" i="40"/>
  <c r="K16" i="19"/>
  <c r="K60" i="49" s="1"/>
  <c r="E72" i="47"/>
  <c r="P26" i="19"/>
  <c r="L75" i="41"/>
  <c r="N72" i="47"/>
  <c r="G49" i="34"/>
  <c r="Q16" i="19"/>
  <c r="D5" i="49"/>
  <c r="K81" i="41"/>
  <c r="D71" i="43"/>
  <c r="D27" i="49"/>
  <c r="K26" i="47"/>
  <c r="K4" i="50"/>
  <c r="K38" i="49"/>
  <c r="I173" i="12"/>
  <c r="EB58" i="1"/>
  <c r="EB45" i="1"/>
  <c r="B172" i="12"/>
  <c r="I40" i="12"/>
  <c r="AN171" i="14"/>
  <c r="B175" i="12"/>
  <c r="B33" i="12"/>
  <c r="B20" i="12"/>
  <c r="I174" i="12"/>
  <c r="B149" i="12"/>
  <c r="D71" i="40"/>
  <c r="AN115" i="14"/>
  <c r="D62" i="50"/>
  <c r="AN116" i="14"/>
  <c r="K66" i="49"/>
  <c r="I151" i="47"/>
  <c r="G62" i="50"/>
  <c r="L77" i="40"/>
  <c r="G74" i="40"/>
  <c r="D37" i="41"/>
  <c r="D27" i="19"/>
  <c r="E66" i="49"/>
  <c r="K6" i="41"/>
  <c r="AJ81" i="14"/>
  <c r="AN81" i="14" s="1"/>
  <c r="L76" i="47"/>
  <c r="D126" i="50"/>
  <c r="G32" i="34"/>
  <c r="G18" i="34"/>
  <c r="K48" i="48"/>
  <c r="D181" i="40"/>
  <c r="K82" i="47"/>
  <c r="K70" i="49"/>
  <c r="D50" i="48"/>
  <c r="D49" i="47"/>
  <c r="AJ9" i="14"/>
  <c r="G63" i="50"/>
  <c r="G60" i="50"/>
  <c r="E72" i="48"/>
  <c r="D83" i="41"/>
  <c r="L76" i="48"/>
  <c r="G66" i="50"/>
  <c r="N77" i="48"/>
  <c r="Q4" i="19"/>
  <c r="L71" i="48"/>
  <c r="R59" i="42"/>
  <c r="K5" i="48"/>
  <c r="AJ180" i="14"/>
  <c r="K37" i="48"/>
  <c r="AJ144" i="14"/>
  <c r="AN144" i="14" s="1"/>
  <c r="N70" i="41"/>
  <c r="D72" i="43"/>
  <c r="D169" i="41"/>
  <c r="D29" i="50"/>
  <c r="D41" i="47"/>
  <c r="E64" i="43"/>
  <c r="AJ85" i="14"/>
  <c r="AN51" i="14"/>
  <c r="AJ139" i="14"/>
  <c r="AJ52" i="14"/>
  <c r="K6" i="43"/>
  <c r="D127" i="43"/>
  <c r="D28" i="47"/>
  <c r="D70" i="49"/>
  <c r="D40" i="48"/>
  <c r="G14" i="34"/>
  <c r="K27" i="41"/>
  <c r="G70" i="48"/>
  <c r="N74" i="41"/>
  <c r="L65" i="42"/>
  <c r="N74" i="40"/>
  <c r="G77" i="41"/>
  <c r="R59" i="50"/>
  <c r="N64" i="43"/>
  <c r="G37" i="34"/>
  <c r="D7" i="41"/>
  <c r="D38" i="50"/>
  <c r="K7" i="43"/>
  <c r="G73" i="41"/>
  <c r="D83" i="40"/>
  <c r="E62" i="42"/>
  <c r="K37" i="43"/>
  <c r="K51" i="48"/>
  <c r="K37" i="47"/>
  <c r="D40" i="19"/>
  <c r="AJ44" i="14"/>
  <c r="AJ179" i="14"/>
  <c r="AN179" i="14" s="1"/>
  <c r="K71" i="50"/>
  <c r="AN8" i="14"/>
  <c r="D171" i="40"/>
  <c r="K15" i="19"/>
  <c r="K59" i="49" s="1"/>
  <c r="AJ50" i="14"/>
  <c r="AN50" i="14" s="1"/>
  <c r="D173" i="48"/>
  <c r="D38" i="47"/>
  <c r="AN15" i="14"/>
  <c r="AJ176" i="14"/>
  <c r="AN176" i="14" s="1"/>
  <c r="N66" i="42"/>
  <c r="L63" i="43"/>
  <c r="K63" i="42"/>
  <c r="P28" i="19"/>
  <c r="D63" i="42"/>
  <c r="L75" i="48"/>
  <c r="L64" i="42"/>
  <c r="N72" i="40"/>
  <c r="K4" i="42"/>
  <c r="E77" i="47"/>
  <c r="P15" i="19"/>
  <c r="G24" i="34"/>
  <c r="AJ10" i="14"/>
  <c r="AN10" i="14" s="1"/>
  <c r="G47" i="34"/>
  <c r="D4" i="49"/>
  <c r="AJ145" i="14"/>
  <c r="AN145" i="14" s="1"/>
  <c r="K28" i="42"/>
  <c r="N72" i="48"/>
  <c r="K38" i="47"/>
  <c r="D5" i="42"/>
  <c r="K81" i="48"/>
  <c r="AJ43" i="14"/>
  <c r="D27" i="42"/>
  <c r="K26" i="41"/>
  <c r="AN138" i="14"/>
  <c r="K26" i="40"/>
  <c r="D26" i="48"/>
  <c r="AJ20" i="14"/>
  <c r="AN20" i="14" s="1"/>
  <c r="K26" i="43"/>
  <c r="I38" i="12"/>
  <c r="I19" i="12"/>
  <c r="I151" i="41" s="1"/>
  <c r="B148" i="12"/>
  <c r="EB53" i="1"/>
  <c r="I17" i="12"/>
  <c r="I149" i="48" s="1"/>
  <c r="B15" i="12"/>
  <c r="B42" i="12"/>
  <c r="I44" i="12"/>
  <c r="I169" i="12"/>
  <c r="B154" i="12"/>
  <c r="B152" i="12"/>
  <c r="AN44" i="14"/>
  <c r="B173" i="12"/>
  <c r="EB48" i="1"/>
  <c r="B22" i="12"/>
  <c r="B154" i="41" s="1"/>
  <c r="AN106" i="14"/>
  <c r="I175" i="12"/>
  <c r="AN180" i="14"/>
  <c r="AN13" i="14"/>
  <c r="D62" i="43"/>
  <c r="K59" i="42"/>
  <c r="K60" i="42"/>
  <c r="AN74" i="14"/>
  <c r="AN150" i="14"/>
  <c r="I153" i="48"/>
  <c r="F63" i="42"/>
  <c r="F75" i="48"/>
  <c r="D77" i="41"/>
  <c r="D65" i="43"/>
  <c r="G76" i="47"/>
  <c r="L66" i="43"/>
  <c r="G63" i="49"/>
  <c r="N61" i="42"/>
  <c r="P16" i="19"/>
  <c r="E60" i="50"/>
  <c r="L62" i="43"/>
  <c r="N63" i="42"/>
  <c r="G62" i="43"/>
  <c r="L59" i="50"/>
  <c r="L77" i="47"/>
  <c r="L60" i="43"/>
  <c r="L77" i="41"/>
  <c r="G75" i="48"/>
  <c r="D18" i="19"/>
  <c r="D48" i="47"/>
  <c r="G34" i="34"/>
  <c r="L64" i="50"/>
  <c r="K6" i="48"/>
  <c r="L70" i="48"/>
  <c r="D8" i="50"/>
  <c r="AJ78" i="14"/>
  <c r="AN78" i="14" s="1"/>
  <c r="AJ174" i="14"/>
  <c r="AN174" i="14" s="1"/>
  <c r="D126" i="43"/>
  <c r="AJ172" i="14"/>
  <c r="D40" i="49"/>
  <c r="D6" i="19"/>
  <c r="D61" i="50" s="1"/>
  <c r="AJ72" i="14"/>
  <c r="AN72" i="14" s="1"/>
  <c r="D180" i="47"/>
  <c r="D28" i="19"/>
  <c r="D29" i="19"/>
  <c r="AJ12" i="14"/>
  <c r="AN12" i="14" s="1"/>
  <c r="D28" i="49"/>
  <c r="K82" i="40"/>
  <c r="D72" i="49"/>
  <c r="D39" i="19"/>
  <c r="D72" i="40" s="1"/>
  <c r="K7" i="49"/>
  <c r="AJ142" i="14"/>
  <c r="AN142" i="14" s="1"/>
  <c r="D170" i="47"/>
  <c r="K50" i="47"/>
  <c r="D171" i="41"/>
  <c r="G63" i="43"/>
  <c r="G64" i="50"/>
  <c r="G60" i="43"/>
  <c r="L65" i="43"/>
  <c r="E72" i="41"/>
  <c r="Q17" i="19"/>
  <c r="D83" i="48"/>
  <c r="E75" i="40"/>
  <c r="P5" i="19"/>
  <c r="N61" i="43"/>
  <c r="G65" i="42"/>
  <c r="F76" i="48"/>
  <c r="E73" i="40"/>
  <c r="E74" i="48"/>
  <c r="K48" i="40"/>
  <c r="L71" i="41"/>
  <c r="E74" i="47"/>
  <c r="R59" i="49"/>
  <c r="K28" i="43"/>
  <c r="G46" i="34"/>
  <c r="K28" i="47"/>
  <c r="D30" i="48"/>
  <c r="K5" i="50"/>
  <c r="AJ18" i="14"/>
  <c r="AN18" i="14" s="1"/>
  <c r="AN111" i="14"/>
  <c r="D28" i="41"/>
  <c r="D29" i="48"/>
  <c r="D81" i="41"/>
  <c r="D82" i="47"/>
  <c r="AJ168" i="14"/>
  <c r="AN168" i="14" s="1"/>
  <c r="D38" i="48"/>
  <c r="E71" i="41"/>
  <c r="G62" i="42"/>
  <c r="AJ183" i="14"/>
  <c r="AN183" i="14" s="1"/>
  <c r="D172" i="40"/>
  <c r="N60" i="49"/>
  <c r="D17" i="19"/>
  <c r="Q28" i="19"/>
  <c r="G64" i="49"/>
  <c r="K5" i="19"/>
  <c r="K60" i="43" s="1"/>
  <c r="G41" i="34"/>
  <c r="AJ175" i="14"/>
  <c r="AN175" i="14" s="1"/>
  <c r="K6" i="50"/>
  <c r="D82" i="48"/>
  <c r="D127" i="50"/>
  <c r="D37" i="47"/>
  <c r="D28" i="40"/>
  <c r="D26" i="49"/>
  <c r="D70" i="42"/>
  <c r="D37" i="50"/>
  <c r="AJ137" i="14"/>
  <c r="AN137" i="14" s="1"/>
  <c r="AJ178" i="14"/>
  <c r="AN178" i="14" s="1"/>
  <c r="AJ23" i="14"/>
  <c r="AN23" i="14" s="1"/>
  <c r="K71" i="42"/>
  <c r="K39" i="47"/>
  <c r="K5" i="42"/>
  <c r="E76" i="47"/>
  <c r="D27" i="43"/>
  <c r="G71" i="40"/>
  <c r="L61" i="49"/>
  <c r="E60" i="42"/>
  <c r="N74" i="47"/>
  <c r="G72" i="41"/>
  <c r="G77" i="48"/>
  <c r="R59" i="43"/>
  <c r="L74" i="40"/>
  <c r="K4" i="19"/>
  <c r="N77" i="47"/>
  <c r="G59" i="42"/>
  <c r="D180" i="41"/>
  <c r="D7" i="48"/>
  <c r="D38" i="43"/>
  <c r="K7" i="50"/>
  <c r="D125" i="42"/>
  <c r="D73" i="50"/>
  <c r="E61" i="50"/>
  <c r="G71" i="48"/>
  <c r="L72" i="47"/>
  <c r="K37" i="50"/>
  <c r="AN85" i="14"/>
  <c r="AJ182" i="14"/>
  <c r="AN182" i="14" s="1"/>
  <c r="AJ46" i="14"/>
  <c r="AN46" i="14" s="1"/>
  <c r="AN147" i="14"/>
  <c r="K7" i="48"/>
  <c r="D4" i="47"/>
  <c r="G70" i="47"/>
  <c r="G60" i="42"/>
  <c r="AN86" i="14"/>
  <c r="N59" i="43"/>
  <c r="G61" i="50"/>
  <c r="E59" i="49"/>
  <c r="N73" i="41"/>
  <c r="G66" i="42"/>
  <c r="D40" i="50"/>
  <c r="AJ79" i="14"/>
  <c r="AN79" i="14" s="1"/>
  <c r="L71" i="40"/>
  <c r="K4" i="47"/>
  <c r="E64" i="49"/>
  <c r="G19" i="34"/>
  <c r="G40" i="34"/>
  <c r="AJ177" i="14"/>
  <c r="AN177" i="14" s="1"/>
  <c r="B21" i="12"/>
  <c r="B153" i="41" s="1"/>
  <c r="I147" i="41"/>
  <c r="B150" i="41"/>
  <c r="I176" i="12"/>
  <c r="B176" i="12"/>
  <c r="B174" i="12"/>
  <c r="K70" i="48"/>
  <c r="AN139" i="14"/>
  <c r="D60" i="42"/>
  <c r="AN47" i="14"/>
  <c r="K64" i="43"/>
  <c r="E70" i="47"/>
  <c r="F66" i="49"/>
  <c r="G63" i="42"/>
  <c r="N61" i="49"/>
  <c r="E60" i="43"/>
  <c r="L62" i="50"/>
  <c r="N63" i="49"/>
  <c r="L59" i="43"/>
  <c r="L60" i="50"/>
  <c r="G36" i="34"/>
  <c r="K82" i="41"/>
  <c r="D8" i="43"/>
  <c r="P29" i="19"/>
  <c r="D40" i="42"/>
  <c r="L72" i="41"/>
  <c r="D170" i="41"/>
  <c r="AJ45" i="14"/>
  <c r="AN45" i="14" s="1"/>
  <c r="G17" i="34"/>
  <c r="L70" i="40"/>
  <c r="D26" i="50"/>
  <c r="D126" i="49"/>
  <c r="G64" i="43"/>
  <c r="L65" i="50"/>
  <c r="N62" i="42"/>
  <c r="E75" i="47"/>
  <c r="D39" i="48"/>
  <c r="N63" i="50"/>
  <c r="Q5" i="19"/>
  <c r="E74" i="40"/>
  <c r="AJ113" i="14"/>
  <c r="AN113" i="14" s="1"/>
  <c r="D30" i="41"/>
  <c r="AJ16" i="14"/>
  <c r="AN16" i="14" s="1"/>
  <c r="K8" i="50"/>
  <c r="D82" i="40"/>
  <c r="D52" i="40"/>
  <c r="AN40" i="14"/>
  <c r="AJ114" i="14"/>
  <c r="G48" i="34"/>
  <c r="D37" i="19"/>
  <c r="D82" i="41"/>
  <c r="K70" i="50"/>
  <c r="D26" i="42"/>
  <c r="D37" i="43"/>
  <c r="AJ169" i="14"/>
  <c r="AN169" i="14" s="1"/>
  <c r="K71" i="49"/>
  <c r="AJ104" i="14"/>
  <c r="AN104" i="14" s="1"/>
  <c r="L63" i="42"/>
  <c r="AN173" i="14"/>
  <c r="G72" i="48"/>
  <c r="L74" i="47"/>
  <c r="N66" i="43"/>
  <c r="K39" i="48"/>
  <c r="K27" i="49"/>
  <c r="K30" i="43"/>
  <c r="Q26" i="19"/>
  <c r="D5" i="50"/>
  <c r="L72" i="40"/>
  <c r="L60" i="42"/>
  <c r="K26" i="49"/>
  <c r="AJ54" i="14"/>
  <c r="AN54" i="14" s="1"/>
  <c r="K49" i="40"/>
  <c r="K39" i="42"/>
  <c r="D6" i="48"/>
  <c r="D6" i="47"/>
  <c r="D172" i="48"/>
  <c r="G61" i="42"/>
  <c r="K83" i="48"/>
  <c r="K7" i="41"/>
  <c r="AJ55" i="14"/>
  <c r="AN55" i="14" s="1"/>
  <c r="D4" i="40"/>
  <c r="L66" i="42"/>
  <c r="P37" i="19"/>
  <c r="G60" i="49"/>
  <c r="G75" i="40"/>
  <c r="AJ143" i="14"/>
  <c r="AN143" i="14" s="1"/>
  <c r="N59" i="50"/>
  <c r="G74" i="41"/>
  <c r="G61" i="43"/>
  <c r="D7" i="50"/>
  <c r="K29" i="41"/>
  <c r="D39" i="42"/>
  <c r="G66" i="49"/>
  <c r="D4" i="50"/>
  <c r="AJ82" i="14"/>
  <c r="AN82" i="14" s="1"/>
  <c r="E73" i="41"/>
  <c r="P6" i="19"/>
  <c r="D28" i="50"/>
  <c r="D27" i="41"/>
  <c r="AJ136" i="14"/>
  <c r="AN136" i="14" s="1"/>
  <c r="E64" i="42"/>
  <c r="K27" i="50"/>
  <c r="AJ53" i="14"/>
  <c r="AN53" i="14" s="1"/>
  <c r="AJ19" i="14"/>
  <c r="AN19" i="14" s="1"/>
  <c r="P17" i="19"/>
  <c r="AJ14" i="14"/>
  <c r="AN14" i="14" s="1"/>
  <c r="AN49" i="14"/>
  <c r="I39" i="12"/>
  <c r="I20" i="12"/>
  <c r="I152" i="48" s="1"/>
  <c r="I18" i="12"/>
  <c r="I150" i="48" s="1"/>
  <c r="I22" i="12"/>
  <c r="I154" i="41" s="1"/>
  <c r="I28" i="12"/>
  <c r="B38" i="12"/>
  <c r="EB41" i="1"/>
  <c r="AN140" i="14"/>
  <c r="I150" i="41"/>
  <c r="I149" i="12"/>
  <c r="B171" i="12"/>
  <c r="B148" i="48"/>
  <c r="B43" i="12"/>
  <c r="D62" i="42"/>
  <c r="K70" i="40"/>
  <c r="K61" i="49"/>
  <c r="AN114" i="14"/>
  <c r="AN52" i="14"/>
  <c r="D70" i="41"/>
  <c r="AN170" i="14"/>
  <c r="AN77" i="14"/>
  <c r="AN118" i="14"/>
  <c r="D59" i="50"/>
  <c r="B154" i="48"/>
  <c r="G16" i="34"/>
  <c r="G28" i="34"/>
  <c r="G30" i="34"/>
  <c r="G39" i="34"/>
  <c r="G43" i="34"/>
  <c r="G22" i="34"/>
  <c r="G33" i="34"/>
  <c r="G42" i="34"/>
  <c r="G25" i="34"/>
  <c r="G44" i="34"/>
  <c r="B151" i="48"/>
  <c r="K71" i="48"/>
  <c r="B152" i="48"/>
  <c r="B152" i="41"/>
  <c r="D71" i="41"/>
  <c r="D71" i="48"/>
  <c r="D73" i="40"/>
  <c r="B147" i="41"/>
  <c r="D72" i="41"/>
  <c r="D72" i="48"/>
  <c r="D73" i="48"/>
  <c r="D73" i="41"/>
  <c r="D61" i="49"/>
  <c r="D61" i="42"/>
  <c r="K59" i="43"/>
  <c r="K59" i="50"/>
  <c r="D70" i="40"/>
  <c r="D70" i="47"/>
  <c r="U66" i="49" l="1"/>
  <c r="D253" i="49"/>
  <c r="U62" i="49"/>
  <c r="D249" i="49"/>
  <c r="J217" i="44"/>
  <c r="K217" i="44"/>
  <c r="Z491" i="6"/>
  <c r="R632" i="44"/>
  <c r="W609" i="44"/>
  <c r="D578" i="44"/>
  <c r="S576" i="44"/>
  <c r="S620" i="44"/>
  <c r="S580" i="44"/>
  <c r="W632" i="44"/>
  <c r="X600" i="44"/>
  <c r="Z232" i="6"/>
  <c r="AD232" i="6" s="1"/>
  <c r="S624" i="44"/>
  <c r="AE429" i="6"/>
  <c r="AB429" i="6" s="1"/>
  <c r="C429" i="6" s="1"/>
  <c r="J336" i="44"/>
  <c r="Q336" i="44" s="1"/>
  <c r="P445" i="44"/>
  <c r="W149" i="44"/>
  <c r="V436" i="44"/>
  <c r="D126" i="44"/>
  <c r="T207" i="50"/>
  <c r="V234" i="50"/>
  <c r="T240" i="40"/>
  <c r="T198" i="48"/>
  <c r="T203" i="49"/>
  <c r="D73" i="44"/>
  <c r="V262" i="40"/>
  <c r="V256" i="48"/>
  <c r="E368" i="44"/>
  <c r="V368" i="44" s="1"/>
  <c r="I536" i="44"/>
  <c r="V206" i="48"/>
  <c r="V228" i="44"/>
  <c r="D5" i="44"/>
  <c r="P5" i="44" s="1"/>
  <c r="AE180" i="6"/>
  <c r="AB180" i="6" s="1"/>
  <c r="C180" i="6" s="1"/>
  <c r="V191" i="44"/>
  <c r="R601" i="44"/>
  <c r="D533" i="44"/>
  <c r="P533" i="44" s="1"/>
  <c r="D379" i="44"/>
  <c r="P379" i="44" s="1"/>
  <c r="J567" i="44"/>
  <c r="W567" i="44" s="1"/>
  <c r="Y468" i="6"/>
  <c r="D598" i="44"/>
  <c r="R602" i="44"/>
  <c r="D624" i="44"/>
  <c r="Q620" i="44"/>
  <c r="Q612" i="44"/>
  <c r="W578" i="44"/>
  <c r="V16" i="44"/>
  <c r="J118" i="44"/>
  <c r="D500" i="44"/>
  <c r="P500" i="44" s="1"/>
  <c r="D393" i="44"/>
  <c r="V262" i="50"/>
  <c r="V591" i="44"/>
  <c r="E568" i="44"/>
  <c r="V568" i="44" s="1"/>
  <c r="AD333" i="6"/>
  <c r="AA333" i="6" s="1"/>
  <c r="B333" i="6" s="1"/>
  <c r="V273" i="48"/>
  <c r="T248" i="40"/>
  <c r="I368" i="44"/>
  <c r="J368" i="44" s="1"/>
  <c r="Q368" i="44" s="1"/>
  <c r="Y496" i="6"/>
  <c r="P478" i="44"/>
  <c r="T197" i="48"/>
  <c r="V220" i="40"/>
  <c r="V219" i="40"/>
  <c r="J5" i="44"/>
  <c r="Y232" i="6"/>
  <c r="D335" i="44"/>
  <c r="P335" i="44" s="1"/>
  <c r="Y499" i="6"/>
  <c r="P238" i="44"/>
  <c r="V218" i="49"/>
  <c r="E5" i="44"/>
  <c r="D84" i="44"/>
  <c r="P84" i="44" s="1"/>
  <c r="D104" i="44"/>
  <c r="D28" i="44"/>
  <c r="P28" i="44" s="1"/>
  <c r="D492" i="44"/>
  <c r="D580" i="44"/>
  <c r="W600" i="44"/>
  <c r="D612" i="44"/>
  <c r="AD362" i="6"/>
  <c r="AA362" i="6" s="1"/>
  <c r="B362" i="6" s="1"/>
  <c r="AE343" i="6"/>
  <c r="AB343" i="6" s="1"/>
  <c r="C343" i="6" s="1"/>
  <c r="J533" i="44"/>
  <c r="Q106" i="44"/>
  <c r="Q239" i="44"/>
  <c r="AD429" i="6"/>
  <c r="AA429" i="6" s="1"/>
  <c r="B429" i="6" s="1"/>
  <c r="Y490" i="6"/>
  <c r="W611" i="44"/>
  <c r="V446" i="44"/>
  <c r="AD302" i="6"/>
  <c r="AA302" i="6" s="1"/>
  <c r="B302" i="6" s="1"/>
  <c r="V252" i="50"/>
  <c r="P511" i="44"/>
  <c r="G19" i="5"/>
  <c r="R1" i="19"/>
  <c r="N12" i="34" s="1"/>
  <c r="P151" i="44"/>
  <c r="V151" i="44"/>
  <c r="P522" i="44"/>
  <c r="V522" i="44"/>
  <c r="K235" i="44"/>
  <c r="J235" i="44"/>
  <c r="K356" i="44"/>
  <c r="J356" i="44"/>
  <c r="J50" i="44"/>
  <c r="Q50" i="44" s="1"/>
  <c r="K50" i="44"/>
  <c r="Z138" i="6"/>
  <c r="AE138" i="6" s="1"/>
  <c r="V589" i="44"/>
  <c r="P589" i="44"/>
  <c r="Y13" i="6"/>
  <c r="I82" i="44"/>
  <c r="J82" i="44" s="1"/>
  <c r="E82" i="44"/>
  <c r="Y271" i="6"/>
  <c r="Z271" i="6" s="1"/>
  <c r="Y268" i="6"/>
  <c r="D358" i="44"/>
  <c r="D357" i="44"/>
  <c r="P357" i="44" s="1"/>
  <c r="D359" i="44"/>
  <c r="P359" i="44" s="1"/>
  <c r="E334" i="44"/>
  <c r="D334" i="44"/>
  <c r="P334" i="44" s="1"/>
  <c r="Y304" i="6"/>
  <c r="Z304" i="6" s="1"/>
  <c r="Y272" i="6"/>
  <c r="Y631" i="44"/>
  <c r="S631" i="44"/>
  <c r="E217" i="44"/>
  <c r="D217" i="44"/>
  <c r="Y459" i="6"/>
  <c r="Y85" i="6"/>
  <c r="Z85" i="6" s="1"/>
  <c r="T230" i="40"/>
  <c r="V230" i="40"/>
  <c r="Y144" i="6"/>
  <c r="Y136" i="6"/>
  <c r="Y147" i="6"/>
  <c r="Z139" i="6" s="1"/>
  <c r="Y137" i="6"/>
  <c r="Z137" i="6" s="1"/>
  <c r="Y148" i="6"/>
  <c r="Y138" i="6"/>
  <c r="I114" i="44"/>
  <c r="E114" i="44"/>
  <c r="V114" i="44" s="1"/>
  <c r="Y18" i="6"/>
  <c r="Y238" i="6"/>
  <c r="E543" i="44"/>
  <c r="D543" i="44"/>
  <c r="P543" i="44" s="1"/>
  <c r="I543" i="44"/>
  <c r="I6" i="44"/>
  <c r="E6" i="44"/>
  <c r="D6" i="44"/>
  <c r="T261" i="50"/>
  <c r="V261" i="50"/>
  <c r="J41" i="44"/>
  <c r="Q41" i="44" s="1"/>
  <c r="D41" i="44"/>
  <c r="D39" i="44"/>
  <c r="V39" i="44" s="1"/>
  <c r="D40" i="44"/>
  <c r="P40" i="44" s="1"/>
  <c r="E40" i="44"/>
  <c r="V40" i="44" s="1"/>
  <c r="Y241" i="6"/>
  <c r="Y235" i="6"/>
  <c r="Y236" i="6"/>
  <c r="D127" i="44"/>
  <c r="P127" i="44" s="1"/>
  <c r="D125" i="44"/>
  <c r="P125" i="44" s="1"/>
  <c r="D129" i="44"/>
  <c r="E128" i="44"/>
  <c r="D128" i="44"/>
  <c r="P128" i="44" s="1"/>
  <c r="I128" i="44"/>
  <c r="J128" i="44" s="1"/>
  <c r="Q128" i="44" s="1"/>
  <c r="E202" i="44"/>
  <c r="I202" i="44"/>
  <c r="D202" i="44"/>
  <c r="P202" i="44" s="1"/>
  <c r="V621" i="44"/>
  <c r="P621" i="44"/>
  <c r="Y435" i="6"/>
  <c r="Y427" i="6"/>
  <c r="Y425" i="6"/>
  <c r="Z425" i="6" s="1"/>
  <c r="Y434" i="6"/>
  <c r="Y426" i="6"/>
  <c r="Y436" i="6"/>
  <c r="Y424" i="6"/>
  <c r="Z424" i="6" s="1"/>
  <c r="AD424" i="6" s="1"/>
  <c r="Y361" i="6"/>
  <c r="Y364" i="6"/>
  <c r="Y372" i="6"/>
  <c r="E225" i="44"/>
  <c r="D225" i="44"/>
  <c r="I225" i="44"/>
  <c r="D635" i="44"/>
  <c r="Y471" i="6"/>
  <c r="Z471" i="6" s="1"/>
  <c r="Y48" i="6"/>
  <c r="Z48" i="6" s="1"/>
  <c r="AE48" i="6" s="1"/>
  <c r="AB48" i="6" s="1"/>
  <c r="C48" i="6" s="1"/>
  <c r="Y49" i="6"/>
  <c r="J72" i="44"/>
  <c r="Q72" i="44" s="1"/>
  <c r="D74" i="44"/>
  <c r="D72" i="44"/>
  <c r="P72" i="44" s="1"/>
  <c r="D71" i="44"/>
  <c r="I381" i="44"/>
  <c r="J381" i="44" s="1"/>
  <c r="Q381" i="44" s="1"/>
  <c r="D381" i="44"/>
  <c r="J382" i="44"/>
  <c r="Q382" i="44" s="1"/>
  <c r="D382" i="44"/>
  <c r="Y205" i="6"/>
  <c r="Z205" i="6" s="1"/>
  <c r="Y202" i="6"/>
  <c r="Y8" i="6"/>
  <c r="Z8" i="6" s="1"/>
  <c r="Y19" i="6"/>
  <c r="Y10" i="6"/>
  <c r="Z112" i="6"/>
  <c r="AE112" i="6" s="1"/>
  <c r="AB112" i="6" s="1"/>
  <c r="C112" i="6" s="1"/>
  <c r="E183" i="44"/>
  <c r="V183" i="44" s="1"/>
  <c r="I183" i="44"/>
  <c r="E415" i="44"/>
  <c r="D415" i="44"/>
  <c r="I415" i="44"/>
  <c r="J415" i="44" s="1"/>
  <c r="Q415" i="44" s="1"/>
  <c r="Y244" i="6"/>
  <c r="Z236" i="6" s="1"/>
  <c r="Y334" i="6"/>
  <c r="Y339" i="6"/>
  <c r="Y336" i="6"/>
  <c r="Z336" i="6" s="1"/>
  <c r="AA336" i="6" s="1"/>
  <c r="B336" i="6" s="1"/>
  <c r="Y330" i="6"/>
  <c r="Y331" i="6"/>
  <c r="Y332" i="6"/>
  <c r="Y328" i="6"/>
  <c r="Z328" i="6" s="1"/>
  <c r="AB328" i="6" s="1"/>
  <c r="C328" i="6" s="1"/>
  <c r="D611" i="44"/>
  <c r="V611" i="44"/>
  <c r="P611" i="44"/>
  <c r="I468" i="44"/>
  <c r="D468" i="44"/>
  <c r="P468" i="44" s="1"/>
  <c r="I470" i="44"/>
  <c r="E470" i="44"/>
  <c r="D470" i="44"/>
  <c r="P470" i="44" s="1"/>
  <c r="Y400" i="6"/>
  <c r="Y392" i="6"/>
  <c r="Y394" i="6"/>
  <c r="Z394" i="6" s="1"/>
  <c r="AE394" i="6" s="1"/>
  <c r="Y393" i="6"/>
  <c r="Y396" i="6"/>
  <c r="Y395" i="6"/>
  <c r="I137" i="44"/>
  <c r="D137" i="44"/>
  <c r="E137" i="44"/>
  <c r="I140" i="44"/>
  <c r="D140" i="44"/>
  <c r="Y86" i="6"/>
  <c r="Y209" i="6"/>
  <c r="Y140" i="6"/>
  <c r="Y458" i="6"/>
  <c r="Y467" i="6"/>
  <c r="Z467" i="6" s="1"/>
  <c r="AE467" i="6" s="1"/>
  <c r="AB467" i="6" s="1"/>
  <c r="C467" i="6" s="1"/>
  <c r="Y234" i="6"/>
  <c r="Z234" i="6" s="1"/>
  <c r="Y402" i="6"/>
  <c r="P183" i="44"/>
  <c r="V262" i="49"/>
  <c r="T262" i="49"/>
  <c r="T250" i="40"/>
  <c r="Z499" i="6"/>
  <c r="K160" i="44"/>
  <c r="J160" i="44"/>
  <c r="V242" i="49"/>
  <c r="Y23" i="6"/>
  <c r="Z23" i="6" s="1"/>
  <c r="Y171" i="6"/>
  <c r="Z171" i="6" s="1"/>
  <c r="AE171" i="6" s="1"/>
  <c r="AB171" i="6" s="1"/>
  <c r="C171" i="6" s="1"/>
  <c r="I103" i="44"/>
  <c r="D103" i="44"/>
  <c r="I525" i="44"/>
  <c r="E525" i="44"/>
  <c r="D525" i="44"/>
  <c r="D30" i="44"/>
  <c r="P30" i="44" s="1"/>
  <c r="E30" i="44"/>
  <c r="V580" i="44"/>
  <c r="S587" i="44"/>
  <c r="Z240" i="6"/>
  <c r="P578" i="44"/>
  <c r="Z168" i="6"/>
  <c r="AA168" i="6" s="1"/>
  <c r="B168" i="6" s="1"/>
  <c r="Z339" i="6"/>
  <c r="AE339" i="6" s="1"/>
  <c r="Y620" i="44"/>
  <c r="Q93" i="44"/>
  <c r="AE463" i="6"/>
  <c r="AB463" i="6" s="1"/>
  <c r="C463" i="6" s="1"/>
  <c r="AE362" i="6"/>
  <c r="AB362" i="6" s="1"/>
  <c r="C362" i="6" s="1"/>
  <c r="Y465" i="6"/>
  <c r="Y170" i="6"/>
  <c r="P591" i="44"/>
  <c r="T205" i="50"/>
  <c r="AE22" i="6"/>
  <c r="AB22" i="6" s="1"/>
  <c r="C22" i="6" s="1"/>
  <c r="Y371" i="6"/>
  <c r="I40" i="44"/>
  <c r="K40" i="44" s="1"/>
  <c r="I151" i="44"/>
  <c r="R589" i="44"/>
  <c r="Y11" i="6"/>
  <c r="E379" i="44"/>
  <c r="V379" i="44" s="1"/>
  <c r="AD85" i="6"/>
  <c r="AA85" i="6" s="1"/>
  <c r="B85" i="6" s="1"/>
  <c r="Y428" i="6"/>
  <c r="D567" i="44"/>
  <c r="Y52" i="6"/>
  <c r="Y276" i="6"/>
  <c r="Y41" i="6"/>
  <c r="P169" i="44"/>
  <c r="Y299" i="6"/>
  <c r="Z299" i="6" s="1"/>
  <c r="AE299" i="6" s="1"/>
  <c r="I334" i="44"/>
  <c r="K334" i="44" s="1"/>
  <c r="E567" i="44"/>
  <c r="E160" i="44"/>
  <c r="D160" i="44"/>
  <c r="I195" i="44"/>
  <c r="D195" i="44"/>
  <c r="P195" i="44" s="1"/>
  <c r="E195" i="44"/>
  <c r="P105" i="44"/>
  <c r="Y80" i="6"/>
  <c r="Y73" i="6"/>
  <c r="Y74" i="6"/>
  <c r="Z74" i="6" s="1"/>
  <c r="Y72" i="6"/>
  <c r="Z72" i="6" s="1"/>
  <c r="Y83" i="6"/>
  <c r="Y84" i="6"/>
  <c r="Y81" i="6"/>
  <c r="Z81" i="6" s="1"/>
  <c r="AE81" i="6" s="1"/>
  <c r="D523" i="44"/>
  <c r="V523" i="44" s="1"/>
  <c r="J522" i="44"/>
  <c r="Q522" i="44" s="1"/>
  <c r="D524" i="44"/>
  <c r="V524" i="44" s="1"/>
  <c r="J524" i="44"/>
  <c r="Y587" i="44"/>
  <c r="Z488" i="6"/>
  <c r="Z10" i="6"/>
  <c r="Y296" i="6"/>
  <c r="Y464" i="6"/>
  <c r="Y433" i="6"/>
  <c r="I568" i="44"/>
  <c r="AD471" i="6"/>
  <c r="AA471" i="6" s="1"/>
  <c r="B471" i="6" s="1"/>
  <c r="T275" i="48"/>
  <c r="D37" i="44"/>
  <c r="E151" i="44"/>
  <c r="P426" i="44"/>
  <c r="D589" i="44"/>
  <c r="AE23" i="6"/>
  <c r="AB23" i="6" s="1"/>
  <c r="C23" i="6" s="1"/>
  <c r="Y210" i="6"/>
  <c r="D621" i="44"/>
  <c r="D378" i="44"/>
  <c r="E381" i="44"/>
  <c r="Y329" i="6"/>
  <c r="Y300" i="6"/>
  <c r="Z300" i="6" s="1"/>
  <c r="Y116" i="6"/>
  <c r="Y176" i="6"/>
  <c r="Y177" i="6"/>
  <c r="Y403" i="6"/>
  <c r="Z403" i="6" s="1"/>
  <c r="AE403" i="6" s="1"/>
  <c r="AB403" i="6" s="1"/>
  <c r="C403" i="6" s="1"/>
  <c r="P191" i="44"/>
  <c r="J74" i="44"/>
  <c r="Q74" i="44" s="1"/>
  <c r="J63" i="44"/>
  <c r="K63" i="44"/>
  <c r="E468" i="44"/>
  <c r="E477" i="44"/>
  <c r="I477" i="44"/>
  <c r="I480" i="44"/>
  <c r="K480" i="44" s="1"/>
  <c r="D480" i="44"/>
  <c r="Y298" i="6"/>
  <c r="Y306" i="6"/>
  <c r="Y297" i="6"/>
  <c r="Z297" i="6" s="1"/>
  <c r="Y87" i="6"/>
  <c r="D513" i="44"/>
  <c r="P513" i="44" s="1"/>
  <c r="E513" i="44"/>
  <c r="D601" i="44"/>
  <c r="W588" i="44"/>
  <c r="Q588" i="44"/>
  <c r="D588" i="44"/>
  <c r="J49" i="44"/>
  <c r="Q49" i="44" s="1"/>
  <c r="D49" i="44"/>
  <c r="Y204" i="6"/>
  <c r="Y201" i="6"/>
  <c r="Y203" i="6"/>
  <c r="Z203" i="6" s="1"/>
  <c r="Y211" i="6"/>
  <c r="Y273" i="6"/>
  <c r="Y265" i="6"/>
  <c r="Y264" i="6"/>
  <c r="Z264" i="6" s="1"/>
  <c r="AE264" i="6" s="1"/>
  <c r="AB264" i="6" s="1"/>
  <c r="C264" i="6" s="1"/>
  <c r="Y266" i="6"/>
  <c r="Z266" i="6" s="1"/>
  <c r="Y267" i="6"/>
  <c r="Y105" i="6"/>
  <c r="Y107" i="6"/>
  <c r="Y178" i="6"/>
  <c r="K433" i="44"/>
  <c r="J433" i="44"/>
  <c r="W433" i="44" s="1"/>
  <c r="Y108" i="6"/>
  <c r="Z108" i="6" s="1"/>
  <c r="D60" i="44"/>
  <c r="P60" i="44" s="1"/>
  <c r="D61" i="44"/>
  <c r="D62" i="44"/>
  <c r="V212" i="49"/>
  <c r="T212" i="49"/>
  <c r="W577" i="44"/>
  <c r="Q577" i="44"/>
  <c r="V249" i="40"/>
  <c r="T249" i="40"/>
  <c r="G20" i="5"/>
  <c r="G18" i="5"/>
  <c r="Y42" i="6"/>
  <c r="Z50" i="6" s="1"/>
  <c r="Y44" i="6"/>
  <c r="Q191" i="44"/>
  <c r="Y460" i="6"/>
  <c r="I393" i="44"/>
  <c r="K393" i="44" s="1"/>
  <c r="E433" i="44"/>
  <c r="Q601" i="44"/>
  <c r="Y275" i="6"/>
  <c r="V239" i="44"/>
  <c r="AE309" i="6"/>
  <c r="AB309" i="6" s="1"/>
  <c r="C309" i="6" s="1"/>
  <c r="E533" i="44"/>
  <c r="D63" i="44"/>
  <c r="P63" i="44" s="1"/>
  <c r="T205" i="49"/>
  <c r="T242" i="50"/>
  <c r="K566" i="44"/>
  <c r="J566" i="44"/>
  <c r="J38" i="44"/>
  <c r="W38" i="44" s="1"/>
  <c r="Y305" i="6"/>
  <c r="Q194" i="44"/>
  <c r="Y308" i="6"/>
  <c r="Y106" i="6"/>
  <c r="V511" i="44"/>
  <c r="P173" i="44"/>
  <c r="D52" i="44"/>
  <c r="P52" i="44" s="1"/>
  <c r="Y457" i="6"/>
  <c r="Y466" i="6"/>
  <c r="Y456" i="6"/>
  <c r="E159" i="44"/>
  <c r="D159" i="44"/>
  <c r="I159" i="44"/>
  <c r="D158" i="44"/>
  <c r="V158" i="44" s="1"/>
  <c r="D162" i="44"/>
  <c r="Y168" i="6"/>
  <c r="P610" i="44"/>
  <c r="V610" i="44"/>
  <c r="Y233" i="6"/>
  <c r="Z233" i="6" s="1"/>
  <c r="E356" i="44"/>
  <c r="D356" i="44"/>
  <c r="J359" i="44"/>
  <c r="Q359" i="44" s="1"/>
  <c r="K359" i="44"/>
  <c r="W359" i="44" s="1"/>
  <c r="D360" i="44"/>
  <c r="P360" i="44" s="1"/>
  <c r="Y489" i="6"/>
  <c r="Y498" i="6"/>
  <c r="Y500" i="6"/>
  <c r="Z500" i="6" s="1"/>
  <c r="J107" i="44"/>
  <c r="Q107" i="44" s="1"/>
  <c r="K107" i="44"/>
  <c r="W107" i="44" s="1"/>
  <c r="E521" i="44"/>
  <c r="D521" i="44"/>
  <c r="P521" i="44" s="1"/>
  <c r="D337" i="44"/>
  <c r="P337" i="44" s="1"/>
  <c r="Y337" i="6"/>
  <c r="Z337" i="6" s="1"/>
  <c r="AE337" i="6" s="1"/>
  <c r="J129" i="44"/>
  <c r="Q129" i="44" s="1"/>
  <c r="J469" i="44"/>
  <c r="D82" i="44"/>
  <c r="J523" i="44"/>
  <c r="Y432" i="6"/>
  <c r="D338" i="44"/>
  <c r="P338" i="44" s="1"/>
  <c r="Q426" i="44"/>
  <c r="W59" i="50"/>
  <c r="V59" i="50"/>
  <c r="W60" i="50"/>
  <c r="V60" i="50"/>
  <c r="V59" i="49"/>
  <c r="W59" i="49"/>
  <c r="D247" i="49"/>
  <c r="W60" i="49"/>
  <c r="V60" i="49"/>
  <c r="D246" i="49"/>
  <c r="D259" i="48"/>
  <c r="V62" i="50"/>
  <c r="W62" i="50"/>
  <c r="V70" i="48"/>
  <c r="W70" i="48"/>
  <c r="D246" i="50"/>
  <c r="W70" i="40"/>
  <c r="V70" i="40"/>
  <c r="W61" i="49"/>
  <c r="V61" i="49"/>
  <c r="V71" i="40"/>
  <c r="W71" i="40"/>
  <c r="D248" i="49"/>
  <c r="D257" i="48"/>
  <c r="W72" i="40"/>
  <c r="V72" i="40"/>
  <c r="V73" i="48"/>
  <c r="W73" i="48"/>
  <c r="W72" i="48"/>
  <c r="V72" i="48"/>
  <c r="D257" i="40"/>
  <c r="V61" i="50"/>
  <c r="W61" i="50"/>
  <c r="W71" i="48"/>
  <c r="V71" i="48"/>
  <c r="Z73" i="40"/>
  <c r="AK177" i="14"/>
  <c r="AK149" i="14"/>
  <c r="AW149" i="14" s="1"/>
  <c r="AZ149" i="14" s="1"/>
  <c r="D213" i="50"/>
  <c r="W51" i="48"/>
  <c r="V51" i="48"/>
  <c r="AK20" i="14"/>
  <c r="D225" i="49"/>
  <c r="AK14" i="14"/>
  <c r="D191" i="50"/>
  <c r="W26" i="48"/>
  <c r="V26" i="48"/>
  <c r="D213" i="40"/>
  <c r="D227" i="49"/>
  <c r="D268" i="40"/>
  <c r="D213" i="48"/>
  <c r="V7" i="40"/>
  <c r="W7" i="40"/>
  <c r="V27" i="49"/>
  <c r="W27" i="49"/>
  <c r="W7" i="49"/>
  <c r="V7" i="49"/>
  <c r="AK19" i="14"/>
  <c r="AW19" i="14" s="1"/>
  <c r="AZ19" i="14" s="1"/>
  <c r="W71" i="50"/>
  <c r="V71" i="50"/>
  <c r="AK106" i="14"/>
  <c r="AW106" i="14" s="1"/>
  <c r="AZ106" i="14" s="1"/>
  <c r="W71" i="49"/>
  <c r="D268" i="48"/>
  <c r="AK53" i="14"/>
  <c r="AW53" i="14"/>
  <c r="AZ53" i="14" s="1"/>
  <c r="AK47" i="14"/>
  <c r="V5" i="49"/>
  <c r="W5" i="49"/>
  <c r="D214" i="50"/>
  <c r="AK118" i="14"/>
  <c r="D225" i="40"/>
  <c r="E260" i="48"/>
  <c r="D191" i="48"/>
  <c r="D215" i="49"/>
  <c r="E262" i="40"/>
  <c r="AK136" i="14"/>
  <c r="AX136" i="14" s="1"/>
  <c r="BA136" i="14" s="1"/>
  <c r="D191" i="40"/>
  <c r="V27" i="48"/>
  <c r="W27" i="48"/>
  <c r="E246" i="49"/>
  <c r="AK145" i="14"/>
  <c r="AK107" i="14"/>
  <c r="W28" i="50"/>
  <c r="V28" i="50"/>
  <c r="E258" i="40"/>
  <c r="W4" i="49"/>
  <c r="V4" i="49"/>
  <c r="AK150" i="14"/>
  <c r="AW150" i="14"/>
  <c r="AZ150" i="14" s="1"/>
  <c r="G13" i="5"/>
  <c r="V49" i="48"/>
  <c r="W49" i="48"/>
  <c r="AK79" i="14"/>
  <c r="AW79" i="14" s="1"/>
  <c r="AZ79" i="14" s="1"/>
  <c r="D270" i="40"/>
  <c r="AK82" i="14"/>
  <c r="W40" i="50"/>
  <c r="V40" i="50"/>
  <c r="AK10" i="14"/>
  <c r="AW10" i="14" s="1"/>
  <c r="AZ10" i="14" s="1"/>
  <c r="AK74" i="14"/>
  <c r="AW74" i="14" s="1"/>
  <c r="AZ74" i="14" s="1"/>
  <c r="AX74" i="14"/>
  <c r="BA74" i="14" s="1"/>
  <c r="V4" i="48"/>
  <c r="W4" i="48"/>
  <c r="V4" i="50"/>
  <c r="W4" i="50"/>
  <c r="V30" i="49"/>
  <c r="W30" i="49"/>
  <c r="Z66" i="49"/>
  <c r="W39" i="49"/>
  <c r="V39" i="49"/>
  <c r="D216" i="48"/>
  <c r="V7" i="50"/>
  <c r="W7" i="50"/>
  <c r="AK22" i="14"/>
  <c r="AX22" i="14" s="1"/>
  <c r="BA22" i="14" s="1"/>
  <c r="W125" i="50"/>
  <c r="AK77" i="14"/>
  <c r="B77" i="14" s="1"/>
  <c r="AW77" i="14"/>
  <c r="AZ77" i="14" s="1"/>
  <c r="Z61" i="50"/>
  <c r="D191" i="49"/>
  <c r="D225" i="50"/>
  <c r="Z74" i="48"/>
  <c r="E251" i="49"/>
  <c r="E262" i="48"/>
  <c r="AK143" i="14"/>
  <c r="Z75" i="40"/>
  <c r="Z65" i="50"/>
  <c r="Z60" i="49"/>
  <c r="Z59" i="50"/>
  <c r="E261" i="48"/>
  <c r="Z72" i="40"/>
  <c r="E250" i="50"/>
  <c r="Z70" i="40"/>
  <c r="E253" i="49"/>
  <c r="AK176" i="14"/>
  <c r="AX176" i="14" s="1"/>
  <c r="BA176" i="14" s="1"/>
  <c r="D224" i="49"/>
  <c r="W4" i="40"/>
  <c r="V4" i="40"/>
  <c r="D216" i="40"/>
  <c r="AK55" i="14"/>
  <c r="AX55" i="14" s="1"/>
  <c r="BA55" i="14" s="1"/>
  <c r="W128" i="50"/>
  <c r="W38" i="40"/>
  <c r="V38" i="40"/>
  <c r="AK21" i="14"/>
  <c r="AW21" i="14" s="1"/>
  <c r="AZ21" i="14" s="1"/>
  <c r="D194" i="48"/>
  <c r="V8" i="49"/>
  <c r="W8" i="49"/>
  <c r="D270" i="48"/>
  <c r="V26" i="40"/>
  <c r="W26" i="40"/>
  <c r="AK42" i="14"/>
  <c r="AK50" i="14"/>
  <c r="AX50" i="14" s="1"/>
  <c r="BA50" i="14" s="1"/>
  <c r="W50" i="40"/>
  <c r="V50" i="40"/>
  <c r="Z61" i="49"/>
  <c r="V52" i="48"/>
  <c r="W52" i="48"/>
  <c r="AK73" i="14"/>
  <c r="AK116" i="14"/>
  <c r="AX116" i="14" s="1"/>
  <c r="BA116" i="14" s="1"/>
  <c r="V6" i="49"/>
  <c r="W6" i="49"/>
  <c r="W37" i="49"/>
  <c r="V37" i="49"/>
  <c r="W6" i="40"/>
  <c r="V6" i="40"/>
  <c r="W5" i="40"/>
  <c r="V5" i="40"/>
  <c r="D225" i="48"/>
  <c r="V6" i="48"/>
  <c r="W6" i="48"/>
  <c r="D214" i="40"/>
  <c r="D258" i="50"/>
  <c r="AK46" i="14"/>
  <c r="AK141" i="14"/>
  <c r="D226" i="49"/>
  <c r="V29" i="49"/>
  <c r="W29" i="49"/>
  <c r="AK179" i="14"/>
  <c r="AM179" i="14" s="1"/>
  <c r="AV179" i="14" s="1"/>
  <c r="AU179" i="14" s="1"/>
  <c r="AT179" i="14" s="1"/>
  <c r="W128" i="49"/>
  <c r="D236" i="40"/>
  <c r="W70" i="50"/>
  <c r="V70" i="50"/>
  <c r="AK44" i="14"/>
  <c r="AM44" i="14" s="1"/>
  <c r="AK170" i="14"/>
  <c r="W39" i="40"/>
  <c r="V39" i="40"/>
  <c r="AK54" i="14"/>
  <c r="B54" i="14" s="1"/>
  <c r="AK182" i="14"/>
  <c r="AK108" i="14"/>
  <c r="AX108" i="14" s="1"/>
  <c r="BA108" i="14" s="1"/>
  <c r="D236" i="48"/>
  <c r="D213" i="49"/>
  <c r="D193" i="49"/>
  <c r="D224" i="40"/>
  <c r="W51" i="40"/>
  <c r="V51" i="40"/>
  <c r="D238" i="48"/>
  <c r="V38" i="49"/>
  <c r="W38" i="49"/>
  <c r="E247" i="49"/>
  <c r="D224" i="50"/>
  <c r="W39" i="50"/>
  <c r="V39" i="50"/>
  <c r="E259" i="40"/>
  <c r="Z71" i="48"/>
  <c r="W5" i="50"/>
  <c r="V5" i="50"/>
  <c r="W83" i="40"/>
  <c r="W73" i="50"/>
  <c r="V73" i="50"/>
  <c r="Z73" i="48"/>
  <c r="W125" i="49"/>
  <c r="D194" i="50"/>
  <c r="V27" i="40"/>
  <c r="W27" i="40"/>
  <c r="W38" i="50"/>
  <c r="V38" i="50"/>
  <c r="W6" i="50"/>
  <c r="V6" i="50"/>
  <c r="V7" i="48"/>
  <c r="W7" i="48"/>
  <c r="AK105" i="14"/>
  <c r="AW105" i="14" s="1"/>
  <c r="AZ105" i="14" s="1"/>
  <c r="D217" i="50"/>
  <c r="D214" i="49"/>
  <c r="D226" i="48"/>
  <c r="Z59" i="49"/>
  <c r="E261" i="40"/>
  <c r="D248" i="50"/>
  <c r="U61" i="50"/>
  <c r="E248" i="50"/>
  <c r="Z77" i="48"/>
  <c r="Z72" i="48"/>
  <c r="W81" i="40"/>
  <c r="E252" i="49"/>
  <c r="E248" i="49"/>
  <c r="E250" i="49"/>
  <c r="Z71" i="40"/>
  <c r="W27" i="50"/>
  <c r="V27" i="50"/>
  <c r="Z70" i="48"/>
  <c r="U76" i="48"/>
  <c r="D263" i="48"/>
  <c r="AK104" i="14"/>
  <c r="D192" i="49"/>
  <c r="D214" i="48"/>
  <c r="D226" i="40"/>
  <c r="AK15" i="14"/>
  <c r="AX15" i="14" s="1"/>
  <c r="BA15" i="14" s="1"/>
  <c r="D258" i="49"/>
  <c r="V48" i="48"/>
  <c r="W48" i="48"/>
  <c r="AK169" i="14"/>
  <c r="AX169" i="14" s="1"/>
  <c r="BA169" i="14" s="1"/>
  <c r="AK23" i="14"/>
  <c r="AW23" i="14" s="1"/>
  <c r="AZ23" i="14" s="1"/>
  <c r="AK49" i="14"/>
  <c r="AK87" i="14"/>
  <c r="AX87" i="14" s="1"/>
  <c r="BA87" i="14" s="1"/>
  <c r="AK178" i="14"/>
  <c r="B178" i="14" s="1"/>
  <c r="W40" i="48"/>
  <c r="V40" i="48"/>
  <c r="AK137" i="14"/>
  <c r="AK151" i="14"/>
  <c r="AX151" i="14" s="1"/>
  <c r="BA151" i="14" s="1"/>
  <c r="V37" i="50"/>
  <c r="W37" i="50"/>
  <c r="W70" i="49"/>
  <c r="AK147" i="14"/>
  <c r="V26" i="49"/>
  <c r="W26" i="49"/>
  <c r="W29" i="40"/>
  <c r="V29" i="40"/>
  <c r="V28" i="40"/>
  <c r="W28" i="40"/>
  <c r="D257" i="50"/>
  <c r="V37" i="40"/>
  <c r="W37" i="40"/>
  <c r="W127" i="50"/>
  <c r="AK8" i="14"/>
  <c r="AW8" i="14" s="1"/>
  <c r="AZ8" i="14" s="1"/>
  <c r="W82" i="48"/>
  <c r="V82" i="48"/>
  <c r="V40" i="40"/>
  <c r="W40" i="40"/>
  <c r="D193" i="50"/>
  <c r="AK109" i="14"/>
  <c r="AK175" i="14"/>
  <c r="AM175" i="14" s="1"/>
  <c r="AK117" i="14"/>
  <c r="AX117" i="14" s="1"/>
  <c r="BA117" i="14" s="1"/>
  <c r="AK52" i="14"/>
  <c r="D216" i="50"/>
  <c r="AK139" i="14"/>
  <c r="C139" i="14" s="1"/>
  <c r="AK80" i="14"/>
  <c r="AW80" i="14" s="1"/>
  <c r="AZ80" i="14" s="1"/>
  <c r="Z64" i="49"/>
  <c r="AK13" i="14"/>
  <c r="AW13" i="14"/>
  <c r="AZ13" i="14" s="1"/>
  <c r="AK115" i="14"/>
  <c r="AK85" i="14"/>
  <c r="D192" i="40"/>
  <c r="AK114" i="14"/>
  <c r="AW114" i="14" s="1"/>
  <c r="AZ114" i="14" s="1"/>
  <c r="V41" i="40"/>
  <c r="W41" i="40"/>
  <c r="AK183" i="14"/>
  <c r="AX183" i="14"/>
  <c r="BA183" i="14" s="1"/>
  <c r="E260" i="40"/>
  <c r="Z62" i="49"/>
  <c r="V29" i="50"/>
  <c r="W29" i="50"/>
  <c r="V52" i="40"/>
  <c r="W52" i="40"/>
  <c r="W38" i="48"/>
  <c r="V38" i="48"/>
  <c r="AK168" i="14"/>
  <c r="AK41" i="14"/>
  <c r="W82" i="40"/>
  <c r="W72" i="50"/>
  <c r="V72" i="50"/>
  <c r="W81" i="48"/>
  <c r="V81" i="48"/>
  <c r="D195" i="50"/>
  <c r="V29" i="48"/>
  <c r="W29" i="48"/>
  <c r="W28" i="48"/>
  <c r="V28" i="48"/>
  <c r="AK144" i="14"/>
  <c r="D216" i="49"/>
  <c r="AK16" i="14"/>
  <c r="AK18" i="14"/>
  <c r="AX18" i="14" s="1"/>
  <c r="BA18" i="14" s="1"/>
  <c r="D224" i="48"/>
  <c r="D192" i="50"/>
  <c r="W30" i="48"/>
  <c r="V30" i="48"/>
  <c r="D237" i="48"/>
  <c r="AK180" i="14"/>
  <c r="AW180" i="14"/>
  <c r="AZ180" i="14" s="1"/>
  <c r="D215" i="40"/>
  <c r="AK113" i="14"/>
  <c r="D192" i="48"/>
  <c r="D215" i="50"/>
  <c r="Z77" i="40"/>
  <c r="E258" i="48"/>
  <c r="D235" i="40"/>
  <c r="V39" i="48"/>
  <c r="W39" i="48"/>
  <c r="Z65" i="49"/>
  <c r="Z66" i="50"/>
  <c r="E263" i="48"/>
  <c r="G16" i="5"/>
  <c r="V83" i="48"/>
  <c r="W83" i="48"/>
  <c r="AK173" i="14"/>
  <c r="E252" i="50"/>
  <c r="Z60" i="50"/>
  <c r="Z64" i="50"/>
  <c r="Z63" i="50"/>
  <c r="W126" i="49"/>
  <c r="V26" i="50"/>
  <c r="W26" i="50"/>
  <c r="D237" i="40"/>
  <c r="V49" i="40"/>
  <c r="W49" i="40"/>
  <c r="AK142" i="14"/>
  <c r="AW142" i="14"/>
  <c r="AZ142" i="14" s="1"/>
  <c r="AK138" i="14"/>
  <c r="C138" i="14" s="1"/>
  <c r="AK146" i="14"/>
  <c r="E257" i="40"/>
  <c r="D194" i="49"/>
  <c r="W50" i="48"/>
  <c r="V50" i="48"/>
  <c r="D257" i="49"/>
  <c r="W72" i="49"/>
  <c r="AK112" i="14"/>
  <c r="C112" i="14" s="1"/>
  <c r="D269" i="40"/>
  <c r="AK110" i="14"/>
  <c r="AK119" i="14"/>
  <c r="AW119" i="14"/>
  <c r="AZ119" i="14" s="1"/>
  <c r="V28" i="49"/>
  <c r="W28" i="49"/>
  <c r="AK45" i="14"/>
  <c r="AK48" i="14"/>
  <c r="AM48" i="14" s="1"/>
  <c r="D235" i="48"/>
  <c r="AK51" i="14"/>
  <c r="AK72" i="14"/>
  <c r="AX72" i="14" s="1"/>
  <c r="BA72" i="14" s="1"/>
  <c r="E259" i="48"/>
  <c r="V40" i="49"/>
  <c r="W40" i="49"/>
  <c r="V30" i="50"/>
  <c r="W30" i="50"/>
  <c r="W126" i="50"/>
  <c r="AK40" i="14"/>
  <c r="E263" i="40"/>
  <c r="AK174" i="14"/>
  <c r="AX174" i="14" s="1"/>
  <c r="BA174" i="14" s="1"/>
  <c r="V5" i="48"/>
  <c r="W5" i="48"/>
  <c r="AK78" i="14"/>
  <c r="C78" i="14" s="1"/>
  <c r="AX78" i="14"/>
  <c r="BA78" i="14" s="1"/>
  <c r="W8" i="50"/>
  <c r="V8" i="50"/>
  <c r="D215" i="48"/>
  <c r="AX81" i="14"/>
  <c r="AK81" i="14"/>
  <c r="E257" i="48"/>
  <c r="AK181" i="14"/>
  <c r="D193" i="48"/>
  <c r="AK111" i="14"/>
  <c r="D269" i="48"/>
  <c r="E251" i="50"/>
  <c r="W127" i="49"/>
  <c r="W48" i="40"/>
  <c r="V48" i="40"/>
  <c r="W37" i="48"/>
  <c r="V37" i="48"/>
  <c r="Z75" i="48"/>
  <c r="Z74" i="40"/>
  <c r="E264" i="48"/>
  <c r="E247" i="50"/>
  <c r="E264" i="40"/>
  <c r="E246" i="50"/>
  <c r="U73" i="40"/>
  <c r="D260" i="40"/>
  <c r="Z62" i="50"/>
  <c r="G15" i="5"/>
  <c r="E249" i="50"/>
  <c r="G17" i="5"/>
  <c r="AK86" i="14"/>
  <c r="Z76" i="48"/>
  <c r="G14" i="5"/>
  <c r="E249" i="49"/>
  <c r="Z63" i="49"/>
  <c r="E253" i="50"/>
  <c r="Z76" i="40"/>
  <c r="P29" i="44"/>
  <c r="AK148" i="14"/>
  <c r="AK17" i="14"/>
  <c r="AW17" i="14" s="1"/>
  <c r="AZ17" i="14" s="1"/>
  <c r="AK83" i="14"/>
  <c r="AK84" i="14"/>
  <c r="AM84" i="14" s="1"/>
  <c r="AK9" i="14"/>
  <c r="AK43" i="14"/>
  <c r="E359" i="44"/>
  <c r="I489" i="44"/>
  <c r="J489" i="44" s="1"/>
  <c r="Q489" i="44" s="1"/>
  <c r="D610" i="44"/>
  <c r="E489" i="44"/>
  <c r="V489" i="44" s="1"/>
  <c r="AE77" i="6"/>
  <c r="AB77" i="6" s="1"/>
  <c r="C77" i="6" s="1"/>
  <c r="E83" i="44"/>
  <c r="V83" i="44" s="1"/>
  <c r="I83" i="44"/>
  <c r="S610" i="44"/>
  <c r="Y610" i="44"/>
  <c r="S591" i="44"/>
  <c r="Y591" i="44"/>
  <c r="E28" i="44"/>
  <c r="V28" i="44" s="1"/>
  <c r="I28" i="44"/>
  <c r="S589" i="44"/>
  <c r="Y589" i="44"/>
  <c r="I19" i="44"/>
  <c r="E19" i="44"/>
  <c r="V19" i="44" s="1"/>
  <c r="D633" i="44"/>
  <c r="V633" i="44"/>
  <c r="Z633" i="44" s="1"/>
  <c r="P633" i="44"/>
  <c r="E125" i="44"/>
  <c r="I125" i="44"/>
  <c r="I206" i="44"/>
  <c r="E206" i="44"/>
  <c r="V206" i="44" s="1"/>
  <c r="I203" i="44"/>
  <c r="E203" i="44"/>
  <c r="V203" i="44" s="1"/>
  <c r="T333" i="40"/>
  <c r="V333" i="40"/>
  <c r="I70" i="44"/>
  <c r="E70" i="44"/>
  <c r="T204" i="50"/>
  <c r="V204" i="50"/>
  <c r="D623" i="44"/>
  <c r="P623" i="44"/>
  <c r="V623" i="44"/>
  <c r="I413" i="44"/>
  <c r="E413" i="44"/>
  <c r="V413" i="44" s="1"/>
  <c r="D411" i="44"/>
  <c r="E96" i="44"/>
  <c r="I96" i="44"/>
  <c r="D96" i="44"/>
  <c r="I92" i="44"/>
  <c r="E92" i="44"/>
  <c r="V577" i="44"/>
  <c r="P577" i="44"/>
  <c r="T264" i="49"/>
  <c r="V264" i="49"/>
  <c r="E139" i="44"/>
  <c r="I139" i="44"/>
  <c r="V228" i="49"/>
  <c r="T228" i="49"/>
  <c r="Y113" i="6"/>
  <c r="Z105" i="6" s="1"/>
  <c r="AD105" i="6" s="1"/>
  <c r="E512" i="44"/>
  <c r="D512" i="44"/>
  <c r="I512" i="44"/>
  <c r="E51" i="44"/>
  <c r="D51" i="44"/>
  <c r="I51" i="44"/>
  <c r="Q613" i="44"/>
  <c r="W613" i="44"/>
  <c r="E404" i="44"/>
  <c r="D404" i="44"/>
  <c r="I404" i="44"/>
  <c r="E348" i="44"/>
  <c r="D348" i="44"/>
  <c r="I348" i="44"/>
  <c r="V259" i="50"/>
  <c r="T259" i="50"/>
  <c r="V226" i="50"/>
  <c r="T226" i="50"/>
  <c r="E437" i="44"/>
  <c r="I437" i="44"/>
  <c r="D437" i="44"/>
  <c r="V220" i="48"/>
  <c r="T220" i="48"/>
  <c r="I60" i="44"/>
  <c r="E60" i="44"/>
  <c r="V60" i="44" s="1"/>
  <c r="T267" i="40"/>
  <c r="V267" i="40"/>
  <c r="V198" i="49"/>
  <c r="T198" i="49"/>
  <c r="V219" i="48"/>
  <c r="T219" i="48"/>
  <c r="S623" i="44"/>
  <c r="Y623" i="44"/>
  <c r="T237" i="50"/>
  <c r="V237" i="50"/>
  <c r="I371" i="44"/>
  <c r="E371" i="44"/>
  <c r="V371" i="44" s="1"/>
  <c r="V219" i="49"/>
  <c r="T219" i="49"/>
  <c r="V217" i="49"/>
  <c r="T217" i="49"/>
  <c r="V197" i="40"/>
  <c r="T197" i="40"/>
  <c r="V218" i="48"/>
  <c r="T218" i="48"/>
  <c r="V234" i="40"/>
  <c r="T234" i="40"/>
  <c r="V195" i="49"/>
  <c r="T195" i="49"/>
  <c r="T271" i="40"/>
  <c r="V271" i="40"/>
  <c r="V262" i="48"/>
  <c r="T262" i="48"/>
  <c r="T245" i="49"/>
  <c r="V245" i="49"/>
  <c r="V245" i="48"/>
  <c r="T245" i="48"/>
  <c r="T220" i="49"/>
  <c r="V220" i="49"/>
  <c r="V253" i="49"/>
  <c r="T253" i="49"/>
  <c r="V261" i="48"/>
  <c r="T261" i="48"/>
  <c r="J158" i="44"/>
  <c r="P106" i="44"/>
  <c r="K38" i="44"/>
  <c r="D118" i="44"/>
  <c r="AD78" i="6"/>
  <c r="AA78" i="6" s="1"/>
  <c r="B78" i="6" s="1"/>
  <c r="E336" i="44"/>
  <c r="V336" i="44" s="1"/>
  <c r="I193" i="44"/>
  <c r="I85" i="44"/>
  <c r="E85" i="44"/>
  <c r="V85" i="44" s="1"/>
  <c r="X613" i="44"/>
  <c r="R613" i="44"/>
  <c r="E27" i="44"/>
  <c r="I27" i="44"/>
  <c r="I18" i="44"/>
  <c r="E18" i="44"/>
  <c r="V18" i="44" s="1"/>
  <c r="E445" i="44"/>
  <c r="I445" i="44"/>
  <c r="I545" i="44"/>
  <c r="E545" i="44"/>
  <c r="V545" i="44" s="1"/>
  <c r="E4" i="44"/>
  <c r="V4" i="44" s="1"/>
  <c r="I4" i="44"/>
  <c r="I147" i="44"/>
  <c r="E147" i="44"/>
  <c r="E71" i="44"/>
  <c r="I71" i="44"/>
  <c r="W623" i="44"/>
  <c r="Q623" i="44"/>
  <c r="Y110" i="6"/>
  <c r="Z110" i="6" s="1"/>
  <c r="AD110" i="6" s="1"/>
  <c r="AA110" i="6" s="1"/>
  <c r="B110" i="6" s="1"/>
  <c r="E171" i="44"/>
  <c r="I171" i="44"/>
  <c r="V260" i="50"/>
  <c r="T260" i="50"/>
  <c r="I94" i="44"/>
  <c r="D94" i="44"/>
  <c r="S611" i="44"/>
  <c r="Y611" i="44"/>
  <c r="I389" i="44"/>
  <c r="E389" i="44"/>
  <c r="V389" i="44" s="1"/>
  <c r="I510" i="44"/>
  <c r="E510" i="44"/>
  <c r="X635" i="44"/>
  <c r="R635" i="44"/>
  <c r="Y577" i="44"/>
  <c r="S577" i="44"/>
  <c r="E402" i="44"/>
  <c r="V402" i="44" s="1"/>
  <c r="I402" i="44"/>
  <c r="X621" i="44"/>
  <c r="R621" i="44"/>
  <c r="T206" i="50"/>
  <c r="V206" i="50"/>
  <c r="I345" i="44"/>
  <c r="D345" i="44"/>
  <c r="E347" i="44"/>
  <c r="D347" i="44"/>
  <c r="I347" i="44"/>
  <c r="I435" i="44"/>
  <c r="E435" i="44"/>
  <c r="D435" i="44"/>
  <c r="I503" i="44"/>
  <c r="D503" i="44"/>
  <c r="E503" i="44"/>
  <c r="D502" i="44"/>
  <c r="P502" i="44" s="1"/>
  <c r="D455" i="44"/>
  <c r="P455" i="44" s="1"/>
  <c r="D456" i="44"/>
  <c r="E456" i="44"/>
  <c r="I456" i="44"/>
  <c r="V256" i="50"/>
  <c r="T256" i="50"/>
  <c r="T219" i="50"/>
  <c r="V219" i="50"/>
  <c r="T193" i="40"/>
  <c r="V193" i="40"/>
  <c r="T227" i="48"/>
  <c r="V227" i="48"/>
  <c r="T234" i="48"/>
  <c r="V234" i="48"/>
  <c r="V218" i="40"/>
  <c r="T218" i="40"/>
  <c r="T238" i="49"/>
  <c r="V238" i="49"/>
  <c r="T239" i="49"/>
  <c r="V239" i="49"/>
  <c r="V194" i="40"/>
  <c r="T194" i="40"/>
  <c r="T205" i="48"/>
  <c r="V205" i="48"/>
  <c r="V228" i="48"/>
  <c r="T228" i="48"/>
  <c r="T217" i="48"/>
  <c r="V217" i="48"/>
  <c r="V203" i="40"/>
  <c r="T203" i="40"/>
  <c r="V229" i="50"/>
  <c r="T229" i="50"/>
  <c r="N13" i="34"/>
  <c r="V13" i="34" s="1"/>
  <c r="V253" i="50"/>
  <c r="T253" i="50"/>
  <c r="T241" i="40"/>
  <c r="V241" i="40"/>
  <c r="V235" i="49"/>
  <c r="T235" i="49"/>
  <c r="T261" i="40"/>
  <c r="V261" i="40"/>
  <c r="V50" i="44"/>
  <c r="AD77" i="6"/>
  <c r="AA77" i="6" s="1"/>
  <c r="B77" i="6" s="1"/>
  <c r="Y12" i="6"/>
  <c r="Z12" i="6" s="1"/>
  <c r="AE12" i="6" s="1"/>
  <c r="AB12" i="6" s="1"/>
  <c r="C12" i="6" s="1"/>
  <c r="I357" i="44"/>
  <c r="E357" i="44"/>
  <c r="V357" i="44" s="1"/>
  <c r="E29" i="44"/>
  <c r="V29" i="44" s="1"/>
  <c r="I29" i="44"/>
  <c r="E488" i="44"/>
  <c r="V488" i="44" s="1"/>
  <c r="I488" i="44"/>
  <c r="D447" i="44"/>
  <c r="Y45" i="6"/>
  <c r="Z45" i="6" s="1"/>
  <c r="AD45" i="6" s="1"/>
  <c r="AA45" i="6" s="1"/>
  <c r="B45" i="6" s="1"/>
  <c r="E558" i="44"/>
  <c r="V558" i="44" s="1"/>
  <c r="I558" i="44"/>
  <c r="E216" i="44"/>
  <c r="I216" i="44"/>
  <c r="D216" i="44"/>
  <c r="D425" i="44"/>
  <c r="P425" i="44" s="1"/>
  <c r="I425" i="44"/>
  <c r="E425" i="44"/>
  <c r="E116" i="44"/>
  <c r="V116" i="44" s="1"/>
  <c r="I116" i="44"/>
  <c r="Q633" i="44"/>
  <c r="W633" i="44"/>
  <c r="AA633" i="44" s="1"/>
  <c r="E547" i="44"/>
  <c r="V547" i="44" s="1"/>
  <c r="I547" i="44"/>
  <c r="D149" i="44"/>
  <c r="E149" i="44"/>
  <c r="I237" i="44"/>
  <c r="D237" i="44"/>
  <c r="E237" i="44"/>
  <c r="E380" i="44"/>
  <c r="I380" i="44"/>
  <c r="D380" i="44"/>
  <c r="T245" i="50"/>
  <c r="V245" i="50"/>
  <c r="E180" i="44"/>
  <c r="V180" i="44" s="1"/>
  <c r="I180" i="44"/>
  <c r="I182" i="44"/>
  <c r="E182" i="44"/>
  <c r="V182" i="44" s="1"/>
  <c r="E169" i="44"/>
  <c r="I169" i="44"/>
  <c r="E469" i="44"/>
  <c r="D469" i="44"/>
  <c r="E467" i="44"/>
  <c r="D467" i="44"/>
  <c r="I467" i="44"/>
  <c r="T230" i="49"/>
  <c r="V230" i="49"/>
  <c r="W621" i="44"/>
  <c r="Q621" i="44"/>
  <c r="T198" i="40"/>
  <c r="V198" i="40"/>
  <c r="I403" i="44"/>
  <c r="E403" i="44"/>
  <c r="V403" i="44" s="1"/>
  <c r="E434" i="44"/>
  <c r="D434" i="44"/>
  <c r="I434" i="44"/>
  <c r="E501" i="44"/>
  <c r="D501" i="44"/>
  <c r="E457" i="44"/>
  <c r="D457" i="44"/>
  <c r="I457" i="44"/>
  <c r="T203" i="50"/>
  <c r="V203" i="50"/>
  <c r="V236" i="49"/>
  <c r="T236" i="49"/>
  <c r="V252" i="48"/>
  <c r="T252" i="48"/>
  <c r="D370" i="44"/>
  <c r="P370" i="44" s="1"/>
  <c r="V209" i="50"/>
  <c r="T209" i="50"/>
  <c r="V204" i="49"/>
  <c r="T204" i="49"/>
  <c r="V209" i="40"/>
  <c r="T209" i="40"/>
  <c r="T204" i="48"/>
  <c r="V204" i="48"/>
  <c r="V228" i="40"/>
  <c r="T228" i="40"/>
  <c r="T230" i="50"/>
  <c r="V230" i="50"/>
  <c r="V246" i="48"/>
  <c r="T246" i="48"/>
  <c r="V250" i="48"/>
  <c r="T250" i="48"/>
  <c r="T263" i="40"/>
  <c r="V263" i="40"/>
  <c r="V71" i="44"/>
  <c r="W589" i="44"/>
  <c r="Q589" i="44"/>
  <c r="E84" i="44"/>
  <c r="V84" i="44" s="1"/>
  <c r="I84" i="44"/>
  <c r="I161" i="44"/>
  <c r="E161" i="44"/>
  <c r="E360" i="44"/>
  <c r="V360" i="44" s="1"/>
  <c r="I360" i="44"/>
  <c r="E105" i="44"/>
  <c r="V105" i="44" s="1"/>
  <c r="I105" i="44"/>
  <c r="I337" i="44"/>
  <c r="E337" i="44"/>
  <c r="V337" i="44" s="1"/>
  <c r="I26" i="44"/>
  <c r="E26" i="44"/>
  <c r="X623" i="44"/>
  <c r="R623" i="44"/>
  <c r="E448" i="44"/>
  <c r="V448" i="44" s="1"/>
  <c r="I448" i="44"/>
  <c r="D215" i="44"/>
  <c r="I215" i="44"/>
  <c r="E215" i="44"/>
  <c r="I569" i="44"/>
  <c r="E569" i="44"/>
  <c r="V569" i="44" s="1"/>
  <c r="E38" i="44"/>
  <c r="D38" i="44"/>
  <c r="E127" i="44"/>
  <c r="I127" i="44"/>
  <c r="S635" i="44"/>
  <c r="Y635" i="44"/>
  <c r="Q635" i="44"/>
  <c r="W635" i="44"/>
  <c r="T259" i="49"/>
  <c r="V259" i="49"/>
  <c r="E170" i="44"/>
  <c r="I170" i="44"/>
  <c r="S579" i="44"/>
  <c r="Y579" i="44"/>
  <c r="V229" i="49"/>
  <c r="T229" i="49"/>
  <c r="I481" i="44"/>
  <c r="D481" i="44"/>
  <c r="I390" i="44"/>
  <c r="E390" i="44"/>
  <c r="V390" i="44" s="1"/>
  <c r="I514" i="44"/>
  <c r="E514" i="44"/>
  <c r="D514" i="44"/>
  <c r="I48" i="44"/>
  <c r="E48" i="44"/>
  <c r="D48" i="44"/>
  <c r="T230" i="48"/>
  <c r="V230" i="48"/>
  <c r="Y633" i="44"/>
  <c r="AC633" i="44" s="1"/>
  <c r="S633" i="44"/>
  <c r="T272" i="40"/>
  <c r="V272" i="40"/>
  <c r="E349" i="44"/>
  <c r="D349" i="44"/>
  <c r="I349" i="44"/>
  <c r="R633" i="44"/>
  <c r="X633" i="44"/>
  <c r="AB633" i="44" s="1"/>
  <c r="V212" i="50"/>
  <c r="T212" i="50"/>
  <c r="E459" i="44"/>
  <c r="I459" i="44"/>
  <c r="D459" i="44"/>
  <c r="V579" i="44"/>
  <c r="P579" i="44"/>
  <c r="V223" i="50"/>
  <c r="T223" i="50"/>
  <c r="V202" i="49"/>
  <c r="T202" i="49"/>
  <c r="T240" i="49"/>
  <c r="V240" i="49"/>
  <c r="V236" i="50"/>
  <c r="T236" i="50"/>
  <c r="V206" i="40"/>
  <c r="T206" i="40"/>
  <c r="V203" i="48"/>
  <c r="T203" i="48"/>
  <c r="T253" i="48"/>
  <c r="V253" i="48"/>
  <c r="V207" i="48"/>
  <c r="T207" i="48"/>
  <c r="T239" i="40"/>
  <c r="V239" i="40"/>
  <c r="T196" i="49"/>
  <c r="V196" i="49"/>
  <c r="V261" i="49"/>
  <c r="T261" i="49"/>
  <c r="V259" i="40"/>
  <c r="T259" i="40"/>
  <c r="V272" i="48"/>
  <c r="T272" i="48"/>
  <c r="BQ179" i="14"/>
  <c r="Z330" i="6"/>
  <c r="AD330" i="6" s="1"/>
  <c r="AD274" i="6"/>
  <c r="AA274" i="6" s="1"/>
  <c r="B274" i="6" s="1"/>
  <c r="Z427" i="6"/>
  <c r="V532" i="44"/>
  <c r="AX146" i="14"/>
  <c r="BA146" i="14" s="1"/>
  <c r="C22" i="14"/>
  <c r="AX77" i="14"/>
  <c r="BA77" i="14" s="1"/>
  <c r="AM139" i="14"/>
  <c r="BO139" i="14" s="1"/>
  <c r="AM77" i="14"/>
  <c r="W382" i="44"/>
  <c r="Q38" i="44"/>
  <c r="B175" i="14"/>
  <c r="Z372" i="6"/>
  <c r="AE372" i="6" s="1"/>
  <c r="V95" i="44"/>
  <c r="V238" i="44"/>
  <c r="V63" i="44"/>
  <c r="V147" i="44"/>
  <c r="Z147" i="44" s="1"/>
  <c r="Z147" i="6"/>
  <c r="AE147" i="6" s="1"/>
  <c r="Z432" i="6"/>
  <c r="Z457" i="6"/>
  <c r="AX149" i="14"/>
  <c r="BA149" i="14" s="1"/>
  <c r="B141" i="14"/>
  <c r="B143" i="14"/>
  <c r="B119" i="14"/>
  <c r="AM51" i="14"/>
  <c r="BM51" i="14" s="1"/>
  <c r="AM168" i="14"/>
  <c r="BQ168" i="14" s="1"/>
  <c r="Z44" i="6"/>
  <c r="AA44" i="6" s="1"/>
  <c r="B44" i="6" s="1"/>
  <c r="Z402" i="6"/>
  <c r="AE402" i="6" s="1"/>
  <c r="AB402" i="6" s="1"/>
  <c r="C402" i="6" s="1"/>
  <c r="Z435" i="6"/>
  <c r="C19" i="14"/>
  <c r="AX51" i="14"/>
  <c r="BA51" i="14" s="1"/>
  <c r="AM141" i="14"/>
  <c r="BK141" i="14" s="1"/>
  <c r="B107" i="14"/>
  <c r="AL22" i="14"/>
  <c r="AM143" i="14"/>
  <c r="BL143" i="14" s="1"/>
  <c r="AX168" i="14"/>
  <c r="BA168" i="14" s="1"/>
  <c r="P158" i="44"/>
  <c r="Q544" i="44"/>
  <c r="P239" i="44"/>
  <c r="P95" i="44"/>
  <c r="P138" i="44"/>
  <c r="P71" i="44"/>
  <c r="W392" i="44"/>
  <c r="V510" i="44"/>
  <c r="B51" i="14"/>
  <c r="AW51" i="14"/>
  <c r="AZ51" i="14" s="1"/>
  <c r="AM105" i="14"/>
  <c r="B149" i="14"/>
  <c r="B139" i="14"/>
  <c r="B168" i="14"/>
  <c r="AL77" i="14"/>
  <c r="Q567" i="44"/>
  <c r="K346" i="44"/>
  <c r="W346" i="44" s="1"/>
  <c r="Z332" i="6"/>
  <c r="AE332" i="6" s="1"/>
  <c r="AB332" i="6" s="1"/>
  <c r="C332" i="6" s="1"/>
  <c r="B19" i="14"/>
  <c r="AM107" i="14"/>
  <c r="BL107" i="14" s="1"/>
  <c r="B22" i="14"/>
  <c r="AW143" i="14"/>
  <c r="AZ143" i="14" s="1"/>
  <c r="AD439" i="6"/>
  <c r="AA439" i="6" s="1"/>
  <c r="B439" i="6" s="1"/>
  <c r="AM178" i="14"/>
  <c r="AX47" i="14"/>
  <c r="BA47" i="14" s="1"/>
  <c r="C77" i="14"/>
  <c r="Q433" i="44"/>
  <c r="Z331" i="6"/>
  <c r="Z140" i="6"/>
  <c r="Z465" i="6"/>
  <c r="AD465" i="6" s="1"/>
  <c r="AA465" i="6" s="1"/>
  <c r="B465" i="6" s="1"/>
  <c r="Z148" i="6"/>
  <c r="AX19" i="14"/>
  <c r="BA19" i="14" s="1"/>
  <c r="C141" i="14"/>
  <c r="AX141" i="14"/>
  <c r="BA141" i="14" s="1"/>
  <c r="C107" i="14"/>
  <c r="AW107" i="14"/>
  <c r="AZ107" i="14" s="1"/>
  <c r="AM22" i="14"/>
  <c r="AV22" i="14" s="1"/>
  <c r="AU22" i="14" s="1"/>
  <c r="AT22" i="14" s="1"/>
  <c r="AW22" i="14"/>
  <c r="AZ22" i="14" s="1"/>
  <c r="AL143" i="14"/>
  <c r="AM47" i="14"/>
  <c r="BQ47" i="14" s="1"/>
  <c r="C168" i="14"/>
  <c r="V346" i="44"/>
  <c r="V468" i="44"/>
  <c r="V392" i="44"/>
  <c r="V128" i="44"/>
  <c r="V173" i="44"/>
  <c r="Z340" i="6"/>
  <c r="AA340" i="6" s="1"/>
  <c r="B340" i="6" s="1"/>
  <c r="AM146" i="14"/>
  <c r="AM14" i="14"/>
  <c r="BN14" i="14" s="1"/>
  <c r="C136" i="14"/>
  <c r="AX137" i="14"/>
  <c r="BA137" i="14" s="1"/>
  <c r="AM118" i="14"/>
  <c r="C18" i="14"/>
  <c r="AL173" i="14"/>
  <c r="BI173" i="14" s="1"/>
  <c r="AE246" i="6"/>
  <c r="AB246" i="6" s="1"/>
  <c r="C246" i="6" s="1"/>
  <c r="AD79" i="6"/>
  <c r="AA79" i="6" s="1"/>
  <c r="B79" i="6" s="1"/>
  <c r="C23" i="14"/>
  <c r="B87" i="14"/>
  <c r="B85" i="14"/>
  <c r="AM82" i="14"/>
  <c r="BM82" i="14" s="1"/>
  <c r="AW109" i="14"/>
  <c r="AZ109" i="14" s="1"/>
  <c r="V127" i="44"/>
  <c r="AD469" i="6"/>
  <c r="AA469" i="6" s="1"/>
  <c r="B469" i="6" s="1"/>
  <c r="K544" i="44"/>
  <c r="V70" i="44"/>
  <c r="V477" i="44"/>
  <c r="AE20" i="6"/>
  <c r="AB20" i="6" s="1"/>
  <c r="C20" i="6" s="1"/>
  <c r="AD461" i="6"/>
  <c r="AA461" i="6" s="1"/>
  <c r="B461" i="6" s="1"/>
  <c r="J492" i="44"/>
  <c r="Q492" i="44" s="1"/>
  <c r="J565" i="44"/>
  <c r="K129" i="44"/>
  <c r="W129" i="44" s="1"/>
  <c r="C54" i="14"/>
  <c r="Z49" i="6"/>
  <c r="Z244" i="6"/>
  <c r="AE244" i="6" s="1"/>
  <c r="AB244" i="6" s="1"/>
  <c r="C244" i="6" s="1"/>
  <c r="AX85" i="14"/>
  <c r="BA85" i="14" s="1"/>
  <c r="AM136" i="14"/>
  <c r="BO136" i="14" s="1"/>
  <c r="AX82" i="14"/>
  <c r="BA82" i="14" s="1"/>
  <c r="C118" i="14"/>
  <c r="AX173" i="14"/>
  <c r="BA173" i="14" s="1"/>
  <c r="C85" i="14"/>
  <c r="C82" i="14"/>
  <c r="C86" i="14"/>
  <c r="AL109" i="14"/>
  <c r="K501" i="44"/>
  <c r="W501" i="44" s="1"/>
  <c r="Z268" i="6"/>
  <c r="AD268" i="6" s="1"/>
  <c r="W41" i="44"/>
  <c r="B8" i="14"/>
  <c r="C74" i="14"/>
  <c r="B144" i="14"/>
  <c r="B110" i="14"/>
  <c r="AL175" i="14"/>
  <c r="BE175" i="14" s="1"/>
  <c r="AL13" i="14"/>
  <c r="B78" i="14"/>
  <c r="Z306" i="6"/>
  <c r="AD306" i="6" s="1"/>
  <c r="AA306" i="6" s="1"/>
  <c r="B306" i="6" s="1"/>
  <c r="P236" i="44"/>
  <c r="B74" i="14"/>
  <c r="AM144" i="14"/>
  <c r="BQ144" i="14" s="1"/>
  <c r="AW110" i="14"/>
  <c r="AZ110" i="14" s="1"/>
  <c r="C175" i="14"/>
  <c r="AW175" i="14"/>
  <c r="AZ175" i="14" s="1"/>
  <c r="AD470" i="6"/>
  <c r="AA470" i="6" s="1"/>
  <c r="B470" i="6" s="1"/>
  <c r="P524" i="44"/>
  <c r="J335" i="44"/>
  <c r="Q335" i="44" s="1"/>
  <c r="J334" i="44"/>
  <c r="Q334" i="44" s="1"/>
  <c r="P424" i="44"/>
  <c r="K149" i="44"/>
  <c r="K424" i="44"/>
  <c r="AD172" i="6"/>
  <c r="AE172" i="6"/>
  <c r="AB172" i="6" s="1"/>
  <c r="C172" i="6" s="1"/>
  <c r="AD8" i="6"/>
  <c r="Z18" i="6"/>
  <c r="Z83" i="6"/>
  <c r="Z433" i="6"/>
  <c r="AD433" i="6" s="1"/>
  <c r="Z201" i="6"/>
  <c r="AE201" i="6" s="1"/>
  <c r="AB201" i="6" s="1"/>
  <c r="C201" i="6" s="1"/>
  <c r="Z496" i="6"/>
  <c r="AA496" i="6" s="1"/>
  <c r="B496" i="6" s="1"/>
  <c r="AE117" i="6"/>
  <c r="AB117" i="6" s="1"/>
  <c r="C117" i="6" s="1"/>
  <c r="AE109" i="6"/>
  <c r="AB109" i="6" s="1"/>
  <c r="C109" i="6" s="1"/>
  <c r="BN179" i="14"/>
  <c r="BO179" i="14"/>
  <c r="BM179" i="14"/>
  <c r="Z76" i="6"/>
  <c r="AE76" i="6" s="1"/>
  <c r="AB76" i="6" s="1"/>
  <c r="C76" i="6" s="1"/>
  <c r="AL49" i="14"/>
  <c r="BC49" i="14" s="1"/>
  <c r="Z106" i="6"/>
  <c r="AW179" i="14"/>
  <c r="AZ179" i="14" s="1"/>
  <c r="BP179" i="14"/>
  <c r="BR179" i="14"/>
  <c r="BL179" i="14"/>
  <c r="BK179" i="14"/>
  <c r="AX179" i="14"/>
  <c r="BA179" i="14" s="1"/>
  <c r="C179" i="14" s="1"/>
  <c r="Z84" i="6"/>
  <c r="Z364" i="6"/>
  <c r="Z114" i="6"/>
  <c r="AD114" i="6" s="1"/>
  <c r="AA114" i="6" s="1"/>
  <c r="B114" i="6" s="1"/>
  <c r="Z490" i="6"/>
  <c r="AE490" i="6" s="1"/>
  <c r="AB490" i="6" s="1"/>
  <c r="C490" i="6" s="1"/>
  <c r="Z209" i="6"/>
  <c r="AD209" i="6" s="1"/>
  <c r="AA209" i="6" s="1"/>
  <c r="B209" i="6" s="1"/>
  <c r="Q205" i="44"/>
  <c r="Z272" i="6"/>
  <c r="AA272" i="6" s="1"/>
  <c r="B272" i="6" s="1"/>
  <c r="AE399" i="6"/>
  <c r="AB399" i="6" s="1"/>
  <c r="C399" i="6" s="1"/>
  <c r="AE213" i="6"/>
  <c r="AB213" i="6" s="1"/>
  <c r="C213" i="6" s="1"/>
  <c r="P192" i="44"/>
  <c r="K426" i="44"/>
  <c r="W426" i="44" s="1"/>
  <c r="AW16" i="14"/>
  <c r="AZ16" i="14" s="1"/>
  <c r="V227" i="44"/>
  <c r="AD17" i="6"/>
  <c r="AA17" i="6" s="1"/>
  <c r="B17" i="6" s="1"/>
  <c r="V195" i="44"/>
  <c r="AD137" i="6"/>
  <c r="Z456" i="6"/>
  <c r="AE456" i="6" s="1"/>
  <c r="AB456" i="6" s="1"/>
  <c r="C456" i="6" s="1"/>
  <c r="AE497" i="6"/>
  <c r="AB497" i="6" s="1"/>
  <c r="C497" i="6" s="1"/>
  <c r="V193" i="44"/>
  <c r="Z464" i="6"/>
  <c r="AA464" i="6" s="1"/>
  <c r="B464" i="6" s="1"/>
  <c r="AD171" i="6"/>
  <c r="AE310" i="6"/>
  <c r="AB310" i="6" s="1"/>
  <c r="C310" i="6" s="1"/>
  <c r="AD502" i="6"/>
  <c r="AA502" i="6" s="1"/>
  <c r="B502" i="6" s="1"/>
  <c r="AD47" i="6"/>
  <c r="AA47" i="6" s="1"/>
  <c r="B47" i="6" s="1"/>
  <c r="Q115" i="44"/>
  <c r="W115" i="44"/>
  <c r="J137" i="44"/>
  <c r="K137" i="44"/>
  <c r="Q556" i="44"/>
  <c r="W556" i="44"/>
  <c r="J511" i="44"/>
  <c r="K511" i="44"/>
  <c r="J95" i="44"/>
  <c r="K95" i="44"/>
  <c r="AE47" i="6"/>
  <c r="AB47" i="6" s="1"/>
  <c r="C47" i="6" s="1"/>
  <c r="AX150" i="14"/>
  <c r="BA150" i="14" s="1"/>
  <c r="V117" i="44"/>
  <c r="P117" i="44"/>
  <c r="K415" i="44"/>
  <c r="T169" i="44"/>
  <c r="Z169" i="44"/>
  <c r="W391" i="44"/>
  <c r="J225" i="44"/>
  <c r="K225" i="44"/>
  <c r="J238" i="44"/>
  <c r="Q238" i="44" s="1"/>
  <c r="K238" i="44"/>
  <c r="J480" i="44"/>
  <c r="Q480" i="44" s="1"/>
  <c r="Q546" i="44"/>
  <c r="W546" i="44"/>
  <c r="W522" i="44"/>
  <c r="V92" i="44"/>
  <c r="J104" i="44"/>
  <c r="K104" i="44"/>
  <c r="J490" i="44"/>
  <c r="K490" i="44"/>
  <c r="J412" i="44"/>
  <c r="K412" i="44"/>
  <c r="W74" i="44"/>
  <c r="AE269" i="6"/>
  <c r="AB269" i="6" s="1"/>
  <c r="C269" i="6" s="1"/>
  <c r="AE174" i="6"/>
  <c r="AB174" i="6" s="1"/>
  <c r="C174" i="6" s="1"/>
  <c r="V491" i="44"/>
  <c r="J162" i="44"/>
  <c r="K162" i="44"/>
  <c r="AE398" i="6"/>
  <c r="AB398" i="6" s="1"/>
  <c r="C398" i="6" s="1"/>
  <c r="Z73" i="6"/>
  <c r="AE73" i="6" s="1"/>
  <c r="AB73" i="6" s="1"/>
  <c r="C73" i="6" s="1"/>
  <c r="AE274" i="6"/>
  <c r="AB274" i="6" s="1"/>
  <c r="C274" i="6" s="1"/>
  <c r="AE234" i="6"/>
  <c r="AB234" i="6" s="1"/>
  <c r="C234" i="6" s="1"/>
  <c r="AD234" i="6"/>
  <c r="AE338" i="6"/>
  <c r="AB338" i="6" s="1"/>
  <c r="C338" i="6" s="1"/>
  <c r="AD175" i="6"/>
  <c r="AA175" i="6" s="1"/>
  <c r="B175" i="6" s="1"/>
  <c r="AE149" i="6"/>
  <c r="AB149" i="6" s="1"/>
  <c r="C149" i="6" s="1"/>
  <c r="Z498" i="6"/>
  <c r="AE498" i="6" s="1"/>
  <c r="AX111" i="14"/>
  <c r="BA111" i="14" s="1"/>
  <c r="AW136" i="14"/>
  <c r="AZ136" i="14" s="1"/>
  <c r="P217" i="44"/>
  <c r="Q5" i="44"/>
  <c r="W5" i="44"/>
  <c r="J226" i="44"/>
  <c r="Q226" i="44" s="1"/>
  <c r="K226" i="44"/>
  <c r="Z397" i="6"/>
  <c r="AE397" i="6" s="1"/>
  <c r="AB397" i="6" s="1"/>
  <c r="C397" i="6" s="1"/>
  <c r="V490" i="44"/>
  <c r="J8" i="44"/>
  <c r="K8" i="44"/>
  <c r="J338" i="44"/>
  <c r="K338" i="44"/>
  <c r="J447" i="44"/>
  <c r="K447" i="44"/>
  <c r="AD279" i="6"/>
  <c r="AA279" i="6" s="1"/>
  <c r="B279" i="6" s="1"/>
  <c r="AE278" i="6"/>
  <c r="AB278" i="6" s="1"/>
  <c r="C278" i="6" s="1"/>
  <c r="AE370" i="6"/>
  <c r="AB370" i="6" s="1"/>
  <c r="C370" i="6" s="1"/>
  <c r="P194" i="44"/>
  <c r="V194" i="44"/>
  <c r="AD495" i="6"/>
  <c r="AA495" i="6" s="1"/>
  <c r="B495" i="6" s="1"/>
  <c r="J521" i="44"/>
  <c r="K521" i="44"/>
  <c r="V391" i="44"/>
  <c r="J140" i="44"/>
  <c r="K140" i="44"/>
  <c r="V226" i="44"/>
  <c r="AE15" i="6"/>
  <c r="AB15" i="6" s="1"/>
  <c r="C15" i="6" s="1"/>
  <c r="W194" i="44"/>
  <c r="AE438" i="6"/>
  <c r="AB438" i="6" s="1"/>
  <c r="C438" i="6" s="1"/>
  <c r="V72" i="44"/>
  <c r="AE279" i="6"/>
  <c r="AB279" i="6" s="1"/>
  <c r="C279" i="6" s="1"/>
  <c r="Z392" i="6"/>
  <c r="AD392" i="6" s="1"/>
  <c r="Q566" i="44"/>
  <c r="AD462" i="6"/>
  <c r="AA462" i="6" s="1"/>
  <c r="B462" i="6" s="1"/>
  <c r="V93" i="44"/>
  <c r="J81" i="44"/>
  <c r="Q81" i="44" s="1"/>
  <c r="K81" i="44"/>
  <c r="J491" i="44"/>
  <c r="K491" i="44"/>
  <c r="AE183" i="6"/>
  <c r="AB183" i="6" s="1"/>
  <c r="C183" i="6" s="1"/>
  <c r="AD22" i="6"/>
  <c r="AA22" i="6" s="1"/>
  <c r="B22" i="6" s="1"/>
  <c r="W73" i="40"/>
  <c r="V83" i="40"/>
  <c r="V82" i="40"/>
  <c r="V73" i="40"/>
  <c r="V81" i="40"/>
  <c r="D258" i="48"/>
  <c r="V499" i="44"/>
  <c r="P499" i="44"/>
  <c r="J500" i="44"/>
  <c r="Q500" i="44" s="1"/>
  <c r="K500" i="44"/>
  <c r="J181" i="44"/>
  <c r="K181" i="44"/>
  <c r="Z468" i="6"/>
  <c r="AE468" i="6" s="1"/>
  <c r="AD401" i="6"/>
  <c r="AA401" i="6" s="1"/>
  <c r="B401" i="6" s="1"/>
  <c r="W213" i="44"/>
  <c r="J499" i="44"/>
  <c r="Q499" i="44" s="1"/>
  <c r="K499" i="44"/>
  <c r="P172" i="44"/>
  <c r="V172" i="44"/>
  <c r="J184" i="44"/>
  <c r="Q184" i="44" s="1"/>
  <c r="K184" i="44"/>
  <c r="AD48" i="6"/>
  <c r="AA48" i="6" s="1"/>
  <c r="B48" i="6" s="1"/>
  <c r="V414" i="44"/>
  <c r="P367" i="44"/>
  <c r="V367" i="44"/>
  <c r="AD53" i="6"/>
  <c r="AA53" i="6" s="1"/>
  <c r="B53" i="6" s="1"/>
  <c r="J393" i="44"/>
  <c r="Q393" i="44" s="1"/>
  <c r="V534" i="44"/>
  <c r="P534" i="44"/>
  <c r="V535" i="44"/>
  <c r="P535" i="44"/>
  <c r="J136" i="44"/>
  <c r="Q136" i="44" s="1"/>
  <c r="K136" i="44"/>
  <c r="V466" i="44"/>
  <c r="P204" i="44"/>
  <c r="V204" i="44"/>
  <c r="P423" i="44"/>
  <c r="V423" i="44"/>
  <c r="AE341" i="6"/>
  <c r="AB341" i="6" s="1"/>
  <c r="C341" i="6" s="1"/>
  <c r="AD278" i="6"/>
  <c r="AA278" i="6" s="1"/>
  <c r="B278" i="6" s="1"/>
  <c r="V433" i="44"/>
  <c r="P433" i="44"/>
  <c r="J62" i="44"/>
  <c r="Q62" i="44" s="1"/>
  <c r="K62" i="44"/>
  <c r="P368" i="44"/>
  <c r="AD115" i="6"/>
  <c r="AA115" i="6" s="1"/>
  <c r="B115" i="6" s="1"/>
  <c r="J479" i="44"/>
  <c r="Q479" i="44" s="1"/>
  <c r="K479" i="44"/>
  <c r="V536" i="44"/>
  <c r="P536" i="44"/>
  <c r="P7" i="44"/>
  <c r="V7" i="44"/>
  <c r="J224" i="44"/>
  <c r="K224" i="44"/>
  <c r="AD119" i="6"/>
  <c r="AA119" i="6" s="1"/>
  <c r="B119" i="6" s="1"/>
  <c r="J555" i="44"/>
  <c r="Q555" i="44" s="1"/>
  <c r="K555" i="44"/>
  <c r="K214" i="44"/>
  <c r="J214" i="44"/>
  <c r="V426" i="44"/>
  <c r="J458" i="44"/>
  <c r="K458" i="44"/>
  <c r="J401" i="44"/>
  <c r="K401" i="44"/>
  <c r="P400" i="44"/>
  <c r="V400" i="44"/>
  <c r="J39" i="44"/>
  <c r="Q39" i="44" s="1"/>
  <c r="K39" i="44"/>
  <c r="P381" i="44"/>
  <c r="P444" i="44"/>
  <c r="V444" i="44"/>
  <c r="AE365" i="6"/>
  <c r="AB365" i="6" s="1"/>
  <c r="C365" i="6" s="1"/>
  <c r="AD20" i="6"/>
  <c r="AA20" i="6" s="1"/>
  <c r="B20" i="6" s="1"/>
  <c r="AL78" i="14"/>
  <c r="AM78" i="14"/>
  <c r="B181" i="14"/>
  <c r="AW137" i="14"/>
  <c r="AZ137" i="14" s="1"/>
  <c r="AM137" i="14"/>
  <c r="V250" i="50"/>
  <c r="T250" i="50"/>
  <c r="C105" i="14"/>
  <c r="B105" i="14"/>
  <c r="AL105" i="14"/>
  <c r="B138" i="14"/>
  <c r="Z460" i="6"/>
  <c r="AD460" i="6" s="1"/>
  <c r="AD215" i="6"/>
  <c r="AA215" i="6" s="1"/>
  <c r="B215" i="6" s="1"/>
  <c r="V59" i="44"/>
  <c r="J126" i="44"/>
  <c r="K126" i="44"/>
  <c r="J367" i="44"/>
  <c r="K367" i="44"/>
  <c r="AD207" i="6"/>
  <c r="AA207" i="6" s="1"/>
  <c r="B207" i="6" s="1"/>
  <c r="AE53" i="6"/>
  <c r="AB53" i="6" s="1"/>
  <c r="C53" i="6" s="1"/>
  <c r="J411" i="44"/>
  <c r="Q411" i="44" s="1"/>
  <c r="K411" i="44"/>
  <c r="J52" i="44"/>
  <c r="K52" i="44"/>
  <c r="J466" i="44"/>
  <c r="K466" i="44"/>
  <c r="J73" i="44"/>
  <c r="Q73" i="44" s="1"/>
  <c r="K73" i="44"/>
  <c r="P568" i="44"/>
  <c r="J554" i="44"/>
  <c r="Q554" i="44" s="1"/>
  <c r="K554" i="44"/>
  <c r="J15" i="44"/>
  <c r="K15" i="44"/>
  <c r="P369" i="44"/>
  <c r="V369" i="44"/>
  <c r="AE115" i="6"/>
  <c r="AB115" i="6" s="1"/>
  <c r="C115" i="6" s="1"/>
  <c r="P479" i="44"/>
  <c r="V479" i="44"/>
  <c r="J40" i="44"/>
  <c r="Q40" i="44" s="1"/>
  <c r="P150" i="44"/>
  <c r="V150" i="44"/>
  <c r="J151" i="44"/>
  <c r="K151" i="44"/>
  <c r="AE175" i="6"/>
  <c r="AB175" i="6" s="1"/>
  <c r="C175" i="6" s="1"/>
  <c r="V556" i="44"/>
  <c r="P401" i="44"/>
  <c r="V401" i="44"/>
  <c r="K400" i="44"/>
  <c r="J400" i="44"/>
  <c r="Q400" i="44" s="1"/>
  <c r="J370" i="44"/>
  <c r="K370" i="44"/>
  <c r="P39" i="44"/>
  <c r="J378" i="44"/>
  <c r="Q378" i="44" s="1"/>
  <c r="K378" i="44"/>
  <c r="J446" i="44"/>
  <c r="Q446" i="44" s="1"/>
  <c r="K446" i="44"/>
  <c r="J444" i="44"/>
  <c r="K444" i="44"/>
  <c r="P213" i="44"/>
  <c r="V213" i="44"/>
  <c r="AD365" i="6"/>
  <c r="AA365" i="6" s="1"/>
  <c r="B365" i="6" s="1"/>
  <c r="P523" i="44"/>
  <c r="V359" i="44"/>
  <c r="C87" i="14"/>
  <c r="AM87" i="14"/>
  <c r="AL86" i="14"/>
  <c r="B86" i="14"/>
  <c r="AX113" i="14"/>
  <c r="BA113" i="14" s="1"/>
  <c r="AX105" i="14"/>
  <c r="BA105" i="14" s="1"/>
  <c r="AL170" i="14"/>
  <c r="AM170" i="14"/>
  <c r="AM112" i="14"/>
  <c r="AM149" i="14"/>
  <c r="AL149" i="14"/>
  <c r="C149" i="14"/>
  <c r="AE51" i="6"/>
  <c r="AB51" i="6" s="1"/>
  <c r="C51" i="6" s="1"/>
  <c r="AE270" i="6"/>
  <c r="AB270" i="6" s="1"/>
  <c r="C270" i="6" s="1"/>
  <c r="AD405" i="6"/>
  <c r="AA405" i="6" s="1"/>
  <c r="B405" i="6" s="1"/>
  <c r="J455" i="44"/>
  <c r="Q455" i="44" s="1"/>
  <c r="K455" i="44"/>
  <c r="J59" i="44"/>
  <c r="Q59" i="44" s="1"/>
  <c r="K59" i="44"/>
  <c r="J414" i="44"/>
  <c r="K414" i="44"/>
  <c r="P181" i="44"/>
  <c r="V181" i="44"/>
  <c r="P126" i="44"/>
  <c r="V126" i="44"/>
  <c r="AE430" i="6"/>
  <c r="AB430" i="6" s="1"/>
  <c r="C430" i="6" s="1"/>
  <c r="J534" i="44"/>
  <c r="K534" i="44"/>
  <c r="V136" i="44"/>
  <c r="P136" i="44"/>
  <c r="P73" i="44"/>
  <c r="V73" i="44"/>
  <c r="J568" i="44"/>
  <c r="Q568" i="44" s="1"/>
  <c r="K568" i="44"/>
  <c r="J423" i="44"/>
  <c r="Q423" i="44" s="1"/>
  <c r="K423" i="44"/>
  <c r="P554" i="44"/>
  <c r="V554" i="44"/>
  <c r="J30" i="44"/>
  <c r="Q30" i="44" s="1"/>
  <c r="K30" i="44"/>
  <c r="J536" i="44"/>
  <c r="Q536" i="44" s="1"/>
  <c r="K536" i="44"/>
  <c r="P37" i="44"/>
  <c r="V37" i="44"/>
  <c r="J150" i="44"/>
  <c r="K150" i="44"/>
  <c r="P546" i="44"/>
  <c r="V546" i="44"/>
  <c r="J17" i="44"/>
  <c r="K17" i="44"/>
  <c r="P458" i="44"/>
  <c r="V458" i="44"/>
  <c r="J61" i="44"/>
  <c r="K61" i="44"/>
  <c r="J513" i="44"/>
  <c r="Q513" i="44" s="1"/>
  <c r="K513" i="44"/>
  <c r="J379" i="44"/>
  <c r="K379" i="44"/>
  <c r="V478" i="44"/>
  <c r="B10" i="14"/>
  <c r="AM53" i="14"/>
  <c r="B53" i="14"/>
  <c r="B55" i="14"/>
  <c r="V252" i="49"/>
  <c r="T252" i="49"/>
  <c r="AM177" i="14"/>
  <c r="B72" i="14"/>
  <c r="C72" i="14"/>
  <c r="AL110" i="14"/>
  <c r="AM110" i="14"/>
  <c r="C14" i="14"/>
  <c r="B14" i="14"/>
  <c r="J192" i="44"/>
  <c r="K192" i="44"/>
  <c r="P393" i="44"/>
  <c r="V393" i="44"/>
  <c r="J535" i="44"/>
  <c r="K535" i="44"/>
  <c r="J204" i="44"/>
  <c r="Q204" i="44" s="1"/>
  <c r="K204" i="44"/>
  <c r="J202" i="44"/>
  <c r="Q202" i="44" s="1"/>
  <c r="K202" i="44"/>
  <c r="J557" i="44"/>
  <c r="K557" i="44"/>
  <c r="V15" i="44"/>
  <c r="P15" i="44"/>
  <c r="J436" i="44"/>
  <c r="K436" i="44"/>
  <c r="J369" i="44"/>
  <c r="K369" i="44"/>
  <c r="AD112" i="6"/>
  <c r="J478" i="44"/>
  <c r="K478" i="44"/>
  <c r="K236" i="44"/>
  <c r="J236" i="44"/>
  <c r="J37" i="44"/>
  <c r="K37" i="44"/>
  <c r="K148" i="44"/>
  <c r="J148" i="44"/>
  <c r="J7" i="44"/>
  <c r="Q7" i="44" s="1"/>
  <c r="K7" i="44"/>
  <c r="P224" i="44"/>
  <c r="V224" i="44"/>
  <c r="Z14" i="6"/>
  <c r="AD14" i="6" s="1"/>
  <c r="AA14" i="6" s="1"/>
  <c r="B14" i="6" s="1"/>
  <c r="P555" i="44"/>
  <c r="V555" i="44"/>
  <c r="P17" i="44"/>
  <c r="V17" i="44"/>
  <c r="Z104" i="6"/>
  <c r="AE407" i="6"/>
  <c r="AB407" i="6" s="1"/>
  <c r="C407" i="6" s="1"/>
  <c r="J502" i="44"/>
  <c r="Q502" i="44" s="1"/>
  <c r="K502" i="44"/>
  <c r="AD149" i="6"/>
  <c r="AA149" i="6" s="1"/>
  <c r="B149" i="6" s="1"/>
  <c r="P378" i="44"/>
  <c r="V378" i="44"/>
  <c r="AD269" i="6"/>
  <c r="AA269" i="6" s="1"/>
  <c r="B269" i="6" s="1"/>
  <c r="AD431" i="6"/>
  <c r="AA431" i="6" s="1"/>
  <c r="B431" i="6" s="1"/>
  <c r="Z303" i="6"/>
  <c r="AD303" i="6" s="1"/>
  <c r="AA303" i="6" s="1"/>
  <c r="B303" i="6" s="1"/>
  <c r="V202" i="44"/>
  <c r="AM173" i="14"/>
  <c r="C173" i="14"/>
  <c r="AL74" i="14"/>
  <c r="AM74" i="14"/>
  <c r="AW115" i="14"/>
  <c r="AZ115" i="14" s="1"/>
  <c r="B115" i="14"/>
  <c r="B47" i="14"/>
  <c r="AL47" i="14"/>
  <c r="C109" i="14"/>
  <c r="B109" i="14"/>
  <c r="AL180" i="14"/>
  <c r="C180" i="14"/>
  <c r="AM119" i="14"/>
  <c r="C119" i="14"/>
  <c r="AL45" i="14"/>
  <c r="C45" i="14"/>
  <c r="AX142" i="14"/>
  <c r="BA142" i="14" s="1"/>
  <c r="B142" i="14"/>
  <c r="AL142" i="14"/>
  <c r="C108" i="14"/>
  <c r="AL108" i="14"/>
  <c r="AL19" i="14"/>
  <c r="AM19" i="14"/>
  <c r="AX14" i="14"/>
  <c r="BA14" i="14" s="1"/>
  <c r="Q235" i="44"/>
  <c r="W235" i="44"/>
  <c r="AD503" i="6"/>
  <c r="AA503" i="6" s="1"/>
  <c r="B503" i="6" s="1"/>
  <c r="AD179" i="6"/>
  <c r="AA179" i="6" s="1"/>
  <c r="B179" i="6" s="1"/>
  <c r="AE82" i="6"/>
  <c r="AB82" i="6" s="1"/>
  <c r="C82" i="6" s="1"/>
  <c r="AD182" i="6"/>
  <c r="AA182" i="6" s="1"/>
  <c r="B182" i="6" s="1"/>
  <c r="AE373" i="6"/>
  <c r="W532" i="44"/>
  <c r="T147" i="44"/>
  <c r="AE233" i="6"/>
  <c r="AB233" i="6" s="1"/>
  <c r="C233" i="6" s="1"/>
  <c r="Q228" i="44"/>
  <c r="W228" i="44"/>
  <c r="BQ141" i="14"/>
  <c r="BL141" i="14"/>
  <c r="BF22" i="14"/>
  <c r="BJ22" i="14"/>
  <c r="BI22" i="14"/>
  <c r="BE22" i="14"/>
  <c r="BD22" i="14"/>
  <c r="BG22" i="14"/>
  <c r="AR22" i="14"/>
  <c r="AQ22" i="14" s="1"/>
  <c r="AP22" i="14" s="1"/>
  <c r="BH22" i="14"/>
  <c r="BC22" i="14"/>
  <c r="BR143" i="14"/>
  <c r="BK143" i="14"/>
  <c r="W358" i="44"/>
  <c r="Z158" i="44"/>
  <c r="T158" i="44"/>
  <c r="W117" i="44"/>
  <c r="AE245" i="6"/>
  <c r="AB245" i="6" s="1"/>
  <c r="C245" i="6" s="1"/>
  <c r="U138" i="44"/>
  <c r="AA138" i="44"/>
  <c r="Z171" i="44"/>
  <c r="T171" i="44"/>
  <c r="AE242" i="6"/>
  <c r="AB242" i="6" s="1"/>
  <c r="C242" i="6" s="1"/>
  <c r="W336" i="44"/>
  <c r="AD311" i="6"/>
  <c r="AA311" i="6" s="1"/>
  <c r="B311" i="6" s="1"/>
  <c r="Z445" i="44"/>
  <c r="T445" i="44"/>
  <c r="Q16" i="44"/>
  <c r="W16" i="44"/>
  <c r="AD208" i="6"/>
  <c r="AA208" i="6" s="1"/>
  <c r="B208" i="6" s="1"/>
  <c r="AD369" i="6"/>
  <c r="AA369" i="6" s="1"/>
  <c r="B369" i="6" s="1"/>
  <c r="BP144" i="14"/>
  <c r="BO144" i="14"/>
  <c r="BN82" i="14"/>
  <c r="AV82" i="14"/>
  <c r="AU82" i="14" s="1"/>
  <c r="AT82" i="14" s="1"/>
  <c r="BC109" i="14"/>
  <c r="BI109" i="14"/>
  <c r="BD109" i="14"/>
  <c r="BN168" i="14"/>
  <c r="BM168" i="14"/>
  <c r="BL168" i="14"/>
  <c r="BP168" i="14"/>
  <c r="W106" i="44"/>
  <c r="W239" i="44"/>
  <c r="T436" i="44"/>
  <c r="Z436" i="44"/>
  <c r="W191" i="44"/>
  <c r="W422" i="44"/>
  <c r="Q422" i="44"/>
  <c r="Q118" i="44"/>
  <c r="W118" i="44"/>
  <c r="AV14" i="14"/>
  <c r="AU14" i="14" s="1"/>
  <c r="AT14" i="14" s="1"/>
  <c r="BK14" i="14"/>
  <c r="BQ14" i="14"/>
  <c r="BL136" i="14"/>
  <c r="BR136" i="14"/>
  <c r="BN136" i="14"/>
  <c r="BP136" i="14"/>
  <c r="BM136" i="14"/>
  <c r="BP118" i="14"/>
  <c r="BR118" i="14"/>
  <c r="BO118" i="14"/>
  <c r="BL118" i="14"/>
  <c r="BQ118" i="14"/>
  <c r="BN118" i="14"/>
  <c r="BM118" i="14"/>
  <c r="BK118" i="14"/>
  <c r="AV118" i="14"/>
  <c r="AU118" i="14" s="1"/>
  <c r="AT118" i="14" s="1"/>
  <c r="BN107" i="14"/>
  <c r="BR22" i="14"/>
  <c r="BQ22" i="14"/>
  <c r="BC143" i="14"/>
  <c r="BG143" i="14"/>
  <c r="BF143" i="14"/>
  <c r="BJ143" i="14"/>
  <c r="BD143" i="14"/>
  <c r="BH143" i="14"/>
  <c r="BE143" i="14"/>
  <c r="BI143" i="14"/>
  <c r="AR143" i="14"/>
  <c r="AQ143" i="14" s="1"/>
  <c r="AP143" i="14" s="1"/>
  <c r="BH173" i="14"/>
  <c r="BG173" i="14"/>
  <c r="BD173" i="14"/>
  <c r="BJ173" i="14"/>
  <c r="Q227" i="44"/>
  <c r="W227" i="44"/>
  <c r="Q533" i="44"/>
  <c r="W533" i="44"/>
  <c r="BK51" i="14"/>
  <c r="BR51" i="14"/>
  <c r="BQ105" i="14"/>
  <c r="BO105" i="14"/>
  <c r="BN105" i="14"/>
  <c r="BM105" i="14"/>
  <c r="BP105" i="14"/>
  <c r="AV105" i="14"/>
  <c r="AU105" i="14" s="1"/>
  <c r="AT105" i="14" s="1"/>
  <c r="BL105" i="14"/>
  <c r="BR105" i="14"/>
  <c r="BK105" i="14"/>
  <c r="BP178" i="14"/>
  <c r="AV47" i="14"/>
  <c r="AU47" i="14" s="1"/>
  <c r="AT47" i="14" s="1"/>
  <c r="AV139" i="14"/>
  <c r="AU139" i="14" s="1"/>
  <c r="AT139" i="14" s="1"/>
  <c r="BL175" i="14"/>
  <c r="BQ175" i="14"/>
  <c r="BP175" i="14"/>
  <c r="BO175" i="14"/>
  <c r="BK175" i="14"/>
  <c r="BM175" i="14"/>
  <c r="AV175" i="14"/>
  <c r="AU175" i="14" s="1"/>
  <c r="AT175" i="14" s="1"/>
  <c r="BR175" i="14"/>
  <c r="BN175" i="14"/>
  <c r="BD175" i="14"/>
  <c r="BH175" i="14"/>
  <c r="BI13" i="14"/>
  <c r="BH13" i="14"/>
  <c r="BG13" i="14"/>
  <c r="BF13" i="14"/>
  <c r="AR13" i="14"/>
  <c r="AQ13" i="14" s="1"/>
  <c r="AP13" i="14" s="1"/>
  <c r="BE13" i="14"/>
  <c r="BJ13" i="14"/>
  <c r="BD13" i="14"/>
  <c r="BC13" i="14"/>
  <c r="BL77" i="14"/>
  <c r="BD77" i="14"/>
  <c r="BE77" i="14"/>
  <c r="BH77" i="14"/>
  <c r="BF77" i="14"/>
  <c r="W172" i="44"/>
  <c r="Q172" i="44"/>
  <c r="Q217" i="44"/>
  <c r="W217" i="44"/>
  <c r="EC52" i="1"/>
  <c r="EC48" i="1"/>
  <c r="EC47" i="1"/>
  <c r="EC45" i="1"/>
  <c r="EC41" i="1"/>
  <c r="EC56" i="1"/>
  <c r="EC46" i="1"/>
  <c r="EC59" i="1"/>
  <c r="EC60" i="1"/>
  <c r="EC58" i="1"/>
  <c r="EC42" i="1"/>
  <c r="EC53" i="1"/>
  <c r="EC55" i="1"/>
  <c r="EC49" i="1"/>
  <c r="EC51" i="1"/>
  <c r="EC57" i="1"/>
  <c r="EC54" i="1"/>
  <c r="AM9" i="14"/>
  <c r="AX9" i="14"/>
  <c r="BA9" i="14" s="1"/>
  <c r="AW9" i="14"/>
  <c r="C9" i="14"/>
  <c r="AW43" i="14"/>
  <c r="AX104" i="14"/>
  <c r="BA104" i="14" s="1"/>
  <c r="C104" i="14"/>
  <c r="AW104" i="14"/>
  <c r="AZ104" i="14" s="1"/>
  <c r="AM104" i="14"/>
  <c r="AA176" i="44"/>
  <c r="U176" i="44"/>
  <c r="U22" i="44"/>
  <c r="AA22" i="44"/>
  <c r="G148" i="14"/>
  <c r="F148" i="14"/>
  <c r="AW83" i="14"/>
  <c r="AZ83" i="14" s="1"/>
  <c r="AM83" i="14"/>
  <c r="C83" i="14"/>
  <c r="AX83" i="14"/>
  <c r="BA83" i="14" s="1"/>
  <c r="AD331" i="6"/>
  <c r="AE331" i="6"/>
  <c r="AB331" i="6" s="1"/>
  <c r="C331" i="6" s="1"/>
  <c r="U319" i="44"/>
  <c r="AA319" i="44"/>
  <c r="U330" i="44"/>
  <c r="AA330" i="44"/>
  <c r="AA264" i="44"/>
  <c r="U264" i="44"/>
  <c r="U186" i="44"/>
  <c r="AA186" i="44"/>
  <c r="AE266" i="6"/>
  <c r="AB266" i="6" s="1"/>
  <c r="C266" i="6" s="1"/>
  <c r="AD266" i="6"/>
  <c r="U329" i="44"/>
  <c r="AA329" i="44"/>
  <c r="U362" i="44"/>
  <c r="AA362" i="44"/>
  <c r="AA307" i="44"/>
  <c r="U307" i="44"/>
  <c r="AD76" i="6"/>
  <c r="AE236" i="6"/>
  <c r="G82" i="14"/>
  <c r="F82" i="14"/>
  <c r="G178" i="14"/>
  <c r="F178" i="14"/>
  <c r="AA363" i="44"/>
  <c r="U363" i="44"/>
  <c r="U550" i="44"/>
  <c r="AA550" i="44"/>
  <c r="AA417" i="44"/>
  <c r="U417" i="44"/>
  <c r="AA253" i="44"/>
  <c r="U253" i="44"/>
  <c r="AE491" i="6"/>
  <c r="AB491" i="6" s="1"/>
  <c r="C491" i="6" s="1"/>
  <c r="AD491" i="6"/>
  <c r="BE49" i="14"/>
  <c r="AA450" i="44"/>
  <c r="U450" i="44"/>
  <c r="AA449" i="44"/>
  <c r="U449" i="44"/>
  <c r="AA339" i="44"/>
  <c r="U339" i="44"/>
  <c r="AA383" i="44"/>
  <c r="U383" i="44"/>
  <c r="B17" i="14"/>
  <c r="AD140" i="6"/>
  <c r="AE140" i="6"/>
  <c r="AB140" i="6" s="1"/>
  <c r="C140" i="6" s="1"/>
  <c r="U462" i="44"/>
  <c r="AA462" i="44"/>
  <c r="AE18" i="6"/>
  <c r="AD18" i="6"/>
  <c r="AA18" i="6" s="1"/>
  <c r="B18" i="6" s="1"/>
  <c r="AA132" i="44"/>
  <c r="U132" i="44"/>
  <c r="AD106" i="6"/>
  <c r="AE106" i="6"/>
  <c r="AB106" i="6" s="1"/>
  <c r="C106" i="6" s="1"/>
  <c r="AA98" i="44"/>
  <c r="U98" i="44"/>
  <c r="U517" i="44"/>
  <c r="AA517" i="44"/>
  <c r="G84" i="14"/>
  <c r="F84" i="14"/>
  <c r="AK76" i="14"/>
  <c r="AA220" i="44"/>
  <c r="U220" i="44"/>
  <c r="BA81" i="14"/>
  <c r="AA495" i="44"/>
  <c r="U495" i="44"/>
  <c r="AA88" i="44"/>
  <c r="U88" i="44"/>
  <c r="AA428" i="44"/>
  <c r="U428" i="44"/>
  <c r="AA142" i="44"/>
  <c r="U142" i="44"/>
  <c r="AA143" i="44"/>
  <c r="U143" i="44"/>
  <c r="AE240" i="6"/>
  <c r="AD240" i="6"/>
  <c r="AA240" i="6" s="1"/>
  <c r="B240" i="6" s="1"/>
  <c r="AA440" i="44"/>
  <c r="U440" i="44"/>
  <c r="G144" i="14"/>
  <c r="F144" i="14"/>
  <c r="AW42" i="14"/>
  <c r="AZ42" i="14" s="1"/>
  <c r="AM42" i="14"/>
  <c r="C42" i="14"/>
  <c r="AX42" i="14"/>
  <c r="BA42" i="14" s="1"/>
  <c r="AA484" i="44"/>
  <c r="U484" i="44"/>
  <c r="G147" i="14"/>
  <c r="F147" i="14"/>
  <c r="G115" i="14"/>
  <c r="F115" i="14"/>
  <c r="U429" i="44"/>
  <c r="AA429" i="44"/>
  <c r="AA154" i="44"/>
  <c r="U154" i="44"/>
  <c r="AA242" i="44"/>
  <c r="U242" i="44"/>
  <c r="U572" i="44"/>
  <c r="AA572" i="44"/>
  <c r="T461" i="44"/>
  <c r="Z461" i="44"/>
  <c r="A157" i="40"/>
  <c r="A113" i="42"/>
  <c r="A113" i="41"/>
  <c r="A91" i="50"/>
  <c r="A113" i="48"/>
  <c r="A91" i="47"/>
  <c r="A113" i="49"/>
  <c r="A102" i="41"/>
  <c r="A91" i="40"/>
  <c r="A91" i="49"/>
  <c r="A157" i="47"/>
  <c r="A157" i="48"/>
  <c r="A91" i="48"/>
  <c r="A157" i="41"/>
  <c r="A80" i="49"/>
  <c r="U405" i="44"/>
  <c r="AA405" i="44"/>
  <c r="AA198" i="44"/>
  <c r="U198" i="44"/>
  <c r="AE49" i="6"/>
  <c r="AD49" i="6"/>
  <c r="AA49" i="6" s="1"/>
  <c r="B49" i="6" s="1"/>
  <c r="AA528" i="44"/>
  <c r="U528" i="44"/>
  <c r="AK140" i="14"/>
  <c r="AE168" i="6"/>
  <c r="AD168" i="6"/>
  <c r="AD340" i="6"/>
  <c r="AA131" i="44"/>
  <c r="U131" i="44"/>
  <c r="U483" i="44"/>
  <c r="AA483" i="44"/>
  <c r="AW73" i="14"/>
  <c r="AM73" i="14"/>
  <c r="AX73" i="14"/>
  <c r="BA73" i="14" s="1"/>
  <c r="C73" i="14"/>
  <c r="U561" i="44"/>
  <c r="AA561" i="44"/>
  <c r="AA427" i="44"/>
  <c r="U427" i="44"/>
  <c r="U438" i="44"/>
  <c r="AA438" i="44"/>
  <c r="U482" i="44"/>
  <c r="AA482" i="44"/>
  <c r="AA548" i="44"/>
  <c r="U548" i="44"/>
  <c r="U32" i="44"/>
  <c r="AA32" i="44"/>
  <c r="U43" i="44"/>
  <c r="AA43" i="44"/>
  <c r="U384" i="44"/>
  <c r="AA384" i="44"/>
  <c r="U571" i="44"/>
  <c r="AA571" i="44"/>
  <c r="AA539" i="44"/>
  <c r="U539" i="44"/>
  <c r="AD74" i="6"/>
  <c r="AE74" i="6"/>
  <c r="AB74" i="6" s="1"/>
  <c r="C74" i="6" s="1"/>
  <c r="U229" i="44"/>
  <c r="AA229" i="44"/>
  <c r="U218" i="44"/>
  <c r="AA218" i="44"/>
  <c r="AA439" i="44"/>
  <c r="U439" i="44"/>
  <c r="AD83" i="6"/>
  <c r="AE83" i="6"/>
  <c r="AB83" i="6" s="1"/>
  <c r="C83" i="6" s="1"/>
  <c r="AK172" i="14"/>
  <c r="AA275" i="44"/>
  <c r="U275" i="44"/>
  <c r="U396" i="44"/>
  <c r="AA396" i="44"/>
  <c r="U219" i="44"/>
  <c r="AA219" i="44"/>
  <c r="AA153" i="44"/>
  <c r="U153" i="44"/>
  <c r="U99" i="44"/>
  <c r="AA99" i="44"/>
  <c r="U341" i="44"/>
  <c r="AA341" i="44"/>
  <c r="AA385" i="44"/>
  <c r="U385" i="44"/>
  <c r="BM146" i="14"/>
  <c r="BL146" i="14"/>
  <c r="BP146" i="14"/>
  <c r="BK146" i="14"/>
  <c r="BR146" i="14"/>
  <c r="AV146" i="14"/>
  <c r="AU146" i="14" s="1"/>
  <c r="AT146" i="14" s="1"/>
  <c r="BN146" i="14"/>
  <c r="BO146" i="14"/>
  <c r="BQ146" i="14"/>
  <c r="AA351" i="44"/>
  <c r="U351" i="44"/>
  <c r="AA231" i="44"/>
  <c r="U231" i="44"/>
  <c r="AA44" i="44"/>
  <c r="U44" i="44"/>
  <c r="U55" i="44"/>
  <c r="AA55" i="44"/>
  <c r="U209" i="44"/>
  <c r="AA209" i="44"/>
  <c r="U473" i="44"/>
  <c r="AA473" i="44"/>
  <c r="AX44" i="14"/>
  <c r="BA44" i="14" s="1"/>
  <c r="AD464" i="6"/>
  <c r="AW148" i="14"/>
  <c r="AZ148" i="14" s="1"/>
  <c r="AX148" i="14"/>
  <c r="BA148" i="14" s="1"/>
  <c r="B148" i="14"/>
  <c r="AL148" i="14"/>
  <c r="AA76" i="44"/>
  <c r="U76" i="44"/>
  <c r="G83" i="14"/>
  <c r="F83" i="14"/>
  <c r="AA65" i="44"/>
  <c r="U65" i="44"/>
  <c r="U505" i="44"/>
  <c r="AA505" i="44"/>
  <c r="U451" i="44"/>
  <c r="AA451" i="44"/>
  <c r="AA175" i="44"/>
  <c r="U175" i="44"/>
  <c r="U395" i="44"/>
  <c r="AA395" i="44"/>
  <c r="AA54" i="44"/>
  <c r="U54" i="44"/>
  <c r="U373" i="44"/>
  <c r="AA373" i="44"/>
  <c r="U208" i="44"/>
  <c r="AA208" i="44"/>
  <c r="AA174" i="44"/>
  <c r="U174" i="44"/>
  <c r="U207" i="44"/>
  <c r="AA207" i="44"/>
  <c r="U110" i="44"/>
  <c r="AA110" i="44"/>
  <c r="U285" i="44"/>
  <c r="AA285" i="44"/>
  <c r="AA418" i="44"/>
  <c r="U418" i="44"/>
  <c r="AA263" i="44"/>
  <c r="U263" i="44"/>
  <c r="AW20" i="14"/>
  <c r="AZ20" i="14" s="1"/>
  <c r="AX20" i="14"/>
  <c r="BA20" i="14" s="1"/>
  <c r="AL20" i="14"/>
  <c r="B20" i="14"/>
  <c r="U163" i="44"/>
  <c r="AA163" i="44"/>
  <c r="AE139" i="6"/>
  <c r="AB139" i="6" s="1"/>
  <c r="C139" i="6" s="1"/>
  <c r="AD139" i="6"/>
  <c r="AA165" i="44"/>
  <c r="U165" i="44"/>
  <c r="AD496" i="6"/>
  <c r="AE496" i="6"/>
  <c r="G17" i="14"/>
  <c r="F17" i="14"/>
  <c r="AK11" i="14"/>
  <c r="G19" i="14"/>
  <c r="F19" i="14"/>
  <c r="C84" i="14"/>
  <c r="U197" i="44"/>
  <c r="AA197" i="44"/>
  <c r="AD147" i="6"/>
  <c r="AA147" i="6" s="1"/>
  <c r="B147" i="6" s="1"/>
  <c r="AD427" i="6"/>
  <c r="AE427" i="6"/>
  <c r="AB427" i="6" s="1"/>
  <c r="C427" i="6" s="1"/>
  <c r="AA286" i="44"/>
  <c r="U286" i="44"/>
  <c r="U506" i="44"/>
  <c r="AA506" i="44"/>
  <c r="U374" i="44"/>
  <c r="AA374" i="44"/>
  <c r="AA537" i="44"/>
  <c r="U537" i="44"/>
  <c r="G18" i="14"/>
  <c r="F18" i="14"/>
  <c r="G50" i="14"/>
  <c r="F50" i="14"/>
  <c r="AA11" i="44"/>
  <c r="U11" i="44"/>
  <c r="AD499" i="6"/>
  <c r="AA499" i="6" s="1"/>
  <c r="B499" i="6" s="1"/>
  <c r="AE499" i="6"/>
  <c r="U87" i="44"/>
  <c r="AA87" i="44"/>
  <c r="AA340" i="44"/>
  <c r="U340" i="44"/>
  <c r="AA527" i="44"/>
  <c r="U527" i="44"/>
  <c r="A113" i="40"/>
  <c r="A91" i="41"/>
  <c r="A113" i="50"/>
  <c r="A80" i="50"/>
  <c r="A102" i="49"/>
  <c r="A102" i="48"/>
  <c r="A124" i="48"/>
  <c r="A102" i="40"/>
  <c r="A91" i="42"/>
  <c r="A102" i="47"/>
  <c r="A124" i="41"/>
  <c r="A124" i="47"/>
  <c r="A91" i="43"/>
  <c r="A102" i="42"/>
  <c r="A113" i="43"/>
  <c r="A113" i="47"/>
  <c r="A124" i="40"/>
  <c r="A80" i="43"/>
  <c r="A80" i="42"/>
  <c r="U240" i="44"/>
  <c r="AA240" i="44"/>
  <c r="U152" i="44"/>
  <c r="AA152" i="44"/>
  <c r="C169" i="14"/>
  <c r="AM169" i="14"/>
  <c r="AW169" i="14"/>
  <c r="AZ169" i="14" s="1"/>
  <c r="AK75" i="14"/>
  <c r="U297" i="44"/>
  <c r="AA297" i="44"/>
  <c r="U516" i="44"/>
  <c r="AA516" i="44"/>
  <c r="AE435" i="6"/>
  <c r="AD435" i="6"/>
  <c r="AA435" i="6" s="1"/>
  <c r="B435" i="6" s="1"/>
  <c r="AW41" i="14"/>
  <c r="AM41" i="14"/>
  <c r="AX41" i="14"/>
  <c r="BA41" i="14" s="1"/>
  <c r="C41" i="14"/>
  <c r="AA252" i="44"/>
  <c r="U252" i="44"/>
  <c r="AD84" i="6"/>
  <c r="AA84" i="6" s="1"/>
  <c r="B84" i="6" s="1"/>
  <c r="AE84" i="6"/>
  <c r="AD244" i="6"/>
  <c r="G145" i="14"/>
  <c r="F145" i="14"/>
  <c r="U33" i="44"/>
  <c r="AA33" i="44"/>
  <c r="U406" i="44"/>
  <c r="AA406" i="44"/>
  <c r="AA318" i="44"/>
  <c r="U318" i="44"/>
  <c r="U66" i="44"/>
  <c r="AA66" i="44"/>
  <c r="AA109" i="44"/>
  <c r="U109" i="44"/>
  <c r="U121" i="44"/>
  <c r="AA121" i="44"/>
  <c r="AA407" i="44"/>
  <c r="U407" i="44"/>
  <c r="U274" i="44"/>
  <c r="AA274" i="44"/>
  <c r="U472" i="44"/>
  <c r="AA472" i="44"/>
  <c r="AA164" i="44"/>
  <c r="U164" i="44"/>
  <c r="AD488" i="6"/>
  <c r="AE488" i="6"/>
  <c r="G16" i="14"/>
  <c r="F16" i="14"/>
  <c r="AK12" i="14"/>
  <c r="U352" i="44"/>
  <c r="AA352" i="44"/>
  <c r="AD148" i="6"/>
  <c r="AA148" i="6" s="1"/>
  <c r="B148" i="6" s="1"/>
  <c r="AE148" i="6"/>
  <c r="AE10" i="6"/>
  <c r="AB10" i="6" s="1"/>
  <c r="C10" i="6" s="1"/>
  <c r="AD10" i="6"/>
  <c r="AE457" i="6"/>
  <c r="AB457" i="6" s="1"/>
  <c r="C457" i="6" s="1"/>
  <c r="AD457" i="6"/>
  <c r="G113" i="14"/>
  <c r="F113" i="14"/>
  <c r="AK171" i="14"/>
  <c r="B52" i="14"/>
  <c r="AL52" i="14"/>
  <c r="AW52" i="14"/>
  <c r="AZ52" i="14" s="1"/>
  <c r="AX52" i="14"/>
  <c r="BA52" i="14" s="1"/>
  <c r="AA21" i="44"/>
  <c r="U21" i="44"/>
  <c r="U549" i="44"/>
  <c r="AA549" i="44"/>
  <c r="AA308" i="44"/>
  <c r="U308" i="44"/>
  <c r="U560" i="44"/>
  <c r="AA560" i="44"/>
  <c r="U77" i="44"/>
  <c r="AA77" i="44"/>
  <c r="U570" i="44"/>
  <c r="AA570" i="44"/>
  <c r="U372" i="44"/>
  <c r="AA372" i="44"/>
  <c r="U504" i="44"/>
  <c r="AA504" i="44"/>
  <c r="AA141" i="44"/>
  <c r="U141" i="44"/>
  <c r="AA187" i="44"/>
  <c r="U187" i="44"/>
  <c r="AA241" i="44"/>
  <c r="U241" i="44"/>
  <c r="AE232" i="6"/>
  <c r="AB232" i="6" s="1"/>
  <c r="C232" i="6" s="1"/>
  <c r="U10" i="44"/>
  <c r="AA10" i="44"/>
  <c r="AA416" i="44"/>
  <c r="U416" i="44"/>
  <c r="AA493" i="44"/>
  <c r="U493" i="44"/>
  <c r="U361" i="44"/>
  <c r="AA361" i="44"/>
  <c r="U515" i="44"/>
  <c r="AA515" i="44"/>
  <c r="U433" i="44"/>
  <c r="AA433" i="44"/>
  <c r="B147" i="48"/>
  <c r="I48" i="12"/>
  <c r="K135" i="40"/>
  <c r="I60" i="12"/>
  <c r="B143" i="47"/>
  <c r="B103" i="50"/>
  <c r="B114" i="12"/>
  <c r="I82" i="12"/>
  <c r="I137" i="40"/>
  <c r="B62" i="12"/>
  <c r="I134" i="48"/>
  <c r="B107" i="43"/>
  <c r="B51" i="12"/>
  <c r="I134" i="40"/>
  <c r="B76" i="12"/>
  <c r="B135" i="47"/>
  <c r="B138" i="12"/>
  <c r="B129" i="12"/>
  <c r="B127" i="12"/>
  <c r="I66" i="12"/>
  <c r="B136" i="47"/>
  <c r="D59" i="43"/>
  <c r="D72" i="47"/>
  <c r="C135" i="47"/>
  <c r="I102" i="50"/>
  <c r="I119" i="12"/>
  <c r="I81" i="12"/>
  <c r="B161" i="12"/>
  <c r="I70" i="12"/>
  <c r="K135" i="47"/>
  <c r="B108" i="50"/>
  <c r="B140" i="12"/>
  <c r="B83" i="12"/>
  <c r="I72" i="12"/>
  <c r="B135" i="48"/>
  <c r="I105" i="50"/>
  <c r="I136" i="12"/>
  <c r="G135" i="40"/>
  <c r="B110" i="12"/>
  <c r="I136" i="41"/>
  <c r="I114" i="12"/>
  <c r="I125" i="12"/>
  <c r="B61" i="12"/>
  <c r="AN172" i="14"/>
  <c r="I98" i="12"/>
  <c r="B103" i="12"/>
  <c r="E135" i="41"/>
  <c r="J102" i="43"/>
  <c r="I53" i="12"/>
  <c r="I139" i="40"/>
  <c r="B158" i="12"/>
  <c r="I105" i="12"/>
  <c r="B139" i="47"/>
  <c r="G102" i="50"/>
  <c r="B120" i="12"/>
  <c r="B86" i="12"/>
  <c r="I96" i="12"/>
  <c r="G135" i="48"/>
  <c r="I103" i="43"/>
  <c r="I110" i="50"/>
  <c r="B141" i="40"/>
  <c r="B109" i="12"/>
  <c r="I148" i="48"/>
  <c r="AN41" i="14"/>
  <c r="B104" i="12"/>
  <c r="I134" i="41"/>
  <c r="B109" i="50"/>
  <c r="B48" i="12"/>
  <c r="B132" i="12"/>
  <c r="I97" i="12"/>
  <c r="I74" i="12"/>
  <c r="L135" i="47"/>
  <c r="I110" i="43"/>
  <c r="I149" i="41"/>
  <c r="I99" i="12"/>
  <c r="B75" i="12"/>
  <c r="N135" i="41"/>
  <c r="K102" i="43"/>
  <c r="B85" i="12"/>
  <c r="I62" i="12"/>
  <c r="G135" i="47"/>
  <c r="B103" i="43"/>
  <c r="B55" i="12"/>
  <c r="B165" i="12"/>
  <c r="I104" i="50"/>
  <c r="I73" i="12"/>
  <c r="D61" i="43"/>
  <c r="B64" i="12"/>
  <c r="I141" i="47"/>
  <c r="B117" i="12"/>
  <c r="E135" i="40"/>
  <c r="L135" i="48"/>
  <c r="I54" i="12"/>
  <c r="I93" i="12"/>
  <c r="B110" i="50"/>
  <c r="I165" i="12"/>
  <c r="L135" i="41"/>
  <c r="I121" i="12"/>
  <c r="B116" i="12"/>
  <c r="I163" i="12"/>
  <c r="B142" i="47"/>
  <c r="B52" i="12"/>
  <c r="I162" i="12"/>
  <c r="I77" i="12"/>
  <c r="F102" i="50"/>
  <c r="B130" i="12"/>
  <c r="D135" i="41"/>
  <c r="I104" i="43"/>
  <c r="K135" i="48"/>
  <c r="B153" i="48"/>
  <c r="I71" i="12"/>
  <c r="I109" i="43"/>
  <c r="B128" i="12"/>
  <c r="I75" i="12"/>
  <c r="I116" i="12"/>
  <c r="F135" i="40"/>
  <c r="B139" i="40"/>
  <c r="I143" i="47"/>
  <c r="B81" i="12"/>
  <c r="B74" i="12"/>
  <c r="B106" i="50"/>
  <c r="B84" i="12"/>
  <c r="I61" i="12"/>
  <c r="I108" i="43"/>
  <c r="I107" i="43"/>
  <c r="I95" i="12"/>
  <c r="B148" i="41"/>
  <c r="I49" i="12"/>
  <c r="I137" i="41" s="1"/>
  <c r="I87" i="12"/>
  <c r="I136" i="47"/>
  <c r="I115" i="12"/>
  <c r="M135" i="47"/>
  <c r="B60" i="12"/>
  <c r="I117" i="12"/>
  <c r="B134" i="48"/>
  <c r="N135" i="48"/>
  <c r="B101" i="50"/>
  <c r="J135" i="40"/>
  <c r="B115" i="12"/>
  <c r="I131" i="12"/>
  <c r="I108" i="50"/>
  <c r="B71" i="12"/>
  <c r="K60" i="50"/>
  <c r="B65" i="12"/>
  <c r="B104" i="50"/>
  <c r="C135" i="40"/>
  <c r="B105" i="43"/>
  <c r="B138" i="47"/>
  <c r="B49" i="12"/>
  <c r="I141" i="48"/>
  <c r="AN43" i="14"/>
  <c r="K71" i="41"/>
  <c r="B151" i="41"/>
  <c r="C102" i="43"/>
  <c r="I105" i="43"/>
  <c r="B125" i="12"/>
  <c r="B59" i="12"/>
  <c r="C135" i="48"/>
  <c r="I135" i="41"/>
  <c r="B118" i="12"/>
  <c r="I137" i="12"/>
  <c r="B143" i="40"/>
  <c r="B98" i="12"/>
  <c r="F135" i="41"/>
  <c r="N102" i="43"/>
  <c r="I55" i="12"/>
  <c r="I136" i="40"/>
  <c r="I76" i="12"/>
  <c r="B139" i="12"/>
  <c r="I142" i="12"/>
  <c r="B135" i="40"/>
  <c r="AN84" i="14"/>
  <c r="K135" i="41"/>
  <c r="I152" i="41"/>
  <c r="B99" i="12"/>
  <c r="I101" i="50"/>
  <c r="B136" i="40"/>
  <c r="I139" i="47"/>
  <c r="I143" i="48"/>
  <c r="I107" i="12"/>
  <c r="D135" i="40"/>
  <c r="I126" i="12"/>
  <c r="I104" i="12"/>
  <c r="I101" i="43"/>
  <c r="I88" i="12"/>
  <c r="E135" i="47"/>
  <c r="B121" i="12"/>
  <c r="I92" i="12"/>
  <c r="B109" i="43"/>
  <c r="B162" i="12"/>
  <c r="I151" i="48"/>
  <c r="I158" i="12"/>
  <c r="I142" i="47"/>
  <c r="I143" i="12"/>
  <c r="B134" i="40"/>
  <c r="B137" i="47"/>
  <c r="I85" i="12"/>
  <c r="I103" i="12"/>
  <c r="I50" i="12"/>
  <c r="I64" i="12"/>
  <c r="L102" i="43"/>
  <c r="AN75" i="14"/>
  <c r="I141" i="12"/>
  <c r="N135" i="47"/>
  <c r="B66" i="12"/>
  <c r="B95" i="40"/>
  <c r="J135" i="47"/>
  <c r="E102" i="50"/>
  <c r="B97" i="12"/>
  <c r="M102" i="43"/>
  <c r="I161" i="12"/>
  <c r="I139" i="12"/>
  <c r="M135" i="41"/>
  <c r="B96" i="12"/>
  <c r="B150" i="48"/>
  <c r="B101" i="43"/>
  <c r="B108" i="12"/>
  <c r="B141" i="12"/>
  <c r="J135" i="48"/>
  <c r="I138" i="40"/>
  <c r="B108" i="43"/>
  <c r="B135" i="41"/>
  <c r="I143" i="40"/>
  <c r="I154" i="48"/>
  <c r="I137" i="47"/>
  <c r="I159" i="12"/>
  <c r="B107" i="12"/>
  <c r="D73" i="47"/>
  <c r="AN17" i="14"/>
  <c r="B149" i="48"/>
  <c r="K70" i="41"/>
  <c r="B140" i="47"/>
  <c r="E102" i="43"/>
  <c r="B143" i="12"/>
  <c r="B126" i="12"/>
  <c r="I94" i="12"/>
  <c r="B106" i="12"/>
  <c r="I138" i="47"/>
  <c r="D102" i="50"/>
  <c r="I51" i="12"/>
  <c r="I139" i="41" s="1"/>
  <c r="B131" i="12"/>
  <c r="I110" i="12"/>
  <c r="B141" i="47"/>
  <c r="G102" i="43"/>
  <c r="B50" i="12"/>
  <c r="B140" i="40"/>
  <c r="F135" i="48"/>
  <c r="B102" i="50"/>
  <c r="I109" i="50"/>
  <c r="I138" i="12"/>
  <c r="B142" i="40"/>
  <c r="AN76" i="14"/>
  <c r="B137" i="12"/>
  <c r="I135" i="40"/>
  <c r="B92" i="12"/>
  <c r="E135" i="48"/>
  <c r="J135" i="41"/>
  <c r="B102" i="43"/>
  <c r="B137" i="40"/>
  <c r="I127" i="12"/>
  <c r="B95" i="12"/>
  <c r="B105" i="12"/>
  <c r="C102" i="50"/>
  <c r="I140" i="12"/>
  <c r="I132" i="12"/>
  <c r="B63" i="12"/>
  <c r="D135" i="48"/>
  <c r="I120" i="12"/>
  <c r="I83" i="12"/>
  <c r="I160" i="12"/>
  <c r="M135" i="48"/>
  <c r="I106" i="50"/>
  <c r="I143" i="41"/>
  <c r="M102" i="50"/>
  <c r="B142" i="12"/>
  <c r="B105" i="50"/>
  <c r="B163" i="12"/>
  <c r="B70" i="12"/>
  <c r="D135" i="47"/>
  <c r="N102" i="50"/>
  <c r="B104" i="43"/>
  <c r="I84" i="12"/>
  <c r="B138" i="40"/>
  <c r="I65" i="12"/>
  <c r="I109" i="12"/>
  <c r="I107" i="50"/>
  <c r="B119" i="12"/>
  <c r="I128" i="12"/>
  <c r="B77" i="12"/>
  <c r="I135" i="47"/>
  <c r="I102" i="43"/>
  <c r="B82" i="12"/>
  <c r="B94" i="12"/>
  <c r="AN73" i="14"/>
  <c r="F102" i="43"/>
  <c r="B88" i="12"/>
  <c r="M135" i="40"/>
  <c r="B72" i="12"/>
  <c r="B134" i="47"/>
  <c r="I103" i="50"/>
  <c r="B136" i="12"/>
  <c r="I52" i="12"/>
  <c r="I140" i="41" s="1"/>
  <c r="N135" i="40"/>
  <c r="I63" i="12"/>
  <c r="G135" i="41"/>
  <c r="D102" i="43"/>
  <c r="B140" i="41"/>
  <c r="I164" i="12"/>
  <c r="I106" i="12"/>
  <c r="J102" i="50"/>
  <c r="B53" i="12"/>
  <c r="B141" i="48" s="1"/>
  <c r="I142" i="40"/>
  <c r="B73" i="12"/>
  <c r="F135" i="47"/>
  <c r="I138" i="48"/>
  <c r="B141" i="41"/>
  <c r="D62" i="49"/>
  <c r="I134" i="47"/>
  <c r="B159" i="12"/>
  <c r="B107" i="50"/>
  <c r="B164" i="12"/>
  <c r="I140" i="47"/>
  <c r="B93" i="12"/>
  <c r="K102" i="50"/>
  <c r="AN9" i="14"/>
  <c r="I108" i="12"/>
  <c r="I129" i="12"/>
  <c r="L102" i="50"/>
  <c r="L135" i="40"/>
  <c r="B87" i="12"/>
  <c r="B110" i="43"/>
  <c r="I59" i="12"/>
  <c r="B134" i="41"/>
  <c r="B160" i="12"/>
  <c r="I141" i="40"/>
  <c r="C135" i="41"/>
  <c r="I130" i="12"/>
  <c r="I118" i="12"/>
  <c r="B54" i="12"/>
  <c r="I136" i="48"/>
  <c r="I106" i="43"/>
  <c r="I135" i="48"/>
  <c r="I86" i="12"/>
  <c r="B106" i="43"/>
  <c r="I140" i="40"/>
  <c r="AV48" i="14" l="1"/>
  <c r="AU48" i="14" s="1"/>
  <c r="AT48" i="14" s="1"/>
  <c r="BL48" i="14"/>
  <c r="BO48" i="14"/>
  <c r="AD50" i="6"/>
  <c r="AE50" i="6"/>
  <c r="AB50" i="6" s="1"/>
  <c r="C50" i="6" s="1"/>
  <c r="AD300" i="6"/>
  <c r="AE300" i="6"/>
  <c r="AB300" i="6" s="1"/>
  <c r="C300" i="6" s="1"/>
  <c r="AA425" i="6"/>
  <c r="B425" i="6" s="1"/>
  <c r="AD425" i="6"/>
  <c r="Z42" i="6"/>
  <c r="AD42" i="6" s="1"/>
  <c r="AD339" i="6"/>
  <c r="AA339" i="6" s="1"/>
  <c r="B339" i="6" s="1"/>
  <c r="AX84" i="14"/>
  <c r="BA84" i="14" s="1"/>
  <c r="AD328" i="6"/>
  <c r="AW44" i="14"/>
  <c r="AZ44" i="14" s="1"/>
  <c r="AD108" i="6"/>
  <c r="AD44" i="6"/>
  <c r="AZ43" i="14"/>
  <c r="BF175" i="14"/>
  <c r="BC175" i="14"/>
  <c r="BJ175" i="14"/>
  <c r="BR139" i="14"/>
  <c r="BP51" i="14"/>
  <c r="BO51" i="14"/>
  <c r="BN22" i="14"/>
  <c r="BM107" i="14"/>
  <c r="BR107" i="14"/>
  <c r="BO14" i="14"/>
  <c r="BP14" i="14"/>
  <c r="BQ82" i="14"/>
  <c r="BM143" i="14"/>
  <c r="AV143" i="14"/>
  <c r="AU143" i="14" s="1"/>
  <c r="AT143" i="14" s="1"/>
  <c r="BP143" i="14"/>
  <c r="K82" i="44"/>
  <c r="K368" i="44"/>
  <c r="W368" i="44" s="1"/>
  <c r="AM55" i="14"/>
  <c r="AL10" i="14"/>
  <c r="K381" i="44"/>
  <c r="B18" i="14"/>
  <c r="V338" i="44"/>
  <c r="AE137" i="6"/>
  <c r="AB137" i="6" s="1"/>
  <c r="C137" i="6" s="1"/>
  <c r="Z107" i="6"/>
  <c r="AD107" i="6" s="1"/>
  <c r="C151" i="14"/>
  <c r="AL55" i="14"/>
  <c r="AM10" i="14"/>
  <c r="AW54" i="14"/>
  <c r="AZ54" i="14" s="1"/>
  <c r="C55" i="14"/>
  <c r="AX54" i="14"/>
  <c r="BA54" i="14" s="1"/>
  <c r="V533" i="44"/>
  <c r="AL139" i="14"/>
  <c r="AW139" i="14"/>
  <c r="AZ139" i="14" s="1"/>
  <c r="C178" i="14"/>
  <c r="V5" i="44"/>
  <c r="AW178" i="14"/>
  <c r="AZ178" i="14" s="1"/>
  <c r="Z492" i="6"/>
  <c r="AL178" i="14"/>
  <c r="V125" i="44"/>
  <c r="V521" i="44"/>
  <c r="W49" i="44"/>
  <c r="AE424" i="6"/>
  <c r="AB424" i="6" s="1"/>
  <c r="C424" i="6" s="1"/>
  <c r="AD336" i="6"/>
  <c r="AW84" i="14"/>
  <c r="AE328" i="6"/>
  <c r="AB339" i="6" s="1"/>
  <c r="C339" i="6" s="1"/>
  <c r="C44" i="14"/>
  <c r="AD299" i="6"/>
  <c r="AE108" i="6"/>
  <c r="AB108" i="6" s="1"/>
  <c r="C108" i="6" s="1"/>
  <c r="AE203" i="6"/>
  <c r="AD73" i="6"/>
  <c r="AE44" i="6"/>
  <c r="AE425" i="6"/>
  <c r="AR175" i="14"/>
  <c r="AQ175" i="14" s="1"/>
  <c r="AP175" i="14" s="1"/>
  <c r="BI175" i="14"/>
  <c r="BQ139" i="14"/>
  <c r="BQ51" i="14"/>
  <c r="BL51" i="14"/>
  <c r="BN51" i="14"/>
  <c r="BL22" i="14"/>
  <c r="BK107" i="14"/>
  <c r="BL14" i="14"/>
  <c r="BM14" i="14"/>
  <c r="BR82" i="14"/>
  <c r="BQ143" i="14"/>
  <c r="BN143" i="14"/>
  <c r="B114" i="14"/>
  <c r="AL8" i="14"/>
  <c r="AL21" i="14"/>
  <c r="V500" i="44"/>
  <c r="AW18" i="14"/>
  <c r="AZ18" i="14" s="1"/>
  <c r="AD372" i="6"/>
  <c r="AA372" i="6" s="1"/>
  <c r="B372" i="6" s="1"/>
  <c r="K128" i="44"/>
  <c r="B50" i="14"/>
  <c r="Z305" i="6"/>
  <c r="V52" i="44"/>
  <c r="Z395" i="6"/>
  <c r="AE395" i="6" s="1"/>
  <c r="K489" i="44"/>
  <c r="W489" i="44" s="1"/>
  <c r="V335" i="44"/>
  <c r="W566" i="44"/>
  <c r="Z267" i="6"/>
  <c r="AA267" i="6" s="1"/>
  <c r="B267" i="6" s="1"/>
  <c r="Z273" i="6"/>
  <c r="AE273" i="6" s="1"/>
  <c r="Z176" i="6"/>
  <c r="AD176" i="6" s="1"/>
  <c r="Z41" i="6"/>
  <c r="AE41" i="6" s="1"/>
  <c r="Z428" i="6"/>
  <c r="AD205" i="6"/>
  <c r="AA205" i="6" s="1"/>
  <c r="B205" i="6" s="1"/>
  <c r="AE85" i="6"/>
  <c r="AB85" i="6" s="1"/>
  <c r="C85" i="6" s="1"/>
  <c r="V217" i="44"/>
  <c r="AD304" i="6"/>
  <c r="AA304" i="6" s="1"/>
  <c r="B304" i="6" s="1"/>
  <c r="V104" i="44"/>
  <c r="P104" i="44"/>
  <c r="V492" i="44"/>
  <c r="P492" i="44"/>
  <c r="AD403" i="6"/>
  <c r="AE464" i="6"/>
  <c r="AE114" i="6"/>
  <c r="AD72" i="6"/>
  <c r="AD203" i="6"/>
  <c r="BG175" i="14"/>
  <c r="BP139" i="14"/>
  <c r="AV51" i="14"/>
  <c r="AU51" i="14" s="1"/>
  <c r="AT51" i="14" s="1"/>
  <c r="BP22" i="14"/>
  <c r="AV107" i="14"/>
  <c r="AU107" i="14" s="1"/>
  <c r="AT107" i="14" s="1"/>
  <c r="BR14" i="14"/>
  <c r="BO143" i="14"/>
  <c r="AD233" i="6"/>
  <c r="AM8" i="14"/>
  <c r="AM21" i="14"/>
  <c r="V470" i="44"/>
  <c r="W72" i="44"/>
  <c r="AE8" i="6"/>
  <c r="AB8" i="6" s="1"/>
  <c r="C8" i="6" s="1"/>
  <c r="AX178" i="14"/>
  <c r="BA178" i="14" s="1"/>
  <c r="AX23" i="14"/>
  <c r="BA23" i="14" s="1"/>
  <c r="AW50" i="14"/>
  <c r="AZ50" i="14" s="1"/>
  <c r="Z52" i="6"/>
  <c r="AE52" i="6" s="1"/>
  <c r="AB52" i="6" s="1"/>
  <c r="C52" i="6" s="1"/>
  <c r="Z211" i="6"/>
  <c r="Z80" i="6"/>
  <c r="AE205" i="6"/>
  <c r="AB205" i="6" s="1"/>
  <c r="C205" i="6" s="1"/>
  <c r="V381" i="44"/>
  <c r="AE471" i="6"/>
  <c r="AB471" i="6" s="1"/>
  <c r="C471" i="6" s="1"/>
  <c r="T249" i="49"/>
  <c r="V249" i="49"/>
  <c r="BQ178" i="14"/>
  <c r="BM178" i="14"/>
  <c r="BK178" i="14"/>
  <c r="BR178" i="14"/>
  <c r="BM77" i="14"/>
  <c r="BN77" i="14"/>
  <c r="BP77" i="14"/>
  <c r="BK77" i="14"/>
  <c r="BQ77" i="14"/>
  <c r="B49" i="14"/>
  <c r="AW49" i="14"/>
  <c r="AZ49" i="14" s="1"/>
  <c r="AX49" i="14"/>
  <c r="BA49" i="14" s="1"/>
  <c r="Z489" i="6"/>
  <c r="AE489" i="6" s="1"/>
  <c r="AD489" i="6"/>
  <c r="AA489" i="6" s="1"/>
  <c r="B489" i="6" s="1"/>
  <c r="AA394" i="6"/>
  <c r="B394" i="6" s="1"/>
  <c r="AD394" i="6"/>
  <c r="AX17" i="14"/>
  <c r="BA17" i="14" s="1"/>
  <c r="BD49" i="14"/>
  <c r="AM106" i="14"/>
  <c r="BO47" i="14"/>
  <c r="BF109" i="14"/>
  <c r="BJ109" i="14"/>
  <c r="BG109" i="14"/>
  <c r="AR109" i="14"/>
  <c r="AQ109" i="14" s="1"/>
  <c r="AP109" i="14" s="1"/>
  <c r="BM48" i="14"/>
  <c r="BP48" i="14"/>
  <c r="BK48" i="14"/>
  <c r="BR48" i="14"/>
  <c r="AW147" i="14"/>
  <c r="AZ147" i="14" s="1"/>
  <c r="B147" i="14"/>
  <c r="AM182" i="14"/>
  <c r="B182" i="14"/>
  <c r="C182" i="14"/>
  <c r="AL182" i="14"/>
  <c r="AW182" i="14"/>
  <c r="AZ182" i="14" s="1"/>
  <c r="AX170" i="14"/>
  <c r="BA170" i="14" s="1"/>
  <c r="AW170" i="14"/>
  <c r="AZ170" i="14" s="1"/>
  <c r="AE268" i="6"/>
  <c r="AB268" i="6" s="1"/>
  <c r="C268" i="6" s="1"/>
  <c r="AD305" i="6"/>
  <c r="AA305" i="6" s="1"/>
  <c r="B305" i="6" s="1"/>
  <c r="AE305" i="6"/>
  <c r="BF49" i="14"/>
  <c r="BI49" i="14"/>
  <c r="AR49" i="14"/>
  <c r="AQ49" i="14" s="1"/>
  <c r="AP49" i="14" s="1"/>
  <c r="BH49" i="14"/>
  <c r="AA432" i="6"/>
  <c r="B432" i="6" s="1"/>
  <c r="AD432" i="6"/>
  <c r="C43" i="14"/>
  <c r="AX43" i="14"/>
  <c r="BA43" i="14" s="1"/>
  <c r="AX177" i="14"/>
  <c r="BA177" i="14" s="1"/>
  <c r="AW177" i="14"/>
  <c r="AZ177" i="14" s="1"/>
  <c r="C177" i="14"/>
  <c r="AL177" i="14"/>
  <c r="BI177" i="14" s="1"/>
  <c r="P356" i="44"/>
  <c r="V356" i="44"/>
  <c r="J159" i="44"/>
  <c r="K159" i="44"/>
  <c r="P61" i="44"/>
  <c r="V61" i="44"/>
  <c r="Z204" i="6"/>
  <c r="AD204" i="6" s="1"/>
  <c r="Z212" i="6"/>
  <c r="AB176" i="6"/>
  <c r="C176" i="6" s="1"/>
  <c r="AE176" i="6"/>
  <c r="AE432" i="6"/>
  <c r="AV77" i="14"/>
  <c r="AU77" i="14" s="1"/>
  <c r="AT77" i="14" s="1"/>
  <c r="AE267" i="6"/>
  <c r="AE105" i="6"/>
  <c r="AD41" i="6"/>
  <c r="BR77" i="14"/>
  <c r="BO178" i="14"/>
  <c r="BH109" i="14"/>
  <c r="BN48" i="14"/>
  <c r="AX182" i="14"/>
  <c r="BA182" i="14" s="1"/>
  <c r="BG77" i="14"/>
  <c r="BI77" i="14"/>
  <c r="BC77" i="14"/>
  <c r="AR77" i="14"/>
  <c r="AQ77" i="14" s="1"/>
  <c r="AP77" i="14" s="1"/>
  <c r="BJ77" i="14"/>
  <c r="AX48" i="14"/>
  <c r="BA48" i="14" s="1"/>
  <c r="AL48" i="14"/>
  <c r="B48" i="14"/>
  <c r="AW48" i="14"/>
  <c r="AZ48" i="14" s="1"/>
  <c r="AW138" i="14"/>
  <c r="AZ138" i="14" s="1"/>
  <c r="AL138" i="14"/>
  <c r="AX138" i="14"/>
  <c r="BA138" i="14" s="1"/>
  <c r="AM138" i="14"/>
  <c r="BP138" i="14" s="1"/>
  <c r="AL114" i="14"/>
  <c r="C114" i="14"/>
  <c r="AX114" i="14"/>
  <c r="BA114" i="14" s="1"/>
  <c r="AM114" i="14"/>
  <c r="AV114" i="14" s="1"/>
  <c r="AU114" i="14" s="1"/>
  <c r="AT114" i="14" s="1"/>
  <c r="Z296" i="6"/>
  <c r="AE296" i="6" s="1"/>
  <c r="AB296" i="6" s="1"/>
  <c r="C296" i="6" s="1"/>
  <c r="AB72" i="6"/>
  <c r="C72" i="6" s="1"/>
  <c r="AE72" i="6"/>
  <c r="AE42" i="6"/>
  <c r="AA42" i="6"/>
  <c r="B42" i="6" s="1"/>
  <c r="Z238" i="6"/>
  <c r="AE238" i="6" s="1"/>
  <c r="AD238" i="6"/>
  <c r="AA238" i="6" s="1"/>
  <c r="B238" i="6" s="1"/>
  <c r="Z146" i="6"/>
  <c r="AD138" i="6"/>
  <c r="Z136" i="6"/>
  <c r="AE136" i="6" s="1"/>
  <c r="Z144" i="6"/>
  <c r="AD144" i="6" s="1"/>
  <c r="AA144" i="6" s="1"/>
  <c r="B144" i="6" s="1"/>
  <c r="BK47" i="14"/>
  <c r="BM47" i="14"/>
  <c r="BP47" i="14"/>
  <c r="BL47" i="14"/>
  <c r="BR47" i="14"/>
  <c r="C145" i="14"/>
  <c r="B145" i="14"/>
  <c r="AX145" i="14"/>
  <c r="BA145" i="14" s="1"/>
  <c r="AL145" i="14"/>
  <c r="AM145" i="14"/>
  <c r="AV145" i="14" s="1"/>
  <c r="AU145" i="14" s="1"/>
  <c r="AT145" i="14" s="1"/>
  <c r="AW145" i="14"/>
  <c r="AZ145" i="14" s="1"/>
  <c r="AX106" i="14"/>
  <c r="BA106" i="14" s="1"/>
  <c r="C106" i="14"/>
  <c r="W523" i="44"/>
  <c r="Q523" i="44"/>
  <c r="Z275" i="6"/>
  <c r="AV178" i="14"/>
  <c r="AU178" i="14" s="1"/>
  <c r="AT178" i="14" s="1"/>
  <c r="AE465" i="6"/>
  <c r="BG49" i="14"/>
  <c r="AD267" i="6"/>
  <c r="AL17" i="14"/>
  <c r="BJ49" i="14"/>
  <c r="AM43" i="14"/>
  <c r="AV43" i="14" s="1"/>
  <c r="AU43" i="14" s="1"/>
  <c r="AT43" i="14" s="1"/>
  <c r="BO77" i="14"/>
  <c r="BN47" i="14"/>
  <c r="BN178" i="14"/>
  <c r="BL178" i="14"/>
  <c r="BE109" i="14"/>
  <c r="BQ48" i="14"/>
  <c r="B177" i="14"/>
  <c r="Z458" i="6"/>
  <c r="AE458" i="6" s="1"/>
  <c r="AB458" i="6" s="1"/>
  <c r="C458" i="6" s="1"/>
  <c r="BK82" i="14"/>
  <c r="BO82" i="14"/>
  <c r="BP82" i="14"/>
  <c r="BL82" i="14"/>
  <c r="AX147" i="14"/>
  <c r="BA147" i="14" s="1"/>
  <c r="C48" i="14"/>
  <c r="AX181" i="14"/>
  <c r="BA181" i="14" s="1"/>
  <c r="C181" i="14"/>
  <c r="Z265" i="6"/>
  <c r="Z298" i="6"/>
  <c r="AE306" i="6"/>
  <c r="J477" i="44"/>
  <c r="Q477" i="44" s="1"/>
  <c r="K477" i="44"/>
  <c r="Q63" i="44"/>
  <c r="W63" i="44"/>
  <c r="Z177" i="6"/>
  <c r="Z169" i="6"/>
  <c r="Z329" i="6"/>
  <c r="AE329" i="6" s="1"/>
  <c r="AB329" i="6" s="1"/>
  <c r="C329" i="6" s="1"/>
  <c r="Z210" i="6"/>
  <c r="AE210" i="6" s="1"/>
  <c r="Z202" i="6"/>
  <c r="AE202" i="6" s="1"/>
  <c r="Q524" i="44"/>
  <c r="W524" i="44"/>
  <c r="P567" i="44"/>
  <c r="V567" i="44"/>
  <c r="Z11" i="6"/>
  <c r="AD11" i="6" s="1"/>
  <c r="AA11" i="6" s="1"/>
  <c r="B11" i="6" s="1"/>
  <c r="Z371" i="6"/>
  <c r="AA371" i="6" s="1"/>
  <c r="B371" i="6" s="1"/>
  <c r="Z363" i="6"/>
  <c r="AE363" i="6" s="1"/>
  <c r="AB363" i="6" s="1"/>
  <c r="C363" i="6" s="1"/>
  <c r="Z178" i="6"/>
  <c r="Z170" i="6"/>
  <c r="AE170" i="6"/>
  <c r="P525" i="44"/>
  <c r="V525" i="44"/>
  <c r="J103" i="44"/>
  <c r="Q103" i="44" s="1"/>
  <c r="K103" i="44"/>
  <c r="Z396" i="6"/>
  <c r="Z404" i="6"/>
  <c r="Z400" i="6"/>
  <c r="AD400" i="6" s="1"/>
  <c r="AE330" i="6"/>
  <c r="AB330" i="6" s="1"/>
  <c r="C330" i="6" s="1"/>
  <c r="AA236" i="6"/>
  <c r="B236" i="6" s="1"/>
  <c r="AD236" i="6"/>
  <c r="J183" i="44"/>
  <c r="Q183" i="44" s="1"/>
  <c r="K183" i="44"/>
  <c r="Z19" i="6"/>
  <c r="P74" i="44"/>
  <c r="V74" i="44"/>
  <c r="P225" i="44"/>
  <c r="V225" i="44"/>
  <c r="Z361" i="6"/>
  <c r="AD361" i="6" s="1"/>
  <c r="AE361" i="6"/>
  <c r="AB361" i="6" s="1"/>
  <c r="C361" i="6" s="1"/>
  <c r="Z426" i="6"/>
  <c r="Z434" i="6"/>
  <c r="V129" i="44"/>
  <c r="P129" i="44"/>
  <c r="Z243" i="6"/>
  <c r="Z235" i="6"/>
  <c r="AE235" i="6" s="1"/>
  <c r="AB235" i="6" s="1"/>
  <c r="C235" i="6" s="1"/>
  <c r="J543" i="44"/>
  <c r="Q543" i="44" s="1"/>
  <c r="K543" i="44"/>
  <c r="W356" i="44"/>
  <c r="Q356" i="44"/>
  <c r="V82" i="44"/>
  <c r="P82" i="44"/>
  <c r="V159" i="44"/>
  <c r="P159" i="44"/>
  <c r="P49" i="44"/>
  <c r="V49" i="44"/>
  <c r="Q160" i="44"/>
  <c r="W160" i="44"/>
  <c r="Z466" i="6"/>
  <c r="AD466" i="6" s="1"/>
  <c r="AA466" i="6" s="1"/>
  <c r="B466" i="6" s="1"/>
  <c r="Z86" i="6"/>
  <c r="AE86" i="6" s="1"/>
  <c r="AB86" i="6" s="1"/>
  <c r="C86" i="6" s="1"/>
  <c r="AD86" i="6"/>
  <c r="AA86" i="6" s="1"/>
  <c r="B86" i="6" s="1"/>
  <c r="P137" i="44"/>
  <c r="V137" i="44"/>
  <c r="Z393" i="6"/>
  <c r="AE393" i="6" s="1"/>
  <c r="AB393" i="6" s="1"/>
  <c r="C393" i="6" s="1"/>
  <c r="AD393" i="6"/>
  <c r="J468" i="44"/>
  <c r="Q468" i="44" s="1"/>
  <c r="K468" i="44"/>
  <c r="Z241" i="6"/>
  <c r="P41" i="44"/>
  <c r="V41" i="44"/>
  <c r="P6" i="44"/>
  <c r="V6" i="44"/>
  <c r="AE304" i="6"/>
  <c r="AB304" i="6" s="1"/>
  <c r="C304" i="6" s="1"/>
  <c r="AD271" i="6"/>
  <c r="AA271" i="6" s="1"/>
  <c r="B271" i="6" s="1"/>
  <c r="V425" i="44"/>
  <c r="AD12" i="6"/>
  <c r="AA12" i="6" s="1"/>
  <c r="B12" i="6" s="1"/>
  <c r="Q469" i="44"/>
  <c r="W469" i="44"/>
  <c r="V162" i="44"/>
  <c r="P162" i="44"/>
  <c r="Z87" i="6"/>
  <c r="AD87" i="6" s="1"/>
  <c r="AA87" i="6" s="1"/>
  <c r="B87" i="6" s="1"/>
  <c r="AE87" i="6"/>
  <c r="AB87" i="6" s="1"/>
  <c r="C87" i="6" s="1"/>
  <c r="P480" i="44"/>
  <c r="V480" i="44"/>
  <c r="Z116" i="6"/>
  <c r="K195" i="44"/>
  <c r="J195" i="44"/>
  <c r="Z276" i="6"/>
  <c r="V30" i="44"/>
  <c r="K525" i="44"/>
  <c r="J525" i="44"/>
  <c r="AD23" i="6"/>
  <c r="AA23" i="6" s="1"/>
  <c r="B23" i="6" s="1"/>
  <c r="V140" i="44"/>
  <c r="P140" i="44"/>
  <c r="P415" i="44"/>
  <c r="V415" i="44"/>
  <c r="P382" i="44"/>
  <c r="V382" i="44"/>
  <c r="Z436" i="6"/>
  <c r="V543" i="44"/>
  <c r="Z459" i="6"/>
  <c r="AE271" i="6"/>
  <c r="AB271" i="6" s="1"/>
  <c r="C271" i="6" s="1"/>
  <c r="W50" i="44"/>
  <c r="AW78" i="14"/>
  <c r="AZ78" i="14" s="1"/>
  <c r="P62" i="44"/>
  <c r="V62" i="44"/>
  <c r="V513" i="44"/>
  <c r="Z308" i="6"/>
  <c r="P160" i="44"/>
  <c r="V160" i="44"/>
  <c r="P103" i="44"/>
  <c r="V103" i="44"/>
  <c r="K470" i="44"/>
  <c r="J470" i="44"/>
  <c r="AD334" i="6"/>
  <c r="AA334" i="6" s="1"/>
  <c r="B334" i="6" s="1"/>
  <c r="Z334" i="6"/>
  <c r="AE334" i="6" s="1"/>
  <c r="AB334" i="6" s="1"/>
  <c r="C334" i="6" s="1"/>
  <c r="K6" i="44"/>
  <c r="J6" i="44"/>
  <c r="K114" i="44"/>
  <c r="J114" i="44"/>
  <c r="V358" i="44"/>
  <c r="P358" i="44"/>
  <c r="Z13" i="6"/>
  <c r="AD13" i="6" s="1"/>
  <c r="D247" i="50"/>
  <c r="W62" i="49"/>
  <c r="V62" i="49"/>
  <c r="V72" i="49"/>
  <c r="V70" i="49"/>
  <c r="V71" i="49"/>
  <c r="J459" i="44"/>
  <c r="Q459" i="44" s="1"/>
  <c r="K459" i="44"/>
  <c r="K514" i="44"/>
  <c r="J514" i="44"/>
  <c r="K481" i="44"/>
  <c r="J481" i="44"/>
  <c r="J215" i="44"/>
  <c r="Q215" i="44" s="1"/>
  <c r="K215" i="44"/>
  <c r="W215" i="44" s="1"/>
  <c r="K360" i="44"/>
  <c r="J360" i="44"/>
  <c r="K84" i="44"/>
  <c r="J84" i="44"/>
  <c r="P457" i="44"/>
  <c r="V457" i="44"/>
  <c r="J434" i="44"/>
  <c r="K434" i="44"/>
  <c r="J403" i="44"/>
  <c r="K403" i="44"/>
  <c r="V467" i="44"/>
  <c r="P467" i="44"/>
  <c r="K169" i="44"/>
  <c r="J169" i="44"/>
  <c r="K180" i="44"/>
  <c r="J180" i="44"/>
  <c r="P380" i="44"/>
  <c r="V380" i="44"/>
  <c r="V237" i="44"/>
  <c r="P237" i="44"/>
  <c r="J547" i="44"/>
  <c r="Q547" i="44" s="1"/>
  <c r="K547" i="44"/>
  <c r="K116" i="44"/>
  <c r="J116" i="44"/>
  <c r="K558" i="44"/>
  <c r="J558" i="44"/>
  <c r="P447" i="44"/>
  <c r="V447" i="44"/>
  <c r="J456" i="44"/>
  <c r="K456" i="44"/>
  <c r="P435" i="44"/>
  <c r="V435" i="44"/>
  <c r="P347" i="44"/>
  <c r="V347" i="44"/>
  <c r="J402" i="44"/>
  <c r="Q402" i="44" s="1"/>
  <c r="K402" i="44"/>
  <c r="W402" i="44" s="1"/>
  <c r="V94" i="44"/>
  <c r="P94" i="44"/>
  <c r="K171" i="44"/>
  <c r="J171" i="44"/>
  <c r="J193" i="44"/>
  <c r="K193" i="44"/>
  <c r="J404" i="44"/>
  <c r="Q404" i="44" s="1"/>
  <c r="K404" i="44"/>
  <c r="J512" i="44"/>
  <c r="K512" i="44"/>
  <c r="Z113" i="6"/>
  <c r="AD113" i="6" s="1"/>
  <c r="AA113" i="6" s="1"/>
  <c r="B113" i="6" s="1"/>
  <c r="J96" i="44"/>
  <c r="Q96" i="44" s="1"/>
  <c r="K96" i="44"/>
  <c r="J413" i="44"/>
  <c r="K413" i="44"/>
  <c r="J19" i="44"/>
  <c r="K19" i="44"/>
  <c r="V370" i="44"/>
  <c r="V455" i="44"/>
  <c r="B81" i="14"/>
  <c r="AL81" i="14"/>
  <c r="C146" i="14"/>
  <c r="AW146" i="14"/>
  <c r="AZ146" i="14" s="1"/>
  <c r="AW173" i="14"/>
  <c r="AZ173" i="14" s="1"/>
  <c r="B173" i="14"/>
  <c r="AM18" i="14"/>
  <c r="AL18" i="14"/>
  <c r="AX144" i="14"/>
  <c r="BA144" i="14" s="1"/>
  <c r="C144" i="14"/>
  <c r="AL144" i="14"/>
  <c r="AW85" i="14"/>
  <c r="AZ85" i="14" s="1"/>
  <c r="AL85" i="14"/>
  <c r="AM85" i="14"/>
  <c r="B13" i="14"/>
  <c r="C13" i="14"/>
  <c r="AM13" i="14"/>
  <c r="AX175" i="14"/>
  <c r="BA175" i="14" s="1"/>
  <c r="AM151" i="14"/>
  <c r="B151" i="14"/>
  <c r="AL151" i="14"/>
  <c r="AL54" i="14"/>
  <c r="AM54" i="14"/>
  <c r="AX10" i="14"/>
  <c r="BA10" i="14" s="1"/>
  <c r="C10" i="14"/>
  <c r="AZ41" i="14"/>
  <c r="J48" i="44"/>
  <c r="Q48" i="44" s="1"/>
  <c r="K48" i="44"/>
  <c r="K170" i="44"/>
  <c r="J170" i="44"/>
  <c r="K127" i="44"/>
  <c r="J127" i="44"/>
  <c r="P215" i="44"/>
  <c r="V215" i="44"/>
  <c r="K337" i="44"/>
  <c r="J337" i="44"/>
  <c r="P434" i="44"/>
  <c r="V434" i="44"/>
  <c r="J380" i="44"/>
  <c r="K380" i="44"/>
  <c r="K237" i="44"/>
  <c r="J237" i="44"/>
  <c r="V216" i="44"/>
  <c r="P216" i="44"/>
  <c r="J488" i="44"/>
  <c r="K488" i="44"/>
  <c r="K389" i="44"/>
  <c r="J389" i="44"/>
  <c r="J94" i="44"/>
  <c r="K94" i="44"/>
  <c r="K147" i="44"/>
  <c r="J147" i="44"/>
  <c r="K545" i="44"/>
  <c r="J545" i="44"/>
  <c r="Q545" i="44" s="1"/>
  <c r="J18" i="44"/>
  <c r="K18" i="44"/>
  <c r="J348" i="44"/>
  <c r="K348" i="44"/>
  <c r="V404" i="44"/>
  <c r="P404" i="44"/>
  <c r="J51" i="44"/>
  <c r="Q51" i="44" s="1"/>
  <c r="K51" i="44"/>
  <c r="P512" i="44"/>
  <c r="V512" i="44"/>
  <c r="K206" i="44"/>
  <c r="J206" i="44"/>
  <c r="K83" i="44"/>
  <c r="J83" i="44"/>
  <c r="AW86" i="14"/>
  <c r="AZ86" i="14" s="1"/>
  <c r="AM86" i="14"/>
  <c r="AW72" i="14"/>
  <c r="AZ72" i="14" s="1"/>
  <c r="AL72" i="14"/>
  <c r="AM72" i="14"/>
  <c r="AW45" i="14"/>
  <c r="AZ45" i="14" s="1"/>
  <c r="B44" i="14" s="1"/>
  <c r="B45" i="14"/>
  <c r="AM45" i="14"/>
  <c r="AW112" i="14"/>
  <c r="AZ112" i="14" s="1"/>
  <c r="AL112" i="14"/>
  <c r="B112" i="14"/>
  <c r="AX16" i="14"/>
  <c r="BA16" i="14" s="1"/>
  <c r="C16" i="14"/>
  <c r="B16" i="14"/>
  <c r="AM16" i="14"/>
  <c r="AL16" i="14"/>
  <c r="AW168" i="14"/>
  <c r="AZ168" i="14" s="1"/>
  <c r="AL168" i="14"/>
  <c r="AX115" i="14"/>
  <c r="BA115" i="14" s="1"/>
  <c r="AL115" i="14"/>
  <c r="C115" i="14"/>
  <c r="AM115" i="14"/>
  <c r="AX8" i="14"/>
  <c r="BA8" i="14" s="1"/>
  <c r="C8" i="14"/>
  <c r="AL147" i="14"/>
  <c r="C147" i="14"/>
  <c r="AM147" i="14"/>
  <c r="B137" i="14"/>
  <c r="C137" i="14"/>
  <c r="AL137" i="14"/>
  <c r="V263" i="48"/>
  <c r="T263" i="48"/>
  <c r="AW141" i="14"/>
  <c r="AZ141" i="14" s="1"/>
  <c r="AL141" i="14"/>
  <c r="AX21" i="14"/>
  <c r="BA21" i="14" s="1"/>
  <c r="B21" i="14"/>
  <c r="C21" i="14"/>
  <c r="AW176" i="14"/>
  <c r="AZ176" i="14" s="1"/>
  <c r="C176" i="14"/>
  <c r="AM176" i="14"/>
  <c r="B176" i="14"/>
  <c r="AL176" i="14"/>
  <c r="AX79" i="14"/>
  <c r="BA79" i="14" s="1"/>
  <c r="B79" i="14"/>
  <c r="AM79" i="14"/>
  <c r="C79" i="14"/>
  <c r="AL79" i="14"/>
  <c r="AX107" i="14"/>
  <c r="BA107" i="14" s="1"/>
  <c r="AL107" i="14"/>
  <c r="AX53" i="14"/>
  <c r="BA53" i="14" s="1"/>
  <c r="C49" i="14" s="1"/>
  <c r="L59" i="14" s="1"/>
  <c r="C53" i="14"/>
  <c r="AL53" i="14"/>
  <c r="AZ84" i="14"/>
  <c r="AZ73" i="14"/>
  <c r="AZ9" i="14"/>
  <c r="J349" i="44"/>
  <c r="Q349" i="44" s="1"/>
  <c r="K349" i="44"/>
  <c r="W349" i="44" s="1"/>
  <c r="P514" i="44"/>
  <c r="V514" i="44"/>
  <c r="K390" i="44"/>
  <c r="J390" i="44"/>
  <c r="K569" i="44"/>
  <c r="J569" i="44"/>
  <c r="K448" i="44"/>
  <c r="J448" i="44"/>
  <c r="K105" i="44"/>
  <c r="J105" i="44"/>
  <c r="Q105" i="44" s="1"/>
  <c r="P501" i="44"/>
  <c r="V501" i="44"/>
  <c r="P469" i="44"/>
  <c r="V469" i="44"/>
  <c r="J216" i="44"/>
  <c r="Q216" i="44" s="1"/>
  <c r="K216" i="44"/>
  <c r="W216" i="44" s="1"/>
  <c r="AE45" i="6"/>
  <c r="AB45" i="6" s="1"/>
  <c r="C45" i="6" s="1"/>
  <c r="K357" i="44"/>
  <c r="J357" i="44"/>
  <c r="P456" i="44"/>
  <c r="V456" i="44"/>
  <c r="P503" i="44"/>
  <c r="V503" i="44"/>
  <c r="J435" i="44"/>
  <c r="K435" i="44"/>
  <c r="P345" i="44"/>
  <c r="V345" i="44"/>
  <c r="AE110" i="6"/>
  <c r="AB110" i="6" s="1"/>
  <c r="C110" i="6" s="1"/>
  <c r="J71" i="44"/>
  <c r="K71" i="44"/>
  <c r="K4" i="44"/>
  <c r="J4" i="44"/>
  <c r="K445" i="44"/>
  <c r="J445" i="44"/>
  <c r="K27" i="44"/>
  <c r="J27" i="44"/>
  <c r="W158" i="44"/>
  <c r="Q158" i="44"/>
  <c r="P437" i="44"/>
  <c r="V437" i="44"/>
  <c r="P348" i="44"/>
  <c r="V348" i="44"/>
  <c r="V51" i="44"/>
  <c r="P51" i="44"/>
  <c r="K92" i="44"/>
  <c r="J92" i="44"/>
  <c r="P411" i="44"/>
  <c r="V411" i="44"/>
  <c r="J125" i="44"/>
  <c r="K125" i="44"/>
  <c r="AX86" i="14"/>
  <c r="BA86" i="14" s="1"/>
  <c r="AW181" i="14"/>
  <c r="AZ181" i="14" s="1"/>
  <c r="AL181" i="14"/>
  <c r="AM181" i="14"/>
  <c r="AW81" i="14"/>
  <c r="AZ81" i="14" s="1"/>
  <c r="AW40" i="14"/>
  <c r="AZ40" i="14" s="1"/>
  <c r="B40" i="14"/>
  <c r="C40" i="14"/>
  <c r="AL40" i="14"/>
  <c r="AM40" i="14"/>
  <c r="AL51" i="14"/>
  <c r="C51" i="14"/>
  <c r="AX45" i="14"/>
  <c r="BA45" i="14" s="1"/>
  <c r="AX119" i="14"/>
  <c r="BA119" i="14" s="1"/>
  <c r="AL119" i="14"/>
  <c r="AX112" i="14"/>
  <c r="BA112" i="14" s="1"/>
  <c r="AM113" i="14"/>
  <c r="C113" i="14"/>
  <c r="B113" i="14"/>
  <c r="AL113" i="14"/>
  <c r="AX180" i="14"/>
  <c r="BA180" i="14" s="1"/>
  <c r="AM180" i="14"/>
  <c r="B180" i="14"/>
  <c r="AX139" i="14"/>
  <c r="BA139" i="14" s="1"/>
  <c r="B117" i="14"/>
  <c r="C117" i="14"/>
  <c r="AL117" i="14"/>
  <c r="AM117" i="14"/>
  <c r="AX109" i="14"/>
  <c r="BA109" i="14" s="1"/>
  <c r="AM109" i="14"/>
  <c r="AW151" i="14"/>
  <c r="AZ151" i="14" s="1"/>
  <c r="AW87" i="14"/>
  <c r="AZ87" i="14" s="1"/>
  <c r="AL87" i="14"/>
  <c r="AL23" i="14"/>
  <c r="AM23" i="14"/>
  <c r="B23" i="14"/>
  <c r="AW108" i="14"/>
  <c r="AZ108" i="14" s="1"/>
  <c r="AM108" i="14"/>
  <c r="B108" i="14"/>
  <c r="AW46" i="14"/>
  <c r="AZ46" i="14" s="1"/>
  <c r="C46" i="14"/>
  <c r="B46" i="14"/>
  <c r="AL46" i="14"/>
  <c r="AM46" i="14"/>
  <c r="AW116" i="14"/>
  <c r="AZ116" i="14" s="1"/>
  <c r="AL116" i="14"/>
  <c r="C116" i="14"/>
  <c r="B116" i="14"/>
  <c r="AM116" i="14"/>
  <c r="AW55" i="14"/>
  <c r="AZ55" i="14" s="1"/>
  <c r="AW118" i="14"/>
  <c r="AZ118" i="14" s="1"/>
  <c r="AL118" i="14"/>
  <c r="B118" i="14"/>
  <c r="V459" i="44"/>
  <c r="P459" i="44"/>
  <c r="V349" i="44"/>
  <c r="P349" i="44"/>
  <c r="P48" i="44"/>
  <c r="V48" i="44"/>
  <c r="P481" i="44"/>
  <c r="V481" i="44"/>
  <c r="P38" i="44"/>
  <c r="V38" i="44"/>
  <c r="J26" i="44"/>
  <c r="K26" i="44"/>
  <c r="K161" i="44"/>
  <c r="J161" i="44"/>
  <c r="J457" i="44"/>
  <c r="K457" i="44"/>
  <c r="J467" i="44"/>
  <c r="Q467" i="44" s="1"/>
  <c r="K467" i="44"/>
  <c r="K182" i="44"/>
  <c r="J182" i="44"/>
  <c r="P149" i="44"/>
  <c r="V149" i="44"/>
  <c r="K425" i="44"/>
  <c r="J425" i="44"/>
  <c r="J29" i="44"/>
  <c r="K29" i="44"/>
  <c r="J503" i="44"/>
  <c r="K503" i="44"/>
  <c r="J347" i="44"/>
  <c r="K347" i="44"/>
  <c r="J345" i="44"/>
  <c r="K345" i="44"/>
  <c r="J510" i="44"/>
  <c r="K510" i="44"/>
  <c r="K85" i="44"/>
  <c r="J85" i="44"/>
  <c r="P118" i="44"/>
  <c r="V118" i="44"/>
  <c r="K371" i="44"/>
  <c r="J371" i="44"/>
  <c r="K60" i="44"/>
  <c r="J60" i="44"/>
  <c r="J437" i="44"/>
  <c r="K437" i="44"/>
  <c r="J139" i="44"/>
  <c r="K139" i="44"/>
  <c r="P96" i="44"/>
  <c r="V96" i="44"/>
  <c r="K70" i="44"/>
  <c r="J70" i="44"/>
  <c r="K203" i="44"/>
  <c r="J203" i="44"/>
  <c r="J28" i="44"/>
  <c r="K28" i="44"/>
  <c r="V502" i="44"/>
  <c r="T260" i="40"/>
  <c r="V260" i="40"/>
  <c r="AW111" i="14"/>
  <c r="AZ111" i="14" s="1"/>
  <c r="AL111" i="14"/>
  <c r="C111" i="14"/>
  <c r="AM111" i="14"/>
  <c r="B111" i="14"/>
  <c r="AW174" i="14"/>
  <c r="AZ174" i="14" s="1"/>
  <c r="B174" i="14"/>
  <c r="AL174" i="14"/>
  <c r="C174" i="14"/>
  <c r="AM174" i="14"/>
  <c r="AX40" i="14"/>
  <c r="BA40" i="14" s="1"/>
  <c r="AX110" i="14"/>
  <c r="BA110" i="14" s="1"/>
  <c r="C110" i="14"/>
  <c r="J124" i="14" s="1"/>
  <c r="C142" i="14"/>
  <c r="AM142" i="14"/>
  <c r="AW113" i="14"/>
  <c r="AZ113" i="14" s="1"/>
  <c r="AW144" i="14"/>
  <c r="AZ144" i="14" s="1"/>
  <c r="AW183" i="14"/>
  <c r="AZ183" i="14" s="1"/>
  <c r="B183" i="14"/>
  <c r="AL183" i="14"/>
  <c r="C183" i="14"/>
  <c r="AM183" i="14"/>
  <c r="AX13" i="14"/>
  <c r="BA13" i="14" s="1"/>
  <c r="AX80" i="14"/>
  <c r="BA80" i="14" s="1"/>
  <c r="AM80" i="14"/>
  <c r="B80" i="14"/>
  <c r="C80" i="14"/>
  <c r="AL80" i="14"/>
  <c r="AW117" i="14"/>
  <c r="AZ117" i="14" s="1"/>
  <c r="AW15" i="14"/>
  <c r="AZ15" i="14" s="1"/>
  <c r="C15" i="14"/>
  <c r="AL15" i="14"/>
  <c r="B15" i="14"/>
  <c r="AM15" i="14"/>
  <c r="V248" i="50"/>
  <c r="T248" i="50"/>
  <c r="B170" i="14"/>
  <c r="C170" i="14"/>
  <c r="AX46" i="14"/>
  <c r="BA46" i="14" s="1"/>
  <c r="AL50" i="14"/>
  <c r="C50" i="14"/>
  <c r="AM50" i="14"/>
  <c r="AX143" i="14"/>
  <c r="BA143" i="14" s="1"/>
  <c r="C143" i="14"/>
  <c r="AW82" i="14"/>
  <c r="AZ82" i="14" s="1"/>
  <c r="B82" i="14"/>
  <c r="AL82" i="14"/>
  <c r="AM150" i="14"/>
  <c r="AL150" i="14"/>
  <c r="C150" i="14"/>
  <c r="B150" i="14"/>
  <c r="B136" i="14"/>
  <c r="AL136" i="14"/>
  <c r="AX118" i="14"/>
  <c r="BA118" i="14" s="1"/>
  <c r="AW47" i="14"/>
  <c r="AZ47" i="14" s="1"/>
  <c r="C47" i="14"/>
  <c r="AW14" i="14"/>
  <c r="AZ14" i="14" s="1"/>
  <c r="AL14" i="14"/>
  <c r="AE272" i="6"/>
  <c r="AD402" i="6"/>
  <c r="AD332" i="6"/>
  <c r="AA329" i="6" s="1"/>
  <c r="B329" i="6" s="1"/>
  <c r="AE340" i="6"/>
  <c r="AD468" i="6"/>
  <c r="AA468" i="6" s="1"/>
  <c r="B468" i="6" s="1"/>
  <c r="BM139" i="14"/>
  <c r="BK139" i="14"/>
  <c r="BN139" i="14"/>
  <c r="BC173" i="14"/>
  <c r="BE173" i="14"/>
  <c r="BK22" i="14"/>
  <c r="BO22" i="14"/>
  <c r="BP107" i="14"/>
  <c r="BO107" i="14"/>
  <c r="AV136" i="14"/>
  <c r="AU136" i="14" s="1"/>
  <c r="AT136" i="14" s="1"/>
  <c r="BQ136" i="14"/>
  <c r="BO168" i="14"/>
  <c r="BR168" i="14"/>
  <c r="AV168" i="14"/>
  <c r="AU168" i="14" s="1"/>
  <c r="AT168" i="14" s="1"/>
  <c r="AR139" i="14"/>
  <c r="AQ139" i="14" s="1"/>
  <c r="AP139" i="14" s="1"/>
  <c r="BF139" i="14"/>
  <c r="BL144" i="14"/>
  <c r="BN144" i="14"/>
  <c r="BM141" i="14"/>
  <c r="AV141" i="14"/>
  <c r="AU141" i="14" s="1"/>
  <c r="AT141" i="14" s="1"/>
  <c r="AE336" i="6"/>
  <c r="BL139" i="14"/>
  <c r="BF173" i="14"/>
  <c r="AR173" i="14"/>
  <c r="AQ173" i="14" s="1"/>
  <c r="AP173" i="14" s="1"/>
  <c r="BM22" i="14"/>
  <c r="BQ107" i="14"/>
  <c r="BK136" i="14"/>
  <c r="BK168" i="14"/>
  <c r="BH139" i="14"/>
  <c r="BM144" i="14"/>
  <c r="BK144" i="14"/>
  <c r="BO141" i="14"/>
  <c r="BN141" i="14"/>
  <c r="BP141" i="14"/>
  <c r="W492" i="44"/>
  <c r="BR144" i="14"/>
  <c r="AV144" i="14"/>
  <c r="AU144" i="14" s="1"/>
  <c r="AT144" i="14" s="1"/>
  <c r="BR141" i="14"/>
  <c r="AD395" i="6"/>
  <c r="AA395" i="6"/>
  <c r="B395" i="6" s="1"/>
  <c r="AE209" i="6"/>
  <c r="AD498" i="6"/>
  <c r="AA498" i="6" s="1"/>
  <c r="B498" i="6" s="1"/>
  <c r="Q565" i="44"/>
  <c r="W565" i="44"/>
  <c r="AE460" i="6"/>
  <c r="AB460" i="6" s="1"/>
  <c r="C460" i="6" s="1"/>
  <c r="AD467" i="6"/>
  <c r="W335" i="44"/>
  <c r="AD272" i="6"/>
  <c r="AD201" i="6"/>
  <c r="AE433" i="6"/>
  <c r="AB433" i="6" s="1"/>
  <c r="C433" i="6" s="1"/>
  <c r="AD458" i="6"/>
  <c r="AD81" i="6"/>
  <c r="AA81" i="6" s="1"/>
  <c r="B81" i="6" s="1"/>
  <c r="AD490" i="6"/>
  <c r="AD364" i="6"/>
  <c r="AE364" i="6"/>
  <c r="AB364" i="6" s="1"/>
  <c r="C364" i="6" s="1"/>
  <c r="AE392" i="6"/>
  <c r="AB392" i="6" s="1"/>
  <c r="C392" i="6" s="1"/>
  <c r="AD456" i="6"/>
  <c r="AD235" i="6"/>
  <c r="AD500" i="6"/>
  <c r="AA500" i="6" s="1"/>
  <c r="B500" i="6" s="1"/>
  <c r="AE500" i="6"/>
  <c r="W128" i="44"/>
  <c r="W502" i="44"/>
  <c r="AE14" i="6"/>
  <c r="AB14" i="6" s="1"/>
  <c r="C14" i="6" s="1"/>
  <c r="W202" i="44"/>
  <c r="W568" i="44"/>
  <c r="W81" i="44"/>
  <c r="W411" i="44"/>
  <c r="W415" i="44"/>
  <c r="W480" i="44"/>
  <c r="W183" i="44"/>
  <c r="Q412" i="44"/>
  <c r="W412" i="44"/>
  <c r="W225" i="44"/>
  <c r="Q225" i="44"/>
  <c r="Q95" i="44"/>
  <c r="W95" i="44"/>
  <c r="W104" i="44"/>
  <c r="Q104" i="44"/>
  <c r="W238" i="44"/>
  <c r="W137" i="44"/>
  <c r="Q137" i="44"/>
  <c r="W490" i="44"/>
  <c r="Q490" i="44"/>
  <c r="Q511" i="44"/>
  <c r="W511" i="44"/>
  <c r="W162" i="44"/>
  <c r="Q162" i="44"/>
  <c r="AD264" i="6"/>
  <c r="AD397" i="6"/>
  <c r="AA397" i="6" s="1"/>
  <c r="B397" i="6" s="1"/>
  <c r="W39" i="44"/>
  <c r="W555" i="44"/>
  <c r="W393" i="44"/>
  <c r="AE144" i="6"/>
  <c r="W103" i="44"/>
  <c r="W543" i="44"/>
  <c r="W536" i="44"/>
  <c r="W30" i="44"/>
  <c r="W423" i="44"/>
  <c r="W400" i="44"/>
  <c r="W479" i="44"/>
  <c r="W136" i="44"/>
  <c r="Q491" i="44"/>
  <c r="W491" i="44"/>
  <c r="AD297" i="6"/>
  <c r="AE297" i="6"/>
  <c r="AB297" i="6" s="1"/>
  <c r="C297" i="6" s="1"/>
  <c r="Q338" i="44"/>
  <c r="W338" i="44"/>
  <c r="Q8" i="44"/>
  <c r="W8" i="44"/>
  <c r="W226" i="44"/>
  <c r="T338" i="44"/>
  <c r="Z338" i="44"/>
  <c r="AD329" i="6"/>
  <c r="W59" i="44"/>
  <c r="W378" i="44"/>
  <c r="Q447" i="44"/>
  <c r="W447" i="44"/>
  <c r="AD337" i="6"/>
  <c r="AA337" i="6" s="1"/>
  <c r="B337" i="6" s="1"/>
  <c r="W140" i="44"/>
  <c r="Q140" i="44"/>
  <c r="Q521" i="44"/>
  <c r="W521" i="44"/>
  <c r="AD136" i="6"/>
  <c r="AV19" i="14"/>
  <c r="AU19" i="14" s="1"/>
  <c r="AT19" i="14" s="1"/>
  <c r="BQ19" i="14"/>
  <c r="BM19" i="14"/>
  <c r="BN19" i="14"/>
  <c r="BO19" i="14"/>
  <c r="BR19" i="14"/>
  <c r="BP19" i="14"/>
  <c r="BK19" i="14"/>
  <c r="BL19" i="14"/>
  <c r="BM145" i="14"/>
  <c r="AR180" i="14"/>
  <c r="AQ180" i="14" s="1"/>
  <c r="AP180" i="14" s="1"/>
  <c r="BD180" i="14"/>
  <c r="BI180" i="14"/>
  <c r="BJ180" i="14"/>
  <c r="BC180" i="14"/>
  <c r="BH180" i="14"/>
  <c r="BG180" i="14"/>
  <c r="BF180" i="14"/>
  <c r="BE180" i="14"/>
  <c r="BJ74" i="14"/>
  <c r="BC74" i="14"/>
  <c r="BE74" i="14"/>
  <c r="BI74" i="14"/>
  <c r="AR74" i="14"/>
  <c r="AQ74" i="14" s="1"/>
  <c r="AP74" i="14" s="1"/>
  <c r="BD74" i="14"/>
  <c r="BH74" i="14"/>
  <c r="BG74" i="14"/>
  <c r="BF74" i="14"/>
  <c r="AE303" i="6"/>
  <c r="AB303" i="6" s="1"/>
  <c r="C303" i="6" s="1"/>
  <c r="W7" i="44"/>
  <c r="W369" i="44"/>
  <c r="Q369" i="44"/>
  <c r="Q436" i="44"/>
  <c r="W436" i="44"/>
  <c r="W535" i="44"/>
  <c r="Q535" i="44"/>
  <c r="W192" i="44"/>
  <c r="Q192" i="44"/>
  <c r="BF110" i="14"/>
  <c r="BG110" i="14"/>
  <c r="BC110" i="14"/>
  <c r="AR110" i="14"/>
  <c r="AQ110" i="14" s="1"/>
  <c r="AP110" i="14" s="1"/>
  <c r="BH110" i="14"/>
  <c r="BE110" i="14"/>
  <c r="BJ110" i="14"/>
  <c r="BI110" i="14"/>
  <c r="BD110" i="14"/>
  <c r="BO53" i="14"/>
  <c r="BM53" i="14"/>
  <c r="BL53" i="14"/>
  <c r="BN53" i="14"/>
  <c r="BR53" i="14"/>
  <c r="BQ53" i="14"/>
  <c r="AV53" i="14"/>
  <c r="AU53" i="14" s="1"/>
  <c r="AT53" i="14" s="1"/>
  <c r="BP53" i="14"/>
  <c r="BK53" i="14"/>
  <c r="W381" i="44"/>
  <c r="W513" i="44"/>
  <c r="BN149" i="14"/>
  <c r="BL149" i="14"/>
  <c r="BQ149" i="14"/>
  <c r="BR149" i="14"/>
  <c r="AV149" i="14"/>
  <c r="AU149" i="14" s="1"/>
  <c r="AT149" i="14" s="1"/>
  <c r="BO149" i="14"/>
  <c r="BK149" i="14"/>
  <c r="BP149" i="14"/>
  <c r="BM149" i="14"/>
  <c r="BJ8" i="14"/>
  <c r="BF8" i="14"/>
  <c r="BG8" i="14"/>
  <c r="BI8" i="14"/>
  <c r="BH8" i="14"/>
  <c r="BE8" i="14"/>
  <c r="BD8" i="14"/>
  <c r="BC8" i="14"/>
  <c r="AR8" i="14"/>
  <c r="AQ8" i="14" s="1"/>
  <c r="AP8" i="14" s="1"/>
  <c r="BG86" i="14"/>
  <c r="AR86" i="14"/>
  <c r="AQ86" i="14" s="1"/>
  <c r="AP86" i="14" s="1"/>
  <c r="BF86" i="14"/>
  <c r="BI86" i="14"/>
  <c r="BH86" i="14"/>
  <c r="BJ86" i="14"/>
  <c r="BD86" i="14"/>
  <c r="BE86" i="14"/>
  <c r="BC86" i="14"/>
  <c r="W444" i="44"/>
  <c r="Q444" i="44"/>
  <c r="Q370" i="44"/>
  <c r="W370" i="44"/>
  <c r="W40" i="44"/>
  <c r="AD371" i="6"/>
  <c r="W554" i="44"/>
  <c r="W73" i="44"/>
  <c r="BJ78" i="14"/>
  <c r="AR78" i="14"/>
  <c r="AQ78" i="14" s="1"/>
  <c r="AP78" i="14" s="1"/>
  <c r="BI78" i="14"/>
  <c r="BD78" i="14"/>
  <c r="BG78" i="14"/>
  <c r="BH78" i="14"/>
  <c r="BC78" i="14"/>
  <c r="BE78" i="14"/>
  <c r="BF78" i="14"/>
  <c r="Q401" i="44"/>
  <c r="W401" i="44"/>
  <c r="BJ19" i="14"/>
  <c r="BH19" i="14"/>
  <c r="BD19" i="14"/>
  <c r="BE19" i="14"/>
  <c r="BF19" i="14"/>
  <c r="BC19" i="14"/>
  <c r="AR19" i="14"/>
  <c r="AQ19" i="14" s="1"/>
  <c r="AP19" i="14" s="1"/>
  <c r="BI19" i="14"/>
  <c r="BG19" i="14"/>
  <c r="BH142" i="14"/>
  <c r="BF142" i="14"/>
  <c r="BC142" i="14"/>
  <c r="BJ142" i="14"/>
  <c r="BE142" i="14"/>
  <c r="BG142" i="14"/>
  <c r="BD142" i="14"/>
  <c r="BI142" i="14"/>
  <c r="AR142" i="14"/>
  <c r="AQ142" i="14" s="1"/>
  <c r="AP142" i="14" s="1"/>
  <c r="BE145" i="14"/>
  <c r="BD145" i="14"/>
  <c r="BC145" i="14"/>
  <c r="BH145" i="14"/>
  <c r="AR145" i="14"/>
  <c r="AQ145" i="14" s="1"/>
  <c r="AP145" i="14" s="1"/>
  <c r="BG145" i="14"/>
  <c r="BJ145" i="14"/>
  <c r="BI145" i="14"/>
  <c r="BF145" i="14"/>
  <c r="BQ119" i="14"/>
  <c r="BP119" i="14"/>
  <c r="BK119" i="14"/>
  <c r="BR119" i="14"/>
  <c r="BO119" i="14"/>
  <c r="BM119" i="14"/>
  <c r="BN119" i="14"/>
  <c r="AV119" i="14"/>
  <c r="AU119" i="14" s="1"/>
  <c r="AT119" i="14" s="1"/>
  <c r="BL119" i="14"/>
  <c r="Q37" i="44"/>
  <c r="W37" i="44"/>
  <c r="Q478" i="44"/>
  <c r="W478" i="44"/>
  <c r="W204" i="44"/>
  <c r="BQ177" i="14"/>
  <c r="BK177" i="14"/>
  <c r="BL177" i="14"/>
  <c r="AV177" i="14"/>
  <c r="AU177" i="14" s="1"/>
  <c r="AT177" i="14" s="1"/>
  <c r="BO177" i="14"/>
  <c r="BP177" i="14"/>
  <c r="BN177" i="14"/>
  <c r="BM177" i="14"/>
  <c r="BR177" i="14"/>
  <c r="W455" i="44"/>
  <c r="BQ8" i="14"/>
  <c r="BM8" i="14"/>
  <c r="BL8" i="14"/>
  <c r="BR8" i="14"/>
  <c r="BK8" i="14"/>
  <c r="BP8" i="14"/>
  <c r="BO8" i="14"/>
  <c r="BN8" i="14"/>
  <c r="AV8" i="14"/>
  <c r="AU8" i="14" s="1"/>
  <c r="AT8" i="14" s="1"/>
  <c r="BG21" i="14"/>
  <c r="BH21" i="14"/>
  <c r="BF21" i="14"/>
  <c r="BC21" i="14"/>
  <c r="AR21" i="14"/>
  <c r="AQ21" i="14" s="1"/>
  <c r="AP21" i="14" s="1"/>
  <c r="BI21" i="14"/>
  <c r="BD21" i="14"/>
  <c r="BE21" i="14"/>
  <c r="BJ21" i="14"/>
  <c r="W446" i="44"/>
  <c r="Q151" i="44"/>
  <c r="W151" i="44"/>
  <c r="Q52" i="44"/>
  <c r="W52" i="44"/>
  <c r="Q126" i="44"/>
  <c r="W126" i="44"/>
  <c r="Q214" i="44"/>
  <c r="W214" i="44"/>
  <c r="W62" i="44"/>
  <c r="W184" i="44"/>
  <c r="W499" i="44"/>
  <c r="W181" i="44"/>
  <c r="Q181" i="44"/>
  <c r="BE108" i="14"/>
  <c r="BI108" i="14"/>
  <c r="BG108" i="14"/>
  <c r="BF108" i="14"/>
  <c r="BH108" i="14"/>
  <c r="AR108" i="14"/>
  <c r="AQ108" i="14" s="1"/>
  <c r="AP108" i="14" s="1"/>
  <c r="BD108" i="14"/>
  <c r="BJ108" i="14"/>
  <c r="BC108" i="14"/>
  <c r="BO173" i="14"/>
  <c r="BM173" i="14"/>
  <c r="BK173" i="14"/>
  <c r="BQ173" i="14"/>
  <c r="BN173" i="14"/>
  <c r="BL173" i="14"/>
  <c r="BR173" i="14"/>
  <c r="BP173" i="14"/>
  <c r="AV173" i="14"/>
  <c r="AU173" i="14" s="1"/>
  <c r="AT173" i="14" s="1"/>
  <c r="AD104" i="6"/>
  <c r="AE104" i="6"/>
  <c r="AA104" i="6"/>
  <c r="B104" i="6" s="1"/>
  <c r="W148" i="44"/>
  <c r="Q148" i="44"/>
  <c r="Q236" i="44"/>
  <c r="W236" i="44"/>
  <c r="Q557" i="44"/>
  <c r="W557" i="44"/>
  <c r="BG177" i="14"/>
  <c r="BF177" i="14"/>
  <c r="BE177" i="14"/>
  <c r="BD177" i="14"/>
  <c r="BC177" i="14"/>
  <c r="BJ177" i="14"/>
  <c r="AR177" i="14"/>
  <c r="AQ177" i="14" s="1"/>
  <c r="AP177" i="14" s="1"/>
  <c r="BK55" i="14"/>
  <c r="BQ55" i="14"/>
  <c r="BP55" i="14"/>
  <c r="BL55" i="14"/>
  <c r="BN55" i="14"/>
  <c r="AV55" i="14"/>
  <c r="AU55" i="14" s="1"/>
  <c r="AT55" i="14" s="1"/>
  <c r="BR55" i="14"/>
  <c r="BM55" i="14"/>
  <c r="BO55" i="14"/>
  <c r="BC10" i="14"/>
  <c r="AR10" i="14"/>
  <c r="AQ10" i="14" s="1"/>
  <c r="AP10" i="14" s="1"/>
  <c r="BF10" i="14"/>
  <c r="BH10" i="14"/>
  <c r="BD10" i="14"/>
  <c r="BE10" i="14"/>
  <c r="BI10" i="14"/>
  <c r="BJ10" i="14"/>
  <c r="BG10" i="14"/>
  <c r="W414" i="44"/>
  <c r="Q414" i="44"/>
  <c r="BL112" i="14"/>
  <c r="BO112" i="14"/>
  <c r="BM112" i="14"/>
  <c r="BR112" i="14"/>
  <c r="AV112" i="14"/>
  <c r="AU112" i="14" s="1"/>
  <c r="AT112" i="14" s="1"/>
  <c r="BK112" i="14"/>
  <c r="BN112" i="14"/>
  <c r="BP112" i="14"/>
  <c r="BQ112" i="14"/>
  <c r="BK170" i="14"/>
  <c r="AV170" i="14"/>
  <c r="AU170" i="14" s="1"/>
  <c r="AT170" i="14" s="1"/>
  <c r="BQ170" i="14"/>
  <c r="BM170" i="14"/>
  <c r="BL170" i="14"/>
  <c r="BO170" i="14"/>
  <c r="BN170" i="14"/>
  <c r="BP170" i="14"/>
  <c r="BR170" i="14"/>
  <c r="BP21" i="14"/>
  <c r="BM21" i="14"/>
  <c r="BN21" i="14"/>
  <c r="BR21" i="14"/>
  <c r="BL21" i="14"/>
  <c r="BO21" i="14"/>
  <c r="AV21" i="14"/>
  <c r="AU21" i="14" s="1"/>
  <c r="AT21" i="14" s="1"/>
  <c r="BK21" i="14"/>
  <c r="BQ21" i="14"/>
  <c r="BR138" i="14"/>
  <c r="BL138" i="14"/>
  <c r="BQ138" i="14"/>
  <c r="BM138" i="14"/>
  <c r="AV138" i="14"/>
  <c r="AU138" i="14" s="1"/>
  <c r="AT138" i="14" s="1"/>
  <c r="BK138" i="14"/>
  <c r="BO138" i="14"/>
  <c r="AR105" i="14"/>
  <c r="AQ105" i="14" s="1"/>
  <c r="AP105" i="14" s="1"/>
  <c r="BF105" i="14"/>
  <c r="BE105" i="14"/>
  <c r="BG105" i="14"/>
  <c r="BD105" i="14"/>
  <c r="BI105" i="14"/>
  <c r="BC105" i="14"/>
  <c r="BH105" i="14"/>
  <c r="BJ105" i="14"/>
  <c r="Q458" i="44"/>
  <c r="W458" i="44"/>
  <c r="W500" i="44"/>
  <c r="BH45" i="14"/>
  <c r="BD45" i="14"/>
  <c r="BJ45" i="14"/>
  <c r="BE45" i="14"/>
  <c r="BG45" i="14"/>
  <c r="BI45" i="14"/>
  <c r="BC45" i="14"/>
  <c r="AR45" i="14"/>
  <c r="AQ45" i="14" s="1"/>
  <c r="AP45" i="14" s="1"/>
  <c r="BF45" i="14"/>
  <c r="BC47" i="14"/>
  <c r="BG47" i="14"/>
  <c r="BH47" i="14"/>
  <c r="BJ47" i="14"/>
  <c r="BD47" i="14"/>
  <c r="BI47" i="14"/>
  <c r="AR47" i="14"/>
  <c r="AQ47" i="14" s="1"/>
  <c r="AP47" i="14" s="1"/>
  <c r="BE47" i="14"/>
  <c r="BF47" i="14"/>
  <c r="BL74" i="14"/>
  <c r="BO74" i="14"/>
  <c r="BN74" i="14"/>
  <c r="BR74" i="14"/>
  <c r="AV74" i="14"/>
  <c r="AU74" i="14" s="1"/>
  <c r="AT74" i="14" s="1"/>
  <c r="BQ74" i="14"/>
  <c r="BK74" i="14"/>
  <c r="BM74" i="14"/>
  <c r="BP74" i="14"/>
  <c r="W82" i="44"/>
  <c r="Q82" i="44"/>
  <c r="BQ110" i="14"/>
  <c r="BP110" i="14"/>
  <c r="BN110" i="14"/>
  <c r="AV110" i="14"/>
  <c r="AU110" i="14" s="1"/>
  <c r="AT110" i="14" s="1"/>
  <c r="BO110" i="14"/>
  <c r="BK110" i="14"/>
  <c r="BR110" i="14"/>
  <c r="BL110" i="14"/>
  <c r="BM110" i="14"/>
  <c r="BO114" i="14"/>
  <c r="BL114" i="14"/>
  <c r="BP114" i="14"/>
  <c r="BR114" i="14"/>
  <c r="BK114" i="14"/>
  <c r="BM114" i="14"/>
  <c r="BQ114" i="14"/>
  <c r="Q379" i="44"/>
  <c r="W379" i="44"/>
  <c r="Q61" i="44"/>
  <c r="W61" i="44"/>
  <c r="Q17" i="44"/>
  <c r="W17" i="44"/>
  <c r="W150" i="44"/>
  <c r="Q150" i="44"/>
  <c r="Q534" i="44"/>
  <c r="W534" i="44"/>
  <c r="BC149" i="14"/>
  <c r="BI149" i="14"/>
  <c r="BH149" i="14"/>
  <c r="BF149" i="14"/>
  <c r="BD149" i="14"/>
  <c r="AR149" i="14"/>
  <c r="AQ149" i="14" s="1"/>
  <c r="AP149" i="14" s="1"/>
  <c r="BG149" i="14"/>
  <c r="BJ149" i="14"/>
  <c r="BE149" i="14"/>
  <c r="BI170" i="14"/>
  <c r="BF170" i="14"/>
  <c r="BD170" i="14"/>
  <c r="AR170" i="14"/>
  <c r="AQ170" i="14" s="1"/>
  <c r="AP170" i="14" s="1"/>
  <c r="BH170" i="14"/>
  <c r="BE170" i="14"/>
  <c r="BC170" i="14"/>
  <c r="BG170" i="14"/>
  <c r="BJ170" i="14"/>
  <c r="BL87" i="14"/>
  <c r="BM87" i="14"/>
  <c r="BO87" i="14"/>
  <c r="AV87" i="14"/>
  <c r="AU87" i="14" s="1"/>
  <c r="AT87" i="14" s="1"/>
  <c r="BK87" i="14"/>
  <c r="BR87" i="14"/>
  <c r="BQ87" i="14"/>
  <c r="BP87" i="14"/>
  <c r="BN87" i="14"/>
  <c r="W15" i="44"/>
  <c r="Q15" i="44"/>
  <c r="Q466" i="44"/>
  <c r="W466" i="44"/>
  <c r="Q367" i="44"/>
  <c r="W367" i="44"/>
  <c r="BC138" i="14"/>
  <c r="BE138" i="14"/>
  <c r="AR138" i="14"/>
  <c r="AQ138" i="14" s="1"/>
  <c r="AP138" i="14" s="1"/>
  <c r="BH138" i="14"/>
  <c r="BF138" i="14"/>
  <c r="BI138" i="14"/>
  <c r="BJ138" i="14"/>
  <c r="BG138" i="14"/>
  <c r="BD138" i="14"/>
  <c r="BM137" i="14"/>
  <c r="BK137" i="14"/>
  <c r="BL137" i="14"/>
  <c r="BR137" i="14"/>
  <c r="AV137" i="14"/>
  <c r="AU137" i="14" s="1"/>
  <c r="AT137" i="14" s="1"/>
  <c r="BO137" i="14"/>
  <c r="BQ137" i="14"/>
  <c r="BN137" i="14"/>
  <c r="BP137" i="14"/>
  <c r="AV78" i="14"/>
  <c r="AU78" i="14" s="1"/>
  <c r="AT78" i="14" s="1"/>
  <c r="BP78" i="14"/>
  <c r="BK78" i="14"/>
  <c r="BQ78" i="14"/>
  <c r="BO78" i="14"/>
  <c r="BM78" i="14"/>
  <c r="BR78" i="14"/>
  <c r="BN78" i="14"/>
  <c r="BL78" i="14"/>
  <c r="Z444" i="44"/>
  <c r="T444" i="44"/>
  <c r="AD202" i="6"/>
  <c r="Q224" i="44"/>
  <c r="W224" i="44"/>
  <c r="AB373" i="6"/>
  <c r="C373" i="6" s="1"/>
  <c r="AA235" i="44"/>
  <c r="U235" i="44"/>
  <c r="T135" i="40"/>
  <c r="W135" i="40"/>
  <c r="V135" i="40"/>
  <c r="Z135" i="40"/>
  <c r="D322" i="48"/>
  <c r="U135" i="48"/>
  <c r="Z135" i="48"/>
  <c r="T135" i="48"/>
  <c r="V135" i="48"/>
  <c r="W135" i="48"/>
  <c r="U102" i="50"/>
  <c r="D289" i="50"/>
  <c r="E289" i="50"/>
  <c r="E322" i="40"/>
  <c r="D322" i="40"/>
  <c r="U135" i="40"/>
  <c r="E322" i="48"/>
  <c r="Z102" i="50"/>
  <c r="W102" i="50"/>
  <c r="T102" i="50"/>
  <c r="V102" i="50"/>
  <c r="BC52" i="14"/>
  <c r="BI52" i="14"/>
  <c r="BE52" i="14"/>
  <c r="AR52" i="14"/>
  <c r="AQ52" i="14" s="1"/>
  <c r="AP52" i="14" s="1"/>
  <c r="BG52" i="14"/>
  <c r="BJ52" i="14"/>
  <c r="BH52" i="14"/>
  <c r="BD52" i="14"/>
  <c r="BF52" i="14"/>
  <c r="AW171" i="14"/>
  <c r="AX171" i="14"/>
  <c r="BA171" i="14" s="1"/>
  <c r="B171" i="14"/>
  <c r="AL171" i="14"/>
  <c r="AB488" i="6"/>
  <c r="C488" i="6" s="1"/>
  <c r="BL41" i="14"/>
  <c r="AV41" i="14"/>
  <c r="AU41" i="14" s="1"/>
  <c r="AT41" i="14" s="1"/>
  <c r="BQ41" i="14"/>
  <c r="BP41" i="14"/>
  <c r="BN41" i="14"/>
  <c r="BM41" i="14"/>
  <c r="BK41" i="14"/>
  <c r="BR41" i="14"/>
  <c r="BO41" i="14"/>
  <c r="AW75" i="14"/>
  <c r="AL75" i="14"/>
  <c r="AX75" i="14"/>
  <c r="BA75" i="14" s="1"/>
  <c r="B75" i="14"/>
  <c r="AM11" i="14"/>
  <c r="AW11" i="14"/>
  <c r="AX11" i="14"/>
  <c r="C11" i="14"/>
  <c r="AR20" i="14"/>
  <c r="AQ20" i="14" s="1"/>
  <c r="AP20" i="14" s="1"/>
  <c r="BD20" i="14"/>
  <c r="BF20" i="14"/>
  <c r="BI20" i="14"/>
  <c r="BE20" i="14"/>
  <c r="BG20" i="14"/>
  <c r="BC20" i="14"/>
  <c r="BH20" i="14"/>
  <c r="BJ20" i="14"/>
  <c r="BG148" i="14"/>
  <c r="BF148" i="14"/>
  <c r="BD148" i="14"/>
  <c r="BC148" i="14"/>
  <c r="BI148" i="14"/>
  <c r="BJ148" i="14"/>
  <c r="BH148" i="14"/>
  <c r="BE148" i="14"/>
  <c r="AR148" i="14"/>
  <c r="AQ148" i="14" s="1"/>
  <c r="AP148" i="14" s="1"/>
  <c r="AV44" i="14"/>
  <c r="AU44" i="14" s="1"/>
  <c r="AT44" i="14" s="1"/>
  <c r="BO44" i="14"/>
  <c r="BP44" i="14"/>
  <c r="BL44" i="14"/>
  <c r="BM44" i="14"/>
  <c r="BQ44" i="14"/>
  <c r="BK44" i="14"/>
  <c r="BR44" i="14"/>
  <c r="BN44" i="14"/>
  <c r="BP73" i="14"/>
  <c r="BN73" i="14"/>
  <c r="AV73" i="14"/>
  <c r="AU73" i="14" s="1"/>
  <c r="AT73" i="14" s="1"/>
  <c r="BM73" i="14"/>
  <c r="BR73" i="14"/>
  <c r="BQ73" i="14"/>
  <c r="BO73" i="14"/>
  <c r="BL73" i="14"/>
  <c r="BK73" i="14"/>
  <c r="AB203" i="6"/>
  <c r="C203" i="6" s="1"/>
  <c r="AB138" i="6"/>
  <c r="C138" i="6" s="1"/>
  <c r="BQ42" i="14"/>
  <c r="BR42" i="14"/>
  <c r="BK42" i="14"/>
  <c r="BL42" i="14"/>
  <c r="BP42" i="14"/>
  <c r="BN42" i="14"/>
  <c r="BO42" i="14"/>
  <c r="AV42" i="14"/>
  <c r="AU42" i="14" s="1"/>
  <c r="AT42" i="14" s="1"/>
  <c r="BM42" i="14"/>
  <c r="AW76" i="14"/>
  <c r="AZ76" i="14" s="1"/>
  <c r="AL76" i="14"/>
  <c r="AX76" i="14"/>
  <c r="BA76" i="14" s="1"/>
  <c r="B76" i="14"/>
  <c r="AB41" i="6"/>
  <c r="C41" i="6" s="1"/>
  <c r="BK9" i="14"/>
  <c r="BN9" i="14"/>
  <c r="BQ9" i="14"/>
  <c r="BO9" i="14"/>
  <c r="BR9" i="14"/>
  <c r="BL9" i="14"/>
  <c r="AV9" i="14"/>
  <c r="AU9" i="14" s="1"/>
  <c r="AT9" i="14" s="1"/>
  <c r="BM9" i="14"/>
  <c r="BP9" i="14"/>
  <c r="AX12" i="14"/>
  <c r="BA12" i="14" s="1"/>
  <c r="C12" i="14"/>
  <c r="AM12" i="14"/>
  <c r="AW12" i="14"/>
  <c r="AZ12" i="14" s="1"/>
  <c r="AV169" i="14"/>
  <c r="AU169" i="14" s="1"/>
  <c r="AT169" i="14" s="1"/>
  <c r="BR169" i="14"/>
  <c r="BM169" i="14"/>
  <c r="BP169" i="14"/>
  <c r="BN169" i="14"/>
  <c r="BK169" i="14"/>
  <c r="BO169" i="14"/>
  <c r="BQ169" i="14"/>
  <c r="BL169" i="14"/>
  <c r="BN84" i="14"/>
  <c r="AV84" i="14"/>
  <c r="AU84" i="14" s="1"/>
  <c r="AT84" i="14" s="1"/>
  <c r="BL84" i="14"/>
  <c r="BO84" i="14"/>
  <c r="BK84" i="14"/>
  <c r="BQ84" i="14"/>
  <c r="BR84" i="14"/>
  <c r="BM84" i="14"/>
  <c r="BP84" i="14"/>
  <c r="AB105" i="6"/>
  <c r="C105" i="6" s="1"/>
  <c r="C172" i="14"/>
  <c r="AW172" i="14"/>
  <c r="AZ172" i="14" s="1"/>
  <c r="AX172" i="14"/>
  <c r="BA172" i="14" s="1"/>
  <c r="AM172" i="14"/>
  <c r="AB299" i="6"/>
  <c r="C299" i="6" s="1"/>
  <c r="AW140" i="14"/>
  <c r="AX140" i="14"/>
  <c r="AM140" i="14"/>
  <c r="C140" i="14"/>
  <c r="BD17" i="14"/>
  <c r="BI17" i="14"/>
  <c r="BE17" i="14"/>
  <c r="AR17" i="14"/>
  <c r="AQ17" i="14" s="1"/>
  <c r="AP17" i="14" s="1"/>
  <c r="BC17" i="14"/>
  <c r="BF17" i="14"/>
  <c r="BH17" i="14"/>
  <c r="BG17" i="14"/>
  <c r="BJ17" i="14"/>
  <c r="BK83" i="14"/>
  <c r="BL83" i="14"/>
  <c r="BM83" i="14"/>
  <c r="BO83" i="14"/>
  <c r="BQ83" i="14"/>
  <c r="BN83" i="14"/>
  <c r="BP83" i="14"/>
  <c r="BR83" i="14"/>
  <c r="AV83" i="14"/>
  <c r="AU83" i="14" s="1"/>
  <c r="AT83" i="14" s="1"/>
  <c r="AV106" i="14"/>
  <c r="AU106" i="14" s="1"/>
  <c r="AT106" i="14" s="1"/>
  <c r="BP106" i="14"/>
  <c r="BR106" i="14"/>
  <c r="BQ106" i="14"/>
  <c r="BL106" i="14"/>
  <c r="BN106" i="14"/>
  <c r="BO106" i="14"/>
  <c r="BM106" i="14"/>
  <c r="BK106" i="14"/>
  <c r="AV104" i="14"/>
  <c r="AU104" i="14" s="1"/>
  <c r="AT104" i="14" s="1"/>
  <c r="BP104" i="14"/>
  <c r="BN104" i="14"/>
  <c r="BO104" i="14"/>
  <c r="BR104" i="14"/>
  <c r="BL104" i="14"/>
  <c r="BM104" i="14"/>
  <c r="BQ104" i="14"/>
  <c r="BK104" i="14"/>
  <c r="J126" i="14"/>
  <c r="BL43" i="14"/>
  <c r="BK43" i="14"/>
  <c r="BP43" i="14"/>
  <c r="BQ43" i="14"/>
  <c r="BO43" i="14"/>
  <c r="BM43" i="14"/>
  <c r="BR43" i="14"/>
  <c r="I138" i="41"/>
  <c r="B142" i="48"/>
  <c r="J157" i="48"/>
  <c r="L124" i="48"/>
  <c r="L157" i="40"/>
  <c r="I163" i="41"/>
  <c r="I129" i="41"/>
  <c r="I161" i="40"/>
  <c r="B80" i="50"/>
  <c r="B114" i="43"/>
  <c r="D157" i="47"/>
  <c r="I103" i="42"/>
  <c r="I94" i="47"/>
  <c r="I105" i="49"/>
  <c r="B136" i="48"/>
  <c r="N157" i="48"/>
  <c r="E91" i="42"/>
  <c r="G113" i="48"/>
  <c r="K80" i="50"/>
  <c r="C124" i="40"/>
  <c r="K157" i="47"/>
  <c r="B102" i="42"/>
  <c r="K113" i="42"/>
  <c r="I119" i="50"/>
  <c r="B136" i="41"/>
  <c r="F157" i="48"/>
  <c r="L91" i="42"/>
  <c r="I118" i="49"/>
  <c r="D124" i="47"/>
  <c r="M113" i="42"/>
  <c r="I113" i="40"/>
  <c r="I132" i="40"/>
  <c r="B160" i="48"/>
  <c r="M124" i="48"/>
  <c r="E113" i="49"/>
  <c r="G102" i="47"/>
  <c r="I81" i="42"/>
  <c r="F80" i="49"/>
  <c r="G124" i="47"/>
  <c r="I120" i="42"/>
  <c r="B113" i="40"/>
  <c r="I99" i="41"/>
  <c r="D113" i="43"/>
  <c r="B99" i="40"/>
  <c r="B130" i="47"/>
  <c r="I112" i="42"/>
  <c r="B138" i="48"/>
  <c r="M157" i="41"/>
  <c r="I131" i="41"/>
  <c r="I117" i="49"/>
  <c r="K102" i="40"/>
  <c r="E80" i="42"/>
  <c r="I92" i="48"/>
  <c r="B139" i="41"/>
  <c r="B102" i="48"/>
  <c r="D124" i="40"/>
  <c r="F157" i="47"/>
  <c r="I125" i="47"/>
  <c r="F80" i="42"/>
  <c r="N80" i="49"/>
  <c r="K102" i="42"/>
  <c r="B97" i="47"/>
  <c r="E113" i="50"/>
  <c r="I82" i="43"/>
  <c r="I90" i="49"/>
  <c r="G124" i="48"/>
  <c r="I156" i="40"/>
  <c r="J91" i="41"/>
  <c r="I91" i="43"/>
  <c r="I95" i="40"/>
  <c r="I79" i="50"/>
  <c r="F113" i="43"/>
  <c r="G157" i="47"/>
  <c r="K124" i="47"/>
  <c r="B118" i="42"/>
  <c r="M113" i="40"/>
  <c r="I142" i="48"/>
  <c r="B156" i="48"/>
  <c r="B125" i="48"/>
  <c r="L113" i="48"/>
  <c r="C80" i="50"/>
  <c r="E113" i="43"/>
  <c r="I156" i="47"/>
  <c r="I109" i="42"/>
  <c r="L113" i="42"/>
  <c r="B117" i="50"/>
  <c r="I96" i="41"/>
  <c r="B97" i="41"/>
  <c r="E91" i="43"/>
  <c r="K91" i="40"/>
  <c r="I83" i="50"/>
  <c r="B112" i="43"/>
  <c r="D113" i="49"/>
  <c r="J102" i="48"/>
  <c r="K124" i="40"/>
  <c r="J157" i="47"/>
  <c r="B110" i="42"/>
  <c r="B91" i="47"/>
  <c r="F113" i="50"/>
  <c r="B161" i="40"/>
  <c r="I85" i="50"/>
  <c r="N113" i="43"/>
  <c r="C157" i="47"/>
  <c r="I102" i="48"/>
  <c r="E124" i="40"/>
  <c r="I98" i="48"/>
  <c r="B164" i="41"/>
  <c r="I160" i="41"/>
  <c r="B125" i="41"/>
  <c r="B113" i="49"/>
  <c r="B91" i="41"/>
  <c r="G91" i="43"/>
  <c r="I97" i="40"/>
  <c r="I110" i="42"/>
  <c r="B90" i="50"/>
  <c r="L113" i="50"/>
  <c r="I119" i="42"/>
  <c r="B160" i="41"/>
  <c r="I124" i="41"/>
  <c r="I92" i="40"/>
  <c r="L102" i="48"/>
  <c r="B131" i="40"/>
  <c r="B95" i="48"/>
  <c r="B103" i="42"/>
  <c r="B96" i="47"/>
  <c r="N113" i="50"/>
  <c r="N80" i="43"/>
  <c r="B92" i="47"/>
  <c r="B107" i="49"/>
  <c r="E157" i="40"/>
  <c r="B90" i="41"/>
  <c r="C124" i="41"/>
  <c r="E91" i="40"/>
  <c r="D102" i="47"/>
  <c r="I87" i="42"/>
  <c r="B80" i="49"/>
  <c r="B80" i="43"/>
  <c r="B94" i="47"/>
  <c r="I102" i="49"/>
  <c r="C157" i="40"/>
  <c r="B101" i="48"/>
  <c r="L124" i="40"/>
  <c r="I161" i="47"/>
  <c r="D102" i="42"/>
  <c r="I96" i="47"/>
  <c r="I86" i="49"/>
  <c r="I137" i="48"/>
  <c r="B161" i="41"/>
  <c r="B131" i="41"/>
  <c r="B116" i="49"/>
  <c r="D102" i="40"/>
  <c r="B84" i="42"/>
  <c r="C80" i="49"/>
  <c r="B106" i="42"/>
  <c r="I90" i="47"/>
  <c r="I120" i="50"/>
  <c r="B81" i="50"/>
  <c r="B157" i="41"/>
  <c r="I127" i="41"/>
  <c r="D157" i="40"/>
  <c r="L102" i="47"/>
  <c r="N80" i="42"/>
  <c r="I99" i="48"/>
  <c r="B108" i="42"/>
  <c r="N91" i="50"/>
  <c r="G113" i="40"/>
  <c r="B116" i="43"/>
  <c r="I159" i="41"/>
  <c r="I128" i="41"/>
  <c r="I96" i="40"/>
  <c r="B127" i="47"/>
  <c r="I114" i="42"/>
  <c r="E80" i="49"/>
  <c r="B126" i="47"/>
  <c r="I117" i="42"/>
  <c r="I80" i="49"/>
  <c r="B87" i="43"/>
  <c r="I91" i="49"/>
  <c r="B128" i="48"/>
  <c r="I113" i="41"/>
  <c r="I95" i="41"/>
  <c r="I114" i="43"/>
  <c r="I162" i="47"/>
  <c r="B79" i="50"/>
  <c r="B121" i="43"/>
  <c r="I97" i="48"/>
  <c r="I85" i="43"/>
  <c r="C157" i="48"/>
  <c r="I131" i="48"/>
  <c r="F113" i="41"/>
  <c r="I80" i="50"/>
  <c r="I119" i="43"/>
  <c r="N157" i="47"/>
  <c r="N113" i="47"/>
  <c r="D91" i="47"/>
  <c r="B102" i="49"/>
  <c r="J191" i="12"/>
  <c r="D157" i="41"/>
  <c r="D91" i="43"/>
  <c r="I99" i="40"/>
  <c r="B129" i="47"/>
  <c r="B82" i="42"/>
  <c r="B85" i="49"/>
  <c r="D80" i="43"/>
  <c r="N102" i="41"/>
  <c r="I124" i="48"/>
  <c r="E113" i="41"/>
  <c r="B98" i="41"/>
  <c r="L91" i="43"/>
  <c r="G91" i="40"/>
  <c r="F91" i="41"/>
  <c r="I118" i="43"/>
  <c r="B156" i="47"/>
  <c r="I86" i="43"/>
  <c r="G113" i="49"/>
  <c r="I79" i="49"/>
  <c r="E102" i="49"/>
  <c r="B163" i="41"/>
  <c r="I104" i="42"/>
  <c r="B158" i="41"/>
  <c r="L102" i="49"/>
  <c r="B127" i="48"/>
  <c r="I120" i="43"/>
  <c r="M113" i="47"/>
  <c r="I87" i="43"/>
  <c r="I132" i="48"/>
  <c r="B115" i="42"/>
  <c r="I91" i="47"/>
  <c r="B92" i="41"/>
  <c r="B97" i="40"/>
  <c r="J113" i="40"/>
  <c r="D91" i="49"/>
  <c r="I92" i="41"/>
  <c r="I94" i="40"/>
  <c r="M157" i="47"/>
  <c r="I112" i="40"/>
  <c r="D157" i="48"/>
  <c r="D80" i="50"/>
  <c r="I88" i="43"/>
  <c r="I157" i="40"/>
  <c r="I112" i="43"/>
  <c r="B113" i="42"/>
  <c r="B81" i="43"/>
  <c r="N113" i="48"/>
  <c r="B91" i="40"/>
  <c r="E113" i="42"/>
  <c r="I157" i="48"/>
  <c r="I98" i="41"/>
  <c r="N113" i="49"/>
  <c r="K113" i="40"/>
  <c r="I132" i="41"/>
  <c r="E157" i="41"/>
  <c r="I101" i="48"/>
  <c r="C91" i="50"/>
  <c r="I79" i="43"/>
  <c r="K157" i="40"/>
  <c r="B96" i="48"/>
  <c r="B99" i="47"/>
  <c r="I81" i="50"/>
  <c r="B159" i="47"/>
  <c r="J91" i="50"/>
  <c r="L157" i="48"/>
  <c r="C113" i="48"/>
  <c r="J91" i="48"/>
  <c r="I116" i="50"/>
  <c r="J102" i="49"/>
  <c r="B138" i="41"/>
  <c r="I90" i="40"/>
  <c r="K113" i="43"/>
  <c r="B125" i="47"/>
  <c r="L80" i="49"/>
  <c r="C91" i="42"/>
  <c r="B119" i="43"/>
  <c r="D113" i="40"/>
  <c r="L91" i="49"/>
  <c r="J80" i="50"/>
  <c r="F80" i="43"/>
  <c r="N157" i="40"/>
  <c r="K91" i="43"/>
  <c r="K91" i="47"/>
  <c r="I112" i="47"/>
  <c r="C113" i="41"/>
  <c r="B94" i="48"/>
  <c r="E91" i="47"/>
  <c r="M80" i="50"/>
  <c r="L91" i="50"/>
  <c r="I93" i="48"/>
  <c r="C113" i="40"/>
  <c r="I115" i="50"/>
  <c r="I125" i="48"/>
  <c r="B91" i="43"/>
  <c r="M102" i="40"/>
  <c r="I132" i="47"/>
  <c r="M102" i="41"/>
  <c r="M91" i="41"/>
  <c r="F124" i="47"/>
  <c r="M80" i="49"/>
  <c r="E124" i="48"/>
  <c r="I101" i="40"/>
  <c r="I102" i="47"/>
  <c r="B101" i="42"/>
  <c r="B157" i="48"/>
  <c r="B128" i="47"/>
  <c r="B123" i="47"/>
  <c r="I118" i="50"/>
  <c r="B128" i="40"/>
  <c r="B88" i="42"/>
  <c r="K91" i="49"/>
  <c r="B130" i="40"/>
  <c r="D113" i="42"/>
  <c r="I110" i="49"/>
  <c r="K113" i="48"/>
  <c r="B119" i="49"/>
  <c r="G124" i="40"/>
  <c r="M113" i="50"/>
  <c r="B124" i="41"/>
  <c r="B117" i="42"/>
  <c r="G157" i="48"/>
  <c r="I88" i="50"/>
  <c r="B160" i="47"/>
  <c r="G91" i="50"/>
  <c r="I91" i="42"/>
  <c r="I126" i="40"/>
  <c r="F91" i="47"/>
  <c r="M91" i="49"/>
  <c r="L80" i="50"/>
  <c r="I96" i="48"/>
  <c r="M102" i="49"/>
  <c r="C102" i="41"/>
  <c r="L91" i="41"/>
  <c r="B102" i="40"/>
  <c r="I127" i="47"/>
  <c r="C91" i="43"/>
  <c r="K80" i="42"/>
  <c r="I157" i="41"/>
  <c r="I121" i="49"/>
  <c r="I83" i="49"/>
  <c r="B101" i="49"/>
  <c r="K157" i="41"/>
  <c r="B87" i="42"/>
  <c r="B80" i="42"/>
  <c r="B137" i="41"/>
  <c r="I106" i="42"/>
  <c r="M91" i="47"/>
  <c r="I114" i="50"/>
  <c r="I83" i="43"/>
  <c r="K102" i="41"/>
  <c r="I101" i="49"/>
  <c r="B159" i="41"/>
  <c r="I165" i="48"/>
  <c r="I90" i="42"/>
  <c r="F113" i="49"/>
  <c r="B102" i="47"/>
  <c r="I84" i="42"/>
  <c r="J80" i="49"/>
  <c r="I113" i="47"/>
  <c r="I93" i="47"/>
  <c r="G113" i="50"/>
  <c r="I165" i="41"/>
  <c r="B130" i="41"/>
  <c r="K113" i="49"/>
  <c r="D102" i="48"/>
  <c r="M124" i="40"/>
  <c r="I90" i="48"/>
  <c r="B113" i="47"/>
  <c r="L91" i="47"/>
  <c r="D113" i="50"/>
  <c r="I165" i="40"/>
  <c r="C102" i="48"/>
  <c r="I124" i="40"/>
  <c r="G91" i="48"/>
  <c r="B109" i="42"/>
  <c r="K91" i="50"/>
  <c r="I121" i="50"/>
  <c r="I214" i="12"/>
  <c r="I115" i="40" s="1"/>
  <c r="E91" i="41"/>
  <c r="J113" i="43"/>
  <c r="F91" i="40"/>
  <c r="I84" i="50"/>
  <c r="I127" i="40"/>
  <c r="B98" i="48"/>
  <c r="B120" i="49"/>
  <c r="M157" i="48"/>
  <c r="K124" i="48"/>
  <c r="G113" i="41"/>
  <c r="B88" i="50"/>
  <c r="B115" i="43"/>
  <c r="E91" i="48"/>
  <c r="J80" i="43"/>
  <c r="L102" i="41"/>
  <c r="I109" i="49"/>
  <c r="B162" i="40"/>
  <c r="G91" i="41"/>
  <c r="I113" i="43"/>
  <c r="M91" i="40"/>
  <c r="B137" i="48"/>
  <c r="I158" i="41"/>
  <c r="D124" i="41"/>
  <c r="J113" i="49"/>
  <c r="B84" i="50"/>
  <c r="L113" i="43"/>
  <c r="I159" i="47"/>
  <c r="B101" i="40"/>
  <c r="I88" i="42"/>
  <c r="B82" i="49"/>
  <c r="B107" i="42"/>
  <c r="M91" i="50"/>
  <c r="B113" i="50"/>
  <c r="I82" i="50"/>
  <c r="B163" i="48"/>
  <c r="B123" i="48"/>
  <c r="B112" i="41"/>
  <c r="B161" i="48"/>
  <c r="J91" i="42"/>
  <c r="B121" i="49"/>
  <c r="F80" i="50"/>
  <c r="B123" i="40"/>
  <c r="C91" i="48"/>
  <c r="E102" i="42"/>
  <c r="I95" i="47"/>
  <c r="I117" i="50"/>
  <c r="B114" i="49"/>
  <c r="I161" i="41"/>
  <c r="E124" i="41"/>
  <c r="B112" i="49"/>
  <c r="G102" i="48"/>
  <c r="I129" i="40"/>
  <c r="D91" i="48"/>
  <c r="I108" i="49"/>
  <c r="K157" i="48"/>
  <c r="I126" i="48"/>
  <c r="N113" i="41"/>
  <c r="B162" i="48"/>
  <c r="L124" i="41"/>
  <c r="J157" i="40"/>
  <c r="B96" i="41"/>
  <c r="I90" i="43"/>
  <c r="I112" i="49"/>
  <c r="J102" i="47"/>
  <c r="B79" i="42"/>
  <c r="I88" i="49"/>
  <c r="B140" i="48"/>
  <c r="I156" i="41"/>
  <c r="B126" i="41"/>
  <c r="B115" i="49"/>
  <c r="C157" i="41"/>
  <c r="G124" i="41"/>
  <c r="D91" i="40"/>
  <c r="G80" i="43"/>
  <c r="E102" i="41"/>
  <c r="C102" i="49"/>
  <c r="B164" i="48"/>
  <c r="B126" i="48"/>
  <c r="M113" i="41"/>
  <c r="E102" i="48"/>
  <c r="F124" i="40"/>
  <c r="F91" i="48"/>
  <c r="L80" i="43"/>
  <c r="J102" i="41"/>
  <c r="B131" i="48"/>
  <c r="B164" i="40"/>
  <c r="F157" i="41"/>
  <c r="B132" i="41"/>
  <c r="I93" i="40"/>
  <c r="E102" i="40"/>
  <c r="B81" i="42"/>
  <c r="B90" i="48"/>
  <c r="B101" i="47"/>
  <c r="I80" i="42"/>
  <c r="B79" i="49"/>
  <c r="M80" i="43"/>
  <c r="G91" i="49"/>
  <c r="I129" i="48"/>
  <c r="J113" i="41"/>
  <c r="K91" i="41"/>
  <c r="B113" i="43"/>
  <c r="L91" i="40"/>
  <c r="I126" i="47"/>
  <c r="G113" i="42"/>
  <c r="B112" i="40"/>
  <c r="N157" i="41"/>
  <c r="F124" i="41"/>
  <c r="M113" i="49"/>
  <c r="F102" i="40"/>
  <c r="I86" i="42"/>
  <c r="L157" i="47"/>
  <c r="B86" i="43"/>
  <c r="F102" i="41"/>
  <c r="B105" i="49"/>
  <c r="I216" i="12"/>
  <c r="D91" i="41"/>
  <c r="F91" i="43"/>
  <c r="B162" i="47"/>
  <c r="C102" i="47"/>
  <c r="B86" i="42"/>
  <c r="I95" i="48"/>
  <c r="D113" i="47"/>
  <c r="B101" i="41"/>
  <c r="N102" i="49"/>
  <c r="I142" i="41"/>
  <c r="B87" i="50"/>
  <c r="I121" i="43"/>
  <c r="B98" i="40"/>
  <c r="L102" i="40"/>
  <c r="I128" i="40"/>
  <c r="B93" i="48"/>
  <c r="B82" i="43"/>
  <c r="G102" i="41"/>
  <c r="B109" i="49"/>
  <c r="B157" i="40"/>
  <c r="I86" i="50"/>
  <c r="B126" i="40"/>
  <c r="B165" i="47"/>
  <c r="B83" i="50"/>
  <c r="I116" i="43"/>
  <c r="B164" i="47"/>
  <c r="I101" i="42"/>
  <c r="I116" i="42"/>
  <c r="B119" i="50"/>
  <c r="B131" i="47"/>
  <c r="B165" i="48"/>
  <c r="C124" i="48"/>
  <c r="D113" i="48"/>
  <c r="J157" i="41"/>
  <c r="M124" i="41"/>
  <c r="I116" i="49"/>
  <c r="B105" i="42"/>
  <c r="I91" i="50"/>
  <c r="B114" i="50"/>
  <c r="B132" i="40"/>
  <c r="I160" i="48"/>
  <c r="M91" i="42"/>
  <c r="I115" i="49"/>
  <c r="M124" i="47"/>
  <c r="B120" i="42"/>
  <c r="B84" i="49"/>
  <c r="B88" i="43"/>
  <c r="N91" i="49"/>
  <c r="B130" i="48"/>
  <c r="I112" i="48"/>
  <c r="N80" i="50"/>
  <c r="B118" i="43"/>
  <c r="B93" i="40"/>
  <c r="E124" i="47"/>
  <c r="B112" i="42"/>
  <c r="F113" i="40"/>
  <c r="K80" i="43"/>
  <c r="F91" i="49"/>
  <c r="N124" i="48"/>
  <c r="M157" i="40"/>
  <c r="I159" i="48"/>
  <c r="N91" i="42"/>
  <c r="I114" i="49"/>
  <c r="B118" i="50"/>
  <c r="N102" i="47"/>
  <c r="B112" i="47"/>
  <c r="I159" i="40"/>
  <c r="N91" i="40"/>
  <c r="D91" i="50"/>
  <c r="J91" i="47"/>
  <c r="C91" i="49"/>
  <c r="B158" i="40"/>
  <c r="I165" i="47"/>
  <c r="K102" i="49"/>
  <c r="B91" i="49"/>
  <c r="B132" i="47"/>
  <c r="F102" i="42"/>
  <c r="B139" i="48"/>
  <c r="M91" i="43"/>
  <c r="N113" i="42"/>
  <c r="I81" i="43"/>
  <c r="I163" i="40"/>
  <c r="B86" i="50"/>
  <c r="G102" i="42"/>
  <c r="I131" i="47"/>
  <c r="I113" i="48"/>
  <c r="I131" i="40"/>
  <c r="J91" i="49"/>
  <c r="B99" i="41"/>
  <c r="C113" i="49"/>
  <c r="D80" i="49"/>
  <c r="B129" i="48"/>
  <c r="I90" i="41"/>
  <c r="I130" i="47"/>
  <c r="B143" i="41"/>
  <c r="B90" i="42"/>
  <c r="B128" i="41"/>
  <c r="F113" i="42"/>
  <c r="I115" i="42"/>
  <c r="B118" i="49"/>
  <c r="I125" i="41"/>
  <c r="B124" i="40"/>
  <c r="L102" i="42"/>
  <c r="B116" i="50"/>
  <c r="G102" i="49"/>
  <c r="N124" i="40"/>
  <c r="J113" i="47"/>
  <c r="I158" i="40"/>
  <c r="M102" i="42"/>
  <c r="I112" i="50"/>
  <c r="K91" i="42"/>
  <c r="B129" i="40"/>
  <c r="I105" i="42"/>
  <c r="B125" i="40"/>
  <c r="I94" i="41"/>
  <c r="J91" i="43"/>
  <c r="E80" i="50"/>
  <c r="I83" i="42"/>
  <c r="B113" i="41"/>
  <c r="I157" i="47"/>
  <c r="B119" i="42"/>
  <c r="B85" i="50"/>
  <c r="K113" i="41"/>
  <c r="I158" i="47"/>
  <c r="I103" i="49"/>
  <c r="I164" i="47"/>
  <c r="I113" i="50"/>
  <c r="I101" i="41"/>
  <c r="F102" i="47"/>
  <c r="F113" i="47"/>
  <c r="B156" i="40"/>
  <c r="B127" i="40"/>
  <c r="I108" i="42"/>
  <c r="B104" i="42"/>
  <c r="B84" i="43"/>
  <c r="I127" i="48"/>
  <c r="M113" i="48"/>
  <c r="B94" i="40"/>
  <c r="B83" i="42"/>
  <c r="M80" i="42"/>
  <c r="I84" i="43"/>
  <c r="I160" i="40"/>
  <c r="B158" i="47"/>
  <c r="B114" i="42"/>
  <c r="E91" i="49"/>
  <c r="I85" i="42"/>
  <c r="B93" i="41"/>
  <c r="E91" i="50"/>
  <c r="B83" i="49"/>
  <c r="I113" i="49"/>
  <c r="I121" i="42"/>
  <c r="I113" i="42"/>
  <c r="G80" i="50"/>
  <c r="I160" i="47"/>
  <c r="I87" i="49"/>
  <c r="I123" i="48"/>
  <c r="N102" i="48"/>
  <c r="I123" i="47"/>
  <c r="L113" i="40"/>
  <c r="J124" i="48"/>
  <c r="G91" i="42"/>
  <c r="K91" i="48"/>
  <c r="B90" i="47"/>
  <c r="B162" i="41"/>
  <c r="I128" i="47"/>
  <c r="I87" i="50"/>
  <c r="B163" i="40"/>
  <c r="C102" i="42"/>
  <c r="C113" i="50"/>
  <c r="I163" i="48"/>
  <c r="B82" i="50"/>
  <c r="K113" i="47"/>
  <c r="I115" i="43"/>
  <c r="B165" i="40"/>
  <c r="C113" i="47"/>
  <c r="B85" i="43"/>
  <c r="D102" i="49"/>
  <c r="B90" i="43"/>
  <c r="B85" i="42"/>
  <c r="B116" i="42"/>
  <c r="I93" i="41"/>
  <c r="B96" i="40"/>
  <c r="I82" i="49"/>
  <c r="I123" i="41"/>
  <c r="M102" i="48"/>
  <c r="G113" i="47"/>
  <c r="I92" i="47"/>
  <c r="I126" i="41"/>
  <c r="J102" i="40"/>
  <c r="K102" i="47"/>
  <c r="B143" i="48"/>
  <c r="I140" i="48"/>
  <c r="N102" i="40"/>
  <c r="I79" i="42"/>
  <c r="I94" i="48"/>
  <c r="L124" i="47"/>
  <c r="B121" i="42"/>
  <c r="B91" i="48"/>
  <c r="E113" i="47"/>
  <c r="N91" i="47"/>
  <c r="B103" i="49"/>
  <c r="F157" i="40"/>
  <c r="B95" i="41"/>
  <c r="I117" i="43"/>
  <c r="B157" i="47"/>
  <c r="E102" i="47"/>
  <c r="I82" i="42"/>
  <c r="K80" i="49"/>
  <c r="L113" i="47"/>
  <c r="I102" i="41"/>
  <c r="I104" i="49"/>
  <c r="I164" i="40"/>
  <c r="I162" i="41"/>
  <c r="K124" i="41"/>
  <c r="I98" i="40"/>
  <c r="C124" i="47"/>
  <c r="J80" i="42"/>
  <c r="B87" i="49"/>
  <c r="I139" i="48"/>
  <c r="L157" i="41"/>
  <c r="N124" i="41"/>
  <c r="L113" i="49"/>
  <c r="I102" i="40"/>
  <c r="G80" i="42"/>
  <c r="B88" i="49"/>
  <c r="I118" i="42"/>
  <c r="I158" i="48"/>
  <c r="F91" i="42"/>
  <c r="E113" i="48"/>
  <c r="G157" i="41"/>
  <c r="J124" i="41"/>
  <c r="B92" i="40"/>
  <c r="J102" i="42"/>
  <c r="B95" i="47"/>
  <c r="B115" i="50"/>
  <c r="B81" i="49"/>
  <c r="B156" i="41"/>
  <c r="I130" i="41"/>
  <c r="C91" i="40"/>
  <c r="I129" i="47"/>
  <c r="C113" i="42"/>
  <c r="N113" i="40"/>
  <c r="I80" i="43"/>
  <c r="E157" i="48"/>
  <c r="B124" i="48"/>
  <c r="F113" i="48"/>
  <c r="B83" i="43"/>
  <c r="B90" i="49"/>
  <c r="F124" i="48"/>
  <c r="G157" i="40"/>
  <c r="I161" i="48"/>
  <c r="D91" i="42"/>
  <c r="J113" i="48"/>
  <c r="I91" i="41"/>
  <c r="B120" i="43"/>
  <c r="I163" i="47"/>
  <c r="G102" i="40"/>
  <c r="L80" i="42"/>
  <c r="I91" i="48"/>
  <c r="I107" i="42"/>
  <c r="I90" i="50"/>
  <c r="I97" i="47"/>
  <c r="I106" i="49"/>
  <c r="B159" i="40"/>
  <c r="B165" i="41"/>
  <c r="B127" i="41"/>
  <c r="C80" i="42"/>
  <c r="I98" i="47"/>
  <c r="B123" i="41"/>
  <c r="B121" i="50"/>
  <c r="B79" i="43"/>
  <c r="B94" i="41"/>
  <c r="C91" i="47"/>
  <c r="L113" i="41"/>
  <c r="I85" i="49"/>
  <c r="K113" i="50"/>
  <c r="I124" i="47"/>
  <c r="I130" i="48"/>
  <c r="M113" i="43"/>
  <c r="B117" i="43"/>
  <c r="F91" i="50"/>
  <c r="B132" i="48"/>
  <c r="L91" i="48"/>
  <c r="I128" i="48"/>
  <c r="N124" i="47"/>
  <c r="I164" i="48"/>
  <c r="G113" i="43"/>
  <c r="E157" i="47"/>
  <c r="I112" i="41"/>
  <c r="B124" i="47"/>
  <c r="I164" i="41"/>
  <c r="I119" i="49"/>
  <c r="N91" i="48"/>
  <c r="D102" i="41"/>
  <c r="C102" i="40"/>
  <c r="B110" i="49"/>
  <c r="I130" i="40"/>
  <c r="B129" i="41"/>
  <c r="F102" i="48"/>
  <c r="B91" i="50"/>
  <c r="B98" i="47"/>
  <c r="I120" i="49"/>
  <c r="B158" i="48"/>
  <c r="C91" i="41"/>
  <c r="J124" i="47"/>
  <c r="D124" i="48"/>
  <c r="C113" i="43"/>
  <c r="B102" i="41"/>
  <c r="N91" i="41"/>
  <c r="N102" i="42"/>
  <c r="I107" i="49"/>
  <c r="D80" i="42"/>
  <c r="F102" i="49"/>
  <c r="B163" i="47"/>
  <c r="J113" i="50"/>
  <c r="J113" i="42"/>
  <c r="G91" i="47"/>
  <c r="I162" i="48"/>
  <c r="I97" i="41"/>
  <c r="B97" i="48"/>
  <c r="I84" i="49"/>
  <c r="B104" i="49"/>
  <c r="N91" i="43"/>
  <c r="C80" i="43"/>
  <c r="B112" i="48"/>
  <c r="M91" i="48"/>
  <c r="B161" i="47"/>
  <c r="B112" i="50"/>
  <c r="B91" i="42"/>
  <c r="I81" i="49"/>
  <c r="I141" i="41"/>
  <c r="I101" i="47"/>
  <c r="E80" i="43"/>
  <c r="D113" i="41"/>
  <c r="B92" i="48"/>
  <c r="B159" i="48"/>
  <c r="I156" i="48"/>
  <c r="K102" i="48"/>
  <c r="I102" i="42"/>
  <c r="B90" i="40"/>
  <c r="E113" i="40"/>
  <c r="B120" i="50"/>
  <c r="I125" i="40"/>
  <c r="B160" i="40"/>
  <c r="B113" i="48"/>
  <c r="B117" i="49"/>
  <c r="B108" i="49"/>
  <c r="B106" i="49"/>
  <c r="J124" i="40"/>
  <c r="I99" i="47"/>
  <c r="I162" i="40"/>
  <c r="I91" i="40"/>
  <c r="B86" i="49"/>
  <c r="B142" i="41"/>
  <c r="M102" i="47"/>
  <c r="I115" i="47"/>
  <c r="I123" i="40"/>
  <c r="B93" i="47"/>
  <c r="J91" i="40"/>
  <c r="B99" i="48"/>
  <c r="G80" i="49"/>
  <c r="AB489" i="6" l="1"/>
  <c r="C489" i="6" s="1"/>
  <c r="AA41" i="6"/>
  <c r="B41" i="6" s="1"/>
  <c r="C52" i="14"/>
  <c r="AD492" i="6"/>
  <c r="AE492" i="6"/>
  <c r="AB492" i="6" s="1"/>
  <c r="C492" i="6" s="1"/>
  <c r="L124" i="14"/>
  <c r="Z124" i="14" s="1"/>
  <c r="BO145" i="14"/>
  <c r="BR145" i="14"/>
  <c r="AB500" i="6"/>
  <c r="C500" i="6" s="1"/>
  <c r="AB340" i="6"/>
  <c r="C340" i="6" s="1"/>
  <c r="B42" i="14"/>
  <c r="AD80" i="6"/>
  <c r="AE80" i="6"/>
  <c r="AD428" i="6"/>
  <c r="AE428" i="6"/>
  <c r="AB428" i="6" s="1"/>
  <c r="C428" i="6" s="1"/>
  <c r="BC139" i="14"/>
  <c r="BJ139" i="14"/>
  <c r="BD139" i="14"/>
  <c r="BI139" i="14"/>
  <c r="BG139" i="14"/>
  <c r="BE139" i="14"/>
  <c r="AE107" i="6"/>
  <c r="AB107" i="6" s="1"/>
  <c r="C107" i="6" s="1"/>
  <c r="AD52" i="6"/>
  <c r="B104" i="14"/>
  <c r="L128" i="14"/>
  <c r="BK145" i="14"/>
  <c r="BL145" i="14"/>
  <c r="B106" i="14"/>
  <c r="AB81" i="6"/>
  <c r="C81" i="6" s="1"/>
  <c r="AD273" i="6"/>
  <c r="AA273" i="6" s="1"/>
  <c r="B273" i="6" s="1"/>
  <c r="AD211" i="6"/>
  <c r="AA211" i="6" s="1"/>
  <c r="B211" i="6" s="1"/>
  <c r="AE211" i="6"/>
  <c r="BQ10" i="14"/>
  <c r="BP10" i="14"/>
  <c r="BK10" i="14"/>
  <c r="BN10" i="14"/>
  <c r="BL10" i="14"/>
  <c r="BO10" i="14"/>
  <c r="BR10" i="14"/>
  <c r="BM10" i="14"/>
  <c r="AV10" i="14"/>
  <c r="AU10" i="14" s="1"/>
  <c r="AT10" i="14" s="1"/>
  <c r="B41" i="14"/>
  <c r="E65" i="14" s="1"/>
  <c r="L130" i="14"/>
  <c r="AB49" i="6"/>
  <c r="C49" i="6" s="1"/>
  <c r="AL140" i="14"/>
  <c r="AB337" i="6"/>
  <c r="C337" i="6" s="1"/>
  <c r="K349" i="6" s="1"/>
  <c r="AA492" i="6"/>
  <c r="B492" i="6" s="1"/>
  <c r="BN145" i="14"/>
  <c r="W468" i="44"/>
  <c r="BF178" i="14"/>
  <c r="BG178" i="14"/>
  <c r="BC178" i="14"/>
  <c r="BI178" i="14"/>
  <c r="BJ178" i="14"/>
  <c r="BD178" i="14"/>
  <c r="BE178" i="14"/>
  <c r="BH178" i="14"/>
  <c r="AR178" i="14"/>
  <c r="AQ178" i="14" s="1"/>
  <c r="AP178" i="14" s="1"/>
  <c r="BF55" i="14"/>
  <c r="BD55" i="14"/>
  <c r="BC55" i="14"/>
  <c r="BG55" i="14"/>
  <c r="BJ55" i="14"/>
  <c r="AR55" i="14"/>
  <c r="AQ55" i="14" s="1"/>
  <c r="AP55" i="14" s="1"/>
  <c r="BI55" i="14"/>
  <c r="BE55" i="14"/>
  <c r="BH55" i="14"/>
  <c r="AA13" i="6"/>
  <c r="B13" i="6" s="1"/>
  <c r="AB202" i="6"/>
  <c r="C202" i="6" s="1"/>
  <c r="AB136" i="6"/>
  <c r="C136" i="6" s="1"/>
  <c r="AB238" i="6"/>
  <c r="C238" i="6" s="1"/>
  <c r="AE436" i="6"/>
  <c r="AA436" i="6"/>
  <c r="B436" i="6" s="1"/>
  <c r="AD436" i="6"/>
  <c r="W525" i="44"/>
  <c r="Q525" i="44"/>
  <c r="Q195" i="44"/>
  <c r="W195" i="44"/>
  <c r="AE396" i="6"/>
  <c r="AA396" i="6"/>
  <c r="B396" i="6" s="1"/>
  <c r="AD177" i="6"/>
  <c r="AA177" i="6" s="1"/>
  <c r="B177" i="6" s="1"/>
  <c r="AE177" i="6"/>
  <c r="AR114" i="14"/>
  <c r="AQ114" i="14" s="1"/>
  <c r="AP114" i="14" s="1"/>
  <c r="BJ114" i="14"/>
  <c r="BI114" i="14"/>
  <c r="BH114" i="14"/>
  <c r="BC114" i="14"/>
  <c r="BF114" i="14"/>
  <c r="BE114" i="14"/>
  <c r="BG114" i="14"/>
  <c r="BD114" i="14"/>
  <c r="AE212" i="6"/>
  <c r="AD212" i="6"/>
  <c r="AA212" i="6" s="1"/>
  <c r="B212" i="6" s="1"/>
  <c r="AE466" i="6"/>
  <c r="AL43" i="14"/>
  <c r="L123" i="14"/>
  <c r="AB44" i="6"/>
  <c r="C44" i="6" s="1"/>
  <c r="B43" i="14"/>
  <c r="W545" i="44"/>
  <c r="Q6" i="44"/>
  <c r="W6" i="44"/>
  <c r="Q470" i="44"/>
  <c r="W470" i="44"/>
  <c r="Z160" i="44"/>
  <c r="T160" i="44"/>
  <c r="AA160" i="44"/>
  <c r="U160" i="44"/>
  <c r="AD434" i="6"/>
  <c r="AE434" i="6"/>
  <c r="AB434" i="6" s="1"/>
  <c r="C434" i="6" s="1"/>
  <c r="AE400" i="6"/>
  <c r="AB395" i="6" s="1"/>
  <c r="C395" i="6" s="1"/>
  <c r="Q159" i="44"/>
  <c r="W159" i="44"/>
  <c r="L129" i="14"/>
  <c r="AL41" i="14"/>
  <c r="BE41" i="14" s="1"/>
  <c r="J125" i="14"/>
  <c r="J127" i="14"/>
  <c r="J130" i="14"/>
  <c r="AA74" i="6"/>
  <c r="B74" i="6" s="1"/>
  <c r="AL106" i="14"/>
  <c r="AA459" i="6"/>
  <c r="B459" i="6" s="1"/>
  <c r="AD459" i="6"/>
  <c r="AA458" i="6" s="1"/>
  <c r="B458" i="6" s="1"/>
  <c r="AE459" i="6"/>
  <c r="T140" i="44"/>
  <c r="Z140" i="44"/>
  <c r="AE116" i="6"/>
  <c r="AD116" i="6"/>
  <c r="AA116" i="6" s="1"/>
  <c r="B116" i="6" s="1"/>
  <c r="AE243" i="6"/>
  <c r="AD243" i="6"/>
  <c r="AA243" i="6" s="1"/>
  <c r="B243" i="6" s="1"/>
  <c r="AA426" i="6"/>
  <c r="B426" i="6" s="1"/>
  <c r="AD426" i="6"/>
  <c r="AE426" i="6"/>
  <c r="AD19" i="6"/>
  <c r="AA19" i="6" s="1"/>
  <c r="B19" i="6" s="1"/>
  <c r="AE19" i="6"/>
  <c r="AB19" i="6" s="1"/>
  <c r="C19" i="6" s="1"/>
  <c r="AD404" i="6"/>
  <c r="AA404" i="6" s="1"/>
  <c r="B404" i="6" s="1"/>
  <c r="AE404" i="6"/>
  <c r="AB404" i="6" s="1"/>
  <c r="C404" i="6" s="1"/>
  <c r="AB170" i="6"/>
  <c r="C170" i="6" s="1"/>
  <c r="AD170" i="6"/>
  <c r="AD298" i="6"/>
  <c r="AE298" i="6"/>
  <c r="AB298" i="6" s="1"/>
  <c r="C298" i="6" s="1"/>
  <c r="AE146" i="6"/>
  <c r="AB146" i="6" s="1"/>
  <c r="C146" i="6" s="1"/>
  <c r="AD146" i="6"/>
  <c r="AA146" i="6" s="1"/>
  <c r="B146" i="6" s="1"/>
  <c r="AD296" i="6"/>
  <c r="AE13" i="6"/>
  <c r="AB13" i="6" s="1"/>
  <c r="C13" i="6" s="1"/>
  <c r="BP182" i="14"/>
  <c r="BO182" i="14"/>
  <c r="BQ182" i="14"/>
  <c r="BM182" i="14"/>
  <c r="BK182" i="14"/>
  <c r="BR182" i="14"/>
  <c r="AV182" i="14"/>
  <c r="AU182" i="14" s="1"/>
  <c r="AT182" i="14" s="1"/>
  <c r="BN182" i="14"/>
  <c r="BL182" i="14"/>
  <c r="L125" i="14"/>
  <c r="L127" i="14"/>
  <c r="Z127" i="14" s="1"/>
  <c r="AA73" i="6"/>
  <c r="B73" i="6" s="1"/>
  <c r="J128" i="14"/>
  <c r="AL42" i="14"/>
  <c r="AA139" i="6"/>
  <c r="B139" i="6" s="1"/>
  <c r="AB42" i="6"/>
  <c r="C42" i="6" s="1"/>
  <c r="AA467" i="6"/>
  <c r="B467" i="6" s="1"/>
  <c r="AB336" i="6"/>
  <c r="C336" i="6" s="1"/>
  <c r="AD363" i="6"/>
  <c r="AA364" i="6" s="1"/>
  <c r="B364" i="6" s="1"/>
  <c r="BN43" i="14"/>
  <c r="J123" i="14"/>
  <c r="J129" i="14"/>
  <c r="L126" i="14"/>
  <c r="T126" i="14" s="1"/>
  <c r="AL104" i="14"/>
  <c r="AA137" i="6"/>
  <c r="B137" i="6" s="1"/>
  <c r="AL44" i="14"/>
  <c r="AB496" i="6"/>
  <c r="C496" i="6" s="1"/>
  <c r="AM49" i="14"/>
  <c r="AA72" i="6"/>
  <c r="B72" i="6" s="1"/>
  <c r="AB436" i="6"/>
  <c r="C436" i="6" s="1"/>
  <c r="AB499" i="6"/>
  <c r="C499" i="6" s="1"/>
  <c r="AM52" i="14"/>
  <c r="BQ52" i="14" s="1"/>
  <c r="BN114" i="14"/>
  <c r="BN138" i="14"/>
  <c r="BH177" i="14"/>
  <c r="AE371" i="6"/>
  <c r="BP145" i="14"/>
  <c r="BQ145" i="14"/>
  <c r="AA434" i="6"/>
  <c r="B434" i="6" s="1"/>
  <c r="AD210" i="6"/>
  <c r="AA210" i="6" s="1"/>
  <c r="B210" i="6" s="1"/>
  <c r="AA400" i="6"/>
  <c r="B400" i="6" s="1"/>
  <c r="Q114" i="44"/>
  <c r="W114" i="44"/>
  <c r="AD308" i="6"/>
  <c r="AA308" i="6" s="1"/>
  <c r="B308" i="6" s="1"/>
  <c r="AE308" i="6"/>
  <c r="AD276" i="6"/>
  <c r="AA276" i="6" s="1"/>
  <c r="B276" i="6" s="1"/>
  <c r="AE276" i="6"/>
  <c r="AD241" i="6"/>
  <c r="AA241" i="6" s="1"/>
  <c r="B241" i="6" s="1"/>
  <c r="AE241" i="6"/>
  <c r="AB240" i="6" s="1"/>
  <c r="C240" i="6" s="1"/>
  <c r="AD396" i="6"/>
  <c r="AE178" i="6"/>
  <c r="AD178" i="6"/>
  <c r="AA178" i="6" s="1"/>
  <c r="B178" i="6" s="1"/>
  <c r="AE11" i="6"/>
  <c r="AB11" i="6" s="1"/>
  <c r="C11" i="6" s="1"/>
  <c r="AD169" i="6"/>
  <c r="AE169" i="6"/>
  <c r="AB177" i="6" s="1"/>
  <c r="C177" i="6" s="1"/>
  <c r="W477" i="44"/>
  <c r="AB265" i="6"/>
  <c r="C265" i="6" s="1"/>
  <c r="AE265" i="6"/>
  <c r="AD265" i="6"/>
  <c r="AA268" i="6" s="1"/>
  <c r="B268" i="6" s="1"/>
  <c r="AE275" i="6"/>
  <c r="AB275" i="6" s="1"/>
  <c r="C275" i="6" s="1"/>
  <c r="AD275" i="6"/>
  <c r="BE48" i="14"/>
  <c r="AR48" i="14"/>
  <c r="AQ48" i="14" s="1"/>
  <c r="AP48" i="14" s="1"/>
  <c r="BJ48" i="14"/>
  <c r="BI48" i="14"/>
  <c r="BF48" i="14"/>
  <c r="BD48" i="14"/>
  <c r="BG48" i="14"/>
  <c r="BC48" i="14"/>
  <c r="BH48" i="14"/>
  <c r="AE204" i="6"/>
  <c r="AB204" i="6" s="1"/>
  <c r="C204" i="6" s="1"/>
  <c r="BD182" i="14"/>
  <c r="BF182" i="14"/>
  <c r="BH182" i="14"/>
  <c r="BC182" i="14"/>
  <c r="BG182" i="14"/>
  <c r="BI182" i="14"/>
  <c r="BE182" i="14"/>
  <c r="AR182" i="14"/>
  <c r="AQ182" i="14" s="1"/>
  <c r="AP182" i="14" s="1"/>
  <c r="BJ182" i="14"/>
  <c r="BO150" i="14"/>
  <c r="BN150" i="14"/>
  <c r="BL150" i="14"/>
  <c r="AV150" i="14"/>
  <c r="AU150" i="14" s="1"/>
  <c r="AT150" i="14" s="1"/>
  <c r="BR150" i="14"/>
  <c r="BK150" i="14"/>
  <c r="BP150" i="14"/>
  <c r="BM150" i="14"/>
  <c r="BQ150" i="14"/>
  <c r="BJ50" i="14"/>
  <c r="BC50" i="14"/>
  <c r="BI50" i="14"/>
  <c r="AR50" i="14"/>
  <c r="AQ50" i="14" s="1"/>
  <c r="AP50" i="14" s="1"/>
  <c r="BD50" i="14"/>
  <c r="BF50" i="14"/>
  <c r="BH50" i="14"/>
  <c r="BE50" i="14"/>
  <c r="BG50" i="14"/>
  <c r="BF15" i="14"/>
  <c r="BD15" i="14"/>
  <c r="BJ15" i="14"/>
  <c r="BC15" i="14"/>
  <c r="AR15" i="14"/>
  <c r="AQ15" i="14" s="1"/>
  <c r="AP15" i="14" s="1"/>
  <c r="BG15" i="14"/>
  <c r="BI15" i="14"/>
  <c r="BH15" i="14"/>
  <c r="BE15" i="14"/>
  <c r="BE80" i="14"/>
  <c r="BJ80" i="14"/>
  <c r="BH80" i="14"/>
  <c r="AR80" i="14"/>
  <c r="AQ80" i="14" s="1"/>
  <c r="AP80" i="14" s="1"/>
  <c r="BG80" i="14"/>
  <c r="BD80" i="14"/>
  <c r="BF80" i="14"/>
  <c r="BI80" i="14"/>
  <c r="BC80" i="14"/>
  <c r="BE183" i="14"/>
  <c r="BH183" i="14"/>
  <c r="BF183" i="14"/>
  <c r="BD183" i="14"/>
  <c r="BG183" i="14"/>
  <c r="BI183" i="14"/>
  <c r="AR183" i="14"/>
  <c r="AQ183" i="14" s="1"/>
  <c r="AP183" i="14" s="1"/>
  <c r="BJ183" i="14"/>
  <c r="BC183" i="14"/>
  <c r="BD174" i="14"/>
  <c r="BJ174" i="14"/>
  <c r="BF174" i="14"/>
  <c r="AR174" i="14"/>
  <c r="AQ174" i="14" s="1"/>
  <c r="AP174" i="14" s="1"/>
  <c r="BH174" i="14"/>
  <c r="BG174" i="14"/>
  <c r="BI174" i="14"/>
  <c r="BE174" i="14"/>
  <c r="BC174" i="14"/>
  <c r="BL111" i="14"/>
  <c r="BO111" i="14"/>
  <c r="BR111" i="14"/>
  <c r="BQ111" i="14"/>
  <c r="BN111" i="14"/>
  <c r="BN120" i="14" s="1"/>
  <c r="BK111" i="14"/>
  <c r="BM111" i="14"/>
  <c r="BP111" i="14"/>
  <c r="AV111" i="14"/>
  <c r="AU111" i="14" s="1"/>
  <c r="AT111" i="14" s="1"/>
  <c r="Q28" i="44"/>
  <c r="W28" i="44"/>
  <c r="Q139" i="44"/>
  <c r="W139" i="44"/>
  <c r="Q510" i="44"/>
  <c r="W510" i="44"/>
  <c r="Q347" i="44"/>
  <c r="W347" i="44"/>
  <c r="W29" i="44"/>
  <c r="Q29" i="44"/>
  <c r="BH116" i="14"/>
  <c r="BF116" i="14"/>
  <c r="BI116" i="14"/>
  <c r="BD116" i="14"/>
  <c r="BJ116" i="14"/>
  <c r="AR116" i="14"/>
  <c r="AQ116" i="14" s="1"/>
  <c r="AP116" i="14" s="1"/>
  <c r="BG116" i="14"/>
  <c r="BE116" i="14"/>
  <c r="BC116" i="14"/>
  <c r="BR108" i="14"/>
  <c r="BQ108" i="14"/>
  <c r="BK108" i="14"/>
  <c r="BN108" i="14"/>
  <c r="BM108" i="14"/>
  <c r="BL108" i="14"/>
  <c r="AV108" i="14"/>
  <c r="AU108" i="14" s="1"/>
  <c r="AT108" i="14" s="1"/>
  <c r="BP108" i="14"/>
  <c r="BO108" i="14"/>
  <c r="BF23" i="14"/>
  <c r="BC23" i="14"/>
  <c r="BJ23" i="14"/>
  <c r="AR23" i="14"/>
  <c r="AQ23" i="14" s="1"/>
  <c r="AP23" i="14" s="1"/>
  <c r="BD23" i="14"/>
  <c r="BI23" i="14"/>
  <c r="BG23" i="14"/>
  <c r="BH23" i="14"/>
  <c r="BE23" i="14"/>
  <c r="BP109" i="14"/>
  <c r="AV109" i="14"/>
  <c r="AU109" i="14" s="1"/>
  <c r="AT109" i="14" s="1"/>
  <c r="BR109" i="14"/>
  <c r="BN109" i="14"/>
  <c r="BQ109" i="14"/>
  <c r="BM109" i="14"/>
  <c r="BL109" i="14"/>
  <c r="BK109" i="14"/>
  <c r="BO109" i="14"/>
  <c r="BN180" i="14"/>
  <c r="BK180" i="14"/>
  <c r="BL180" i="14"/>
  <c r="BP180" i="14"/>
  <c r="AV180" i="14"/>
  <c r="AU180" i="14" s="1"/>
  <c r="AT180" i="14" s="1"/>
  <c r="BQ180" i="14"/>
  <c r="BO180" i="14"/>
  <c r="BM180" i="14"/>
  <c r="BR180" i="14"/>
  <c r="BL40" i="14"/>
  <c r="BO40" i="14"/>
  <c r="BK40" i="14"/>
  <c r="BQ40" i="14"/>
  <c r="BM40" i="14"/>
  <c r="BN40" i="14"/>
  <c r="BR40" i="14"/>
  <c r="AV40" i="14"/>
  <c r="AU40" i="14" s="1"/>
  <c r="AT40" i="14" s="1"/>
  <c r="BP40" i="14"/>
  <c r="T437" i="44"/>
  <c r="Z437" i="44"/>
  <c r="Q27" i="44"/>
  <c r="W27" i="44"/>
  <c r="W4" i="44"/>
  <c r="Q4" i="44"/>
  <c r="Q435" i="44"/>
  <c r="W435" i="44"/>
  <c r="Q448" i="44"/>
  <c r="W448" i="44"/>
  <c r="Q390" i="44"/>
  <c r="W390" i="44"/>
  <c r="BD107" i="14"/>
  <c r="BI107" i="14"/>
  <c r="BF107" i="14"/>
  <c r="BJ107" i="14"/>
  <c r="AR107" i="14"/>
  <c r="AQ107" i="14" s="1"/>
  <c r="AP107" i="14" s="1"/>
  <c r="BE107" i="14"/>
  <c r="BG107" i="14"/>
  <c r="BH107" i="14"/>
  <c r="BC107" i="14"/>
  <c r="AV79" i="14"/>
  <c r="AU79" i="14" s="1"/>
  <c r="AT79" i="14" s="1"/>
  <c r="BN79" i="14"/>
  <c r="BL79" i="14"/>
  <c r="BO79" i="14"/>
  <c r="BP79" i="14"/>
  <c r="BR79" i="14"/>
  <c r="BK79" i="14"/>
  <c r="BQ79" i="14"/>
  <c r="BM79" i="14"/>
  <c r="BD147" i="14"/>
  <c r="BC147" i="14"/>
  <c r="BE147" i="14"/>
  <c r="BG147" i="14"/>
  <c r="AR147" i="14"/>
  <c r="AQ147" i="14" s="1"/>
  <c r="AP147" i="14" s="1"/>
  <c r="BJ147" i="14"/>
  <c r="BH147" i="14"/>
  <c r="BF147" i="14"/>
  <c r="BI147" i="14"/>
  <c r="BQ72" i="14"/>
  <c r="BK72" i="14"/>
  <c r="BR72" i="14"/>
  <c r="BM72" i="14"/>
  <c r="BO72" i="14"/>
  <c r="BL72" i="14"/>
  <c r="BN72" i="14"/>
  <c r="AV72" i="14"/>
  <c r="AU72" i="14" s="1"/>
  <c r="AT72" i="14" s="1"/>
  <c r="BP72" i="14"/>
  <c r="W348" i="44"/>
  <c r="Q348" i="44"/>
  <c r="Q94" i="44"/>
  <c r="W94" i="44"/>
  <c r="Q488" i="44"/>
  <c r="W488" i="44"/>
  <c r="BC151" i="14"/>
  <c r="BF151" i="14"/>
  <c r="BD151" i="14"/>
  <c r="BH151" i="14"/>
  <c r="BI151" i="14"/>
  <c r="AR151" i="14"/>
  <c r="AQ151" i="14" s="1"/>
  <c r="AP151" i="14" s="1"/>
  <c r="BE151" i="14"/>
  <c r="BG151" i="14"/>
  <c r="BJ151" i="14"/>
  <c r="BL13" i="14"/>
  <c r="BN13" i="14"/>
  <c r="BP13" i="14"/>
  <c r="BK13" i="14"/>
  <c r="BR13" i="14"/>
  <c r="BQ13" i="14"/>
  <c r="AV13" i="14"/>
  <c r="AU13" i="14" s="1"/>
  <c r="AT13" i="14" s="1"/>
  <c r="BM13" i="14"/>
  <c r="BO13" i="14"/>
  <c r="BH85" i="14"/>
  <c r="BF85" i="14"/>
  <c r="BD85" i="14"/>
  <c r="BC85" i="14"/>
  <c r="BI85" i="14"/>
  <c r="BE85" i="14"/>
  <c r="AR85" i="14"/>
  <c r="AQ85" i="14" s="1"/>
  <c r="AP85" i="14" s="1"/>
  <c r="BJ85" i="14"/>
  <c r="BG85" i="14"/>
  <c r="Q19" i="44"/>
  <c r="W19" i="44"/>
  <c r="W512" i="44"/>
  <c r="Q512" i="44"/>
  <c r="Q193" i="44"/>
  <c r="W193" i="44"/>
  <c r="W456" i="44"/>
  <c r="Q456" i="44"/>
  <c r="W403" i="44"/>
  <c r="Q403" i="44"/>
  <c r="BG82" i="14"/>
  <c r="BD82" i="14"/>
  <c r="BI82" i="14"/>
  <c r="BJ82" i="14"/>
  <c r="BC82" i="14"/>
  <c r="BE82" i="14"/>
  <c r="BH82" i="14"/>
  <c r="BF82" i="14"/>
  <c r="AR82" i="14"/>
  <c r="AQ82" i="14" s="1"/>
  <c r="AP82" i="14" s="1"/>
  <c r="BM142" i="14"/>
  <c r="BR142" i="14"/>
  <c r="BP142" i="14"/>
  <c r="AV142" i="14"/>
  <c r="AU142" i="14" s="1"/>
  <c r="AT142" i="14" s="1"/>
  <c r="BO142" i="14"/>
  <c r="BK142" i="14"/>
  <c r="BN142" i="14"/>
  <c r="BQ142" i="14"/>
  <c r="BL142" i="14"/>
  <c r="W203" i="44"/>
  <c r="Q203" i="44"/>
  <c r="Q371" i="44"/>
  <c r="W371" i="44"/>
  <c r="Q85" i="44"/>
  <c r="W85" i="44"/>
  <c r="Q425" i="44"/>
  <c r="W425" i="44"/>
  <c r="Q182" i="44"/>
  <c r="W182" i="44"/>
  <c r="BK116" i="14"/>
  <c r="BK120" i="14" s="1"/>
  <c r="BO116" i="14"/>
  <c r="BQ116" i="14"/>
  <c r="BL116" i="14"/>
  <c r="AV116" i="14"/>
  <c r="AU116" i="14" s="1"/>
  <c r="AT116" i="14" s="1"/>
  <c r="BM116" i="14"/>
  <c r="BN116" i="14"/>
  <c r="BR116" i="14"/>
  <c r="BP116" i="14"/>
  <c r="BH87" i="14"/>
  <c r="BI87" i="14"/>
  <c r="BF87" i="14"/>
  <c r="BG87" i="14"/>
  <c r="BJ87" i="14"/>
  <c r="BE87" i="14"/>
  <c r="BC87" i="14"/>
  <c r="AR87" i="14"/>
  <c r="AQ87" i="14" s="1"/>
  <c r="AP87" i="14" s="1"/>
  <c r="BD87" i="14"/>
  <c r="BP113" i="14"/>
  <c r="BL113" i="14"/>
  <c r="AV113" i="14"/>
  <c r="AU113" i="14" s="1"/>
  <c r="AT113" i="14" s="1"/>
  <c r="BK113" i="14"/>
  <c r="BM113" i="14"/>
  <c r="BQ113" i="14"/>
  <c r="BN113" i="14"/>
  <c r="BR113" i="14"/>
  <c r="BO113" i="14"/>
  <c r="BI40" i="14"/>
  <c r="BC40" i="14"/>
  <c r="AR40" i="14"/>
  <c r="AQ40" i="14" s="1"/>
  <c r="AP40" i="14" s="1"/>
  <c r="BE40" i="14"/>
  <c r="BF40" i="14"/>
  <c r="BD40" i="14"/>
  <c r="BG40" i="14"/>
  <c r="BH40" i="14"/>
  <c r="BJ40" i="14"/>
  <c r="W357" i="44"/>
  <c r="Q357" i="44"/>
  <c r="AR53" i="14"/>
  <c r="AQ53" i="14" s="1"/>
  <c r="AP53" i="14" s="1"/>
  <c r="BH53" i="14"/>
  <c r="BF53" i="14"/>
  <c r="BI53" i="14"/>
  <c r="BE53" i="14"/>
  <c r="BJ53" i="14"/>
  <c r="BD53" i="14"/>
  <c r="BC53" i="14"/>
  <c r="BG53" i="14"/>
  <c r="BK176" i="14"/>
  <c r="BO176" i="14"/>
  <c r="BQ176" i="14"/>
  <c r="BP176" i="14"/>
  <c r="BN176" i="14"/>
  <c r="BL176" i="14"/>
  <c r="AV176" i="14"/>
  <c r="AU176" i="14" s="1"/>
  <c r="AT176" i="14" s="1"/>
  <c r="BR176" i="14"/>
  <c r="BM176" i="14"/>
  <c r="BE115" i="14"/>
  <c r="BJ115" i="14"/>
  <c r="BH115" i="14"/>
  <c r="BD115" i="14"/>
  <c r="BI115" i="14"/>
  <c r="BF115" i="14"/>
  <c r="BC115" i="14"/>
  <c r="AR115" i="14"/>
  <c r="AQ115" i="14" s="1"/>
  <c r="AP115" i="14" s="1"/>
  <c r="BG115" i="14"/>
  <c r="BD16" i="14"/>
  <c r="BH16" i="14"/>
  <c r="BJ16" i="14"/>
  <c r="BG16" i="14"/>
  <c r="BI16" i="14"/>
  <c r="BF16" i="14"/>
  <c r="AR16" i="14"/>
  <c r="AQ16" i="14" s="1"/>
  <c r="AP16" i="14" s="1"/>
  <c r="BC16" i="14"/>
  <c r="BE16" i="14"/>
  <c r="BR45" i="14"/>
  <c r="BP45" i="14"/>
  <c r="BN45" i="14"/>
  <c r="AV45" i="14"/>
  <c r="AU45" i="14" s="1"/>
  <c r="AT45" i="14" s="1"/>
  <c r="BM45" i="14"/>
  <c r="BK45" i="14"/>
  <c r="BO45" i="14"/>
  <c r="BL45" i="14"/>
  <c r="BQ45" i="14"/>
  <c r="BH72" i="14"/>
  <c r="BI72" i="14"/>
  <c r="BE72" i="14"/>
  <c r="BF72" i="14"/>
  <c r="BJ72" i="14"/>
  <c r="AR72" i="14"/>
  <c r="AQ72" i="14" s="1"/>
  <c r="AP72" i="14" s="1"/>
  <c r="BC72" i="14"/>
  <c r="BD72" i="14"/>
  <c r="BG72" i="14"/>
  <c r="Q83" i="44"/>
  <c r="W83" i="44"/>
  <c r="Q147" i="44"/>
  <c r="W147" i="44"/>
  <c r="Q389" i="44"/>
  <c r="W389" i="44"/>
  <c r="Q337" i="44"/>
  <c r="W337" i="44"/>
  <c r="Q127" i="44"/>
  <c r="W127" i="44"/>
  <c r="W48" i="44"/>
  <c r="BC18" i="14"/>
  <c r="AR18" i="14"/>
  <c r="AQ18" i="14" s="1"/>
  <c r="AP18" i="14" s="1"/>
  <c r="BH18" i="14"/>
  <c r="BF18" i="14"/>
  <c r="BI18" i="14"/>
  <c r="BE18" i="14"/>
  <c r="BG18" i="14"/>
  <c r="BJ18" i="14"/>
  <c r="BD18" i="14"/>
  <c r="AE113" i="6"/>
  <c r="AB113" i="6" s="1"/>
  <c r="C113" i="6" s="1"/>
  <c r="W404" i="44"/>
  <c r="Q171" i="44"/>
  <c r="W171" i="44"/>
  <c r="W116" i="44"/>
  <c r="Q116" i="44"/>
  <c r="Q180" i="44"/>
  <c r="W180" i="44"/>
  <c r="Q84" i="44"/>
  <c r="W84" i="44"/>
  <c r="Q514" i="44"/>
  <c r="W514" i="44"/>
  <c r="BH14" i="14"/>
  <c r="AR14" i="14"/>
  <c r="AQ14" i="14" s="1"/>
  <c r="AP14" i="14" s="1"/>
  <c r="BI14" i="14"/>
  <c r="BJ14" i="14"/>
  <c r="BE14" i="14"/>
  <c r="BC14" i="14"/>
  <c r="BF14" i="14"/>
  <c r="BG14" i="14"/>
  <c r="BD14" i="14"/>
  <c r="AV50" i="14"/>
  <c r="AU50" i="14" s="1"/>
  <c r="AT50" i="14" s="1"/>
  <c r="BR50" i="14"/>
  <c r="BQ50" i="14"/>
  <c r="BO50" i="14"/>
  <c r="BM50" i="14"/>
  <c r="BL50" i="14"/>
  <c r="BP50" i="14"/>
  <c r="BK50" i="14"/>
  <c r="BN50" i="14"/>
  <c r="BL15" i="14"/>
  <c r="BR15" i="14"/>
  <c r="BQ15" i="14"/>
  <c r="BK15" i="14"/>
  <c r="BN15" i="14"/>
  <c r="BM15" i="14"/>
  <c r="BP15" i="14"/>
  <c r="BO15" i="14"/>
  <c r="AV15" i="14"/>
  <c r="AU15" i="14" s="1"/>
  <c r="AT15" i="14" s="1"/>
  <c r="BN183" i="14"/>
  <c r="BK183" i="14"/>
  <c r="BR183" i="14"/>
  <c r="BQ183" i="14"/>
  <c r="BL183" i="14"/>
  <c r="AV183" i="14"/>
  <c r="AU183" i="14" s="1"/>
  <c r="AT183" i="14" s="1"/>
  <c r="BM183" i="14"/>
  <c r="BO183" i="14"/>
  <c r="BP183" i="14"/>
  <c r="BL174" i="14"/>
  <c r="BR174" i="14"/>
  <c r="BQ174" i="14"/>
  <c r="BM174" i="14"/>
  <c r="BK174" i="14"/>
  <c r="BN174" i="14"/>
  <c r="BP174" i="14"/>
  <c r="AV174" i="14"/>
  <c r="AU174" i="14" s="1"/>
  <c r="AT174" i="14" s="1"/>
  <c r="BO174" i="14"/>
  <c r="BF111" i="14"/>
  <c r="BI111" i="14"/>
  <c r="BJ111" i="14"/>
  <c r="BG111" i="14"/>
  <c r="BE111" i="14"/>
  <c r="BC111" i="14"/>
  <c r="BH111" i="14"/>
  <c r="AR111" i="14"/>
  <c r="AQ111" i="14" s="1"/>
  <c r="AP111" i="14" s="1"/>
  <c r="BD111" i="14"/>
  <c r="Q437" i="44"/>
  <c r="W437" i="44"/>
  <c r="Q345" i="44"/>
  <c r="W345" i="44"/>
  <c r="W503" i="44"/>
  <c r="Q503" i="44"/>
  <c r="Q457" i="44"/>
  <c r="W457" i="44"/>
  <c r="Q26" i="44"/>
  <c r="W26" i="44"/>
  <c r="BJ118" i="14"/>
  <c r="AR118" i="14"/>
  <c r="AQ118" i="14" s="1"/>
  <c r="AP118" i="14" s="1"/>
  <c r="BH118" i="14"/>
  <c r="BE118" i="14"/>
  <c r="BG118" i="14"/>
  <c r="BI118" i="14"/>
  <c r="BF118" i="14"/>
  <c r="BC118" i="14"/>
  <c r="BD118" i="14"/>
  <c r="BQ46" i="14"/>
  <c r="BL46" i="14"/>
  <c r="BP46" i="14"/>
  <c r="BO46" i="14"/>
  <c r="BK46" i="14"/>
  <c r="BR46" i="14"/>
  <c r="AV46" i="14"/>
  <c r="AU46" i="14" s="1"/>
  <c r="AT46" i="14" s="1"/>
  <c r="BN46" i="14"/>
  <c r="BM46" i="14"/>
  <c r="BR117" i="14"/>
  <c r="BQ117" i="14"/>
  <c r="BP117" i="14"/>
  <c r="BK117" i="14"/>
  <c r="AV117" i="14"/>
  <c r="AU117" i="14" s="1"/>
  <c r="AT117" i="14" s="1"/>
  <c r="BM117" i="14"/>
  <c r="BL117" i="14"/>
  <c r="BN117" i="14"/>
  <c r="BO117" i="14"/>
  <c r="BH113" i="14"/>
  <c r="BG113" i="14"/>
  <c r="AR113" i="14"/>
  <c r="AQ113" i="14" s="1"/>
  <c r="AP113" i="14" s="1"/>
  <c r="BD113" i="14"/>
  <c r="BC113" i="14"/>
  <c r="BI113" i="14"/>
  <c r="BE113" i="14"/>
  <c r="BJ113" i="14"/>
  <c r="BF113" i="14"/>
  <c r="BK181" i="14"/>
  <c r="BQ181" i="14"/>
  <c r="BM181" i="14"/>
  <c r="BL181" i="14"/>
  <c r="BO181" i="14"/>
  <c r="BR181" i="14"/>
  <c r="BN181" i="14"/>
  <c r="BP181" i="14"/>
  <c r="AV181" i="14"/>
  <c r="AU181" i="14" s="1"/>
  <c r="AT181" i="14" s="1"/>
  <c r="Q92" i="44"/>
  <c r="W92" i="44"/>
  <c r="W445" i="44"/>
  <c r="Q445" i="44"/>
  <c r="Q569" i="44"/>
  <c r="W569" i="44"/>
  <c r="BD79" i="14"/>
  <c r="BI79" i="14"/>
  <c r="BE79" i="14"/>
  <c r="BF79" i="14"/>
  <c r="BG79" i="14"/>
  <c r="BH79" i="14"/>
  <c r="BC79" i="14"/>
  <c r="AR79" i="14"/>
  <c r="AQ79" i="14" s="1"/>
  <c r="AP79" i="14" s="1"/>
  <c r="BJ79" i="14"/>
  <c r="BL147" i="14"/>
  <c r="BK147" i="14"/>
  <c r="BO147" i="14"/>
  <c r="BP147" i="14"/>
  <c r="BQ147" i="14"/>
  <c r="BN147" i="14"/>
  <c r="BR147" i="14"/>
  <c r="AV147" i="14"/>
  <c r="AU147" i="14" s="1"/>
  <c r="AT147" i="14" s="1"/>
  <c r="BM147" i="14"/>
  <c r="BK16" i="14"/>
  <c r="BR16" i="14"/>
  <c r="AV16" i="14"/>
  <c r="AU16" i="14" s="1"/>
  <c r="AT16" i="14" s="1"/>
  <c r="BO16" i="14"/>
  <c r="BQ16" i="14"/>
  <c r="BM16" i="14"/>
  <c r="BN16" i="14"/>
  <c r="BL16" i="14"/>
  <c r="BP16" i="14"/>
  <c r="Q18" i="44"/>
  <c r="W18" i="44"/>
  <c r="Q380" i="44"/>
  <c r="W380" i="44"/>
  <c r="BM54" i="14"/>
  <c r="BK54" i="14"/>
  <c r="BQ54" i="14"/>
  <c r="BN54" i="14"/>
  <c r="BL54" i="14"/>
  <c r="AV54" i="14"/>
  <c r="AU54" i="14" s="1"/>
  <c r="AT54" i="14" s="1"/>
  <c r="BR54" i="14"/>
  <c r="BP54" i="14"/>
  <c r="BO54" i="14"/>
  <c r="BK151" i="14"/>
  <c r="BR151" i="14"/>
  <c r="AV151" i="14"/>
  <c r="AU151" i="14" s="1"/>
  <c r="AT151" i="14" s="1"/>
  <c r="BL151" i="14"/>
  <c r="BN151" i="14"/>
  <c r="BO151" i="14"/>
  <c r="BP151" i="14"/>
  <c r="BM151" i="14"/>
  <c r="BQ151" i="14"/>
  <c r="BD144" i="14"/>
  <c r="BE144" i="14"/>
  <c r="BC144" i="14"/>
  <c r="BJ144" i="14"/>
  <c r="AR144" i="14"/>
  <c r="AQ144" i="14" s="1"/>
  <c r="AP144" i="14" s="1"/>
  <c r="BH144" i="14"/>
  <c r="BF144" i="14"/>
  <c r="BG144" i="14"/>
  <c r="BI144" i="14"/>
  <c r="AV18" i="14"/>
  <c r="AU18" i="14" s="1"/>
  <c r="AT18" i="14" s="1"/>
  <c r="BL18" i="14"/>
  <c r="BO18" i="14"/>
  <c r="BM18" i="14"/>
  <c r="BR18" i="14"/>
  <c r="BQ18" i="14"/>
  <c r="BN18" i="14"/>
  <c r="BP18" i="14"/>
  <c r="BK18" i="14"/>
  <c r="W413" i="44"/>
  <c r="Q413" i="44"/>
  <c r="W434" i="44"/>
  <c r="Q434" i="44"/>
  <c r="BI136" i="14"/>
  <c r="BJ136" i="14"/>
  <c r="BC136" i="14"/>
  <c r="BH136" i="14"/>
  <c r="AR136" i="14"/>
  <c r="AQ136" i="14" s="1"/>
  <c r="AP136" i="14" s="1"/>
  <c r="BF136" i="14"/>
  <c r="BG136" i="14"/>
  <c r="BE136" i="14"/>
  <c r="BD136" i="14"/>
  <c r="BC150" i="14"/>
  <c r="BJ150" i="14"/>
  <c r="BI150" i="14"/>
  <c r="BF150" i="14"/>
  <c r="BH150" i="14"/>
  <c r="BD150" i="14"/>
  <c r="BG150" i="14"/>
  <c r="AR150" i="14"/>
  <c r="AQ150" i="14" s="1"/>
  <c r="AP150" i="14" s="1"/>
  <c r="BE150" i="14"/>
  <c r="BR80" i="14"/>
  <c r="BP80" i="14"/>
  <c r="BM80" i="14"/>
  <c r="BK80" i="14"/>
  <c r="BN80" i="14"/>
  <c r="AV80" i="14"/>
  <c r="AU80" i="14" s="1"/>
  <c r="AT80" i="14" s="1"/>
  <c r="BQ80" i="14"/>
  <c r="BL80" i="14"/>
  <c r="BO80" i="14"/>
  <c r="Q70" i="44"/>
  <c r="W70" i="44"/>
  <c r="Q60" i="44"/>
  <c r="W60" i="44"/>
  <c r="W467" i="44"/>
  <c r="Q161" i="44"/>
  <c r="W161" i="44"/>
  <c r="BI46" i="14"/>
  <c r="BF46" i="14"/>
  <c r="AR46" i="14"/>
  <c r="AQ46" i="14" s="1"/>
  <c r="AP46" i="14" s="1"/>
  <c r="BD46" i="14"/>
  <c r="BC46" i="14"/>
  <c r="BG46" i="14"/>
  <c r="BH46" i="14"/>
  <c r="BE46" i="14"/>
  <c r="BJ46" i="14"/>
  <c r="AV23" i="14"/>
  <c r="AU23" i="14" s="1"/>
  <c r="AT23" i="14" s="1"/>
  <c r="BK23" i="14"/>
  <c r="BN23" i="14"/>
  <c r="BL23" i="14"/>
  <c r="BQ23" i="14"/>
  <c r="BO23" i="14"/>
  <c r="BP23" i="14"/>
  <c r="BR23" i="14"/>
  <c r="BM23" i="14"/>
  <c r="AR117" i="14"/>
  <c r="AQ117" i="14" s="1"/>
  <c r="AP117" i="14" s="1"/>
  <c r="BI117" i="14"/>
  <c r="BC117" i="14"/>
  <c r="BE117" i="14"/>
  <c r="BJ117" i="14"/>
  <c r="BH117" i="14"/>
  <c r="BD117" i="14"/>
  <c r="BF117" i="14"/>
  <c r="BG117" i="14"/>
  <c r="BE119" i="14"/>
  <c r="BH119" i="14"/>
  <c r="BD119" i="14"/>
  <c r="BI119" i="14"/>
  <c r="BF119" i="14"/>
  <c r="BG119" i="14"/>
  <c r="BJ119" i="14"/>
  <c r="BC119" i="14"/>
  <c r="AR119" i="14"/>
  <c r="AQ119" i="14" s="1"/>
  <c r="AP119" i="14" s="1"/>
  <c r="BJ51" i="14"/>
  <c r="BG51" i="14"/>
  <c r="BI51" i="14"/>
  <c r="BF51" i="14"/>
  <c r="BC51" i="14"/>
  <c r="BH51" i="14"/>
  <c r="BE51" i="14"/>
  <c r="BD51" i="14"/>
  <c r="AR51" i="14"/>
  <c r="AQ51" i="14" s="1"/>
  <c r="AP51" i="14" s="1"/>
  <c r="BD181" i="14"/>
  <c r="BE181" i="14"/>
  <c r="AR181" i="14"/>
  <c r="AQ181" i="14" s="1"/>
  <c r="AP181" i="14" s="1"/>
  <c r="BH181" i="14"/>
  <c r="BF181" i="14"/>
  <c r="BI181" i="14"/>
  <c r="BG181" i="14"/>
  <c r="BC181" i="14"/>
  <c r="BJ181" i="14"/>
  <c r="Q125" i="44"/>
  <c r="W125" i="44"/>
  <c r="U158" i="44"/>
  <c r="AA158" i="44"/>
  <c r="Q71" i="44"/>
  <c r="W71" i="44"/>
  <c r="W105" i="44"/>
  <c r="BI176" i="14"/>
  <c r="BC176" i="14"/>
  <c r="BJ176" i="14"/>
  <c r="BE176" i="14"/>
  <c r="BD176" i="14"/>
  <c r="AR176" i="14"/>
  <c r="AQ176" i="14" s="1"/>
  <c r="AP176" i="14" s="1"/>
  <c r="BG176" i="14"/>
  <c r="BH176" i="14"/>
  <c r="BF176" i="14"/>
  <c r="BC141" i="14"/>
  <c r="BD141" i="14"/>
  <c r="BF141" i="14"/>
  <c r="BG141" i="14"/>
  <c r="BE141" i="14"/>
  <c r="AR141" i="14"/>
  <c r="AQ141" i="14" s="1"/>
  <c r="AP141" i="14" s="1"/>
  <c r="BI141" i="14"/>
  <c r="BJ141" i="14"/>
  <c r="BH141" i="14"/>
  <c r="BJ137" i="14"/>
  <c r="AR137" i="14"/>
  <c r="AQ137" i="14" s="1"/>
  <c r="AP137" i="14" s="1"/>
  <c r="BI137" i="14"/>
  <c r="BH137" i="14"/>
  <c r="BC137" i="14"/>
  <c r="BD137" i="14"/>
  <c r="BG137" i="14"/>
  <c r="BE137" i="14"/>
  <c r="BF137" i="14"/>
  <c r="BR115" i="14"/>
  <c r="BK115" i="14"/>
  <c r="BO115" i="14"/>
  <c r="AV115" i="14"/>
  <c r="AU115" i="14" s="1"/>
  <c r="AT115" i="14" s="1"/>
  <c r="BP115" i="14"/>
  <c r="BM115" i="14"/>
  <c r="BN115" i="14"/>
  <c r="BL115" i="14"/>
  <c r="BQ115" i="14"/>
  <c r="BQ120" i="14" s="1"/>
  <c r="AR168" i="14"/>
  <c r="AQ168" i="14" s="1"/>
  <c r="AP168" i="14" s="1"/>
  <c r="BG168" i="14"/>
  <c r="BD168" i="14"/>
  <c r="BC168" i="14"/>
  <c r="BF168" i="14"/>
  <c r="BH168" i="14"/>
  <c r="BJ168" i="14"/>
  <c r="BE168" i="14"/>
  <c r="BI168" i="14"/>
  <c r="BF112" i="14"/>
  <c r="BC112" i="14"/>
  <c r="BI112" i="14"/>
  <c r="BJ112" i="14"/>
  <c r="BD112" i="14"/>
  <c r="BH112" i="14"/>
  <c r="AR112" i="14"/>
  <c r="AQ112" i="14" s="1"/>
  <c r="AP112" i="14" s="1"/>
  <c r="BG112" i="14"/>
  <c r="BE112" i="14"/>
  <c r="BQ86" i="14"/>
  <c r="BM86" i="14"/>
  <c r="AV86" i="14"/>
  <c r="AU86" i="14" s="1"/>
  <c r="AT86" i="14" s="1"/>
  <c r="BR86" i="14"/>
  <c r="BL86" i="14"/>
  <c r="BN86" i="14"/>
  <c r="BK86" i="14"/>
  <c r="BO86" i="14"/>
  <c r="BP86" i="14"/>
  <c r="W206" i="44"/>
  <c r="Q206" i="44"/>
  <c r="W51" i="44"/>
  <c r="W237" i="44"/>
  <c r="Q237" i="44"/>
  <c r="T434" i="44"/>
  <c r="Z434" i="44"/>
  <c r="W170" i="44"/>
  <c r="Q170" i="44"/>
  <c r="BC54" i="14"/>
  <c r="BE54" i="14"/>
  <c r="AR54" i="14"/>
  <c r="AQ54" i="14" s="1"/>
  <c r="AP54" i="14" s="1"/>
  <c r="BF54" i="14"/>
  <c r="BJ54" i="14"/>
  <c r="BH54" i="14"/>
  <c r="BD54" i="14"/>
  <c r="BI54" i="14"/>
  <c r="BG54" i="14"/>
  <c r="BM85" i="14"/>
  <c r="BP85" i="14"/>
  <c r="BO85" i="14"/>
  <c r="BL85" i="14"/>
  <c r="BR85" i="14"/>
  <c r="AV85" i="14"/>
  <c r="AU85" i="14" s="1"/>
  <c r="AT85" i="14" s="1"/>
  <c r="BN85" i="14"/>
  <c r="BK85" i="14"/>
  <c r="BQ85" i="14"/>
  <c r="BF81" i="14"/>
  <c r="BE81" i="14"/>
  <c r="BG81" i="14"/>
  <c r="AR81" i="14"/>
  <c r="AQ81" i="14" s="1"/>
  <c r="AP81" i="14" s="1"/>
  <c r="BI81" i="14"/>
  <c r="BD81" i="14"/>
  <c r="BJ81" i="14"/>
  <c r="BH81" i="14"/>
  <c r="BC81" i="14"/>
  <c r="W96" i="44"/>
  <c r="Q558" i="44"/>
  <c r="W558" i="44"/>
  <c r="W547" i="44"/>
  <c r="W169" i="44"/>
  <c r="Q169" i="44"/>
  <c r="W360" i="44"/>
  <c r="Q360" i="44"/>
  <c r="W481" i="44"/>
  <c r="Q481" i="44"/>
  <c r="W459" i="44"/>
  <c r="E128" i="14"/>
  <c r="AA201" i="6"/>
  <c r="B201" i="6" s="1"/>
  <c r="E219" i="6" s="1"/>
  <c r="AB241" i="6"/>
  <c r="C241" i="6" s="1"/>
  <c r="AA457" i="6"/>
  <c r="B457" i="6" s="1"/>
  <c r="AA275" i="6"/>
  <c r="B275" i="6" s="1"/>
  <c r="AA491" i="6"/>
  <c r="B491" i="6" s="1"/>
  <c r="E125" i="14"/>
  <c r="G125" i="14" s="1"/>
  <c r="AA490" i="6"/>
  <c r="B490" i="6" s="1"/>
  <c r="AB18" i="6"/>
  <c r="C18" i="6" s="1"/>
  <c r="K31" i="6" s="1"/>
  <c r="D130" i="14"/>
  <c r="D125" i="14"/>
  <c r="AA488" i="6"/>
  <c r="B488" i="6" s="1"/>
  <c r="E508" i="6" s="1"/>
  <c r="AA112" i="6"/>
  <c r="B112" i="6" s="1"/>
  <c r="AA332" i="6"/>
  <c r="B332" i="6" s="1"/>
  <c r="E126" i="14"/>
  <c r="G126" i="14" s="1"/>
  <c r="AA106" i="6"/>
  <c r="B106" i="6" s="1"/>
  <c r="AA330" i="6"/>
  <c r="B330" i="6" s="1"/>
  <c r="E124" i="14"/>
  <c r="G124" i="14" s="1"/>
  <c r="AB396" i="6"/>
  <c r="C396" i="6" s="1"/>
  <c r="AA203" i="6"/>
  <c r="B203" i="6" s="1"/>
  <c r="E130" i="14"/>
  <c r="F130" i="14" s="1"/>
  <c r="AA202" i="6"/>
  <c r="B202" i="6" s="1"/>
  <c r="BR120" i="14"/>
  <c r="AA136" i="6"/>
  <c r="B136" i="6" s="1"/>
  <c r="E158" i="6" s="1"/>
  <c r="AB306" i="6"/>
  <c r="C306" i="6" s="1"/>
  <c r="AB243" i="6"/>
  <c r="C243" i="6" s="1"/>
  <c r="AA265" i="6"/>
  <c r="B265" i="6" s="1"/>
  <c r="AA140" i="6"/>
  <c r="B140" i="6" s="1"/>
  <c r="D128" i="14"/>
  <c r="D127" i="14"/>
  <c r="D126" i="14"/>
  <c r="E123" i="14"/>
  <c r="G123" i="14" s="1"/>
  <c r="AB371" i="6"/>
  <c r="C371" i="6" s="1"/>
  <c r="K379" i="6" s="1"/>
  <c r="AA234" i="6"/>
  <c r="B234" i="6" s="1"/>
  <c r="AB308" i="6"/>
  <c r="C308" i="6" s="1"/>
  <c r="AB372" i="6"/>
  <c r="C372" i="6" s="1"/>
  <c r="AB305" i="6"/>
  <c r="C305" i="6" s="1"/>
  <c r="AA393" i="6"/>
  <c r="B393" i="6" s="1"/>
  <c r="AA331" i="6"/>
  <c r="B331" i="6" s="1"/>
  <c r="AA232" i="6"/>
  <c r="B232" i="6" s="1"/>
  <c r="AA328" i="6"/>
  <c r="B328" i="6" s="1"/>
  <c r="E348" i="6" s="1"/>
  <c r="AA402" i="6"/>
  <c r="B402" i="6" s="1"/>
  <c r="AA235" i="6"/>
  <c r="B235" i="6" s="1"/>
  <c r="E127" i="14"/>
  <c r="H127" i="14" s="1"/>
  <c r="E129" i="14"/>
  <c r="F129" i="14" s="1"/>
  <c r="AB236" i="6"/>
  <c r="C236" i="6" s="1"/>
  <c r="K254" i="6" s="1"/>
  <c r="BP52" i="14"/>
  <c r="BN52" i="14"/>
  <c r="C76" i="14"/>
  <c r="BR52" i="14"/>
  <c r="BP120" i="14"/>
  <c r="BK52" i="14"/>
  <c r="AA511" i="44"/>
  <c r="U511" i="44"/>
  <c r="AA403" i="6"/>
  <c r="B403" i="6" s="1"/>
  <c r="U338" i="44"/>
  <c r="AA338" i="44"/>
  <c r="BM120" i="14"/>
  <c r="K315" i="6"/>
  <c r="L315" i="6" s="1"/>
  <c r="U447" i="44"/>
  <c r="AA447" i="44"/>
  <c r="AB148" i="6"/>
  <c r="C148" i="6" s="1"/>
  <c r="AA140" i="44"/>
  <c r="U140" i="44"/>
  <c r="AA363" i="6"/>
  <c r="B363" i="6" s="1"/>
  <c r="AA37" i="44"/>
  <c r="U37" i="44"/>
  <c r="U444" i="44"/>
  <c r="AA444" i="44"/>
  <c r="U436" i="44"/>
  <c r="AA436" i="44"/>
  <c r="U148" i="44"/>
  <c r="AA148" i="44"/>
  <c r="AA151" i="44"/>
  <c r="U151" i="44"/>
  <c r="U236" i="44"/>
  <c r="AA236" i="44"/>
  <c r="C81" i="14"/>
  <c r="AL83" i="14"/>
  <c r="BE83" i="14" s="1"/>
  <c r="AL12" i="14"/>
  <c r="BC12" i="14" s="1"/>
  <c r="BL120" i="14"/>
  <c r="AL172" i="14"/>
  <c r="BH172" i="14" s="1"/>
  <c r="K59" i="6"/>
  <c r="L59" i="6" s="1"/>
  <c r="AM76" i="14"/>
  <c r="BK76" i="14" s="1"/>
  <c r="BL52" i="14"/>
  <c r="BM52" i="14"/>
  <c r="BO52" i="14"/>
  <c r="C171" i="14"/>
  <c r="L192" i="14" s="1"/>
  <c r="BO120" i="14"/>
  <c r="AM81" i="14"/>
  <c r="BL81" i="14" s="1"/>
  <c r="C75" i="14"/>
  <c r="T157" i="40"/>
  <c r="W157" i="40"/>
  <c r="V157" i="40"/>
  <c r="U157" i="40"/>
  <c r="D344" i="40"/>
  <c r="D300" i="48"/>
  <c r="U113" i="48"/>
  <c r="E300" i="48"/>
  <c r="D300" i="49"/>
  <c r="U113" i="49"/>
  <c r="V113" i="49"/>
  <c r="T113" i="49"/>
  <c r="W113" i="49"/>
  <c r="T91" i="40"/>
  <c r="V91" i="40"/>
  <c r="W91" i="40"/>
  <c r="E278" i="48"/>
  <c r="D278" i="48"/>
  <c r="U91" i="48"/>
  <c r="W91" i="48"/>
  <c r="T91" i="48"/>
  <c r="V91" i="48"/>
  <c r="Z80" i="49"/>
  <c r="T113" i="40"/>
  <c r="W113" i="40"/>
  <c r="V113" i="40"/>
  <c r="Z113" i="40"/>
  <c r="U113" i="50"/>
  <c r="D300" i="50"/>
  <c r="T113" i="50"/>
  <c r="V113" i="50"/>
  <c r="W113" i="50"/>
  <c r="E289" i="49"/>
  <c r="Z102" i="49"/>
  <c r="Z124" i="48"/>
  <c r="Z124" i="40"/>
  <c r="Z91" i="50"/>
  <c r="D278" i="50"/>
  <c r="U91" i="50"/>
  <c r="E278" i="50"/>
  <c r="Z91" i="49"/>
  <c r="Z157" i="48"/>
  <c r="W80" i="50"/>
  <c r="V80" i="50"/>
  <c r="T80" i="50"/>
  <c r="D267" i="50"/>
  <c r="U80" i="50"/>
  <c r="Z102" i="48"/>
  <c r="U102" i="48"/>
  <c r="D289" i="48"/>
  <c r="E289" i="40"/>
  <c r="Z102" i="40"/>
  <c r="W102" i="40"/>
  <c r="T102" i="40"/>
  <c r="V102" i="40"/>
  <c r="D289" i="40"/>
  <c r="U102" i="40"/>
  <c r="L191" i="12"/>
  <c r="Z157" i="40"/>
  <c r="E344" i="40"/>
  <c r="T113" i="48"/>
  <c r="W113" i="48"/>
  <c r="V113" i="48"/>
  <c r="Z113" i="48"/>
  <c r="E300" i="49"/>
  <c r="Z113" i="49"/>
  <c r="Z91" i="40"/>
  <c r="U91" i="40"/>
  <c r="D278" i="40"/>
  <c r="E278" i="40"/>
  <c r="Z91" i="48"/>
  <c r="U80" i="49"/>
  <c r="D267" i="49"/>
  <c r="T80" i="49"/>
  <c r="W80" i="49"/>
  <c r="V80" i="49"/>
  <c r="E267" i="49"/>
  <c r="U113" i="40"/>
  <c r="D300" i="40"/>
  <c r="E300" i="40"/>
  <c r="E300" i="50"/>
  <c r="Z113" i="50"/>
  <c r="U102" i="49"/>
  <c r="D289" i="49"/>
  <c r="W102" i="49"/>
  <c r="T102" i="49"/>
  <c r="V102" i="49"/>
  <c r="T124" i="48"/>
  <c r="V124" i="48"/>
  <c r="W124" i="48"/>
  <c r="E311" i="48"/>
  <c r="U124" i="48"/>
  <c r="D311" i="48"/>
  <c r="E311" i="40"/>
  <c r="W124" i="40"/>
  <c r="V124" i="40"/>
  <c r="T124" i="40"/>
  <c r="D311" i="40"/>
  <c r="U124" i="40"/>
  <c r="V91" i="50"/>
  <c r="W91" i="50"/>
  <c r="T91" i="50"/>
  <c r="V91" i="49"/>
  <c r="T91" i="49"/>
  <c r="W91" i="49"/>
  <c r="E278" i="49"/>
  <c r="D278" i="49"/>
  <c r="U91" i="49"/>
  <c r="U157" i="48"/>
  <c r="D344" i="48"/>
  <c r="T157" i="48"/>
  <c r="V157" i="48"/>
  <c r="W157" i="48"/>
  <c r="E344" i="48"/>
  <c r="Z80" i="50"/>
  <c r="E267" i="50"/>
  <c r="E289" i="48"/>
  <c r="W102" i="48"/>
  <c r="T102" i="48"/>
  <c r="V102" i="48"/>
  <c r="BH140" i="14"/>
  <c r="BI140" i="14"/>
  <c r="BG140" i="14"/>
  <c r="BD140" i="14"/>
  <c r="BC140" i="14"/>
  <c r="BF140" i="14"/>
  <c r="BE140" i="14"/>
  <c r="BJ140" i="14"/>
  <c r="BE43" i="14"/>
  <c r="BG43" i="14"/>
  <c r="BI43" i="14"/>
  <c r="BF43" i="14"/>
  <c r="BC43" i="14"/>
  <c r="BJ43" i="14"/>
  <c r="BD43" i="14"/>
  <c r="BH43" i="14"/>
  <c r="T125" i="14"/>
  <c r="N125" i="14"/>
  <c r="Z125" i="14"/>
  <c r="T129" i="14"/>
  <c r="Z129" i="14"/>
  <c r="N129" i="14"/>
  <c r="N123" i="14"/>
  <c r="T123" i="14"/>
  <c r="Z123" i="14"/>
  <c r="N127" i="14"/>
  <c r="BD104" i="14"/>
  <c r="BE104" i="14"/>
  <c r="BI104" i="14"/>
  <c r="BJ104" i="14"/>
  <c r="BF104" i="14"/>
  <c r="AR104" i="14"/>
  <c r="AQ104" i="14" s="1"/>
  <c r="AP104" i="14" s="1"/>
  <c r="D123" i="14" s="1"/>
  <c r="BG104" i="14"/>
  <c r="BC104" i="14"/>
  <c r="BH104" i="14"/>
  <c r="E59" i="6"/>
  <c r="BI42" i="14"/>
  <c r="BG42" i="14"/>
  <c r="BF42" i="14"/>
  <c r="BJ42" i="14"/>
  <c r="BE42" i="14"/>
  <c r="BD42" i="14"/>
  <c r="BC42" i="14"/>
  <c r="BH42" i="14"/>
  <c r="BA140" i="14"/>
  <c r="C148" i="14" s="1"/>
  <c r="L157" i="14" s="1"/>
  <c r="AM148" i="14"/>
  <c r="BG172" i="14"/>
  <c r="BI172" i="14"/>
  <c r="BL172" i="14"/>
  <c r="BN172" i="14"/>
  <c r="BQ172" i="14"/>
  <c r="BR172" i="14"/>
  <c r="BO172" i="14"/>
  <c r="AV172" i="14"/>
  <c r="AU172" i="14" s="1"/>
  <c r="AT172" i="14" s="1"/>
  <c r="BK172" i="14"/>
  <c r="BP172" i="14"/>
  <c r="BM172" i="14"/>
  <c r="BF12" i="14"/>
  <c r="K62" i="6"/>
  <c r="K65" i="6"/>
  <c r="K64" i="6"/>
  <c r="K66" i="6"/>
  <c r="K60" i="6"/>
  <c r="K63" i="6"/>
  <c r="K61" i="6"/>
  <c r="BN49" i="14"/>
  <c r="BQ49" i="14"/>
  <c r="BQ56" i="14" s="1"/>
  <c r="BO49" i="14"/>
  <c r="BK49" i="14"/>
  <c r="BR49" i="14"/>
  <c r="BP49" i="14"/>
  <c r="BL49" i="14"/>
  <c r="AV49" i="14"/>
  <c r="AU49" i="14" s="1"/>
  <c r="AT49" i="14" s="1"/>
  <c r="J59" i="14" s="1"/>
  <c r="BM49" i="14"/>
  <c r="BA11" i="14"/>
  <c r="AM17" i="14"/>
  <c r="AM20" i="14"/>
  <c r="BM11" i="14"/>
  <c r="BO11" i="14"/>
  <c r="BL11" i="14"/>
  <c r="BR11" i="14"/>
  <c r="BQ11" i="14"/>
  <c r="BN11" i="14"/>
  <c r="BK11" i="14"/>
  <c r="AV11" i="14"/>
  <c r="AU11" i="14" s="1"/>
  <c r="AT11" i="14" s="1"/>
  <c r="BP11" i="14"/>
  <c r="BG75" i="14"/>
  <c r="AR75" i="14"/>
  <c r="AQ75" i="14" s="1"/>
  <c r="AP75" i="14" s="1"/>
  <c r="BC75" i="14"/>
  <c r="BE75" i="14"/>
  <c r="BD75" i="14"/>
  <c r="BI75" i="14"/>
  <c r="BJ75" i="14"/>
  <c r="BH75" i="14"/>
  <c r="BF75" i="14"/>
  <c r="L63" i="14"/>
  <c r="J63" i="14"/>
  <c r="L66" i="14"/>
  <c r="L60" i="14"/>
  <c r="J62" i="14"/>
  <c r="J61" i="14"/>
  <c r="E63" i="14"/>
  <c r="E60" i="14"/>
  <c r="E61" i="14"/>
  <c r="AM171" i="14"/>
  <c r="AZ171" i="14"/>
  <c r="AL169" i="14"/>
  <c r="H126" i="14"/>
  <c r="H128" i="14"/>
  <c r="G128" i="14"/>
  <c r="F128" i="14"/>
  <c r="F123" i="14"/>
  <c r="T322" i="48"/>
  <c r="V322" i="48"/>
  <c r="T128" i="14"/>
  <c r="Z128" i="14"/>
  <c r="N128" i="14"/>
  <c r="Z130" i="14"/>
  <c r="T130" i="14"/>
  <c r="N130" i="14"/>
  <c r="N59" i="14"/>
  <c r="Z59" i="14"/>
  <c r="T59" i="14"/>
  <c r="E156" i="6"/>
  <c r="BK140" i="14"/>
  <c r="BM140" i="14"/>
  <c r="BL140" i="14"/>
  <c r="BN140" i="14"/>
  <c r="BO140" i="14"/>
  <c r="BQ140" i="14"/>
  <c r="AV140" i="14"/>
  <c r="AU140" i="14" s="1"/>
  <c r="AT140" i="14" s="1"/>
  <c r="BP140" i="14"/>
  <c r="BR140" i="14"/>
  <c r="AZ140" i="14"/>
  <c r="AL146" i="14"/>
  <c r="BJ44" i="14"/>
  <c r="BI44" i="14"/>
  <c r="BH44" i="14"/>
  <c r="BE44" i="14"/>
  <c r="BC44" i="14"/>
  <c r="BF44" i="14"/>
  <c r="BG44" i="14"/>
  <c r="BD44" i="14"/>
  <c r="BC41" i="14"/>
  <c r="BG41" i="14"/>
  <c r="BI41" i="14"/>
  <c r="AV12" i="14"/>
  <c r="AU12" i="14" s="1"/>
  <c r="AT12" i="14" s="1"/>
  <c r="BK12" i="14"/>
  <c r="BR12" i="14"/>
  <c r="BL12" i="14"/>
  <c r="BM12" i="14"/>
  <c r="BO12" i="14"/>
  <c r="BN12" i="14"/>
  <c r="BQ12" i="14"/>
  <c r="BP12" i="14"/>
  <c r="AR106" i="14"/>
  <c r="AQ106" i="14" s="1"/>
  <c r="AP106" i="14" s="1"/>
  <c r="D124" i="14" s="1"/>
  <c r="K27" i="6"/>
  <c r="BL76" i="14"/>
  <c r="BG76" i="14"/>
  <c r="AR76" i="14"/>
  <c r="AQ76" i="14" s="1"/>
  <c r="AP76" i="14" s="1"/>
  <c r="BH76" i="14"/>
  <c r="BE76" i="14"/>
  <c r="BJ76" i="14"/>
  <c r="BF76" i="14"/>
  <c r="BD76" i="14"/>
  <c r="BI76" i="14"/>
  <c r="BC76" i="14"/>
  <c r="BM81" i="14"/>
  <c r="AL73" i="14"/>
  <c r="E91" i="6"/>
  <c r="E93" i="6"/>
  <c r="E92" i="6"/>
  <c r="E253" i="6"/>
  <c r="AL11" i="14"/>
  <c r="AZ11" i="14"/>
  <c r="AL9" i="14"/>
  <c r="AL179" i="14"/>
  <c r="AM75" i="14"/>
  <c r="AZ75" i="14"/>
  <c r="AL84" i="14"/>
  <c r="L61" i="14"/>
  <c r="J65" i="14"/>
  <c r="L65" i="14"/>
  <c r="L62" i="14"/>
  <c r="J64" i="14"/>
  <c r="L64" i="14"/>
  <c r="J66" i="14"/>
  <c r="K351" i="6"/>
  <c r="K352" i="6"/>
  <c r="K348" i="6"/>
  <c r="BJ171" i="14"/>
  <c r="AR171" i="14"/>
  <c r="AQ171" i="14" s="1"/>
  <c r="AP171" i="14" s="1"/>
  <c r="BG171" i="14"/>
  <c r="BF171" i="14"/>
  <c r="BC171" i="14"/>
  <c r="BE171" i="14"/>
  <c r="BI171" i="14"/>
  <c r="BH171" i="14"/>
  <c r="BD171" i="14"/>
  <c r="AV52" i="14"/>
  <c r="AU52" i="14" s="1"/>
  <c r="AT52" i="14" s="1"/>
  <c r="J60" i="14" s="1"/>
  <c r="H124" i="14"/>
  <c r="F127" i="14"/>
  <c r="G129" i="14"/>
  <c r="H125" i="14"/>
  <c r="G130" i="14"/>
  <c r="T322" i="40"/>
  <c r="V322" i="40"/>
  <c r="T289" i="50"/>
  <c r="V289" i="50"/>
  <c r="J92" i="42"/>
  <c r="J220" i="12"/>
  <c r="J213" i="12"/>
  <c r="J216" i="12"/>
  <c r="C219" i="12"/>
  <c r="L92" i="49"/>
  <c r="K213" i="12"/>
  <c r="J125" i="12"/>
  <c r="M213" i="12"/>
  <c r="B214" i="12"/>
  <c r="J198" i="12"/>
  <c r="F217" i="12"/>
  <c r="K114" i="47"/>
  <c r="B217" i="12"/>
  <c r="C83" i="12"/>
  <c r="I195" i="12"/>
  <c r="M219" i="12"/>
  <c r="I193" i="12"/>
  <c r="I191" i="12"/>
  <c r="C195" i="12"/>
  <c r="J15" i="12"/>
  <c r="C120" i="40"/>
  <c r="J84" i="12"/>
  <c r="C49" i="12"/>
  <c r="K218" i="12"/>
  <c r="J114" i="47"/>
  <c r="J161" i="48"/>
  <c r="B218" i="12"/>
  <c r="D213" i="12"/>
  <c r="C26" i="12"/>
  <c r="I117" i="40"/>
  <c r="C70" i="12"/>
  <c r="C197" i="12"/>
  <c r="J21" i="12"/>
  <c r="M220" i="12"/>
  <c r="C120" i="47"/>
  <c r="C103" i="50"/>
  <c r="J153" i="48"/>
  <c r="I218" i="12"/>
  <c r="I197" i="12"/>
  <c r="I98" i="42" s="1"/>
  <c r="C28" i="12"/>
  <c r="K217" i="12"/>
  <c r="C105" i="43"/>
  <c r="J195" i="12"/>
  <c r="J226" i="12"/>
  <c r="J8" i="12"/>
  <c r="J16" i="12"/>
  <c r="A244" i="44"/>
  <c r="D219" i="12"/>
  <c r="B119" i="40"/>
  <c r="I220" i="12"/>
  <c r="I121" i="40" s="1"/>
  <c r="J217" i="12"/>
  <c r="J219" i="12"/>
  <c r="J120" i="40" s="1"/>
  <c r="C213" i="12"/>
  <c r="C51" i="12"/>
  <c r="K103" i="12"/>
  <c r="B213" i="12"/>
  <c r="B114" i="40" s="1"/>
  <c r="K114" i="42"/>
  <c r="J4" i="12"/>
  <c r="J114" i="43"/>
  <c r="K215" i="12"/>
  <c r="K219" i="12"/>
  <c r="J117" i="40"/>
  <c r="C217" i="12"/>
  <c r="I192" i="12"/>
  <c r="I93" i="49"/>
  <c r="I198" i="12"/>
  <c r="I99" i="42" s="1"/>
  <c r="K15" i="12"/>
  <c r="F215" i="12"/>
  <c r="F116" i="40" s="1"/>
  <c r="F216" i="12"/>
  <c r="M215" i="12"/>
  <c r="B115" i="40"/>
  <c r="C118" i="40"/>
  <c r="I117" i="47"/>
  <c r="J118" i="47"/>
  <c r="C139" i="48"/>
  <c r="I196" i="12"/>
  <c r="I97" i="49" s="1"/>
  <c r="K147" i="48"/>
  <c r="J194" i="12"/>
  <c r="J116" i="12"/>
  <c r="J127" i="41" s="1"/>
  <c r="J17" i="12"/>
  <c r="J22" i="12"/>
  <c r="I93" i="42"/>
  <c r="J154" i="41"/>
  <c r="B216" i="12"/>
  <c r="B117" i="47" s="1"/>
  <c r="C115" i="12"/>
  <c r="D114" i="40"/>
  <c r="F218" i="12"/>
  <c r="D217" i="12"/>
  <c r="D118" i="40" s="1"/>
  <c r="M218" i="12"/>
  <c r="J19" i="12"/>
  <c r="F117" i="47"/>
  <c r="I92" i="49"/>
  <c r="J161" i="41"/>
  <c r="C114" i="47"/>
  <c r="J147" i="48"/>
  <c r="M121" i="47"/>
  <c r="I119" i="47"/>
  <c r="J214" i="12"/>
  <c r="J117" i="47"/>
  <c r="J18" i="12"/>
  <c r="C216" i="12"/>
  <c r="C117" i="40" s="1"/>
  <c r="M191" i="12"/>
  <c r="M92" i="49" s="1"/>
  <c r="D220" i="12"/>
  <c r="J150" i="41"/>
  <c r="C220" i="12"/>
  <c r="C27" i="12"/>
  <c r="B220" i="12"/>
  <c r="J20" i="12"/>
  <c r="J152" i="48" s="1"/>
  <c r="C158" i="40"/>
  <c r="F116" i="47"/>
  <c r="J218" i="12"/>
  <c r="J215" i="12"/>
  <c r="J116" i="40" s="1"/>
  <c r="I219" i="12"/>
  <c r="I217" i="12"/>
  <c r="I118" i="47" s="1"/>
  <c r="C218" i="12"/>
  <c r="F214" i="12"/>
  <c r="I194" i="12"/>
  <c r="I95" i="49" s="1"/>
  <c r="D218" i="12"/>
  <c r="D119" i="40" s="1"/>
  <c r="J114" i="50"/>
  <c r="J118" i="12"/>
  <c r="J129" i="48" s="1"/>
  <c r="K220" i="12"/>
  <c r="C215" i="12"/>
  <c r="C116" i="40" s="1"/>
  <c r="J103" i="12"/>
  <c r="J240" i="12"/>
  <c r="J108" i="40"/>
  <c r="I96" i="42"/>
  <c r="M214" i="12"/>
  <c r="M115" i="47" s="1"/>
  <c r="J115" i="12"/>
  <c r="J126" i="41" s="1"/>
  <c r="J120" i="47"/>
  <c r="J119" i="12"/>
  <c r="M114" i="40"/>
  <c r="J129" i="41"/>
  <c r="J99" i="42"/>
  <c r="K120" i="40"/>
  <c r="C116" i="47"/>
  <c r="C214" i="12"/>
  <c r="C114" i="40"/>
  <c r="B118" i="47"/>
  <c r="I95" i="42"/>
  <c r="C160" i="48"/>
  <c r="K119" i="47"/>
  <c r="J116" i="48"/>
  <c r="I121" i="47"/>
  <c r="J92" i="49"/>
  <c r="C117" i="47"/>
  <c r="C103" i="43"/>
  <c r="D114" i="47"/>
  <c r="C193" i="12"/>
  <c r="C170" i="12"/>
  <c r="I98" i="49"/>
  <c r="J192" i="12"/>
  <c r="J93" i="42" s="1"/>
  <c r="I118" i="40"/>
  <c r="F115" i="47"/>
  <c r="J130" i="41"/>
  <c r="K191" i="12"/>
  <c r="D121" i="47"/>
  <c r="D120" i="47"/>
  <c r="M116" i="47"/>
  <c r="C121" i="47"/>
  <c r="J148" i="41"/>
  <c r="B121" i="40"/>
  <c r="M121" i="40"/>
  <c r="J114" i="40"/>
  <c r="I119" i="40"/>
  <c r="I213" i="12"/>
  <c r="I215" i="12"/>
  <c r="B215" i="12"/>
  <c r="J193" i="12"/>
  <c r="J94" i="42" s="1"/>
  <c r="J116" i="47"/>
  <c r="M217" i="12"/>
  <c r="C15" i="12"/>
  <c r="C147" i="48"/>
  <c r="C118" i="47"/>
  <c r="C105" i="50"/>
  <c r="L92" i="42"/>
  <c r="J150" i="48"/>
  <c r="C192" i="12"/>
  <c r="J196" i="12"/>
  <c r="J197" i="12"/>
  <c r="J151" i="47"/>
  <c r="J148" i="48"/>
  <c r="J118" i="40"/>
  <c r="J121" i="47"/>
  <c r="J121" i="40"/>
  <c r="J115" i="47"/>
  <c r="C104" i="50"/>
  <c r="J119" i="47"/>
  <c r="J119" i="40"/>
  <c r="I120" i="47"/>
  <c r="I120" i="40"/>
  <c r="C119" i="47"/>
  <c r="C119" i="40"/>
  <c r="J114" i="49"/>
  <c r="J114" i="42"/>
  <c r="C115" i="47"/>
  <c r="C94" i="42"/>
  <c r="I114" i="40"/>
  <c r="I114" i="47"/>
  <c r="I116" i="40"/>
  <c r="I116" i="47"/>
  <c r="B116" i="40"/>
  <c r="B116" i="47"/>
  <c r="M118" i="47"/>
  <c r="M118" i="40"/>
  <c r="L218" i="12" l="1"/>
  <c r="L214" i="12"/>
  <c r="L220" i="12"/>
  <c r="K354" i="6"/>
  <c r="K347" i="6"/>
  <c r="BF41" i="14"/>
  <c r="BD41" i="14"/>
  <c r="AR44" i="14"/>
  <c r="E221" i="6"/>
  <c r="G221" i="6" s="1"/>
  <c r="E64" i="14"/>
  <c r="D66" i="14"/>
  <c r="D64" i="14"/>
  <c r="AR42" i="14"/>
  <c r="AQ42" i="14" s="1"/>
  <c r="AP42" i="14" s="1"/>
  <c r="D62" i="14" s="1"/>
  <c r="T127" i="14"/>
  <c r="N126" i="14"/>
  <c r="AA361" i="6"/>
  <c r="B361" i="6" s="1"/>
  <c r="E384" i="6" s="1"/>
  <c r="H384" i="6" s="1"/>
  <c r="AA266" i="6"/>
  <c r="B266" i="6" s="1"/>
  <c r="AB400" i="6"/>
  <c r="C400" i="6" s="1"/>
  <c r="AB80" i="6"/>
  <c r="C80" i="6" s="1"/>
  <c r="AB84" i="6"/>
  <c r="C84" i="6" s="1"/>
  <c r="AB498" i="6"/>
  <c r="C498" i="6" s="1"/>
  <c r="K353" i="6"/>
  <c r="BJ41" i="14"/>
  <c r="BJ56" i="14" s="1"/>
  <c r="AR41" i="14"/>
  <c r="N124" i="14"/>
  <c r="K507" i="6"/>
  <c r="E62" i="14"/>
  <c r="G62" i="14" s="1"/>
  <c r="E66" i="14"/>
  <c r="E59" i="14"/>
  <c r="Z126" i="14"/>
  <c r="AR43" i="14"/>
  <c r="AQ43" i="14" s="1"/>
  <c r="AP43" i="14" s="1"/>
  <c r="D61" i="14" s="1"/>
  <c r="AA108" i="6"/>
  <c r="B108" i="6" s="1"/>
  <c r="AB104" i="6"/>
  <c r="C104" i="6" s="1"/>
  <c r="D129" i="14"/>
  <c r="AA80" i="6"/>
  <c r="B80" i="6" s="1"/>
  <c r="AA83" i="6"/>
  <c r="B83" i="6" s="1"/>
  <c r="AA76" i="6"/>
  <c r="B76" i="6" s="1"/>
  <c r="E95" i="6" s="1"/>
  <c r="G95" i="6" s="1"/>
  <c r="K350" i="6"/>
  <c r="BH41" i="14"/>
  <c r="T124" i="14"/>
  <c r="K511" i="6"/>
  <c r="D65" i="14"/>
  <c r="D63" i="14"/>
  <c r="AA392" i="6"/>
  <c r="B392" i="6" s="1"/>
  <c r="E414" i="6" s="1"/>
  <c r="G414" i="6" s="1"/>
  <c r="AA105" i="6"/>
  <c r="B105" i="6" s="1"/>
  <c r="E123" i="6" s="1"/>
  <c r="AB114" i="6"/>
  <c r="C114" i="6" s="1"/>
  <c r="AA52" i="6"/>
  <c r="B52" i="6" s="1"/>
  <c r="AA50" i="6"/>
  <c r="B50" i="6" s="1"/>
  <c r="E62" i="6" s="1"/>
  <c r="L219" i="12"/>
  <c r="L216" i="12"/>
  <c r="L217" i="12"/>
  <c r="L213" i="12"/>
  <c r="L215" i="12"/>
  <c r="AB466" i="6"/>
  <c r="C466" i="6" s="1"/>
  <c r="AB210" i="6"/>
  <c r="C210" i="6" s="1"/>
  <c r="AA10" i="6"/>
  <c r="B10" i="6" s="1"/>
  <c r="AB144" i="6"/>
  <c r="C144" i="6" s="1"/>
  <c r="AB426" i="6"/>
  <c r="C426" i="6" s="1"/>
  <c r="AB432" i="6"/>
  <c r="C432" i="6" s="1"/>
  <c r="AB425" i="6"/>
  <c r="C425" i="6" s="1"/>
  <c r="AB435" i="6"/>
  <c r="C435" i="6" s="1"/>
  <c r="BC106" i="14"/>
  <c r="BC120" i="14" s="1"/>
  <c r="BI106" i="14"/>
  <c r="BI120" i="14" s="1"/>
  <c r="BD106" i="14"/>
  <c r="BD120" i="14" s="1"/>
  <c r="BG106" i="14"/>
  <c r="BF106" i="14"/>
  <c r="BF120" i="14" s="1"/>
  <c r="BJ106" i="14"/>
  <c r="BJ120" i="14" s="1"/>
  <c r="BE106" i="14"/>
  <c r="BE120" i="14" s="1"/>
  <c r="BH106" i="14"/>
  <c r="BH120" i="14" s="1"/>
  <c r="AB211" i="6"/>
  <c r="C211" i="6" s="1"/>
  <c r="AB209" i="6"/>
  <c r="C209" i="6" s="1"/>
  <c r="BG120" i="14"/>
  <c r="AB169" i="6"/>
  <c r="C169" i="6" s="1"/>
  <c r="AB168" i="6"/>
  <c r="C168" i="6" s="1"/>
  <c r="AB178" i="6"/>
  <c r="C178" i="6" s="1"/>
  <c r="AB276" i="6"/>
  <c r="C276" i="6" s="1"/>
  <c r="AA233" i="6"/>
  <c r="B233" i="6" s="1"/>
  <c r="E251" i="6" s="1"/>
  <c r="AB212" i="6"/>
  <c r="C212" i="6" s="1"/>
  <c r="AA204" i="6"/>
  <c r="B204" i="6" s="1"/>
  <c r="E224" i="6" s="1"/>
  <c r="G224" i="6" s="1"/>
  <c r="AA299" i="6"/>
  <c r="B299" i="6" s="1"/>
  <c r="AA296" i="6"/>
  <c r="B296" i="6" s="1"/>
  <c r="AA300" i="6"/>
  <c r="B300" i="6" s="1"/>
  <c r="AA297" i="6"/>
  <c r="B297" i="6" s="1"/>
  <c r="AA298" i="6"/>
  <c r="B298" i="6" s="1"/>
  <c r="AA424" i="6"/>
  <c r="B424" i="6" s="1"/>
  <c r="AA427" i="6"/>
  <c r="B427" i="6" s="1"/>
  <c r="AA433" i="6"/>
  <c r="B433" i="6" s="1"/>
  <c r="AA428" i="6"/>
  <c r="B428" i="6" s="1"/>
  <c r="AB459" i="6"/>
  <c r="C459" i="6" s="1"/>
  <c r="AB464" i="6"/>
  <c r="C464" i="6" s="1"/>
  <c r="AB468" i="6"/>
  <c r="C468" i="6" s="1"/>
  <c r="AB465" i="6"/>
  <c r="C465" i="6" s="1"/>
  <c r="AA244" i="6"/>
  <c r="B244" i="6" s="1"/>
  <c r="AB147" i="6"/>
  <c r="C147" i="6" s="1"/>
  <c r="AA460" i="6"/>
  <c r="B460" i="6" s="1"/>
  <c r="E481" i="6" s="1"/>
  <c r="AA456" i="6"/>
  <c r="B456" i="6" s="1"/>
  <c r="E477" i="6"/>
  <c r="AB267" i="6"/>
  <c r="C267" i="6" s="1"/>
  <c r="AB272" i="6"/>
  <c r="C272" i="6" s="1"/>
  <c r="AB273" i="6"/>
  <c r="C273" i="6" s="1"/>
  <c r="AA169" i="6"/>
  <c r="B169" i="6" s="1"/>
  <c r="AA171" i="6"/>
  <c r="B171" i="6" s="1"/>
  <c r="AA176" i="6"/>
  <c r="B176" i="6" s="1"/>
  <c r="AA172" i="6"/>
  <c r="B172" i="6" s="1"/>
  <c r="AA170" i="6"/>
  <c r="B170" i="6" s="1"/>
  <c r="AA107" i="6"/>
  <c r="B107" i="6" s="1"/>
  <c r="E130" i="6" s="1"/>
  <c r="AB394" i="6"/>
  <c r="C394" i="6" s="1"/>
  <c r="K413" i="6" s="1"/>
  <c r="AA138" i="6"/>
  <c r="B138" i="6" s="1"/>
  <c r="AA8" i="6"/>
  <c r="B8" i="6" s="1"/>
  <c r="AA264" i="6"/>
  <c r="B264" i="6" s="1"/>
  <c r="E283" i="6" s="1"/>
  <c r="F283" i="6" s="1"/>
  <c r="AA445" i="44"/>
  <c r="U445" i="44"/>
  <c r="U437" i="44"/>
  <c r="AA437" i="44"/>
  <c r="AA171" i="44"/>
  <c r="U171" i="44"/>
  <c r="AA147" i="44"/>
  <c r="U147" i="44"/>
  <c r="AB116" i="6"/>
  <c r="C116" i="6" s="1"/>
  <c r="U435" i="44"/>
  <c r="AA435" i="44"/>
  <c r="AA345" i="44"/>
  <c r="U345" i="44"/>
  <c r="U169" i="44"/>
  <c r="AA169" i="44"/>
  <c r="AA434" i="44"/>
  <c r="U434" i="44"/>
  <c r="AA348" i="44"/>
  <c r="U348" i="44"/>
  <c r="G158" i="6"/>
  <c r="H158" i="6"/>
  <c r="H130" i="14"/>
  <c r="F125" i="14"/>
  <c r="G127" i="14"/>
  <c r="E155" i="6"/>
  <c r="H123" i="14"/>
  <c r="K158" i="6"/>
  <c r="K159" i="6"/>
  <c r="T159" i="6" s="1"/>
  <c r="F126" i="14"/>
  <c r="K161" i="6"/>
  <c r="L161" i="6" s="1"/>
  <c r="E157" i="6"/>
  <c r="K162" i="6"/>
  <c r="L162" i="6" s="1"/>
  <c r="BK56" i="14"/>
  <c r="E218" i="12"/>
  <c r="H129" i="14"/>
  <c r="E349" i="6"/>
  <c r="E509" i="6"/>
  <c r="P315" i="6"/>
  <c r="BC172" i="14"/>
  <c r="BD172" i="14"/>
  <c r="F158" i="6"/>
  <c r="F124" i="14"/>
  <c r="E351" i="6"/>
  <c r="H351" i="6" s="1"/>
  <c r="E478" i="6"/>
  <c r="T315" i="6"/>
  <c r="BM56" i="14"/>
  <c r="BF172" i="14"/>
  <c r="BJ172" i="14"/>
  <c r="E482" i="6"/>
  <c r="F482" i="6" s="1"/>
  <c r="BE172" i="14"/>
  <c r="BN81" i="14"/>
  <c r="BO56" i="14"/>
  <c r="BK81" i="14"/>
  <c r="P59" i="6"/>
  <c r="BR81" i="14"/>
  <c r="E159" i="6"/>
  <c r="G159" i="6" s="1"/>
  <c r="E220" i="6"/>
  <c r="G220" i="6" s="1"/>
  <c r="E513" i="6"/>
  <c r="G513" i="6" s="1"/>
  <c r="L189" i="14"/>
  <c r="T189" i="14" s="1"/>
  <c r="BN56" i="14"/>
  <c r="BO76" i="14"/>
  <c r="BD12" i="14"/>
  <c r="E354" i="6"/>
  <c r="G354" i="6" s="1"/>
  <c r="E161" i="6"/>
  <c r="E226" i="6"/>
  <c r="G226" i="6" s="1"/>
  <c r="E514" i="6"/>
  <c r="G514" i="6" s="1"/>
  <c r="E353" i="6"/>
  <c r="G353" i="6" s="1"/>
  <c r="E350" i="6"/>
  <c r="G350" i="6" s="1"/>
  <c r="BP76" i="14"/>
  <c r="BN76" i="14"/>
  <c r="E507" i="6"/>
  <c r="G507" i="6" s="1"/>
  <c r="E511" i="6"/>
  <c r="E222" i="6"/>
  <c r="G222" i="6" s="1"/>
  <c r="BH12" i="14"/>
  <c r="BG12" i="14"/>
  <c r="J193" i="14"/>
  <c r="E347" i="6"/>
  <c r="H347" i="6" s="1"/>
  <c r="BQ76" i="14"/>
  <c r="BR76" i="14"/>
  <c r="E510" i="6"/>
  <c r="H510" i="6" s="1"/>
  <c r="E512" i="6"/>
  <c r="G512" i="6" s="1"/>
  <c r="E160" i="6"/>
  <c r="F160" i="6" s="1"/>
  <c r="BE12" i="14"/>
  <c r="BI12" i="14"/>
  <c r="L190" i="14"/>
  <c r="Z190" i="14" s="1"/>
  <c r="E352" i="6"/>
  <c r="F352" i="6" s="1"/>
  <c r="BM76" i="14"/>
  <c r="E162" i="6"/>
  <c r="BJ12" i="14"/>
  <c r="J190" i="14"/>
  <c r="K384" i="6"/>
  <c r="T384" i="6" s="1"/>
  <c r="L97" i="14"/>
  <c r="E127" i="6"/>
  <c r="G127" i="6" s="1"/>
  <c r="L98" i="14"/>
  <c r="Z98" i="14" s="1"/>
  <c r="K30" i="6"/>
  <c r="L96" i="14"/>
  <c r="Z96" i="14" s="1"/>
  <c r="K252" i="6"/>
  <c r="P252" i="6" s="1"/>
  <c r="E258" i="6"/>
  <c r="K316" i="6"/>
  <c r="P316" i="6" s="1"/>
  <c r="E252" i="6"/>
  <c r="G252" i="6" s="1"/>
  <c r="K32" i="6"/>
  <c r="L32" i="6" s="1"/>
  <c r="BR56" i="14"/>
  <c r="K255" i="6"/>
  <c r="L255" i="6" s="1"/>
  <c r="K317" i="6"/>
  <c r="T317" i="6" s="1"/>
  <c r="BG83" i="14"/>
  <c r="J94" i="14"/>
  <c r="J98" i="14"/>
  <c r="BF83" i="14"/>
  <c r="J97" i="14"/>
  <c r="L92" i="14"/>
  <c r="Z92" i="14" s="1"/>
  <c r="BI56" i="14"/>
  <c r="L91" i="14"/>
  <c r="T91" i="14" s="1"/>
  <c r="K383" i="6"/>
  <c r="P383" i="6" s="1"/>
  <c r="E256" i="6"/>
  <c r="H256" i="6" s="1"/>
  <c r="K319" i="6"/>
  <c r="L319" i="6" s="1"/>
  <c r="E257" i="6"/>
  <c r="H257" i="6" s="1"/>
  <c r="E254" i="6"/>
  <c r="G254" i="6" s="1"/>
  <c r="K29" i="6"/>
  <c r="T29" i="6" s="1"/>
  <c r="K28" i="6"/>
  <c r="K256" i="6"/>
  <c r="T256" i="6" s="1"/>
  <c r="K320" i="6"/>
  <c r="T320" i="6" s="1"/>
  <c r="BH83" i="14"/>
  <c r="BD83" i="14"/>
  <c r="L191" i="14"/>
  <c r="Z191" i="14" s="1"/>
  <c r="J192" i="14"/>
  <c r="L193" i="14"/>
  <c r="Z193" i="14" s="1"/>
  <c r="J194" i="14"/>
  <c r="K253" i="6"/>
  <c r="P253" i="6" s="1"/>
  <c r="E124" i="6"/>
  <c r="F124" i="6" s="1"/>
  <c r="K33" i="6"/>
  <c r="K34" i="6"/>
  <c r="T34" i="6" s="1"/>
  <c r="BL56" i="14"/>
  <c r="E286" i="6"/>
  <c r="G286" i="6" s="1"/>
  <c r="K258" i="6"/>
  <c r="L258" i="6" s="1"/>
  <c r="E413" i="6"/>
  <c r="G413" i="6" s="1"/>
  <c r="K318" i="6"/>
  <c r="K321" i="6"/>
  <c r="T321" i="6" s="1"/>
  <c r="BJ83" i="14"/>
  <c r="BC83" i="14"/>
  <c r="J188" i="14"/>
  <c r="L187" i="14"/>
  <c r="N187" i="14" s="1"/>
  <c r="L188" i="14"/>
  <c r="N188" i="14" s="1"/>
  <c r="J189" i="14"/>
  <c r="E255" i="6"/>
  <c r="E126" i="6"/>
  <c r="H126" i="6" s="1"/>
  <c r="BH56" i="14"/>
  <c r="BP56" i="14"/>
  <c r="K257" i="6"/>
  <c r="K322" i="6"/>
  <c r="P322" i="6" s="1"/>
  <c r="BI83" i="14"/>
  <c r="L194" i="14"/>
  <c r="J191" i="14"/>
  <c r="E215" i="12"/>
  <c r="K386" i="6"/>
  <c r="T386" i="6" s="1"/>
  <c r="E216" i="12"/>
  <c r="E214" i="12"/>
  <c r="K382" i="6"/>
  <c r="L382" i="6" s="1"/>
  <c r="K385" i="6"/>
  <c r="T385" i="6" s="1"/>
  <c r="K381" i="6"/>
  <c r="T381" i="6" s="1"/>
  <c r="K380" i="6"/>
  <c r="T380" i="6" s="1"/>
  <c r="E220" i="12"/>
  <c r="E217" i="12"/>
  <c r="S213" i="12"/>
  <c r="R213" i="12"/>
  <c r="E213" i="12"/>
  <c r="L84" i="12"/>
  <c r="E219" i="12"/>
  <c r="L254" i="6"/>
  <c r="T254" i="6"/>
  <c r="P254" i="6"/>
  <c r="K251" i="6"/>
  <c r="E383" i="6"/>
  <c r="G383" i="6" s="1"/>
  <c r="K417" i="6"/>
  <c r="L417" i="6" s="1"/>
  <c r="K415" i="6"/>
  <c r="K418" i="6"/>
  <c r="K414" i="6"/>
  <c r="K412" i="6"/>
  <c r="T412" i="6" s="1"/>
  <c r="K416" i="6"/>
  <c r="BG56" i="14"/>
  <c r="E386" i="6"/>
  <c r="F386" i="6" s="1"/>
  <c r="P413" i="6"/>
  <c r="T413" i="6"/>
  <c r="L413" i="6"/>
  <c r="E382" i="6"/>
  <c r="F382" i="6" s="1"/>
  <c r="L103" i="12"/>
  <c r="E381" i="6"/>
  <c r="E379" i="6"/>
  <c r="L125" i="12"/>
  <c r="BC56" i="14"/>
  <c r="L384" i="6"/>
  <c r="T379" i="6"/>
  <c r="P379" i="6"/>
  <c r="L379" i="6"/>
  <c r="L15" i="12"/>
  <c r="BQ81" i="14"/>
  <c r="BP81" i="14"/>
  <c r="BO81" i="14"/>
  <c r="T59" i="6"/>
  <c r="BF56" i="14"/>
  <c r="BD56" i="14"/>
  <c r="BE56" i="14"/>
  <c r="J96" i="14"/>
  <c r="L95" i="14"/>
  <c r="Z95" i="14" s="1"/>
  <c r="L94" i="14"/>
  <c r="T94" i="14" s="1"/>
  <c r="L93" i="14"/>
  <c r="N93" i="14" s="1"/>
  <c r="J95" i="14"/>
  <c r="T253" i="6"/>
  <c r="H382" i="6"/>
  <c r="E51" i="12"/>
  <c r="D334" i="48"/>
  <c r="T119" i="40"/>
  <c r="W119" i="40"/>
  <c r="V119" i="40"/>
  <c r="U120" i="40"/>
  <c r="D307" i="40"/>
  <c r="W118" i="40"/>
  <c r="T118" i="40"/>
  <c r="V118" i="40"/>
  <c r="G214" i="12"/>
  <c r="L116" i="12"/>
  <c r="L196" i="12"/>
  <c r="L194" i="12"/>
  <c r="E27" i="12"/>
  <c r="E26" i="12"/>
  <c r="S26" i="12"/>
  <c r="R26" i="12"/>
  <c r="E170" i="12"/>
  <c r="N191" i="12"/>
  <c r="N220" i="12"/>
  <c r="Q220" i="12"/>
  <c r="N218" i="12"/>
  <c r="Q218" i="12"/>
  <c r="N214" i="12"/>
  <c r="Q214" i="12"/>
  <c r="G218" i="12"/>
  <c r="P218" i="12"/>
  <c r="E193" i="12"/>
  <c r="E192" i="12"/>
  <c r="E195" i="12"/>
  <c r="L192" i="12"/>
  <c r="L19" i="12"/>
  <c r="L22" i="12"/>
  <c r="L21" i="12"/>
  <c r="L226" i="12"/>
  <c r="S15" i="12"/>
  <c r="E15" i="12"/>
  <c r="R15" i="12"/>
  <c r="N213" i="12"/>
  <c r="Q213" i="12"/>
  <c r="L240" i="12"/>
  <c r="E279" i="49"/>
  <c r="G215" i="12"/>
  <c r="P215" i="12"/>
  <c r="G217" i="12"/>
  <c r="P217" i="12"/>
  <c r="L115" i="12"/>
  <c r="L119" i="12"/>
  <c r="L118" i="12"/>
  <c r="L197" i="12"/>
  <c r="L193" i="12"/>
  <c r="E115" i="12"/>
  <c r="E83" i="12"/>
  <c r="E28" i="12"/>
  <c r="L8" i="12"/>
  <c r="L4" i="12"/>
  <c r="E70" i="12"/>
  <c r="S70" i="12"/>
  <c r="R70" i="12"/>
  <c r="E49" i="12"/>
  <c r="G216" i="12"/>
  <c r="P216" i="12"/>
  <c r="E197" i="12"/>
  <c r="L198" i="12"/>
  <c r="L195" i="12"/>
  <c r="L17" i="12"/>
  <c r="L16" i="12"/>
  <c r="L20" i="12"/>
  <c r="L18" i="12"/>
  <c r="N217" i="12"/>
  <c r="Q217" i="12"/>
  <c r="N219" i="12"/>
  <c r="Q219" i="12"/>
  <c r="N215" i="12"/>
  <c r="Q215" i="12"/>
  <c r="L350" i="6"/>
  <c r="P350" i="6"/>
  <c r="T350" i="6"/>
  <c r="P354" i="6"/>
  <c r="T354" i="6"/>
  <c r="L354" i="6"/>
  <c r="L349" i="6"/>
  <c r="T349" i="6"/>
  <c r="P349" i="6"/>
  <c r="P347" i="6"/>
  <c r="L347" i="6"/>
  <c r="T347" i="6"/>
  <c r="Z64" i="14"/>
  <c r="T64" i="14"/>
  <c r="N64" i="14"/>
  <c r="Z62" i="14"/>
  <c r="T62" i="14"/>
  <c r="N62" i="14"/>
  <c r="B73" i="14"/>
  <c r="B84" i="14"/>
  <c r="B83" i="14"/>
  <c r="BD179" i="14"/>
  <c r="BH179" i="14"/>
  <c r="BI179" i="14"/>
  <c r="BC179" i="14"/>
  <c r="BF179" i="14"/>
  <c r="AR179" i="14"/>
  <c r="AQ179" i="14" s="1"/>
  <c r="AP179" i="14" s="1"/>
  <c r="BJ179" i="14"/>
  <c r="BE179" i="14"/>
  <c r="BG179" i="14"/>
  <c r="B9" i="14"/>
  <c r="B12" i="14"/>
  <c r="B11" i="14"/>
  <c r="H352" i="6"/>
  <c r="F354" i="6"/>
  <c r="F350" i="6"/>
  <c r="F255" i="6"/>
  <c r="H255" i="6"/>
  <c r="G255" i="6"/>
  <c r="F92" i="6"/>
  <c r="H92" i="6"/>
  <c r="G92" i="6"/>
  <c r="G91" i="6"/>
  <c r="H91" i="6"/>
  <c r="F91" i="6"/>
  <c r="BE73" i="14"/>
  <c r="BF73" i="14"/>
  <c r="BH73" i="14"/>
  <c r="BC73" i="14"/>
  <c r="AR73" i="14"/>
  <c r="AQ73" i="14" s="1"/>
  <c r="AP73" i="14" s="1"/>
  <c r="BJ73" i="14"/>
  <c r="BG73" i="14"/>
  <c r="BD73" i="14"/>
  <c r="BI73" i="14"/>
  <c r="G482" i="6"/>
  <c r="F477" i="6"/>
  <c r="H477" i="6"/>
  <c r="G477" i="6"/>
  <c r="L30" i="6"/>
  <c r="T30" i="6"/>
  <c r="P30" i="6"/>
  <c r="T33" i="6"/>
  <c r="P33" i="6"/>
  <c r="L33" i="6"/>
  <c r="P32" i="6"/>
  <c r="G510" i="6"/>
  <c r="F510" i="6"/>
  <c r="H513" i="6"/>
  <c r="F513" i="6"/>
  <c r="F512" i="6"/>
  <c r="G508" i="6"/>
  <c r="F508" i="6"/>
  <c r="H508" i="6"/>
  <c r="B146" i="14"/>
  <c r="B140" i="14"/>
  <c r="F220" i="6"/>
  <c r="H221" i="6"/>
  <c r="H160" i="6"/>
  <c r="G160" i="6"/>
  <c r="H157" i="6"/>
  <c r="F157" i="6"/>
  <c r="G157" i="6"/>
  <c r="F155" i="6"/>
  <c r="G155" i="6"/>
  <c r="H155" i="6"/>
  <c r="F159" i="6"/>
  <c r="H159" i="6"/>
  <c r="B169" i="14"/>
  <c r="B179" i="14"/>
  <c r="B172" i="14"/>
  <c r="L507" i="6"/>
  <c r="T507" i="6"/>
  <c r="P507" i="6"/>
  <c r="F61" i="14"/>
  <c r="G61" i="14"/>
  <c r="H61" i="14"/>
  <c r="G66" i="14"/>
  <c r="H66" i="14"/>
  <c r="F66" i="14"/>
  <c r="H60" i="14"/>
  <c r="G60" i="14"/>
  <c r="F60" i="14"/>
  <c r="H59" i="14"/>
  <c r="F59" i="14"/>
  <c r="G59" i="14"/>
  <c r="H63" i="14"/>
  <c r="F63" i="14"/>
  <c r="G63" i="14"/>
  <c r="T60" i="14"/>
  <c r="N60" i="14"/>
  <c r="Z60" i="14"/>
  <c r="BR17" i="14"/>
  <c r="BO17" i="14"/>
  <c r="BQ17" i="14"/>
  <c r="BL17" i="14"/>
  <c r="BM17" i="14"/>
  <c r="BN17" i="14"/>
  <c r="BK17" i="14"/>
  <c r="BP17" i="14"/>
  <c r="AV17" i="14"/>
  <c r="AU17" i="14" s="1"/>
  <c r="AT17" i="14" s="1"/>
  <c r="T161" i="6"/>
  <c r="P63" i="6"/>
  <c r="L63" i="6"/>
  <c r="T63" i="6"/>
  <c r="L66" i="6"/>
  <c r="P66" i="6"/>
  <c r="T66" i="6"/>
  <c r="L65" i="6"/>
  <c r="T65" i="6"/>
  <c r="P65" i="6"/>
  <c r="P255" i="6"/>
  <c r="H414" i="6"/>
  <c r="T318" i="6"/>
  <c r="P318" i="6"/>
  <c r="L318" i="6"/>
  <c r="L317" i="6"/>
  <c r="Z157" i="14"/>
  <c r="T157" i="14"/>
  <c r="N157" i="14"/>
  <c r="L156" i="14"/>
  <c r="L162" i="14"/>
  <c r="J162" i="14"/>
  <c r="J161" i="14"/>
  <c r="J159" i="14"/>
  <c r="L160" i="14"/>
  <c r="J156" i="14"/>
  <c r="AR83" i="14"/>
  <c r="AQ83" i="14" s="1"/>
  <c r="AP83" i="14" s="1"/>
  <c r="H59" i="6"/>
  <c r="G59" i="6"/>
  <c r="F59" i="6"/>
  <c r="Z194" i="14"/>
  <c r="T194" i="14"/>
  <c r="N194" i="14"/>
  <c r="Z192" i="14"/>
  <c r="T192" i="14"/>
  <c r="N192" i="14"/>
  <c r="Z97" i="14"/>
  <c r="T97" i="14"/>
  <c r="N97" i="14"/>
  <c r="T96" i="14"/>
  <c r="T92" i="14"/>
  <c r="T344" i="48"/>
  <c r="V344" i="48"/>
  <c r="V311" i="48"/>
  <c r="T311" i="48"/>
  <c r="T300" i="40"/>
  <c r="V300" i="40"/>
  <c r="T267" i="49"/>
  <c r="V267" i="49"/>
  <c r="V278" i="40"/>
  <c r="T278" i="40"/>
  <c r="T278" i="48"/>
  <c r="V278" i="48"/>
  <c r="V300" i="48"/>
  <c r="T300" i="48"/>
  <c r="T348" i="6"/>
  <c r="P348" i="6"/>
  <c r="L348" i="6"/>
  <c r="P352" i="6"/>
  <c r="L352" i="6"/>
  <c r="T352" i="6"/>
  <c r="L353" i="6"/>
  <c r="T353" i="6"/>
  <c r="P353" i="6"/>
  <c r="P351" i="6"/>
  <c r="T351" i="6"/>
  <c r="L351" i="6"/>
  <c r="N65" i="14"/>
  <c r="Z65" i="14"/>
  <c r="T65" i="14"/>
  <c r="T61" i="14"/>
  <c r="N61" i="14"/>
  <c r="Z61" i="14"/>
  <c r="BD84" i="14"/>
  <c r="BI84" i="14"/>
  <c r="BJ84" i="14"/>
  <c r="BE84" i="14"/>
  <c r="BH84" i="14"/>
  <c r="BF84" i="14"/>
  <c r="AR84" i="14"/>
  <c r="AQ84" i="14" s="1"/>
  <c r="AP84" i="14" s="1"/>
  <c r="BG84" i="14"/>
  <c r="BC84" i="14"/>
  <c r="BL75" i="14"/>
  <c r="BL88" i="14" s="1"/>
  <c r="BP75" i="14"/>
  <c r="BK75" i="14"/>
  <c r="BM75" i="14"/>
  <c r="BR75" i="14"/>
  <c r="BO75" i="14"/>
  <c r="BQ75" i="14"/>
  <c r="BN75" i="14"/>
  <c r="AV75" i="14"/>
  <c r="AU75" i="14" s="1"/>
  <c r="AT75" i="14" s="1"/>
  <c r="J92" i="14" s="1"/>
  <c r="AR11" i="14"/>
  <c r="AQ11" i="14" s="1"/>
  <c r="AP11" i="14" s="1"/>
  <c r="BI9" i="14"/>
  <c r="BC9" i="14"/>
  <c r="BF9" i="14"/>
  <c r="BD9" i="14"/>
  <c r="BE9" i="14"/>
  <c r="BJ9" i="14"/>
  <c r="BH9" i="14"/>
  <c r="AR9" i="14"/>
  <c r="AQ9" i="14" s="1"/>
  <c r="AP9" i="14" s="1"/>
  <c r="BG9" i="14"/>
  <c r="BG11" i="14"/>
  <c r="BJ11" i="14"/>
  <c r="BH11" i="14"/>
  <c r="BC11" i="14"/>
  <c r="BE11" i="14"/>
  <c r="BF11" i="14"/>
  <c r="BI11" i="14"/>
  <c r="BD11" i="14"/>
  <c r="H349" i="6"/>
  <c r="G349" i="6"/>
  <c r="F349" i="6"/>
  <c r="F347" i="6"/>
  <c r="G351" i="6"/>
  <c r="F351" i="6"/>
  <c r="F348" i="6"/>
  <c r="G348" i="6"/>
  <c r="H348" i="6"/>
  <c r="G258" i="6"/>
  <c r="H258" i="6"/>
  <c r="F258" i="6"/>
  <c r="G253" i="6"/>
  <c r="H253" i="6"/>
  <c r="F253" i="6"/>
  <c r="H252" i="6"/>
  <c r="F123" i="6"/>
  <c r="G123" i="6"/>
  <c r="H123" i="6"/>
  <c r="G93" i="6"/>
  <c r="H93" i="6"/>
  <c r="F93" i="6"/>
  <c r="H95" i="6"/>
  <c r="H478" i="6"/>
  <c r="G478" i="6"/>
  <c r="F478" i="6"/>
  <c r="AV81" i="14"/>
  <c r="AU81" i="14" s="1"/>
  <c r="AT81" i="14" s="1"/>
  <c r="J93" i="14" s="1"/>
  <c r="AV76" i="14"/>
  <c r="AU76" i="14" s="1"/>
  <c r="AT76" i="14" s="1"/>
  <c r="J91" i="14" s="1"/>
  <c r="P31" i="6"/>
  <c r="T31" i="6"/>
  <c r="L31" i="6"/>
  <c r="L28" i="6"/>
  <c r="T28" i="6"/>
  <c r="P28" i="6"/>
  <c r="L27" i="6"/>
  <c r="T27" i="6"/>
  <c r="P27" i="6"/>
  <c r="H507" i="6"/>
  <c r="F509" i="6"/>
  <c r="G509" i="6"/>
  <c r="H509" i="6"/>
  <c r="F511" i="6"/>
  <c r="G511" i="6"/>
  <c r="H511" i="6"/>
  <c r="BH146" i="14"/>
  <c r="BH152" i="14" s="1"/>
  <c r="BJ146" i="14"/>
  <c r="BJ152" i="14" s="1"/>
  <c r="BF146" i="14"/>
  <c r="BF152" i="14" s="1"/>
  <c r="BE146" i="14"/>
  <c r="BE152" i="14" s="1"/>
  <c r="BI146" i="14"/>
  <c r="BI152" i="14" s="1"/>
  <c r="BG146" i="14"/>
  <c r="BG152" i="14" s="1"/>
  <c r="BD146" i="14"/>
  <c r="BD152" i="14" s="1"/>
  <c r="BC146" i="14"/>
  <c r="BC152" i="14" s="1"/>
  <c r="AR146" i="14"/>
  <c r="AQ146" i="14" s="1"/>
  <c r="AP146" i="14" s="1"/>
  <c r="H222" i="6"/>
  <c r="H226" i="6"/>
  <c r="H219" i="6"/>
  <c r="F219" i="6"/>
  <c r="G219" i="6"/>
  <c r="F162" i="6"/>
  <c r="G162" i="6"/>
  <c r="H162" i="6"/>
  <c r="H156" i="6"/>
  <c r="G156" i="6"/>
  <c r="F156" i="6"/>
  <c r="F161" i="6"/>
  <c r="G161" i="6"/>
  <c r="H161" i="6"/>
  <c r="BH169" i="14"/>
  <c r="BE169" i="14"/>
  <c r="BF169" i="14"/>
  <c r="BJ169" i="14"/>
  <c r="BI169" i="14"/>
  <c r="BC169" i="14"/>
  <c r="BD169" i="14"/>
  <c r="BG169" i="14"/>
  <c r="AR169" i="14"/>
  <c r="AQ169" i="14" s="1"/>
  <c r="AP169" i="14" s="1"/>
  <c r="BL171" i="14"/>
  <c r="BL184" i="14" s="1"/>
  <c r="AV171" i="14"/>
  <c r="AU171" i="14" s="1"/>
  <c r="AT171" i="14" s="1"/>
  <c r="J187" i="14" s="1"/>
  <c r="BN171" i="14"/>
  <c r="BN184" i="14" s="1"/>
  <c r="BO171" i="14"/>
  <c r="BO184" i="14" s="1"/>
  <c r="BM171" i="14"/>
  <c r="BM184" i="14" s="1"/>
  <c r="BP171" i="14"/>
  <c r="BP184" i="14" s="1"/>
  <c r="BR171" i="14"/>
  <c r="BR184" i="14" s="1"/>
  <c r="BK171" i="14"/>
  <c r="BK184" i="14" s="1"/>
  <c r="BQ171" i="14"/>
  <c r="BQ184" i="14" s="1"/>
  <c r="P511" i="6"/>
  <c r="F64" i="14"/>
  <c r="H64" i="14"/>
  <c r="G64" i="14"/>
  <c r="G65" i="14"/>
  <c r="H65" i="14"/>
  <c r="F65" i="14"/>
  <c r="T66" i="14"/>
  <c r="N66" i="14"/>
  <c r="Z66" i="14"/>
  <c r="T63" i="14"/>
  <c r="Z63" i="14"/>
  <c r="N63" i="14"/>
  <c r="BM20" i="14"/>
  <c r="BL20" i="14"/>
  <c r="AV20" i="14"/>
  <c r="AU20" i="14" s="1"/>
  <c r="AT20" i="14" s="1"/>
  <c r="BN20" i="14"/>
  <c r="BO20" i="14"/>
  <c r="BK20" i="14"/>
  <c r="BQ20" i="14"/>
  <c r="BR20" i="14"/>
  <c r="BP20" i="14"/>
  <c r="C20" i="14"/>
  <c r="C17" i="14"/>
  <c r="P162" i="6"/>
  <c r="T158" i="6"/>
  <c r="P158" i="6"/>
  <c r="L158" i="6"/>
  <c r="P159" i="6"/>
  <c r="L61" i="6"/>
  <c r="P61" i="6"/>
  <c r="T61" i="6"/>
  <c r="P60" i="6"/>
  <c r="T60" i="6"/>
  <c r="L60" i="6"/>
  <c r="P64" i="6"/>
  <c r="T64" i="6"/>
  <c r="L64" i="6"/>
  <c r="T62" i="6"/>
  <c r="L62" i="6"/>
  <c r="P62" i="6"/>
  <c r="H283" i="6"/>
  <c r="P257" i="6"/>
  <c r="L257" i="6"/>
  <c r="T257" i="6"/>
  <c r="AR12" i="14"/>
  <c r="AQ12" i="14" s="1"/>
  <c r="AP12" i="14" s="1"/>
  <c r="AR172" i="14"/>
  <c r="AQ172" i="14" s="1"/>
  <c r="AP172" i="14" s="1"/>
  <c r="T322" i="6"/>
  <c r="P320" i="6"/>
  <c r="BN148" i="14"/>
  <c r="BN152" i="14" s="1"/>
  <c r="BK148" i="14"/>
  <c r="BK152" i="14" s="1"/>
  <c r="BM148" i="14"/>
  <c r="BM152" i="14" s="1"/>
  <c r="BQ148" i="14"/>
  <c r="BQ152" i="14" s="1"/>
  <c r="BR148" i="14"/>
  <c r="BR152" i="14" s="1"/>
  <c r="AV148" i="14"/>
  <c r="AU148" i="14" s="1"/>
  <c r="AT148" i="14" s="1"/>
  <c r="J155" i="14" s="1"/>
  <c r="BP148" i="14"/>
  <c r="BP152" i="14" s="1"/>
  <c r="BL148" i="14"/>
  <c r="BL152" i="14" s="1"/>
  <c r="BO148" i="14"/>
  <c r="BO152" i="14" s="1"/>
  <c r="L161" i="14"/>
  <c r="J157" i="14"/>
  <c r="J160" i="14"/>
  <c r="L159" i="14"/>
  <c r="L155" i="14"/>
  <c r="J158" i="14"/>
  <c r="L158" i="14"/>
  <c r="N190" i="14"/>
  <c r="T187" i="14"/>
  <c r="Z189" i="14"/>
  <c r="N95" i="14"/>
  <c r="T95" i="14"/>
  <c r="Z91" i="14"/>
  <c r="AR140" i="14"/>
  <c r="AQ140" i="14" s="1"/>
  <c r="AP140" i="14" s="1"/>
  <c r="T278" i="49"/>
  <c r="V278" i="49"/>
  <c r="V311" i="40"/>
  <c r="T311" i="40"/>
  <c r="V289" i="49"/>
  <c r="T289" i="49"/>
  <c r="T289" i="40"/>
  <c r="V289" i="40"/>
  <c r="V289" i="48"/>
  <c r="T289" i="48"/>
  <c r="T267" i="50"/>
  <c r="V267" i="50"/>
  <c r="T278" i="50"/>
  <c r="V278" i="50"/>
  <c r="T300" i="50"/>
  <c r="V300" i="50"/>
  <c r="V300" i="49"/>
  <c r="T300" i="49"/>
  <c r="T344" i="40"/>
  <c r="V344" i="40"/>
  <c r="C250" i="44"/>
  <c r="A249" i="44"/>
  <c r="C251" i="44"/>
  <c r="A250" i="44"/>
  <c r="A251" i="44"/>
  <c r="A245" i="44"/>
  <c r="A248" i="44"/>
  <c r="A246" i="44"/>
  <c r="C248" i="44"/>
  <c r="C249" i="44"/>
  <c r="A253" i="44"/>
  <c r="C246" i="44"/>
  <c r="C247" i="44"/>
  <c r="B244" i="44"/>
  <c r="A252" i="44" s="1"/>
  <c r="E244" i="44"/>
  <c r="H244" i="44"/>
  <c r="J97" i="42"/>
  <c r="C94" i="49"/>
  <c r="C104" i="43"/>
  <c r="M119" i="47"/>
  <c r="C98" i="42"/>
  <c r="L121" i="47"/>
  <c r="L121" i="40"/>
  <c r="J121" i="12"/>
  <c r="B196" i="12"/>
  <c r="B97" i="42" s="1"/>
  <c r="J120" i="12"/>
  <c r="K214" i="12"/>
  <c r="K115" i="40" s="1"/>
  <c r="C198" i="12"/>
  <c r="M216" i="12"/>
  <c r="B219" i="12"/>
  <c r="J117" i="12"/>
  <c r="B197" i="12"/>
  <c r="C37" i="12"/>
  <c r="L120" i="47"/>
  <c r="J138" i="12"/>
  <c r="L118" i="40"/>
  <c r="C92" i="12"/>
  <c r="B121" i="47"/>
  <c r="C160" i="41"/>
  <c r="F220" i="12"/>
  <c r="D214" i="12"/>
  <c r="C169" i="12"/>
  <c r="J130" i="12"/>
  <c r="I208" i="12"/>
  <c r="C84" i="12"/>
  <c r="C85" i="12"/>
  <c r="E116" i="47"/>
  <c r="E120" i="40"/>
  <c r="J140" i="12"/>
  <c r="L147" i="48"/>
  <c r="F171" i="12"/>
  <c r="M17" i="12"/>
  <c r="M207" i="12"/>
  <c r="D52" i="12"/>
  <c r="G116" i="47"/>
  <c r="D198" i="12"/>
  <c r="K192" i="12"/>
  <c r="M132" i="12"/>
  <c r="K147" i="41"/>
  <c r="D15" i="12"/>
  <c r="L93" i="42"/>
  <c r="F161" i="12"/>
  <c r="I96" i="49"/>
  <c r="J97" i="49"/>
  <c r="D49" i="12"/>
  <c r="N121" i="40"/>
  <c r="M120" i="40"/>
  <c r="K204" i="12"/>
  <c r="P214" i="12"/>
  <c r="F197" i="12"/>
  <c r="D170" i="12"/>
  <c r="M121" i="43"/>
  <c r="D137" i="41"/>
  <c r="I98" i="50"/>
  <c r="J93" i="49"/>
  <c r="J52" i="12"/>
  <c r="E119" i="47"/>
  <c r="C175" i="12"/>
  <c r="C119" i="12"/>
  <c r="C88" i="12"/>
  <c r="C95" i="12"/>
  <c r="E115" i="47"/>
  <c r="G59" i="34"/>
  <c r="K142" i="12"/>
  <c r="D92" i="12"/>
  <c r="D191" i="12"/>
  <c r="F117" i="40"/>
  <c r="M15" i="12"/>
  <c r="G54" i="34"/>
  <c r="M16" i="12"/>
  <c r="J94" i="49"/>
  <c r="K198" i="12"/>
  <c r="L108" i="40"/>
  <c r="E104" i="43"/>
  <c r="K16" i="12"/>
  <c r="K119" i="12"/>
  <c r="K119" i="40"/>
  <c r="F40" i="12"/>
  <c r="C93" i="42"/>
  <c r="J151" i="40"/>
  <c r="L114" i="43"/>
  <c r="K22" i="12"/>
  <c r="G119" i="47"/>
  <c r="M193" i="12"/>
  <c r="F55" i="12"/>
  <c r="G116" i="40"/>
  <c r="K51" i="12"/>
  <c r="M192" i="12"/>
  <c r="C106" i="42"/>
  <c r="M120" i="47"/>
  <c r="C116" i="12"/>
  <c r="C176" i="12"/>
  <c r="C75" i="12"/>
  <c r="J9" i="12"/>
  <c r="J108" i="12"/>
  <c r="J109" i="12"/>
  <c r="E121" i="40"/>
  <c r="C128" i="12"/>
  <c r="K193" i="12"/>
  <c r="L130" i="41"/>
  <c r="M114" i="12"/>
  <c r="M19" i="12"/>
  <c r="K121" i="47"/>
  <c r="K114" i="49"/>
  <c r="J152" i="41"/>
  <c r="E93" i="40"/>
  <c r="M115" i="12"/>
  <c r="L147" i="47"/>
  <c r="M119" i="12"/>
  <c r="B98" i="49"/>
  <c r="L153" i="48"/>
  <c r="M6" i="12"/>
  <c r="C98" i="49"/>
  <c r="F139" i="12"/>
  <c r="N118" i="47"/>
  <c r="K118" i="12"/>
  <c r="D26" i="12"/>
  <c r="K9" i="12"/>
  <c r="E147" i="48"/>
  <c r="J229" i="12"/>
  <c r="C127" i="48"/>
  <c r="E147" i="41"/>
  <c r="D116" i="12"/>
  <c r="M105" i="12"/>
  <c r="G51" i="34"/>
  <c r="A255" i="44"/>
  <c r="F28" i="12"/>
  <c r="F98" i="49"/>
  <c r="K99" i="49"/>
  <c r="C161" i="41"/>
  <c r="C162" i="48"/>
  <c r="C147" i="41"/>
  <c r="C164" i="12"/>
  <c r="C41" i="12"/>
  <c r="J203" i="12"/>
  <c r="J110" i="12"/>
  <c r="I236" i="12"/>
  <c r="E116" i="40"/>
  <c r="L161" i="41"/>
  <c r="J137" i="12"/>
  <c r="J151" i="41"/>
  <c r="M125" i="12"/>
  <c r="K107" i="12"/>
  <c r="L151" i="47"/>
  <c r="E139" i="41"/>
  <c r="K85" i="12"/>
  <c r="M119" i="40"/>
  <c r="B114" i="47"/>
  <c r="L127" i="48"/>
  <c r="F195" i="12"/>
  <c r="E103" i="50"/>
  <c r="F173" i="12"/>
  <c r="E93" i="47"/>
  <c r="M194" i="12"/>
  <c r="I225" i="12"/>
  <c r="F96" i="42"/>
  <c r="D147" i="41"/>
  <c r="D175" i="12"/>
  <c r="D103" i="42"/>
  <c r="M121" i="12"/>
  <c r="D118" i="12"/>
  <c r="I94" i="42"/>
  <c r="C137" i="48"/>
  <c r="I226" i="12"/>
  <c r="R147" i="41"/>
  <c r="D71" i="12"/>
  <c r="E105" i="43"/>
  <c r="J227" i="12"/>
  <c r="K118" i="49"/>
  <c r="D93" i="47"/>
  <c r="F105" i="50"/>
  <c r="J85" i="42"/>
  <c r="C163" i="47"/>
  <c r="C87" i="50"/>
  <c r="M147" i="48"/>
  <c r="M125" i="48"/>
  <c r="C140" i="40"/>
  <c r="I104" i="47"/>
  <c r="J83" i="42"/>
  <c r="C103" i="42"/>
  <c r="D129" i="41"/>
  <c r="C87" i="43"/>
  <c r="J82" i="49"/>
  <c r="C93" i="47"/>
  <c r="C139" i="12"/>
  <c r="L114" i="40"/>
  <c r="F51" i="12"/>
  <c r="F139" i="48" s="1"/>
  <c r="C114" i="12"/>
  <c r="C40" i="12"/>
  <c r="J142" i="12"/>
  <c r="C125" i="12"/>
  <c r="C114" i="43" s="1"/>
  <c r="D53" i="12"/>
  <c r="J99" i="49"/>
  <c r="L116" i="41"/>
  <c r="M116" i="40"/>
  <c r="G63" i="34"/>
  <c r="D215" i="12"/>
  <c r="D116" i="47" s="1"/>
  <c r="J7" i="12"/>
  <c r="E120" i="47"/>
  <c r="M131" i="12"/>
  <c r="M120" i="43" s="1"/>
  <c r="E94" i="49"/>
  <c r="E158" i="40"/>
  <c r="L147" i="40"/>
  <c r="K240" i="12"/>
  <c r="E119" i="40"/>
  <c r="C138" i="12"/>
  <c r="C83" i="49" s="1"/>
  <c r="K84" i="12"/>
  <c r="M130" i="12"/>
  <c r="M83" i="12"/>
  <c r="M160" i="48" s="1"/>
  <c r="G117" i="40"/>
  <c r="E126" i="41"/>
  <c r="L98" i="42"/>
  <c r="R103" i="43"/>
  <c r="C158" i="47"/>
  <c r="K242" i="12"/>
  <c r="K87" i="42"/>
  <c r="J55" i="12"/>
  <c r="I240" i="12"/>
  <c r="E121" i="47"/>
  <c r="C136" i="40"/>
  <c r="L151" i="41"/>
  <c r="D70" i="12"/>
  <c r="K125" i="12"/>
  <c r="K114" i="50" s="1"/>
  <c r="J149" i="48"/>
  <c r="F175" i="12"/>
  <c r="I229" i="12"/>
  <c r="K99" i="42"/>
  <c r="K161" i="41"/>
  <c r="C125" i="41"/>
  <c r="C125" i="48"/>
  <c r="C103" i="49"/>
  <c r="C93" i="49"/>
  <c r="C115" i="40"/>
  <c r="C121" i="40"/>
  <c r="C126" i="48"/>
  <c r="C137" i="41"/>
  <c r="J114" i="12"/>
  <c r="B194" i="12"/>
  <c r="B95" i="49" s="1"/>
  <c r="K216" i="12"/>
  <c r="C191" i="12"/>
  <c r="B193" i="12"/>
  <c r="B195" i="12"/>
  <c r="L120" i="40"/>
  <c r="L117" i="40"/>
  <c r="C160" i="12"/>
  <c r="C81" i="12"/>
  <c r="J127" i="48"/>
  <c r="K116" i="40"/>
  <c r="C118" i="12"/>
  <c r="C129" i="41" s="1"/>
  <c r="C117" i="12"/>
  <c r="J209" i="12"/>
  <c r="J99" i="50" s="1"/>
  <c r="J202" i="12"/>
  <c r="C38" i="12"/>
  <c r="E115" i="40"/>
  <c r="R114" i="47"/>
  <c r="K138" i="12"/>
  <c r="K83" i="49" s="1"/>
  <c r="B94" i="42"/>
  <c r="L108" i="47"/>
  <c r="I235" i="12"/>
  <c r="I103" i="40" s="1"/>
  <c r="M127" i="12"/>
  <c r="M116" i="43" s="1"/>
  <c r="M117" i="12"/>
  <c r="D54" i="12"/>
  <c r="C92" i="42"/>
  <c r="K19" i="12"/>
  <c r="L127" i="41"/>
  <c r="K115" i="12"/>
  <c r="K126" i="48" s="1"/>
  <c r="F121" i="40"/>
  <c r="F128" i="12"/>
  <c r="R158" i="40"/>
  <c r="N114" i="40"/>
  <c r="K197" i="12"/>
  <c r="F191" i="12"/>
  <c r="L150" i="41"/>
  <c r="K236" i="12"/>
  <c r="F119" i="40"/>
  <c r="M54" i="12"/>
  <c r="M20" i="12"/>
  <c r="M152" i="41" s="1"/>
  <c r="L126" i="41"/>
  <c r="K117" i="12"/>
  <c r="N92" i="42"/>
  <c r="F15" i="12"/>
  <c r="F147" i="48" s="1"/>
  <c r="K98" i="42"/>
  <c r="K93" i="42"/>
  <c r="K93" i="49"/>
  <c r="J87" i="42"/>
  <c r="J119" i="50"/>
  <c r="J147" i="41"/>
  <c r="C48" i="12"/>
  <c r="C77" i="12"/>
  <c r="C165" i="47" s="1"/>
  <c r="C174" i="12"/>
  <c r="I209" i="12"/>
  <c r="J5" i="12"/>
  <c r="J88" i="12"/>
  <c r="J126" i="12"/>
  <c r="M84" i="12"/>
  <c r="L114" i="49"/>
  <c r="L98" i="49"/>
  <c r="K88" i="12"/>
  <c r="M237" i="12"/>
  <c r="J95" i="42"/>
  <c r="M208" i="12"/>
  <c r="L116" i="48"/>
  <c r="R147" i="48"/>
  <c r="K120" i="47"/>
  <c r="K128" i="12"/>
  <c r="E158" i="47"/>
  <c r="L97" i="49"/>
  <c r="F119" i="12"/>
  <c r="F130" i="41" s="1"/>
  <c r="K87" i="12"/>
  <c r="K164" i="41" s="1"/>
  <c r="R158" i="47"/>
  <c r="N119" i="40"/>
  <c r="J95" i="49"/>
  <c r="D196" i="12"/>
  <c r="Q191" i="12"/>
  <c r="D121" i="12"/>
  <c r="E103" i="43"/>
  <c r="F88" i="12"/>
  <c r="F165" i="48" s="1"/>
  <c r="J125" i="41"/>
  <c r="L150" i="48"/>
  <c r="M118" i="12"/>
  <c r="K121" i="12"/>
  <c r="K4" i="12"/>
  <c r="F85" i="12"/>
  <c r="F162" i="41" s="1"/>
  <c r="N115" i="40"/>
  <c r="D97" i="49"/>
  <c r="G117" i="47"/>
  <c r="L154" i="48"/>
  <c r="M120" i="12"/>
  <c r="M120" i="50"/>
  <c r="M131" i="41"/>
  <c r="D137" i="48"/>
  <c r="J115" i="50"/>
  <c r="J148" i="47"/>
  <c r="J119" i="43"/>
  <c r="J128" i="41"/>
  <c r="C165" i="12"/>
  <c r="J238" i="12"/>
  <c r="J106" i="47" s="1"/>
  <c r="I205" i="12"/>
  <c r="J236" i="12"/>
  <c r="J106" i="12"/>
  <c r="I239" i="12"/>
  <c r="L161" i="48"/>
  <c r="C130" i="12"/>
  <c r="J140" i="48"/>
  <c r="E93" i="49"/>
  <c r="I204" i="12"/>
  <c r="E105" i="50"/>
  <c r="F114" i="12"/>
  <c r="I107" i="40"/>
  <c r="C162" i="41"/>
  <c r="F30" i="12"/>
  <c r="L153" i="41"/>
  <c r="F52" i="12"/>
  <c r="F140" i="41" s="1"/>
  <c r="L94" i="49"/>
  <c r="I207" i="12"/>
  <c r="M226" i="12"/>
  <c r="C119" i="50"/>
  <c r="L152" i="48"/>
  <c r="M4" i="12"/>
  <c r="F139" i="41"/>
  <c r="F26" i="12"/>
  <c r="F103" i="43" s="1"/>
  <c r="K8" i="12"/>
  <c r="M105" i="47"/>
  <c r="M106" i="12"/>
  <c r="M117" i="49" s="1"/>
  <c r="N116" i="40"/>
  <c r="N114" i="47"/>
  <c r="K55" i="12"/>
  <c r="C98" i="40"/>
  <c r="C127" i="12"/>
  <c r="L96" i="42"/>
  <c r="D114" i="12"/>
  <c r="D125" i="48" s="1"/>
  <c r="K5" i="12"/>
  <c r="E137" i="48"/>
  <c r="I206" i="12"/>
  <c r="G119" i="40"/>
  <c r="D92" i="42"/>
  <c r="F125" i="48"/>
  <c r="M131" i="48"/>
  <c r="K126" i="41"/>
  <c r="D125" i="41"/>
  <c r="F143" i="41"/>
  <c r="J92" i="50"/>
  <c r="J99" i="43"/>
  <c r="B119" i="47"/>
  <c r="M115" i="40"/>
  <c r="C52" i="12"/>
  <c r="C172" i="12"/>
  <c r="J82" i="12"/>
  <c r="J159" i="48" s="1"/>
  <c r="C86" i="12"/>
  <c r="J241" i="12"/>
  <c r="E117" i="40"/>
  <c r="R114" i="40"/>
  <c r="C132" i="12"/>
  <c r="B97" i="49"/>
  <c r="D121" i="40"/>
  <c r="L95" i="49"/>
  <c r="D160" i="12"/>
  <c r="N119" i="47"/>
  <c r="K10" i="12"/>
  <c r="D28" i="12"/>
  <c r="E93" i="42"/>
  <c r="G115" i="47"/>
  <c r="M151" i="48"/>
  <c r="J147" i="47"/>
  <c r="I99" i="50"/>
  <c r="L148" i="41"/>
  <c r="N115" i="47"/>
  <c r="F27" i="12"/>
  <c r="J230" i="12"/>
  <c r="M238" i="12"/>
  <c r="K169" i="12"/>
  <c r="K92" i="40"/>
  <c r="L148" i="48"/>
  <c r="C139" i="40"/>
  <c r="J121" i="42"/>
  <c r="M51" i="12"/>
  <c r="I230" i="12"/>
  <c r="D97" i="42"/>
  <c r="E96" i="49"/>
  <c r="D171" i="12"/>
  <c r="E160" i="41"/>
  <c r="I224" i="12"/>
  <c r="F92" i="42"/>
  <c r="K115" i="47"/>
  <c r="J119" i="49"/>
  <c r="M142" i="48"/>
  <c r="J120" i="41"/>
  <c r="M239" i="12"/>
  <c r="D132" i="41"/>
  <c r="M149" i="41"/>
  <c r="J228" i="12"/>
  <c r="K7" i="12"/>
  <c r="M119" i="43"/>
  <c r="F117" i="50"/>
  <c r="I116" i="48"/>
  <c r="K83" i="42"/>
  <c r="C161" i="48"/>
  <c r="J93" i="50"/>
  <c r="J143" i="41"/>
  <c r="D116" i="40"/>
  <c r="C165" i="40"/>
  <c r="C99" i="47"/>
  <c r="M147" i="41"/>
  <c r="J106" i="40"/>
  <c r="K94" i="49"/>
  <c r="F107" i="50"/>
  <c r="D127" i="41"/>
  <c r="C140" i="47"/>
  <c r="J82" i="42"/>
  <c r="M114" i="43"/>
  <c r="D158" i="40"/>
  <c r="M139" i="41"/>
  <c r="J83" i="49"/>
  <c r="C158" i="41"/>
  <c r="C137" i="40"/>
  <c r="F115" i="12"/>
  <c r="K116" i="12"/>
  <c r="K127" i="41" s="1"/>
  <c r="J96" i="42"/>
  <c r="L130" i="48"/>
  <c r="J120" i="42"/>
  <c r="F115" i="40"/>
  <c r="J117" i="49"/>
  <c r="C121" i="43"/>
  <c r="J109" i="40"/>
  <c r="C165" i="48"/>
  <c r="J140" i="41"/>
  <c r="C130" i="41"/>
  <c r="C136" i="48"/>
  <c r="C98" i="47"/>
  <c r="M129" i="48"/>
  <c r="K94" i="42"/>
  <c r="C116" i="50"/>
  <c r="M114" i="50"/>
  <c r="I120" i="41"/>
  <c r="L119" i="47"/>
  <c r="L119" i="40"/>
  <c r="J96" i="49"/>
  <c r="C72" i="12"/>
  <c r="C194" i="12"/>
  <c r="C30" i="12"/>
  <c r="M116" i="12"/>
  <c r="C137" i="47"/>
  <c r="C128" i="48"/>
  <c r="C171" i="12"/>
  <c r="J6" i="12"/>
  <c r="J132" i="12"/>
  <c r="C129" i="48"/>
  <c r="F196" i="12"/>
  <c r="F97" i="42" s="1"/>
  <c r="J98" i="49"/>
  <c r="F193" i="12"/>
  <c r="C128" i="41"/>
  <c r="K92" i="42"/>
  <c r="K121" i="40"/>
  <c r="F48" i="12"/>
  <c r="K106" i="12"/>
  <c r="M94" i="42"/>
  <c r="L99" i="49"/>
  <c r="J87" i="49"/>
  <c r="J54" i="12"/>
  <c r="C55" i="12"/>
  <c r="C143" i="41" s="1"/>
  <c r="J128" i="12"/>
  <c r="M138" i="12"/>
  <c r="M21" i="12"/>
  <c r="D161" i="12"/>
  <c r="D84" i="43" s="1"/>
  <c r="J92" i="43"/>
  <c r="D120" i="40"/>
  <c r="D197" i="12"/>
  <c r="M11" i="12"/>
  <c r="C136" i="41"/>
  <c r="L93" i="49"/>
  <c r="K196" i="12"/>
  <c r="K143" i="41"/>
  <c r="K154" i="41"/>
  <c r="J148" i="40"/>
  <c r="C120" i="12"/>
  <c r="J105" i="12"/>
  <c r="I242" i="12"/>
  <c r="I110" i="40" s="1"/>
  <c r="C129" i="12"/>
  <c r="C118" i="50" s="1"/>
  <c r="J104" i="47"/>
  <c r="M109" i="12"/>
  <c r="C117" i="43"/>
  <c r="K21" i="12"/>
  <c r="K120" i="12"/>
  <c r="D132" i="12"/>
  <c r="J153" i="41"/>
  <c r="D174" i="12"/>
  <c r="D97" i="40" s="1"/>
  <c r="F104" i="50"/>
  <c r="N118" i="40"/>
  <c r="F118" i="47"/>
  <c r="D115" i="40"/>
  <c r="C143" i="48"/>
  <c r="M125" i="41"/>
  <c r="C116" i="43"/>
  <c r="K92" i="49"/>
  <c r="J108" i="47"/>
  <c r="J115" i="40"/>
  <c r="J154" i="48"/>
  <c r="I92" i="42"/>
  <c r="C196" i="12"/>
  <c r="J169" i="12"/>
  <c r="L116" i="47"/>
  <c r="L117" i="47"/>
  <c r="L114" i="47"/>
  <c r="J98" i="42"/>
  <c r="C84" i="42"/>
  <c r="C50" i="12"/>
  <c r="C71" i="12"/>
  <c r="C53" i="12"/>
  <c r="J107" i="12"/>
  <c r="J118" i="42" s="1"/>
  <c r="C44" i="12"/>
  <c r="J11" i="12"/>
  <c r="J154" i="47" s="1"/>
  <c r="J127" i="12"/>
  <c r="E114" i="40"/>
  <c r="L114" i="42"/>
  <c r="C93" i="40"/>
  <c r="L151" i="40"/>
  <c r="I227" i="12"/>
  <c r="D115" i="12"/>
  <c r="D126" i="41" s="1"/>
  <c r="L149" i="48"/>
  <c r="F130" i="12"/>
  <c r="F170" i="12"/>
  <c r="K105" i="12"/>
  <c r="J206" i="12"/>
  <c r="I231" i="12"/>
  <c r="E98" i="42"/>
  <c r="K20" i="12"/>
  <c r="J147" i="40"/>
  <c r="D88" i="12"/>
  <c r="D165" i="48" s="1"/>
  <c r="L97" i="42"/>
  <c r="K116" i="49"/>
  <c r="E96" i="42"/>
  <c r="D50" i="12"/>
  <c r="D138" i="48" s="1"/>
  <c r="F70" i="12"/>
  <c r="F158" i="40" s="1"/>
  <c r="M195" i="12"/>
  <c r="M96" i="42" s="1"/>
  <c r="M197" i="12"/>
  <c r="F118" i="40"/>
  <c r="C126" i="41"/>
  <c r="M241" i="12"/>
  <c r="E160" i="48"/>
  <c r="K208" i="12"/>
  <c r="I117" i="48"/>
  <c r="F192" i="12"/>
  <c r="E126" i="48"/>
  <c r="K118" i="47"/>
  <c r="M117" i="40"/>
  <c r="K195" i="12"/>
  <c r="K96" i="42" s="1"/>
  <c r="M121" i="50"/>
  <c r="M116" i="50"/>
  <c r="J85" i="49"/>
  <c r="C139" i="47"/>
  <c r="C92" i="47"/>
  <c r="B118" i="40"/>
  <c r="F213" i="12"/>
  <c r="F114" i="40" s="1"/>
  <c r="M103" i="12"/>
  <c r="M114" i="49" s="1"/>
  <c r="J208" i="12"/>
  <c r="J98" i="43" s="1"/>
  <c r="E118" i="40"/>
  <c r="J139" i="12"/>
  <c r="J84" i="49" s="1"/>
  <c r="C83" i="50"/>
  <c r="M209" i="12"/>
  <c r="E137" i="41"/>
  <c r="M242" i="12"/>
  <c r="M110" i="40"/>
  <c r="C96" i="42"/>
  <c r="F54" i="12"/>
  <c r="F53" i="12"/>
  <c r="J116" i="41"/>
  <c r="D128" i="12"/>
  <c r="D117" i="43" s="1"/>
  <c r="F87" i="12"/>
  <c r="F37" i="12"/>
  <c r="F136" i="40" s="1"/>
  <c r="K226" i="12"/>
  <c r="K165" i="48"/>
  <c r="D173" i="12"/>
  <c r="M98" i="43"/>
  <c r="K118" i="40"/>
  <c r="D193" i="12"/>
  <c r="M87" i="12"/>
  <c r="G118" i="40"/>
  <c r="L126" i="48"/>
  <c r="M52" i="12"/>
  <c r="M140" i="48" s="1"/>
  <c r="K130" i="41"/>
  <c r="M196" i="12"/>
  <c r="M198" i="12"/>
  <c r="M99" i="49" s="1"/>
  <c r="I99" i="49"/>
  <c r="D165" i="12"/>
  <c r="D94" i="42"/>
  <c r="D38" i="12"/>
  <c r="L95" i="42"/>
  <c r="M169" i="12"/>
  <c r="L129" i="48"/>
  <c r="K152" i="48"/>
  <c r="K165" i="41"/>
  <c r="K87" i="49"/>
  <c r="J121" i="50"/>
  <c r="I98" i="43"/>
  <c r="C92" i="40"/>
  <c r="B117" i="40"/>
  <c r="B95" i="42"/>
  <c r="J51" i="12"/>
  <c r="C161" i="12"/>
  <c r="I241" i="12"/>
  <c r="I109" i="47" s="1"/>
  <c r="J207" i="12"/>
  <c r="J97" i="50" s="1"/>
  <c r="J129" i="12"/>
  <c r="J118" i="43" s="1"/>
  <c r="J86" i="12"/>
  <c r="J242" i="12"/>
  <c r="E117" i="47"/>
  <c r="J81" i="12"/>
  <c r="J143" i="12"/>
  <c r="C130" i="48"/>
  <c r="C99" i="42"/>
  <c r="J132" i="41"/>
  <c r="M203" i="12"/>
  <c r="M18" i="12"/>
  <c r="M150" i="48" s="1"/>
  <c r="J126" i="48"/>
  <c r="K130" i="12"/>
  <c r="D85" i="12"/>
  <c r="M126" i="48"/>
  <c r="I228" i="12"/>
  <c r="E98" i="49"/>
  <c r="M7" i="12"/>
  <c r="E94" i="42"/>
  <c r="N92" i="49"/>
  <c r="J96" i="50"/>
  <c r="L129" i="41"/>
  <c r="D195" i="12"/>
  <c r="D96" i="42" s="1"/>
  <c r="M5" i="12"/>
  <c r="M148" i="47" s="1"/>
  <c r="J205" i="12"/>
  <c r="D48" i="12"/>
  <c r="J98" i="50"/>
  <c r="L147" i="41"/>
  <c r="F198" i="12"/>
  <c r="F99" i="42" s="1"/>
  <c r="K238" i="12"/>
  <c r="D99" i="42"/>
  <c r="D119" i="12"/>
  <c r="F86" i="12"/>
  <c r="D142" i="41"/>
  <c r="K151" i="40"/>
  <c r="D93" i="40"/>
  <c r="F147" i="41"/>
  <c r="F99" i="49"/>
  <c r="J117" i="50"/>
  <c r="C83" i="42"/>
  <c r="J152" i="47"/>
  <c r="J97" i="43"/>
  <c r="J92" i="40"/>
  <c r="D216" i="12"/>
  <c r="C121" i="12"/>
  <c r="C132" i="41" s="1"/>
  <c r="C73" i="12"/>
  <c r="C82" i="12"/>
  <c r="C87" i="12"/>
  <c r="I237" i="12"/>
  <c r="I105" i="40" s="1"/>
  <c r="J83" i="12"/>
  <c r="J131" i="12"/>
  <c r="J120" i="43" s="1"/>
  <c r="E114" i="47"/>
  <c r="M137" i="12"/>
  <c r="C160" i="47"/>
  <c r="K114" i="40"/>
  <c r="D192" i="12"/>
  <c r="L94" i="42"/>
  <c r="K18" i="12"/>
  <c r="I97" i="42"/>
  <c r="M92" i="42"/>
  <c r="C92" i="49"/>
  <c r="C139" i="41"/>
  <c r="J151" i="48"/>
  <c r="N116" i="47"/>
  <c r="M8" i="12"/>
  <c r="I108" i="47"/>
  <c r="F50" i="12"/>
  <c r="F138" i="48" s="1"/>
  <c r="K116" i="48"/>
  <c r="M105" i="40"/>
  <c r="M240" i="12"/>
  <c r="L114" i="50"/>
  <c r="M108" i="12"/>
  <c r="M164" i="41"/>
  <c r="M206" i="12"/>
  <c r="F73" i="12"/>
  <c r="F161" i="40" s="1"/>
  <c r="F119" i="47"/>
  <c r="B115" i="47"/>
  <c r="F83" i="12"/>
  <c r="D83" i="12"/>
  <c r="D160" i="48" s="1"/>
  <c r="K17" i="12"/>
  <c r="D140" i="48"/>
  <c r="D126" i="48"/>
  <c r="J117" i="43"/>
  <c r="C97" i="47"/>
  <c r="C97" i="40"/>
  <c r="C95" i="40"/>
  <c r="D84" i="50"/>
  <c r="J159" i="41"/>
  <c r="J120" i="50"/>
  <c r="D158" i="47"/>
  <c r="K127" i="48"/>
  <c r="C83" i="43"/>
  <c r="L115" i="40"/>
  <c r="L115" i="47"/>
  <c r="I94" i="49"/>
  <c r="B198" i="12"/>
  <c r="J173" i="12"/>
  <c r="C18" i="12"/>
  <c r="L116" i="40"/>
  <c r="L118" i="47"/>
  <c r="D118" i="47"/>
  <c r="J130" i="48"/>
  <c r="D51" i="12"/>
  <c r="C54" i="12"/>
  <c r="J85" i="12"/>
  <c r="J162" i="48" s="1"/>
  <c r="J10" i="12"/>
  <c r="E118" i="47"/>
  <c r="J132" i="48"/>
  <c r="N120" i="40"/>
  <c r="D55" i="12"/>
  <c r="D119" i="47"/>
  <c r="J225" i="12"/>
  <c r="J115" i="41" s="1"/>
  <c r="K194" i="12"/>
  <c r="K95" i="42" s="1"/>
  <c r="L152" i="41"/>
  <c r="K235" i="12"/>
  <c r="C158" i="48"/>
  <c r="J118" i="49"/>
  <c r="K54" i="12"/>
  <c r="K142" i="48" s="1"/>
  <c r="M22" i="12"/>
  <c r="M126" i="12"/>
  <c r="E104" i="50"/>
  <c r="F116" i="12"/>
  <c r="F127" i="41" s="1"/>
  <c r="M202" i="12"/>
  <c r="D147" i="48"/>
  <c r="J162" i="41"/>
  <c r="M114" i="47"/>
  <c r="C173" i="12"/>
  <c r="J87" i="12"/>
  <c r="J141" i="12"/>
  <c r="L149" i="41"/>
  <c r="F160" i="12"/>
  <c r="I203" i="12"/>
  <c r="I93" i="43" s="1"/>
  <c r="F72" i="12"/>
  <c r="I202" i="12"/>
  <c r="I92" i="50" s="1"/>
  <c r="M86" i="12"/>
  <c r="M163" i="48" s="1"/>
  <c r="F82" i="12"/>
  <c r="F159" i="41" s="1"/>
  <c r="K206" i="12"/>
  <c r="K96" i="50" s="1"/>
  <c r="D37" i="12"/>
  <c r="D136" i="40" s="1"/>
  <c r="F164" i="48"/>
  <c r="K117" i="47"/>
  <c r="R103" i="50"/>
  <c r="J231" i="12"/>
  <c r="J121" i="48" s="1"/>
  <c r="F118" i="12"/>
  <c r="F129" i="48" s="1"/>
  <c r="J96" i="43"/>
  <c r="C96" i="49"/>
  <c r="J237" i="12"/>
  <c r="J104" i="12"/>
  <c r="J239" i="12"/>
  <c r="I95" i="43"/>
  <c r="L154" i="41"/>
  <c r="K114" i="12"/>
  <c r="D117" i="12"/>
  <c r="D128" i="41" s="1"/>
  <c r="E139" i="48"/>
  <c r="F92" i="12"/>
  <c r="D172" i="12"/>
  <c r="D95" i="40" s="1"/>
  <c r="M110" i="12"/>
  <c r="G118" i="47"/>
  <c r="K116" i="47"/>
  <c r="L99" i="42"/>
  <c r="M147" i="40"/>
  <c r="M154" i="40"/>
  <c r="F172" i="12"/>
  <c r="L151" i="48"/>
  <c r="K94" i="50"/>
  <c r="D117" i="50"/>
  <c r="K103" i="40"/>
  <c r="C114" i="50"/>
  <c r="M116" i="42"/>
  <c r="J154" i="40"/>
  <c r="J149" i="41"/>
  <c r="F219" i="12"/>
  <c r="I238" i="12"/>
  <c r="I106" i="47" s="1"/>
  <c r="J235" i="12"/>
  <c r="M114" i="42"/>
  <c r="M120" i="42"/>
  <c r="D27" i="12"/>
  <c r="J131" i="48"/>
  <c r="M10" i="12"/>
  <c r="I94" i="43"/>
  <c r="F49" i="12"/>
  <c r="J204" i="12"/>
  <c r="G115" i="40"/>
  <c r="J224" i="12"/>
  <c r="N121" i="47"/>
  <c r="L96" i="49"/>
  <c r="F169" i="12"/>
  <c r="F77" i="12"/>
  <c r="F165" i="40" s="1"/>
  <c r="N120" i="47"/>
  <c r="K117" i="49"/>
  <c r="K117" i="50"/>
  <c r="F117" i="43"/>
  <c r="F159" i="48"/>
  <c r="K154" i="48"/>
  <c r="J84" i="42"/>
  <c r="C164" i="48"/>
  <c r="J107" i="40"/>
  <c r="D115" i="47"/>
  <c r="C127" i="41"/>
  <c r="F121" i="47"/>
  <c r="F114" i="47"/>
  <c r="K147" i="47"/>
  <c r="J118" i="50"/>
  <c r="C132" i="48"/>
  <c r="I104" i="40"/>
  <c r="C118" i="43"/>
  <c r="K114" i="43"/>
  <c r="D97" i="47"/>
  <c r="J131" i="41"/>
  <c r="B120" i="47"/>
  <c r="B120" i="40"/>
  <c r="J128" i="48"/>
  <c r="C136" i="47"/>
  <c r="C84" i="49"/>
  <c r="J150" i="47"/>
  <c r="J125" i="48"/>
  <c r="B96" i="49"/>
  <c r="B96" i="42"/>
  <c r="J165" i="48"/>
  <c r="M161" i="48"/>
  <c r="M161" i="41"/>
  <c r="C88" i="50"/>
  <c r="C88" i="43"/>
  <c r="I96" i="50"/>
  <c r="I96" i="43"/>
  <c r="C140" i="41"/>
  <c r="C163" i="41"/>
  <c r="D83" i="50"/>
  <c r="D83" i="43"/>
  <c r="I114" i="48"/>
  <c r="C160" i="40"/>
  <c r="C95" i="42"/>
  <c r="C95" i="49"/>
  <c r="C107" i="50"/>
  <c r="C107" i="43"/>
  <c r="C94" i="40"/>
  <c r="J149" i="47"/>
  <c r="F136" i="41"/>
  <c r="J142" i="48"/>
  <c r="C131" i="41"/>
  <c r="J116" i="49"/>
  <c r="D121" i="50"/>
  <c r="D121" i="43"/>
  <c r="C97" i="42"/>
  <c r="C97" i="49"/>
  <c r="J92" i="47"/>
  <c r="C138" i="48"/>
  <c r="C138" i="41"/>
  <c r="C159" i="40"/>
  <c r="C159" i="47"/>
  <c r="C141" i="41"/>
  <c r="C141" i="48"/>
  <c r="C143" i="47"/>
  <c r="C143" i="40"/>
  <c r="J116" i="50"/>
  <c r="J116" i="43"/>
  <c r="F119" i="50"/>
  <c r="F119" i="43"/>
  <c r="I121" i="41"/>
  <c r="I121" i="48"/>
  <c r="M99" i="43"/>
  <c r="M97" i="49"/>
  <c r="M97" i="42"/>
  <c r="J139" i="48"/>
  <c r="C84" i="50"/>
  <c r="C84" i="43"/>
  <c r="J163" i="48"/>
  <c r="J110" i="47"/>
  <c r="J158" i="48"/>
  <c r="J88" i="49"/>
  <c r="M93" i="50"/>
  <c r="K119" i="50"/>
  <c r="K119" i="43"/>
  <c r="D162" i="41"/>
  <c r="J95" i="50"/>
  <c r="J95" i="43"/>
  <c r="D136" i="41"/>
  <c r="D136" i="48"/>
  <c r="D117" i="47"/>
  <c r="D117" i="40"/>
  <c r="C161" i="40"/>
  <c r="C161" i="47"/>
  <c r="C159" i="41"/>
  <c r="C159" i="48"/>
  <c r="J160" i="41"/>
  <c r="J160" i="48"/>
  <c r="D93" i="42"/>
  <c r="F160" i="41"/>
  <c r="F160" i="48"/>
  <c r="B99" i="49"/>
  <c r="B99" i="42"/>
  <c r="J96" i="47"/>
  <c r="J96" i="40"/>
  <c r="C150" i="41"/>
  <c r="C150" i="48"/>
  <c r="D139" i="48"/>
  <c r="D139" i="41"/>
  <c r="C142" i="41"/>
  <c r="C142" i="48"/>
  <c r="J153" i="47"/>
  <c r="J153" i="40"/>
  <c r="D143" i="41"/>
  <c r="D143" i="48"/>
  <c r="M154" i="41"/>
  <c r="M154" i="48"/>
  <c r="M115" i="50"/>
  <c r="M115" i="43"/>
  <c r="C96" i="47"/>
  <c r="C96" i="40"/>
  <c r="J164" i="48"/>
  <c r="J86" i="49"/>
  <c r="J86" i="42"/>
  <c r="F160" i="40"/>
  <c r="J105" i="47"/>
  <c r="J105" i="40"/>
  <c r="J115" i="49"/>
  <c r="J115" i="42"/>
  <c r="F103" i="49"/>
  <c r="F120" i="47"/>
  <c r="J103" i="47"/>
  <c r="J103" i="40"/>
  <c r="D104" i="43"/>
  <c r="D104" i="50"/>
  <c r="M153" i="47"/>
  <c r="M153" i="40"/>
  <c r="F137" i="41"/>
  <c r="F137" i="48"/>
  <c r="J94" i="43"/>
  <c r="J114" i="41"/>
  <c r="J114" i="48"/>
  <c r="E18" i="12" l="1"/>
  <c r="L173" i="12"/>
  <c r="E302" i="40"/>
  <c r="L169" i="12"/>
  <c r="E196" i="12"/>
  <c r="D279" i="49"/>
  <c r="E30" i="12"/>
  <c r="E194" i="12"/>
  <c r="E72" i="12"/>
  <c r="E306" i="40"/>
  <c r="E191" i="12"/>
  <c r="R191" i="12"/>
  <c r="S191" i="12"/>
  <c r="L114" i="12"/>
  <c r="E139" i="12"/>
  <c r="R37" i="12"/>
  <c r="S37" i="12"/>
  <c r="E37" i="12"/>
  <c r="L117" i="12"/>
  <c r="Q216" i="12"/>
  <c r="N216" i="12"/>
  <c r="E198" i="12"/>
  <c r="U115" i="40"/>
  <c r="D302" i="40"/>
  <c r="V302" i="40" s="1"/>
  <c r="L120" i="12"/>
  <c r="L121" i="12"/>
  <c r="E308" i="40"/>
  <c r="H481" i="6"/>
  <c r="G481" i="6"/>
  <c r="F130" i="6"/>
  <c r="H130" i="6"/>
  <c r="G130" i="6"/>
  <c r="K125" i="6"/>
  <c r="K123" i="6"/>
  <c r="E64" i="6"/>
  <c r="K509" i="6"/>
  <c r="K508" i="6"/>
  <c r="K513" i="6"/>
  <c r="T162" i="6"/>
  <c r="T511" i="6"/>
  <c r="F226" i="6"/>
  <c r="F222" i="6"/>
  <c r="G347" i="6"/>
  <c r="F62" i="6"/>
  <c r="F414" i="6"/>
  <c r="P161" i="6"/>
  <c r="H220" i="6"/>
  <c r="H512" i="6"/>
  <c r="F257" i="6"/>
  <c r="G382" i="6"/>
  <c r="AQ41" i="14"/>
  <c r="AP41" i="14" s="1"/>
  <c r="D59" i="14" s="1"/>
  <c r="E418" i="6"/>
  <c r="E129" i="6"/>
  <c r="F129" i="6" s="1"/>
  <c r="E284" i="6"/>
  <c r="E128" i="6"/>
  <c r="E125" i="6"/>
  <c r="E290" i="6"/>
  <c r="E289" i="6"/>
  <c r="E479" i="6"/>
  <c r="E65" i="6"/>
  <c r="E61" i="6"/>
  <c r="E60" i="6"/>
  <c r="E96" i="6"/>
  <c r="E66" i="6"/>
  <c r="E63" i="6"/>
  <c r="E98" i="6"/>
  <c r="G283" i="6"/>
  <c r="L159" i="6"/>
  <c r="BK88" i="14"/>
  <c r="H62" i="6"/>
  <c r="F62" i="14"/>
  <c r="H482" i="6"/>
  <c r="H350" i="6"/>
  <c r="G352" i="6"/>
  <c r="E385" i="6"/>
  <c r="E412" i="6"/>
  <c r="E415" i="6"/>
  <c r="E285" i="6"/>
  <c r="E416" i="6"/>
  <c r="E288" i="6"/>
  <c r="E225" i="6"/>
  <c r="K129" i="6"/>
  <c r="K124" i="6"/>
  <c r="K127" i="6"/>
  <c r="K510" i="6"/>
  <c r="E97" i="6"/>
  <c r="K94" i="6"/>
  <c r="K91" i="6"/>
  <c r="K97" i="6"/>
  <c r="K98" i="6"/>
  <c r="K92" i="6"/>
  <c r="K95" i="6"/>
  <c r="K96" i="6"/>
  <c r="K93" i="6"/>
  <c r="K512" i="6"/>
  <c r="E94" i="6"/>
  <c r="L511" i="6"/>
  <c r="F95" i="6"/>
  <c r="H127" i="6"/>
  <c r="G62" i="6"/>
  <c r="H62" i="14"/>
  <c r="F221" i="6"/>
  <c r="T383" i="6"/>
  <c r="E380" i="6"/>
  <c r="E287" i="6"/>
  <c r="E411" i="6"/>
  <c r="E417" i="6"/>
  <c r="E223" i="6"/>
  <c r="K130" i="6"/>
  <c r="K128" i="6"/>
  <c r="K126" i="6"/>
  <c r="K514" i="6"/>
  <c r="E81" i="12"/>
  <c r="S81" i="12"/>
  <c r="R81" i="12"/>
  <c r="S92" i="12"/>
  <c r="R92" i="12"/>
  <c r="E92" i="12"/>
  <c r="E301" i="40"/>
  <c r="E160" i="12"/>
  <c r="E305" i="40"/>
  <c r="E304" i="40"/>
  <c r="L138" i="12"/>
  <c r="E303" i="40"/>
  <c r="E307" i="40"/>
  <c r="F251" i="6"/>
  <c r="H251" i="6"/>
  <c r="G251" i="6"/>
  <c r="K290" i="6"/>
  <c r="K286" i="6"/>
  <c r="K284" i="6"/>
  <c r="K287" i="6"/>
  <c r="K289" i="6"/>
  <c r="K285" i="6"/>
  <c r="K283" i="6"/>
  <c r="K288" i="6"/>
  <c r="K448" i="6"/>
  <c r="K447" i="6"/>
  <c r="K450" i="6"/>
  <c r="K446" i="6"/>
  <c r="K444" i="6"/>
  <c r="K449" i="6"/>
  <c r="K443" i="6"/>
  <c r="K445" i="6"/>
  <c r="E34" i="6"/>
  <c r="E33" i="6"/>
  <c r="E29" i="6"/>
  <c r="E28" i="6"/>
  <c r="E31" i="6"/>
  <c r="E32" i="6"/>
  <c r="E30" i="6"/>
  <c r="E27" i="6"/>
  <c r="E189" i="6"/>
  <c r="E192" i="6"/>
  <c r="E193" i="6"/>
  <c r="E194" i="6"/>
  <c r="E191" i="6"/>
  <c r="E188" i="6"/>
  <c r="E190" i="6"/>
  <c r="E187" i="6"/>
  <c r="K194" i="6"/>
  <c r="K187" i="6"/>
  <c r="K191" i="6"/>
  <c r="K192" i="6"/>
  <c r="K193" i="6"/>
  <c r="K189" i="6"/>
  <c r="K190" i="6"/>
  <c r="K188" i="6"/>
  <c r="K221" i="6"/>
  <c r="K226" i="6"/>
  <c r="K219" i="6"/>
  <c r="K220" i="6"/>
  <c r="K225" i="6"/>
  <c r="K223" i="6"/>
  <c r="K224" i="6"/>
  <c r="K222" i="6"/>
  <c r="K156" i="6"/>
  <c r="K155" i="6"/>
  <c r="K157" i="6"/>
  <c r="K476" i="6"/>
  <c r="K480" i="6"/>
  <c r="K477" i="6"/>
  <c r="K482" i="6"/>
  <c r="K479" i="6"/>
  <c r="K478" i="6"/>
  <c r="K475" i="6"/>
  <c r="K481" i="6"/>
  <c r="E448" i="6"/>
  <c r="E447" i="6"/>
  <c r="E443" i="6"/>
  <c r="E446" i="6"/>
  <c r="E449" i="6"/>
  <c r="E450" i="6"/>
  <c r="E445" i="6"/>
  <c r="E444" i="6"/>
  <c r="E315" i="6"/>
  <c r="E316" i="6"/>
  <c r="E318" i="6"/>
  <c r="E319" i="6"/>
  <c r="E317" i="6"/>
  <c r="E322" i="6"/>
  <c r="E321" i="6"/>
  <c r="E320" i="6"/>
  <c r="K411" i="6"/>
  <c r="E475" i="6"/>
  <c r="E480" i="6"/>
  <c r="E476" i="6"/>
  <c r="K160" i="6"/>
  <c r="U116" i="40"/>
  <c r="D303" i="40"/>
  <c r="P126" i="6"/>
  <c r="T126" i="6"/>
  <c r="L126" i="6"/>
  <c r="T116" i="40"/>
  <c r="V116" i="40"/>
  <c r="W116" i="40"/>
  <c r="E50" i="12"/>
  <c r="L51" i="12"/>
  <c r="G211" i="12"/>
  <c r="G213" i="12"/>
  <c r="F211" i="12"/>
  <c r="P220" i="12"/>
  <c r="G220" i="12"/>
  <c r="S48" i="12"/>
  <c r="E48" i="12"/>
  <c r="R48" i="12"/>
  <c r="G51" i="12"/>
  <c r="L55" i="12"/>
  <c r="L54" i="12"/>
  <c r="L52" i="12"/>
  <c r="BN88" i="14"/>
  <c r="BM88" i="14"/>
  <c r="T252" i="6"/>
  <c r="F481" i="6"/>
  <c r="E161" i="12"/>
  <c r="E171" i="12"/>
  <c r="E118" i="12"/>
  <c r="E164" i="12"/>
  <c r="E165" i="12"/>
  <c r="N103" i="12"/>
  <c r="E116" i="12"/>
  <c r="G219" i="12"/>
  <c r="P219" i="12"/>
  <c r="N189" i="14"/>
  <c r="T190" i="14"/>
  <c r="P256" i="6"/>
  <c r="BR24" i="14"/>
  <c r="F507" i="6"/>
  <c r="H124" i="6"/>
  <c r="H353" i="6"/>
  <c r="P384" i="6"/>
  <c r="P319" i="6"/>
  <c r="T98" i="14"/>
  <c r="H354" i="6"/>
  <c r="F353" i="6"/>
  <c r="BJ184" i="14"/>
  <c r="BR88" i="14"/>
  <c r="F413" i="6"/>
  <c r="F286" i="6"/>
  <c r="E175" i="12"/>
  <c r="E71" i="12"/>
  <c r="E52" i="12"/>
  <c r="L237" i="12"/>
  <c r="Z188" i="14"/>
  <c r="L320" i="6"/>
  <c r="L322" i="6"/>
  <c r="H514" i="6"/>
  <c r="F127" i="6"/>
  <c r="F252" i="6"/>
  <c r="F418" i="6"/>
  <c r="T255" i="6"/>
  <c r="L252" i="6"/>
  <c r="H224" i="6"/>
  <c r="G256" i="6"/>
  <c r="G257" i="6"/>
  <c r="T188" i="14"/>
  <c r="H284" i="6"/>
  <c r="F514" i="6"/>
  <c r="F224" i="6"/>
  <c r="F256" i="6"/>
  <c r="G125" i="6"/>
  <c r="G126" i="6"/>
  <c r="N191" i="14"/>
  <c r="P321" i="6"/>
  <c r="P258" i="6"/>
  <c r="P34" i="6"/>
  <c r="F128" i="6"/>
  <c r="Z94" i="14"/>
  <c r="H415" i="6"/>
  <c r="N92" i="14"/>
  <c r="N96" i="14"/>
  <c r="T191" i="14"/>
  <c r="L316" i="6"/>
  <c r="T258" i="6"/>
  <c r="H289" i="6"/>
  <c r="G290" i="6"/>
  <c r="G128" i="6"/>
  <c r="L253" i="6"/>
  <c r="L383" i="6"/>
  <c r="G285" i="6"/>
  <c r="T316" i="6"/>
  <c r="L321" i="6"/>
  <c r="L34" i="6"/>
  <c r="F126" i="6"/>
  <c r="L380" i="6"/>
  <c r="Z187" i="14"/>
  <c r="BN24" i="14"/>
  <c r="BC184" i="14"/>
  <c r="BE184" i="14"/>
  <c r="E176" i="12"/>
  <c r="E77" i="12"/>
  <c r="E54" i="12"/>
  <c r="E121" i="12"/>
  <c r="E75" i="12"/>
  <c r="E174" i="12"/>
  <c r="E114" i="12"/>
  <c r="R114" i="12"/>
  <c r="S114" i="12"/>
  <c r="E73" i="12"/>
  <c r="E55" i="12"/>
  <c r="E119" i="12"/>
  <c r="E53" i="12"/>
  <c r="E172" i="12"/>
  <c r="E173" i="12"/>
  <c r="E117" i="12"/>
  <c r="L238" i="12"/>
  <c r="S169" i="12"/>
  <c r="E169" i="12"/>
  <c r="R169" i="12"/>
  <c r="E120" i="12"/>
  <c r="L130" i="12"/>
  <c r="L208" i="12"/>
  <c r="T93" i="14"/>
  <c r="T319" i="6"/>
  <c r="P29" i="6"/>
  <c r="N98" i="14"/>
  <c r="T193" i="14"/>
  <c r="P317" i="6"/>
  <c r="H413" i="6"/>
  <c r="F417" i="6"/>
  <c r="H286" i="6"/>
  <c r="T32" i="6"/>
  <c r="H254" i="6"/>
  <c r="N91" i="14"/>
  <c r="Z93" i="14"/>
  <c r="L256" i="6"/>
  <c r="L29" i="6"/>
  <c r="G124" i="6"/>
  <c r="N193" i="14"/>
  <c r="F254" i="6"/>
  <c r="BO88" i="14"/>
  <c r="P380" i="6"/>
  <c r="G385" i="6"/>
  <c r="G384" i="6"/>
  <c r="E41" i="12"/>
  <c r="L82" i="12"/>
  <c r="L207" i="12"/>
  <c r="L7" i="12"/>
  <c r="L209" i="12"/>
  <c r="H385" i="6"/>
  <c r="P381" i="6"/>
  <c r="L381" i="6"/>
  <c r="L104" i="12"/>
  <c r="E88" i="12"/>
  <c r="F384" i="6"/>
  <c r="L203" i="12"/>
  <c r="L105" i="12"/>
  <c r="L9" i="12"/>
  <c r="L85" i="12"/>
  <c r="E82" i="12"/>
  <c r="L385" i="6"/>
  <c r="D28" i="14"/>
  <c r="BK24" i="14"/>
  <c r="BQ88" i="14"/>
  <c r="BH184" i="14"/>
  <c r="F383" i="6"/>
  <c r="P382" i="6"/>
  <c r="L129" i="12"/>
  <c r="L202" i="12"/>
  <c r="D93" i="14"/>
  <c r="T382" i="6"/>
  <c r="P386" i="6"/>
  <c r="H383" i="6"/>
  <c r="L386" i="6"/>
  <c r="G386" i="6"/>
  <c r="L107" i="12"/>
  <c r="E86" i="12"/>
  <c r="H386" i="6"/>
  <c r="P385" i="6"/>
  <c r="E40" i="12"/>
  <c r="L235" i="12"/>
  <c r="L109" i="12"/>
  <c r="L88" i="12"/>
  <c r="L11" i="12"/>
  <c r="L83" i="12"/>
  <c r="L239" i="12"/>
  <c r="L242" i="12"/>
  <c r="L87" i="12"/>
  <c r="E85" i="12"/>
  <c r="L106" i="12"/>
  <c r="L10" i="12"/>
  <c r="L5" i="12"/>
  <c r="E44" i="12"/>
  <c r="E138" i="12"/>
  <c r="E95" i="12"/>
  <c r="E38" i="12"/>
  <c r="L241" i="12"/>
  <c r="L86" i="12"/>
  <c r="L6" i="12"/>
  <c r="E84" i="12"/>
  <c r="L110" i="12"/>
  <c r="L236" i="12"/>
  <c r="L108" i="12"/>
  <c r="E87" i="12"/>
  <c r="L132" i="12"/>
  <c r="L128" i="12"/>
  <c r="W115" i="40"/>
  <c r="L126" i="12"/>
  <c r="L127" i="12"/>
  <c r="L131" i="12"/>
  <c r="N84" i="12"/>
  <c r="W114" i="40"/>
  <c r="L81" i="12"/>
  <c r="E348" i="48"/>
  <c r="P417" i="6"/>
  <c r="L251" i="6"/>
  <c r="P251" i="6"/>
  <c r="T251" i="6"/>
  <c r="G380" i="6"/>
  <c r="T417" i="6"/>
  <c r="L412" i="6"/>
  <c r="F380" i="6"/>
  <c r="E129" i="12"/>
  <c r="P412" i="6"/>
  <c r="AQ44" i="14"/>
  <c r="AP44" i="14" s="1"/>
  <c r="D60" i="14" s="1"/>
  <c r="L143" i="12"/>
  <c r="L141" i="12"/>
  <c r="L140" i="12"/>
  <c r="L137" i="12"/>
  <c r="E130" i="12"/>
  <c r="L139" i="12"/>
  <c r="L142" i="12"/>
  <c r="T418" i="6"/>
  <c r="P418" i="6"/>
  <c r="L418" i="6"/>
  <c r="T416" i="6"/>
  <c r="L416" i="6"/>
  <c r="P416" i="6"/>
  <c r="P415" i="6"/>
  <c r="T415" i="6"/>
  <c r="L415" i="6"/>
  <c r="P414" i="6"/>
  <c r="L414" i="6"/>
  <c r="T414" i="6"/>
  <c r="E132" i="12"/>
  <c r="D270" i="49"/>
  <c r="D274" i="49"/>
  <c r="U87" i="49"/>
  <c r="N137" i="12"/>
  <c r="N138" i="12"/>
  <c r="E128" i="12"/>
  <c r="E301" i="49"/>
  <c r="BG184" i="14"/>
  <c r="BC24" i="14"/>
  <c r="D92" i="14"/>
  <c r="E127" i="12"/>
  <c r="D308" i="40"/>
  <c r="V308" i="40" s="1"/>
  <c r="U121" i="40"/>
  <c r="U118" i="40"/>
  <c r="D305" i="40"/>
  <c r="V305" i="40" s="1"/>
  <c r="T120" i="40"/>
  <c r="W120" i="40"/>
  <c r="V120" i="40"/>
  <c r="R125" i="12"/>
  <c r="E125" i="12"/>
  <c r="S125" i="12"/>
  <c r="U114" i="40"/>
  <c r="D301" i="40"/>
  <c r="V301" i="40" s="1"/>
  <c r="W121" i="40"/>
  <c r="V121" i="40"/>
  <c r="T121" i="40"/>
  <c r="F381" i="6"/>
  <c r="H381" i="6"/>
  <c r="G381" i="6"/>
  <c r="H379" i="6"/>
  <c r="F379" i="6"/>
  <c r="G379" i="6"/>
  <c r="D301" i="50"/>
  <c r="U119" i="50"/>
  <c r="D306" i="50"/>
  <c r="U117" i="50"/>
  <c r="D304" i="50"/>
  <c r="N125" i="12"/>
  <c r="N130" i="12"/>
  <c r="Q130" i="12"/>
  <c r="N132" i="12"/>
  <c r="Q132" i="12"/>
  <c r="N131" i="12"/>
  <c r="Q131" i="12"/>
  <c r="E301" i="50"/>
  <c r="N126" i="12"/>
  <c r="N127" i="12"/>
  <c r="Q127" i="12"/>
  <c r="W121" i="50"/>
  <c r="V121" i="50"/>
  <c r="T121" i="50"/>
  <c r="W117" i="50"/>
  <c r="T117" i="50"/>
  <c r="V117" i="50"/>
  <c r="N83" i="12"/>
  <c r="L205" i="12"/>
  <c r="N15" i="12"/>
  <c r="G130" i="12"/>
  <c r="P130" i="12"/>
  <c r="G128" i="12"/>
  <c r="P128" i="12"/>
  <c r="L204" i="12"/>
  <c r="L206" i="12"/>
  <c r="E334" i="48"/>
  <c r="N94" i="14"/>
  <c r="BO24" i="14"/>
  <c r="BD184" i="14"/>
  <c r="BI184" i="14"/>
  <c r="BF184" i="14"/>
  <c r="D156" i="14"/>
  <c r="BE24" i="14"/>
  <c r="BJ24" i="14"/>
  <c r="BP88" i="14"/>
  <c r="D91" i="14"/>
  <c r="W139" i="48"/>
  <c r="BL24" i="14"/>
  <c r="BM24" i="14"/>
  <c r="D290" i="40"/>
  <c r="U118" i="49"/>
  <c r="D305" i="49"/>
  <c r="D339" i="48"/>
  <c r="U152" i="48"/>
  <c r="U99" i="49"/>
  <c r="D286" i="49"/>
  <c r="T143" i="48"/>
  <c r="V143" i="48"/>
  <c r="W143" i="48"/>
  <c r="W158" i="40"/>
  <c r="U151" i="40"/>
  <c r="D338" i="40"/>
  <c r="W160" i="48"/>
  <c r="W126" i="48"/>
  <c r="W147" i="48"/>
  <c r="D303" i="48"/>
  <c r="U116" i="48"/>
  <c r="D303" i="49"/>
  <c r="U117" i="49"/>
  <c r="D304" i="49"/>
  <c r="D352" i="48"/>
  <c r="U165" i="48"/>
  <c r="D329" i="48"/>
  <c r="U142" i="48"/>
  <c r="D279" i="40"/>
  <c r="W93" i="40"/>
  <c r="D281" i="50"/>
  <c r="D283" i="50"/>
  <c r="U96" i="50"/>
  <c r="W97" i="49"/>
  <c r="T97" i="49"/>
  <c r="V97" i="49"/>
  <c r="W137" i="48"/>
  <c r="W165" i="48"/>
  <c r="V165" i="48"/>
  <c r="T165" i="48"/>
  <c r="D281" i="49"/>
  <c r="U94" i="49"/>
  <c r="D313" i="48"/>
  <c r="D341" i="48"/>
  <c r="U154" i="48"/>
  <c r="D280" i="49"/>
  <c r="W97" i="40"/>
  <c r="V97" i="40"/>
  <c r="T97" i="40"/>
  <c r="W104" i="50"/>
  <c r="D314" i="48"/>
  <c r="N202" i="12"/>
  <c r="N237" i="12"/>
  <c r="Q237" i="12"/>
  <c r="L227" i="12"/>
  <c r="L224" i="12"/>
  <c r="L230" i="12"/>
  <c r="N16" i="12"/>
  <c r="N17" i="12"/>
  <c r="N52" i="12"/>
  <c r="Q52" i="12"/>
  <c r="G196" i="12"/>
  <c r="P196" i="12"/>
  <c r="G54" i="12"/>
  <c r="P54" i="12"/>
  <c r="G55" i="12"/>
  <c r="P55" i="12"/>
  <c r="G77" i="12"/>
  <c r="P77" i="12"/>
  <c r="G73" i="12"/>
  <c r="G173" i="12"/>
  <c r="P173" i="12"/>
  <c r="N5" i="12"/>
  <c r="G161" i="12"/>
  <c r="G88" i="12"/>
  <c r="P88" i="12"/>
  <c r="G115" i="12"/>
  <c r="G112" i="12"/>
  <c r="G114" i="12"/>
  <c r="F112" i="12"/>
  <c r="N193" i="12"/>
  <c r="Q193" i="12"/>
  <c r="N197" i="12"/>
  <c r="Q197" i="12"/>
  <c r="N120" i="12"/>
  <c r="Q120" i="12"/>
  <c r="N119" i="12"/>
  <c r="Q119" i="12"/>
  <c r="N203" i="12"/>
  <c r="N208" i="12"/>
  <c r="Q208" i="12"/>
  <c r="N240" i="12"/>
  <c r="Q240" i="12"/>
  <c r="N242" i="12"/>
  <c r="Q242" i="12"/>
  <c r="F13" i="12"/>
  <c r="G13" i="12"/>
  <c r="G15" i="12"/>
  <c r="L229" i="12"/>
  <c r="L231" i="12"/>
  <c r="N226" i="12"/>
  <c r="Q226" i="12"/>
  <c r="N109" i="12"/>
  <c r="Q109" i="12"/>
  <c r="N106" i="12"/>
  <c r="Q106" i="12"/>
  <c r="N19" i="12"/>
  <c r="Q19" i="12"/>
  <c r="N192" i="12"/>
  <c r="F189" i="12"/>
  <c r="G191" i="12"/>
  <c r="G189" i="12"/>
  <c r="G50" i="12"/>
  <c r="G53" i="12"/>
  <c r="P53" i="12"/>
  <c r="G172" i="12"/>
  <c r="G160" i="12"/>
  <c r="G24" i="12"/>
  <c r="G26" i="12"/>
  <c r="F24" i="12"/>
  <c r="G27" i="12"/>
  <c r="G40" i="12"/>
  <c r="G86" i="12"/>
  <c r="P86" i="12"/>
  <c r="G119" i="12"/>
  <c r="P119" i="12"/>
  <c r="N194" i="12"/>
  <c r="Q194" i="12"/>
  <c r="N114" i="12"/>
  <c r="N116" i="12"/>
  <c r="E286" i="49"/>
  <c r="U119" i="40"/>
  <c r="D306" i="40"/>
  <c r="E334" i="40"/>
  <c r="E281" i="49"/>
  <c r="E316" i="48"/>
  <c r="E317" i="48"/>
  <c r="E313" i="48"/>
  <c r="Z118" i="40"/>
  <c r="E340" i="48"/>
  <c r="E341" i="48"/>
  <c r="E338" i="48"/>
  <c r="Z119" i="40"/>
  <c r="D301" i="49"/>
  <c r="E284" i="49"/>
  <c r="Z115" i="40"/>
  <c r="N206" i="12"/>
  <c r="Q206" i="12"/>
  <c r="N238" i="12"/>
  <c r="Q238" i="12"/>
  <c r="L228" i="12"/>
  <c r="N108" i="12"/>
  <c r="Q108" i="12"/>
  <c r="N110" i="12"/>
  <c r="Q110" i="12"/>
  <c r="N87" i="12"/>
  <c r="Q87" i="12"/>
  <c r="N86" i="12"/>
  <c r="Q86" i="12"/>
  <c r="F90" i="12"/>
  <c r="G92" i="12"/>
  <c r="G90" i="12"/>
  <c r="N18" i="12"/>
  <c r="Q18" i="12"/>
  <c r="N20" i="12"/>
  <c r="Q20" i="12"/>
  <c r="N51" i="12"/>
  <c r="N195" i="12"/>
  <c r="Q195" i="12"/>
  <c r="N198" i="12"/>
  <c r="Q198" i="12"/>
  <c r="G197" i="12"/>
  <c r="P197" i="12"/>
  <c r="G49" i="12"/>
  <c r="F68" i="12"/>
  <c r="G70" i="12"/>
  <c r="G68" i="12"/>
  <c r="G171" i="12"/>
  <c r="G167" i="12"/>
  <c r="F167" i="12"/>
  <c r="G169" i="12"/>
  <c r="N4" i="12"/>
  <c r="N8" i="12"/>
  <c r="Q8" i="12"/>
  <c r="N6" i="12"/>
  <c r="Q6" i="12"/>
  <c r="G30" i="12"/>
  <c r="G28" i="12"/>
  <c r="G35" i="12"/>
  <c r="G37" i="12"/>
  <c r="F35" i="12"/>
  <c r="G82" i="12"/>
  <c r="G83" i="12"/>
  <c r="G118" i="12"/>
  <c r="G116" i="12"/>
  <c r="N118" i="12"/>
  <c r="Q118" i="12"/>
  <c r="N115" i="12"/>
  <c r="N207" i="12"/>
  <c r="Q207" i="12"/>
  <c r="N209" i="12"/>
  <c r="Q209" i="12"/>
  <c r="N241" i="12"/>
  <c r="Q241" i="12"/>
  <c r="N239" i="12"/>
  <c r="Q239" i="12"/>
  <c r="L225" i="12"/>
  <c r="N105" i="12"/>
  <c r="G139" i="12"/>
  <c r="N21" i="12"/>
  <c r="Q21" i="12"/>
  <c r="N22" i="12"/>
  <c r="Q22" i="12"/>
  <c r="N54" i="12"/>
  <c r="Q54" i="12"/>
  <c r="G195" i="12"/>
  <c r="P195" i="12"/>
  <c r="G192" i="12"/>
  <c r="G198" i="12"/>
  <c r="P198" i="12"/>
  <c r="G193" i="12"/>
  <c r="N169" i="12"/>
  <c r="G52" i="12"/>
  <c r="G48" i="12"/>
  <c r="G46" i="12"/>
  <c r="F46" i="12"/>
  <c r="G72" i="12"/>
  <c r="G170" i="12"/>
  <c r="G175" i="12"/>
  <c r="P175" i="12"/>
  <c r="N11" i="12"/>
  <c r="Q11" i="12"/>
  <c r="N10" i="12"/>
  <c r="Q10" i="12"/>
  <c r="N7" i="12"/>
  <c r="Q7" i="12"/>
  <c r="G87" i="12"/>
  <c r="P87" i="12"/>
  <c r="G85" i="12"/>
  <c r="N196" i="12"/>
  <c r="Q196" i="12"/>
  <c r="N121" i="12"/>
  <c r="Q121" i="12"/>
  <c r="N117" i="12"/>
  <c r="E337" i="48"/>
  <c r="E339" i="48"/>
  <c r="E335" i="48"/>
  <c r="E336" i="48"/>
  <c r="E283" i="49"/>
  <c r="Z117" i="40"/>
  <c r="W117" i="40"/>
  <c r="V117" i="40"/>
  <c r="T117" i="40"/>
  <c r="E338" i="40"/>
  <c r="E285" i="49"/>
  <c r="Z116" i="40"/>
  <c r="E295" i="40"/>
  <c r="E303" i="48"/>
  <c r="E280" i="49"/>
  <c r="E282" i="49"/>
  <c r="E314" i="48"/>
  <c r="T158" i="14"/>
  <c r="Z158" i="14"/>
  <c r="N158" i="14"/>
  <c r="T155" i="14"/>
  <c r="Z155" i="14"/>
  <c r="N155" i="14"/>
  <c r="Z161" i="14"/>
  <c r="N161" i="14"/>
  <c r="T161" i="14"/>
  <c r="BG24" i="14"/>
  <c r="BH24" i="14"/>
  <c r="BF24" i="14"/>
  <c r="BI24" i="14"/>
  <c r="Z160" i="14"/>
  <c r="T160" i="14"/>
  <c r="N160" i="14"/>
  <c r="Z162" i="14"/>
  <c r="N162" i="14"/>
  <c r="T162" i="14"/>
  <c r="BP24" i="14"/>
  <c r="BI88" i="14"/>
  <c r="BG88" i="14"/>
  <c r="BH88" i="14"/>
  <c r="BE88" i="14"/>
  <c r="V303" i="40"/>
  <c r="T303" i="40"/>
  <c r="T307" i="40"/>
  <c r="V307" i="40"/>
  <c r="T159" i="14"/>
  <c r="N159" i="14"/>
  <c r="Z159" i="14"/>
  <c r="J30" i="14"/>
  <c r="L34" i="14"/>
  <c r="L30" i="14"/>
  <c r="J32" i="14"/>
  <c r="L32" i="14"/>
  <c r="L29" i="14"/>
  <c r="L31" i="14"/>
  <c r="L27" i="14"/>
  <c r="J28" i="14"/>
  <c r="L28" i="14"/>
  <c r="L33" i="14"/>
  <c r="J33" i="14"/>
  <c r="J31" i="14"/>
  <c r="J29" i="14"/>
  <c r="J34" i="14"/>
  <c r="BD24" i="14"/>
  <c r="Z156" i="14"/>
  <c r="T156" i="14"/>
  <c r="N156" i="14"/>
  <c r="J27" i="14"/>
  <c r="BQ24" i="14"/>
  <c r="E189" i="14"/>
  <c r="E191" i="14"/>
  <c r="E194" i="14"/>
  <c r="E193" i="14"/>
  <c r="D190" i="14"/>
  <c r="E187" i="14"/>
  <c r="E188" i="14"/>
  <c r="D192" i="14"/>
  <c r="E190" i="14"/>
  <c r="D194" i="14"/>
  <c r="D191" i="14"/>
  <c r="E192" i="14"/>
  <c r="D193" i="14"/>
  <c r="D188" i="14"/>
  <c r="D187" i="14"/>
  <c r="D189" i="14"/>
  <c r="E155" i="14"/>
  <c r="E157" i="14"/>
  <c r="E161" i="14"/>
  <c r="E162" i="14"/>
  <c r="D160" i="14"/>
  <c r="E156" i="14"/>
  <c r="D161" i="14"/>
  <c r="E160" i="14"/>
  <c r="D159" i="14"/>
  <c r="D162" i="14"/>
  <c r="E159" i="14"/>
  <c r="E158" i="14"/>
  <c r="D157" i="14"/>
  <c r="D158" i="14"/>
  <c r="D155" i="14"/>
  <c r="BD88" i="14"/>
  <c r="BJ88" i="14"/>
  <c r="BC88" i="14"/>
  <c r="BF88" i="14"/>
  <c r="D31" i="14"/>
  <c r="D29" i="14"/>
  <c r="E28" i="14"/>
  <c r="E27" i="14"/>
  <c r="E33" i="14"/>
  <c r="D27" i="14"/>
  <c r="D33" i="14"/>
  <c r="D34" i="14"/>
  <c r="E30" i="14"/>
  <c r="E29" i="14"/>
  <c r="E34" i="14"/>
  <c r="E31" i="14"/>
  <c r="D32" i="14"/>
  <c r="E32" i="14"/>
  <c r="D30" i="14"/>
  <c r="D94" i="14"/>
  <c r="D95" i="14"/>
  <c r="D98" i="14"/>
  <c r="E93" i="14"/>
  <c r="D96" i="14"/>
  <c r="E91" i="14"/>
  <c r="E94" i="14"/>
  <c r="E95" i="14"/>
  <c r="E98" i="14"/>
  <c r="D97" i="14"/>
  <c r="E92" i="14"/>
  <c r="E97" i="14"/>
  <c r="E96" i="14"/>
  <c r="T301" i="40"/>
  <c r="C261" i="44"/>
  <c r="A260" i="44"/>
  <c r="C262" i="44"/>
  <c r="A261" i="44"/>
  <c r="A262" i="44"/>
  <c r="A264" i="44"/>
  <c r="C257" i="44"/>
  <c r="A256" i="44"/>
  <c r="C259" i="44"/>
  <c r="C258" i="44"/>
  <c r="C260" i="44"/>
  <c r="A259" i="44"/>
  <c r="A257" i="44"/>
  <c r="I247" i="44"/>
  <c r="D247" i="44"/>
  <c r="E247" i="44"/>
  <c r="E246" i="44"/>
  <c r="I246" i="44"/>
  <c r="D246" i="44"/>
  <c r="D251" i="44"/>
  <c r="I251" i="44"/>
  <c r="E251" i="44"/>
  <c r="E249" i="44"/>
  <c r="I249" i="44"/>
  <c r="D249" i="44"/>
  <c r="D248" i="44"/>
  <c r="I248" i="44"/>
  <c r="E248" i="44"/>
  <c r="I250" i="44"/>
  <c r="E250" i="44"/>
  <c r="D250" i="44"/>
  <c r="B255" i="44"/>
  <c r="A263" i="44" s="1"/>
  <c r="E255" i="44"/>
  <c r="H255" i="44"/>
  <c r="A269" i="44"/>
  <c r="J94" i="50"/>
  <c r="J107" i="47"/>
  <c r="L96" i="40"/>
  <c r="L96" i="47"/>
  <c r="D93" i="49"/>
  <c r="D162" i="48"/>
  <c r="J110" i="40"/>
  <c r="M99" i="50"/>
  <c r="K131" i="48"/>
  <c r="K97" i="42"/>
  <c r="F136" i="48"/>
  <c r="E107" i="43"/>
  <c r="E107" i="50"/>
  <c r="F126" i="48"/>
  <c r="M106" i="40"/>
  <c r="C95" i="47"/>
  <c r="I97" i="43"/>
  <c r="K117" i="43"/>
  <c r="E92" i="42"/>
  <c r="E92" i="49"/>
  <c r="L125" i="41"/>
  <c r="L125" i="48"/>
  <c r="M119" i="50"/>
  <c r="E84" i="42"/>
  <c r="E84" i="49"/>
  <c r="D159" i="40"/>
  <c r="D98" i="47"/>
  <c r="J121" i="49"/>
  <c r="M126" i="41"/>
  <c r="J152" i="40"/>
  <c r="F139" i="47"/>
  <c r="M117" i="47"/>
  <c r="E99" i="42"/>
  <c r="E99" i="49"/>
  <c r="L132" i="48"/>
  <c r="L132" i="41"/>
  <c r="D44" i="12"/>
  <c r="J37" i="12"/>
  <c r="J175" i="12"/>
  <c r="D73" i="12"/>
  <c r="C93" i="12"/>
  <c r="C98" i="12"/>
  <c r="C16" i="12"/>
  <c r="C33" i="12"/>
  <c r="F18" i="12"/>
  <c r="C94" i="12"/>
  <c r="J43" i="12"/>
  <c r="C32" i="12"/>
  <c r="J33" i="12"/>
  <c r="J28" i="12"/>
  <c r="D30" i="12"/>
  <c r="D107" i="43" s="1"/>
  <c r="D72" i="12"/>
  <c r="C136" i="12"/>
  <c r="J42" i="12"/>
  <c r="G67" i="34"/>
  <c r="J98" i="12"/>
  <c r="C8" i="12"/>
  <c r="J65" i="12"/>
  <c r="J163" i="12"/>
  <c r="C104" i="12"/>
  <c r="E103" i="42"/>
  <c r="J151" i="12"/>
  <c r="C64" i="12"/>
  <c r="J77" i="12"/>
  <c r="J158" i="12"/>
  <c r="C109" i="12"/>
  <c r="G64" i="34"/>
  <c r="J93" i="12"/>
  <c r="C6" i="12"/>
  <c r="J63" i="12"/>
  <c r="J50" i="12"/>
  <c r="C148" i="12"/>
  <c r="E83" i="50"/>
  <c r="J150" i="12"/>
  <c r="C66" i="12"/>
  <c r="J71" i="12"/>
  <c r="C152" i="12"/>
  <c r="J136" i="12"/>
  <c r="F94" i="40"/>
  <c r="M139" i="48"/>
  <c r="K98" i="43"/>
  <c r="P51" i="12"/>
  <c r="G114" i="47"/>
  <c r="E138" i="48"/>
  <c r="N114" i="42"/>
  <c r="D138" i="12"/>
  <c r="K108" i="12"/>
  <c r="F98" i="12"/>
  <c r="E99" i="47"/>
  <c r="E97" i="47"/>
  <c r="D142" i="12"/>
  <c r="L159" i="48"/>
  <c r="D130" i="12"/>
  <c r="L118" i="43"/>
  <c r="E137" i="40"/>
  <c r="L117" i="42"/>
  <c r="L116" i="43"/>
  <c r="E118" i="43"/>
  <c r="L86" i="49"/>
  <c r="E117" i="50"/>
  <c r="F162" i="48"/>
  <c r="K92" i="47"/>
  <c r="N115" i="50"/>
  <c r="N94" i="49"/>
  <c r="N153" i="47"/>
  <c r="G95" i="47"/>
  <c r="N107" i="47"/>
  <c r="N125" i="41"/>
  <c r="M228" i="12"/>
  <c r="J117" i="41"/>
  <c r="E114" i="50"/>
  <c r="D96" i="47"/>
  <c r="M150" i="47"/>
  <c r="G92" i="49"/>
  <c r="L115" i="48"/>
  <c r="B206" i="12"/>
  <c r="K116" i="41"/>
  <c r="K130" i="48"/>
  <c r="D98" i="40"/>
  <c r="K117" i="42"/>
  <c r="N150" i="41"/>
  <c r="B228" i="12"/>
  <c r="C202" i="12"/>
  <c r="G159" i="48"/>
  <c r="N96" i="49"/>
  <c r="B96" i="43"/>
  <c r="D105" i="50"/>
  <c r="L96" i="43"/>
  <c r="G158" i="40"/>
  <c r="M231" i="12"/>
  <c r="N117" i="49"/>
  <c r="G107" i="50"/>
  <c r="N128" i="48"/>
  <c r="D105" i="43"/>
  <c r="G136" i="40"/>
  <c r="I186" i="12"/>
  <c r="G98" i="47"/>
  <c r="J118" i="41"/>
  <c r="Q137" i="12"/>
  <c r="D95" i="47"/>
  <c r="M152" i="48"/>
  <c r="G121" i="40"/>
  <c r="E88" i="50"/>
  <c r="F120" i="12"/>
  <c r="D41" i="12"/>
  <c r="D42" i="12"/>
  <c r="E92" i="40"/>
  <c r="E143" i="48"/>
  <c r="L98" i="43"/>
  <c r="E165" i="41"/>
  <c r="K131" i="12"/>
  <c r="E163" i="48"/>
  <c r="L148" i="40"/>
  <c r="E162" i="41"/>
  <c r="L160" i="48"/>
  <c r="L107" i="47"/>
  <c r="L117" i="43"/>
  <c r="K137" i="12"/>
  <c r="M140" i="12"/>
  <c r="N82" i="42"/>
  <c r="F98" i="40"/>
  <c r="M150" i="40"/>
  <c r="L96" i="50"/>
  <c r="N109" i="47"/>
  <c r="N93" i="43"/>
  <c r="G94" i="47"/>
  <c r="G119" i="43"/>
  <c r="M92" i="47"/>
  <c r="D94" i="49"/>
  <c r="N93" i="50"/>
  <c r="B242" i="12"/>
  <c r="F143" i="48"/>
  <c r="M116" i="48"/>
  <c r="E114" i="43"/>
  <c r="N108" i="47"/>
  <c r="M128" i="41"/>
  <c r="N116" i="41"/>
  <c r="G164" i="48"/>
  <c r="D119" i="50"/>
  <c r="M116" i="41"/>
  <c r="B227" i="12"/>
  <c r="I119" i="48"/>
  <c r="K125" i="41"/>
  <c r="N131" i="41"/>
  <c r="M224" i="12"/>
  <c r="M120" i="49"/>
  <c r="G127" i="41"/>
  <c r="C241" i="12"/>
  <c r="N106" i="47"/>
  <c r="K142" i="41"/>
  <c r="C181" i="12"/>
  <c r="Q125" i="12"/>
  <c r="L119" i="48"/>
  <c r="G94" i="49"/>
  <c r="N140" i="41"/>
  <c r="G98" i="42"/>
  <c r="C183" i="12"/>
  <c r="D88" i="50"/>
  <c r="G134" i="48"/>
  <c r="K152" i="40"/>
  <c r="C206" i="12"/>
  <c r="I115" i="41"/>
  <c r="K152" i="47"/>
  <c r="K151" i="48"/>
  <c r="G139" i="48"/>
  <c r="E94" i="47"/>
  <c r="D120" i="12"/>
  <c r="K82" i="12"/>
  <c r="M104" i="12"/>
  <c r="E165" i="40"/>
  <c r="E161" i="47"/>
  <c r="E131" i="41"/>
  <c r="F95" i="12"/>
  <c r="L97" i="50"/>
  <c r="L93" i="50"/>
  <c r="E161" i="41"/>
  <c r="E143" i="40"/>
  <c r="E83" i="42"/>
  <c r="L120" i="43"/>
  <c r="L85" i="42"/>
  <c r="L82" i="42"/>
  <c r="M108" i="40"/>
  <c r="R114" i="43"/>
  <c r="D140" i="47"/>
  <c r="G105" i="43"/>
  <c r="Q202" i="12"/>
  <c r="G83" i="43"/>
  <c r="G117" i="50"/>
  <c r="N148" i="40"/>
  <c r="G94" i="40"/>
  <c r="P92" i="12"/>
  <c r="B180" i="12"/>
  <c r="D132" i="48"/>
  <c r="G140" i="41"/>
  <c r="G117" i="43"/>
  <c r="N121" i="49"/>
  <c r="N153" i="40"/>
  <c r="L115" i="41"/>
  <c r="M127" i="41"/>
  <c r="M163" i="41"/>
  <c r="K104" i="40"/>
  <c r="P30" i="12"/>
  <c r="N99" i="49"/>
  <c r="B230" i="12"/>
  <c r="G101" i="50"/>
  <c r="C204" i="12"/>
  <c r="K150" i="47"/>
  <c r="M117" i="42"/>
  <c r="F94" i="49"/>
  <c r="L117" i="48"/>
  <c r="N148" i="47"/>
  <c r="Q105" i="12"/>
  <c r="B208" i="12"/>
  <c r="N92" i="47"/>
  <c r="K120" i="43"/>
  <c r="M151" i="47"/>
  <c r="D127" i="48"/>
  <c r="M92" i="40"/>
  <c r="D107" i="50"/>
  <c r="F84" i="42"/>
  <c r="E138" i="41"/>
  <c r="N114" i="49"/>
  <c r="F121" i="12"/>
  <c r="K207" i="12"/>
  <c r="E99" i="40"/>
  <c r="E97" i="40"/>
  <c r="E96" i="40"/>
  <c r="K209" i="12"/>
  <c r="E140" i="47"/>
  <c r="D129" i="12"/>
  <c r="E137" i="47"/>
  <c r="L110" i="40"/>
  <c r="L115" i="43"/>
  <c r="E118" i="50"/>
  <c r="L86" i="42"/>
  <c r="M132" i="48"/>
  <c r="F141" i="48"/>
  <c r="D125" i="12"/>
  <c r="G126" i="41"/>
  <c r="G103" i="42"/>
  <c r="N132" i="48"/>
  <c r="L121" i="41"/>
  <c r="N129" i="48"/>
  <c r="N147" i="41"/>
  <c r="N139" i="41"/>
  <c r="B224" i="12"/>
  <c r="L121" i="48"/>
  <c r="P139" i="12"/>
  <c r="C187" i="12"/>
  <c r="D130" i="48"/>
  <c r="M149" i="47"/>
  <c r="F127" i="12"/>
  <c r="G123" i="41"/>
  <c r="M108" i="47"/>
  <c r="B184" i="12"/>
  <c r="I185" i="12"/>
  <c r="G92" i="42"/>
  <c r="G129" i="41"/>
  <c r="M225" i="12"/>
  <c r="I103" i="47"/>
  <c r="G134" i="41"/>
  <c r="N164" i="48"/>
  <c r="D92" i="49"/>
  <c r="B118" i="41"/>
  <c r="N108" i="40"/>
  <c r="P40" i="12"/>
  <c r="N153" i="48"/>
  <c r="M114" i="41"/>
  <c r="D159" i="47"/>
  <c r="K148" i="48"/>
  <c r="D142" i="48"/>
  <c r="G130" i="48"/>
  <c r="F97" i="49"/>
  <c r="N147" i="40"/>
  <c r="N148" i="48"/>
  <c r="G165" i="40"/>
  <c r="G107" i="43"/>
  <c r="N128" i="41"/>
  <c r="F116" i="43"/>
  <c r="M85" i="49"/>
  <c r="M115" i="42"/>
  <c r="M115" i="49"/>
  <c r="F106" i="42"/>
  <c r="F132" i="41"/>
  <c r="K99" i="50"/>
  <c r="J109" i="49"/>
  <c r="C151" i="40"/>
  <c r="J131" i="40"/>
  <c r="J86" i="43"/>
  <c r="C115" i="42"/>
  <c r="J104" i="42"/>
  <c r="C149" i="40"/>
  <c r="J129" i="47"/>
  <c r="J138" i="48"/>
  <c r="C93" i="41"/>
  <c r="J95" i="48"/>
  <c r="C132" i="47"/>
  <c r="J159" i="40"/>
  <c r="C97" i="41"/>
  <c r="J81" i="42"/>
  <c r="E158" i="41"/>
  <c r="J148" i="12"/>
  <c r="J93" i="41" s="1"/>
  <c r="C63" i="12"/>
  <c r="C129" i="40" s="1"/>
  <c r="C151" i="12"/>
  <c r="C96" i="48" s="1"/>
  <c r="J95" i="12"/>
  <c r="J59" i="12"/>
  <c r="C149" i="12"/>
  <c r="R158" i="48"/>
  <c r="J154" i="12"/>
  <c r="J99" i="48" s="1"/>
  <c r="J70" i="12"/>
  <c r="J158" i="47" s="1"/>
  <c r="C108" i="12"/>
  <c r="C119" i="49" s="1"/>
  <c r="C5" i="12"/>
  <c r="C148" i="40" s="1"/>
  <c r="J159" i="12"/>
  <c r="J82" i="43" s="1"/>
  <c r="K106" i="47"/>
  <c r="I99" i="43"/>
  <c r="G121" i="47"/>
  <c r="E87" i="43"/>
  <c r="K104" i="12"/>
  <c r="K115" i="42" s="1"/>
  <c r="R92" i="47"/>
  <c r="F131" i="12"/>
  <c r="L158" i="48"/>
  <c r="F105" i="43"/>
  <c r="K153" i="40"/>
  <c r="Q16" i="12"/>
  <c r="M151" i="40"/>
  <c r="M121" i="49"/>
  <c r="N93" i="42"/>
  <c r="G103" i="49"/>
  <c r="G140" i="48"/>
  <c r="K119" i="49"/>
  <c r="N98" i="42"/>
  <c r="E116" i="43"/>
  <c r="G145" i="48"/>
  <c r="N95" i="49"/>
  <c r="I120" i="48"/>
  <c r="M128" i="48"/>
  <c r="G120" i="40"/>
  <c r="D82" i="12"/>
  <c r="L106" i="40"/>
  <c r="L99" i="43"/>
  <c r="L92" i="50"/>
  <c r="E164" i="48"/>
  <c r="L109" i="47"/>
  <c r="N161" i="41"/>
  <c r="K140" i="12"/>
  <c r="F165" i="41"/>
  <c r="N121" i="42"/>
  <c r="J187" i="12"/>
  <c r="N154" i="47"/>
  <c r="M92" i="43"/>
  <c r="K151" i="41"/>
  <c r="I93" i="50"/>
  <c r="G84" i="49"/>
  <c r="C230" i="12"/>
  <c r="C120" i="41" s="1"/>
  <c r="F163" i="48"/>
  <c r="N105" i="47"/>
  <c r="B110" i="40"/>
  <c r="N116" i="43"/>
  <c r="G119" i="50"/>
  <c r="G156" i="40"/>
  <c r="K82" i="49"/>
  <c r="D159" i="48"/>
  <c r="F107" i="43"/>
  <c r="D164" i="12"/>
  <c r="D143" i="12"/>
  <c r="E141" i="48"/>
  <c r="F84" i="12"/>
  <c r="L116" i="49"/>
  <c r="L154" i="40"/>
  <c r="L121" i="50"/>
  <c r="N83" i="49"/>
  <c r="F93" i="40"/>
  <c r="B185" i="12"/>
  <c r="N97" i="42"/>
  <c r="K128" i="41"/>
  <c r="D131" i="48"/>
  <c r="F142" i="48"/>
  <c r="N149" i="48"/>
  <c r="K94" i="43"/>
  <c r="M110" i="47"/>
  <c r="G93" i="47"/>
  <c r="F126" i="41"/>
  <c r="N149" i="47"/>
  <c r="N149" i="40"/>
  <c r="N147" i="47"/>
  <c r="M85" i="42"/>
  <c r="I107" i="47"/>
  <c r="G112" i="40"/>
  <c r="E87" i="50"/>
  <c r="F93" i="12"/>
  <c r="R92" i="40"/>
  <c r="L150" i="40"/>
  <c r="M128" i="12"/>
  <c r="M117" i="50" s="1"/>
  <c r="E139" i="40"/>
  <c r="L149" i="47"/>
  <c r="E119" i="50"/>
  <c r="M97" i="50"/>
  <c r="M153" i="41"/>
  <c r="G104" i="43"/>
  <c r="Q17" i="12"/>
  <c r="G104" i="50"/>
  <c r="M98" i="50"/>
  <c r="K150" i="40"/>
  <c r="N127" i="41"/>
  <c r="N147" i="48"/>
  <c r="L118" i="48"/>
  <c r="K116" i="42"/>
  <c r="K103" i="47"/>
  <c r="B202" i="12"/>
  <c r="N116" i="48"/>
  <c r="G164" i="41"/>
  <c r="D118" i="43"/>
  <c r="C184" i="12"/>
  <c r="D87" i="50"/>
  <c r="F104" i="42"/>
  <c r="J106" i="49"/>
  <c r="C120" i="42"/>
  <c r="E150" i="41"/>
  <c r="E150" i="48"/>
  <c r="J142" i="41"/>
  <c r="D94" i="47"/>
  <c r="J104" i="40"/>
  <c r="J150" i="40"/>
  <c r="K118" i="42"/>
  <c r="M93" i="49"/>
  <c r="L128" i="41"/>
  <c r="L128" i="48"/>
  <c r="D77" i="12"/>
  <c r="C43" i="12"/>
  <c r="C19" i="12"/>
  <c r="C140" i="12"/>
  <c r="C76" i="12"/>
  <c r="J31" i="12"/>
  <c r="C96" i="12"/>
  <c r="E158" i="48"/>
  <c r="C11" i="12"/>
  <c r="C154" i="12"/>
  <c r="J94" i="12"/>
  <c r="J105" i="49" s="1"/>
  <c r="C9" i="12"/>
  <c r="C152" i="40" s="1"/>
  <c r="J160" i="12"/>
  <c r="J83" i="50" s="1"/>
  <c r="R158" i="41"/>
  <c r="C62" i="12"/>
  <c r="C150" i="12"/>
  <c r="J97" i="12"/>
  <c r="J60" i="12"/>
  <c r="J126" i="40" s="1"/>
  <c r="C105" i="12"/>
  <c r="D88" i="43"/>
  <c r="F158" i="47"/>
  <c r="K239" i="12"/>
  <c r="L152" i="47"/>
  <c r="L153" i="47"/>
  <c r="L160" i="41"/>
  <c r="L117" i="50"/>
  <c r="N82" i="49"/>
  <c r="N142" i="48"/>
  <c r="C240" i="12"/>
  <c r="G161" i="40"/>
  <c r="M98" i="49"/>
  <c r="J183" i="12"/>
  <c r="G125" i="41"/>
  <c r="B236" i="12"/>
  <c r="B104" i="47" s="1"/>
  <c r="G142" i="41"/>
  <c r="P170" i="12"/>
  <c r="M121" i="42"/>
  <c r="G158" i="47"/>
  <c r="L139" i="41"/>
  <c r="M82" i="12"/>
  <c r="M159" i="48" s="1"/>
  <c r="F176" i="12"/>
  <c r="G69" i="34"/>
  <c r="E121" i="50"/>
  <c r="B209" i="12"/>
  <c r="G103" i="43"/>
  <c r="G98" i="49"/>
  <c r="D128" i="48"/>
  <c r="F96" i="49"/>
  <c r="P193" i="12"/>
  <c r="G123" i="48"/>
  <c r="N127" i="48"/>
  <c r="F93" i="42"/>
  <c r="L120" i="41"/>
  <c r="N110" i="40"/>
  <c r="K224" i="12"/>
  <c r="K114" i="41" s="1"/>
  <c r="M148" i="40"/>
  <c r="K96" i="49"/>
  <c r="P83" i="12"/>
  <c r="F131" i="41"/>
  <c r="Q138" i="12"/>
  <c r="E136" i="48"/>
  <c r="D169" i="12"/>
  <c r="D92" i="40" s="1"/>
  <c r="D40" i="12"/>
  <c r="E96" i="47"/>
  <c r="F132" i="12"/>
  <c r="D126" i="12"/>
  <c r="Q192" i="12"/>
  <c r="N163" i="48"/>
  <c r="D83" i="49"/>
  <c r="N98" i="49"/>
  <c r="N93" i="49"/>
  <c r="G90" i="47"/>
  <c r="I97" i="50"/>
  <c r="M160" i="41"/>
  <c r="Q117" i="12"/>
  <c r="G163" i="48"/>
  <c r="B241" i="12"/>
  <c r="J186" i="12"/>
  <c r="J109" i="48" s="1"/>
  <c r="N126" i="41"/>
  <c r="M121" i="41"/>
  <c r="F163" i="41"/>
  <c r="Q84" i="12"/>
  <c r="L105" i="47"/>
  <c r="K6" i="12"/>
  <c r="L118" i="49"/>
  <c r="L103" i="40"/>
  <c r="K97" i="43"/>
  <c r="G71" i="34"/>
  <c r="F161" i="48"/>
  <c r="G138" i="41"/>
  <c r="G147" i="48"/>
  <c r="N110" i="47"/>
  <c r="C186" i="12"/>
  <c r="C109" i="48" s="1"/>
  <c r="B187" i="12"/>
  <c r="G127" i="48"/>
  <c r="F139" i="40"/>
  <c r="F95" i="40"/>
  <c r="B240" i="12"/>
  <c r="I115" i="48"/>
  <c r="D138" i="41"/>
  <c r="D159" i="41"/>
  <c r="D87" i="43"/>
  <c r="C154" i="47"/>
  <c r="C99" i="48"/>
  <c r="J96" i="48"/>
  <c r="J125" i="47"/>
  <c r="J81" i="43"/>
  <c r="C95" i="48"/>
  <c r="J108" i="42"/>
  <c r="C116" i="49"/>
  <c r="F120" i="40"/>
  <c r="F160" i="47"/>
  <c r="C164" i="41"/>
  <c r="M93" i="43"/>
  <c r="J163" i="41"/>
  <c r="L92" i="47"/>
  <c r="L92" i="40"/>
  <c r="K153" i="48"/>
  <c r="D98" i="42"/>
  <c r="J121" i="43"/>
  <c r="E95" i="49"/>
  <c r="E95" i="42"/>
  <c r="M83" i="49"/>
  <c r="C121" i="50"/>
  <c r="C140" i="48"/>
  <c r="C119" i="43"/>
  <c r="J115" i="43"/>
  <c r="R92" i="49"/>
  <c r="G57" i="34"/>
  <c r="R92" i="42"/>
  <c r="I119" i="41"/>
  <c r="K161" i="48"/>
  <c r="F93" i="47"/>
  <c r="I116" i="41"/>
  <c r="M95" i="42"/>
  <c r="J93" i="43"/>
  <c r="C117" i="50"/>
  <c r="C163" i="40"/>
  <c r="C106" i="49"/>
  <c r="E136" i="47"/>
  <c r="E136" i="40"/>
  <c r="F44" i="12"/>
  <c r="C20" i="12"/>
  <c r="M55" i="12"/>
  <c r="F71" i="12"/>
  <c r="B191" i="12"/>
  <c r="C42" i="12"/>
  <c r="C162" i="12"/>
  <c r="C31" i="12"/>
  <c r="D194" i="12"/>
  <c r="D95" i="42" s="1"/>
  <c r="C131" i="12"/>
  <c r="C141" i="12"/>
  <c r="J38" i="12"/>
  <c r="J29" i="12"/>
  <c r="J27" i="12"/>
  <c r="J174" i="12"/>
  <c r="F41" i="12"/>
  <c r="M129" i="12"/>
  <c r="C142" i="12"/>
  <c r="J40" i="12"/>
  <c r="R103" i="49"/>
  <c r="J152" i="12"/>
  <c r="C61" i="12"/>
  <c r="C127" i="47" s="1"/>
  <c r="J72" i="12"/>
  <c r="J160" i="40" s="1"/>
  <c r="J161" i="12"/>
  <c r="J84" i="50" s="1"/>
  <c r="C110" i="12"/>
  <c r="D81" i="12"/>
  <c r="J153" i="12"/>
  <c r="J98" i="48" s="1"/>
  <c r="C60" i="12"/>
  <c r="C126" i="47" s="1"/>
  <c r="J74" i="12"/>
  <c r="J162" i="47" s="1"/>
  <c r="C147" i="12"/>
  <c r="C92" i="41" s="1"/>
  <c r="C163" i="12"/>
  <c r="C86" i="43" s="1"/>
  <c r="L83" i="42"/>
  <c r="J92" i="12"/>
  <c r="C7" i="12"/>
  <c r="J62" i="12"/>
  <c r="J165" i="12"/>
  <c r="J88" i="43" s="1"/>
  <c r="C107" i="12"/>
  <c r="C118" i="42" s="1"/>
  <c r="E83" i="43"/>
  <c r="J149" i="12"/>
  <c r="J94" i="48" s="1"/>
  <c r="C59" i="12"/>
  <c r="C125" i="40" s="1"/>
  <c r="J73" i="12"/>
  <c r="C153" i="12"/>
  <c r="C98" i="48" s="1"/>
  <c r="J53" i="12"/>
  <c r="I108" i="40"/>
  <c r="D96" i="49"/>
  <c r="I95" i="50"/>
  <c r="F130" i="48"/>
  <c r="L139" i="48"/>
  <c r="G61" i="34"/>
  <c r="L143" i="41"/>
  <c r="E129" i="41"/>
  <c r="E98" i="47"/>
  <c r="K110" i="12"/>
  <c r="F140" i="12"/>
  <c r="E142" i="48"/>
  <c r="E95" i="40"/>
  <c r="R125" i="41"/>
  <c r="K241" i="12"/>
  <c r="K109" i="40" s="1"/>
  <c r="L99" i="50"/>
  <c r="L162" i="48"/>
  <c r="L92" i="43"/>
  <c r="L109" i="40"/>
  <c r="L163" i="48"/>
  <c r="E106" i="49"/>
  <c r="M81" i="12"/>
  <c r="M158" i="41" s="1"/>
  <c r="L84" i="49"/>
  <c r="K141" i="12"/>
  <c r="K86" i="49" s="1"/>
  <c r="B203" i="12"/>
  <c r="M140" i="41"/>
  <c r="F125" i="41"/>
  <c r="Q15" i="12"/>
  <c r="B182" i="12"/>
  <c r="Q114" i="12"/>
  <c r="B205" i="12"/>
  <c r="F143" i="47"/>
  <c r="F143" i="40"/>
  <c r="N114" i="43"/>
  <c r="M98" i="42"/>
  <c r="B238" i="12"/>
  <c r="K96" i="43"/>
  <c r="G96" i="49"/>
  <c r="M127" i="48"/>
  <c r="Q169" i="12"/>
  <c r="D140" i="41"/>
  <c r="K162" i="41"/>
  <c r="M93" i="42"/>
  <c r="D103" i="43"/>
  <c r="N119" i="50"/>
  <c r="G90" i="49"/>
  <c r="G160" i="48"/>
  <c r="L95" i="50"/>
  <c r="N97" i="43"/>
  <c r="D141" i="48"/>
  <c r="M149" i="48"/>
  <c r="G136" i="47"/>
  <c r="C185" i="12"/>
  <c r="C108" i="48" s="1"/>
  <c r="N99" i="50"/>
  <c r="C229" i="12"/>
  <c r="C119" i="48" s="1"/>
  <c r="C207" i="12"/>
  <c r="N99" i="42"/>
  <c r="M229" i="12"/>
  <c r="M82" i="42"/>
  <c r="D160" i="41"/>
  <c r="I106" i="40"/>
  <c r="K132" i="41"/>
  <c r="L142" i="48"/>
  <c r="G139" i="41"/>
  <c r="E94" i="40"/>
  <c r="F38" i="12"/>
  <c r="F137" i="47" s="1"/>
  <c r="D43" i="12"/>
  <c r="K83" i="12"/>
  <c r="K160" i="48" s="1"/>
  <c r="E165" i="47"/>
  <c r="E161" i="40"/>
  <c r="K202" i="12"/>
  <c r="K92" i="50" s="1"/>
  <c r="L159" i="41"/>
  <c r="L93" i="43"/>
  <c r="L118" i="50"/>
  <c r="E161" i="48"/>
  <c r="L117" i="49"/>
  <c r="L116" i="50"/>
  <c r="B192" i="12"/>
  <c r="L82" i="49"/>
  <c r="E117" i="43"/>
  <c r="M106" i="47"/>
  <c r="G138" i="48"/>
  <c r="M151" i="41"/>
  <c r="D136" i="47"/>
  <c r="L117" i="41"/>
  <c r="M164" i="48"/>
  <c r="I180" i="12"/>
  <c r="M109" i="47"/>
  <c r="M118" i="48"/>
  <c r="F127" i="48"/>
  <c r="D98" i="49"/>
  <c r="N119" i="43"/>
  <c r="K153" i="41"/>
  <c r="B229" i="12"/>
  <c r="B119" i="48" s="1"/>
  <c r="P50" i="12"/>
  <c r="G129" i="48"/>
  <c r="K225" i="12"/>
  <c r="L114" i="41"/>
  <c r="P27" i="12"/>
  <c r="N132" i="41"/>
  <c r="M94" i="49"/>
  <c r="P28" i="12"/>
  <c r="B105" i="48"/>
  <c r="N120" i="50"/>
  <c r="N151" i="48"/>
  <c r="N151" i="40"/>
  <c r="C182" i="12"/>
  <c r="G141" i="41"/>
  <c r="N153" i="41"/>
  <c r="C108" i="40"/>
  <c r="N120" i="42"/>
  <c r="C236" i="12"/>
  <c r="K132" i="48"/>
  <c r="G96" i="42"/>
  <c r="C104" i="40"/>
  <c r="K148" i="47"/>
  <c r="F137" i="40"/>
  <c r="F125" i="12"/>
  <c r="G103" i="50"/>
  <c r="P85" i="12"/>
  <c r="N130" i="48"/>
  <c r="G134" i="47"/>
  <c r="B105" i="41"/>
  <c r="N150" i="48"/>
  <c r="B239" i="12"/>
  <c r="B107" i="47" s="1"/>
  <c r="N164" i="41"/>
  <c r="G93" i="42"/>
  <c r="B95" i="50"/>
  <c r="C108" i="41"/>
  <c r="K86" i="42"/>
  <c r="F109" i="49"/>
  <c r="F98" i="47"/>
  <c r="F104" i="43"/>
  <c r="M147" i="47"/>
  <c r="K147" i="40"/>
  <c r="P213" i="12"/>
  <c r="M40" i="12"/>
  <c r="M139" i="40" s="1"/>
  <c r="G120" i="47"/>
  <c r="E159" i="40"/>
  <c r="F75" i="12"/>
  <c r="K109" i="12"/>
  <c r="K120" i="42" s="1"/>
  <c r="E132" i="41"/>
  <c r="L106" i="47"/>
  <c r="R125" i="48"/>
  <c r="M9" i="12"/>
  <c r="L150" i="47"/>
  <c r="B204" i="12"/>
  <c r="B94" i="50" s="1"/>
  <c r="L165" i="48"/>
  <c r="E164" i="41"/>
  <c r="L121" i="49"/>
  <c r="L104" i="47"/>
  <c r="L149" i="40"/>
  <c r="N161" i="48"/>
  <c r="K143" i="12"/>
  <c r="E119" i="43"/>
  <c r="K149" i="48"/>
  <c r="D127" i="12"/>
  <c r="P15" i="12"/>
  <c r="N116" i="42"/>
  <c r="K151" i="47"/>
  <c r="I117" i="41"/>
  <c r="K228" i="12"/>
  <c r="P73" i="12"/>
  <c r="G163" i="41"/>
  <c r="D141" i="41"/>
  <c r="G134" i="40"/>
  <c r="M96" i="50"/>
  <c r="F142" i="41"/>
  <c r="G159" i="41"/>
  <c r="B237" i="12"/>
  <c r="G96" i="40"/>
  <c r="M143" i="48"/>
  <c r="C180" i="12"/>
  <c r="N96" i="43"/>
  <c r="D103" i="50"/>
  <c r="F161" i="47"/>
  <c r="M148" i="41"/>
  <c r="G84" i="50"/>
  <c r="K129" i="48"/>
  <c r="N97" i="50"/>
  <c r="K152" i="41"/>
  <c r="M150" i="41"/>
  <c r="D142" i="47"/>
  <c r="G97" i="42"/>
  <c r="P48" i="12"/>
  <c r="G93" i="49"/>
  <c r="B99" i="43"/>
  <c r="G142" i="48"/>
  <c r="C228" i="12"/>
  <c r="G162" i="48"/>
  <c r="B93" i="50"/>
  <c r="K82" i="42"/>
  <c r="K92" i="43"/>
  <c r="F84" i="43"/>
  <c r="I105" i="47"/>
  <c r="K129" i="41"/>
  <c r="M129" i="41"/>
  <c r="D143" i="40"/>
  <c r="K40" i="12"/>
  <c r="L143" i="48"/>
  <c r="E129" i="48"/>
  <c r="D95" i="12"/>
  <c r="D75" i="12"/>
  <c r="K126" i="12"/>
  <c r="K115" i="43" s="1"/>
  <c r="E142" i="41"/>
  <c r="E95" i="47"/>
  <c r="E131" i="48"/>
  <c r="M204" i="12"/>
  <c r="L97" i="43"/>
  <c r="L162" i="41"/>
  <c r="E143" i="47"/>
  <c r="E83" i="49"/>
  <c r="L120" i="50"/>
  <c r="L85" i="49"/>
  <c r="M143" i="12"/>
  <c r="K110" i="40"/>
  <c r="K150" i="41"/>
  <c r="N116" i="50"/>
  <c r="J121" i="41"/>
  <c r="P171" i="12"/>
  <c r="C224" i="12"/>
  <c r="L94" i="50"/>
  <c r="P172" i="12"/>
  <c r="I94" i="50"/>
  <c r="K164" i="48"/>
  <c r="G99" i="49"/>
  <c r="B114" i="48"/>
  <c r="K128" i="48"/>
  <c r="F99" i="47"/>
  <c r="B93" i="49"/>
  <c r="N120" i="49"/>
  <c r="Q4" i="12"/>
  <c r="J182" i="12"/>
  <c r="K108" i="40"/>
  <c r="B207" i="12"/>
  <c r="G83" i="50"/>
  <c r="J110" i="41"/>
  <c r="K97" i="49"/>
  <c r="D165" i="41"/>
  <c r="N114" i="50"/>
  <c r="P49" i="12"/>
  <c r="C238" i="12"/>
  <c r="C106" i="47" s="1"/>
  <c r="G137" i="41"/>
  <c r="N150" i="47"/>
  <c r="C92" i="50"/>
  <c r="P52" i="12"/>
  <c r="G143" i="41"/>
  <c r="G136" i="48"/>
  <c r="B118" i="48"/>
  <c r="F140" i="48"/>
  <c r="Q203" i="12"/>
  <c r="K118" i="41"/>
  <c r="M130" i="41"/>
  <c r="M230" i="12"/>
  <c r="N117" i="42"/>
  <c r="N99" i="43"/>
  <c r="C225" i="12"/>
  <c r="C108" i="47"/>
  <c r="C97" i="50"/>
  <c r="M88" i="49"/>
  <c r="M94" i="43"/>
  <c r="D139" i="47"/>
  <c r="F131" i="48"/>
  <c r="M139" i="47"/>
  <c r="D92" i="47"/>
  <c r="F161" i="41"/>
  <c r="K139" i="40"/>
  <c r="F132" i="48"/>
  <c r="K115" i="50"/>
  <c r="M94" i="50"/>
  <c r="D114" i="43"/>
  <c r="B92" i="50"/>
  <c r="J109" i="42"/>
  <c r="J93" i="48"/>
  <c r="C151" i="47"/>
  <c r="C129" i="47"/>
  <c r="J131" i="47"/>
  <c r="J86" i="50"/>
  <c r="C96" i="41"/>
  <c r="C115" i="49"/>
  <c r="J105" i="42"/>
  <c r="J98" i="41"/>
  <c r="C152" i="47"/>
  <c r="C126" i="40"/>
  <c r="J162" i="40"/>
  <c r="J83" i="43"/>
  <c r="C92" i="48"/>
  <c r="C86" i="50"/>
  <c r="J104" i="49"/>
  <c r="J99" i="41"/>
  <c r="C149" i="47"/>
  <c r="J129" i="40"/>
  <c r="J158" i="40"/>
  <c r="J138" i="41"/>
  <c r="C93" i="48"/>
  <c r="C119" i="42"/>
  <c r="J95" i="41"/>
  <c r="C148" i="47"/>
  <c r="C132" i="40"/>
  <c r="J159" i="47"/>
  <c r="J82" i="50"/>
  <c r="C97" i="48"/>
  <c r="J81" i="49"/>
  <c r="R103" i="42"/>
  <c r="J76" i="12"/>
  <c r="C158" i="12"/>
  <c r="C10" i="12"/>
  <c r="C153" i="40" s="1"/>
  <c r="J48" i="12"/>
  <c r="J136" i="41" s="1"/>
  <c r="L83" i="49"/>
  <c r="C65" i="12"/>
  <c r="J164" i="12"/>
  <c r="J64" i="12"/>
  <c r="C103" i="12"/>
  <c r="F165" i="47"/>
  <c r="F92" i="40"/>
  <c r="L140" i="48"/>
  <c r="D86" i="12"/>
  <c r="D163" i="41" s="1"/>
  <c r="E130" i="41"/>
  <c r="E159" i="48"/>
  <c r="E139" i="47"/>
  <c r="E121" i="43"/>
  <c r="D103" i="49"/>
  <c r="G105" i="50"/>
  <c r="I184" i="12"/>
  <c r="F120" i="43"/>
  <c r="C242" i="12"/>
  <c r="C110" i="47" s="1"/>
  <c r="J180" i="12"/>
  <c r="J103" i="41" s="1"/>
  <c r="F83" i="50"/>
  <c r="K150" i="48"/>
  <c r="L95" i="43"/>
  <c r="F96" i="47"/>
  <c r="F136" i="47"/>
  <c r="K129" i="12"/>
  <c r="G70" i="34"/>
  <c r="R114" i="50"/>
  <c r="G97" i="49"/>
  <c r="K95" i="49"/>
  <c r="F92" i="49"/>
  <c r="F141" i="41"/>
  <c r="D143" i="47"/>
  <c r="N107" i="40"/>
  <c r="N126" i="48"/>
  <c r="G136" i="41"/>
  <c r="N151" i="47"/>
  <c r="N150" i="40"/>
  <c r="M143" i="41"/>
  <c r="I182" i="12"/>
  <c r="G160" i="41"/>
  <c r="K118" i="43"/>
  <c r="I110" i="47"/>
  <c r="G112" i="47"/>
  <c r="E127" i="48"/>
  <c r="K11" i="12"/>
  <c r="K154" i="40" s="1"/>
  <c r="E128" i="48"/>
  <c r="L164" i="48"/>
  <c r="L120" i="42"/>
  <c r="L87" i="49"/>
  <c r="N121" i="43"/>
  <c r="G147" i="41"/>
  <c r="K139" i="48"/>
  <c r="M107" i="40"/>
  <c r="G101" i="49"/>
  <c r="D94" i="40"/>
  <c r="F93" i="49"/>
  <c r="N163" i="41"/>
  <c r="D99" i="49"/>
  <c r="D116" i="43"/>
  <c r="M152" i="47"/>
  <c r="M119" i="42"/>
  <c r="I92" i="43"/>
  <c r="E84" i="43"/>
  <c r="M235" i="12"/>
  <c r="M103" i="47" s="1"/>
  <c r="E130" i="48"/>
  <c r="E159" i="41"/>
  <c r="L121" i="42"/>
  <c r="K139" i="12"/>
  <c r="P26" i="12"/>
  <c r="N109" i="40"/>
  <c r="M96" i="49"/>
  <c r="P118" i="12"/>
  <c r="F94" i="42"/>
  <c r="K227" i="12"/>
  <c r="K117" i="48" s="1"/>
  <c r="K118" i="48"/>
  <c r="N154" i="41"/>
  <c r="B93" i="43"/>
  <c r="M152" i="40"/>
  <c r="K154" i="47"/>
  <c r="K139" i="47"/>
  <c r="C106" i="40"/>
  <c r="C154" i="40"/>
  <c r="J160" i="47"/>
  <c r="C99" i="41"/>
  <c r="J96" i="41"/>
  <c r="J125" i="40"/>
  <c r="J81" i="50"/>
  <c r="C150" i="40"/>
  <c r="C125" i="47"/>
  <c r="J141" i="48"/>
  <c r="K149" i="41"/>
  <c r="C94" i="47"/>
  <c r="K143" i="48"/>
  <c r="K117" i="40"/>
  <c r="J117" i="48"/>
  <c r="M149" i="40"/>
  <c r="C99" i="49"/>
  <c r="L131" i="41"/>
  <c r="L131" i="48"/>
  <c r="J170" i="12"/>
  <c r="D87" i="12"/>
  <c r="C17" i="12"/>
  <c r="F117" i="12"/>
  <c r="J32" i="12"/>
  <c r="F194" i="12"/>
  <c r="E143" i="41"/>
  <c r="M142" i="12"/>
  <c r="M87" i="49" s="1"/>
  <c r="N116" i="49"/>
  <c r="N129" i="41"/>
  <c r="J115" i="48"/>
  <c r="G90" i="40"/>
  <c r="G165" i="48"/>
  <c r="P82" i="12"/>
  <c r="N95" i="42"/>
  <c r="G160" i="47"/>
  <c r="F164" i="41"/>
  <c r="I109" i="48"/>
  <c r="F103" i="50"/>
  <c r="R136" i="48"/>
  <c r="E140" i="48"/>
  <c r="E141" i="41"/>
  <c r="F138" i="12"/>
  <c r="L116" i="42"/>
  <c r="L154" i="47"/>
  <c r="L158" i="41"/>
  <c r="K98" i="49"/>
  <c r="N139" i="48"/>
  <c r="C227" i="12"/>
  <c r="N140" i="48"/>
  <c r="G160" i="40"/>
  <c r="P114" i="12"/>
  <c r="K121" i="42"/>
  <c r="J118" i="48"/>
  <c r="N119" i="42"/>
  <c r="G139" i="47"/>
  <c r="K229" i="12"/>
  <c r="K107" i="40"/>
  <c r="F120" i="50"/>
  <c r="E88" i="43"/>
  <c r="M205" i="12"/>
  <c r="E140" i="40"/>
  <c r="L148" i="47"/>
  <c r="L115" i="50"/>
  <c r="N125" i="48"/>
  <c r="G99" i="42"/>
  <c r="B235" i="12"/>
  <c r="B103" i="47" s="1"/>
  <c r="J119" i="48"/>
  <c r="N160" i="41"/>
  <c r="N142" i="41"/>
  <c r="B183" i="12"/>
  <c r="N151" i="41"/>
  <c r="J185" i="12"/>
  <c r="J108" i="41" s="1"/>
  <c r="Q83" i="12"/>
  <c r="L94" i="43"/>
  <c r="F96" i="40"/>
  <c r="E136" i="41"/>
  <c r="D176" i="12"/>
  <c r="D99" i="47" s="1"/>
  <c r="L119" i="43"/>
  <c r="L115" i="49"/>
  <c r="L153" i="40"/>
  <c r="L121" i="43"/>
  <c r="N83" i="42"/>
  <c r="P72" i="12"/>
  <c r="G145" i="41"/>
  <c r="M154" i="47"/>
  <c r="K231" i="12"/>
  <c r="Q116" i="12"/>
  <c r="B225" i="12"/>
  <c r="Q51" i="12"/>
  <c r="P160" i="12"/>
  <c r="G84" i="43"/>
  <c r="G141" i="48"/>
  <c r="N119" i="49"/>
  <c r="D116" i="50"/>
  <c r="D115" i="43"/>
  <c r="D141" i="47"/>
  <c r="F163" i="40"/>
  <c r="F104" i="49"/>
  <c r="J97" i="48"/>
  <c r="C121" i="42"/>
  <c r="C153" i="47"/>
  <c r="J165" i="47"/>
  <c r="C94" i="48"/>
  <c r="C150" i="47"/>
  <c r="C118" i="49"/>
  <c r="J94" i="41"/>
  <c r="J126" i="47"/>
  <c r="J141" i="41"/>
  <c r="F103" i="42"/>
  <c r="J164" i="41"/>
  <c r="F83" i="43"/>
  <c r="D130" i="41"/>
  <c r="J88" i="42"/>
  <c r="J139" i="41"/>
  <c r="E97" i="49"/>
  <c r="E97" i="42"/>
  <c r="J116" i="42"/>
  <c r="M153" i="48"/>
  <c r="J149" i="40"/>
  <c r="E160" i="40"/>
  <c r="E160" i="47"/>
  <c r="I114" i="41"/>
  <c r="J109" i="47"/>
  <c r="K148" i="40"/>
  <c r="J117" i="42"/>
  <c r="J165" i="41"/>
  <c r="J143" i="48"/>
  <c r="K108" i="47"/>
  <c r="M83" i="42"/>
  <c r="D129" i="48"/>
  <c r="K162" i="48"/>
  <c r="J119" i="41"/>
  <c r="J120" i="49"/>
  <c r="C99" i="40"/>
  <c r="C165" i="41"/>
  <c r="B98" i="42"/>
  <c r="N117" i="47"/>
  <c r="N117" i="40"/>
  <c r="F164" i="12"/>
  <c r="J171" i="12"/>
  <c r="M173" i="12"/>
  <c r="D18" i="12"/>
  <c r="F174" i="12"/>
  <c r="C143" i="12"/>
  <c r="C39" i="12"/>
  <c r="C21" i="12"/>
  <c r="C22" i="12"/>
  <c r="K52" i="12"/>
  <c r="F165" i="12"/>
  <c r="C137" i="12"/>
  <c r="C97" i="12"/>
  <c r="J41" i="12"/>
  <c r="J26" i="12"/>
  <c r="J30" i="12"/>
  <c r="C29" i="12"/>
  <c r="C126" i="12"/>
  <c r="C74" i="12"/>
  <c r="J176" i="12"/>
  <c r="J96" i="12"/>
  <c r="M82" i="49"/>
  <c r="F84" i="49"/>
  <c r="E84" i="50"/>
  <c r="E140" i="41"/>
  <c r="E163" i="40"/>
  <c r="D84" i="12"/>
  <c r="F129" i="12"/>
  <c r="L119" i="42"/>
  <c r="L88" i="42"/>
  <c r="K140" i="41"/>
  <c r="K148" i="41"/>
  <c r="G126" i="48"/>
  <c r="M148" i="48"/>
  <c r="F88" i="43"/>
  <c r="N105" i="40"/>
  <c r="M107" i="47"/>
  <c r="G139" i="40"/>
  <c r="G92" i="47"/>
  <c r="G93" i="40"/>
  <c r="M95" i="49"/>
  <c r="N154" i="48"/>
  <c r="G94" i="42"/>
  <c r="B186" i="12"/>
  <c r="B109" i="48" s="1"/>
  <c r="M158" i="48"/>
  <c r="I109" i="40"/>
  <c r="G114" i="40"/>
  <c r="E98" i="40"/>
  <c r="E132" i="48"/>
  <c r="M107" i="12"/>
  <c r="L165" i="41"/>
  <c r="L163" i="41"/>
  <c r="E106" i="42"/>
  <c r="L84" i="42"/>
  <c r="M92" i="50"/>
  <c r="Q5" i="12"/>
  <c r="N96" i="50"/>
  <c r="P70" i="12"/>
  <c r="I107" i="48"/>
  <c r="K205" i="12"/>
  <c r="B106" i="40"/>
  <c r="G95" i="40"/>
  <c r="F98" i="42"/>
  <c r="N92" i="50"/>
  <c r="G90" i="42"/>
  <c r="G137" i="48"/>
  <c r="E116" i="50"/>
  <c r="N152" i="41"/>
  <c r="G98" i="40"/>
  <c r="C104" i="41"/>
  <c r="K120" i="50"/>
  <c r="F84" i="50"/>
  <c r="M99" i="42"/>
  <c r="R136" i="41"/>
  <c r="L105" i="40"/>
  <c r="E125" i="41"/>
  <c r="L115" i="42"/>
  <c r="L118" i="42"/>
  <c r="L103" i="47"/>
  <c r="D137" i="47"/>
  <c r="K139" i="41"/>
  <c r="N98" i="50"/>
  <c r="F88" i="50"/>
  <c r="N120" i="43"/>
  <c r="N96" i="42"/>
  <c r="N94" i="42"/>
  <c r="I183" i="12"/>
  <c r="J181" i="12"/>
  <c r="J104" i="41" s="1"/>
  <c r="N131" i="48"/>
  <c r="G92" i="40"/>
  <c r="M116" i="49"/>
  <c r="N115" i="43"/>
  <c r="N97" i="49"/>
  <c r="C106" i="48"/>
  <c r="D158" i="48"/>
  <c r="C235" i="12"/>
  <c r="M87" i="42"/>
  <c r="M142" i="41"/>
  <c r="L140" i="41"/>
  <c r="E159" i="47"/>
  <c r="E163" i="47"/>
  <c r="K86" i="12"/>
  <c r="K163" i="48" s="1"/>
  <c r="L104" i="40"/>
  <c r="K81" i="12"/>
  <c r="K159" i="41"/>
  <c r="L114" i="48"/>
  <c r="I187" i="12"/>
  <c r="G130" i="41"/>
  <c r="B108" i="48"/>
  <c r="L120" i="48"/>
  <c r="C205" i="12"/>
  <c r="C95" i="50" s="1"/>
  <c r="K153" i="47"/>
  <c r="G84" i="42"/>
  <c r="D87" i="49"/>
  <c r="K230" i="12"/>
  <c r="D164" i="48"/>
  <c r="N92" i="40"/>
  <c r="C94" i="50"/>
  <c r="K85" i="42"/>
  <c r="K120" i="49"/>
  <c r="D106" i="42"/>
  <c r="F163" i="47"/>
  <c r="B103" i="41"/>
  <c r="M103" i="40"/>
  <c r="D114" i="50"/>
  <c r="J97" i="41"/>
  <c r="C121" i="49"/>
  <c r="C130" i="47"/>
  <c r="J165" i="40"/>
  <c r="C94" i="41"/>
  <c r="J103" i="42"/>
  <c r="C128" i="40"/>
  <c r="C95" i="41"/>
  <c r="J108" i="49"/>
  <c r="J161" i="47"/>
  <c r="C116" i="42"/>
  <c r="K125" i="48"/>
  <c r="I118" i="48"/>
  <c r="J158" i="41"/>
  <c r="D96" i="40"/>
  <c r="C131" i="48"/>
  <c r="C163" i="48"/>
  <c r="B94" i="49"/>
  <c r="K110" i="47"/>
  <c r="M132" i="41"/>
  <c r="J119" i="42"/>
  <c r="R136" i="47"/>
  <c r="G55" i="34"/>
  <c r="R136" i="40"/>
  <c r="J39" i="12"/>
  <c r="D139" i="12"/>
  <c r="C99" i="12"/>
  <c r="J172" i="12"/>
  <c r="K173" i="12"/>
  <c r="J44" i="12"/>
  <c r="J99" i="12"/>
  <c r="J110" i="42" s="1"/>
  <c r="J66" i="12"/>
  <c r="J49" i="12"/>
  <c r="J137" i="41" s="1"/>
  <c r="E103" i="49"/>
  <c r="J61" i="12"/>
  <c r="C106" i="12"/>
  <c r="F81" i="12"/>
  <c r="J147" i="12"/>
  <c r="J75" i="12"/>
  <c r="C159" i="12"/>
  <c r="C82" i="50" s="1"/>
  <c r="C4" i="12"/>
  <c r="C147" i="40" s="1"/>
  <c r="J162" i="12"/>
  <c r="F87" i="50"/>
  <c r="M130" i="48"/>
  <c r="F92" i="47"/>
  <c r="L142" i="41"/>
  <c r="M236" i="12"/>
  <c r="M88" i="12"/>
  <c r="L119" i="50"/>
  <c r="E165" i="48"/>
  <c r="E163" i="41"/>
  <c r="L107" i="40"/>
  <c r="M141" i="12"/>
  <c r="F159" i="47"/>
  <c r="G96" i="47"/>
  <c r="G161" i="47"/>
  <c r="L119" i="41"/>
  <c r="C208" i="12"/>
  <c r="P161" i="12"/>
  <c r="P169" i="12"/>
  <c r="N106" i="40"/>
  <c r="G101" i="43"/>
  <c r="J184" i="12"/>
  <c r="J107" i="41" s="1"/>
  <c r="C209" i="12"/>
  <c r="C226" i="12"/>
  <c r="N121" i="50"/>
  <c r="G165" i="47"/>
  <c r="K106" i="40"/>
  <c r="N130" i="41"/>
  <c r="K109" i="47"/>
  <c r="F138" i="41"/>
  <c r="Q103" i="12"/>
  <c r="E127" i="41"/>
  <c r="E128" i="41"/>
  <c r="K127" i="12"/>
  <c r="K132" i="12"/>
  <c r="L164" i="41"/>
  <c r="L119" i="49"/>
  <c r="L88" i="49"/>
  <c r="N98" i="43"/>
  <c r="G101" i="42"/>
  <c r="P37" i="12"/>
  <c r="D95" i="49"/>
  <c r="L118" i="41"/>
  <c r="B96" i="50"/>
  <c r="N154" i="40"/>
  <c r="N148" i="41"/>
  <c r="G143" i="48"/>
  <c r="G162" i="41"/>
  <c r="P116" i="12"/>
  <c r="A266" i="44"/>
  <c r="I181" i="12"/>
  <c r="C96" i="50"/>
  <c r="F97" i="47"/>
  <c r="M109" i="40"/>
  <c r="M85" i="12"/>
  <c r="E92" i="47"/>
  <c r="L98" i="50"/>
  <c r="B181" i="12"/>
  <c r="E162" i="48"/>
  <c r="L110" i="47"/>
  <c r="M139" i="12"/>
  <c r="K104" i="47"/>
  <c r="C237" i="12"/>
  <c r="C105" i="47" s="1"/>
  <c r="N160" i="48"/>
  <c r="N152" i="48"/>
  <c r="B231" i="12"/>
  <c r="B121" i="41" s="1"/>
  <c r="G165" i="41"/>
  <c r="Q115" i="12"/>
  <c r="K98" i="50"/>
  <c r="Q126" i="12"/>
  <c r="C203" i="12"/>
  <c r="C93" i="43" s="1"/>
  <c r="C231" i="12"/>
  <c r="C121" i="41" s="1"/>
  <c r="K131" i="41"/>
  <c r="M97" i="43"/>
  <c r="G156" i="47"/>
  <c r="D161" i="48"/>
  <c r="J107" i="48"/>
  <c r="F109" i="42"/>
  <c r="J120" i="48"/>
  <c r="K237" i="12"/>
  <c r="K105" i="47" s="1"/>
  <c r="K203" i="12"/>
  <c r="K93" i="50" s="1"/>
  <c r="E125" i="48"/>
  <c r="L152" i="40"/>
  <c r="L120" i="49"/>
  <c r="L87" i="42"/>
  <c r="I118" i="41"/>
  <c r="M96" i="43"/>
  <c r="G125" i="48"/>
  <c r="C114" i="48"/>
  <c r="M119" i="49"/>
  <c r="P115" i="12"/>
  <c r="F129" i="41"/>
  <c r="N149" i="41"/>
  <c r="M227" i="12"/>
  <c r="D164" i="41"/>
  <c r="D137" i="40"/>
  <c r="C239" i="12"/>
  <c r="B107" i="41"/>
  <c r="B226" i="12"/>
  <c r="N92" i="43"/>
  <c r="B116" i="41"/>
  <c r="K84" i="42"/>
  <c r="K149" i="40"/>
  <c r="M159" i="41"/>
  <c r="K95" i="50"/>
  <c r="F106" i="49"/>
  <c r="B109" i="47"/>
  <c r="M117" i="43"/>
  <c r="J110" i="49"/>
  <c r="C127" i="40"/>
  <c r="J137" i="48"/>
  <c r="J84" i="43"/>
  <c r="J106" i="42"/>
  <c r="C130" i="40"/>
  <c r="J136" i="48"/>
  <c r="C120" i="49"/>
  <c r="J103" i="49"/>
  <c r="C128" i="47"/>
  <c r="J88" i="50"/>
  <c r="C82" i="43"/>
  <c r="C147" i="47"/>
  <c r="J161" i="40"/>
  <c r="C98" i="41"/>
  <c r="J136" i="40"/>
  <c r="J98" i="47"/>
  <c r="J98" i="40"/>
  <c r="D161" i="40"/>
  <c r="C104" i="49"/>
  <c r="C104" i="42"/>
  <c r="C109" i="49"/>
  <c r="C109" i="42"/>
  <c r="C148" i="41"/>
  <c r="C148" i="48"/>
  <c r="C110" i="50"/>
  <c r="C110" i="43"/>
  <c r="F150" i="41"/>
  <c r="F150" i="48"/>
  <c r="C105" i="49"/>
  <c r="C105" i="42"/>
  <c r="J142" i="47"/>
  <c r="J142" i="40"/>
  <c r="C109" i="43"/>
  <c r="C109" i="50"/>
  <c r="J110" i="43"/>
  <c r="J110" i="50"/>
  <c r="J105" i="43"/>
  <c r="J105" i="50"/>
  <c r="D160" i="47"/>
  <c r="D160" i="40"/>
  <c r="C81" i="42"/>
  <c r="J141" i="47"/>
  <c r="D88" i="42"/>
  <c r="D88" i="49"/>
  <c r="D165" i="40"/>
  <c r="C142" i="40"/>
  <c r="C142" i="47"/>
  <c r="C151" i="41"/>
  <c r="C151" i="48"/>
  <c r="C85" i="42"/>
  <c r="C85" i="49"/>
  <c r="C164" i="40"/>
  <c r="C164" i="47"/>
  <c r="J108" i="43"/>
  <c r="J108" i="50"/>
  <c r="C107" i="42"/>
  <c r="C107" i="49"/>
  <c r="F121" i="43"/>
  <c r="B108" i="47"/>
  <c r="C152" i="48"/>
  <c r="C152" i="41"/>
  <c r="F159" i="40"/>
  <c r="B92" i="42"/>
  <c r="C141" i="47"/>
  <c r="C85" i="50"/>
  <c r="C85" i="43"/>
  <c r="C108" i="50"/>
  <c r="C120" i="43"/>
  <c r="C86" i="42"/>
  <c r="C86" i="49"/>
  <c r="J137" i="47"/>
  <c r="J106" i="50"/>
  <c r="J104" i="50"/>
  <c r="J104" i="43"/>
  <c r="J97" i="47"/>
  <c r="F140" i="40"/>
  <c r="F140" i="47"/>
  <c r="M118" i="50"/>
  <c r="M118" i="43"/>
  <c r="C87" i="42"/>
  <c r="C87" i="49"/>
  <c r="J139" i="47"/>
  <c r="J139" i="40"/>
  <c r="J128" i="40"/>
  <c r="J128" i="47"/>
  <c r="F114" i="50"/>
  <c r="K88" i="49"/>
  <c r="K88" i="42"/>
  <c r="B105" i="40"/>
  <c r="D163" i="40"/>
  <c r="J105" i="48"/>
  <c r="J164" i="40"/>
  <c r="J164" i="47"/>
  <c r="C81" i="43"/>
  <c r="C81" i="50"/>
  <c r="C131" i="47"/>
  <c r="C131" i="40"/>
  <c r="J87" i="50"/>
  <c r="J87" i="43"/>
  <c r="J130" i="40"/>
  <c r="J130" i="47"/>
  <c r="C114" i="49"/>
  <c r="C114" i="42"/>
  <c r="I105" i="48"/>
  <c r="I105" i="41"/>
  <c r="J93" i="40"/>
  <c r="C149" i="41"/>
  <c r="C149" i="48"/>
  <c r="F128" i="48"/>
  <c r="F128" i="41"/>
  <c r="J109" i="43"/>
  <c r="J109" i="50"/>
  <c r="F95" i="49"/>
  <c r="F83" i="42"/>
  <c r="F83" i="49"/>
  <c r="C117" i="48"/>
  <c r="M95" i="43"/>
  <c r="B115" i="41"/>
  <c r="B115" i="48"/>
  <c r="F87" i="43"/>
  <c r="J94" i="40"/>
  <c r="M96" i="47"/>
  <c r="D150" i="41"/>
  <c r="D150" i="48"/>
  <c r="F97" i="40"/>
  <c r="C88" i="49"/>
  <c r="C138" i="40"/>
  <c r="C153" i="41"/>
  <c r="C154" i="41"/>
  <c r="C82" i="49"/>
  <c r="C82" i="42"/>
  <c r="C108" i="42"/>
  <c r="C108" i="49"/>
  <c r="J140" i="47"/>
  <c r="J103" i="50"/>
  <c r="J103" i="43"/>
  <c r="J107" i="50"/>
  <c r="J107" i="43"/>
  <c r="C106" i="50"/>
  <c r="C115" i="43"/>
  <c r="C115" i="50"/>
  <c r="C162" i="47"/>
  <c r="C162" i="40"/>
  <c r="J99" i="40"/>
  <c r="J99" i="47"/>
  <c r="J107" i="42"/>
  <c r="J107" i="49"/>
  <c r="F118" i="50"/>
  <c r="F118" i="43"/>
  <c r="M118" i="49"/>
  <c r="M118" i="42"/>
  <c r="K158" i="48"/>
  <c r="K120" i="48"/>
  <c r="J138" i="47"/>
  <c r="J138" i="40"/>
  <c r="D84" i="42"/>
  <c r="C110" i="42"/>
  <c r="C110" i="49"/>
  <c r="J95" i="47"/>
  <c r="J95" i="40"/>
  <c r="K96" i="47"/>
  <c r="K96" i="40"/>
  <c r="J143" i="47"/>
  <c r="J143" i="40"/>
  <c r="J132" i="47"/>
  <c r="J132" i="40"/>
  <c r="J127" i="47"/>
  <c r="J127" i="40"/>
  <c r="C117" i="42"/>
  <c r="C117" i="49"/>
  <c r="F158" i="48"/>
  <c r="F158" i="41"/>
  <c r="J92" i="41"/>
  <c r="J92" i="48"/>
  <c r="J163" i="47"/>
  <c r="J163" i="40"/>
  <c r="J85" i="50"/>
  <c r="J85" i="43"/>
  <c r="M104" i="47"/>
  <c r="M104" i="40"/>
  <c r="M165" i="48"/>
  <c r="M165" i="41"/>
  <c r="M86" i="49"/>
  <c r="M86" i="42"/>
  <c r="K116" i="43"/>
  <c r="K121" i="50"/>
  <c r="M162" i="48"/>
  <c r="M162" i="41"/>
  <c r="B104" i="48"/>
  <c r="M84" i="49"/>
  <c r="M84" i="42"/>
  <c r="M117" i="41"/>
  <c r="M117" i="48"/>
  <c r="W150" i="48" l="1"/>
  <c r="V150" i="48"/>
  <c r="T150" i="48"/>
  <c r="W160" i="40"/>
  <c r="L44" i="12"/>
  <c r="L172" i="12"/>
  <c r="E99" i="12"/>
  <c r="L39" i="12"/>
  <c r="V96" i="40"/>
  <c r="T96" i="40"/>
  <c r="W96" i="40"/>
  <c r="D312" i="48"/>
  <c r="L176" i="12"/>
  <c r="E74" i="12"/>
  <c r="E126" i="12"/>
  <c r="E29" i="12"/>
  <c r="L30" i="12"/>
  <c r="L26" i="12"/>
  <c r="L41" i="12"/>
  <c r="E97" i="12"/>
  <c r="E137" i="12"/>
  <c r="G165" i="12"/>
  <c r="P165" i="12"/>
  <c r="E22" i="12"/>
  <c r="E21" i="12"/>
  <c r="E39" i="12"/>
  <c r="E143" i="12"/>
  <c r="G174" i="12"/>
  <c r="P174" i="12"/>
  <c r="N173" i="12"/>
  <c r="Q173" i="12"/>
  <c r="L171" i="12"/>
  <c r="G164" i="12"/>
  <c r="P164" i="12"/>
  <c r="D349" i="48"/>
  <c r="U162" i="48"/>
  <c r="D335" i="40"/>
  <c r="P194" i="12"/>
  <c r="G194" i="12"/>
  <c r="L32" i="12"/>
  <c r="G117" i="12"/>
  <c r="E17" i="12"/>
  <c r="L170" i="12"/>
  <c r="E318" i="48"/>
  <c r="U117" i="40"/>
  <c r="D304" i="40"/>
  <c r="U143" i="48"/>
  <c r="D330" i="48"/>
  <c r="L40" i="12"/>
  <c r="E142" i="12"/>
  <c r="Q129" i="12"/>
  <c r="N129" i="12"/>
  <c r="G41" i="12"/>
  <c r="L174" i="12"/>
  <c r="L27" i="12"/>
  <c r="L29" i="12"/>
  <c r="L38" i="12"/>
  <c r="E141" i="12"/>
  <c r="E131" i="12"/>
  <c r="E31" i="12"/>
  <c r="E162" i="12"/>
  <c r="E42" i="12"/>
  <c r="G71" i="12"/>
  <c r="Q55" i="12"/>
  <c r="N55" i="12"/>
  <c r="E20" i="12"/>
  <c r="G44" i="12"/>
  <c r="P44" i="12"/>
  <c r="W136" i="40"/>
  <c r="D348" i="48"/>
  <c r="D340" i="48"/>
  <c r="U153" i="48"/>
  <c r="E279" i="40"/>
  <c r="E96" i="12"/>
  <c r="L31" i="12"/>
  <c r="E76" i="12"/>
  <c r="E140" i="12"/>
  <c r="E19" i="12"/>
  <c r="E43" i="12"/>
  <c r="E315" i="48"/>
  <c r="L42" i="12"/>
  <c r="R136" i="12"/>
  <c r="S136" i="12"/>
  <c r="E136" i="12"/>
  <c r="L28" i="12"/>
  <c r="L33" i="12"/>
  <c r="E32" i="12"/>
  <c r="L43" i="12"/>
  <c r="E94" i="12"/>
  <c r="G18" i="12"/>
  <c r="P18" i="12"/>
  <c r="E33" i="12"/>
  <c r="E16" i="12"/>
  <c r="E98" i="12"/>
  <c r="E93" i="12"/>
  <c r="L175" i="12"/>
  <c r="L37" i="12"/>
  <c r="E319" i="48"/>
  <c r="E312" i="48"/>
  <c r="U131" i="48"/>
  <c r="D318" i="48"/>
  <c r="W93" i="49"/>
  <c r="E283" i="40"/>
  <c r="L130" i="6"/>
  <c r="T130" i="6"/>
  <c r="P130" i="6"/>
  <c r="T510" i="6"/>
  <c r="P510" i="6"/>
  <c r="L510" i="6"/>
  <c r="H290" i="6"/>
  <c r="F290" i="6"/>
  <c r="P125" i="6"/>
  <c r="T125" i="6"/>
  <c r="L125" i="6"/>
  <c r="L514" i="6"/>
  <c r="T514" i="6"/>
  <c r="P514" i="6"/>
  <c r="F223" i="6"/>
  <c r="H380" i="6"/>
  <c r="G94" i="6"/>
  <c r="F94" i="6"/>
  <c r="H94" i="6"/>
  <c r="T95" i="6"/>
  <c r="P95" i="6"/>
  <c r="L95" i="6"/>
  <c r="P91" i="6"/>
  <c r="T91" i="6"/>
  <c r="L91" i="6"/>
  <c r="P127" i="6"/>
  <c r="L127" i="6"/>
  <c r="T127" i="6"/>
  <c r="H288" i="6"/>
  <c r="G288" i="6"/>
  <c r="F288" i="6"/>
  <c r="F412" i="6"/>
  <c r="H412" i="6"/>
  <c r="H66" i="6"/>
  <c r="F66" i="6"/>
  <c r="G66" i="6"/>
  <c r="G65" i="6"/>
  <c r="H65" i="6"/>
  <c r="F65" i="6"/>
  <c r="F125" i="6"/>
  <c r="G418" i="6"/>
  <c r="L509" i="6"/>
  <c r="T509" i="6"/>
  <c r="P509" i="6"/>
  <c r="L97" i="6"/>
  <c r="T97" i="6"/>
  <c r="P97" i="6"/>
  <c r="G61" i="6"/>
  <c r="H61" i="6"/>
  <c r="F61" i="6"/>
  <c r="P508" i="6"/>
  <c r="L508" i="6"/>
  <c r="T508" i="6"/>
  <c r="T302" i="40"/>
  <c r="H125" i="6"/>
  <c r="H223" i="6"/>
  <c r="H417" i="6"/>
  <c r="G417" i="6"/>
  <c r="P512" i="6"/>
  <c r="T512" i="6"/>
  <c r="L512" i="6"/>
  <c r="P92" i="6"/>
  <c r="L92" i="6"/>
  <c r="T92" i="6"/>
  <c r="T94" i="6"/>
  <c r="P94" i="6"/>
  <c r="L94" i="6"/>
  <c r="T124" i="6"/>
  <c r="P124" i="6"/>
  <c r="L124" i="6"/>
  <c r="F416" i="6"/>
  <c r="H416" i="6"/>
  <c r="G416" i="6"/>
  <c r="F385" i="6"/>
  <c r="G96" i="6"/>
  <c r="H96" i="6"/>
  <c r="F96" i="6"/>
  <c r="G479" i="6"/>
  <c r="F479" i="6"/>
  <c r="H479" i="6"/>
  <c r="H128" i="6"/>
  <c r="G64" i="6"/>
  <c r="F64" i="6"/>
  <c r="H64" i="6"/>
  <c r="F287" i="6"/>
  <c r="G287" i="6"/>
  <c r="H287" i="6"/>
  <c r="P96" i="6"/>
  <c r="T96" i="6"/>
  <c r="L96" i="6"/>
  <c r="H225" i="6"/>
  <c r="F225" i="6"/>
  <c r="G415" i="6"/>
  <c r="H63" i="6"/>
  <c r="F63" i="6"/>
  <c r="G63" i="6"/>
  <c r="G129" i="6"/>
  <c r="H129" i="6"/>
  <c r="F415" i="6"/>
  <c r="G412" i="6"/>
  <c r="H418" i="6"/>
  <c r="G223" i="6"/>
  <c r="G225" i="6"/>
  <c r="T128" i="6"/>
  <c r="P128" i="6"/>
  <c r="L128" i="6"/>
  <c r="G411" i="6"/>
  <c r="H411" i="6"/>
  <c r="F411" i="6"/>
  <c r="P93" i="6"/>
  <c r="L93" i="6"/>
  <c r="T93" i="6"/>
  <c r="L98" i="6"/>
  <c r="T98" i="6"/>
  <c r="P98" i="6"/>
  <c r="H97" i="6"/>
  <c r="F97" i="6"/>
  <c r="G97" i="6"/>
  <c r="P129" i="6"/>
  <c r="T129" i="6"/>
  <c r="L129" i="6"/>
  <c r="H285" i="6"/>
  <c r="F285" i="6"/>
  <c r="H98" i="6"/>
  <c r="F98" i="6"/>
  <c r="G98" i="6"/>
  <c r="G60" i="6"/>
  <c r="H60" i="6"/>
  <c r="F60" i="6"/>
  <c r="F289" i="6"/>
  <c r="G289" i="6"/>
  <c r="F284" i="6"/>
  <c r="G284" i="6"/>
  <c r="L513" i="6"/>
  <c r="T513" i="6"/>
  <c r="P513" i="6"/>
  <c r="L123" i="6"/>
  <c r="T123" i="6"/>
  <c r="P123" i="6"/>
  <c r="L53" i="12"/>
  <c r="L136" i="12"/>
  <c r="E105" i="12"/>
  <c r="R103" i="12"/>
  <c r="S103" i="12"/>
  <c r="E103" i="12"/>
  <c r="E153" i="12"/>
  <c r="E152" i="12"/>
  <c r="L162" i="12"/>
  <c r="L159" i="12"/>
  <c r="L73" i="12"/>
  <c r="L71" i="12"/>
  <c r="L60" i="12"/>
  <c r="L64" i="12"/>
  <c r="E59" i="12"/>
  <c r="R59" i="12"/>
  <c r="S59" i="12"/>
  <c r="E66" i="12"/>
  <c r="R4" i="12"/>
  <c r="S4" i="12"/>
  <c r="E4" i="12"/>
  <c r="E5" i="12"/>
  <c r="L149" i="12"/>
  <c r="L150" i="12"/>
  <c r="L97" i="12"/>
  <c r="L96" i="12"/>
  <c r="W83" i="50"/>
  <c r="E159" i="12"/>
  <c r="E108" i="12"/>
  <c r="E107" i="12"/>
  <c r="E148" i="12"/>
  <c r="E150" i="12"/>
  <c r="L164" i="12"/>
  <c r="L165" i="12"/>
  <c r="L50" i="12"/>
  <c r="L75" i="12"/>
  <c r="L70" i="12"/>
  <c r="L62" i="12"/>
  <c r="L63" i="12"/>
  <c r="E62" i="12"/>
  <c r="E65" i="12"/>
  <c r="E7" i="12"/>
  <c r="E6" i="12"/>
  <c r="L147" i="12"/>
  <c r="L154" i="12"/>
  <c r="L92" i="12"/>
  <c r="L93" i="12"/>
  <c r="F79" i="12"/>
  <c r="G81" i="12"/>
  <c r="G79" i="12"/>
  <c r="E270" i="49"/>
  <c r="E163" i="12"/>
  <c r="E109" i="12"/>
  <c r="E106" i="12"/>
  <c r="E149" i="12"/>
  <c r="R147" i="12"/>
  <c r="S147" i="12"/>
  <c r="E147" i="12"/>
  <c r="L158" i="12"/>
  <c r="L160" i="12"/>
  <c r="L48" i="12"/>
  <c r="L74" i="12"/>
  <c r="L77" i="12"/>
  <c r="L61" i="12"/>
  <c r="L59" i="12"/>
  <c r="E60" i="12"/>
  <c r="E64" i="12"/>
  <c r="E9" i="12"/>
  <c r="E10" i="12"/>
  <c r="L153" i="12"/>
  <c r="L151" i="12"/>
  <c r="L94" i="12"/>
  <c r="L95" i="12"/>
  <c r="R158" i="12"/>
  <c r="S158" i="12"/>
  <c r="E158" i="12"/>
  <c r="E110" i="12"/>
  <c r="E104" i="12"/>
  <c r="E154" i="12"/>
  <c r="E151" i="12"/>
  <c r="L161" i="12"/>
  <c r="L163" i="12"/>
  <c r="L49" i="12"/>
  <c r="L76" i="12"/>
  <c r="L72" i="12"/>
  <c r="L65" i="12"/>
  <c r="L66" i="12"/>
  <c r="E63" i="12"/>
  <c r="E61" i="12"/>
  <c r="E8" i="12"/>
  <c r="E11" i="12"/>
  <c r="L148" i="12"/>
  <c r="L152" i="12"/>
  <c r="L98" i="12"/>
  <c r="L99" i="12"/>
  <c r="T160" i="6"/>
  <c r="L160" i="6"/>
  <c r="P160" i="6"/>
  <c r="P411" i="6"/>
  <c r="L411" i="6"/>
  <c r="T411" i="6"/>
  <c r="F317" i="6"/>
  <c r="G317" i="6"/>
  <c r="H317" i="6"/>
  <c r="G315" i="6"/>
  <c r="F315" i="6"/>
  <c r="H315" i="6"/>
  <c r="F449" i="6"/>
  <c r="H449" i="6"/>
  <c r="G449" i="6"/>
  <c r="F448" i="6"/>
  <c r="G448" i="6"/>
  <c r="H448" i="6"/>
  <c r="P479" i="6"/>
  <c r="L479" i="6"/>
  <c r="T479" i="6"/>
  <c r="T476" i="6"/>
  <c r="L476" i="6"/>
  <c r="P476" i="6"/>
  <c r="L222" i="6"/>
  <c r="T222" i="6"/>
  <c r="P222" i="6"/>
  <c r="L220" i="6"/>
  <c r="T220" i="6"/>
  <c r="P220" i="6"/>
  <c r="P188" i="6"/>
  <c r="T188" i="6"/>
  <c r="L188" i="6"/>
  <c r="T192" i="6"/>
  <c r="L192" i="6"/>
  <c r="P192" i="6"/>
  <c r="F187" i="6"/>
  <c r="H187" i="6"/>
  <c r="G187" i="6"/>
  <c r="G194" i="6"/>
  <c r="H194" i="6"/>
  <c r="F194" i="6"/>
  <c r="H27" i="6"/>
  <c r="F27" i="6"/>
  <c r="G27" i="6"/>
  <c r="F28" i="6"/>
  <c r="G28" i="6"/>
  <c r="H28" i="6"/>
  <c r="T445" i="6"/>
  <c r="P445" i="6"/>
  <c r="L445" i="6"/>
  <c r="T446" i="6"/>
  <c r="L446" i="6"/>
  <c r="P446" i="6"/>
  <c r="L288" i="6"/>
  <c r="T288" i="6"/>
  <c r="P288" i="6"/>
  <c r="P287" i="6"/>
  <c r="L287" i="6"/>
  <c r="T287" i="6"/>
  <c r="F476" i="6"/>
  <c r="G476" i="6"/>
  <c r="H476" i="6"/>
  <c r="H320" i="6"/>
  <c r="G320" i="6"/>
  <c r="F320" i="6"/>
  <c r="G319" i="6"/>
  <c r="F319" i="6"/>
  <c r="H319" i="6"/>
  <c r="G444" i="6"/>
  <c r="H444" i="6"/>
  <c r="F444" i="6"/>
  <c r="F446" i="6"/>
  <c r="G446" i="6"/>
  <c r="H446" i="6"/>
  <c r="L481" i="6"/>
  <c r="P481" i="6"/>
  <c r="T481" i="6"/>
  <c r="L482" i="6"/>
  <c r="T482" i="6"/>
  <c r="P482" i="6"/>
  <c r="T157" i="6"/>
  <c r="P157" i="6"/>
  <c r="L157" i="6"/>
  <c r="T224" i="6"/>
  <c r="L224" i="6"/>
  <c r="P224" i="6"/>
  <c r="P219" i="6"/>
  <c r="L219" i="6"/>
  <c r="T219" i="6"/>
  <c r="L190" i="6"/>
  <c r="P190" i="6"/>
  <c r="T190" i="6"/>
  <c r="T191" i="6"/>
  <c r="L191" i="6"/>
  <c r="P191" i="6"/>
  <c r="F190" i="6"/>
  <c r="H190" i="6"/>
  <c r="G190" i="6"/>
  <c r="H193" i="6"/>
  <c r="F193" i="6"/>
  <c r="G193" i="6"/>
  <c r="F30" i="6"/>
  <c r="H30" i="6"/>
  <c r="G30" i="6"/>
  <c r="G29" i="6"/>
  <c r="H29" i="6"/>
  <c r="F29" i="6"/>
  <c r="T443" i="6"/>
  <c r="P443" i="6"/>
  <c r="L443" i="6"/>
  <c r="P450" i="6"/>
  <c r="L450" i="6"/>
  <c r="T450" i="6"/>
  <c r="T283" i="6"/>
  <c r="P283" i="6"/>
  <c r="L283" i="6"/>
  <c r="T284" i="6"/>
  <c r="L284" i="6"/>
  <c r="P284" i="6"/>
  <c r="N20" i="34"/>
  <c r="V20" i="34" s="1"/>
  <c r="F480" i="6"/>
  <c r="G480" i="6"/>
  <c r="H480" i="6"/>
  <c r="H321" i="6"/>
  <c r="G321" i="6"/>
  <c r="F321" i="6"/>
  <c r="G318" i="6"/>
  <c r="H318" i="6"/>
  <c r="F318" i="6"/>
  <c r="G445" i="6"/>
  <c r="F445" i="6"/>
  <c r="H445" i="6"/>
  <c r="F443" i="6"/>
  <c r="G443" i="6"/>
  <c r="H443" i="6"/>
  <c r="L475" i="6"/>
  <c r="T475" i="6"/>
  <c r="P475" i="6"/>
  <c r="T477" i="6"/>
  <c r="L477" i="6"/>
  <c r="P477" i="6"/>
  <c r="T155" i="6"/>
  <c r="P155" i="6"/>
  <c r="L155" i="6"/>
  <c r="T223" i="6"/>
  <c r="L223" i="6"/>
  <c r="P223" i="6"/>
  <c r="T226" i="6"/>
  <c r="P226" i="6"/>
  <c r="L226" i="6"/>
  <c r="P189" i="6"/>
  <c r="L189" i="6"/>
  <c r="T189" i="6"/>
  <c r="P187" i="6"/>
  <c r="L187" i="6"/>
  <c r="T187" i="6"/>
  <c r="F188" i="6"/>
  <c r="G188" i="6"/>
  <c r="H188" i="6"/>
  <c r="G192" i="6"/>
  <c r="F192" i="6"/>
  <c r="H192" i="6"/>
  <c r="F32" i="6"/>
  <c r="G32" i="6"/>
  <c r="H32" i="6"/>
  <c r="F33" i="6"/>
  <c r="H33" i="6"/>
  <c r="G33" i="6"/>
  <c r="L449" i="6"/>
  <c r="T449" i="6"/>
  <c r="P449" i="6"/>
  <c r="P447" i="6"/>
  <c r="T447" i="6"/>
  <c r="L447" i="6"/>
  <c r="L285" i="6"/>
  <c r="T285" i="6"/>
  <c r="P285" i="6"/>
  <c r="P286" i="6"/>
  <c r="L286" i="6"/>
  <c r="T286" i="6"/>
  <c r="H475" i="6"/>
  <c r="F475" i="6"/>
  <c r="G475" i="6"/>
  <c r="F322" i="6"/>
  <c r="H322" i="6"/>
  <c r="G322" i="6"/>
  <c r="F316" i="6"/>
  <c r="G316" i="6"/>
  <c r="H316" i="6"/>
  <c r="F450" i="6"/>
  <c r="H450" i="6"/>
  <c r="G450" i="6"/>
  <c r="H447" i="6"/>
  <c r="G447" i="6"/>
  <c r="F447" i="6"/>
  <c r="T478" i="6"/>
  <c r="L478" i="6"/>
  <c r="P478" i="6"/>
  <c r="L480" i="6"/>
  <c r="P480" i="6"/>
  <c r="T480" i="6"/>
  <c r="T156" i="6"/>
  <c r="P156" i="6"/>
  <c r="L156" i="6"/>
  <c r="T225" i="6"/>
  <c r="L225" i="6"/>
  <c r="P225" i="6"/>
  <c r="L221" i="6"/>
  <c r="P221" i="6"/>
  <c r="T221" i="6"/>
  <c r="T193" i="6"/>
  <c r="P193" i="6"/>
  <c r="L193" i="6"/>
  <c r="P194" i="6"/>
  <c r="L194" i="6"/>
  <c r="T194" i="6"/>
  <c r="G191" i="6"/>
  <c r="H191" i="6"/>
  <c r="F191" i="6"/>
  <c r="F189" i="6"/>
  <c r="H189" i="6"/>
  <c r="G189" i="6"/>
  <c r="F31" i="6"/>
  <c r="H31" i="6"/>
  <c r="G31" i="6"/>
  <c r="G34" i="6"/>
  <c r="F34" i="6"/>
  <c r="H34" i="6"/>
  <c r="P444" i="6"/>
  <c r="L444" i="6"/>
  <c r="T444" i="6"/>
  <c r="T448" i="6"/>
  <c r="L448" i="6"/>
  <c r="P448" i="6"/>
  <c r="P289" i="6"/>
  <c r="T289" i="6"/>
  <c r="L289" i="6"/>
  <c r="P290" i="6"/>
  <c r="T290" i="6"/>
  <c r="L290" i="6"/>
  <c r="V143" i="40"/>
  <c r="W143" i="40"/>
  <c r="T143" i="40"/>
  <c r="W107" i="50"/>
  <c r="N40" i="12"/>
  <c r="Q40" i="12"/>
  <c r="U151" i="48"/>
  <c r="D338" i="48"/>
  <c r="D334" i="40"/>
  <c r="V96" i="49"/>
  <c r="W96" i="49"/>
  <c r="T96" i="49"/>
  <c r="E330" i="48"/>
  <c r="W138" i="48"/>
  <c r="Z139" i="48"/>
  <c r="E327" i="48"/>
  <c r="Z114" i="40"/>
  <c r="E329" i="48"/>
  <c r="W136" i="48"/>
  <c r="Z121" i="40"/>
  <c r="Z112" i="40"/>
  <c r="E326" i="48"/>
  <c r="N82" i="12"/>
  <c r="W127" i="48"/>
  <c r="W129" i="48"/>
  <c r="Z120" i="40"/>
  <c r="W84" i="50"/>
  <c r="V92" i="40"/>
  <c r="V93" i="40"/>
  <c r="G38" i="12"/>
  <c r="P121" i="12"/>
  <c r="G121" i="12"/>
  <c r="P120" i="12"/>
  <c r="G120" i="12"/>
  <c r="W140" i="48"/>
  <c r="W159" i="40"/>
  <c r="E292" i="40"/>
  <c r="V88" i="49"/>
  <c r="T88" i="49"/>
  <c r="W88" i="49"/>
  <c r="W163" i="40"/>
  <c r="T163" i="40"/>
  <c r="V163" i="40"/>
  <c r="G176" i="12"/>
  <c r="P176" i="12"/>
  <c r="G93" i="12"/>
  <c r="G75" i="12"/>
  <c r="P75" i="12"/>
  <c r="N85" i="12"/>
  <c r="Q85" i="12"/>
  <c r="N236" i="12"/>
  <c r="Q236" i="12"/>
  <c r="D341" i="40"/>
  <c r="U154" i="40"/>
  <c r="D307" i="49"/>
  <c r="T307" i="49" s="1"/>
  <c r="U120" i="49"/>
  <c r="D302" i="50"/>
  <c r="N88" i="12"/>
  <c r="Q88" i="12"/>
  <c r="N235" i="12"/>
  <c r="G140" i="12"/>
  <c r="N104" i="12"/>
  <c r="P98" i="12"/>
  <c r="G98" i="12"/>
  <c r="N205" i="12"/>
  <c r="Q205" i="12"/>
  <c r="W125" i="48"/>
  <c r="E293" i="40"/>
  <c r="W95" i="40"/>
  <c r="W161" i="40"/>
  <c r="W92" i="40"/>
  <c r="E306" i="50"/>
  <c r="D336" i="40"/>
  <c r="U149" i="40"/>
  <c r="U109" i="40"/>
  <c r="D296" i="40"/>
  <c r="V296" i="40" s="1"/>
  <c r="D279" i="50"/>
  <c r="G84" i="12"/>
  <c r="G138" i="12"/>
  <c r="N9" i="12"/>
  <c r="Q9" i="12"/>
  <c r="N107" i="12"/>
  <c r="Q107" i="12"/>
  <c r="N204" i="12"/>
  <c r="G95" i="12"/>
  <c r="E285" i="50"/>
  <c r="E337" i="40"/>
  <c r="E286" i="50"/>
  <c r="E284" i="50"/>
  <c r="E346" i="48"/>
  <c r="G131" i="12"/>
  <c r="P131" i="12"/>
  <c r="E302" i="49"/>
  <c r="E339" i="40"/>
  <c r="E303" i="49"/>
  <c r="W159" i="48"/>
  <c r="E349" i="48"/>
  <c r="E280" i="50"/>
  <c r="D307" i="50"/>
  <c r="T307" i="50" s="1"/>
  <c r="U120" i="50"/>
  <c r="E279" i="50"/>
  <c r="E305" i="50"/>
  <c r="N128" i="12"/>
  <c r="Q128" i="12"/>
  <c r="U121" i="50"/>
  <c r="D308" i="50"/>
  <c r="V308" i="50" s="1"/>
  <c r="G129" i="12"/>
  <c r="P129" i="12"/>
  <c r="G132" i="12"/>
  <c r="P132" i="12"/>
  <c r="E305" i="49"/>
  <c r="E336" i="40"/>
  <c r="E297" i="40"/>
  <c r="E294" i="40"/>
  <c r="E307" i="49"/>
  <c r="E291" i="40"/>
  <c r="E350" i="48"/>
  <c r="E304" i="49"/>
  <c r="E347" i="48"/>
  <c r="E290" i="40"/>
  <c r="E306" i="49"/>
  <c r="E308" i="49"/>
  <c r="E296" i="40"/>
  <c r="W162" i="48"/>
  <c r="E341" i="40"/>
  <c r="E335" i="40"/>
  <c r="E340" i="40"/>
  <c r="E351" i="48"/>
  <c r="E352" i="48"/>
  <c r="E308" i="50"/>
  <c r="E304" i="50"/>
  <c r="E307" i="50"/>
  <c r="E303" i="50"/>
  <c r="E302" i="50"/>
  <c r="D345" i="48"/>
  <c r="E345" i="48"/>
  <c r="N81" i="12"/>
  <c r="N142" i="12"/>
  <c r="Q142" i="12"/>
  <c r="D269" i="49"/>
  <c r="T305" i="40"/>
  <c r="U86" i="49"/>
  <c r="D273" i="49"/>
  <c r="U88" i="49"/>
  <c r="D275" i="49"/>
  <c r="N143" i="12"/>
  <c r="Q143" i="12"/>
  <c r="E269" i="49"/>
  <c r="E273" i="49"/>
  <c r="N139" i="12"/>
  <c r="N140" i="12"/>
  <c r="Q140" i="12"/>
  <c r="N141" i="12"/>
  <c r="Q141" i="12"/>
  <c r="E274" i="49"/>
  <c r="E275" i="49"/>
  <c r="E271" i="49"/>
  <c r="E272" i="49"/>
  <c r="T308" i="40"/>
  <c r="V274" i="49"/>
  <c r="T274" i="49"/>
  <c r="W114" i="50"/>
  <c r="W116" i="50"/>
  <c r="F123" i="12"/>
  <c r="G125" i="12"/>
  <c r="G123" i="12"/>
  <c r="T141" i="48"/>
  <c r="W141" i="48"/>
  <c r="V141" i="48"/>
  <c r="W105" i="50"/>
  <c r="D335" i="48"/>
  <c r="V164" i="48"/>
  <c r="T164" i="48"/>
  <c r="W164" i="48"/>
  <c r="T87" i="49"/>
  <c r="V87" i="49"/>
  <c r="W87" i="49"/>
  <c r="V95" i="40"/>
  <c r="W94" i="40"/>
  <c r="V94" i="40"/>
  <c r="V98" i="40"/>
  <c r="W98" i="40"/>
  <c r="T98" i="40"/>
  <c r="U96" i="40"/>
  <c r="D283" i="40"/>
  <c r="V283" i="40" s="1"/>
  <c r="T165" i="40"/>
  <c r="V165" i="40"/>
  <c r="W165" i="40"/>
  <c r="D284" i="49"/>
  <c r="V284" i="49" s="1"/>
  <c r="U97" i="49"/>
  <c r="G127" i="12"/>
  <c r="W128" i="48"/>
  <c r="D326" i="40"/>
  <c r="V326" i="40" s="1"/>
  <c r="U139" i="40"/>
  <c r="W83" i="49"/>
  <c r="W98" i="49"/>
  <c r="V98" i="49"/>
  <c r="T98" i="49"/>
  <c r="W131" i="48"/>
  <c r="T131" i="48"/>
  <c r="V131" i="48"/>
  <c r="W95" i="49"/>
  <c r="U163" i="48"/>
  <c r="D350" i="48"/>
  <c r="T350" i="48" s="1"/>
  <c r="D315" i="48"/>
  <c r="V130" i="48"/>
  <c r="W130" i="48"/>
  <c r="T130" i="48"/>
  <c r="D326" i="48"/>
  <c r="D340" i="40"/>
  <c r="V340" i="40" s="1"/>
  <c r="U153" i="40"/>
  <c r="D286" i="50"/>
  <c r="T286" i="50" s="1"/>
  <c r="U99" i="50"/>
  <c r="D280" i="50"/>
  <c r="U98" i="49"/>
  <c r="D285" i="49"/>
  <c r="V285" i="49" s="1"/>
  <c r="D297" i="40"/>
  <c r="T297" i="40" s="1"/>
  <c r="U110" i="40"/>
  <c r="D336" i="48"/>
  <c r="T304" i="50"/>
  <c r="V304" i="50"/>
  <c r="T306" i="50"/>
  <c r="V306" i="50"/>
  <c r="U95" i="50"/>
  <c r="D282" i="50"/>
  <c r="T282" i="50" s="1"/>
  <c r="E281" i="50"/>
  <c r="Z117" i="50"/>
  <c r="T119" i="50"/>
  <c r="W119" i="50"/>
  <c r="V119" i="50"/>
  <c r="Z119" i="50"/>
  <c r="E282" i="50"/>
  <c r="E283" i="50"/>
  <c r="D347" i="48"/>
  <c r="D305" i="48"/>
  <c r="U118" i="48"/>
  <c r="U120" i="48"/>
  <c r="D307" i="48"/>
  <c r="U117" i="48"/>
  <c r="D304" i="48"/>
  <c r="E208" i="12"/>
  <c r="E206" i="12"/>
  <c r="E202" i="12"/>
  <c r="S202" i="12"/>
  <c r="R202" i="12"/>
  <c r="E204" i="12"/>
  <c r="E187" i="12"/>
  <c r="E183" i="12"/>
  <c r="E186" i="12"/>
  <c r="E181" i="12"/>
  <c r="E227" i="12"/>
  <c r="E229" i="12"/>
  <c r="E225" i="12"/>
  <c r="E231" i="12"/>
  <c r="E226" i="12"/>
  <c r="E240" i="12"/>
  <c r="S235" i="12"/>
  <c r="R235" i="12"/>
  <c r="E235" i="12"/>
  <c r="E241" i="12"/>
  <c r="E239" i="12"/>
  <c r="N225" i="12"/>
  <c r="Q225" i="12"/>
  <c r="L186" i="12"/>
  <c r="L184" i="12"/>
  <c r="L185" i="12"/>
  <c r="L183" i="12"/>
  <c r="N229" i="12"/>
  <c r="Q229" i="12"/>
  <c r="N227" i="12"/>
  <c r="Q227" i="12"/>
  <c r="Z162" i="48"/>
  <c r="Z164" i="48"/>
  <c r="W103" i="50"/>
  <c r="Z98" i="40"/>
  <c r="Z93" i="40"/>
  <c r="Z160" i="40"/>
  <c r="Z136" i="48"/>
  <c r="Z140" i="48"/>
  <c r="Z99" i="49"/>
  <c r="Z93" i="49"/>
  <c r="W92" i="49"/>
  <c r="Z96" i="49"/>
  <c r="E302" i="48"/>
  <c r="U130" i="48"/>
  <c r="D317" i="48"/>
  <c r="Z127" i="48"/>
  <c r="Z129" i="48"/>
  <c r="Z134" i="40"/>
  <c r="Z107" i="50"/>
  <c r="Z92" i="40"/>
  <c r="Z90" i="40"/>
  <c r="Z94" i="40"/>
  <c r="Z156" i="40"/>
  <c r="Z137" i="48"/>
  <c r="Z98" i="49"/>
  <c r="Z101" i="49"/>
  <c r="E305" i="48"/>
  <c r="D319" i="48"/>
  <c r="U132" i="48"/>
  <c r="D282" i="49"/>
  <c r="U95" i="49"/>
  <c r="T132" i="48"/>
  <c r="W132" i="48"/>
  <c r="V132" i="48"/>
  <c r="Z104" i="50"/>
  <c r="Z101" i="50"/>
  <c r="T87" i="50"/>
  <c r="V87" i="50"/>
  <c r="W87" i="50"/>
  <c r="Z83" i="50"/>
  <c r="D339" i="40"/>
  <c r="U152" i="40"/>
  <c r="Z95" i="40"/>
  <c r="Z141" i="48"/>
  <c r="Z92" i="49"/>
  <c r="E308" i="48"/>
  <c r="Z147" i="48"/>
  <c r="D294" i="40"/>
  <c r="U107" i="40"/>
  <c r="D285" i="50"/>
  <c r="U98" i="50"/>
  <c r="D316" i="48"/>
  <c r="U129" i="48"/>
  <c r="Z125" i="48"/>
  <c r="W158" i="48"/>
  <c r="Z161" i="40"/>
  <c r="Z165" i="40"/>
  <c r="Z143" i="48"/>
  <c r="U150" i="48"/>
  <c r="D337" i="48"/>
  <c r="U164" i="48"/>
  <c r="D351" i="48"/>
  <c r="E207" i="12"/>
  <c r="E203" i="12"/>
  <c r="E209" i="12"/>
  <c r="E205" i="12"/>
  <c r="E185" i="12"/>
  <c r="E184" i="12"/>
  <c r="E182" i="12"/>
  <c r="S180" i="12"/>
  <c r="R180" i="12"/>
  <c r="E180" i="12"/>
  <c r="E228" i="12"/>
  <c r="E230" i="12"/>
  <c r="S224" i="12"/>
  <c r="E224" i="12"/>
  <c r="R224" i="12"/>
  <c r="E238" i="12"/>
  <c r="E236" i="12"/>
  <c r="E242" i="12"/>
  <c r="E237" i="12"/>
  <c r="L181" i="12"/>
  <c r="L180" i="12"/>
  <c r="L182" i="12"/>
  <c r="L187" i="12"/>
  <c r="N228" i="12"/>
  <c r="Q228" i="12"/>
  <c r="N231" i="12"/>
  <c r="Q231" i="12"/>
  <c r="N230" i="12"/>
  <c r="Q230" i="12"/>
  <c r="N224" i="12"/>
  <c r="Q224" i="12"/>
  <c r="Z134" i="48"/>
  <c r="W94" i="49"/>
  <c r="Z94" i="49"/>
  <c r="Z84" i="49"/>
  <c r="Z160" i="48"/>
  <c r="Z159" i="48"/>
  <c r="Z136" i="40"/>
  <c r="W137" i="40"/>
  <c r="Z105" i="50"/>
  <c r="Z158" i="40"/>
  <c r="Z103" i="49"/>
  <c r="Z130" i="48"/>
  <c r="Z163" i="48"/>
  <c r="W161" i="48"/>
  <c r="Z139" i="40"/>
  <c r="Z103" i="50"/>
  <c r="W88" i="50"/>
  <c r="V88" i="50"/>
  <c r="T88" i="50"/>
  <c r="D337" i="40"/>
  <c r="U150" i="40"/>
  <c r="Z138" i="48"/>
  <c r="W99" i="49"/>
  <c r="T99" i="49"/>
  <c r="V99" i="49"/>
  <c r="Z90" i="49"/>
  <c r="E306" i="48"/>
  <c r="Z145" i="48"/>
  <c r="U108" i="40"/>
  <c r="D295" i="40"/>
  <c r="Z123" i="48"/>
  <c r="Z126" i="48"/>
  <c r="Z165" i="48"/>
  <c r="Z84" i="50"/>
  <c r="Z96" i="40"/>
  <c r="W142" i="48"/>
  <c r="T142" i="48"/>
  <c r="V142" i="48"/>
  <c r="Z142" i="48"/>
  <c r="Z97" i="49"/>
  <c r="U96" i="49"/>
  <c r="D283" i="49"/>
  <c r="W103" i="49"/>
  <c r="D306" i="49"/>
  <c r="U119" i="49"/>
  <c r="E307" i="48"/>
  <c r="E301" i="48"/>
  <c r="E304" i="48"/>
  <c r="D293" i="40"/>
  <c r="U106" i="40"/>
  <c r="D291" i="40"/>
  <c r="U104" i="40"/>
  <c r="G97" i="14"/>
  <c r="H97" i="14"/>
  <c r="F97" i="14"/>
  <c r="F95" i="14"/>
  <c r="G95" i="14"/>
  <c r="H95" i="14"/>
  <c r="H91" i="14"/>
  <c r="G91" i="14"/>
  <c r="F91" i="14"/>
  <c r="G93" i="14"/>
  <c r="H93" i="14"/>
  <c r="F93" i="14"/>
  <c r="G34" i="14"/>
  <c r="H34" i="14"/>
  <c r="F34" i="14"/>
  <c r="H30" i="14"/>
  <c r="F30" i="14"/>
  <c r="G30" i="14"/>
  <c r="F33" i="14"/>
  <c r="H33" i="14"/>
  <c r="G33" i="14"/>
  <c r="G28" i="14"/>
  <c r="H28" i="14"/>
  <c r="F28" i="14"/>
  <c r="H158" i="14"/>
  <c r="F158" i="14"/>
  <c r="G158" i="14"/>
  <c r="H160" i="14"/>
  <c r="F160" i="14"/>
  <c r="G160" i="14"/>
  <c r="F156" i="14"/>
  <c r="G156" i="14"/>
  <c r="H156" i="14"/>
  <c r="G162" i="14"/>
  <c r="F162" i="14"/>
  <c r="H162" i="14"/>
  <c r="G157" i="14"/>
  <c r="F157" i="14"/>
  <c r="H157" i="14"/>
  <c r="H192" i="14"/>
  <c r="G192" i="14"/>
  <c r="F192" i="14"/>
  <c r="H187" i="14"/>
  <c r="G187" i="14"/>
  <c r="F187" i="14"/>
  <c r="G193" i="14"/>
  <c r="H193" i="14"/>
  <c r="F193" i="14"/>
  <c r="G191" i="14"/>
  <c r="F191" i="14"/>
  <c r="H191" i="14"/>
  <c r="Z33" i="14"/>
  <c r="T33" i="14"/>
  <c r="N33" i="14"/>
  <c r="N31" i="14"/>
  <c r="T31" i="14"/>
  <c r="Z31" i="14"/>
  <c r="N32" i="14"/>
  <c r="Z32" i="14"/>
  <c r="T32" i="14"/>
  <c r="T30" i="14"/>
  <c r="N30" i="14"/>
  <c r="Z30" i="14"/>
  <c r="T306" i="40"/>
  <c r="V306" i="40"/>
  <c r="T341" i="48"/>
  <c r="V341" i="48"/>
  <c r="V349" i="48"/>
  <c r="T349" i="48"/>
  <c r="T281" i="49"/>
  <c r="V281" i="49"/>
  <c r="T341" i="40"/>
  <c r="V341" i="40"/>
  <c r="V329" i="48"/>
  <c r="T329" i="48"/>
  <c r="T352" i="48"/>
  <c r="V352" i="48"/>
  <c r="T303" i="48"/>
  <c r="V303" i="48"/>
  <c r="T336" i="40"/>
  <c r="V336" i="40"/>
  <c r="T338" i="40"/>
  <c r="V338" i="40"/>
  <c r="T286" i="49"/>
  <c r="V286" i="49"/>
  <c r="V339" i="48"/>
  <c r="T339" i="48"/>
  <c r="V350" i="48"/>
  <c r="V305" i="49"/>
  <c r="T305" i="49"/>
  <c r="F96" i="14"/>
  <c r="G96" i="14"/>
  <c r="H96" i="14"/>
  <c r="G92" i="14"/>
  <c r="F92" i="14"/>
  <c r="H92" i="14"/>
  <c r="F98" i="14"/>
  <c r="H98" i="14"/>
  <c r="G98" i="14"/>
  <c r="H94" i="14"/>
  <c r="G94" i="14"/>
  <c r="F94" i="14"/>
  <c r="H32" i="14"/>
  <c r="G32" i="14"/>
  <c r="F32" i="14"/>
  <c r="G31" i="14"/>
  <c r="F31" i="14"/>
  <c r="H31" i="14"/>
  <c r="G29" i="14"/>
  <c r="F29" i="14"/>
  <c r="H29" i="14"/>
  <c r="F27" i="14"/>
  <c r="G27" i="14"/>
  <c r="H27" i="14"/>
  <c r="F159" i="14"/>
  <c r="G159" i="14"/>
  <c r="H159" i="14"/>
  <c r="H161" i="14"/>
  <c r="G161" i="14"/>
  <c r="F161" i="14"/>
  <c r="H155" i="14"/>
  <c r="F155" i="14"/>
  <c r="G155" i="14"/>
  <c r="G190" i="14"/>
  <c r="H190" i="14"/>
  <c r="F190" i="14"/>
  <c r="G188" i="14"/>
  <c r="F188" i="14"/>
  <c r="H188" i="14"/>
  <c r="F194" i="14"/>
  <c r="H194" i="14"/>
  <c r="G194" i="14"/>
  <c r="G189" i="14"/>
  <c r="F189" i="14"/>
  <c r="H189" i="14"/>
  <c r="N28" i="14"/>
  <c r="Z28" i="14"/>
  <c r="T28" i="14"/>
  <c r="Z27" i="14"/>
  <c r="T27" i="14"/>
  <c r="N27" i="14"/>
  <c r="N29" i="14"/>
  <c r="T29" i="14"/>
  <c r="Z29" i="14"/>
  <c r="N34" i="14"/>
  <c r="Z34" i="14"/>
  <c r="T34" i="14"/>
  <c r="V338" i="48"/>
  <c r="T338" i="48"/>
  <c r="V318" i="48"/>
  <c r="T318" i="48"/>
  <c r="T283" i="50"/>
  <c r="V283" i="50"/>
  <c r="V340" i="48"/>
  <c r="T340" i="48"/>
  <c r="T304" i="49"/>
  <c r="V304" i="49"/>
  <c r="V330" i="48"/>
  <c r="T330" i="48"/>
  <c r="I259" i="44"/>
  <c r="E259" i="44"/>
  <c r="D259" i="44"/>
  <c r="I257" i="44"/>
  <c r="E257" i="44"/>
  <c r="D257" i="44"/>
  <c r="E260" i="44"/>
  <c r="I260" i="44"/>
  <c r="D260" i="44"/>
  <c r="D262" i="44"/>
  <c r="I262" i="44"/>
  <c r="E262" i="44"/>
  <c r="I258" i="44"/>
  <c r="E258" i="44"/>
  <c r="D258" i="44"/>
  <c r="E261" i="44"/>
  <c r="D261" i="44"/>
  <c r="I261" i="44"/>
  <c r="K250" i="44"/>
  <c r="J250" i="44"/>
  <c r="J251" i="44"/>
  <c r="K251" i="44"/>
  <c r="P251" i="44"/>
  <c r="V251" i="44"/>
  <c r="K248" i="44"/>
  <c r="J248" i="44"/>
  <c r="V246" i="44"/>
  <c r="P246" i="44"/>
  <c r="P248" i="44"/>
  <c r="V248" i="44"/>
  <c r="J246" i="44"/>
  <c r="K246" i="44"/>
  <c r="P249" i="44"/>
  <c r="V249" i="44"/>
  <c r="K249" i="44"/>
  <c r="J249" i="44"/>
  <c r="P250" i="44"/>
  <c r="V250" i="44"/>
  <c r="P247" i="44"/>
  <c r="V247" i="44"/>
  <c r="K247" i="44"/>
  <c r="J247" i="44"/>
  <c r="A268" i="44"/>
  <c r="E266" i="44"/>
  <c r="A271" i="44"/>
  <c r="A273" i="44"/>
  <c r="A267" i="44"/>
  <c r="A272" i="44"/>
  <c r="A275" i="44"/>
  <c r="B266" i="44"/>
  <c r="A274" i="44" s="1"/>
  <c r="A270" i="44"/>
  <c r="H266" i="44"/>
  <c r="C273" i="44"/>
  <c r="C271" i="44"/>
  <c r="C270" i="44"/>
  <c r="C269" i="44"/>
  <c r="C272" i="44"/>
  <c r="C268" i="44"/>
  <c r="A280" i="44"/>
  <c r="C107" i="40"/>
  <c r="P81" i="12"/>
  <c r="L138" i="40"/>
  <c r="L138" i="47"/>
  <c r="K158" i="41"/>
  <c r="E162" i="47"/>
  <c r="E162" i="40"/>
  <c r="E106" i="50"/>
  <c r="E106" i="43"/>
  <c r="L103" i="50"/>
  <c r="L103" i="43"/>
  <c r="C154" i="48"/>
  <c r="E153" i="48"/>
  <c r="E153" i="41"/>
  <c r="C88" i="42"/>
  <c r="M96" i="40"/>
  <c r="L94" i="47"/>
  <c r="L94" i="40"/>
  <c r="F99" i="40"/>
  <c r="K121" i="48"/>
  <c r="F95" i="42"/>
  <c r="B97" i="50"/>
  <c r="D106" i="49"/>
  <c r="K115" i="41"/>
  <c r="E87" i="42"/>
  <c r="E87" i="49"/>
  <c r="G140" i="40"/>
  <c r="G140" i="47"/>
  <c r="L106" i="43"/>
  <c r="L106" i="50"/>
  <c r="L137" i="47"/>
  <c r="L137" i="40"/>
  <c r="E120" i="43"/>
  <c r="E120" i="50"/>
  <c r="G159" i="40"/>
  <c r="G159" i="47"/>
  <c r="B108" i="40"/>
  <c r="F121" i="50"/>
  <c r="E107" i="42"/>
  <c r="E107" i="49"/>
  <c r="E164" i="40"/>
  <c r="E164" i="47"/>
  <c r="E142" i="47"/>
  <c r="E142" i="40"/>
  <c r="C107" i="41"/>
  <c r="I108" i="48"/>
  <c r="B120" i="48"/>
  <c r="C81" i="49"/>
  <c r="E81" i="49"/>
  <c r="E81" i="42"/>
  <c r="L142" i="47"/>
  <c r="L142" i="40"/>
  <c r="L98" i="47"/>
  <c r="L98" i="40"/>
  <c r="K44" i="12"/>
  <c r="M176" i="12"/>
  <c r="K26" i="12"/>
  <c r="F97" i="12"/>
  <c r="F137" i="12"/>
  <c r="K32" i="12"/>
  <c r="F17" i="12"/>
  <c r="M170" i="12"/>
  <c r="F142" i="12"/>
  <c r="K174" i="12"/>
  <c r="M29" i="12"/>
  <c r="D31" i="12"/>
  <c r="F42" i="12"/>
  <c r="D96" i="12"/>
  <c r="M31" i="12"/>
  <c r="F143" i="12"/>
  <c r="D136" i="12"/>
  <c r="K33" i="12"/>
  <c r="D32" i="12"/>
  <c r="K43" i="12"/>
  <c r="D33" i="12"/>
  <c r="D16" i="12"/>
  <c r="K37" i="12"/>
  <c r="L141" i="41"/>
  <c r="R114" i="42"/>
  <c r="L130" i="47"/>
  <c r="L87" i="50"/>
  <c r="L128" i="40"/>
  <c r="G158" i="48"/>
  <c r="L81" i="50"/>
  <c r="E152" i="40"/>
  <c r="L106" i="49"/>
  <c r="L160" i="47"/>
  <c r="L110" i="49"/>
  <c r="K64" i="12"/>
  <c r="K96" i="12"/>
  <c r="K165" i="12"/>
  <c r="F6" i="12"/>
  <c r="D109" i="12"/>
  <c r="F64" i="12"/>
  <c r="D158" i="12"/>
  <c r="M72" i="12"/>
  <c r="E97" i="48"/>
  <c r="E132" i="47"/>
  <c r="L108" i="49"/>
  <c r="L163" i="40"/>
  <c r="E149" i="40"/>
  <c r="G156" i="48"/>
  <c r="R92" i="41"/>
  <c r="L165" i="40"/>
  <c r="R81" i="43"/>
  <c r="E96" i="41"/>
  <c r="L131" i="40"/>
  <c r="E154" i="40"/>
  <c r="K71" i="12"/>
  <c r="M150" i="12"/>
  <c r="D107" i="12"/>
  <c r="K50" i="12"/>
  <c r="F163" i="12"/>
  <c r="K59" i="12"/>
  <c r="K94" i="12"/>
  <c r="D151" i="12"/>
  <c r="D63" i="12"/>
  <c r="M99" i="12"/>
  <c r="E114" i="42"/>
  <c r="E125" i="40"/>
  <c r="E82" i="43"/>
  <c r="L88" i="50"/>
  <c r="L92" i="41"/>
  <c r="L136" i="48"/>
  <c r="E153" i="40"/>
  <c r="E115" i="49"/>
  <c r="L164" i="47"/>
  <c r="L109" i="42"/>
  <c r="D153" i="12"/>
  <c r="K60" i="12"/>
  <c r="K150" i="12"/>
  <c r="M75" i="12"/>
  <c r="D65" i="12"/>
  <c r="F109" i="12"/>
  <c r="K160" i="12"/>
  <c r="M59" i="12"/>
  <c r="M161" i="12"/>
  <c r="D61" i="12"/>
  <c r="M98" i="12"/>
  <c r="E98" i="41"/>
  <c r="L126" i="47"/>
  <c r="R125" i="40"/>
  <c r="L94" i="41"/>
  <c r="E119" i="42"/>
  <c r="L158" i="47"/>
  <c r="L99" i="41"/>
  <c r="E117" i="49"/>
  <c r="L162" i="40"/>
  <c r="L105" i="42"/>
  <c r="E99" i="41"/>
  <c r="L132" i="47"/>
  <c r="L93" i="41"/>
  <c r="F153" i="12"/>
  <c r="M64" i="12"/>
  <c r="D108" i="12"/>
  <c r="M70" i="12"/>
  <c r="M93" i="12"/>
  <c r="M158" i="12"/>
  <c r="D64" i="12"/>
  <c r="F158" i="12"/>
  <c r="K161" i="12"/>
  <c r="F61" i="12"/>
  <c r="K163" i="41"/>
  <c r="B103" i="48"/>
  <c r="I104" i="48"/>
  <c r="P38" i="12"/>
  <c r="D83" i="42"/>
  <c r="N162" i="41"/>
  <c r="N95" i="43"/>
  <c r="N152" i="47"/>
  <c r="N85" i="49"/>
  <c r="B121" i="48"/>
  <c r="D202" i="12"/>
  <c r="C103" i="41"/>
  <c r="M187" i="12"/>
  <c r="E92" i="43"/>
  <c r="K119" i="48"/>
  <c r="C96" i="43"/>
  <c r="L108" i="48"/>
  <c r="G60" i="34"/>
  <c r="C105" i="48"/>
  <c r="L103" i="41"/>
  <c r="C107" i="48"/>
  <c r="N117" i="41"/>
  <c r="E115" i="41"/>
  <c r="C109" i="41"/>
  <c r="Q139" i="12"/>
  <c r="P192" i="12"/>
  <c r="D87" i="42"/>
  <c r="G85" i="42"/>
  <c r="N118" i="49"/>
  <c r="N158" i="41"/>
  <c r="B97" i="43"/>
  <c r="G58" i="34"/>
  <c r="J108" i="48"/>
  <c r="D241" i="12"/>
  <c r="D184" i="12"/>
  <c r="E117" i="48"/>
  <c r="D92" i="50"/>
  <c r="C104" i="48"/>
  <c r="D227" i="12"/>
  <c r="D207" i="12"/>
  <c r="C119" i="41"/>
  <c r="E110" i="40"/>
  <c r="K117" i="41"/>
  <c r="K185" i="12"/>
  <c r="F224" i="12"/>
  <c r="N118" i="48"/>
  <c r="D229" i="12"/>
  <c r="J109" i="41"/>
  <c r="B119" i="41"/>
  <c r="K115" i="49"/>
  <c r="G99" i="47"/>
  <c r="N115" i="42"/>
  <c r="G83" i="42"/>
  <c r="N87" i="42"/>
  <c r="G116" i="50"/>
  <c r="I104" i="41"/>
  <c r="B120" i="41"/>
  <c r="F205" i="12"/>
  <c r="F237" i="12"/>
  <c r="D205" i="12"/>
  <c r="M181" i="12"/>
  <c r="I109" i="41"/>
  <c r="C114" i="41"/>
  <c r="N114" i="48"/>
  <c r="L110" i="48"/>
  <c r="F181" i="12"/>
  <c r="K182" i="12"/>
  <c r="D107" i="41"/>
  <c r="C109" i="47"/>
  <c r="B116" i="48"/>
  <c r="L109" i="48"/>
  <c r="D119" i="48"/>
  <c r="M182" i="12"/>
  <c r="K105" i="48"/>
  <c r="K93" i="43"/>
  <c r="D131" i="41"/>
  <c r="D140" i="40"/>
  <c r="K119" i="42"/>
  <c r="G104" i="42"/>
  <c r="N94" i="43"/>
  <c r="N86" i="42"/>
  <c r="E110" i="41"/>
  <c r="D230" i="12"/>
  <c r="B103" i="40"/>
  <c r="E109" i="47"/>
  <c r="F105" i="47"/>
  <c r="E107" i="40"/>
  <c r="J103" i="48"/>
  <c r="F184" i="12"/>
  <c r="M180" i="12"/>
  <c r="D242" i="12"/>
  <c r="F185" i="12"/>
  <c r="C116" i="41"/>
  <c r="F206" i="12"/>
  <c r="F241" i="12"/>
  <c r="R103" i="48"/>
  <c r="L105" i="48"/>
  <c r="E121" i="48"/>
  <c r="D110" i="40"/>
  <c r="R92" i="50"/>
  <c r="K183" i="12"/>
  <c r="F105" i="40"/>
  <c r="F95" i="50"/>
  <c r="K130" i="40"/>
  <c r="K88" i="43"/>
  <c r="F130" i="40"/>
  <c r="D81" i="50"/>
  <c r="K159" i="47"/>
  <c r="K125" i="40"/>
  <c r="D98" i="48"/>
  <c r="M163" i="40"/>
  <c r="D131" i="47"/>
  <c r="F120" i="49"/>
  <c r="M125" i="40"/>
  <c r="F98" i="48"/>
  <c r="M158" i="40"/>
  <c r="M81" i="43"/>
  <c r="D130" i="40"/>
  <c r="K84" i="43"/>
  <c r="L130" i="40"/>
  <c r="L128" i="47"/>
  <c r="E152" i="47"/>
  <c r="L110" i="42"/>
  <c r="F150" i="12"/>
  <c r="K77" i="12"/>
  <c r="E97" i="41"/>
  <c r="E149" i="47"/>
  <c r="E126" i="40"/>
  <c r="E154" i="47"/>
  <c r="F108" i="12"/>
  <c r="F119" i="42" s="1"/>
  <c r="M160" i="12"/>
  <c r="K66" i="12"/>
  <c r="K132" i="40" s="1"/>
  <c r="E125" i="47"/>
  <c r="E153" i="47"/>
  <c r="L164" i="40"/>
  <c r="M71" i="12"/>
  <c r="K92" i="12"/>
  <c r="D110" i="12"/>
  <c r="D121" i="42" s="1"/>
  <c r="E116" i="42"/>
  <c r="G50" i="34"/>
  <c r="E81" i="43"/>
  <c r="D5" i="12"/>
  <c r="D148" i="40" s="1"/>
  <c r="M151" i="12"/>
  <c r="B92" i="43"/>
  <c r="K160" i="41"/>
  <c r="G85" i="49"/>
  <c r="C94" i="43"/>
  <c r="E98" i="43"/>
  <c r="E107" i="47"/>
  <c r="E104" i="41"/>
  <c r="C118" i="48"/>
  <c r="N104" i="47"/>
  <c r="C118" i="41"/>
  <c r="E120" i="48"/>
  <c r="F182" i="12"/>
  <c r="L104" i="41"/>
  <c r="M120" i="48"/>
  <c r="L105" i="41"/>
  <c r="K119" i="41"/>
  <c r="N165" i="41"/>
  <c r="G121" i="43"/>
  <c r="G114" i="43"/>
  <c r="E105" i="47"/>
  <c r="E109" i="41"/>
  <c r="E103" i="41"/>
  <c r="G66" i="34"/>
  <c r="N87" i="49"/>
  <c r="G112" i="43"/>
  <c r="D206" i="12"/>
  <c r="E106" i="40"/>
  <c r="F236" i="12"/>
  <c r="E119" i="48"/>
  <c r="F95" i="48"/>
  <c r="D120" i="42"/>
  <c r="D81" i="43"/>
  <c r="K132" i="47"/>
  <c r="M110" i="49"/>
  <c r="M159" i="47"/>
  <c r="K95" i="41"/>
  <c r="K83" i="43"/>
  <c r="D127" i="47"/>
  <c r="F98" i="41"/>
  <c r="D119" i="42"/>
  <c r="M104" i="42"/>
  <c r="F82" i="49"/>
  <c r="B104" i="41"/>
  <c r="E110" i="42"/>
  <c r="E110" i="49"/>
  <c r="I106" i="48"/>
  <c r="E115" i="43"/>
  <c r="E115" i="50"/>
  <c r="E108" i="42"/>
  <c r="E108" i="49"/>
  <c r="G88" i="50"/>
  <c r="G88" i="43"/>
  <c r="E154" i="48"/>
  <c r="E154" i="41"/>
  <c r="E88" i="42"/>
  <c r="E88" i="49"/>
  <c r="N96" i="40"/>
  <c r="N96" i="47"/>
  <c r="B106" i="41"/>
  <c r="P117" i="12"/>
  <c r="J93" i="47"/>
  <c r="F94" i="47"/>
  <c r="J105" i="41"/>
  <c r="C103" i="48"/>
  <c r="I103" i="48"/>
  <c r="P41" i="12"/>
  <c r="L104" i="43"/>
  <c r="L104" i="50"/>
  <c r="C108" i="43"/>
  <c r="E85" i="43"/>
  <c r="E85" i="50"/>
  <c r="B92" i="49"/>
  <c r="G143" i="40"/>
  <c r="G143" i="47"/>
  <c r="B110" i="41"/>
  <c r="D139" i="40"/>
  <c r="L108" i="43"/>
  <c r="L108" i="50"/>
  <c r="E85" i="49"/>
  <c r="E85" i="42"/>
  <c r="B108" i="41"/>
  <c r="B107" i="48"/>
  <c r="J141" i="40"/>
  <c r="G52" i="34"/>
  <c r="R81" i="42"/>
  <c r="R81" i="49"/>
  <c r="L105" i="43"/>
  <c r="L105" i="50"/>
  <c r="E109" i="43"/>
  <c r="E109" i="50"/>
  <c r="E105" i="49"/>
  <c r="E105" i="42"/>
  <c r="E110" i="43"/>
  <c r="E110" i="50"/>
  <c r="E109" i="49"/>
  <c r="E109" i="42"/>
  <c r="M44" i="12"/>
  <c r="K172" i="12"/>
  <c r="M39" i="12"/>
  <c r="D29" i="12"/>
  <c r="K30" i="12"/>
  <c r="F22" i="12"/>
  <c r="F21" i="12"/>
  <c r="K171" i="12"/>
  <c r="M32" i="12"/>
  <c r="D17" i="12"/>
  <c r="K38" i="12"/>
  <c r="D131" i="12"/>
  <c r="K31" i="12"/>
  <c r="F19" i="12"/>
  <c r="F43" i="12"/>
  <c r="K42" i="12"/>
  <c r="M33" i="12"/>
  <c r="F94" i="12"/>
  <c r="D98" i="12"/>
  <c r="K175" i="12"/>
  <c r="M37" i="12"/>
  <c r="L141" i="48"/>
  <c r="L82" i="43"/>
  <c r="L95" i="41"/>
  <c r="L138" i="48"/>
  <c r="E128" i="47"/>
  <c r="E94" i="48"/>
  <c r="L125" i="40"/>
  <c r="L98" i="48"/>
  <c r="E121" i="49"/>
  <c r="L97" i="48"/>
  <c r="D105" i="12"/>
  <c r="F4" i="12"/>
  <c r="F159" i="12"/>
  <c r="K62" i="12"/>
  <c r="K147" i="12"/>
  <c r="K92" i="48" s="1"/>
  <c r="M48" i="12"/>
  <c r="D10" i="12"/>
  <c r="D154" i="12"/>
  <c r="F63" i="12"/>
  <c r="L161" i="47"/>
  <c r="E147" i="40"/>
  <c r="E118" i="49"/>
  <c r="E131" i="47"/>
  <c r="L103" i="42"/>
  <c r="E120" i="42"/>
  <c r="G56" i="34"/>
  <c r="L165" i="47"/>
  <c r="G65" i="34"/>
  <c r="L137" i="41"/>
  <c r="E129" i="47"/>
  <c r="F103" i="12"/>
  <c r="M60" i="12"/>
  <c r="M97" i="12"/>
  <c r="M108" i="49" s="1"/>
  <c r="D148" i="12"/>
  <c r="D93" i="48" s="1"/>
  <c r="F65" i="12"/>
  <c r="F131" i="40" s="1"/>
  <c r="D149" i="12"/>
  <c r="D94" i="41" s="1"/>
  <c r="F60" i="12"/>
  <c r="K95" i="12"/>
  <c r="K106" i="42" s="1"/>
  <c r="K163" i="12"/>
  <c r="K86" i="50" s="1"/>
  <c r="D8" i="12"/>
  <c r="D151" i="40" s="1"/>
  <c r="L81" i="49"/>
  <c r="L159" i="40"/>
  <c r="E148" i="47"/>
  <c r="E93" i="48"/>
  <c r="L129" i="47"/>
  <c r="L104" i="49"/>
  <c r="E130" i="47"/>
  <c r="L96" i="41"/>
  <c r="L84" i="50"/>
  <c r="E127" i="40"/>
  <c r="M53" i="12"/>
  <c r="M141" i="48" s="1"/>
  <c r="M162" i="12"/>
  <c r="D59" i="12"/>
  <c r="D125" i="40" s="1"/>
  <c r="D159" i="12"/>
  <c r="D82" i="50" s="1"/>
  <c r="K70" i="12"/>
  <c r="M147" i="12"/>
  <c r="F106" i="12"/>
  <c r="K48" i="12"/>
  <c r="K136" i="48" s="1"/>
  <c r="M94" i="12"/>
  <c r="K49" i="12"/>
  <c r="K137" i="48" s="1"/>
  <c r="F8" i="12"/>
  <c r="F151" i="40" s="1"/>
  <c r="K99" i="12"/>
  <c r="K110" i="49" s="1"/>
  <c r="E98" i="48"/>
  <c r="L126" i="40"/>
  <c r="R147" i="47"/>
  <c r="L94" i="48"/>
  <c r="E119" i="49"/>
  <c r="L158" i="40"/>
  <c r="L99" i="48"/>
  <c r="E117" i="42"/>
  <c r="L162" i="47"/>
  <c r="L105" i="49"/>
  <c r="E99" i="48"/>
  <c r="L132" i="40"/>
  <c r="L93" i="48"/>
  <c r="F152" i="12"/>
  <c r="F59" i="12"/>
  <c r="M164" i="12"/>
  <c r="M87" i="43" s="1"/>
  <c r="M63" i="12"/>
  <c r="D163" i="12"/>
  <c r="D86" i="43" s="1"/>
  <c r="M74" i="12"/>
  <c r="F9" i="12"/>
  <c r="F110" i="12"/>
  <c r="F121" i="42" s="1"/>
  <c r="M163" i="12"/>
  <c r="K152" i="12"/>
  <c r="K97" i="48" s="1"/>
  <c r="Q235" i="12"/>
  <c r="P95" i="12"/>
  <c r="C105" i="41"/>
  <c r="C92" i="43"/>
  <c r="N159" i="48"/>
  <c r="G163" i="47"/>
  <c r="N103" i="47"/>
  <c r="G120" i="50"/>
  <c r="N88" i="42"/>
  <c r="C115" i="41"/>
  <c r="E109" i="40"/>
  <c r="E96" i="43"/>
  <c r="L106" i="41"/>
  <c r="E107" i="41"/>
  <c r="L104" i="48"/>
  <c r="G112" i="50"/>
  <c r="F208" i="12"/>
  <c r="F235" i="12"/>
  <c r="F103" i="40" s="1"/>
  <c r="F229" i="12"/>
  <c r="F207" i="12"/>
  <c r="I108" i="41"/>
  <c r="D203" i="12"/>
  <c r="F202" i="12"/>
  <c r="Q204" i="12"/>
  <c r="Q104" i="12"/>
  <c r="D141" i="40"/>
  <c r="D163" i="48"/>
  <c r="N162" i="48"/>
  <c r="N95" i="50"/>
  <c r="N152" i="40"/>
  <c r="N85" i="42"/>
  <c r="B114" i="41"/>
  <c r="I110" i="41"/>
  <c r="P127" i="12"/>
  <c r="E104" i="48"/>
  <c r="E109" i="48"/>
  <c r="E99" i="50"/>
  <c r="E93" i="50"/>
  <c r="C110" i="40"/>
  <c r="E98" i="50"/>
  <c r="B117" i="48"/>
  <c r="E95" i="43"/>
  <c r="E106" i="41"/>
  <c r="C110" i="48"/>
  <c r="E115" i="48"/>
  <c r="F180" i="12"/>
  <c r="F103" i="48" s="1"/>
  <c r="A277" i="44"/>
  <c r="F183" i="12"/>
  <c r="C95" i="43"/>
  <c r="B94" i="43"/>
  <c r="P138" i="12"/>
  <c r="K121" i="49"/>
  <c r="G104" i="49"/>
  <c r="N94" i="50"/>
  <c r="N86" i="49"/>
  <c r="C98" i="50"/>
  <c r="N121" i="48"/>
  <c r="B110" i="47"/>
  <c r="E116" i="41"/>
  <c r="D107" i="48"/>
  <c r="E108" i="40"/>
  <c r="K114" i="48"/>
  <c r="M186" i="12"/>
  <c r="D228" i="12"/>
  <c r="D182" i="12"/>
  <c r="K180" i="12"/>
  <c r="D225" i="12"/>
  <c r="P125" i="12"/>
  <c r="L110" i="41"/>
  <c r="F227" i="12"/>
  <c r="M119" i="41"/>
  <c r="C104" i="47"/>
  <c r="F230" i="12"/>
  <c r="P93" i="12"/>
  <c r="C109" i="40"/>
  <c r="M121" i="48"/>
  <c r="G132" i="48"/>
  <c r="G109" i="42"/>
  <c r="N117" i="50"/>
  <c r="N84" i="42"/>
  <c r="G53" i="34"/>
  <c r="L107" i="48"/>
  <c r="R114" i="48"/>
  <c r="L107" i="41"/>
  <c r="R114" i="41"/>
  <c r="E116" i="48"/>
  <c r="I107" i="41"/>
  <c r="E108" i="47"/>
  <c r="M103" i="48"/>
  <c r="K115" i="48"/>
  <c r="D240" i="12"/>
  <c r="I106" i="41"/>
  <c r="D237" i="12"/>
  <c r="D117" i="48"/>
  <c r="D226" i="12"/>
  <c r="D209" i="12"/>
  <c r="D99" i="50" s="1"/>
  <c r="L106" i="48"/>
  <c r="F108" i="48"/>
  <c r="F106" i="41"/>
  <c r="L103" i="48"/>
  <c r="B95" i="43"/>
  <c r="F95" i="43"/>
  <c r="K130" i="47"/>
  <c r="K107" i="49"/>
  <c r="F82" i="43"/>
  <c r="F95" i="41"/>
  <c r="K88" i="50"/>
  <c r="F149" i="40"/>
  <c r="K165" i="40"/>
  <c r="D153" i="40"/>
  <c r="D99" i="48"/>
  <c r="M160" i="40"/>
  <c r="F129" i="40"/>
  <c r="F114" i="49"/>
  <c r="M108" i="42"/>
  <c r="F119" i="49"/>
  <c r="D93" i="41"/>
  <c r="F131" i="47"/>
  <c r="D94" i="48"/>
  <c r="M83" i="50"/>
  <c r="K125" i="47"/>
  <c r="K105" i="49"/>
  <c r="D96" i="41"/>
  <c r="D129" i="40"/>
  <c r="M141" i="41"/>
  <c r="K126" i="40"/>
  <c r="D82" i="43"/>
  <c r="K158" i="47"/>
  <c r="F120" i="42"/>
  <c r="K136" i="41"/>
  <c r="K137" i="41"/>
  <c r="F151" i="47"/>
  <c r="K110" i="42"/>
  <c r="F97" i="48"/>
  <c r="M130" i="47"/>
  <c r="F125" i="40"/>
  <c r="D148" i="47"/>
  <c r="M87" i="50"/>
  <c r="M158" i="47"/>
  <c r="D86" i="50"/>
  <c r="M162" i="47"/>
  <c r="D130" i="47"/>
  <c r="F121" i="49"/>
  <c r="K84" i="50"/>
  <c r="F127" i="47"/>
  <c r="L95" i="47"/>
  <c r="L95" i="40"/>
  <c r="I110" i="48"/>
  <c r="L140" i="40"/>
  <c r="L140" i="47"/>
  <c r="K140" i="48"/>
  <c r="J94" i="47"/>
  <c r="L109" i="50"/>
  <c r="L109" i="43"/>
  <c r="F114" i="43"/>
  <c r="N118" i="43"/>
  <c r="N118" i="50"/>
  <c r="J106" i="43"/>
  <c r="C120" i="50"/>
  <c r="P71" i="12"/>
  <c r="D115" i="50"/>
  <c r="L141" i="47"/>
  <c r="L141" i="40"/>
  <c r="G150" i="41"/>
  <c r="G150" i="48"/>
  <c r="D161" i="47"/>
  <c r="F95" i="47"/>
  <c r="D99" i="12"/>
  <c r="F126" i="12"/>
  <c r="M26" i="12"/>
  <c r="D137" i="12"/>
  <c r="D39" i="12"/>
  <c r="F74" i="12"/>
  <c r="M27" i="12"/>
  <c r="M38" i="12"/>
  <c r="F31" i="12"/>
  <c r="F20" i="12"/>
  <c r="D76" i="12"/>
  <c r="F136" i="12"/>
  <c r="F32" i="12"/>
  <c r="F33" i="12"/>
  <c r="D93" i="12"/>
  <c r="G68" i="34"/>
  <c r="G158" i="41"/>
  <c r="L160" i="40"/>
  <c r="K97" i="12"/>
  <c r="K108" i="42" s="1"/>
  <c r="K93" i="12"/>
  <c r="K151" i="12"/>
  <c r="K96" i="48" s="1"/>
  <c r="E132" i="40"/>
  <c r="L163" i="47"/>
  <c r="R92" i="48"/>
  <c r="E96" i="48"/>
  <c r="K162" i="12"/>
  <c r="K85" i="43" s="1"/>
  <c r="M165" i="12"/>
  <c r="F10" i="12"/>
  <c r="M148" i="12"/>
  <c r="E82" i="50"/>
  <c r="L92" i="48"/>
  <c r="E115" i="42"/>
  <c r="F105" i="12"/>
  <c r="D150" i="12"/>
  <c r="D95" i="48" s="1"/>
  <c r="K158" i="12"/>
  <c r="M66" i="12"/>
  <c r="L85" i="43"/>
  <c r="L107" i="49"/>
  <c r="E95" i="48"/>
  <c r="E150" i="47"/>
  <c r="E86" i="50"/>
  <c r="L127" i="47"/>
  <c r="L86" i="50"/>
  <c r="M136" i="12"/>
  <c r="K75" i="12"/>
  <c r="K163" i="47" s="1"/>
  <c r="D147" i="12"/>
  <c r="F151" i="12"/>
  <c r="C103" i="40"/>
  <c r="N118" i="42"/>
  <c r="B117" i="41"/>
  <c r="F186" i="12"/>
  <c r="F109" i="48" s="1"/>
  <c r="E108" i="41"/>
  <c r="E94" i="43"/>
  <c r="F231" i="12"/>
  <c r="F121" i="41" s="1"/>
  <c r="M114" i="48"/>
  <c r="J106" i="48"/>
  <c r="G106" i="49"/>
  <c r="B107" i="40"/>
  <c r="N120" i="41"/>
  <c r="C97" i="43"/>
  <c r="F228" i="12"/>
  <c r="F118" i="48" s="1"/>
  <c r="D208" i="12"/>
  <c r="E118" i="48"/>
  <c r="D99" i="40"/>
  <c r="Q81" i="12"/>
  <c r="C107" i="47"/>
  <c r="D187" i="12"/>
  <c r="D110" i="41" s="1"/>
  <c r="F242" i="12"/>
  <c r="E99" i="43"/>
  <c r="D97" i="50"/>
  <c r="K121" i="41"/>
  <c r="K181" i="12"/>
  <c r="E96" i="50"/>
  <c r="D118" i="50"/>
  <c r="P140" i="12"/>
  <c r="N115" i="49"/>
  <c r="G116" i="43"/>
  <c r="D224" i="12"/>
  <c r="D186" i="12"/>
  <c r="C121" i="48"/>
  <c r="J106" i="41"/>
  <c r="N117" i="48"/>
  <c r="D109" i="48"/>
  <c r="R103" i="41"/>
  <c r="D105" i="47"/>
  <c r="K108" i="49"/>
  <c r="K128" i="40"/>
  <c r="K92" i="41"/>
  <c r="M126" i="47"/>
  <c r="D118" i="42"/>
  <c r="K138" i="48"/>
  <c r="D151" i="47"/>
  <c r="M85" i="43"/>
  <c r="M163" i="47"/>
  <c r="M92" i="41"/>
  <c r="M84" i="43"/>
  <c r="F152" i="40"/>
  <c r="F81" i="43"/>
  <c r="M99" i="47"/>
  <c r="M93" i="40"/>
  <c r="F85" i="49"/>
  <c r="K121" i="43"/>
  <c r="L143" i="47"/>
  <c r="L143" i="40"/>
  <c r="K120" i="41"/>
  <c r="L99" i="47"/>
  <c r="L99" i="40"/>
  <c r="L107" i="43"/>
  <c r="L107" i="50"/>
  <c r="J140" i="40"/>
  <c r="C138" i="47"/>
  <c r="G97" i="40"/>
  <c r="G97" i="47"/>
  <c r="G87" i="43"/>
  <c r="G87" i="50"/>
  <c r="M95" i="50"/>
  <c r="G95" i="49"/>
  <c r="G95" i="42"/>
  <c r="G128" i="41"/>
  <c r="G128" i="48"/>
  <c r="L93" i="47"/>
  <c r="L93" i="40"/>
  <c r="K84" i="49"/>
  <c r="M88" i="42"/>
  <c r="B105" i="47"/>
  <c r="D158" i="41"/>
  <c r="J97" i="40"/>
  <c r="J137" i="40"/>
  <c r="E86" i="49"/>
  <c r="E86" i="42"/>
  <c r="E108" i="50"/>
  <c r="E108" i="43"/>
  <c r="C141" i="40"/>
  <c r="P191" i="12"/>
  <c r="N143" i="41"/>
  <c r="N143" i="48"/>
  <c r="K149" i="47"/>
  <c r="B99" i="50"/>
  <c r="E151" i="41"/>
  <c r="E151" i="48"/>
  <c r="D165" i="47"/>
  <c r="K85" i="49"/>
  <c r="F116" i="50"/>
  <c r="E104" i="42"/>
  <c r="E104" i="49"/>
  <c r="J136" i="47"/>
  <c r="F99" i="12"/>
  <c r="K39" i="12"/>
  <c r="D74" i="12"/>
  <c r="F29" i="12"/>
  <c r="K41" i="12"/>
  <c r="D97" i="12"/>
  <c r="D22" i="12"/>
  <c r="D21" i="12"/>
  <c r="M171" i="12"/>
  <c r="F39" i="12"/>
  <c r="K27" i="12"/>
  <c r="K29" i="12"/>
  <c r="D141" i="12"/>
  <c r="D162" i="12"/>
  <c r="D20" i="12"/>
  <c r="F96" i="12"/>
  <c r="F76" i="12"/>
  <c r="D19" i="12"/>
  <c r="D140" i="12"/>
  <c r="K28" i="12"/>
  <c r="D94" i="12"/>
  <c r="M175" i="12"/>
  <c r="R114" i="49"/>
  <c r="L82" i="50"/>
  <c r="L95" i="48"/>
  <c r="L138" i="41"/>
  <c r="E128" i="40"/>
  <c r="E94" i="41"/>
  <c r="L125" i="47"/>
  <c r="L98" i="41"/>
  <c r="E121" i="42"/>
  <c r="L97" i="41"/>
  <c r="D103" i="12"/>
  <c r="K149" i="12"/>
  <c r="K94" i="41" s="1"/>
  <c r="F148" i="12"/>
  <c r="K63" i="12"/>
  <c r="M92" i="12"/>
  <c r="K74" i="12"/>
  <c r="M153" i="12"/>
  <c r="M49" i="12"/>
  <c r="K148" i="12"/>
  <c r="K93" i="48" s="1"/>
  <c r="L161" i="40"/>
  <c r="E147" i="47"/>
  <c r="E118" i="42"/>
  <c r="E131" i="40"/>
  <c r="L103" i="49"/>
  <c r="E120" i="49"/>
  <c r="L83" i="43"/>
  <c r="E126" i="47"/>
  <c r="R81" i="50"/>
  <c r="L137" i="48"/>
  <c r="E129" i="40"/>
  <c r="D152" i="12"/>
  <c r="D4" i="12"/>
  <c r="M96" i="12"/>
  <c r="M107" i="42" s="1"/>
  <c r="K164" i="12"/>
  <c r="F7" i="12"/>
  <c r="F150" i="47" s="1"/>
  <c r="F147" i="12"/>
  <c r="D9" i="12"/>
  <c r="D152" i="40" s="1"/>
  <c r="D104" i="12"/>
  <c r="D115" i="42" s="1"/>
  <c r="M65" i="12"/>
  <c r="M131" i="47" s="1"/>
  <c r="D11" i="12"/>
  <c r="D154" i="47" s="1"/>
  <c r="L81" i="42"/>
  <c r="L159" i="47"/>
  <c r="E148" i="40"/>
  <c r="E93" i="41"/>
  <c r="L129" i="40"/>
  <c r="L104" i="42"/>
  <c r="E130" i="40"/>
  <c r="L96" i="48"/>
  <c r="L84" i="43"/>
  <c r="E127" i="47"/>
  <c r="K136" i="12"/>
  <c r="K81" i="42" s="1"/>
  <c r="K73" i="12"/>
  <c r="F66" i="12"/>
  <c r="F132" i="47" s="1"/>
  <c r="F107" i="12"/>
  <c r="M62" i="12"/>
  <c r="K154" i="12"/>
  <c r="F149" i="12"/>
  <c r="M77" i="12"/>
  <c r="M95" i="12"/>
  <c r="K72" i="12"/>
  <c r="F11" i="12"/>
  <c r="F154" i="47" s="1"/>
  <c r="E116" i="49"/>
  <c r="L85" i="50"/>
  <c r="R125" i="47"/>
  <c r="R147" i="40"/>
  <c r="L107" i="42"/>
  <c r="E95" i="41"/>
  <c r="E150" i="40"/>
  <c r="E86" i="43"/>
  <c r="E92" i="48"/>
  <c r="L127" i="40"/>
  <c r="E81" i="50"/>
  <c r="L86" i="43"/>
  <c r="E151" i="40"/>
  <c r="K53" i="12"/>
  <c r="K141" i="41" s="1"/>
  <c r="M159" i="12"/>
  <c r="D66" i="12"/>
  <c r="D132" i="40" s="1"/>
  <c r="M50" i="12"/>
  <c r="F62" i="12"/>
  <c r="D106" i="12"/>
  <c r="M61" i="12"/>
  <c r="K153" i="12"/>
  <c r="F104" i="12"/>
  <c r="M76" i="12"/>
  <c r="K98" i="12"/>
  <c r="K105" i="40"/>
  <c r="N139" i="47"/>
  <c r="B93" i="42"/>
  <c r="D161" i="41"/>
  <c r="G137" i="47"/>
  <c r="N104" i="40"/>
  <c r="G106" i="42"/>
  <c r="G118" i="50"/>
  <c r="C115" i="48"/>
  <c r="E104" i="47"/>
  <c r="M119" i="48"/>
  <c r="C99" i="50"/>
  <c r="C105" i="40"/>
  <c r="D181" i="12"/>
  <c r="D104" i="48" s="1"/>
  <c r="M183" i="12"/>
  <c r="M115" i="48"/>
  <c r="D236" i="12"/>
  <c r="D104" i="47" s="1"/>
  <c r="F109" i="41"/>
  <c r="B98" i="50"/>
  <c r="E97" i="43"/>
  <c r="E94" i="50"/>
  <c r="D93" i="43"/>
  <c r="E108" i="48"/>
  <c r="K97" i="50"/>
  <c r="C106" i="41"/>
  <c r="Q82" i="12"/>
  <c r="N159" i="41"/>
  <c r="G163" i="40"/>
  <c r="N103" i="40"/>
  <c r="G120" i="43"/>
  <c r="N88" i="49"/>
  <c r="N115" i="48"/>
  <c r="C120" i="48"/>
  <c r="E106" i="48"/>
  <c r="C93" i="50"/>
  <c r="E120" i="41"/>
  <c r="N120" i="48"/>
  <c r="F204" i="12"/>
  <c r="F94" i="43" s="1"/>
  <c r="E92" i="50"/>
  <c r="N119" i="41"/>
  <c r="E114" i="41"/>
  <c r="N114" i="41"/>
  <c r="E97" i="50"/>
  <c r="E119" i="41"/>
  <c r="E95" i="50"/>
  <c r="F114" i="48"/>
  <c r="R103" i="40"/>
  <c r="F97" i="43"/>
  <c r="M184" i="12"/>
  <c r="K99" i="43"/>
  <c r="K159" i="48"/>
  <c r="D142" i="40"/>
  <c r="G132" i="41"/>
  <c r="G109" i="49"/>
  <c r="N117" i="43"/>
  <c r="N84" i="49"/>
  <c r="E93" i="43"/>
  <c r="F225" i="12"/>
  <c r="F115" i="41" s="1"/>
  <c r="E121" i="41"/>
  <c r="E105" i="41"/>
  <c r="C116" i="48"/>
  <c r="E105" i="48"/>
  <c r="F209" i="12"/>
  <c r="C98" i="43"/>
  <c r="E117" i="41"/>
  <c r="D118" i="41"/>
  <c r="C103" i="47"/>
  <c r="M110" i="48"/>
  <c r="B106" i="47"/>
  <c r="B106" i="48"/>
  <c r="D180" i="12"/>
  <c r="K187" i="12"/>
  <c r="D204" i="12"/>
  <c r="F239" i="12"/>
  <c r="K184" i="12"/>
  <c r="M104" i="41"/>
  <c r="F92" i="43"/>
  <c r="B109" i="40"/>
  <c r="K95" i="43"/>
  <c r="D119" i="43"/>
  <c r="G131" i="48"/>
  <c r="N165" i="48"/>
  <c r="G161" i="48"/>
  <c r="G121" i="50"/>
  <c r="B110" i="48"/>
  <c r="F240" i="12"/>
  <c r="G114" i="50"/>
  <c r="N121" i="41"/>
  <c r="D231" i="12"/>
  <c r="M120" i="41"/>
  <c r="F226" i="12"/>
  <c r="F116" i="41" s="1"/>
  <c r="E103" i="47"/>
  <c r="E103" i="48"/>
  <c r="L108" i="41"/>
  <c r="E106" i="47"/>
  <c r="D118" i="48"/>
  <c r="D185" i="12"/>
  <c r="M118" i="41"/>
  <c r="L109" i="41"/>
  <c r="D121" i="48"/>
  <c r="R92" i="43"/>
  <c r="D109" i="47"/>
  <c r="R103" i="47"/>
  <c r="D105" i="41"/>
  <c r="F121" i="48"/>
  <c r="C99" i="43"/>
  <c r="K108" i="41"/>
  <c r="F238" i="12"/>
  <c r="J110" i="48"/>
  <c r="D110" i="48"/>
  <c r="D116" i="42"/>
  <c r="K94" i="48"/>
  <c r="K107" i="42"/>
  <c r="K128" i="47"/>
  <c r="F149" i="47"/>
  <c r="M103" i="49"/>
  <c r="D120" i="49"/>
  <c r="M136" i="41"/>
  <c r="K165" i="47"/>
  <c r="D153" i="47"/>
  <c r="K96" i="41"/>
  <c r="D99" i="41"/>
  <c r="M160" i="47"/>
  <c r="K93" i="41"/>
  <c r="F114" i="42"/>
  <c r="K85" i="50"/>
  <c r="M126" i="40"/>
  <c r="M95" i="41"/>
  <c r="M107" i="49"/>
  <c r="D118" i="49"/>
  <c r="K87" i="50"/>
  <c r="K138" i="41"/>
  <c r="F150" i="40"/>
  <c r="F86" i="43"/>
  <c r="F92" i="41"/>
  <c r="M83" i="43"/>
  <c r="F126" i="47"/>
  <c r="D152" i="47"/>
  <c r="K105" i="42"/>
  <c r="D115" i="49"/>
  <c r="D96" i="48"/>
  <c r="M131" i="40"/>
  <c r="D129" i="47"/>
  <c r="D154" i="40"/>
  <c r="M110" i="42"/>
  <c r="K81" i="49"/>
  <c r="F116" i="42"/>
  <c r="M85" i="50"/>
  <c r="K126" i="47"/>
  <c r="F132" i="40"/>
  <c r="K95" i="48"/>
  <c r="D95" i="41"/>
  <c r="K158" i="40"/>
  <c r="M92" i="48"/>
  <c r="K103" i="42"/>
  <c r="F117" i="42"/>
  <c r="K83" i="50"/>
  <c r="M165" i="40"/>
  <c r="M125" i="47"/>
  <c r="M105" i="42"/>
  <c r="M84" i="50"/>
  <c r="K160" i="40"/>
  <c r="D127" i="40"/>
  <c r="F154" i="40"/>
  <c r="M109" i="42"/>
  <c r="K141" i="48"/>
  <c r="M81" i="49"/>
  <c r="F97" i="41"/>
  <c r="M130" i="40"/>
  <c r="D132" i="47"/>
  <c r="D119" i="49"/>
  <c r="K163" i="40"/>
  <c r="M129" i="47"/>
  <c r="F128" i="47"/>
  <c r="M104" i="49"/>
  <c r="D117" i="42"/>
  <c r="M81" i="50"/>
  <c r="M162" i="40"/>
  <c r="F152" i="47"/>
  <c r="F81" i="50"/>
  <c r="F115" i="49"/>
  <c r="F96" i="48"/>
  <c r="M86" i="43"/>
  <c r="F127" i="40"/>
  <c r="M99" i="40"/>
  <c r="F87" i="49"/>
  <c r="F85" i="42"/>
  <c r="K116" i="50"/>
  <c r="D84" i="49"/>
  <c r="C106" i="43"/>
  <c r="E82" i="49"/>
  <c r="E82" i="42"/>
  <c r="C153" i="48"/>
  <c r="E138" i="40"/>
  <c r="E138" i="47"/>
  <c r="C117" i="41"/>
  <c r="E149" i="41"/>
  <c r="E149" i="48"/>
  <c r="K118" i="50"/>
  <c r="D163" i="47"/>
  <c r="L139" i="47"/>
  <c r="L139" i="40"/>
  <c r="L97" i="47"/>
  <c r="L97" i="40"/>
  <c r="E141" i="40"/>
  <c r="E141" i="47"/>
  <c r="E152" i="41"/>
  <c r="E152" i="48"/>
  <c r="M115" i="41"/>
  <c r="C110" i="41"/>
  <c r="L110" i="50"/>
  <c r="L110" i="43"/>
  <c r="E148" i="41"/>
  <c r="E148" i="48"/>
  <c r="L136" i="47"/>
  <c r="L136" i="40"/>
  <c r="M172" i="12"/>
  <c r="K176" i="12"/>
  <c r="M30" i="12"/>
  <c r="M41" i="12"/>
  <c r="K170" i="12"/>
  <c r="M174" i="12"/>
  <c r="F141" i="12"/>
  <c r="F162" i="12"/>
  <c r="M42" i="12"/>
  <c r="M28" i="12"/>
  <c r="M43" i="12"/>
  <c r="F16" i="12"/>
  <c r="L87" i="43"/>
  <c r="L81" i="43"/>
  <c r="L106" i="42"/>
  <c r="K159" i="12"/>
  <c r="D7" i="12"/>
  <c r="K76" i="12"/>
  <c r="K164" i="47" s="1"/>
  <c r="L108" i="42"/>
  <c r="G156" i="41"/>
  <c r="L83" i="50"/>
  <c r="L131" i="47"/>
  <c r="F5" i="12"/>
  <c r="D6" i="12"/>
  <c r="F154" i="12"/>
  <c r="E114" i="49"/>
  <c r="L88" i="43"/>
  <c r="L136" i="41"/>
  <c r="L109" i="49"/>
  <c r="M149" i="12"/>
  <c r="D62" i="12"/>
  <c r="K61" i="12"/>
  <c r="M152" i="12"/>
  <c r="G62" i="34"/>
  <c r="E92" i="41"/>
  <c r="E151" i="47"/>
  <c r="M73" i="12"/>
  <c r="M154" i="12"/>
  <c r="D60" i="12"/>
  <c r="K65" i="12"/>
  <c r="N139" i="40"/>
  <c r="K107" i="47"/>
  <c r="N158" i="48"/>
  <c r="F203" i="12"/>
  <c r="M185" i="12"/>
  <c r="M108" i="48" s="1"/>
  <c r="I103" i="41"/>
  <c r="N119" i="48"/>
  <c r="E104" i="40"/>
  <c r="B98" i="43"/>
  <c r="G137" i="40"/>
  <c r="G118" i="43"/>
  <c r="N118" i="41"/>
  <c r="D239" i="12"/>
  <c r="D107" i="47" s="1"/>
  <c r="E107" i="48"/>
  <c r="K186" i="12"/>
  <c r="E114" i="48"/>
  <c r="N115" i="41"/>
  <c r="D93" i="50"/>
  <c r="G131" i="41"/>
  <c r="G161" i="41"/>
  <c r="F187" i="12"/>
  <c r="E105" i="40"/>
  <c r="D183" i="12"/>
  <c r="E103" i="40"/>
  <c r="E110" i="47"/>
  <c r="D92" i="43"/>
  <c r="F119" i="41"/>
  <c r="K109" i="41"/>
  <c r="P84" i="12"/>
  <c r="G99" i="40"/>
  <c r="G83" i="49"/>
  <c r="E118" i="41"/>
  <c r="B104" i="40"/>
  <c r="D238" i="12"/>
  <c r="J104" i="48"/>
  <c r="D235" i="12"/>
  <c r="B109" i="41"/>
  <c r="E110" i="48"/>
  <c r="K104" i="41"/>
  <c r="F109" i="40"/>
  <c r="D98" i="43"/>
  <c r="D116" i="49"/>
  <c r="F147" i="47"/>
  <c r="F93" i="41"/>
  <c r="M103" i="42"/>
  <c r="F130" i="47"/>
  <c r="K164" i="40"/>
  <c r="K159" i="40"/>
  <c r="M95" i="48"/>
  <c r="K87" i="43"/>
  <c r="F86" i="50"/>
  <c r="K106" i="49"/>
  <c r="K86" i="43"/>
  <c r="M93" i="41"/>
  <c r="D98" i="41"/>
  <c r="D125" i="47"/>
  <c r="F118" i="49"/>
  <c r="D131" i="40"/>
  <c r="K103" i="49"/>
  <c r="M165" i="47"/>
  <c r="D121" i="49"/>
  <c r="K160" i="47"/>
  <c r="M109" i="49"/>
  <c r="M82" i="43"/>
  <c r="M138" i="41"/>
  <c r="M129" i="40"/>
  <c r="D117" i="49"/>
  <c r="M96" i="41"/>
  <c r="M86" i="50"/>
  <c r="K97" i="41"/>
  <c r="K143" i="47"/>
  <c r="K143" i="40"/>
  <c r="K103" i="50"/>
  <c r="K103" i="43"/>
  <c r="F108" i="42"/>
  <c r="F108" i="49"/>
  <c r="F82" i="42"/>
  <c r="K109" i="43"/>
  <c r="K109" i="50"/>
  <c r="F149" i="48"/>
  <c r="F149" i="41"/>
  <c r="F87" i="42"/>
  <c r="K97" i="47"/>
  <c r="K97" i="40"/>
  <c r="M106" i="50"/>
  <c r="M106" i="43"/>
  <c r="D108" i="43"/>
  <c r="F141" i="47"/>
  <c r="F141" i="40"/>
  <c r="D107" i="42"/>
  <c r="D107" i="49"/>
  <c r="M108" i="43"/>
  <c r="M108" i="50"/>
  <c r="D81" i="42"/>
  <c r="K110" i="50"/>
  <c r="K110" i="43"/>
  <c r="D109" i="50"/>
  <c r="D109" i="43"/>
  <c r="K142" i="40"/>
  <c r="K142" i="47"/>
  <c r="D110" i="43"/>
  <c r="D110" i="50"/>
  <c r="D148" i="48"/>
  <c r="K136" i="47"/>
  <c r="K136" i="40"/>
  <c r="M159" i="40"/>
  <c r="M96" i="48"/>
  <c r="M143" i="40"/>
  <c r="M143" i="47"/>
  <c r="K95" i="40"/>
  <c r="K95" i="47"/>
  <c r="M138" i="47"/>
  <c r="D106" i="43"/>
  <c r="D106" i="50"/>
  <c r="K107" i="50"/>
  <c r="F154" i="41"/>
  <c r="F154" i="48"/>
  <c r="F153" i="41"/>
  <c r="F153" i="48"/>
  <c r="K94" i="40"/>
  <c r="M109" i="50"/>
  <c r="M109" i="43"/>
  <c r="D149" i="41"/>
  <c r="K137" i="40"/>
  <c r="K137" i="47"/>
  <c r="D120" i="50"/>
  <c r="K108" i="50"/>
  <c r="K108" i="43"/>
  <c r="F151" i="41"/>
  <c r="F151" i="48"/>
  <c r="F142" i="40"/>
  <c r="F142" i="47"/>
  <c r="K141" i="40"/>
  <c r="K141" i="47"/>
  <c r="M110" i="43"/>
  <c r="M110" i="50"/>
  <c r="F105" i="42"/>
  <c r="F105" i="49"/>
  <c r="D109" i="42"/>
  <c r="K98" i="47"/>
  <c r="M136" i="40"/>
  <c r="M136" i="47"/>
  <c r="F147" i="40"/>
  <c r="F82" i="50"/>
  <c r="M136" i="48"/>
  <c r="F129" i="47"/>
  <c r="F126" i="40"/>
  <c r="F117" i="49"/>
  <c r="M105" i="49"/>
  <c r="F125" i="47"/>
  <c r="D110" i="42"/>
  <c r="D110" i="49"/>
  <c r="F115" i="43"/>
  <c r="F115" i="50"/>
  <c r="M103" i="43"/>
  <c r="M103" i="50"/>
  <c r="D82" i="42"/>
  <c r="D82" i="49"/>
  <c r="D138" i="40"/>
  <c r="F162" i="47"/>
  <c r="F162" i="40"/>
  <c r="M104" i="50"/>
  <c r="M104" i="43"/>
  <c r="M137" i="40"/>
  <c r="M137" i="47"/>
  <c r="F108" i="50"/>
  <c r="F108" i="43"/>
  <c r="F152" i="48"/>
  <c r="F152" i="41"/>
  <c r="D164" i="40"/>
  <c r="F81" i="42"/>
  <c r="F109" i="43"/>
  <c r="F109" i="50"/>
  <c r="F110" i="43"/>
  <c r="F110" i="50"/>
  <c r="D104" i="49"/>
  <c r="D104" i="42"/>
  <c r="K104" i="49"/>
  <c r="K104" i="42"/>
  <c r="M88" i="50"/>
  <c r="M88" i="43"/>
  <c r="F153" i="47"/>
  <c r="F153" i="40"/>
  <c r="M93" i="48"/>
  <c r="F116" i="49"/>
  <c r="K81" i="50"/>
  <c r="K81" i="43"/>
  <c r="M132" i="40"/>
  <c r="M132" i="47"/>
  <c r="M81" i="42"/>
  <c r="D92" i="41"/>
  <c r="D92" i="48"/>
  <c r="F96" i="41"/>
  <c r="F110" i="42"/>
  <c r="K138" i="47"/>
  <c r="K138" i="40"/>
  <c r="D162" i="40"/>
  <c r="D162" i="47"/>
  <c r="F106" i="43"/>
  <c r="F106" i="50"/>
  <c r="K140" i="40"/>
  <c r="K140" i="47"/>
  <c r="D108" i="42"/>
  <c r="D108" i="49"/>
  <c r="D154" i="41"/>
  <c r="D153" i="41"/>
  <c r="D153" i="48"/>
  <c r="M94" i="40"/>
  <c r="F138" i="47"/>
  <c r="F138" i="40"/>
  <c r="K104" i="50"/>
  <c r="K104" i="43"/>
  <c r="K106" i="50"/>
  <c r="K106" i="43"/>
  <c r="D86" i="42"/>
  <c r="D86" i="49"/>
  <c r="D85" i="50"/>
  <c r="D85" i="43"/>
  <c r="D152" i="41"/>
  <c r="D152" i="48"/>
  <c r="F107" i="49"/>
  <c r="F107" i="42"/>
  <c r="F164" i="47"/>
  <c r="F164" i="40"/>
  <c r="D151" i="48"/>
  <c r="D85" i="49"/>
  <c r="D85" i="42"/>
  <c r="K105" i="50"/>
  <c r="K105" i="43"/>
  <c r="D105" i="49"/>
  <c r="D105" i="42"/>
  <c r="M98" i="40"/>
  <c r="M98" i="47"/>
  <c r="D114" i="42"/>
  <c r="D114" i="49"/>
  <c r="F93" i="48"/>
  <c r="K129" i="40"/>
  <c r="K129" i="47"/>
  <c r="K162" i="47"/>
  <c r="K162" i="40"/>
  <c r="M98" i="41"/>
  <c r="M98" i="48"/>
  <c r="M137" i="41"/>
  <c r="M137" i="48"/>
  <c r="D97" i="48"/>
  <c r="D97" i="41"/>
  <c r="D147" i="40"/>
  <c r="D147" i="47"/>
  <c r="F92" i="48"/>
  <c r="K161" i="40"/>
  <c r="K161" i="47"/>
  <c r="F118" i="42"/>
  <c r="M128" i="47"/>
  <c r="M128" i="40"/>
  <c r="K99" i="41"/>
  <c r="K99" i="48"/>
  <c r="F94" i="48"/>
  <c r="F94" i="41"/>
  <c r="M106" i="42"/>
  <c r="M106" i="49"/>
  <c r="M82" i="50"/>
  <c r="M138" i="48"/>
  <c r="F128" i="40"/>
  <c r="M127" i="47"/>
  <c r="M127" i="40"/>
  <c r="K98" i="48"/>
  <c r="K98" i="41"/>
  <c r="F115" i="42"/>
  <c r="M164" i="47"/>
  <c r="M164" i="40"/>
  <c r="K109" i="49"/>
  <c r="K109" i="42"/>
  <c r="K110" i="48"/>
  <c r="K107" i="48"/>
  <c r="K107" i="41"/>
  <c r="M95" i="47"/>
  <c r="M95" i="40"/>
  <c r="K99" i="47"/>
  <c r="K99" i="40"/>
  <c r="M107" i="50"/>
  <c r="M107" i="43"/>
  <c r="M140" i="47"/>
  <c r="M140" i="40"/>
  <c r="K93" i="40"/>
  <c r="M97" i="47"/>
  <c r="F86" i="49"/>
  <c r="F86" i="42"/>
  <c r="F85" i="50"/>
  <c r="F85" i="43"/>
  <c r="M141" i="40"/>
  <c r="M141" i="47"/>
  <c r="M105" i="43"/>
  <c r="M105" i="50"/>
  <c r="M142" i="40"/>
  <c r="F148" i="48"/>
  <c r="F148" i="41"/>
  <c r="K82" i="43"/>
  <c r="K82" i="50"/>
  <c r="D150" i="47"/>
  <c r="D150" i="40"/>
  <c r="F148" i="40"/>
  <c r="F148" i="47"/>
  <c r="D149" i="47"/>
  <c r="D149" i="40"/>
  <c r="F99" i="48"/>
  <c r="F99" i="41"/>
  <c r="M94" i="48"/>
  <c r="M94" i="41"/>
  <c r="D128" i="40"/>
  <c r="D128" i="47"/>
  <c r="K127" i="40"/>
  <c r="K127" i="47"/>
  <c r="M97" i="41"/>
  <c r="M97" i="48"/>
  <c r="M161" i="47"/>
  <c r="M161" i="40"/>
  <c r="M99" i="41"/>
  <c r="M99" i="48"/>
  <c r="D126" i="47"/>
  <c r="D126" i="40"/>
  <c r="K131" i="40"/>
  <c r="K131" i="47"/>
  <c r="F93" i="50"/>
  <c r="F93" i="43"/>
  <c r="F110" i="48"/>
  <c r="F110" i="41"/>
  <c r="D280" i="40" l="1"/>
  <c r="U99" i="40"/>
  <c r="D286" i="40"/>
  <c r="W105" i="49"/>
  <c r="D292" i="50"/>
  <c r="W85" i="49"/>
  <c r="T151" i="48"/>
  <c r="V151" i="48"/>
  <c r="W151" i="48"/>
  <c r="W152" i="48"/>
  <c r="V152" i="48"/>
  <c r="T152" i="48"/>
  <c r="W85" i="50"/>
  <c r="W86" i="49"/>
  <c r="V86" i="49"/>
  <c r="T86" i="49"/>
  <c r="D293" i="50"/>
  <c r="T293" i="50" s="1"/>
  <c r="U106" i="50"/>
  <c r="D291" i="50"/>
  <c r="T153" i="48"/>
  <c r="V153" i="48"/>
  <c r="W153" i="48"/>
  <c r="W108" i="49"/>
  <c r="V108" i="49"/>
  <c r="T108" i="49"/>
  <c r="U140" i="40"/>
  <c r="D327" i="40"/>
  <c r="W162" i="40"/>
  <c r="V162" i="40"/>
  <c r="T162" i="40"/>
  <c r="D325" i="40"/>
  <c r="W104" i="49"/>
  <c r="T164" i="40"/>
  <c r="V164" i="40"/>
  <c r="W164" i="40"/>
  <c r="W138" i="40"/>
  <c r="W82" i="49"/>
  <c r="V110" i="49"/>
  <c r="T110" i="49"/>
  <c r="W110" i="49"/>
  <c r="U141" i="40"/>
  <c r="D328" i="40"/>
  <c r="D295" i="50"/>
  <c r="V295" i="50" s="1"/>
  <c r="U108" i="50"/>
  <c r="V120" i="50"/>
  <c r="T120" i="50"/>
  <c r="W120" i="50"/>
  <c r="D324" i="40"/>
  <c r="D281" i="40"/>
  <c r="D294" i="50"/>
  <c r="U107" i="50"/>
  <c r="W106" i="50"/>
  <c r="D282" i="40"/>
  <c r="D323" i="40"/>
  <c r="W148" i="48"/>
  <c r="T110" i="50"/>
  <c r="W110" i="50"/>
  <c r="V110" i="50"/>
  <c r="D329" i="40"/>
  <c r="V329" i="40" s="1"/>
  <c r="U142" i="40"/>
  <c r="W109" i="50"/>
  <c r="T109" i="50"/>
  <c r="V109" i="50"/>
  <c r="D297" i="50"/>
  <c r="U110" i="50"/>
  <c r="W107" i="49"/>
  <c r="U97" i="40"/>
  <c r="D284" i="40"/>
  <c r="U109" i="50"/>
  <c r="D296" i="50"/>
  <c r="D290" i="50"/>
  <c r="U143" i="40"/>
  <c r="D330" i="40"/>
  <c r="G16" i="12"/>
  <c r="N43" i="12"/>
  <c r="Q43" i="12"/>
  <c r="N28" i="12"/>
  <c r="N42" i="12"/>
  <c r="Q42" i="12"/>
  <c r="G162" i="12"/>
  <c r="G141" i="12"/>
  <c r="P141" i="12"/>
  <c r="N174" i="12"/>
  <c r="Q174" i="12"/>
  <c r="N41" i="12"/>
  <c r="Q41" i="12"/>
  <c r="N30" i="12"/>
  <c r="Q30" i="12"/>
  <c r="N172" i="12"/>
  <c r="E323" i="40"/>
  <c r="E297" i="50"/>
  <c r="E284" i="40"/>
  <c r="E326" i="40"/>
  <c r="D305" i="50"/>
  <c r="U118" i="50"/>
  <c r="W84" i="49"/>
  <c r="D303" i="50"/>
  <c r="T303" i="50" s="1"/>
  <c r="U116" i="50"/>
  <c r="N175" i="12"/>
  <c r="Q175" i="12"/>
  <c r="G76" i="12"/>
  <c r="P76" i="12"/>
  <c r="G96" i="12"/>
  <c r="G39" i="12"/>
  <c r="N171" i="12"/>
  <c r="G29" i="12"/>
  <c r="G99" i="12"/>
  <c r="P99" i="12"/>
  <c r="D272" i="49"/>
  <c r="U85" i="49"/>
  <c r="D271" i="49"/>
  <c r="E280" i="40"/>
  <c r="Z128" i="48"/>
  <c r="Z95" i="49"/>
  <c r="Z87" i="50"/>
  <c r="Z97" i="40"/>
  <c r="E294" i="50"/>
  <c r="E286" i="40"/>
  <c r="E330" i="40"/>
  <c r="G33" i="12"/>
  <c r="P33" i="12"/>
  <c r="G32" i="12"/>
  <c r="P32" i="12"/>
  <c r="F134" i="12"/>
  <c r="G136" i="12"/>
  <c r="G134" i="12"/>
  <c r="G20" i="12"/>
  <c r="P20" i="12"/>
  <c r="G31" i="12"/>
  <c r="P31" i="12"/>
  <c r="N38" i="12"/>
  <c r="N27" i="12"/>
  <c r="P74" i="12"/>
  <c r="G74" i="12"/>
  <c r="N26" i="12"/>
  <c r="G126" i="12"/>
  <c r="Z150" i="48"/>
  <c r="E328" i="40"/>
  <c r="W115" i="50"/>
  <c r="E296" i="50"/>
  <c r="U140" i="48"/>
  <c r="D327" i="48"/>
  <c r="E327" i="40"/>
  <c r="E282" i="40"/>
  <c r="N37" i="12"/>
  <c r="G94" i="12"/>
  <c r="N33" i="12"/>
  <c r="Q33" i="12"/>
  <c r="G43" i="12"/>
  <c r="P43" i="12"/>
  <c r="G19" i="12"/>
  <c r="P19" i="12"/>
  <c r="N32" i="12"/>
  <c r="Q32" i="12"/>
  <c r="G21" i="12"/>
  <c r="P21" i="12"/>
  <c r="G22" i="12"/>
  <c r="P22" i="12"/>
  <c r="N39" i="12"/>
  <c r="N44" i="12"/>
  <c r="Q44" i="12"/>
  <c r="E292" i="50"/>
  <c r="E295" i="50"/>
  <c r="W139" i="40"/>
  <c r="Z143" i="40"/>
  <c r="E291" i="50"/>
  <c r="Z88" i="50"/>
  <c r="P143" i="12"/>
  <c r="G143" i="12"/>
  <c r="N31" i="12"/>
  <c r="Q31" i="12"/>
  <c r="G42" i="12"/>
  <c r="P42" i="12"/>
  <c r="N29" i="12"/>
  <c r="Q29" i="12"/>
  <c r="G142" i="12"/>
  <c r="P142" i="12"/>
  <c r="N170" i="12"/>
  <c r="G17" i="12"/>
  <c r="G137" i="12"/>
  <c r="G97" i="12"/>
  <c r="P97" i="12"/>
  <c r="N176" i="12"/>
  <c r="Q176" i="12"/>
  <c r="E285" i="40"/>
  <c r="E329" i="40"/>
  <c r="Z159" i="40"/>
  <c r="E324" i="40"/>
  <c r="E293" i="50"/>
  <c r="Z140" i="40"/>
  <c r="W106" i="49"/>
  <c r="U121" i="48"/>
  <c r="D308" i="48"/>
  <c r="T308" i="48" s="1"/>
  <c r="E281" i="40"/>
  <c r="E290" i="50"/>
  <c r="E325" i="40"/>
  <c r="T296" i="40"/>
  <c r="V307" i="49"/>
  <c r="T308" i="50"/>
  <c r="T304" i="40"/>
  <c r="V304" i="40"/>
  <c r="U109" i="49"/>
  <c r="D296" i="49"/>
  <c r="D284" i="48"/>
  <c r="U97" i="48"/>
  <c r="U131" i="40"/>
  <c r="D318" i="40"/>
  <c r="D271" i="50"/>
  <c r="U98" i="48"/>
  <c r="D285" i="48"/>
  <c r="T130" i="40"/>
  <c r="W130" i="40"/>
  <c r="V130" i="40"/>
  <c r="W126" i="40"/>
  <c r="W92" i="48"/>
  <c r="V92" i="48"/>
  <c r="W117" i="49"/>
  <c r="W86" i="50"/>
  <c r="T86" i="50"/>
  <c r="V86" i="50"/>
  <c r="D350" i="40"/>
  <c r="U163" i="40"/>
  <c r="W119" i="49"/>
  <c r="T119" i="49"/>
  <c r="V119" i="49"/>
  <c r="W148" i="40"/>
  <c r="T132" i="40"/>
  <c r="W132" i="40"/>
  <c r="V132" i="40"/>
  <c r="U141" i="48"/>
  <c r="D328" i="48"/>
  <c r="U110" i="49"/>
  <c r="D297" i="49"/>
  <c r="W127" i="40"/>
  <c r="D347" i="40"/>
  <c r="D324" i="48"/>
  <c r="W121" i="49"/>
  <c r="T121" i="49"/>
  <c r="V121" i="49"/>
  <c r="D314" i="40"/>
  <c r="D323" i="48"/>
  <c r="D270" i="50"/>
  <c r="D268" i="50"/>
  <c r="D290" i="49"/>
  <c r="D286" i="48"/>
  <c r="V286" i="48" s="1"/>
  <c r="U99" i="48"/>
  <c r="T131" i="40"/>
  <c r="V131" i="40"/>
  <c r="W131" i="40"/>
  <c r="W128" i="40"/>
  <c r="D345" i="40"/>
  <c r="W95" i="48"/>
  <c r="V95" i="48"/>
  <c r="V82" i="50"/>
  <c r="W82" i="50"/>
  <c r="D282" i="48"/>
  <c r="W125" i="40"/>
  <c r="D313" i="40"/>
  <c r="D348" i="40"/>
  <c r="W98" i="48"/>
  <c r="V98" i="48"/>
  <c r="T98" i="48"/>
  <c r="D268" i="49"/>
  <c r="V154" i="40"/>
  <c r="T154" i="40"/>
  <c r="W154" i="40"/>
  <c r="T151" i="40"/>
  <c r="W151" i="40"/>
  <c r="V151" i="40"/>
  <c r="W129" i="40"/>
  <c r="D319" i="40"/>
  <c r="U132" i="40"/>
  <c r="U86" i="50"/>
  <c r="D273" i="50"/>
  <c r="W96" i="48"/>
  <c r="V96" i="48"/>
  <c r="W115" i="49"/>
  <c r="D293" i="49"/>
  <c r="D292" i="49"/>
  <c r="W152" i="40"/>
  <c r="T152" i="40"/>
  <c r="V152" i="40"/>
  <c r="D312" i="40"/>
  <c r="W94" i="48"/>
  <c r="V94" i="48"/>
  <c r="W149" i="40"/>
  <c r="D325" i="48"/>
  <c r="U87" i="50"/>
  <c r="D274" i="50"/>
  <c r="V274" i="50" s="1"/>
  <c r="V93" i="48"/>
  <c r="W93" i="48"/>
  <c r="W118" i="49"/>
  <c r="W147" i="40"/>
  <c r="D346" i="40"/>
  <c r="D272" i="50"/>
  <c r="V97" i="48"/>
  <c r="W97" i="48"/>
  <c r="T97" i="48"/>
  <c r="D280" i="48"/>
  <c r="U164" i="40"/>
  <c r="D351" i="40"/>
  <c r="V99" i="48"/>
  <c r="W99" i="48"/>
  <c r="T99" i="48"/>
  <c r="V85" i="50"/>
  <c r="V83" i="50"/>
  <c r="V81" i="50"/>
  <c r="V84" i="50"/>
  <c r="W81" i="50"/>
  <c r="D283" i="48"/>
  <c r="T153" i="40"/>
  <c r="W153" i="40"/>
  <c r="V153" i="40"/>
  <c r="U165" i="40"/>
  <c r="D352" i="40"/>
  <c r="U162" i="40"/>
  <c r="D349" i="40"/>
  <c r="V120" i="49"/>
  <c r="T120" i="49"/>
  <c r="W120" i="49"/>
  <c r="D291" i="49"/>
  <c r="D279" i="48"/>
  <c r="T150" i="40"/>
  <c r="V150" i="40"/>
  <c r="W150" i="40"/>
  <c r="U129" i="40"/>
  <c r="D316" i="40"/>
  <c r="U128" i="40"/>
  <c r="D315" i="40"/>
  <c r="U88" i="50"/>
  <c r="D275" i="50"/>
  <c r="D294" i="49"/>
  <c r="U107" i="49"/>
  <c r="D295" i="49"/>
  <c r="U108" i="49"/>
  <c r="D281" i="48"/>
  <c r="U130" i="40"/>
  <c r="D317" i="40"/>
  <c r="T317" i="40" s="1"/>
  <c r="D269" i="50"/>
  <c r="W114" i="49"/>
  <c r="W116" i="49"/>
  <c r="G61" i="12"/>
  <c r="N76" i="12"/>
  <c r="Q76" i="12"/>
  <c r="N163" i="12"/>
  <c r="Q163" i="12"/>
  <c r="G151" i="12"/>
  <c r="G104" i="12"/>
  <c r="G110" i="12"/>
  <c r="P110" i="12"/>
  <c r="G156" i="12"/>
  <c r="F156" i="12"/>
  <c r="G158" i="12"/>
  <c r="N151" i="12"/>
  <c r="G9" i="12"/>
  <c r="P9" i="12"/>
  <c r="N61" i="12"/>
  <c r="N74" i="12"/>
  <c r="Q74" i="12"/>
  <c r="N158" i="12"/>
  <c r="N93" i="12"/>
  <c r="N154" i="12"/>
  <c r="Q154" i="12"/>
  <c r="G62" i="12"/>
  <c r="N63" i="12"/>
  <c r="Q63" i="12"/>
  <c r="N70" i="12"/>
  <c r="N50" i="12"/>
  <c r="N164" i="12"/>
  <c r="Q164" i="12"/>
  <c r="F57" i="12"/>
  <c r="G59" i="12"/>
  <c r="G57" i="12"/>
  <c r="N64" i="12"/>
  <c r="Q64" i="12"/>
  <c r="N73" i="12"/>
  <c r="N159" i="12"/>
  <c r="G152" i="12"/>
  <c r="P152" i="12"/>
  <c r="G153" i="12"/>
  <c r="P153" i="12"/>
  <c r="N136" i="12"/>
  <c r="E280" i="48"/>
  <c r="E319" i="40"/>
  <c r="E273" i="50"/>
  <c r="E292" i="49"/>
  <c r="E314" i="40"/>
  <c r="E349" i="40"/>
  <c r="E286" i="48"/>
  <c r="E345" i="40"/>
  <c r="E294" i="49"/>
  <c r="E281" i="48"/>
  <c r="E313" i="40"/>
  <c r="E272" i="50"/>
  <c r="N98" i="12"/>
  <c r="Q98" i="12"/>
  <c r="N152" i="12"/>
  <c r="Q152" i="12"/>
  <c r="G11" i="12"/>
  <c r="P11" i="12"/>
  <c r="G8" i="12"/>
  <c r="P8" i="12"/>
  <c r="N66" i="12"/>
  <c r="Q66" i="12"/>
  <c r="N161" i="12"/>
  <c r="N95" i="12"/>
  <c r="N94" i="12"/>
  <c r="N59" i="12"/>
  <c r="N77" i="12"/>
  <c r="Q77" i="12"/>
  <c r="G149" i="12"/>
  <c r="G106" i="12"/>
  <c r="G109" i="12"/>
  <c r="P109" i="12"/>
  <c r="N147" i="12"/>
  <c r="N62" i="12"/>
  <c r="Q62" i="12"/>
  <c r="N75" i="12"/>
  <c r="Q75" i="12"/>
  <c r="G107" i="12"/>
  <c r="N149" i="12"/>
  <c r="G66" i="12"/>
  <c r="P66" i="12"/>
  <c r="N71" i="12"/>
  <c r="N162" i="12"/>
  <c r="G105" i="12"/>
  <c r="N53" i="12"/>
  <c r="Q53" i="12"/>
  <c r="E296" i="49"/>
  <c r="E351" i="40"/>
  <c r="E271" i="50"/>
  <c r="E283" i="48"/>
  <c r="E323" i="48"/>
  <c r="E291" i="49"/>
  <c r="E279" i="48"/>
  <c r="E316" i="40"/>
  <c r="E275" i="50"/>
  <c r="E346" i="40"/>
  <c r="E268" i="49"/>
  <c r="N99" i="12"/>
  <c r="Q99" i="12"/>
  <c r="N148" i="12"/>
  <c r="N65" i="12"/>
  <c r="Q65" i="12"/>
  <c r="G154" i="12"/>
  <c r="P154" i="12"/>
  <c r="G10" i="12"/>
  <c r="P10" i="12"/>
  <c r="G60" i="12"/>
  <c r="N160" i="12"/>
  <c r="F145" i="12"/>
  <c r="G147" i="12"/>
  <c r="G145" i="12"/>
  <c r="G163" i="12"/>
  <c r="P163" i="12"/>
  <c r="G7" i="12"/>
  <c r="P7" i="12"/>
  <c r="G65" i="12"/>
  <c r="P65" i="12"/>
  <c r="N165" i="12"/>
  <c r="Q165" i="12"/>
  <c r="G108" i="12"/>
  <c r="P108" i="12"/>
  <c r="N96" i="12"/>
  <c r="Q96" i="12"/>
  <c r="N97" i="12"/>
  <c r="Q97" i="12"/>
  <c r="N150" i="12"/>
  <c r="G5" i="12"/>
  <c r="N60" i="12"/>
  <c r="F101" i="12"/>
  <c r="G101" i="12"/>
  <c r="G103" i="12"/>
  <c r="E318" i="40"/>
  <c r="E324" i="48"/>
  <c r="E352" i="40"/>
  <c r="E270" i="50"/>
  <c r="Z156" i="48"/>
  <c r="E290" i="49"/>
  <c r="E350" i="40"/>
  <c r="E295" i="49"/>
  <c r="E348" i="40"/>
  <c r="G63" i="12"/>
  <c r="N72" i="12"/>
  <c r="N49" i="12"/>
  <c r="N153" i="12"/>
  <c r="Q153" i="12"/>
  <c r="G64" i="12"/>
  <c r="P64" i="12"/>
  <c r="N48" i="12"/>
  <c r="N92" i="12"/>
  <c r="G6" i="12"/>
  <c r="G150" i="12"/>
  <c r="G148" i="12"/>
  <c r="G159" i="12"/>
  <c r="G4" i="12"/>
  <c r="G2" i="12"/>
  <c r="E297" i="49"/>
  <c r="E284" i="48"/>
  <c r="E347" i="40"/>
  <c r="E293" i="49"/>
  <c r="E285" i="48"/>
  <c r="E312" i="40"/>
  <c r="E268" i="50"/>
  <c r="Z158" i="48"/>
  <c r="E315" i="40"/>
  <c r="E325" i="48"/>
  <c r="E274" i="50"/>
  <c r="E282" i="48"/>
  <c r="E317" i="40"/>
  <c r="E269" i="50"/>
  <c r="R1" i="42"/>
  <c r="R8" i="34" s="1"/>
  <c r="T8" i="34" s="1"/>
  <c r="R1" i="49"/>
  <c r="E328" i="48"/>
  <c r="N18" i="34"/>
  <c r="V18" i="34" s="1"/>
  <c r="N19" i="34"/>
  <c r="V19" i="34" s="1"/>
  <c r="N21" i="34"/>
  <c r="V21" i="34" s="1"/>
  <c r="W140" i="40"/>
  <c r="W118" i="50"/>
  <c r="T118" i="50"/>
  <c r="V118" i="50"/>
  <c r="D308" i="49"/>
  <c r="V308" i="49" s="1"/>
  <c r="U121" i="49"/>
  <c r="D302" i="49"/>
  <c r="W142" i="40"/>
  <c r="T142" i="40"/>
  <c r="V142" i="40"/>
  <c r="D346" i="48"/>
  <c r="T99" i="40"/>
  <c r="V99" i="40"/>
  <c r="W99" i="40"/>
  <c r="W163" i="48"/>
  <c r="V163" i="48"/>
  <c r="T163" i="48"/>
  <c r="W141" i="40"/>
  <c r="T141" i="40"/>
  <c r="V141" i="40"/>
  <c r="U97" i="50"/>
  <c r="D284" i="50"/>
  <c r="T284" i="50" s="1"/>
  <c r="D292" i="40"/>
  <c r="U105" i="40"/>
  <c r="T329" i="40"/>
  <c r="V286" i="50"/>
  <c r="V284" i="50"/>
  <c r="T284" i="49"/>
  <c r="T326" i="40"/>
  <c r="V282" i="50"/>
  <c r="Z131" i="48"/>
  <c r="Z137" i="40"/>
  <c r="Z132" i="48"/>
  <c r="Z163" i="40"/>
  <c r="Z104" i="49"/>
  <c r="Z99" i="40"/>
  <c r="Z109" i="49"/>
  <c r="Z85" i="49"/>
  <c r="T285" i="49"/>
  <c r="Z83" i="49"/>
  <c r="Z161" i="48"/>
  <c r="Z106" i="49"/>
  <c r="V307" i="50"/>
  <c r="Z120" i="50"/>
  <c r="T286" i="48"/>
  <c r="V297" i="40"/>
  <c r="T340" i="40"/>
  <c r="T283" i="40"/>
  <c r="Z118" i="50"/>
  <c r="Z121" i="50"/>
  <c r="T273" i="49"/>
  <c r="V273" i="49"/>
  <c r="T275" i="49"/>
  <c r="V275" i="49"/>
  <c r="T272" i="49"/>
  <c r="V272" i="49"/>
  <c r="T274" i="50"/>
  <c r="D301" i="48"/>
  <c r="Z112" i="50"/>
  <c r="Z114" i="50"/>
  <c r="Z116" i="50"/>
  <c r="U110" i="48"/>
  <c r="D297" i="48"/>
  <c r="V118" i="48"/>
  <c r="W118" i="48"/>
  <c r="T118" i="48"/>
  <c r="T107" i="48"/>
  <c r="W107" i="48"/>
  <c r="V107" i="48"/>
  <c r="W99" i="50"/>
  <c r="T99" i="50"/>
  <c r="V99" i="50"/>
  <c r="W93" i="50"/>
  <c r="V93" i="50"/>
  <c r="T97" i="50"/>
  <c r="W97" i="50"/>
  <c r="V97" i="50"/>
  <c r="D294" i="48"/>
  <c r="U107" i="48"/>
  <c r="V121" i="48"/>
  <c r="W121" i="48"/>
  <c r="T121" i="48"/>
  <c r="W119" i="48"/>
  <c r="V119" i="48"/>
  <c r="T119" i="48"/>
  <c r="V109" i="48"/>
  <c r="W109" i="48"/>
  <c r="T109" i="48"/>
  <c r="T110" i="48"/>
  <c r="W110" i="48"/>
  <c r="V110" i="48"/>
  <c r="W92" i="50"/>
  <c r="V92" i="50"/>
  <c r="D292" i="48"/>
  <c r="U105" i="48"/>
  <c r="T110" i="40"/>
  <c r="W110" i="40"/>
  <c r="V110" i="40"/>
  <c r="W117" i="48"/>
  <c r="T117" i="48"/>
  <c r="V117" i="48"/>
  <c r="W104" i="48"/>
  <c r="N180" i="12"/>
  <c r="N181" i="12"/>
  <c r="G237" i="12"/>
  <c r="G242" i="12"/>
  <c r="P242" i="12"/>
  <c r="G236" i="12"/>
  <c r="G238" i="12"/>
  <c r="P238" i="12"/>
  <c r="G222" i="12"/>
  <c r="G224" i="12"/>
  <c r="F222" i="12"/>
  <c r="G228" i="12"/>
  <c r="P228" i="12"/>
  <c r="G182" i="12"/>
  <c r="G185" i="12"/>
  <c r="P185" i="12"/>
  <c r="G207" i="12"/>
  <c r="P207" i="12"/>
  <c r="N183" i="12"/>
  <c r="Q183" i="12"/>
  <c r="N185" i="12"/>
  <c r="Q185" i="12"/>
  <c r="N184" i="12"/>
  <c r="Q184" i="12"/>
  <c r="G239" i="12"/>
  <c r="P239" i="12"/>
  <c r="G241" i="12"/>
  <c r="P241" i="12"/>
  <c r="G235" i="12"/>
  <c r="G233" i="12"/>
  <c r="F233" i="12"/>
  <c r="G226" i="12"/>
  <c r="P226" i="12"/>
  <c r="G225" i="12"/>
  <c r="P225" i="12"/>
  <c r="G227" i="12"/>
  <c r="P227" i="12"/>
  <c r="G181" i="12"/>
  <c r="G204" i="12"/>
  <c r="G202" i="12"/>
  <c r="G200" i="12"/>
  <c r="F200" i="12"/>
  <c r="E292" i="48"/>
  <c r="E290" i="48"/>
  <c r="E291" i="48"/>
  <c r="U119" i="48"/>
  <c r="D306" i="48"/>
  <c r="E293" i="48"/>
  <c r="E296" i="48"/>
  <c r="U115" i="48"/>
  <c r="D302" i="48"/>
  <c r="R1" i="47"/>
  <c r="R1" i="40"/>
  <c r="R4" i="34" s="1"/>
  <c r="T4" i="34" s="1"/>
  <c r="R1" i="43"/>
  <c r="R10" i="34" s="1"/>
  <c r="T10" i="34" s="1"/>
  <c r="R1" i="50"/>
  <c r="N187" i="12"/>
  <c r="Q187" i="12"/>
  <c r="N182" i="12"/>
  <c r="Q182" i="12"/>
  <c r="G230" i="12"/>
  <c r="P230" i="12"/>
  <c r="F178" i="12"/>
  <c r="G178" i="12"/>
  <c r="G180" i="12"/>
  <c r="G184" i="12"/>
  <c r="P184" i="12"/>
  <c r="G205" i="12"/>
  <c r="P205" i="12"/>
  <c r="G209" i="12"/>
  <c r="P209" i="12"/>
  <c r="G203" i="12"/>
  <c r="N186" i="12"/>
  <c r="Q186" i="12"/>
  <c r="G240" i="12"/>
  <c r="P240" i="12"/>
  <c r="G231" i="12"/>
  <c r="P231" i="12"/>
  <c r="G229" i="12"/>
  <c r="P229" i="12"/>
  <c r="G186" i="12"/>
  <c r="P186" i="12"/>
  <c r="G183" i="12"/>
  <c r="P183" i="12"/>
  <c r="G187" i="12"/>
  <c r="P187" i="12"/>
  <c r="G206" i="12"/>
  <c r="P206" i="12"/>
  <c r="G208" i="12"/>
  <c r="P208" i="12"/>
  <c r="E297" i="48"/>
  <c r="R1" i="48"/>
  <c r="R1" i="41"/>
  <c r="R6" i="34" s="1"/>
  <c r="T6" i="34" s="1"/>
  <c r="E295" i="48"/>
  <c r="E294" i="48"/>
  <c r="T291" i="40"/>
  <c r="V291" i="40"/>
  <c r="V293" i="40"/>
  <c r="T293" i="40"/>
  <c r="V337" i="40"/>
  <c r="T337" i="40"/>
  <c r="N23" i="34"/>
  <c r="V23" i="34" s="1"/>
  <c r="S1" i="12"/>
  <c r="D33" i="5" s="1"/>
  <c r="V327" i="40"/>
  <c r="T327" i="40"/>
  <c r="V337" i="48"/>
  <c r="T337" i="48"/>
  <c r="V315" i="40"/>
  <c r="T315" i="40"/>
  <c r="T317" i="48"/>
  <c r="V317" i="48"/>
  <c r="V304" i="48"/>
  <c r="T304" i="48"/>
  <c r="T307" i="48"/>
  <c r="V307" i="48"/>
  <c r="T306" i="49"/>
  <c r="V306" i="49"/>
  <c r="T283" i="49"/>
  <c r="V283" i="49"/>
  <c r="T295" i="40"/>
  <c r="V295" i="40"/>
  <c r="N22" i="34"/>
  <c r="V22" i="34" s="1"/>
  <c r="R1" i="12"/>
  <c r="V351" i="48"/>
  <c r="T351" i="48"/>
  <c r="V316" i="48"/>
  <c r="T316" i="48"/>
  <c r="T285" i="50"/>
  <c r="V285" i="50"/>
  <c r="V294" i="40"/>
  <c r="T294" i="40"/>
  <c r="T339" i="40"/>
  <c r="V339" i="40"/>
  <c r="V282" i="49"/>
  <c r="T282" i="49"/>
  <c r="T319" i="48"/>
  <c r="V319" i="48"/>
  <c r="V273" i="50"/>
  <c r="T273" i="50"/>
  <c r="V308" i="48"/>
  <c r="T305" i="48"/>
  <c r="V305" i="48"/>
  <c r="V258" i="44"/>
  <c r="P258" i="44"/>
  <c r="K260" i="44"/>
  <c r="J260" i="44"/>
  <c r="V257" i="44"/>
  <c r="P257" i="44"/>
  <c r="K258" i="44"/>
  <c r="J258" i="44"/>
  <c r="J257" i="44"/>
  <c r="K257" i="44"/>
  <c r="K262" i="44"/>
  <c r="J262" i="44"/>
  <c r="P259" i="44"/>
  <c r="V259" i="44"/>
  <c r="K261" i="44"/>
  <c r="J261" i="44"/>
  <c r="P262" i="44"/>
  <c r="V262" i="44"/>
  <c r="P261" i="44"/>
  <c r="V261" i="44"/>
  <c r="P260" i="44"/>
  <c r="V260" i="44"/>
  <c r="K259" i="44"/>
  <c r="J259" i="44"/>
  <c r="T251" i="44"/>
  <c r="Z251" i="44"/>
  <c r="W246" i="44"/>
  <c r="Q246" i="44"/>
  <c r="W247" i="44"/>
  <c r="Q247" i="44"/>
  <c r="Q248" i="44"/>
  <c r="W248" i="44"/>
  <c r="Q251" i="44"/>
  <c r="W251" i="44"/>
  <c r="Q249" i="44"/>
  <c r="W249" i="44"/>
  <c r="Q250" i="44"/>
  <c r="W250" i="44"/>
  <c r="Z246" i="44"/>
  <c r="T246" i="44"/>
  <c r="A278" i="44"/>
  <c r="A282" i="44"/>
  <c r="C280" i="44"/>
  <c r="A281" i="44"/>
  <c r="E277" i="44"/>
  <c r="A283" i="44"/>
  <c r="A284" i="44"/>
  <c r="C281" i="44"/>
  <c r="A286" i="44"/>
  <c r="C282" i="44"/>
  <c r="H277" i="44"/>
  <c r="C283" i="44"/>
  <c r="A279" i="44"/>
  <c r="B277" i="44"/>
  <c r="A285" i="44" s="1"/>
  <c r="C279" i="44"/>
  <c r="C284" i="44"/>
  <c r="I272" i="44"/>
  <c r="E272" i="44"/>
  <c r="D272" i="44"/>
  <c r="A291" i="44"/>
  <c r="E269" i="44"/>
  <c r="I269" i="44"/>
  <c r="D269" i="44"/>
  <c r="E268" i="44"/>
  <c r="D268" i="44"/>
  <c r="I268" i="44"/>
  <c r="E270" i="44"/>
  <c r="D270" i="44"/>
  <c r="I270" i="44"/>
  <c r="E271" i="44"/>
  <c r="I271" i="44"/>
  <c r="D271" i="44"/>
  <c r="E273" i="44"/>
  <c r="I273" i="44"/>
  <c r="D273" i="44"/>
  <c r="D106" i="41"/>
  <c r="G148" i="41"/>
  <c r="G148" i="48"/>
  <c r="N140" i="47"/>
  <c r="N140" i="40"/>
  <c r="N95" i="47"/>
  <c r="N95" i="40"/>
  <c r="F106" i="47"/>
  <c r="F107" i="40"/>
  <c r="P62" i="12"/>
  <c r="P149" i="12"/>
  <c r="Q92" i="12"/>
  <c r="D151" i="41"/>
  <c r="P96" i="12"/>
  <c r="N94" i="40"/>
  <c r="N94" i="47"/>
  <c r="P29" i="12"/>
  <c r="D109" i="41"/>
  <c r="Q136" i="12"/>
  <c r="G81" i="42"/>
  <c r="G81" i="49"/>
  <c r="G152" i="41"/>
  <c r="G152" i="48"/>
  <c r="N137" i="40"/>
  <c r="N137" i="47"/>
  <c r="Q26" i="12"/>
  <c r="D105" i="40"/>
  <c r="M109" i="41"/>
  <c r="Q147" i="12"/>
  <c r="P103" i="12"/>
  <c r="P4" i="12"/>
  <c r="D109" i="49"/>
  <c r="G154" i="48"/>
  <c r="G154" i="41"/>
  <c r="N138" i="47"/>
  <c r="N138" i="40"/>
  <c r="F105" i="48"/>
  <c r="P150" i="12"/>
  <c r="F107" i="48"/>
  <c r="D95" i="50"/>
  <c r="Q158" i="12"/>
  <c r="Q59" i="12"/>
  <c r="D148" i="41"/>
  <c r="G88" i="42"/>
  <c r="G88" i="49"/>
  <c r="G87" i="49"/>
  <c r="G87" i="42"/>
  <c r="G149" i="41"/>
  <c r="G149" i="48"/>
  <c r="G108" i="42"/>
  <c r="G108" i="49"/>
  <c r="F88" i="42"/>
  <c r="G96" i="41"/>
  <c r="G152" i="47"/>
  <c r="N109" i="49"/>
  <c r="N132" i="40"/>
  <c r="G94" i="48"/>
  <c r="N141" i="41"/>
  <c r="G153" i="47"/>
  <c r="N103" i="42"/>
  <c r="N99" i="41"/>
  <c r="G132" i="47"/>
  <c r="G119" i="49"/>
  <c r="N136" i="48"/>
  <c r="N81" i="50"/>
  <c r="N138" i="41"/>
  <c r="N161" i="40"/>
  <c r="N125" i="40"/>
  <c r="N128" i="47"/>
  <c r="N159" i="40"/>
  <c r="G92" i="48"/>
  <c r="N88" i="50"/>
  <c r="N95" i="41"/>
  <c r="N160" i="47"/>
  <c r="G149" i="47"/>
  <c r="N106" i="49"/>
  <c r="G86" i="50"/>
  <c r="G121" i="42"/>
  <c r="N127" i="40"/>
  <c r="N129" i="40"/>
  <c r="G123" i="40"/>
  <c r="N97" i="48"/>
  <c r="N84" i="43"/>
  <c r="G120" i="49"/>
  <c r="N85" i="50"/>
  <c r="G126" i="40"/>
  <c r="G148" i="40"/>
  <c r="N137" i="41"/>
  <c r="G145" i="47"/>
  <c r="N96" i="41"/>
  <c r="N130" i="47"/>
  <c r="N163" i="47"/>
  <c r="G131" i="40"/>
  <c r="N98" i="48"/>
  <c r="F104" i="40"/>
  <c r="K104" i="48"/>
  <c r="F99" i="50"/>
  <c r="G108" i="47"/>
  <c r="G106" i="40"/>
  <c r="D107" i="40"/>
  <c r="G116" i="41"/>
  <c r="P182" i="12"/>
  <c r="N103" i="41"/>
  <c r="G97" i="50"/>
  <c r="F106" i="48"/>
  <c r="F96" i="50"/>
  <c r="G98" i="43"/>
  <c r="N106" i="41"/>
  <c r="F117" i="48"/>
  <c r="F106" i="40"/>
  <c r="G110" i="40"/>
  <c r="D120" i="48"/>
  <c r="F97" i="50"/>
  <c r="G94" i="50"/>
  <c r="G92" i="50"/>
  <c r="G117" i="41"/>
  <c r="F104" i="41"/>
  <c r="F120" i="41"/>
  <c r="N103" i="48"/>
  <c r="G105" i="40"/>
  <c r="G99" i="43"/>
  <c r="N106" i="48"/>
  <c r="G95" i="50"/>
  <c r="G115" i="48"/>
  <c r="N109" i="41"/>
  <c r="F115" i="48"/>
  <c r="G110" i="48"/>
  <c r="N109" i="48"/>
  <c r="N107" i="48"/>
  <c r="G104" i="47"/>
  <c r="D103" i="40"/>
  <c r="G107" i="47"/>
  <c r="G104" i="40"/>
  <c r="M106" i="48"/>
  <c r="G105" i="41"/>
  <c r="G99" i="50"/>
  <c r="G97" i="43"/>
  <c r="G107" i="41"/>
  <c r="F104" i="47"/>
  <c r="D103" i="47"/>
  <c r="M142" i="47"/>
  <c r="P162" i="12"/>
  <c r="N107" i="43"/>
  <c r="N107" i="50"/>
  <c r="Q159" i="12"/>
  <c r="N98" i="40"/>
  <c r="N98" i="47"/>
  <c r="P39" i="12"/>
  <c r="G110" i="42"/>
  <c r="G110" i="49"/>
  <c r="Q148" i="12"/>
  <c r="P136" i="12"/>
  <c r="N104" i="43"/>
  <c r="N104" i="50"/>
  <c r="D115" i="41"/>
  <c r="P60" i="12"/>
  <c r="Q37" i="12"/>
  <c r="G153" i="41"/>
  <c r="G153" i="48"/>
  <c r="N143" i="40"/>
  <c r="N143" i="47"/>
  <c r="Q71" i="12"/>
  <c r="F109" i="47"/>
  <c r="P61" i="12"/>
  <c r="Q72" i="12"/>
  <c r="N93" i="40"/>
  <c r="N93" i="47"/>
  <c r="G82" i="42"/>
  <c r="G82" i="49"/>
  <c r="N164" i="40"/>
  <c r="N158" i="40"/>
  <c r="N105" i="49"/>
  <c r="N131" i="40"/>
  <c r="G82" i="43"/>
  <c r="N83" i="43"/>
  <c r="G115" i="42"/>
  <c r="G125" i="40"/>
  <c r="G117" i="42"/>
  <c r="N110" i="42"/>
  <c r="N107" i="42"/>
  <c r="G130" i="47"/>
  <c r="N93" i="48"/>
  <c r="G81" i="50"/>
  <c r="N87" i="50"/>
  <c r="G151" i="40"/>
  <c r="N94" i="48"/>
  <c r="G90" i="48"/>
  <c r="G95" i="48"/>
  <c r="N162" i="47"/>
  <c r="G116" i="42"/>
  <c r="G93" i="48"/>
  <c r="G107" i="48"/>
  <c r="G110" i="41"/>
  <c r="P203" i="12"/>
  <c r="K109" i="48"/>
  <c r="F110" i="47"/>
  <c r="Q181" i="12"/>
  <c r="M106" i="41"/>
  <c r="G118" i="48"/>
  <c r="G90" i="43"/>
  <c r="G92" i="43"/>
  <c r="F99" i="43"/>
  <c r="G108" i="48"/>
  <c r="K106" i="41"/>
  <c r="F105" i="41"/>
  <c r="N110" i="41"/>
  <c r="G108" i="41"/>
  <c r="M104" i="48"/>
  <c r="P180" i="12"/>
  <c r="F118" i="41"/>
  <c r="F120" i="48"/>
  <c r="D95" i="43"/>
  <c r="P5" i="12"/>
  <c r="N141" i="47"/>
  <c r="N141" i="40"/>
  <c r="K93" i="47"/>
  <c r="K103" i="41"/>
  <c r="Q60" i="12"/>
  <c r="K98" i="40"/>
  <c r="G151" i="48"/>
  <c r="G151" i="41"/>
  <c r="M138" i="40"/>
  <c r="Q160" i="12"/>
  <c r="F104" i="48"/>
  <c r="Q161" i="12"/>
  <c r="G141" i="40"/>
  <c r="G141" i="47"/>
  <c r="P137" i="12"/>
  <c r="G128" i="47"/>
  <c r="N110" i="49"/>
  <c r="G130" i="40"/>
  <c r="N86" i="50"/>
  <c r="N87" i="43"/>
  <c r="N165" i="40"/>
  <c r="G90" i="41"/>
  <c r="G95" i="41"/>
  <c r="N81" i="42"/>
  <c r="G93" i="41"/>
  <c r="F96" i="43"/>
  <c r="M107" i="41"/>
  <c r="D110" i="47"/>
  <c r="D108" i="41"/>
  <c r="G90" i="50"/>
  <c r="M107" i="48"/>
  <c r="G101" i="48"/>
  <c r="D105" i="48"/>
  <c r="G120" i="48"/>
  <c r="M110" i="41"/>
  <c r="G101" i="41"/>
  <c r="F116" i="48"/>
  <c r="M105" i="48"/>
  <c r="N107" i="41"/>
  <c r="G104" i="41"/>
  <c r="A288" i="44"/>
  <c r="Q73" i="12"/>
  <c r="P16" i="12"/>
  <c r="N105" i="50"/>
  <c r="N105" i="43"/>
  <c r="G85" i="43"/>
  <c r="G85" i="50"/>
  <c r="N97" i="40"/>
  <c r="N97" i="47"/>
  <c r="Q172" i="12"/>
  <c r="D108" i="48"/>
  <c r="K110" i="41"/>
  <c r="Q50" i="12"/>
  <c r="P107" i="12"/>
  <c r="P148" i="12"/>
  <c r="G164" i="47"/>
  <c r="G164" i="40"/>
  <c r="G138" i="40"/>
  <c r="G138" i="47"/>
  <c r="Q171" i="12"/>
  <c r="F110" i="49"/>
  <c r="D114" i="41"/>
  <c r="P105" i="12"/>
  <c r="G109" i="50"/>
  <c r="G109" i="43"/>
  <c r="G79" i="42"/>
  <c r="G79" i="49"/>
  <c r="Q38" i="12"/>
  <c r="G162" i="40"/>
  <c r="G162" i="47"/>
  <c r="G115" i="50"/>
  <c r="G115" i="43"/>
  <c r="D108" i="47"/>
  <c r="P59" i="12"/>
  <c r="Q162" i="12"/>
  <c r="P63" i="12"/>
  <c r="N136" i="40"/>
  <c r="N136" i="47"/>
  <c r="G105" i="42"/>
  <c r="G105" i="49"/>
  <c r="G142" i="40"/>
  <c r="G142" i="47"/>
  <c r="D120" i="43"/>
  <c r="K94" i="47"/>
  <c r="Q39" i="12"/>
  <c r="M93" i="47"/>
  <c r="Q151" i="12"/>
  <c r="K106" i="48"/>
  <c r="M105" i="41"/>
  <c r="D117" i="41"/>
  <c r="Q93" i="12"/>
  <c r="Q150" i="12"/>
  <c r="D81" i="49"/>
  <c r="N108" i="50"/>
  <c r="N108" i="43"/>
  <c r="D108" i="50"/>
  <c r="P17" i="12"/>
  <c r="G96" i="48"/>
  <c r="G152" i="40"/>
  <c r="N109" i="42"/>
  <c r="N132" i="47"/>
  <c r="G94" i="41"/>
  <c r="N141" i="48"/>
  <c r="G153" i="40"/>
  <c r="N103" i="49"/>
  <c r="N99" i="48"/>
  <c r="G132" i="40"/>
  <c r="G119" i="42"/>
  <c r="N136" i="41"/>
  <c r="N81" i="43"/>
  <c r="N138" i="48"/>
  <c r="N161" i="47"/>
  <c r="N125" i="47"/>
  <c r="N128" i="40"/>
  <c r="N159" i="47"/>
  <c r="G92" i="41"/>
  <c r="N88" i="43"/>
  <c r="N95" i="48"/>
  <c r="N160" i="40"/>
  <c r="G149" i="40"/>
  <c r="N106" i="42"/>
  <c r="G86" i="43"/>
  <c r="G121" i="49"/>
  <c r="N127" i="47"/>
  <c r="N129" i="47"/>
  <c r="G123" i="47"/>
  <c r="N97" i="41"/>
  <c r="N84" i="50"/>
  <c r="G120" i="42"/>
  <c r="N85" i="43"/>
  <c r="G126" i="47"/>
  <c r="G148" i="47"/>
  <c r="N137" i="48"/>
  <c r="G145" i="40"/>
  <c r="N96" i="48"/>
  <c r="N130" i="40"/>
  <c r="N163" i="40"/>
  <c r="G131" i="47"/>
  <c r="N98" i="41"/>
  <c r="F117" i="41"/>
  <c r="D109" i="40"/>
  <c r="F98" i="50"/>
  <c r="D106" i="40"/>
  <c r="D116" i="48"/>
  <c r="P202" i="12"/>
  <c r="P235" i="12"/>
  <c r="G103" i="40"/>
  <c r="K103" i="48"/>
  <c r="G110" i="47"/>
  <c r="G98" i="50"/>
  <c r="D103" i="41"/>
  <c r="G119" i="41"/>
  <c r="N110" i="48"/>
  <c r="G109" i="48"/>
  <c r="G104" i="48"/>
  <c r="N105" i="48"/>
  <c r="M103" i="41"/>
  <c r="D104" i="41"/>
  <c r="G96" i="50"/>
  <c r="G101" i="40"/>
  <c r="D103" i="48"/>
  <c r="D94" i="43"/>
  <c r="F103" i="47"/>
  <c r="F107" i="41"/>
  <c r="G93" i="50"/>
  <c r="G95" i="43"/>
  <c r="N108" i="48"/>
  <c r="D108" i="40"/>
  <c r="P181" i="12"/>
  <c r="G119" i="48"/>
  <c r="G117" i="48"/>
  <c r="G94" i="43"/>
  <c r="N104" i="48"/>
  <c r="P224" i="12"/>
  <c r="G109" i="47"/>
  <c r="G108" i="40"/>
  <c r="F94" i="50"/>
  <c r="G101" i="47"/>
  <c r="G116" i="48"/>
  <c r="D120" i="41"/>
  <c r="Q149" i="12"/>
  <c r="Q28" i="12"/>
  <c r="D121" i="41"/>
  <c r="P104" i="12"/>
  <c r="P147" i="12"/>
  <c r="D154" i="48"/>
  <c r="M97" i="40"/>
  <c r="F110" i="40"/>
  <c r="G108" i="43"/>
  <c r="G108" i="50"/>
  <c r="D138" i="47"/>
  <c r="P126" i="12"/>
  <c r="Q94" i="12"/>
  <c r="Q48" i="12"/>
  <c r="P94" i="12"/>
  <c r="D149" i="48"/>
  <c r="K107" i="43"/>
  <c r="K105" i="41"/>
  <c r="Q70" i="12"/>
  <c r="F88" i="49"/>
  <c r="N106" i="43"/>
  <c r="N106" i="50"/>
  <c r="N99" i="47"/>
  <c r="N99" i="40"/>
  <c r="F81" i="49"/>
  <c r="G79" i="50"/>
  <c r="G154" i="40"/>
  <c r="N92" i="41"/>
  <c r="G129" i="40"/>
  <c r="G97" i="48"/>
  <c r="N126" i="40"/>
  <c r="G128" i="40"/>
  <c r="G98" i="48"/>
  <c r="G118" i="42"/>
  <c r="G150" i="40"/>
  <c r="G112" i="42"/>
  <c r="G147" i="40"/>
  <c r="N86" i="43"/>
  <c r="N104" i="49"/>
  <c r="N82" i="50"/>
  <c r="N165" i="47"/>
  <c r="G99" i="48"/>
  <c r="G114" i="49"/>
  <c r="G127" i="47"/>
  <c r="N81" i="49"/>
  <c r="N108" i="42"/>
  <c r="F114" i="41"/>
  <c r="G120" i="41"/>
  <c r="D106" i="48"/>
  <c r="D115" i="48"/>
  <c r="M108" i="41"/>
  <c r="N105" i="41"/>
  <c r="D98" i="50"/>
  <c r="G112" i="41"/>
  <c r="G121" i="48"/>
  <c r="K108" i="48"/>
  <c r="D114" i="48"/>
  <c r="G114" i="48"/>
  <c r="D99" i="43"/>
  <c r="D97" i="43"/>
  <c r="P204" i="12"/>
  <c r="D119" i="41"/>
  <c r="D94" i="50"/>
  <c r="G109" i="40"/>
  <c r="F119" i="48"/>
  <c r="G105" i="47"/>
  <c r="F107" i="47"/>
  <c r="G106" i="48"/>
  <c r="D106" i="47"/>
  <c r="N142" i="40"/>
  <c r="N142" i="47"/>
  <c r="G86" i="49"/>
  <c r="G86" i="42"/>
  <c r="F108" i="47"/>
  <c r="Q61" i="12"/>
  <c r="Q95" i="12"/>
  <c r="Q49" i="12"/>
  <c r="G107" i="42"/>
  <c r="G107" i="49"/>
  <c r="M94" i="47"/>
  <c r="G106" i="50"/>
  <c r="G106" i="43"/>
  <c r="P151" i="12"/>
  <c r="G110" i="50"/>
  <c r="G110" i="43"/>
  <c r="D164" i="47"/>
  <c r="N103" i="50"/>
  <c r="N103" i="43"/>
  <c r="D116" i="41"/>
  <c r="P106" i="12"/>
  <c r="P159" i="12"/>
  <c r="N110" i="43"/>
  <c r="N110" i="50"/>
  <c r="D96" i="43"/>
  <c r="F108" i="41"/>
  <c r="P158" i="12"/>
  <c r="G79" i="43"/>
  <c r="N158" i="47"/>
  <c r="N105" i="42"/>
  <c r="N131" i="47"/>
  <c r="G82" i="50"/>
  <c r="N83" i="50"/>
  <c r="G115" i="49"/>
  <c r="G125" i="47"/>
  <c r="G117" i="49"/>
  <c r="G150" i="47"/>
  <c r="G112" i="49"/>
  <c r="N93" i="41"/>
  <c r="N104" i="42"/>
  <c r="G151" i="47"/>
  <c r="G99" i="41"/>
  <c r="G114" i="42"/>
  <c r="N162" i="40"/>
  <c r="N108" i="49"/>
  <c r="G121" i="41"/>
  <c r="G96" i="43"/>
  <c r="G109" i="41"/>
  <c r="G103" i="47"/>
  <c r="G112" i="48"/>
  <c r="F92" i="50"/>
  <c r="G118" i="41"/>
  <c r="F108" i="40"/>
  <c r="G103" i="41"/>
  <c r="P237" i="12"/>
  <c r="Q180" i="12"/>
  <c r="G103" i="48"/>
  <c r="N104" i="41"/>
  <c r="G115" i="41"/>
  <c r="Q27" i="12"/>
  <c r="N109" i="43"/>
  <c r="N109" i="50"/>
  <c r="P6" i="12"/>
  <c r="Q170" i="12"/>
  <c r="N164" i="47"/>
  <c r="G154" i="47"/>
  <c r="N92" i="48"/>
  <c r="G129" i="47"/>
  <c r="G97" i="41"/>
  <c r="N126" i="47"/>
  <c r="G98" i="41"/>
  <c r="G118" i="49"/>
  <c r="N107" i="49"/>
  <c r="G147" i="47"/>
  <c r="G81" i="43"/>
  <c r="N82" i="43"/>
  <c r="N94" i="41"/>
  <c r="G127" i="40"/>
  <c r="G116" i="49"/>
  <c r="F98" i="43"/>
  <c r="M109" i="48"/>
  <c r="G107" i="40"/>
  <c r="N108" i="41"/>
  <c r="G106" i="41"/>
  <c r="F103" i="41"/>
  <c r="G106" i="47"/>
  <c r="G93" i="43"/>
  <c r="D104" i="40"/>
  <c r="G114" i="41"/>
  <c r="D96" i="50"/>
  <c r="P236" i="12"/>
  <c r="G105" i="48"/>
  <c r="I16" i="5" l="1"/>
  <c r="J16" i="5" s="1"/>
  <c r="L16" i="5" s="1"/>
  <c r="Z110" i="50"/>
  <c r="Z106" i="50"/>
  <c r="Z107" i="49"/>
  <c r="Z86" i="49"/>
  <c r="W149" i="48"/>
  <c r="Z108" i="50"/>
  <c r="V154" i="48"/>
  <c r="W154" i="48"/>
  <c r="T154" i="48"/>
  <c r="W108" i="50"/>
  <c r="T108" i="50"/>
  <c r="V108" i="50"/>
  <c r="V81" i="49"/>
  <c r="W81" i="49"/>
  <c r="V83" i="49"/>
  <c r="V92" i="49"/>
  <c r="V95" i="49"/>
  <c r="V94" i="49"/>
  <c r="V93" i="49"/>
  <c r="V103" i="49"/>
  <c r="V105" i="49"/>
  <c r="V106" i="49"/>
  <c r="V117" i="49"/>
  <c r="V226" i="49"/>
  <c r="V127" i="49"/>
  <c r="V214" i="49"/>
  <c r="V248" i="49"/>
  <c r="V224" i="49"/>
  <c r="V213" i="49"/>
  <c r="V270" i="49"/>
  <c r="T94" i="49"/>
  <c r="T225" i="49"/>
  <c r="U93" i="49"/>
  <c r="T27" i="49"/>
  <c r="T72" i="49"/>
  <c r="T125" i="49"/>
  <c r="T257" i="49"/>
  <c r="V258" i="49"/>
  <c r="V227" i="49"/>
  <c r="V225" i="49"/>
  <c r="V116" i="49"/>
  <c r="V269" i="49"/>
  <c r="T103" i="49"/>
  <c r="T226" i="49"/>
  <c r="T37" i="49"/>
  <c r="T126" i="49"/>
  <c r="V82" i="49"/>
  <c r="V193" i="49"/>
  <c r="V126" i="49"/>
  <c r="V279" i="49"/>
  <c r="T82" i="49"/>
  <c r="U92" i="49"/>
  <c r="V107" i="49"/>
  <c r="V84" i="49"/>
  <c r="V115" i="49"/>
  <c r="V118" i="49"/>
  <c r="V247" i="49"/>
  <c r="V124" i="49"/>
  <c r="V194" i="49"/>
  <c r="V216" i="49"/>
  <c r="V192" i="49"/>
  <c r="V280" i="49"/>
  <c r="T124" i="49"/>
  <c r="U116" i="49"/>
  <c r="U5" i="49"/>
  <c r="T7" i="49"/>
  <c r="T85" i="49"/>
  <c r="T194" i="49"/>
  <c r="V104" i="49"/>
  <c r="V257" i="49"/>
  <c r="V114" i="49"/>
  <c r="V191" i="49"/>
  <c r="T93" i="49"/>
  <c r="T29" i="49"/>
  <c r="T26" i="49"/>
  <c r="V85" i="49"/>
  <c r="V128" i="49"/>
  <c r="V125" i="49"/>
  <c r="V292" i="49"/>
  <c r="U82" i="49"/>
  <c r="U61" i="49"/>
  <c r="V215" i="49"/>
  <c r="V246" i="49"/>
  <c r="T293" i="49"/>
  <c r="U60" i="49"/>
  <c r="U106" i="48"/>
  <c r="D293" i="48"/>
  <c r="Z142" i="40"/>
  <c r="Z105" i="49"/>
  <c r="Z115" i="50"/>
  <c r="Z162" i="40"/>
  <c r="Z79" i="49"/>
  <c r="Z109" i="50"/>
  <c r="Z138" i="40"/>
  <c r="Z164" i="40"/>
  <c r="V108" i="48"/>
  <c r="W108" i="48"/>
  <c r="T108" i="48"/>
  <c r="Z85" i="50"/>
  <c r="Z141" i="40"/>
  <c r="Z151" i="48"/>
  <c r="U98" i="40"/>
  <c r="D285" i="40"/>
  <c r="Z82" i="49"/>
  <c r="Z153" i="48"/>
  <c r="Z110" i="49"/>
  <c r="Z108" i="49"/>
  <c r="Z149" i="48"/>
  <c r="Z87" i="49"/>
  <c r="Z88" i="49"/>
  <c r="V95" i="50"/>
  <c r="W95" i="50"/>
  <c r="T95" i="50"/>
  <c r="Z154" i="48"/>
  <c r="V109" i="49"/>
  <c r="W109" i="49"/>
  <c r="T109" i="49"/>
  <c r="W105" i="40"/>
  <c r="Z152" i="48"/>
  <c r="Z81" i="49"/>
  <c r="I17" i="5"/>
  <c r="J17" i="5" s="1"/>
  <c r="Z148" i="48"/>
  <c r="V271" i="49"/>
  <c r="T92" i="49"/>
  <c r="T292" i="49"/>
  <c r="V268" i="49"/>
  <c r="V305" i="50"/>
  <c r="T305" i="50"/>
  <c r="T296" i="50"/>
  <c r="V296" i="50"/>
  <c r="T295" i="50"/>
  <c r="V293" i="50"/>
  <c r="V330" i="40"/>
  <c r="T330" i="40"/>
  <c r="V294" i="50"/>
  <c r="T294" i="50"/>
  <c r="V328" i="40"/>
  <c r="T328" i="40"/>
  <c r="T291" i="49"/>
  <c r="V297" i="50"/>
  <c r="T297" i="50"/>
  <c r="V286" i="40"/>
  <c r="T286" i="40"/>
  <c r="V303" i="50"/>
  <c r="V327" i="48"/>
  <c r="T327" i="48"/>
  <c r="T284" i="40"/>
  <c r="V284" i="40"/>
  <c r="Z93" i="48"/>
  <c r="Z131" i="40"/>
  <c r="Z116" i="49"/>
  <c r="Z127" i="40"/>
  <c r="Z145" i="40"/>
  <c r="Z95" i="48"/>
  <c r="Z114" i="49"/>
  <c r="Z148" i="40"/>
  <c r="Z90" i="48"/>
  <c r="Z126" i="40"/>
  <c r="Z99" i="48"/>
  <c r="Z120" i="49"/>
  <c r="Z151" i="40"/>
  <c r="Z123" i="40"/>
  <c r="Z81" i="50"/>
  <c r="Z121" i="49"/>
  <c r="Z86" i="50"/>
  <c r="Z147" i="40"/>
  <c r="Z149" i="40"/>
  <c r="Z130" i="40"/>
  <c r="Z112" i="49"/>
  <c r="Z150" i="40"/>
  <c r="Z92" i="48"/>
  <c r="Z118" i="49"/>
  <c r="Z117" i="49"/>
  <c r="Z98" i="48"/>
  <c r="Z125" i="40"/>
  <c r="Z128" i="40"/>
  <c r="Z115" i="49"/>
  <c r="Z119" i="49"/>
  <c r="Z132" i="40"/>
  <c r="Z97" i="48"/>
  <c r="Z82" i="50"/>
  <c r="Z129" i="40"/>
  <c r="Z153" i="40"/>
  <c r="Z94" i="48"/>
  <c r="Z154" i="40"/>
  <c r="Z152" i="40"/>
  <c r="Z79" i="50"/>
  <c r="Z96" i="48"/>
  <c r="T295" i="49"/>
  <c r="V295" i="49"/>
  <c r="T269" i="49"/>
  <c r="T4" i="49"/>
  <c r="U27" i="49"/>
  <c r="U6" i="49"/>
  <c r="T28" i="49"/>
  <c r="T117" i="49"/>
  <c r="T248" i="49"/>
  <c r="U37" i="49"/>
  <c r="T127" i="49"/>
  <c r="U39" i="49"/>
  <c r="T118" i="49"/>
  <c r="T107" i="49"/>
  <c r="T279" i="49"/>
  <c r="U70" i="49"/>
  <c r="T192" i="49"/>
  <c r="U26" i="49"/>
  <c r="T116" i="49"/>
  <c r="T95" i="49"/>
  <c r="T61" i="49"/>
  <c r="T40" i="49"/>
  <c r="U81" i="49"/>
  <c r="T39" i="49"/>
  <c r="T84" i="49"/>
  <c r="V301" i="49"/>
  <c r="T280" i="49"/>
  <c r="T303" i="49"/>
  <c r="T301" i="49"/>
  <c r="T349" i="40"/>
  <c r="V349" i="40"/>
  <c r="V351" i="40"/>
  <c r="T351" i="40"/>
  <c r="T319" i="40"/>
  <c r="V319" i="40"/>
  <c r="V328" i="48"/>
  <c r="T328" i="48"/>
  <c r="V284" i="48"/>
  <c r="T284" i="48"/>
  <c r="T81" i="49"/>
  <c r="T227" i="49"/>
  <c r="T128" i="49"/>
  <c r="T8" i="49"/>
  <c r="T30" i="49"/>
  <c r="U106" i="49"/>
  <c r="T60" i="49"/>
  <c r="T213" i="49"/>
  <c r="T62" i="49"/>
  <c r="U28" i="49"/>
  <c r="T106" i="49"/>
  <c r="T104" i="49"/>
  <c r="V317" i="40"/>
  <c r="T247" i="49"/>
  <c r="T224" i="49"/>
  <c r="U84" i="49"/>
  <c r="T5" i="49"/>
  <c r="T70" i="49"/>
  <c r="U105" i="49"/>
  <c r="U114" i="49"/>
  <c r="T193" i="49"/>
  <c r="T214" i="49"/>
  <c r="U59" i="49"/>
  <c r="U29" i="49"/>
  <c r="T114" i="49"/>
  <c r="T270" i="49"/>
  <c r="V302" i="49"/>
  <c r="T290" i="49"/>
  <c r="V303" i="49"/>
  <c r="V294" i="49"/>
  <c r="T294" i="49"/>
  <c r="T318" i="40"/>
  <c r="V318" i="40"/>
  <c r="V296" i="49"/>
  <c r="T296" i="49"/>
  <c r="T246" i="49"/>
  <c r="T38" i="49"/>
  <c r="T271" i="49"/>
  <c r="U40" i="49"/>
  <c r="T83" i="49"/>
  <c r="U104" i="49"/>
  <c r="U4" i="49"/>
  <c r="T215" i="49"/>
  <c r="U7" i="49"/>
  <c r="T216" i="49"/>
  <c r="T115" i="49"/>
  <c r="T59" i="49"/>
  <c r="U71" i="49"/>
  <c r="T268" i="49"/>
  <c r="U38" i="49"/>
  <c r="T105" i="49"/>
  <c r="U115" i="49"/>
  <c r="U83" i="49"/>
  <c r="T6" i="49"/>
  <c r="T71" i="49"/>
  <c r="T191" i="49"/>
  <c r="T258" i="49"/>
  <c r="U103" i="49"/>
  <c r="V293" i="49"/>
  <c r="V291" i="49"/>
  <c r="T302" i="49"/>
  <c r="V290" i="49"/>
  <c r="V275" i="50"/>
  <c r="T275" i="50"/>
  <c r="T316" i="40"/>
  <c r="V316" i="40"/>
  <c r="V352" i="40"/>
  <c r="T352" i="40"/>
  <c r="T297" i="49"/>
  <c r="V297" i="49"/>
  <c r="V350" i="40"/>
  <c r="T350" i="40"/>
  <c r="T285" i="48"/>
  <c r="V285" i="48"/>
  <c r="D295" i="48"/>
  <c r="U108" i="48"/>
  <c r="V98" i="50"/>
  <c r="W98" i="50"/>
  <c r="T98" i="50"/>
  <c r="T308" i="49"/>
  <c r="T292" i="40"/>
  <c r="V292" i="40"/>
  <c r="V107" i="40"/>
  <c r="T107" i="40"/>
  <c r="W107" i="40"/>
  <c r="T93" i="50"/>
  <c r="T105" i="50"/>
  <c r="V216" i="50"/>
  <c r="T302" i="50"/>
  <c r="U28" i="50"/>
  <c r="T6" i="50"/>
  <c r="U26" i="50"/>
  <c r="T7" i="50"/>
  <c r="T104" i="50"/>
  <c r="T85" i="50"/>
  <c r="V247" i="50"/>
  <c r="T62" i="50"/>
  <c r="T213" i="50"/>
  <c r="T114" i="50"/>
  <c r="T27" i="50"/>
  <c r="V272" i="50"/>
  <c r="V291" i="50"/>
  <c r="V268" i="50"/>
  <c r="V107" i="50"/>
  <c r="V215" i="50"/>
  <c r="V124" i="50"/>
  <c r="U29" i="50"/>
  <c r="T5" i="50"/>
  <c r="T225" i="50"/>
  <c r="U5" i="50"/>
  <c r="V104" i="50"/>
  <c r="U105" i="50"/>
  <c r="V128" i="50"/>
  <c r="T127" i="50"/>
  <c r="T71" i="50"/>
  <c r="U114" i="50"/>
  <c r="T29" i="50"/>
  <c r="V106" i="50"/>
  <c r="V280" i="50"/>
  <c r="T281" i="50"/>
  <c r="W94" i="50"/>
  <c r="T92" i="50"/>
  <c r="U84" i="50"/>
  <c r="V126" i="50"/>
  <c r="T115" i="50"/>
  <c r="T70" i="50"/>
  <c r="V302" i="50"/>
  <c r="T72" i="50"/>
  <c r="U27" i="50"/>
  <c r="U81" i="50"/>
  <c r="V125" i="50"/>
  <c r="V225" i="50"/>
  <c r="T81" i="50"/>
  <c r="T194" i="50"/>
  <c r="T61" i="50"/>
  <c r="U8" i="50"/>
  <c r="T269" i="50"/>
  <c r="V292" i="50"/>
  <c r="V103" i="50"/>
  <c r="U93" i="50"/>
  <c r="V258" i="50"/>
  <c r="T301" i="50"/>
  <c r="U37" i="50"/>
  <c r="T73" i="50"/>
  <c r="U71" i="50"/>
  <c r="T217" i="50"/>
  <c r="U92" i="50"/>
  <c r="V114" i="50"/>
  <c r="V192" i="50"/>
  <c r="T60" i="50"/>
  <c r="T26" i="50"/>
  <c r="T126" i="50"/>
  <c r="T30" i="50"/>
  <c r="T272" i="50"/>
  <c r="T291" i="50"/>
  <c r="T268" i="50"/>
  <c r="V94" i="50"/>
  <c r="T103" i="50"/>
  <c r="V116" i="50"/>
  <c r="V193" i="50"/>
  <c r="U60" i="50"/>
  <c r="T214" i="50"/>
  <c r="T128" i="50"/>
  <c r="T216" i="50"/>
  <c r="U82" i="50"/>
  <c r="V105" i="50"/>
  <c r="V191" i="50"/>
  <c r="V115" i="50"/>
  <c r="T37" i="50"/>
  <c r="U4" i="50"/>
  <c r="T40" i="50"/>
  <c r="T191" i="50"/>
  <c r="V271" i="50"/>
  <c r="T270" i="50"/>
  <c r="U103" i="50"/>
  <c r="T82" i="50"/>
  <c r="V246" i="50"/>
  <c r="T125" i="50"/>
  <c r="T215" i="50"/>
  <c r="T116" i="50"/>
  <c r="T39" i="50"/>
  <c r="T106" i="50"/>
  <c r="T107" i="50"/>
  <c r="V195" i="50"/>
  <c r="V214" i="50"/>
  <c r="U30" i="50"/>
  <c r="T4" i="50"/>
  <c r="T59" i="50"/>
  <c r="U6" i="50"/>
  <c r="V269" i="50"/>
  <c r="T292" i="50"/>
  <c r="T279" i="50"/>
  <c r="T94" i="50"/>
  <c r="T290" i="50"/>
  <c r="T84" i="50"/>
  <c r="V194" i="50"/>
  <c r="V213" i="50"/>
  <c r="T258" i="50"/>
  <c r="T192" i="50"/>
  <c r="T246" i="50"/>
  <c r="U7" i="50"/>
  <c r="T83" i="50"/>
  <c r="U83" i="50"/>
  <c r="V217" i="50"/>
  <c r="V301" i="50"/>
  <c r="T193" i="50"/>
  <c r="T124" i="50"/>
  <c r="T224" i="50"/>
  <c r="U70" i="50"/>
  <c r="T280" i="50"/>
  <c r="V281" i="50"/>
  <c r="U104" i="50"/>
  <c r="V127" i="50"/>
  <c r="V257" i="50"/>
  <c r="U59" i="50"/>
  <c r="T195" i="50"/>
  <c r="T247" i="50"/>
  <c r="T28" i="50"/>
  <c r="U85" i="50"/>
  <c r="U94" i="50"/>
  <c r="V224" i="50"/>
  <c r="U115" i="50"/>
  <c r="T38" i="50"/>
  <c r="T257" i="50"/>
  <c r="U38" i="50"/>
  <c r="T8" i="50"/>
  <c r="T271" i="50"/>
  <c r="V270" i="50"/>
  <c r="V279" i="50"/>
  <c r="V290" i="50"/>
  <c r="V96" i="50"/>
  <c r="W96" i="50"/>
  <c r="T96" i="50"/>
  <c r="D290" i="48"/>
  <c r="W116" i="48"/>
  <c r="T116" i="48"/>
  <c r="V116" i="48"/>
  <c r="V106" i="40"/>
  <c r="W106" i="40"/>
  <c r="T106" i="40"/>
  <c r="D296" i="48"/>
  <c r="U109" i="48"/>
  <c r="W103" i="40"/>
  <c r="V103" i="40"/>
  <c r="W108" i="40"/>
  <c r="V108" i="40"/>
  <c r="T108" i="40"/>
  <c r="W106" i="48"/>
  <c r="T106" i="48"/>
  <c r="V106" i="48"/>
  <c r="W105" i="48"/>
  <c r="D291" i="48"/>
  <c r="Z96" i="50"/>
  <c r="Z110" i="48"/>
  <c r="Z106" i="48"/>
  <c r="Z109" i="48"/>
  <c r="Z119" i="48"/>
  <c r="Z95" i="50"/>
  <c r="Z107" i="48"/>
  <c r="W103" i="48"/>
  <c r="V103" i="48"/>
  <c r="V225" i="48"/>
  <c r="V191" i="48"/>
  <c r="V236" i="48"/>
  <c r="V213" i="48"/>
  <c r="V268" i="48"/>
  <c r="V257" i="48"/>
  <c r="V224" i="48"/>
  <c r="V192" i="48"/>
  <c r="V235" i="48"/>
  <c r="V214" i="48"/>
  <c r="V139" i="48"/>
  <c r="V137" i="48"/>
  <c r="V136" i="48"/>
  <c r="V148" i="48"/>
  <c r="V126" i="48"/>
  <c r="V147" i="48"/>
  <c r="V149" i="48"/>
  <c r="V128" i="48"/>
  <c r="V158" i="48"/>
  <c r="V283" i="48"/>
  <c r="V280" i="48"/>
  <c r="V279" i="48"/>
  <c r="V258" i="48"/>
  <c r="V193" i="48"/>
  <c r="V238" i="48"/>
  <c r="V215" i="48"/>
  <c r="V270" i="48"/>
  <c r="V259" i="48"/>
  <c r="V226" i="48"/>
  <c r="V194" i="48"/>
  <c r="V237" i="48"/>
  <c r="V216" i="48"/>
  <c r="V269" i="48"/>
  <c r="V159" i="48"/>
  <c r="V162" i="48"/>
  <c r="V127" i="48"/>
  <c r="V138" i="48"/>
  <c r="V160" i="48"/>
  <c r="V129" i="48"/>
  <c r="V125" i="48"/>
  <c r="V140" i="48"/>
  <c r="T96" i="48"/>
  <c r="V161" i="48"/>
  <c r="V282" i="48"/>
  <c r="V281" i="48"/>
  <c r="V105" i="48"/>
  <c r="V104" i="48"/>
  <c r="Z103" i="48"/>
  <c r="Z120" i="48"/>
  <c r="V120" i="48"/>
  <c r="W120" i="48"/>
  <c r="T120" i="48"/>
  <c r="W104" i="40"/>
  <c r="V104" i="40"/>
  <c r="T104" i="40"/>
  <c r="T103" i="40"/>
  <c r="T158" i="40"/>
  <c r="V191" i="40"/>
  <c r="V215" i="40"/>
  <c r="V225" i="40"/>
  <c r="V269" i="40"/>
  <c r="T73" i="40"/>
  <c r="U37" i="40"/>
  <c r="T37" i="40"/>
  <c r="T4" i="40"/>
  <c r="U50" i="40"/>
  <c r="T48" i="40"/>
  <c r="U28" i="40"/>
  <c r="T83" i="40"/>
  <c r="V115" i="40"/>
  <c r="T171" i="40"/>
  <c r="T70" i="40"/>
  <c r="T41" i="40"/>
  <c r="T7" i="40"/>
  <c r="T236" i="40"/>
  <c r="T49" i="40"/>
  <c r="T215" i="40"/>
  <c r="T29" i="40"/>
  <c r="T270" i="40"/>
  <c r="V127" i="40"/>
  <c r="T148" i="40"/>
  <c r="V160" i="40"/>
  <c r="V161" i="40"/>
  <c r="U148" i="40"/>
  <c r="V126" i="40"/>
  <c r="T149" i="40"/>
  <c r="U125" i="40"/>
  <c r="U103" i="40"/>
  <c r="V257" i="40"/>
  <c r="V235" i="40"/>
  <c r="V270" i="40"/>
  <c r="V237" i="40"/>
  <c r="T181" i="40"/>
  <c r="U70" i="40"/>
  <c r="U38" i="40"/>
  <c r="U5" i="40"/>
  <c r="V347" i="40"/>
  <c r="U49" i="40"/>
  <c r="T115" i="40"/>
  <c r="T213" i="40"/>
  <c r="U83" i="40"/>
  <c r="V114" i="40"/>
  <c r="T169" i="40"/>
  <c r="U39" i="40"/>
  <c r="T38" i="40"/>
  <c r="T5" i="40"/>
  <c r="U48" i="40"/>
  <c r="T114" i="40"/>
  <c r="T214" i="40"/>
  <c r="T27" i="40"/>
  <c r="U82" i="40"/>
  <c r="T140" i="40"/>
  <c r="U138" i="40"/>
  <c r="U92" i="40"/>
  <c r="T160" i="40"/>
  <c r="T95" i="40"/>
  <c r="U158" i="40"/>
  <c r="U126" i="40"/>
  <c r="V136" i="40"/>
  <c r="T129" i="40"/>
  <c r="U137" i="40"/>
  <c r="V159" i="40"/>
  <c r="T139" i="40"/>
  <c r="T128" i="40"/>
  <c r="V125" i="40"/>
  <c r="T312" i="40"/>
  <c r="T314" i="40"/>
  <c r="V324" i="40"/>
  <c r="V346" i="40"/>
  <c r="T281" i="40"/>
  <c r="V323" i="40"/>
  <c r="V334" i="40"/>
  <c r="U93" i="40"/>
  <c r="T125" i="40"/>
  <c r="V335" i="40"/>
  <c r="V348" i="40"/>
  <c r="V313" i="40"/>
  <c r="V345" i="40"/>
  <c r="T279" i="40"/>
  <c r="T325" i="40"/>
  <c r="T290" i="40"/>
  <c r="T105" i="40"/>
  <c r="V282" i="40"/>
  <c r="V280" i="40"/>
  <c r="U161" i="40"/>
  <c r="V226" i="40"/>
  <c r="V236" i="40"/>
  <c r="V268" i="40"/>
  <c r="V216" i="40"/>
  <c r="T172" i="40"/>
  <c r="T71" i="40"/>
  <c r="T39" i="40"/>
  <c r="U4" i="40"/>
  <c r="T347" i="40"/>
  <c r="T235" i="40"/>
  <c r="T179" i="40"/>
  <c r="T269" i="40"/>
  <c r="T268" i="40"/>
  <c r="T182" i="40"/>
  <c r="T257" i="40"/>
  <c r="T225" i="40"/>
  <c r="T192" i="40"/>
  <c r="U160" i="40"/>
  <c r="T52" i="40"/>
  <c r="U27" i="40"/>
  <c r="T28" i="40"/>
  <c r="U81" i="40"/>
  <c r="V140" i="40"/>
  <c r="V148" i="40"/>
  <c r="U127" i="40"/>
  <c r="V138" i="40"/>
  <c r="T94" i="40"/>
  <c r="V129" i="40"/>
  <c r="V149" i="40"/>
  <c r="V147" i="40"/>
  <c r="T159" i="40"/>
  <c r="V158" i="40"/>
  <c r="V224" i="40"/>
  <c r="V213" i="40"/>
  <c r="V192" i="40"/>
  <c r="V214" i="40"/>
  <c r="T170" i="40"/>
  <c r="T226" i="40"/>
  <c r="T40" i="40"/>
  <c r="T6" i="40"/>
  <c r="T92" i="40"/>
  <c r="T51" i="40"/>
  <c r="U29" i="40"/>
  <c r="T26" i="40"/>
  <c r="T82" i="40"/>
  <c r="T180" i="40"/>
  <c r="T72" i="40"/>
  <c r="T224" i="40"/>
  <c r="T191" i="40"/>
  <c r="T237" i="40"/>
  <c r="T50" i="40"/>
  <c r="T216" i="40"/>
  <c r="U26" i="40"/>
  <c r="T81" i="40"/>
  <c r="U147" i="40"/>
  <c r="T127" i="40"/>
  <c r="U136" i="40"/>
  <c r="U94" i="40"/>
  <c r="T93" i="40"/>
  <c r="T138" i="40"/>
  <c r="U159" i="40"/>
  <c r="T161" i="40"/>
  <c r="T136" i="40"/>
  <c r="T126" i="40"/>
  <c r="T147" i="40"/>
  <c r="V139" i="40"/>
  <c r="V128" i="40"/>
  <c r="V137" i="40"/>
  <c r="U95" i="40"/>
  <c r="T335" i="40"/>
  <c r="T348" i="40"/>
  <c r="T313" i="40"/>
  <c r="T345" i="40"/>
  <c r="V279" i="40"/>
  <c r="V325" i="40"/>
  <c r="V290" i="40"/>
  <c r="T137" i="40"/>
  <c r="V312" i="40"/>
  <c r="V314" i="40"/>
  <c r="T324" i="40"/>
  <c r="T346" i="40"/>
  <c r="V281" i="40"/>
  <c r="T323" i="40"/>
  <c r="T334" i="40"/>
  <c r="V105" i="40"/>
  <c r="T282" i="40"/>
  <c r="T280" i="40"/>
  <c r="Z92" i="50"/>
  <c r="Z94" i="50"/>
  <c r="Z104" i="48"/>
  <c r="Z117" i="48"/>
  <c r="W115" i="48"/>
  <c r="V115" i="48"/>
  <c r="T115" i="48"/>
  <c r="Z115" i="48"/>
  <c r="Z116" i="48"/>
  <c r="Z103" i="40"/>
  <c r="Z109" i="40"/>
  <c r="Z107" i="40"/>
  <c r="Z97" i="50"/>
  <c r="Z108" i="48"/>
  <c r="Z105" i="48"/>
  <c r="Z118" i="48"/>
  <c r="Z112" i="48"/>
  <c r="Z106" i="40"/>
  <c r="Z104" i="40"/>
  <c r="Z98" i="50"/>
  <c r="Z121" i="48"/>
  <c r="Z108" i="40"/>
  <c r="V109" i="40"/>
  <c r="W109" i="40"/>
  <c r="T109" i="40"/>
  <c r="Z93" i="50"/>
  <c r="Z99" i="50"/>
  <c r="I13" i="5"/>
  <c r="J13" i="5" s="1"/>
  <c r="Z101" i="48"/>
  <c r="W114" i="48"/>
  <c r="V114" i="48"/>
  <c r="T114" i="48"/>
  <c r="Z90" i="50"/>
  <c r="I15" i="5"/>
  <c r="J15" i="5" s="1"/>
  <c r="Z101" i="40"/>
  <c r="I14" i="5"/>
  <c r="J14" i="5" s="1"/>
  <c r="Z114" i="48"/>
  <c r="Z110" i="40"/>
  <c r="Z105" i="40"/>
  <c r="D34" i="5"/>
  <c r="D35" i="5" s="1"/>
  <c r="N17" i="34"/>
  <c r="L17" i="5"/>
  <c r="T302" i="48"/>
  <c r="V302" i="48"/>
  <c r="T306" i="48"/>
  <c r="V306" i="48"/>
  <c r="V296" i="48"/>
  <c r="T296" i="48"/>
  <c r="T295" i="48"/>
  <c r="V295" i="48"/>
  <c r="T297" i="48"/>
  <c r="V297" i="48"/>
  <c r="I18" i="5"/>
  <c r="J18" i="5" s="1"/>
  <c r="I20" i="5"/>
  <c r="J20" i="5" s="1"/>
  <c r="I19" i="5"/>
  <c r="J19" i="5" s="1"/>
  <c r="V293" i="48"/>
  <c r="T293" i="48"/>
  <c r="V291" i="48"/>
  <c r="T291" i="48"/>
  <c r="T292" i="48"/>
  <c r="V292" i="48"/>
  <c r="V294" i="48"/>
  <c r="T294" i="48"/>
  <c r="T290" i="48"/>
  <c r="V290" i="48"/>
  <c r="Q261" i="44"/>
  <c r="W261" i="44"/>
  <c r="Q262" i="44"/>
  <c r="W262" i="44"/>
  <c r="Q260" i="44"/>
  <c r="W260" i="44"/>
  <c r="W259" i="44"/>
  <c r="Q259" i="44"/>
  <c r="W258" i="44"/>
  <c r="Q258" i="44"/>
  <c r="T262" i="44"/>
  <c r="Z262" i="44"/>
  <c r="W257" i="44"/>
  <c r="Q257" i="44"/>
  <c r="Z258" i="44"/>
  <c r="T258" i="44"/>
  <c r="AA246" i="44"/>
  <c r="U246" i="44"/>
  <c r="U251" i="44"/>
  <c r="AA251" i="44"/>
  <c r="A292" i="44"/>
  <c r="A289" i="44"/>
  <c r="A290" i="44"/>
  <c r="A293" i="44"/>
  <c r="H288" i="44"/>
  <c r="C292" i="44"/>
  <c r="A294" i="44"/>
  <c r="A297" i="44"/>
  <c r="E288" i="44"/>
  <c r="B288" i="44"/>
  <c r="A296" i="44" s="1"/>
  <c r="A295" i="44"/>
  <c r="C293" i="44"/>
  <c r="C291" i="44"/>
  <c r="C295" i="44"/>
  <c r="C294" i="44"/>
  <c r="C290" i="44"/>
  <c r="E284" i="44"/>
  <c r="I284" i="44"/>
  <c r="D284" i="44"/>
  <c r="E281" i="44"/>
  <c r="I281" i="44"/>
  <c r="D281" i="44"/>
  <c r="P269" i="44"/>
  <c r="V269" i="44"/>
  <c r="K273" i="44"/>
  <c r="J273" i="44"/>
  <c r="P268" i="44"/>
  <c r="V268" i="44"/>
  <c r="P271" i="44"/>
  <c r="V271" i="44"/>
  <c r="K270" i="44"/>
  <c r="J270" i="44"/>
  <c r="P273" i="44"/>
  <c r="V273" i="44"/>
  <c r="K271" i="44"/>
  <c r="J271" i="44"/>
  <c r="P270" i="44"/>
  <c r="V270" i="44"/>
  <c r="K268" i="44"/>
  <c r="J268" i="44"/>
  <c r="K269" i="44"/>
  <c r="J269" i="44"/>
  <c r="A302" i="44"/>
  <c r="E279" i="44"/>
  <c r="I279" i="44"/>
  <c r="D279" i="44"/>
  <c r="E283" i="44"/>
  <c r="I283" i="44"/>
  <c r="D283" i="44"/>
  <c r="P272" i="44"/>
  <c r="V272" i="44"/>
  <c r="D280" i="44"/>
  <c r="I280" i="44"/>
  <c r="E280" i="44"/>
  <c r="D282" i="44"/>
  <c r="I282" i="44"/>
  <c r="E282" i="44"/>
  <c r="K272" i="44"/>
  <c r="J272" i="44"/>
  <c r="A299" i="44"/>
  <c r="T285" i="40" l="1"/>
  <c r="V285" i="40"/>
  <c r="T50" i="48"/>
  <c r="T26" i="48"/>
  <c r="U70" i="48"/>
  <c r="T191" i="48"/>
  <c r="V312" i="48"/>
  <c r="U92" i="48"/>
  <c r="T51" i="48"/>
  <c r="T92" i="48"/>
  <c r="T345" i="48"/>
  <c r="T282" i="48"/>
  <c r="U93" i="48"/>
  <c r="T5" i="48"/>
  <c r="V323" i="48"/>
  <c r="V346" i="48"/>
  <c r="T161" i="48"/>
  <c r="T7" i="48"/>
  <c r="T30" i="48"/>
  <c r="T258" i="48"/>
  <c r="V314" i="48"/>
  <c r="U103" i="48"/>
  <c r="U138" i="48"/>
  <c r="T148" i="48"/>
  <c r="U38" i="48"/>
  <c r="T236" i="48"/>
  <c r="U139" i="48"/>
  <c r="U127" i="48"/>
  <c r="U149" i="48"/>
  <c r="U37" i="48"/>
  <c r="U147" i="48"/>
  <c r="T149" i="48"/>
  <c r="U27" i="48"/>
  <c r="T301" i="48"/>
  <c r="U104" i="48"/>
  <c r="T326" i="48"/>
  <c r="T336" i="48"/>
  <c r="V325" i="48"/>
  <c r="U136" i="48"/>
  <c r="U96" i="48"/>
  <c r="U148" i="48"/>
  <c r="U94" i="48"/>
  <c r="U82" i="48"/>
  <c r="T48" i="48"/>
  <c r="U137" i="48"/>
  <c r="T39" i="48"/>
  <c r="T347" i="48"/>
  <c r="T179" i="48"/>
  <c r="T27" i="48"/>
  <c r="T52" i="48"/>
  <c r="T6" i="48"/>
  <c r="T225" i="48"/>
  <c r="T73" i="48"/>
  <c r="T180" i="48"/>
  <c r="U114" i="48"/>
  <c r="T346" i="48"/>
  <c r="T281" i="48"/>
  <c r="T312" i="48"/>
  <c r="T94" i="48"/>
  <c r="T129" i="48"/>
  <c r="T93" i="48"/>
  <c r="T160" i="48"/>
  <c r="U81" i="48"/>
  <c r="U29" i="48"/>
  <c r="T139" i="48"/>
  <c r="T38" i="48"/>
  <c r="T182" i="48"/>
  <c r="T103" i="48"/>
  <c r="T171" i="48"/>
  <c r="T104" i="48"/>
  <c r="V301" i="48"/>
  <c r="T279" i="48"/>
  <c r="T280" i="48"/>
  <c r="T314" i="48"/>
  <c r="U159" i="48"/>
  <c r="U128" i="48"/>
  <c r="U126" i="48"/>
  <c r="T147" i="48"/>
  <c r="T82" i="48"/>
  <c r="T213" i="48"/>
  <c r="U49" i="48"/>
  <c r="T193" i="48"/>
  <c r="U158" i="48"/>
  <c r="U72" i="48"/>
  <c r="T270" i="48"/>
  <c r="T214" i="48"/>
  <c r="T238" i="48"/>
  <c r="U6" i="48"/>
  <c r="V348" i="48"/>
  <c r="T169" i="48"/>
  <c r="V335" i="48"/>
  <c r="T313" i="48"/>
  <c r="V315" i="48"/>
  <c r="T136" i="48"/>
  <c r="T162" i="48"/>
  <c r="T159" i="48"/>
  <c r="T128" i="48"/>
  <c r="T127" i="48"/>
  <c r="T140" i="48"/>
  <c r="T168" i="48"/>
  <c r="T28" i="48"/>
  <c r="U48" i="48"/>
  <c r="U5" i="48"/>
  <c r="U71" i="48"/>
  <c r="T105" i="48"/>
  <c r="T323" i="48"/>
  <c r="T335" i="48"/>
  <c r="T283" i="48"/>
  <c r="V313" i="48"/>
  <c r="T315" i="48"/>
  <c r="T158" i="48"/>
  <c r="T137" i="48"/>
  <c r="U125" i="48"/>
  <c r="T126" i="48"/>
  <c r="T268" i="48"/>
  <c r="U28" i="48"/>
  <c r="U51" i="48"/>
  <c r="T37" i="48"/>
  <c r="V347" i="48"/>
  <c r="T172" i="48"/>
  <c r="V334" i="48"/>
  <c r="T216" i="48"/>
  <c r="T324" i="48"/>
  <c r="T40" i="48"/>
  <c r="T70" i="48"/>
  <c r="T173" i="48"/>
  <c r="V326" i="48"/>
  <c r="V336" i="48"/>
  <c r="T325" i="48"/>
  <c r="T95" i="48"/>
  <c r="T138" i="48"/>
  <c r="U95" i="48"/>
  <c r="T125" i="48"/>
  <c r="T83" i="48"/>
  <c r="U50" i="48"/>
  <c r="T194" i="48"/>
  <c r="T49" i="48"/>
  <c r="U39" i="48"/>
  <c r="T170" i="48"/>
  <c r="T4" i="48"/>
  <c r="V345" i="48"/>
  <c r="T181" i="48"/>
  <c r="T224" i="48"/>
  <c r="T348" i="48"/>
  <c r="T334" i="48"/>
  <c r="T71" i="48"/>
  <c r="T72" i="48"/>
  <c r="T81" i="48"/>
  <c r="T29" i="48"/>
  <c r="T235" i="48"/>
  <c r="U4" i="48"/>
  <c r="T226" i="48"/>
  <c r="T257" i="48"/>
  <c r="T269" i="48"/>
  <c r="U26" i="48"/>
  <c r="T237" i="48"/>
  <c r="T192" i="48"/>
  <c r="U160" i="48"/>
  <c r="T259" i="48"/>
  <c r="U83" i="48"/>
  <c r="T215" i="48"/>
  <c r="V324" i="48"/>
  <c r="U7" i="48"/>
  <c r="U161" i="48"/>
  <c r="R12" i="34"/>
  <c r="K17" i="5"/>
  <c r="T12" i="34"/>
  <c r="K19" i="5"/>
  <c r="L19" i="5"/>
  <c r="A19" i="5" s="1"/>
  <c r="L18" i="5"/>
  <c r="A18" i="5" s="1"/>
  <c r="K18" i="5"/>
  <c r="L20" i="5"/>
  <c r="A20" i="5" s="1"/>
  <c r="K20" i="5"/>
  <c r="L14" i="5"/>
  <c r="K14" i="5"/>
  <c r="L15" i="5"/>
  <c r="K15" i="5"/>
  <c r="L13" i="5"/>
  <c r="K13" i="5"/>
  <c r="K16" i="5"/>
  <c r="U262" i="44"/>
  <c r="AA262" i="44"/>
  <c r="AA258" i="44"/>
  <c r="U258" i="44"/>
  <c r="AA261" i="44"/>
  <c r="U261" i="44"/>
  <c r="H299" i="44"/>
  <c r="A300" i="44"/>
  <c r="B299" i="44"/>
  <c r="A307" i="44" s="1"/>
  <c r="A304" i="44"/>
  <c r="C306" i="44"/>
  <c r="C303" i="44"/>
  <c r="A308" i="44"/>
  <c r="A306" i="44"/>
  <c r="C305" i="44"/>
  <c r="A305" i="44"/>
  <c r="A301" i="44"/>
  <c r="C304" i="44"/>
  <c r="A303" i="44"/>
  <c r="C301" i="44"/>
  <c r="C302" i="44"/>
  <c r="E299" i="44"/>
  <c r="P282" i="44"/>
  <c r="V282" i="44"/>
  <c r="Q269" i="44"/>
  <c r="W269" i="44"/>
  <c r="J280" i="44"/>
  <c r="K280" i="44"/>
  <c r="A313" i="44"/>
  <c r="V280" i="44"/>
  <c r="P280" i="44"/>
  <c r="Q268" i="44"/>
  <c r="W268" i="44"/>
  <c r="Q270" i="44"/>
  <c r="W270" i="44"/>
  <c r="P283" i="44"/>
  <c r="V283" i="44"/>
  <c r="K279" i="44"/>
  <c r="J279" i="44"/>
  <c r="Q272" i="44"/>
  <c r="W272" i="44"/>
  <c r="P279" i="44"/>
  <c r="V279" i="44"/>
  <c r="K282" i="44"/>
  <c r="J282" i="44"/>
  <c r="K283" i="44"/>
  <c r="J283" i="44"/>
  <c r="Q271" i="44"/>
  <c r="W271" i="44"/>
  <c r="K281" i="44"/>
  <c r="J281" i="44"/>
  <c r="E290" i="44"/>
  <c r="D290" i="44"/>
  <c r="I290" i="44"/>
  <c r="I294" i="44"/>
  <c r="E294" i="44"/>
  <c r="D294" i="44"/>
  <c r="Q273" i="44"/>
  <c r="W273" i="44"/>
  <c r="P284" i="44"/>
  <c r="V284" i="44"/>
  <c r="E295" i="44"/>
  <c r="I295" i="44"/>
  <c r="D295" i="44"/>
  <c r="E292" i="44"/>
  <c r="I292" i="44"/>
  <c r="D292" i="44"/>
  <c r="K284" i="44"/>
  <c r="J284" i="44"/>
  <c r="I291" i="44"/>
  <c r="E291" i="44"/>
  <c r="D291" i="44"/>
  <c r="I293" i="44"/>
  <c r="E293" i="44"/>
  <c r="D293" i="44"/>
  <c r="V281" i="44"/>
  <c r="P281" i="44"/>
  <c r="A310" i="44"/>
  <c r="A17" i="5" l="1"/>
  <c r="A13" i="5"/>
  <c r="A16" i="5"/>
  <c r="A15" i="5"/>
  <c r="A14" i="5"/>
  <c r="H310" i="44"/>
  <c r="A319" i="44"/>
  <c r="A317" i="44"/>
  <c r="A316" i="44"/>
  <c r="A311" i="44"/>
  <c r="A314" i="44"/>
  <c r="B310" i="44"/>
  <c r="A318" i="44" s="1"/>
  <c r="A312" i="44"/>
  <c r="E310" i="44"/>
  <c r="A315" i="44"/>
  <c r="C317" i="44"/>
  <c r="C312" i="44"/>
  <c r="C314" i="44"/>
  <c r="C315" i="44"/>
  <c r="C313" i="44"/>
  <c r="C316" i="44"/>
  <c r="P291" i="44"/>
  <c r="V291" i="44"/>
  <c r="P293" i="44"/>
  <c r="V293" i="44"/>
  <c r="K291" i="44"/>
  <c r="J291" i="44"/>
  <c r="P294" i="44"/>
  <c r="V294" i="44"/>
  <c r="J293" i="44"/>
  <c r="K293" i="44"/>
  <c r="Q283" i="44"/>
  <c r="W283" i="44"/>
  <c r="K292" i="44"/>
  <c r="J292" i="44"/>
  <c r="K294" i="44"/>
  <c r="J294" i="44"/>
  <c r="P290" i="44"/>
  <c r="V290" i="44"/>
  <c r="K295" i="44"/>
  <c r="J295" i="44"/>
  <c r="Q284" i="44"/>
  <c r="W284" i="44"/>
  <c r="P295" i="44"/>
  <c r="V295" i="44"/>
  <c r="W281" i="44"/>
  <c r="Q281" i="44"/>
  <c r="E302" i="44"/>
  <c r="D302" i="44"/>
  <c r="I302" i="44"/>
  <c r="W282" i="44"/>
  <c r="Q282" i="44"/>
  <c r="W280" i="44"/>
  <c r="Q280" i="44"/>
  <c r="I301" i="44"/>
  <c r="D301" i="44"/>
  <c r="E301" i="44"/>
  <c r="E303" i="44"/>
  <c r="D303" i="44"/>
  <c r="I303" i="44"/>
  <c r="P292" i="44"/>
  <c r="V292" i="44"/>
  <c r="K290" i="44"/>
  <c r="J290" i="44"/>
  <c r="E306" i="44"/>
  <c r="I306" i="44"/>
  <c r="D306" i="44"/>
  <c r="Q279" i="44"/>
  <c r="W279" i="44"/>
  <c r="I304" i="44"/>
  <c r="E304" i="44"/>
  <c r="D304" i="44"/>
  <c r="A324" i="44"/>
  <c r="E305" i="44"/>
  <c r="I305" i="44"/>
  <c r="D305" i="44"/>
  <c r="A321" i="44"/>
  <c r="B27" i="5" l="1"/>
  <c r="B23" i="5"/>
  <c r="B24" i="5"/>
  <c r="B26" i="5"/>
  <c r="D26" i="5"/>
  <c r="D27" i="5"/>
  <c r="B28" i="5"/>
  <c r="B29" i="5"/>
  <c r="D25" i="5"/>
  <c r="D28" i="5"/>
  <c r="D23" i="5"/>
  <c r="B25" i="5"/>
  <c r="D30" i="5"/>
  <c r="B30" i="5"/>
  <c r="D29" i="5"/>
  <c r="D24" i="5"/>
  <c r="C30" i="5"/>
  <c r="C24" i="5"/>
  <c r="C28" i="5"/>
  <c r="C23" i="5"/>
  <c r="C27" i="5"/>
  <c r="C25" i="5"/>
  <c r="C29" i="5"/>
  <c r="C26" i="5"/>
  <c r="A328" i="44"/>
  <c r="E321" i="44"/>
  <c r="A325" i="44"/>
  <c r="A330" i="44"/>
  <c r="B321" i="44"/>
  <c r="A329" i="44" s="1"/>
  <c r="A323" i="44"/>
  <c r="C325" i="44"/>
  <c r="C326" i="44"/>
  <c r="A327" i="44"/>
  <c r="C324" i="44"/>
  <c r="A322" i="44"/>
  <c r="A326" i="44"/>
  <c r="H321" i="44"/>
  <c r="C323" i="44"/>
  <c r="C327" i="44"/>
  <c r="C328" i="44"/>
  <c r="V306" i="44"/>
  <c r="P306" i="44"/>
  <c r="P305" i="44"/>
  <c r="V305" i="44"/>
  <c r="E316" i="44"/>
  <c r="I316" i="44"/>
  <c r="D316" i="44"/>
  <c r="V304" i="44"/>
  <c r="P304" i="44"/>
  <c r="K306" i="44"/>
  <c r="J306" i="44"/>
  <c r="Q290" i="44"/>
  <c r="W290" i="44"/>
  <c r="V301" i="44"/>
  <c r="P301" i="44"/>
  <c r="E313" i="44"/>
  <c r="I313" i="44"/>
  <c r="D313" i="44"/>
  <c r="J301" i="44"/>
  <c r="K301" i="44"/>
  <c r="E315" i="44"/>
  <c r="I315" i="44"/>
  <c r="D315" i="44"/>
  <c r="K305" i="44"/>
  <c r="J305" i="44"/>
  <c r="K304" i="44"/>
  <c r="J304" i="44"/>
  <c r="E314" i="44"/>
  <c r="I314" i="44"/>
  <c r="D314" i="44"/>
  <c r="Q294" i="44"/>
  <c r="W294" i="44"/>
  <c r="Q293" i="44"/>
  <c r="W293" i="44"/>
  <c r="Q291" i="44"/>
  <c r="W291" i="44"/>
  <c r="E312" i="44"/>
  <c r="D312" i="44"/>
  <c r="I312" i="44"/>
  <c r="K303" i="44"/>
  <c r="J303" i="44"/>
  <c r="K302" i="44"/>
  <c r="J302" i="44"/>
  <c r="Q295" i="44"/>
  <c r="W295" i="44"/>
  <c r="E317" i="44"/>
  <c r="D317" i="44"/>
  <c r="I317" i="44"/>
  <c r="V303" i="44"/>
  <c r="P303" i="44"/>
  <c r="V302" i="44"/>
  <c r="P302" i="44"/>
  <c r="Q292" i="44"/>
  <c r="W292" i="44"/>
  <c r="G26" i="5" l="1"/>
  <c r="F26" i="5"/>
  <c r="H26" i="5" s="1"/>
  <c r="F25" i="5"/>
  <c r="H25" i="5" s="1"/>
  <c r="G25" i="5"/>
  <c r="F23" i="5"/>
  <c r="H23" i="5" s="1"/>
  <c r="G23" i="5"/>
  <c r="F24" i="5"/>
  <c r="H24" i="5" s="1"/>
  <c r="G24" i="5"/>
  <c r="E30" i="5"/>
  <c r="E29" i="5"/>
  <c r="R19" i="5"/>
  <c r="S19" i="5" s="1"/>
  <c r="R20" i="5"/>
  <c r="R14" i="5"/>
  <c r="S14" i="5" s="1"/>
  <c r="E24" i="5" s="1"/>
  <c r="R17" i="5"/>
  <c r="S17" i="5" s="1"/>
  <c r="E27" i="5" s="1"/>
  <c r="R16" i="5"/>
  <c r="S16" i="5" s="1"/>
  <c r="E26" i="5" s="1"/>
  <c r="R13" i="5"/>
  <c r="S13" i="5" s="1"/>
  <c r="E23" i="5" s="1"/>
  <c r="R15" i="5"/>
  <c r="S15" i="5" s="1"/>
  <c r="E25" i="5" s="1"/>
  <c r="R18" i="5"/>
  <c r="S18" i="5" s="1"/>
  <c r="G29" i="5"/>
  <c r="F29" i="5"/>
  <c r="H29" i="5" s="1"/>
  <c r="G27" i="5"/>
  <c r="F27" i="5"/>
  <c r="H27" i="5" s="1"/>
  <c r="F28" i="5"/>
  <c r="H28" i="5" s="1"/>
  <c r="G28" i="5"/>
  <c r="G30" i="5"/>
  <c r="I30" i="5" s="1"/>
  <c r="F30" i="5"/>
  <c r="H30" i="5" s="1"/>
  <c r="E28" i="5"/>
  <c r="AA295" i="44"/>
  <c r="U295" i="44"/>
  <c r="E328" i="44"/>
  <c r="D328" i="44"/>
  <c r="I328" i="44"/>
  <c r="E326" i="44"/>
  <c r="D326" i="44"/>
  <c r="I326" i="44"/>
  <c r="W303" i="44"/>
  <c r="Q303" i="44"/>
  <c r="Q304" i="44"/>
  <c r="W304" i="44"/>
  <c r="P315" i="44"/>
  <c r="V315" i="44"/>
  <c r="E327" i="44"/>
  <c r="D327" i="44"/>
  <c r="I327" i="44"/>
  <c r="I325" i="44"/>
  <c r="E325" i="44"/>
  <c r="D325" i="44"/>
  <c r="W302" i="44"/>
  <c r="Q302" i="44"/>
  <c r="P314" i="44"/>
  <c r="V314" i="44"/>
  <c r="K315" i="44"/>
  <c r="J315" i="44"/>
  <c r="P313" i="44"/>
  <c r="V313" i="44"/>
  <c r="E323" i="44"/>
  <c r="D323" i="44"/>
  <c r="I323" i="44"/>
  <c r="K314" i="44"/>
  <c r="J314" i="44"/>
  <c r="K313" i="44"/>
  <c r="J313" i="44"/>
  <c r="W305" i="44"/>
  <c r="Q305" i="44"/>
  <c r="K312" i="44"/>
  <c r="J312" i="44"/>
  <c r="W301" i="44"/>
  <c r="Q301" i="44"/>
  <c r="Q306" i="44"/>
  <c r="W306" i="44"/>
  <c r="P316" i="44"/>
  <c r="V316" i="44"/>
  <c r="K317" i="44"/>
  <c r="J317" i="44"/>
  <c r="V312" i="44"/>
  <c r="P312" i="44"/>
  <c r="K316" i="44"/>
  <c r="J316" i="44"/>
  <c r="V317" i="44"/>
  <c r="P317" i="44"/>
  <c r="E324" i="44"/>
  <c r="D324" i="44"/>
  <c r="I324" i="44"/>
  <c r="I23" i="5" l="1"/>
  <c r="M23" i="5" s="1"/>
  <c r="I29" i="5"/>
  <c r="M29" i="5" s="1"/>
  <c r="I26" i="5"/>
  <c r="M26" i="5" s="1"/>
  <c r="I25" i="5"/>
  <c r="M25" i="5" s="1"/>
  <c r="I24" i="5"/>
  <c r="M24" i="5" s="1"/>
  <c r="I28" i="5"/>
  <c r="M28" i="5" s="1"/>
  <c r="M30" i="5"/>
  <c r="I27" i="5"/>
  <c r="M27" i="5" s="1"/>
  <c r="V324" i="44"/>
  <c r="P324" i="44"/>
  <c r="K326" i="44"/>
  <c r="J326" i="44"/>
  <c r="V326" i="44"/>
  <c r="P326" i="44"/>
  <c r="P325" i="44"/>
  <c r="V325" i="44"/>
  <c r="K328" i="44"/>
  <c r="J328" i="44"/>
  <c r="K323" i="44"/>
  <c r="J323" i="44"/>
  <c r="W315" i="44"/>
  <c r="Q315" i="44"/>
  <c r="P328" i="44"/>
  <c r="V328" i="44"/>
  <c r="Q313" i="44"/>
  <c r="W313" i="44"/>
  <c r="P323" i="44"/>
  <c r="V323" i="44"/>
  <c r="K325" i="44"/>
  <c r="J325" i="44"/>
  <c r="Q317" i="44"/>
  <c r="W317" i="44"/>
  <c r="K327" i="44"/>
  <c r="J327" i="44"/>
  <c r="K324" i="44"/>
  <c r="J324" i="44"/>
  <c r="Q316" i="44"/>
  <c r="W316" i="44"/>
  <c r="Q312" i="44"/>
  <c r="W312" i="44"/>
  <c r="Q314" i="44"/>
  <c r="W314" i="44"/>
  <c r="P327" i="44"/>
  <c r="V327" i="44"/>
  <c r="J26" i="5" l="1"/>
  <c r="J29" i="5"/>
  <c r="J23" i="5"/>
  <c r="J28" i="5"/>
  <c r="J27" i="5"/>
  <c r="J24" i="5"/>
  <c r="J30" i="5"/>
  <c r="J25" i="5"/>
  <c r="Q328" i="44"/>
  <c r="W328" i="44"/>
  <c r="Q327" i="44"/>
  <c r="W327" i="44"/>
  <c r="U313" i="44"/>
  <c r="AA313" i="44"/>
  <c r="Q324" i="44"/>
  <c r="W324" i="44"/>
  <c r="W325" i="44"/>
  <c r="Q325" i="44"/>
  <c r="U315" i="44"/>
  <c r="W326" i="44"/>
  <c r="Q326" i="44"/>
  <c r="Q323" i="44"/>
  <c r="W323" i="44"/>
  <c r="AA312" i="44" l="1"/>
  <c r="T290" i="44"/>
  <c r="AA257" i="44"/>
  <c r="T313" i="44"/>
  <c r="T312" i="44"/>
  <c r="Z455" i="44"/>
  <c r="T433" i="44"/>
  <c r="Z554" i="44"/>
  <c r="Z446" i="44"/>
  <c r="T389" i="44"/>
  <c r="Z125" i="44"/>
  <c r="T114" i="44"/>
  <c r="T337" i="44"/>
  <c r="T521" i="44"/>
  <c r="Z345" i="44"/>
  <c r="Z620" i="44"/>
  <c r="T125" i="44"/>
  <c r="AA125" i="44"/>
  <c r="T446" i="44"/>
  <c r="Z337" i="44"/>
  <c r="T466" i="44"/>
  <c r="AA620" i="44"/>
  <c r="T345" i="44"/>
  <c r="Z389" i="44"/>
  <c r="Z521" i="44"/>
  <c r="AA347" i="44"/>
  <c r="T61" i="44"/>
  <c r="AA612" i="44"/>
  <c r="Z466" i="44"/>
  <c r="AB620" i="44"/>
  <c r="AA478" i="44"/>
  <c r="Z433" i="44"/>
  <c r="T448" i="44"/>
  <c r="U347" i="44"/>
  <c r="AC631" i="44"/>
  <c r="T455" i="44"/>
  <c r="AC620" i="44"/>
  <c r="U478" i="44"/>
  <c r="Z61" i="44"/>
  <c r="T554" i="44"/>
  <c r="Z631" i="44"/>
  <c r="Z448" i="44"/>
  <c r="AB631" i="44"/>
  <c r="AA631" i="44"/>
  <c r="T435" i="44"/>
  <c r="U547" i="44"/>
  <c r="Z136" i="44"/>
  <c r="Z114" i="44"/>
  <c r="U228" i="44"/>
  <c r="AA228" i="44"/>
  <c r="Z435" i="44"/>
  <c r="T136" i="44"/>
  <c r="AA337" i="44"/>
  <c r="U136" i="44"/>
  <c r="AA455" i="44"/>
  <c r="AA547" i="44"/>
  <c r="AA81" i="44"/>
  <c r="AA554" i="44"/>
  <c r="AA446" i="44"/>
  <c r="U346" i="44"/>
  <c r="U61" i="44"/>
  <c r="U72" i="44"/>
  <c r="U103" i="44"/>
  <c r="AA103" i="44"/>
  <c r="U448" i="44"/>
  <c r="U114" i="44"/>
  <c r="AA448" i="44"/>
  <c r="U81" i="44"/>
  <c r="AA346" i="44"/>
  <c r="U389" i="44"/>
  <c r="U466" i="44"/>
  <c r="AA114" i="44"/>
  <c r="AA40" i="44"/>
  <c r="AA389" i="44"/>
  <c r="U554" i="44"/>
  <c r="AA127" i="44"/>
  <c r="AA521" i="44"/>
  <c r="AA136" i="44"/>
  <c r="U337" i="44"/>
  <c r="U521" i="44"/>
  <c r="U413" i="44"/>
  <c r="AA391" i="44"/>
  <c r="U446" i="44"/>
  <c r="AA413" i="44"/>
  <c r="U455" i="44"/>
  <c r="U40" i="44"/>
  <c r="U127" i="44"/>
  <c r="AA466" i="44"/>
  <c r="AA72" i="44"/>
  <c r="U125" i="44"/>
  <c r="AA61" i="44"/>
  <c r="U391" i="44"/>
  <c r="Z261" i="44"/>
  <c r="T261" i="44"/>
  <c r="AA250" i="44"/>
  <c r="U250" i="44"/>
  <c r="Z323" i="44"/>
  <c r="AA279" i="44"/>
  <c r="U301" i="44"/>
  <c r="AA301" i="44"/>
  <c r="T268" i="44"/>
  <c r="Z313" i="44"/>
  <c r="U257" i="44"/>
  <c r="Z304" i="44"/>
  <c r="Z312" i="44"/>
  <c r="T323" i="44"/>
  <c r="U279" i="44"/>
  <c r="U290" i="44"/>
  <c r="AA290" i="44"/>
  <c r="T279" i="44"/>
  <c r="Z290" i="44"/>
  <c r="U312" i="44"/>
  <c r="AA268" i="44"/>
  <c r="Z279" i="44"/>
  <c r="Z268" i="44"/>
  <c r="U268" i="44"/>
  <c r="AA249" i="44"/>
  <c r="U294" i="44"/>
  <c r="AA260" i="44"/>
  <c r="T185" i="44"/>
  <c r="T173" i="44"/>
  <c r="T196" i="44"/>
  <c r="Z185" i="44"/>
  <c r="Z196" i="44"/>
  <c r="AA185" i="44"/>
  <c r="U196" i="44"/>
  <c r="Z83" i="44"/>
  <c r="T207" i="44"/>
  <c r="T151" i="44"/>
  <c r="AC612" i="44"/>
  <c r="T218" i="44"/>
  <c r="Z173" i="44"/>
  <c r="Z207" i="44"/>
  <c r="AB625" i="44"/>
  <c r="T162" i="44"/>
  <c r="Z218" i="44"/>
  <c r="Z612" i="44"/>
  <c r="AA162" i="44"/>
  <c r="U16" i="44"/>
  <c r="T239" i="44"/>
  <c r="Z625" i="44"/>
  <c r="AA611" i="44"/>
  <c r="Z151" i="44"/>
  <c r="Z239" i="44"/>
  <c r="T83" i="44"/>
  <c r="AA16" i="44"/>
  <c r="AA196" i="44"/>
  <c r="AC625" i="44"/>
  <c r="Z162" i="44"/>
  <c r="AA625" i="44"/>
  <c r="U185" i="44"/>
  <c r="U162" i="44"/>
  <c r="AA239" i="44"/>
  <c r="AA83" i="44"/>
  <c r="U83" i="44"/>
  <c r="U173" i="44"/>
  <c r="U239" i="44"/>
  <c r="AA173" i="44"/>
  <c r="AB612" i="44"/>
  <c r="U249" i="44"/>
  <c r="T250" i="44"/>
  <c r="Z250" i="44"/>
  <c r="U260" i="44"/>
  <c r="AA294" i="44"/>
  <c r="AA314" i="44"/>
  <c r="AA270" i="44"/>
  <c r="AA378" i="44"/>
  <c r="T72" i="44"/>
  <c r="Z72" i="44"/>
  <c r="U378" i="44"/>
  <c r="AA293" i="44"/>
  <c r="U293" i="44"/>
  <c r="T365" i="44"/>
  <c r="Z195" i="44"/>
  <c r="T195" i="44"/>
  <c r="Z161" i="44"/>
  <c r="T15" i="44"/>
  <c r="T191" i="44"/>
  <c r="Z237" i="44"/>
  <c r="Z15" i="44"/>
  <c r="T161" i="44"/>
  <c r="T193" i="44"/>
  <c r="AA238" i="44"/>
  <c r="T447" i="44"/>
  <c r="AA533" i="44"/>
  <c r="Z103" i="44"/>
  <c r="AA412" i="44"/>
  <c r="T378" i="44"/>
  <c r="Z81" i="44"/>
  <c r="T81" i="44"/>
  <c r="AA191" i="44"/>
  <c r="T172" i="44"/>
  <c r="T50" i="44"/>
  <c r="U161" i="44"/>
  <c r="T92" i="44"/>
  <c r="Z378" i="44"/>
  <c r="U533" i="44"/>
  <c r="T138" i="44"/>
  <c r="Z447" i="44"/>
  <c r="Z191" i="44"/>
  <c r="Z50" i="44"/>
  <c r="AA161" i="44"/>
  <c r="Z92" i="44"/>
  <c r="Z193" i="44"/>
  <c r="Z138" i="44"/>
  <c r="T103" i="44"/>
  <c r="T37" i="44"/>
  <c r="T237" i="44"/>
  <c r="Z37" i="44"/>
  <c r="T149" i="44"/>
  <c r="T127" i="44"/>
  <c r="AA358" i="44"/>
  <c r="Z149" i="44"/>
  <c r="U412" i="44"/>
  <c r="Z127" i="44"/>
  <c r="AA4" i="44"/>
  <c r="U191" i="44"/>
  <c r="U237" i="44"/>
  <c r="U193" i="44"/>
  <c r="AA524" i="44"/>
  <c r="U195" i="44"/>
  <c r="AA193" i="44"/>
  <c r="U62" i="44"/>
  <c r="AA92" i="44"/>
  <c r="AA237" i="44"/>
  <c r="U358" i="44"/>
  <c r="U50" i="44"/>
  <c r="Z172" i="44"/>
  <c r="U15" i="44"/>
  <c r="AA149" i="44"/>
  <c r="AA15" i="44"/>
  <c r="AA50" i="44"/>
  <c r="AA172" i="44"/>
  <c r="U524" i="44"/>
  <c r="AA215" i="44"/>
  <c r="AA62" i="44"/>
  <c r="U149" i="44"/>
  <c r="AA84" i="44"/>
  <c r="U73" i="44"/>
  <c r="AA402" i="44"/>
  <c r="U84" i="44"/>
  <c r="AA195" i="44"/>
  <c r="U238" i="44"/>
  <c r="U4" i="44"/>
  <c r="AA73" i="44"/>
  <c r="U402" i="44"/>
  <c r="U172" i="44"/>
  <c r="U26" i="44"/>
  <c r="U92" i="44"/>
  <c r="U215" i="44"/>
  <c r="AA26" i="44"/>
  <c r="Z248" i="44"/>
  <c r="T248" i="44"/>
  <c r="AA259" i="44"/>
  <c r="T259" i="44"/>
  <c r="AA248" i="44"/>
  <c r="U248" i="44"/>
  <c r="Z259" i="44"/>
  <c r="U270" i="44"/>
  <c r="Z301" i="44"/>
  <c r="T301" i="44"/>
  <c r="U259" i="44"/>
  <c r="Z327" i="44"/>
  <c r="AA315" i="44"/>
  <c r="U271" i="44"/>
  <c r="AA271" i="44"/>
  <c r="AA305" i="44"/>
  <c r="U304" i="44"/>
  <c r="Z293" i="44"/>
  <c r="U283" i="44"/>
  <c r="AA304" i="44"/>
  <c r="T327" i="44"/>
  <c r="U38" i="44"/>
  <c r="T335" i="44"/>
  <c r="Z335" i="44"/>
  <c r="Z41" i="44"/>
  <c r="AA335" i="44"/>
  <c r="U525" i="44"/>
  <c r="Z580" i="44"/>
  <c r="AA568" i="44"/>
  <c r="Z613" i="44"/>
  <c r="AA38" i="44"/>
  <c r="AA8" i="44"/>
  <c r="AA414" i="44"/>
  <c r="U335" i="44"/>
  <c r="U27" i="44"/>
  <c r="T107" i="44"/>
  <c r="U566" i="44"/>
  <c r="AB600" i="44"/>
  <c r="AA349" i="44"/>
  <c r="Z600" i="44"/>
  <c r="AA368" i="44"/>
  <c r="U17" i="44"/>
  <c r="AA613" i="44"/>
  <c r="AA30" i="44"/>
  <c r="AA459" i="44"/>
  <c r="AA566" i="44"/>
  <c r="AA129" i="44"/>
  <c r="T41" i="44"/>
  <c r="T38" i="44"/>
  <c r="AB591" i="44"/>
  <c r="AA107" i="44"/>
  <c r="Z534" i="44"/>
  <c r="AA525" i="44"/>
  <c r="AC613" i="44"/>
  <c r="AB589" i="44"/>
  <c r="U52" i="44"/>
  <c r="AB613" i="44"/>
  <c r="U30" i="44"/>
  <c r="Z349" i="44"/>
  <c r="T118" i="44"/>
  <c r="Z589" i="44"/>
  <c r="Z412" i="44"/>
  <c r="AA52" i="44"/>
  <c r="U107" i="44"/>
  <c r="Z118" i="44"/>
  <c r="AB602" i="44"/>
  <c r="U557" i="44"/>
  <c r="AA591" i="44"/>
  <c r="AB580" i="44"/>
  <c r="AA489" i="44"/>
  <c r="U512" i="44"/>
  <c r="U8" i="44"/>
  <c r="U459" i="44"/>
  <c r="AA470" i="44"/>
  <c r="Z107" i="44"/>
  <c r="AA118" i="44"/>
  <c r="T17" i="44"/>
  <c r="AA479" i="44"/>
  <c r="U414" i="44"/>
  <c r="AA27" i="44"/>
  <c r="AA589" i="44"/>
  <c r="Z8" i="44"/>
  <c r="U19" i="44"/>
  <c r="U489" i="44"/>
  <c r="Z38" i="44"/>
  <c r="T27" i="44"/>
  <c r="T19" i="44"/>
  <c r="U393" i="44"/>
  <c r="AA580" i="44"/>
  <c r="U568" i="44"/>
  <c r="AA19" i="44"/>
  <c r="AA393" i="44"/>
  <c r="AA17" i="44"/>
  <c r="AA534" i="44"/>
  <c r="U479" i="44"/>
  <c r="U368" i="44"/>
  <c r="T534" i="44"/>
  <c r="T459" i="44"/>
  <c r="Z17" i="44"/>
  <c r="Z591" i="44"/>
  <c r="AA600" i="44"/>
  <c r="T412" i="44"/>
  <c r="AC589" i="44"/>
  <c r="T30" i="44"/>
  <c r="U470" i="44"/>
  <c r="AA41" i="44"/>
  <c r="U118" i="44"/>
  <c r="U129" i="44"/>
  <c r="AA602" i="44"/>
  <c r="U41" i="44"/>
  <c r="Z459" i="44"/>
  <c r="AA512" i="44"/>
  <c r="AC591" i="44"/>
  <c r="Z30" i="44"/>
  <c r="AC580" i="44"/>
  <c r="T8" i="44"/>
  <c r="U534" i="44"/>
  <c r="AA557" i="44"/>
  <c r="AC602" i="44"/>
  <c r="AC600" i="44"/>
  <c r="U349" i="44"/>
  <c r="Z19" i="44"/>
  <c r="Z27" i="44"/>
  <c r="Z602" i="44"/>
  <c r="T349" i="44"/>
  <c r="T304" i="44"/>
  <c r="AA283" i="44"/>
  <c r="Z257" i="44"/>
  <c r="T139" i="44"/>
  <c r="U137" i="44"/>
  <c r="AA139" i="44"/>
  <c r="AA137" i="44"/>
  <c r="Z139" i="44"/>
  <c r="T137" i="44"/>
  <c r="Z137" i="44"/>
  <c r="AA135" i="44"/>
  <c r="U139" i="44"/>
  <c r="U135" i="44"/>
  <c r="Z144" i="44"/>
  <c r="U144" i="44"/>
  <c r="T144" i="44"/>
  <c r="Z135" i="44"/>
  <c r="AA144" i="44"/>
  <c r="T135" i="44"/>
  <c r="T292" i="44"/>
  <c r="U273" i="44"/>
  <c r="Z306" i="44"/>
  <c r="Z150" i="44"/>
  <c r="T155" i="44"/>
  <c r="T148" i="44"/>
  <c r="AA155" i="44"/>
  <c r="T150" i="44"/>
  <c r="AA146" i="44"/>
  <c r="U155" i="44"/>
  <c r="Z148" i="44"/>
  <c r="U146" i="44"/>
  <c r="Z155" i="44"/>
  <c r="AA150" i="44"/>
  <c r="Z146" i="44"/>
  <c r="T146" i="44"/>
  <c r="U150" i="44"/>
  <c r="Z159" i="44"/>
  <c r="AA157" i="44"/>
  <c r="T159" i="44"/>
  <c r="U159" i="44"/>
  <c r="AA159" i="44"/>
  <c r="AA166" i="44"/>
  <c r="U157" i="44"/>
  <c r="Z166" i="44"/>
  <c r="U166" i="44"/>
  <c r="T157" i="44"/>
  <c r="Z157" i="44"/>
  <c r="T166" i="44"/>
  <c r="Z170" i="44"/>
  <c r="U177" i="44"/>
  <c r="T170" i="44"/>
  <c r="Z177" i="44"/>
  <c r="AA170" i="44"/>
  <c r="T168" i="44"/>
  <c r="AA168" i="44"/>
  <c r="U168" i="44"/>
  <c r="U170" i="44"/>
  <c r="Z168" i="44"/>
  <c r="T177" i="44"/>
  <c r="AA177" i="44"/>
  <c r="U190" i="44"/>
  <c r="T192" i="44"/>
  <c r="T199" i="44"/>
  <c r="Z194" i="44"/>
  <c r="AA194" i="44"/>
  <c r="AA192" i="44"/>
  <c r="U199" i="44"/>
  <c r="Z192" i="44"/>
  <c r="T190" i="44"/>
  <c r="AA190" i="44"/>
  <c r="U192" i="44"/>
  <c r="T194" i="44"/>
  <c r="Z190" i="44"/>
  <c r="AA199" i="44"/>
  <c r="Z199" i="44"/>
  <c r="U194" i="44"/>
  <c r="Z180" i="44"/>
  <c r="U188" i="44"/>
  <c r="T184" i="44"/>
  <c r="T181" i="44"/>
  <c r="T183" i="44"/>
  <c r="T182" i="44"/>
  <c r="Z183" i="44"/>
  <c r="AA179" i="44"/>
  <c r="T180" i="44"/>
  <c r="AA188" i="44"/>
  <c r="Z188" i="44"/>
  <c r="Z182" i="44"/>
  <c r="Z181" i="44"/>
  <c r="Z179" i="44"/>
  <c r="U182" i="44"/>
  <c r="T179" i="44"/>
  <c r="U181" i="44"/>
  <c r="U183" i="44"/>
  <c r="AA181" i="44"/>
  <c r="AA180" i="44"/>
  <c r="Z184" i="44"/>
  <c r="AA182" i="44"/>
  <c r="T188" i="44"/>
  <c r="U179" i="44"/>
  <c r="AA183" i="44"/>
  <c r="AA184" i="44"/>
  <c r="U180" i="44"/>
  <c r="U184" i="44"/>
  <c r="T265" i="44"/>
  <c r="U265" i="44"/>
  <c r="AA256" i="44"/>
  <c r="AA265" i="44"/>
  <c r="Z265" i="44"/>
  <c r="Z256" i="44"/>
  <c r="T256" i="44"/>
  <c r="U256" i="44"/>
  <c r="Z260" i="44"/>
  <c r="T257" i="44"/>
  <c r="T260" i="44"/>
  <c r="AA509" i="44"/>
  <c r="T254" i="44"/>
  <c r="Z245" i="44"/>
  <c r="Z254" i="44"/>
  <c r="AA245" i="44"/>
  <c r="U245" i="44"/>
  <c r="U254" i="44"/>
  <c r="AA254" i="44"/>
  <c r="T245" i="44"/>
  <c r="AA247" i="44"/>
  <c r="T247" i="44"/>
  <c r="T249" i="44"/>
  <c r="Z247" i="44"/>
  <c r="Z249" i="44"/>
  <c r="U247" i="44"/>
  <c r="Z458" i="44"/>
  <c r="AA273" i="44"/>
  <c r="U317" i="44"/>
  <c r="T223" i="44"/>
  <c r="U321" i="44"/>
  <c r="T67" i="44"/>
  <c r="U282" i="44"/>
  <c r="Z89" i="44"/>
  <c r="U51" i="44"/>
  <c r="U314" i="44"/>
  <c r="T317" i="44"/>
  <c r="Z294" i="44"/>
  <c r="AA306" i="44"/>
  <c r="Z305" i="44"/>
  <c r="T465" i="44"/>
  <c r="AA291" i="44"/>
  <c r="Z316" i="44"/>
  <c r="AA303" i="44"/>
  <c r="Z324" i="44"/>
  <c r="Z291" i="44"/>
  <c r="T315" i="44"/>
  <c r="AA317" i="44"/>
  <c r="U302" i="44"/>
  <c r="U292" i="44"/>
  <c r="AA292" i="44"/>
  <c r="T273" i="44"/>
  <c r="T293" i="44"/>
  <c r="U415" i="44"/>
  <c r="AC597" i="44"/>
  <c r="T414" i="44"/>
  <c r="Z326" i="44"/>
  <c r="T269" i="44"/>
  <c r="T294" i="44"/>
  <c r="U325" i="44"/>
  <c r="AA325" i="44"/>
  <c r="T324" i="44"/>
  <c r="Z303" i="44"/>
  <c r="T305" i="44"/>
  <c r="U305" i="44"/>
  <c r="Z280" i="44"/>
  <c r="T272" i="44"/>
  <c r="U452" i="44"/>
  <c r="U323" i="44"/>
  <c r="AA323" i="44"/>
  <c r="T291" i="44"/>
  <c r="T314" i="44"/>
  <c r="Z314" i="44"/>
  <c r="AA280" i="44"/>
  <c r="Z328" i="44"/>
  <c r="AA269" i="44"/>
  <c r="AA284" i="44"/>
  <c r="T302" i="44"/>
  <c r="U327" i="44"/>
  <c r="AA327" i="44"/>
  <c r="U281" i="44"/>
  <c r="U306" i="44"/>
  <c r="AA541" i="44"/>
  <c r="T310" i="44"/>
  <c r="T332" i="44"/>
  <c r="AA474" i="44"/>
  <c r="Z282" i="44"/>
  <c r="AA302" i="44"/>
  <c r="AA326" i="44"/>
  <c r="U326" i="44"/>
  <c r="AA324" i="44"/>
  <c r="U324" i="44"/>
  <c r="T295" i="44"/>
  <c r="U272" i="44"/>
  <c r="U328" i="44"/>
  <c r="AA328" i="44"/>
  <c r="Z255" i="44"/>
  <c r="U255" i="44"/>
  <c r="AA255" i="44"/>
  <c r="T255" i="44"/>
  <c r="Z634" i="44"/>
  <c r="U14" i="44"/>
  <c r="T452" i="44"/>
  <c r="AA423" i="44"/>
  <c r="U501" i="44"/>
  <c r="Z507" i="44"/>
  <c r="Z24" i="44"/>
  <c r="U53" i="44"/>
  <c r="U267" i="44"/>
  <c r="Z568" i="44"/>
  <c r="U420" i="44"/>
  <c r="U496" i="44"/>
  <c r="Z376" i="44"/>
  <c r="U78" i="44"/>
  <c r="Z12" i="44"/>
  <c r="AA559" i="44"/>
  <c r="T346" i="44"/>
  <c r="AA126" i="44"/>
  <c r="AB607" i="44"/>
  <c r="Z234" i="44"/>
  <c r="AC611" i="44"/>
  <c r="Z69" i="44"/>
  <c r="AA300" i="44"/>
  <c r="U126" i="44"/>
  <c r="AB609" i="44"/>
  <c r="T397" i="44"/>
  <c r="Z443" i="44"/>
  <c r="Z421" i="44"/>
  <c r="T232" i="44"/>
  <c r="T101" i="44"/>
  <c r="U397" i="44"/>
  <c r="U97" i="44"/>
  <c r="Z520" i="44"/>
  <c r="AB595" i="44"/>
  <c r="T393" i="44"/>
  <c r="T563" i="44"/>
  <c r="Z470" i="44"/>
  <c r="AA53" i="44"/>
  <c r="T467" i="44"/>
  <c r="AA128" i="44"/>
  <c r="AA399" i="44"/>
  <c r="T105" i="44"/>
  <c r="AA386" i="44"/>
  <c r="U116" i="44"/>
  <c r="AA203" i="44"/>
  <c r="U502" i="44"/>
  <c r="U565" i="44"/>
  <c r="U465" i="44"/>
  <c r="T34" i="44"/>
  <c r="Z117" i="44"/>
  <c r="Z456" i="44"/>
  <c r="T334" i="44"/>
  <c r="Z40" i="44"/>
  <c r="Z86" i="44"/>
  <c r="Z129" i="44"/>
  <c r="Z468" i="44"/>
  <c r="U411" i="44"/>
  <c r="Z623" i="44"/>
  <c r="Z360" i="44"/>
  <c r="Z108" i="44"/>
  <c r="T481" i="44"/>
  <c r="AA408" i="44"/>
  <c r="AC590" i="44"/>
  <c r="Z404" i="44"/>
  <c r="Z431" i="44"/>
  <c r="T559" i="44"/>
  <c r="AA419" i="44"/>
  <c r="U20" i="44"/>
  <c r="Z364" i="44"/>
  <c r="T320" i="44"/>
  <c r="Z49" i="44"/>
  <c r="AA426" i="44"/>
  <c r="T73" i="44"/>
  <c r="Z210" i="44"/>
  <c r="T489" i="44"/>
  <c r="AC610" i="44"/>
  <c r="AA344" i="44"/>
  <c r="T399" i="44"/>
  <c r="Z331" i="44"/>
  <c r="Z621" i="44"/>
  <c r="T63" i="44"/>
  <c r="T276" i="44"/>
  <c r="T75" i="44"/>
  <c r="Z124" i="44"/>
  <c r="U336" i="44"/>
  <c r="U9" i="44"/>
  <c r="AA101" i="44"/>
  <c r="AB578" i="44"/>
  <c r="Z298" i="44"/>
  <c r="Z206" i="44"/>
  <c r="U130" i="44"/>
  <c r="AB621" i="44"/>
  <c r="U551" i="44"/>
  <c r="Z233" i="44"/>
  <c r="T398" i="44"/>
  <c r="U58" i="44"/>
  <c r="AA497" i="44"/>
  <c r="Z608" i="44"/>
  <c r="Z123" i="44"/>
  <c r="AB576" i="44"/>
  <c r="T469" i="44"/>
  <c r="AA167" i="44"/>
  <c r="AA607" i="44"/>
  <c r="Z471" i="44"/>
  <c r="U115" i="44"/>
  <c r="T79" i="44"/>
  <c r="U214" i="44"/>
  <c r="Z618" i="44"/>
  <c r="T31" i="44"/>
  <c r="AB623" i="44"/>
  <c r="T331" i="44"/>
  <c r="Z211" i="44"/>
  <c r="T277" i="44"/>
  <c r="U18" i="44"/>
  <c r="T415" i="44"/>
  <c r="T546" i="44"/>
  <c r="Z6" i="44"/>
  <c r="U189" i="44"/>
  <c r="AC599" i="44"/>
  <c r="Z552" i="44"/>
  <c r="U89" i="44"/>
  <c r="AA394" i="44"/>
  <c r="T364" i="44"/>
  <c r="AB608" i="44"/>
  <c r="Z530" i="44"/>
  <c r="AA492" i="44"/>
  <c r="Z542" i="44"/>
  <c r="AA425" i="44"/>
  <c r="U540" i="44"/>
  <c r="U421" i="44"/>
  <c r="Z80" i="44"/>
  <c r="U35" i="44"/>
  <c r="U82" i="44"/>
  <c r="AA388" i="44"/>
  <c r="Z541" i="44"/>
  <c r="U57" i="44"/>
  <c r="T6" i="44"/>
  <c r="T454" i="44"/>
  <c r="Z614" i="44"/>
  <c r="Z579" i="44"/>
  <c r="AA531" i="44"/>
  <c r="U477" i="44"/>
  <c r="Z84" i="44"/>
  <c r="T568" i="44"/>
  <c r="Z413" i="44"/>
  <c r="AA46" i="44"/>
  <c r="AA574" i="44"/>
  <c r="T442" i="44"/>
  <c r="AA443" i="44"/>
  <c r="Z386" i="44"/>
  <c r="U500" i="44"/>
  <c r="T408" i="44"/>
  <c r="U333" i="44"/>
  <c r="U75" i="44"/>
  <c r="U426" i="44"/>
  <c r="U213" i="44"/>
  <c r="T145" i="44"/>
  <c r="U507" i="44"/>
  <c r="U105" i="44"/>
  <c r="Z228" i="44"/>
  <c r="Z526" i="44"/>
  <c r="T499" i="44"/>
  <c r="U200" i="44"/>
  <c r="T26" i="44"/>
  <c r="Z332" i="44"/>
  <c r="T53" i="44"/>
  <c r="U12" i="44"/>
  <c r="T64" i="44"/>
  <c r="Z565" i="44"/>
  <c r="U424" i="44"/>
  <c r="U392" i="44"/>
  <c r="U96" i="44"/>
  <c r="Z299" i="44"/>
  <c r="AA551" i="44"/>
  <c r="AA503" i="44"/>
  <c r="Z588" i="44"/>
  <c r="AA225" i="44"/>
  <c r="Z575" i="44"/>
  <c r="AB587" i="44"/>
  <c r="AA222" i="44"/>
  <c r="Z130" i="44"/>
  <c r="T111" i="44"/>
  <c r="U288" i="44"/>
  <c r="Z48" i="44"/>
  <c r="U94" i="44"/>
  <c r="T491" i="44"/>
  <c r="AA491" i="44"/>
  <c r="AA599" i="44"/>
  <c r="U7" i="44"/>
  <c r="T557" i="44"/>
  <c r="Z379" i="44"/>
  <c r="AC607" i="44"/>
  <c r="AA469" i="44"/>
  <c r="T344" i="44"/>
  <c r="U113" i="44"/>
  <c r="AA85" i="44"/>
  <c r="AC587" i="44"/>
  <c r="U5" i="44"/>
  <c r="AA350" i="44"/>
  <c r="T201" i="44"/>
  <c r="U564" i="44"/>
  <c r="Z225" i="44"/>
  <c r="AA20" i="44"/>
  <c r="T566" i="44"/>
  <c r="Z598" i="44"/>
  <c r="Z309" i="44"/>
  <c r="AA276" i="44"/>
  <c r="Z213" i="44"/>
  <c r="AA475" i="44"/>
  <c r="AA39" i="44"/>
  <c r="Z400" i="44"/>
  <c r="T228" i="44"/>
  <c r="AA623" i="44"/>
  <c r="Z104" i="44"/>
  <c r="T233" i="44"/>
  <c r="T513" i="44"/>
  <c r="Z402" i="44"/>
  <c r="Z547" i="44"/>
  <c r="AA117" i="44"/>
  <c r="T133" i="44"/>
  <c r="T74" i="44"/>
  <c r="Z489" i="44"/>
  <c r="Z430" i="44"/>
  <c r="AA25" i="44"/>
  <c r="Z587" i="44"/>
  <c r="Z321" i="44"/>
  <c r="T536" i="44"/>
  <c r="Z16" i="44"/>
  <c r="Z485" i="44"/>
  <c r="Z422" i="44"/>
  <c r="T299" i="44"/>
  <c r="AA369" i="44"/>
  <c r="AC576" i="44"/>
  <c r="AA156" i="44"/>
  <c r="AA490" i="44"/>
  <c r="AA59" i="44"/>
  <c r="AA111" i="44"/>
  <c r="Z344" i="44"/>
  <c r="T117" i="44"/>
  <c r="AB629" i="44"/>
  <c r="U357" i="44"/>
  <c r="T475" i="44"/>
  <c r="Z394" i="44"/>
  <c r="U553" i="44"/>
  <c r="T95" i="44"/>
  <c r="AA500" i="44"/>
  <c r="AA288" i="44"/>
  <c r="AA336" i="44"/>
  <c r="Z457" i="44"/>
  <c r="T7" i="44"/>
  <c r="T394" i="44"/>
  <c r="U431" i="44"/>
  <c r="T86" i="44"/>
  <c r="T562" i="44"/>
  <c r="T553" i="44"/>
  <c r="Z525" i="44"/>
  <c r="U492" i="44"/>
  <c r="T498" i="44"/>
  <c r="AA535" i="44"/>
  <c r="U100" i="44"/>
  <c r="U63" i="44"/>
  <c r="AA577" i="44"/>
  <c r="U567" i="44"/>
  <c r="U366" i="44"/>
  <c r="AA553" i="44"/>
  <c r="T443" i="44"/>
  <c r="Z34" i="44"/>
  <c r="AC635" i="44"/>
  <c r="AA367" i="44"/>
  <c r="T112" i="44"/>
  <c r="Z14" i="44"/>
  <c r="U70" i="44"/>
  <c r="U47" i="44"/>
  <c r="AC636" i="44"/>
  <c r="T108" i="44"/>
  <c r="AA579" i="44"/>
  <c r="U124" i="44"/>
  <c r="T189" i="44"/>
  <c r="AA122" i="44"/>
  <c r="U480" i="44"/>
  <c r="Z574" i="44"/>
  <c r="AA588" i="44"/>
  <c r="U108" i="44"/>
  <c r="T496" i="44"/>
  <c r="Z90" i="44"/>
  <c r="Z58" i="44"/>
  <c r="AB592" i="44"/>
  <c r="U404" i="44"/>
  <c r="AB596" i="44"/>
  <c r="T356" i="44"/>
  <c r="U471" i="44"/>
  <c r="Z74" i="44"/>
  <c r="T400" i="44"/>
  <c r="T100" i="44"/>
  <c r="AA592" i="44"/>
  <c r="Z276" i="44"/>
  <c r="AA332" i="44"/>
  <c r="AA467" i="44"/>
  <c r="Z311" i="44"/>
  <c r="U90" i="44"/>
  <c r="AA364" i="44"/>
  <c r="AA606" i="44"/>
  <c r="T368" i="44"/>
  <c r="Z487" i="44"/>
  <c r="Z624" i="44"/>
  <c r="Z452" i="44"/>
  <c r="AA28" i="44"/>
  <c r="T565" i="44"/>
  <c r="T93" i="44"/>
  <c r="T564" i="44"/>
  <c r="T102" i="44"/>
  <c r="AA105" i="44"/>
  <c r="T29" i="44"/>
  <c r="Z244" i="44"/>
  <c r="T129" i="44"/>
  <c r="AA119" i="44"/>
  <c r="AA569" i="44"/>
  <c r="AC581" i="44"/>
  <c r="Z523" i="44"/>
  <c r="T300" i="44"/>
  <c r="U467" i="44"/>
  <c r="U45" i="44"/>
  <c r="U442" i="44"/>
  <c r="T298" i="44"/>
  <c r="Z636" i="44"/>
  <c r="T96" i="44"/>
  <c r="Z630" i="44"/>
  <c r="T288" i="44"/>
  <c r="Z201" i="44"/>
  <c r="T49" i="44"/>
  <c r="Z401" i="44"/>
  <c r="T224" i="44"/>
  <c r="U371" i="44"/>
  <c r="T542" i="44"/>
  <c r="AA56" i="44"/>
  <c r="T244" i="44"/>
  <c r="Z20" i="44"/>
  <c r="T492" i="44"/>
  <c r="T544" i="44"/>
  <c r="AC603" i="44"/>
  <c r="Z544" i="44"/>
  <c r="Z367" i="44"/>
  <c r="U133" i="44"/>
  <c r="U300" i="44"/>
  <c r="Z586" i="44"/>
  <c r="T540" i="44"/>
  <c r="Z97" i="44"/>
  <c r="Z111" i="44"/>
  <c r="Z322" i="44"/>
  <c r="Z267" i="44"/>
  <c r="U28" i="44"/>
  <c r="Z519" i="44"/>
  <c r="Z366" i="44"/>
  <c r="Z496" i="44"/>
  <c r="Z348" i="44"/>
  <c r="AA540" i="44"/>
  <c r="AA355" i="44"/>
  <c r="Z300" i="44"/>
  <c r="Z371" i="44"/>
  <c r="AA608" i="44"/>
  <c r="AC606" i="44"/>
  <c r="T525" i="44"/>
  <c r="Z513" i="44"/>
  <c r="T226" i="44"/>
  <c r="Z289" i="44"/>
  <c r="Z354" i="44"/>
  <c r="Z23" i="44"/>
  <c r="AA360" i="44"/>
  <c r="Z145" i="44"/>
  <c r="T507" i="44"/>
  <c r="Z425" i="44"/>
  <c r="Z607" i="44"/>
  <c r="T520" i="44"/>
  <c r="Z266" i="44"/>
  <c r="T25" i="44"/>
  <c r="T519" i="44"/>
  <c r="U546" i="44"/>
  <c r="Z370" i="44"/>
  <c r="AA621" i="44"/>
  <c r="T512" i="44"/>
  <c r="Z222" i="44"/>
  <c r="Z347" i="44"/>
  <c r="U464" i="44"/>
  <c r="U56" i="44"/>
  <c r="T453" i="44"/>
  <c r="Z469" i="44"/>
  <c r="T488" i="44"/>
  <c r="AA116" i="44"/>
  <c r="AA93" i="44"/>
  <c r="Z224" i="44"/>
  <c r="U203" i="44"/>
  <c r="AA60" i="44"/>
  <c r="AB588" i="44"/>
  <c r="Z333" i="44"/>
  <c r="AB601" i="44"/>
  <c r="AA456" i="44"/>
  <c r="AB598" i="44"/>
  <c r="Z381" i="44"/>
  <c r="AA477" i="44"/>
  <c r="Z382" i="44"/>
  <c r="AA422" i="44"/>
  <c r="AB614" i="44"/>
  <c r="U244" i="44"/>
  <c r="Z543" i="44"/>
  <c r="Z100" i="44"/>
  <c r="T205" i="44"/>
  <c r="T23" i="44"/>
  <c r="AA104" i="44"/>
  <c r="Z441" i="44"/>
  <c r="T94" i="44"/>
  <c r="AA519" i="44"/>
  <c r="AA564" i="44"/>
  <c r="Z502" i="44"/>
  <c r="T46" i="44"/>
  <c r="T348" i="44"/>
  <c r="Z442" i="44"/>
  <c r="Z178" i="44"/>
  <c r="U266" i="44"/>
  <c r="AA587" i="44"/>
  <c r="AA536" i="44"/>
  <c r="Z529" i="44"/>
  <c r="U359" i="44"/>
  <c r="U167" i="44"/>
  <c r="AA544" i="44"/>
  <c r="AC596" i="44"/>
  <c r="T222" i="44"/>
  <c r="AA628" i="44"/>
  <c r="U509" i="44"/>
  <c r="AB606" i="44"/>
  <c r="AA309" i="44"/>
  <c r="AA115" i="44"/>
  <c r="T480" i="44"/>
  <c r="AC609" i="44"/>
  <c r="U399" i="44"/>
  <c r="Z96" i="44"/>
  <c r="AA614" i="44"/>
  <c r="AC598" i="44"/>
  <c r="T128" i="44"/>
  <c r="Z78" i="44"/>
  <c r="AA430" i="44"/>
  <c r="AA480" i="44"/>
  <c r="AA555" i="44"/>
  <c r="T116" i="44"/>
  <c r="U95" i="44"/>
  <c r="AA287" i="44"/>
  <c r="U490" i="44"/>
  <c r="AA356" i="44"/>
  <c r="AA34" i="44"/>
  <c r="AA532" i="44"/>
  <c r="Z497" i="44"/>
  <c r="Z105" i="44"/>
  <c r="U457" i="44"/>
  <c r="U69" i="44"/>
  <c r="U419" i="44"/>
  <c r="U356" i="44"/>
  <c r="U287" i="44"/>
  <c r="AB635" i="44"/>
  <c r="AA522" i="44"/>
  <c r="Z635" i="44"/>
  <c r="T477" i="44"/>
  <c r="T206" i="44"/>
  <c r="U310" i="44"/>
  <c r="T52" i="44"/>
  <c r="U111" i="44"/>
  <c r="U134" i="44"/>
  <c r="U486" i="44"/>
  <c r="T366" i="44"/>
  <c r="AB632" i="44"/>
  <c r="AA542" i="44"/>
  <c r="AA501" i="44"/>
  <c r="T409" i="44"/>
  <c r="Z277" i="44"/>
  <c r="T221" i="44"/>
  <c r="T36" i="44"/>
  <c r="AA71" i="44"/>
  <c r="Z597" i="44"/>
  <c r="Z569" i="44"/>
  <c r="T213" i="44"/>
  <c r="Z236" i="44"/>
  <c r="U552" i="44"/>
  <c r="U542" i="44"/>
  <c r="AA576" i="44"/>
  <c r="Z551" i="44"/>
  <c r="T60" i="44"/>
  <c r="AA545" i="44"/>
  <c r="U388" i="44"/>
  <c r="U343" i="44"/>
  <c r="AA214" i="44"/>
  <c r="T478" i="44"/>
  <c r="U42" i="44"/>
  <c r="U508" i="44"/>
  <c r="Z63" i="44"/>
  <c r="Z566" i="44"/>
  <c r="Z122" i="44"/>
  <c r="T532" i="44"/>
  <c r="T380" i="44"/>
  <c r="T126" i="44"/>
  <c r="AA523" i="44"/>
  <c r="U529" i="44"/>
  <c r="Z128" i="44"/>
  <c r="U85" i="44"/>
  <c r="AA70" i="44"/>
  <c r="T85" i="44"/>
  <c r="U380" i="44"/>
  <c r="AC628" i="44"/>
  <c r="T58" i="44"/>
  <c r="U487" i="44"/>
  <c r="T468" i="44"/>
  <c r="AA558" i="44"/>
  <c r="Z357" i="44"/>
  <c r="AA205" i="44"/>
  <c r="Z524" i="44"/>
  <c r="AA113" i="44"/>
  <c r="Z476" i="44"/>
  <c r="Z278" i="44"/>
  <c r="Z409" i="44"/>
  <c r="AA603" i="44"/>
  <c r="Z62" i="44"/>
  <c r="AA13" i="44"/>
  <c r="AC622" i="44"/>
  <c r="U503" i="44"/>
  <c r="Z419" i="44"/>
  <c r="AA409" i="44"/>
  <c r="AA463" i="44"/>
  <c r="T18" i="44"/>
  <c r="Z555" i="44"/>
  <c r="T321" i="44"/>
  <c r="Z205" i="44"/>
  <c r="Z358" i="44"/>
  <c r="AC623" i="44"/>
  <c r="Z7" i="44"/>
  <c r="Z36" i="44"/>
  <c r="Z235" i="44"/>
  <c r="T178" i="44"/>
  <c r="AC585" i="44"/>
  <c r="T40" i="44"/>
  <c r="T354" i="44"/>
  <c r="T500" i="44"/>
  <c r="Z403" i="44"/>
  <c r="U381" i="44"/>
  <c r="Z617" i="44"/>
  <c r="Z592" i="44"/>
  <c r="Z232" i="44"/>
  <c r="AA488" i="44"/>
  <c r="T421" i="44"/>
  <c r="T424" i="44"/>
  <c r="Z238" i="44"/>
  <c r="Z522" i="44"/>
  <c r="Z113" i="44"/>
  <c r="U456" i="44"/>
  <c r="T569" i="44"/>
  <c r="AB610" i="44"/>
  <c r="U443" i="44"/>
  <c r="T479" i="44"/>
  <c r="Z408" i="44"/>
  <c r="AA204" i="44"/>
  <c r="T80" i="44"/>
  <c r="T441" i="44"/>
  <c r="Z567" i="44"/>
  <c r="U463" i="44"/>
  <c r="T48" i="44"/>
  <c r="AA63" i="44"/>
  <c r="T543" i="44"/>
  <c r="T217" i="44"/>
  <c r="U498" i="44"/>
  <c r="T413" i="44"/>
  <c r="T530" i="44"/>
  <c r="AA221" i="44"/>
  <c r="Z288" i="44"/>
  <c r="T4" i="44"/>
  <c r="Z71" i="44"/>
  <c r="Z508" i="44"/>
  <c r="AA377" i="44"/>
  <c r="U353" i="44"/>
  <c r="Z102" i="44"/>
  <c r="Z399" i="44"/>
  <c r="Z499" i="44"/>
  <c r="Z426" i="44"/>
  <c r="Z57" i="44"/>
  <c r="AA36" i="44"/>
  <c r="T203" i="44"/>
  <c r="U425" i="44"/>
  <c r="AA401" i="44"/>
  <c r="Z460" i="44"/>
  <c r="Z564" i="44"/>
  <c r="Z221" i="44"/>
  <c r="AA609" i="44"/>
  <c r="U224" i="44"/>
  <c r="U569" i="44"/>
  <c r="AA354" i="44"/>
  <c r="U299" i="44"/>
  <c r="AA581" i="44"/>
  <c r="Z603" i="44"/>
  <c r="AA590" i="44"/>
  <c r="Z411" i="44"/>
  <c r="AA49" i="44"/>
  <c r="AA622" i="44"/>
  <c r="T463" i="44"/>
  <c r="AA233" i="44"/>
  <c r="AA486" i="44"/>
  <c r="Z492" i="44"/>
  <c r="Z243" i="44"/>
  <c r="Z609" i="44"/>
  <c r="T471" i="44"/>
  <c r="T289" i="44"/>
  <c r="Z156" i="44"/>
  <c r="AC634" i="44"/>
  <c r="Z629" i="44"/>
  <c r="Z217" i="44"/>
  <c r="AC621" i="44"/>
  <c r="AA563" i="44"/>
  <c r="AA618" i="44"/>
  <c r="AA14" i="44"/>
  <c r="AB590" i="44"/>
  <c r="AA321" i="44"/>
  <c r="T202" i="44"/>
  <c r="AA420" i="44"/>
  <c r="Z584" i="44"/>
  <c r="U298" i="44"/>
  <c r="T457" i="44"/>
  <c r="U24" i="44"/>
  <c r="U6" i="44"/>
  <c r="AA243" i="44"/>
  <c r="T309" i="44"/>
  <c r="Z47" i="44"/>
  <c r="U31" i="44"/>
  <c r="U531" i="44"/>
  <c r="AA403" i="44"/>
  <c r="U387" i="44"/>
  <c r="T535" i="44"/>
  <c r="AA298" i="44"/>
  <c r="AA96" i="44"/>
  <c r="AA23" i="44"/>
  <c r="Z474" i="44"/>
  <c r="AA69" i="44"/>
  <c r="T508" i="44"/>
  <c r="Z355" i="44"/>
  <c r="U225" i="44"/>
  <c r="Z216" i="44"/>
  <c r="Z558" i="44"/>
  <c r="U354" i="44"/>
  <c r="AA598" i="44"/>
  <c r="T411" i="44"/>
  <c r="T518" i="44"/>
  <c r="Z595" i="44"/>
  <c r="T392" i="44"/>
  <c r="Z510" i="44"/>
  <c r="T347" i="44"/>
  <c r="Z59" i="44"/>
  <c r="T381" i="44"/>
  <c r="U49" i="44"/>
  <c r="AA24" i="44"/>
  <c r="T238" i="44"/>
  <c r="AC630" i="44"/>
  <c r="U523" i="44"/>
  <c r="AA227" i="44"/>
  <c r="T490" i="44"/>
  <c r="U514" i="44"/>
  <c r="Z26" i="44"/>
  <c r="AA584" i="44"/>
  <c r="U563" i="44"/>
  <c r="T487" i="44"/>
  <c r="U221" i="44"/>
  <c r="Z563" i="44"/>
  <c r="AA498" i="44"/>
  <c r="AA311" i="44"/>
  <c r="U355" i="44"/>
  <c r="T510" i="44"/>
  <c r="T311" i="44"/>
  <c r="T371" i="44"/>
  <c r="AB624" i="44"/>
  <c r="Z480" i="44"/>
  <c r="U497" i="44"/>
  <c r="U390" i="44"/>
  <c r="AA31" i="44"/>
  <c r="U430" i="44"/>
  <c r="U556" i="44"/>
  <c r="Z509" i="44"/>
  <c r="Z95" i="44"/>
  <c r="AA556" i="44"/>
  <c r="T367" i="44"/>
  <c r="T68" i="44"/>
  <c r="Z415" i="44"/>
  <c r="AA211" i="44"/>
  <c r="U519" i="44"/>
  <c r="AA415" i="44"/>
  <c r="T212" i="44"/>
  <c r="Z585" i="44"/>
  <c r="AC592" i="44"/>
  <c r="Z577" i="44"/>
  <c r="AA610" i="44"/>
  <c r="T369" i="44"/>
  <c r="U91" i="44"/>
  <c r="T552" i="44"/>
  <c r="U123" i="44"/>
  <c r="AA124" i="44"/>
  <c r="AA106" i="44"/>
  <c r="AA334" i="44"/>
  <c r="Z112" i="44"/>
  <c r="Z369" i="44"/>
  <c r="T123" i="44"/>
  <c r="T533" i="44"/>
  <c r="AA278" i="44"/>
  <c r="T420" i="44"/>
  <c r="U410" i="44"/>
  <c r="Z514" i="44"/>
  <c r="Z619" i="44"/>
  <c r="Z75" i="44"/>
  <c r="AA460" i="44"/>
  <c r="U526" i="44"/>
  <c r="AA457" i="44"/>
  <c r="T522" i="44"/>
  <c r="Z13" i="44"/>
  <c r="AA320" i="44"/>
  <c r="T485" i="44"/>
  <c r="U25" i="44"/>
  <c r="U499" i="44"/>
  <c r="U227" i="44"/>
  <c r="T386" i="44"/>
  <c r="Z18" i="44"/>
  <c r="AA485" i="44"/>
  <c r="T388" i="44"/>
  <c r="AA267" i="44"/>
  <c r="U510" i="44"/>
  <c r="AA331" i="44"/>
  <c r="AA543" i="44"/>
  <c r="T5" i="44"/>
  <c r="AA35" i="44"/>
  <c r="U379" i="44"/>
  <c r="U117" i="44"/>
  <c r="Z56" i="44"/>
  <c r="AA379" i="44"/>
  <c r="Z392" i="44"/>
  <c r="Z52" i="44"/>
  <c r="T9" i="44"/>
  <c r="AA601" i="44"/>
  <c r="AA365" i="44"/>
  <c r="U205" i="44"/>
  <c r="AA596" i="44"/>
  <c r="U350" i="44"/>
  <c r="AA12" i="44"/>
  <c r="T106" i="44"/>
  <c r="U377" i="44"/>
  <c r="Z498" i="44"/>
  <c r="Z215" i="44"/>
  <c r="U562" i="44"/>
  <c r="Z353" i="44"/>
  <c r="AA94" i="44"/>
  <c r="AA510" i="44"/>
  <c r="U311" i="44"/>
  <c r="AA476" i="44"/>
  <c r="U401" i="44"/>
  <c r="U394" i="44"/>
  <c r="U320" i="44"/>
  <c r="T460" i="44"/>
  <c r="U201" i="44"/>
  <c r="Z532" i="44"/>
  <c r="AA411" i="44"/>
  <c r="Z491" i="44"/>
  <c r="Z336" i="44"/>
  <c r="Z398" i="44"/>
  <c r="Z628" i="44"/>
  <c r="T211" i="44"/>
  <c r="AA546" i="44"/>
  <c r="AC577" i="44"/>
  <c r="T558" i="44"/>
  <c r="AB599" i="44"/>
  <c r="AA244" i="44"/>
  <c r="T390" i="44"/>
  <c r="T509" i="44"/>
  <c r="T134" i="44"/>
  <c r="AA578" i="44"/>
  <c r="T71" i="44"/>
  <c r="AA100" i="44"/>
  <c r="Z481" i="44"/>
  <c r="AA75" i="44"/>
  <c r="AA189" i="44"/>
  <c r="AA526" i="44"/>
  <c r="Z365" i="44"/>
  <c r="U334" i="44"/>
  <c r="Z488" i="44"/>
  <c r="T503" i="44"/>
  <c r="U398" i="44"/>
  <c r="T422" i="44"/>
  <c r="AA64" i="44"/>
  <c r="Z227" i="44"/>
  <c r="U102" i="44"/>
  <c r="U441" i="44"/>
  <c r="U513" i="44"/>
  <c r="T382" i="44"/>
  <c r="AB619" i="44"/>
  <c r="AC595" i="44"/>
  <c r="Z29" i="44"/>
  <c r="Z126" i="44"/>
  <c r="U432" i="44"/>
  <c r="Z556" i="44"/>
  <c r="T13" i="44"/>
  <c r="T403" i="44"/>
  <c r="U543" i="44"/>
  <c r="Z531" i="44"/>
  <c r="U106" i="44"/>
  <c r="AA502" i="44"/>
  <c r="T336" i="44"/>
  <c r="Z606" i="44"/>
  <c r="T214" i="44"/>
  <c r="T531" i="44"/>
  <c r="U86" i="44"/>
  <c r="AA212" i="44"/>
  <c r="T470" i="44"/>
  <c r="T359" i="44"/>
  <c r="T113" i="44"/>
  <c r="Z200" i="44"/>
  <c r="T474" i="44"/>
  <c r="Z432" i="44"/>
  <c r="T476" i="44"/>
  <c r="T524" i="44"/>
  <c r="T28" i="44"/>
  <c r="U211" i="44"/>
  <c r="Z70" i="44"/>
  <c r="T322" i="44"/>
  <c r="U376" i="44"/>
  <c r="U206" i="44"/>
  <c r="U276" i="44"/>
  <c r="U67" i="44"/>
  <c r="AB586" i="44"/>
  <c r="AA567" i="44"/>
  <c r="T401" i="44"/>
  <c r="AA68" i="44"/>
  <c r="Z91" i="44"/>
  <c r="T511" i="44"/>
  <c r="U331" i="44"/>
  <c r="AB622" i="44"/>
  <c r="AA632" i="44"/>
  <c r="AC579" i="44"/>
  <c r="Z214" i="44"/>
  <c r="U555" i="44"/>
  <c r="U233" i="44"/>
  <c r="AA90" i="44"/>
  <c r="U474" i="44"/>
  <c r="U119" i="44"/>
  <c r="U365" i="44"/>
  <c r="Z397" i="44"/>
  <c r="Z287" i="44"/>
  <c r="AA471" i="44"/>
  <c r="AB636" i="44"/>
  <c r="AA58" i="44"/>
  <c r="AA357" i="44"/>
  <c r="Z25" i="44"/>
  <c r="AC614" i="44"/>
  <c r="AA586" i="44"/>
  <c r="Z533" i="44"/>
  <c r="Z368" i="44"/>
  <c r="Z578" i="44"/>
  <c r="U403" i="44"/>
  <c r="Z420" i="44"/>
  <c r="AA513" i="44"/>
  <c r="U491" i="44"/>
  <c r="T243" i="44"/>
  <c r="Z467" i="44"/>
  <c r="Z68" i="44"/>
  <c r="AA67" i="44"/>
  <c r="Z557" i="44"/>
  <c r="Z39" i="44"/>
  <c r="U145" i="44"/>
  <c r="AA499" i="44"/>
  <c r="Z478" i="44"/>
  <c r="AA397" i="44"/>
  <c r="T431" i="44"/>
  <c r="Z463" i="44"/>
  <c r="AA359" i="44"/>
  <c r="U344" i="44"/>
  <c r="Z82" i="44"/>
  <c r="T42" i="44"/>
  <c r="Z410" i="44"/>
  <c r="T423" i="44"/>
  <c r="Z573" i="44"/>
  <c r="Z28" i="44"/>
  <c r="U289" i="44"/>
  <c r="U34" i="44"/>
  <c r="AA565" i="44"/>
  <c r="T225" i="44"/>
  <c r="AB611" i="44"/>
  <c r="U234" i="44"/>
  <c r="AC618" i="44"/>
  <c r="Z536" i="44"/>
  <c r="T82" i="44"/>
  <c r="T119" i="44"/>
  <c r="Z346" i="44"/>
  <c r="AA619" i="44"/>
  <c r="T215" i="44"/>
  <c r="U488" i="44"/>
  <c r="T97" i="44"/>
  <c r="AB628" i="44"/>
  <c r="U93" i="44"/>
  <c r="Z390" i="44"/>
  <c r="AA464" i="44"/>
  <c r="Z226" i="44"/>
  <c r="T70" i="44"/>
  <c r="AA95" i="44"/>
  <c r="T355" i="44"/>
  <c r="U243" i="44"/>
  <c r="AB585" i="44"/>
  <c r="AC584" i="44"/>
  <c r="Z490" i="44"/>
  <c r="T39" i="44"/>
  <c r="T567" i="44"/>
  <c r="AA82" i="44"/>
  <c r="Z189" i="44"/>
  <c r="U536" i="44"/>
  <c r="AA91" i="44"/>
  <c r="AA57" i="44"/>
  <c r="T12" i="44"/>
  <c r="T45" i="44"/>
  <c r="U60" i="44"/>
  <c r="U422" i="44"/>
  <c r="U178" i="44"/>
  <c r="AA224" i="44"/>
  <c r="Z511" i="44"/>
  <c r="AA97" i="44"/>
  <c r="Z134" i="44"/>
  <c r="AA234" i="44"/>
  <c r="T78" i="44"/>
  <c r="Z610" i="44"/>
  <c r="Z486" i="44"/>
  <c r="AA353" i="44"/>
  <c r="Z93" i="44"/>
  <c r="AC617" i="44"/>
  <c r="T404" i="44"/>
  <c r="Z350" i="44"/>
  <c r="U541" i="44"/>
  <c r="T57" i="44"/>
  <c r="U309" i="44"/>
  <c r="Z464" i="44"/>
  <c r="AA382" i="44"/>
  <c r="T357" i="44"/>
  <c r="U277" i="44"/>
  <c r="U104" i="44"/>
  <c r="AA398" i="44"/>
  <c r="AA123" i="44"/>
  <c r="U475" i="44"/>
  <c r="T556" i="44"/>
  <c r="U469" i="44"/>
  <c r="AB577" i="44"/>
  <c r="T376" i="44"/>
  <c r="T204" i="44"/>
  <c r="Z73" i="44"/>
  <c r="AA573" i="44"/>
  <c r="AA390" i="44"/>
  <c r="T541" i="44"/>
  <c r="AA366" i="44"/>
  <c r="T350" i="44"/>
  <c r="T419" i="44"/>
  <c r="U101" i="44"/>
  <c r="Z85" i="44"/>
  <c r="AA529" i="44"/>
  <c r="Z116" i="44"/>
  <c r="U369" i="44"/>
  <c r="U332" i="44"/>
  <c r="AA562" i="44"/>
  <c r="AA42" i="44"/>
  <c r="Z590" i="44"/>
  <c r="T210" i="44"/>
  <c r="U79" i="44"/>
  <c r="U360" i="44"/>
  <c r="AA454" i="44"/>
  <c r="Z465" i="44"/>
  <c r="AA514" i="44"/>
  <c r="T486" i="44"/>
  <c r="U212" i="44"/>
  <c r="T379" i="44"/>
  <c r="AA400" i="44"/>
  <c r="U232" i="44"/>
  <c r="AA624" i="44"/>
  <c r="AC624" i="44"/>
  <c r="U382" i="44"/>
  <c r="Z501" i="44"/>
  <c r="T104" i="44"/>
  <c r="AA585" i="44"/>
  <c r="AC586" i="44"/>
  <c r="T267" i="44"/>
  <c r="AA226" i="44"/>
  <c r="U518" i="44"/>
  <c r="Z9" i="44"/>
  <c r="Z204" i="44"/>
  <c r="Z115" i="44"/>
  <c r="AA89" i="44"/>
  <c r="U223" i="44"/>
  <c r="T430" i="44"/>
  <c r="Z31" i="44"/>
  <c r="U122" i="44"/>
  <c r="AA635" i="44"/>
  <c r="Z581" i="44"/>
  <c r="U558" i="44"/>
  <c r="Z380" i="44"/>
  <c r="Z503" i="44"/>
  <c r="U112" i="44"/>
  <c r="T555" i="44"/>
  <c r="T216" i="44"/>
  <c r="U278" i="44"/>
  <c r="T353" i="44"/>
  <c r="T375" i="44"/>
  <c r="T529" i="44"/>
  <c r="AA617" i="44"/>
  <c r="U364" i="44"/>
  <c r="U222" i="44"/>
  <c r="U322" i="44"/>
  <c r="Z391" i="44"/>
  <c r="U210" i="44"/>
  <c r="Z334" i="44"/>
  <c r="Z562" i="44"/>
  <c r="T501" i="44"/>
  <c r="AA597" i="44"/>
  <c r="AA441" i="44"/>
  <c r="U156" i="44"/>
  <c r="T526" i="44"/>
  <c r="U453" i="44"/>
  <c r="T497" i="44"/>
  <c r="Z559" i="44"/>
  <c r="AA202" i="44"/>
  <c r="Z611" i="44"/>
  <c r="AA48" i="44"/>
  <c r="Z377" i="44"/>
  <c r="AA636" i="44"/>
  <c r="AA29" i="44"/>
  <c r="U481" i="44"/>
  <c r="AA404" i="44"/>
  <c r="U367" i="44"/>
  <c r="AA552" i="44"/>
  <c r="AA629" i="44"/>
  <c r="Z212" i="44"/>
  <c r="T35" i="44"/>
  <c r="T358" i="44"/>
  <c r="T551" i="44"/>
  <c r="T235" i="44"/>
  <c r="Z622" i="44"/>
  <c r="AC578" i="44"/>
  <c r="AA442" i="44"/>
  <c r="T456" i="44"/>
  <c r="AA431" i="44"/>
  <c r="AA210" i="44"/>
  <c r="AA51" i="44"/>
  <c r="Z106" i="44"/>
  <c r="T464" i="44"/>
  <c r="AA421" i="44"/>
  <c r="U202" i="44"/>
  <c r="U29" i="44"/>
  <c r="U23" i="44"/>
  <c r="T432" i="44"/>
  <c r="Z133" i="44"/>
  <c r="AB603" i="44"/>
  <c r="U370" i="44"/>
  <c r="Z42" i="44"/>
  <c r="AA530" i="44"/>
  <c r="AA200" i="44"/>
  <c r="AA216" i="44"/>
  <c r="T266" i="44"/>
  <c r="T69" i="44"/>
  <c r="T502" i="44"/>
  <c r="T24" i="44"/>
  <c r="Z424" i="44"/>
  <c r="AA634" i="44"/>
  <c r="U400" i="44"/>
  <c r="AA45" i="44"/>
  <c r="U460" i="44"/>
  <c r="Z53" i="44"/>
  <c r="AA9" i="44"/>
  <c r="U409" i="44"/>
  <c r="AC632" i="44"/>
  <c r="T51" i="44"/>
  <c r="T156" i="44"/>
  <c r="T236" i="44"/>
  <c r="Z576" i="44"/>
  <c r="Z546" i="44"/>
  <c r="AA380" i="44"/>
  <c r="T387" i="44"/>
  <c r="Z343" i="44"/>
  <c r="AC629" i="44"/>
  <c r="Z223" i="44"/>
  <c r="Z167" i="44"/>
  <c r="U532" i="44"/>
  <c r="U217" i="44"/>
  <c r="AA465" i="44"/>
  <c r="AB618" i="44"/>
  <c r="AB579" i="44"/>
  <c r="U520" i="44"/>
  <c r="AA102" i="44"/>
  <c r="AA47" i="44"/>
  <c r="AA201" i="44"/>
  <c r="AC619" i="44"/>
  <c r="U226" i="44"/>
  <c r="U39" i="44"/>
  <c r="Z203" i="44"/>
  <c r="Z67" i="44"/>
  <c r="Z60" i="44"/>
  <c r="Z545" i="44"/>
  <c r="U64" i="44"/>
  <c r="Z35" i="44"/>
  <c r="AA74" i="44"/>
  <c r="Z479" i="44"/>
  <c r="AA410" i="44"/>
  <c r="T56" i="44"/>
  <c r="AA133" i="44"/>
  <c r="AA299" i="44"/>
  <c r="U71" i="44"/>
  <c r="U545" i="44"/>
  <c r="U454" i="44"/>
  <c r="Z388" i="44"/>
  <c r="T458" i="44"/>
  <c r="AA134" i="44"/>
  <c r="Z79" i="44"/>
  <c r="AA108" i="44"/>
  <c r="U216" i="44"/>
  <c r="Z45" i="44"/>
  <c r="AA375" i="44"/>
  <c r="U522" i="44"/>
  <c r="T167" i="44"/>
  <c r="Z500" i="44"/>
  <c r="Z310" i="44"/>
  <c r="AC601" i="44"/>
  <c r="Z512" i="44"/>
  <c r="Z5" i="44"/>
  <c r="U59" i="44"/>
  <c r="T14" i="44"/>
  <c r="T287" i="44"/>
  <c r="U36" i="44"/>
  <c r="Z393" i="44"/>
  <c r="AA217" i="44"/>
  <c r="U408" i="44"/>
  <c r="Z477" i="44"/>
  <c r="Z51" i="44"/>
  <c r="T234" i="44"/>
  <c r="AA232" i="44"/>
  <c r="T547" i="44"/>
  <c r="T130" i="44"/>
  <c r="Z4" i="44"/>
  <c r="Z46" i="44"/>
  <c r="AA6" i="44"/>
  <c r="AA452" i="44"/>
  <c r="U74" i="44"/>
  <c r="AA322" i="44"/>
  <c r="T84" i="44"/>
  <c r="U204" i="44"/>
  <c r="Z94" i="44"/>
  <c r="AA424" i="44"/>
  <c r="Z601" i="44"/>
  <c r="AA7" i="44"/>
  <c r="AB634" i="44"/>
  <c r="Z475" i="44"/>
  <c r="Z414" i="44"/>
  <c r="AA370" i="44"/>
  <c r="U535" i="44"/>
  <c r="U468" i="44"/>
  <c r="T377" i="44"/>
  <c r="AA79" i="44"/>
  <c r="AA145" i="44"/>
  <c r="Z202" i="44"/>
  <c r="AA266" i="44"/>
  <c r="T523" i="44"/>
  <c r="T47" i="44"/>
  <c r="T545" i="44"/>
  <c r="AA206" i="44"/>
  <c r="AA481" i="44"/>
  <c r="AA487" i="44"/>
  <c r="T402" i="44"/>
  <c r="AA453" i="44"/>
  <c r="T333" i="44"/>
  <c r="AA86" i="44"/>
  <c r="AA112" i="44"/>
  <c r="Z518" i="44"/>
  <c r="Z359" i="44"/>
  <c r="T227" i="44"/>
  <c r="AA458" i="44"/>
  <c r="U128" i="44"/>
  <c r="U386" i="44"/>
  <c r="AA432" i="44"/>
  <c r="AA223" i="44"/>
  <c r="T343" i="44"/>
  <c r="T91" i="44"/>
  <c r="U46" i="44"/>
  <c r="AB581" i="44"/>
  <c r="Z540" i="44"/>
  <c r="T514" i="44"/>
  <c r="AA387" i="44"/>
  <c r="T90" i="44"/>
  <c r="AA213" i="44"/>
  <c r="Z356" i="44"/>
  <c r="AA343" i="44"/>
  <c r="U544" i="44"/>
  <c r="Z535" i="44"/>
  <c r="Z596" i="44"/>
  <c r="U375" i="44"/>
  <c r="AA518" i="44"/>
  <c r="AA507" i="44"/>
  <c r="AC608" i="44"/>
  <c r="U485" i="44"/>
  <c r="T20" i="44"/>
  <c r="AA376" i="44"/>
  <c r="Z375" i="44"/>
  <c r="T124" i="44"/>
  <c r="U559" i="44"/>
  <c r="T391" i="44"/>
  <c r="AA178" i="44"/>
  <c r="Z553" i="44"/>
  <c r="Z454" i="44"/>
  <c r="AA80" i="44"/>
  <c r="AA392" i="44"/>
  <c r="U530" i="44"/>
  <c r="T59" i="44"/>
  <c r="AA18" i="44"/>
  <c r="T278" i="44"/>
  <c r="U458" i="44"/>
  <c r="T89" i="44"/>
  <c r="AA508" i="44"/>
  <c r="Z64" i="44"/>
  <c r="Z101" i="44"/>
  <c r="T62" i="44"/>
  <c r="Z320" i="44"/>
  <c r="AA520" i="44"/>
  <c r="T122" i="44"/>
  <c r="AA130" i="44"/>
  <c r="U13" i="44"/>
  <c r="AA78" i="44"/>
  <c r="U48" i="44"/>
  <c r="AB597" i="44"/>
  <c r="U68" i="44"/>
  <c r="AA630" i="44"/>
  <c r="AB584" i="44"/>
  <c r="Z599" i="44"/>
  <c r="T16" i="44"/>
  <c r="AC588" i="44"/>
  <c r="AA468" i="44"/>
  <c r="Z387" i="44"/>
  <c r="T425" i="44"/>
  <c r="AB630" i="44"/>
  <c r="U80" i="44"/>
  <c r="Z453" i="44"/>
  <c r="AA5" i="44"/>
  <c r="T426" i="44"/>
  <c r="T360" i="44"/>
  <c r="AA310" i="44"/>
  <c r="T115" i="44"/>
  <c r="T281" i="44"/>
  <c r="T370" i="44"/>
  <c r="Z119" i="44"/>
  <c r="Z271" i="44"/>
  <c r="Z632" i="44"/>
  <c r="AA277" i="44"/>
  <c r="AA381" i="44"/>
  <c r="AA333" i="44"/>
  <c r="T271" i="44"/>
  <c r="Z272" i="44"/>
  <c r="AA289" i="44"/>
  <c r="T200" i="44"/>
  <c r="T270" i="44"/>
  <c r="Z423" i="44"/>
  <c r="Z269" i="44"/>
  <c r="Z315" i="44"/>
  <c r="T316" i="44"/>
  <c r="AA272" i="44"/>
  <c r="AA575" i="44"/>
  <c r="Z270" i="44"/>
  <c r="Z273" i="44"/>
  <c r="AA595" i="44"/>
  <c r="T326" i="44"/>
  <c r="U280" i="44"/>
  <c r="Z325" i="44"/>
  <c r="Z292" i="44"/>
  <c r="AA282" i="44"/>
  <c r="Z281" i="44"/>
  <c r="Z302" i="44"/>
  <c r="AA316" i="44"/>
  <c r="U291" i="44"/>
  <c r="T410" i="44"/>
  <c r="Z283" i="44"/>
  <c r="T283" i="44"/>
  <c r="T306" i="44"/>
  <c r="AA496" i="44"/>
  <c r="T284" i="44"/>
  <c r="T280" i="44"/>
  <c r="T325" i="44"/>
  <c r="Z317" i="44"/>
  <c r="Z284" i="44"/>
  <c r="U303" i="44"/>
  <c r="AA281" i="44"/>
  <c r="U284" i="44"/>
  <c r="U316" i="44"/>
  <c r="T328" i="44"/>
  <c r="T303" i="44"/>
  <c r="U269" i="44"/>
  <c r="T282" i="44"/>
  <c r="AB617" i="44"/>
  <c r="U476" i="44"/>
  <c r="U423" i="44"/>
  <c r="AA371" i="44"/>
  <c r="Z29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SAF</author>
  </authors>
  <commentList>
    <comment ref="M5" authorId="0" shapeId="0" xr:uid="{00000000-0006-0000-0200-000001000000}">
      <text>
        <r>
          <rPr>
            <sz val="9"/>
            <color indexed="81"/>
            <rFont val="Tahoma"/>
            <family val="2"/>
          </rPr>
          <t>Sprint Hurdles
70mH U13G
75mH U13B
75mH U15G
80mH U15B</t>
        </r>
      </text>
    </comment>
    <comment ref="M6" authorId="0" shapeId="0" xr:uid="{00000000-0006-0000-0200-000002000000}">
      <text>
        <r>
          <rPr>
            <sz val="9"/>
            <color indexed="81"/>
            <rFont val="Tahoma"/>
            <family val="2"/>
          </rPr>
          <t>150m U13G
200m U13B
200m U15G
200m U15B</t>
        </r>
      </text>
    </comment>
    <comment ref="M7" authorId="0" shapeId="0" xr:uid="{00000000-0006-0000-0200-000003000000}">
      <text>
        <r>
          <rPr>
            <sz val="9"/>
            <color indexed="81"/>
            <rFont val="Tahoma"/>
            <family val="2"/>
          </rPr>
          <t xml:space="preserve">Match
75m U13G
100m U13B
100m U15G
100m U15B
</t>
        </r>
      </text>
    </comment>
    <comment ref="M8" authorId="0" shapeId="0" xr:uid="{00000000-0006-0000-0200-000004000000}">
      <text>
        <r>
          <rPr>
            <sz val="9"/>
            <color indexed="81"/>
            <rFont val="Tahoma"/>
            <family val="2"/>
          </rPr>
          <t xml:space="preserve">Non Scoring
75m U13G
100m U13B
100m U15G
100m U15B
</t>
        </r>
      </text>
    </comment>
    <comment ref="M9" authorId="0" shapeId="0" xr:uid="{00000000-0006-0000-0200-000005000000}">
      <text>
        <r>
          <rPr>
            <sz val="9"/>
            <color indexed="81"/>
            <rFont val="Tahoma"/>
            <family val="2"/>
          </rPr>
          <t xml:space="preserve">300m U15G
300m U15B
800m U13G
800m U13B
</t>
        </r>
      </text>
    </comment>
    <comment ref="M10" authorId="0" shapeId="0" xr:uid="{00000000-0006-0000-0200-000006000000}">
      <text>
        <r>
          <rPr>
            <sz val="9"/>
            <color indexed="81"/>
            <rFont val="Tahoma"/>
            <family val="2"/>
          </rPr>
          <t>800m U15G
800m U15B
800m U13G NS
800m U13B ND</t>
        </r>
      </text>
    </comment>
    <comment ref="M11" authorId="0" shapeId="0" xr:uid="{00000000-0006-0000-0200-000007000000}">
      <text>
        <r>
          <rPr>
            <sz val="9"/>
            <color indexed="81"/>
            <rFont val="Tahoma"/>
            <family val="2"/>
          </rPr>
          <t xml:space="preserve">800m U15G NS
800m U15B NS
</t>
        </r>
      </text>
    </comment>
    <comment ref="M13" authorId="0" shapeId="0" xr:uid="{00000000-0006-0000-0200-000008000000}">
      <text>
        <r>
          <rPr>
            <sz val="9"/>
            <color indexed="81"/>
            <rFont val="Tahoma"/>
            <family val="2"/>
          </rPr>
          <t>1200m U13G
1500m U13B
1500m U15G
1500m U15B</t>
        </r>
      </text>
    </comment>
    <comment ref="M15" authorId="0" shapeId="0" xr:uid="{00000000-0006-0000-0200-000009000000}">
      <text>
        <r>
          <rPr>
            <sz val="9"/>
            <color indexed="81"/>
            <rFont val="Tahoma"/>
            <family val="2"/>
          </rPr>
          <t>4 x 100m Relays
U13 Girls
U13 Boys
U15 Girls
U15 Boys</t>
        </r>
      </text>
    </comment>
    <comment ref="M16" authorId="0" shapeId="0" xr:uid="{00000000-0006-0000-0200-00000A000000}">
      <text>
        <r>
          <rPr>
            <sz val="9"/>
            <color indexed="81"/>
            <rFont val="Tahoma"/>
            <family val="2"/>
          </rPr>
          <t>4 x 300m Relays
U15 Girls
U15 Boys</t>
        </r>
      </text>
    </comment>
    <comment ref="M18" authorId="0" shapeId="0" xr:uid="{00000000-0006-0000-0200-00000B000000}">
      <text>
        <r>
          <rPr>
            <sz val="9"/>
            <color indexed="81"/>
            <rFont val="Tahoma"/>
            <family val="2"/>
          </rPr>
          <t xml:space="preserve">Hammer U15B
Hammer U15G
Shot U13G
Discus U15B
</t>
        </r>
      </text>
    </comment>
    <comment ref="M19" authorId="0" shapeId="0" xr:uid="{00000000-0006-0000-0200-00000C000000}">
      <text>
        <r>
          <rPr>
            <sz val="9"/>
            <color indexed="81"/>
            <rFont val="Tahoma"/>
            <family val="2"/>
          </rPr>
          <t xml:space="preserve">Discus U15G
Shot U15B
Javelin U15B
Javelin U15G
</t>
        </r>
      </text>
    </comment>
    <comment ref="M20" authorId="0" shapeId="0" xr:uid="{00000000-0006-0000-0200-00000D000000}">
      <text>
        <r>
          <rPr>
            <sz val="9"/>
            <color indexed="81"/>
            <rFont val="Tahoma"/>
            <family val="2"/>
          </rPr>
          <t xml:space="preserve">Shot U13B
Javelin U13B
Shot U15G
Javelin U13G
</t>
        </r>
      </text>
    </comment>
    <comment ref="M21" authorId="0" shapeId="0" xr:uid="{00000000-0006-0000-0200-00000E000000}">
      <text>
        <r>
          <rPr>
            <sz val="9"/>
            <color indexed="81"/>
            <rFont val="Tahoma"/>
            <family val="2"/>
          </rPr>
          <t xml:space="preserve">Long Jump U13B
Long Jump U15G
Long Jump U13G
Long Jump U15B
</t>
        </r>
      </text>
    </comment>
    <comment ref="M22" authorId="0" shapeId="0" xr:uid="{00000000-0006-0000-0200-00000F000000}">
      <text>
        <r>
          <rPr>
            <sz val="9"/>
            <color indexed="81"/>
            <rFont val="Tahoma"/>
            <family val="2"/>
          </rPr>
          <t xml:space="preserve">High Jump U15G
High Jump U13B
High Jump U13G
Pole Vault U15B
</t>
        </r>
      </text>
    </comment>
    <comment ref="M23" authorId="0" shapeId="0" xr:uid="{00000000-0006-0000-0200-000010000000}">
      <text>
        <r>
          <rPr>
            <sz val="9"/>
            <color indexed="81"/>
            <rFont val="Tahoma"/>
            <family val="2"/>
          </rPr>
          <t xml:space="preserve">Pole Vault U15G
High Jump U15B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freshedVersion="0" deleted="1" background="1" saveData="1">
    <webPr htmlTables="1" htmlFormat="all"/>
  </connection>
  <connection id="2" xr16:uid="{00000000-0015-0000-FFFF-FFFF01000000}" name="Connection1" type="4" refreshedVersion="0" deleted="1" background="1" saveData="1">
    <webPr htmlTables="1" htmlFormat="all"/>
  </connection>
</connections>
</file>

<file path=xl/sharedStrings.xml><?xml version="1.0" encoding="utf-8"?>
<sst xmlns="http://schemas.openxmlformats.org/spreadsheetml/2006/main" count="12211" uniqueCount="2270">
  <si>
    <t>Time</t>
  </si>
  <si>
    <t>Event</t>
  </si>
  <si>
    <t>M/F</t>
  </si>
  <si>
    <t>70m Hurdles</t>
  </si>
  <si>
    <t>U13 Girls</t>
  </si>
  <si>
    <t>75m Hurdles</t>
  </si>
  <si>
    <t>U13 Boys</t>
  </si>
  <si>
    <t>U15 Girls</t>
  </si>
  <si>
    <t>80m Hurdles</t>
  </si>
  <si>
    <t>U15 Boys</t>
  </si>
  <si>
    <t>150m</t>
  </si>
  <si>
    <t>200m</t>
  </si>
  <si>
    <t>800m</t>
  </si>
  <si>
    <t>800m NS</t>
  </si>
  <si>
    <t>75m</t>
  </si>
  <si>
    <t>75m NS</t>
  </si>
  <si>
    <t>100m</t>
  </si>
  <si>
    <t>100m NS</t>
  </si>
  <si>
    <t>300m</t>
  </si>
  <si>
    <t>1200m</t>
  </si>
  <si>
    <t>1500m</t>
  </si>
  <si>
    <t>Hammer</t>
  </si>
  <si>
    <t>Long Jump</t>
  </si>
  <si>
    <t>High Jump</t>
  </si>
  <si>
    <t>Shot</t>
  </si>
  <si>
    <t>Discus</t>
  </si>
  <si>
    <t xml:space="preserve">U15 Boys </t>
  </si>
  <si>
    <t>Pole Vault</t>
  </si>
  <si>
    <t>Javelin</t>
  </si>
  <si>
    <t>LAG_NP</t>
  </si>
  <si>
    <t>LAG_P</t>
  </si>
  <si>
    <t>Triple Jump</t>
  </si>
  <si>
    <t>LT01</t>
  </si>
  <si>
    <t>LT02</t>
  </si>
  <si>
    <t>LT03</t>
  </si>
  <si>
    <t>LT04</t>
  </si>
  <si>
    <t>LT05</t>
  </si>
  <si>
    <t>LT06</t>
  </si>
  <si>
    <t>LT07</t>
  </si>
  <si>
    <t>LT08</t>
  </si>
  <si>
    <t>LT09</t>
  </si>
  <si>
    <t>LT10</t>
  </si>
  <si>
    <t>LT11</t>
  </si>
  <si>
    <t>LT12</t>
  </si>
  <si>
    <t>LT13</t>
  </si>
  <si>
    <t>LT14</t>
  </si>
  <si>
    <t>LT15</t>
  </si>
  <si>
    <t>LT16</t>
  </si>
  <si>
    <t>LT17</t>
  </si>
  <si>
    <t>Match 1</t>
  </si>
  <si>
    <t>Match 2</t>
  </si>
  <si>
    <t>Match 3</t>
  </si>
  <si>
    <t>Match 4</t>
  </si>
  <si>
    <t>A</t>
  </si>
  <si>
    <t>B</t>
  </si>
  <si>
    <t>AAA</t>
  </si>
  <si>
    <t>Under 15 Girls</t>
  </si>
  <si>
    <t>Indoor</t>
  </si>
  <si>
    <t>Under 13 Girls</t>
  </si>
  <si>
    <t>Under 15 Boys</t>
  </si>
  <si>
    <t>Under 13 Boys</t>
  </si>
  <si>
    <t>100 metres</t>
  </si>
  <si>
    <t>200 metres</t>
  </si>
  <si>
    <t>300 metres</t>
  </si>
  <si>
    <t>800 metres</t>
  </si>
  <si>
    <t>75 metres</t>
  </si>
  <si>
    <t>150 metres</t>
  </si>
  <si>
    <t>600 metres</t>
  </si>
  <si>
    <t>1200 metres</t>
  </si>
  <si>
    <t>1500 metres</t>
  </si>
  <si>
    <t>400 metres</t>
  </si>
  <si>
    <t>1,500 metres</t>
  </si>
  <si>
    <t>60 metres</t>
  </si>
  <si>
    <t>60 metres Hurdles</t>
  </si>
  <si>
    <t>3,000 metres Walk</t>
  </si>
  <si>
    <t>2,500 metres Walk</t>
  </si>
  <si>
    <t>3,000 metres</t>
  </si>
  <si>
    <t>75 metres Hurdles</t>
  </si>
  <si>
    <t>Pentathlon</t>
  </si>
  <si>
    <t>70 metres Hurdles</t>
  </si>
  <si>
    <t>Shot (2.72K)</t>
  </si>
  <si>
    <t>2,000 metres Walk</t>
  </si>
  <si>
    <t>80 metres Hurdles</t>
  </si>
  <si>
    <t>1 Mile</t>
  </si>
  <si>
    <t>Javelin (500g)</t>
  </si>
  <si>
    <t>Shot (3K)</t>
  </si>
  <si>
    <t>8.25*</t>
  </si>
  <si>
    <t>4 x 100m</t>
  </si>
  <si>
    <t>4 x 300m</t>
  </si>
  <si>
    <t>Row #</t>
  </si>
  <si>
    <t>Event ID</t>
  </si>
  <si>
    <t>EventID</t>
  </si>
  <si>
    <t>clubname</t>
  </si>
  <si>
    <t>AW_abbr</t>
  </si>
  <si>
    <t>level</t>
  </si>
  <si>
    <t>Region</t>
  </si>
  <si>
    <t>division</t>
  </si>
  <si>
    <t>LOWER</t>
  </si>
  <si>
    <t>Chesterfield &amp; District AC</t>
  </si>
  <si>
    <t>North</t>
  </si>
  <si>
    <t>City of Sheffield &amp; Dearne AC</t>
  </si>
  <si>
    <t>Gateshead Harriers</t>
  </si>
  <si>
    <t>Liverpool Harriers</t>
  </si>
  <si>
    <t>Preston Harriers</t>
  </si>
  <si>
    <t>Kingston upon Hull AC</t>
  </si>
  <si>
    <t>Leeds City AC</t>
  </si>
  <si>
    <t>Rotherham Harriers</t>
  </si>
  <si>
    <t>West Cheshire AC</t>
  </si>
  <si>
    <t>Wirral AC</t>
  </si>
  <si>
    <t>East 1</t>
  </si>
  <si>
    <t>Doncaster AC</t>
  </si>
  <si>
    <t>Hallamshire Harriers</t>
  </si>
  <si>
    <t>City of York AC</t>
  </si>
  <si>
    <t>East 2</t>
  </si>
  <si>
    <t>Lincoln Wellington AC</t>
  </si>
  <si>
    <t>Scunthorpe &amp; District AC</t>
  </si>
  <si>
    <t>Spenborough &amp; District AC</t>
  </si>
  <si>
    <t>West 1</t>
  </si>
  <si>
    <t>Crewe &amp; Nantwich AC</t>
  </si>
  <si>
    <t>Trafford AC</t>
  </si>
  <si>
    <t>West 2</t>
  </si>
  <si>
    <t>Horwich RMI Harriers</t>
  </si>
  <si>
    <t>Leigh Harriers</t>
  </si>
  <si>
    <t>Warrington AC</t>
  </si>
  <si>
    <t>Blackpool Wyre &amp; Fylde AC</t>
  </si>
  <si>
    <t>Bury AC</t>
  </si>
  <si>
    <t>Southport Waterloo AC</t>
  </si>
  <si>
    <t>Altrincham &amp; District AC</t>
  </si>
  <si>
    <t>Hyndburn AC</t>
  </si>
  <si>
    <t>Salford Metropolitan AC</t>
  </si>
  <si>
    <t>Level</t>
  </si>
  <si>
    <t>Match</t>
  </si>
  <si>
    <t>Number of Teams</t>
  </si>
  <si>
    <t>Date</t>
  </si>
  <si>
    <t>Venue</t>
  </si>
  <si>
    <t>Host Club</t>
  </si>
  <si>
    <t>Team Name</t>
  </si>
  <si>
    <t>Abbrev.</t>
  </si>
  <si>
    <t>I</t>
  </si>
  <si>
    <t>No. of Teams</t>
  </si>
  <si>
    <t>Start Letter</t>
  </si>
  <si>
    <t>Column #</t>
  </si>
  <si>
    <t>Q</t>
  </si>
  <si>
    <t>Y</t>
  </si>
  <si>
    <t>AG</t>
  </si>
  <si>
    <t>AP</t>
  </si>
  <si>
    <t>AW</t>
  </si>
  <si>
    <t>BD</t>
  </si>
  <si>
    <t>BK</t>
  </si>
  <si>
    <t>BS</t>
  </si>
  <si>
    <t>BY</t>
  </si>
  <si>
    <t>CE</t>
  </si>
  <si>
    <t>CK</t>
  </si>
  <si>
    <t>CR</t>
  </si>
  <si>
    <t>CW</t>
  </si>
  <si>
    <t>DB</t>
  </si>
  <si>
    <t>DG</t>
  </si>
  <si>
    <t>ID</t>
  </si>
  <si>
    <t>Lane Draws Start</t>
  </si>
  <si>
    <t>Bib</t>
  </si>
  <si>
    <t xml:space="preserve">DATE </t>
  </si>
  <si>
    <t>EVENT</t>
  </si>
  <si>
    <t>TIME</t>
  </si>
  <si>
    <t>Order</t>
  </si>
  <si>
    <t>No</t>
  </si>
  <si>
    <t>NAME</t>
  </si>
  <si>
    <t>CLUB</t>
  </si>
  <si>
    <t>1st Trial</t>
  </si>
  <si>
    <t>2nd Trial</t>
  </si>
  <si>
    <t>3rd Trial</t>
  </si>
  <si>
    <t>Best of 3</t>
  </si>
  <si>
    <t>Position after
3 Trials</t>
  </si>
  <si>
    <t>4th Trial</t>
  </si>
  <si>
    <t>5th Trial</t>
  </si>
  <si>
    <t>6th Trial</t>
  </si>
  <si>
    <t>Best of All</t>
  </si>
  <si>
    <t>Final
Positionn</t>
  </si>
  <si>
    <t>A or B</t>
  </si>
  <si>
    <t>Metres</t>
  </si>
  <si>
    <t/>
  </si>
  <si>
    <t>"A STRING" RESULT</t>
  </si>
  <si>
    <t>"B STRING" RESULT</t>
  </si>
  <si>
    <t>JUDGES' SIGNATURES</t>
  </si>
  <si>
    <t>No.</t>
  </si>
  <si>
    <t>DISTANCE</t>
  </si>
  <si>
    <t>REFEREE'S SIGNATURE</t>
  </si>
  <si>
    <t>YDL: DISTANCE CARD</t>
  </si>
  <si>
    <t>REGION/DIVISION</t>
  </si>
  <si>
    <t>LEAD</t>
  </si>
  <si>
    <t>Premier Match</t>
  </si>
  <si>
    <t>@ Middlesbrough</t>
  </si>
  <si>
    <t>@ Leigh</t>
  </si>
  <si>
    <t>@ Trafford</t>
  </si>
  <si>
    <t>@ Warrington</t>
  </si>
  <si>
    <t>@ York</t>
  </si>
  <si>
    <t>@ Scunthorpe</t>
  </si>
  <si>
    <t>Lancaster &amp; Morecambe AC</t>
  </si>
  <si>
    <t>West 3S</t>
  </si>
  <si>
    <t>West 3N</t>
  </si>
  <si>
    <t>@ Doncaster</t>
  </si>
  <si>
    <t>NORTH</t>
  </si>
  <si>
    <r>
      <t>VENUE</t>
    </r>
    <r>
      <rPr>
        <sz val="9"/>
        <rFont val="Trebuchet MS"/>
        <family val="2"/>
      </rPr>
      <t xml:space="preserve"> </t>
    </r>
  </si>
  <si>
    <t>Record</t>
  </si>
  <si>
    <t>Windsor Slough Eton &amp; Hounslow</t>
  </si>
  <si>
    <t>Rec</t>
  </si>
  <si>
    <t>5 teams</t>
  </si>
  <si>
    <t>6 teams</t>
  </si>
  <si>
    <t>7 teams</t>
  </si>
  <si>
    <t>8 teams</t>
  </si>
  <si>
    <t>Z</t>
  </si>
  <si>
    <t>AA</t>
  </si>
  <si>
    <t>AB</t>
  </si>
  <si>
    <t>T</t>
  </si>
  <si>
    <t>U</t>
  </si>
  <si>
    <t>V</t>
  </si>
  <si>
    <t>W</t>
  </si>
  <si>
    <t>O</t>
  </si>
  <si>
    <t>P</t>
  </si>
  <si>
    <t>R</t>
  </si>
  <si>
    <t>J</t>
  </si>
  <si>
    <t>K</t>
  </si>
  <si>
    <t>L</t>
  </si>
  <si>
    <t>M</t>
  </si>
  <si>
    <t>E</t>
  </si>
  <si>
    <t>F</t>
  </si>
  <si>
    <t>G</t>
  </si>
  <si>
    <t>H</t>
  </si>
  <si>
    <t>Athlete</t>
  </si>
  <si>
    <t>Club</t>
  </si>
  <si>
    <t>Perf</t>
  </si>
  <si>
    <t>Posn</t>
  </si>
  <si>
    <t>LFD01</t>
  </si>
  <si>
    <t>LFD02</t>
  </si>
  <si>
    <t>LFH01</t>
  </si>
  <si>
    <t>LFH02</t>
  </si>
  <si>
    <t>LFD05</t>
  </si>
  <si>
    <t>LFD03</t>
  </si>
  <si>
    <t>LFD04</t>
  </si>
  <si>
    <t>LFH03</t>
  </si>
  <si>
    <t>LFH04</t>
  </si>
  <si>
    <t>LFH05</t>
  </si>
  <si>
    <t>LFH06</t>
  </si>
  <si>
    <t>LFD06</t>
  </si>
  <si>
    <t>LFD07</t>
  </si>
  <si>
    <t>LFD08</t>
  </si>
  <si>
    <t>LFD09</t>
  </si>
  <si>
    <t>LFD10</t>
  </si>
  <si>
    <t>LFD11</t>
  </si>
  <si>
    <t>LFD12</t>
  </si>
  <si>
    <t>1=</t>
  </si>
  <si>
    <t>1==</t>
  </si>
  <si>
    <t>1===</t>
  </si>
  <si>
    <t>1====</t>
  </si>
  <si>
    <t>Points</t>
  </si>
  <si>
    <t>Field</t>
  </si>
  <si>
    <t>Total</t>
  </si>
  <si>
    <t>FD01</t>
  </si>
  <si>
    <t>FD02</t>
  </si>
  <si>
    <t>FD03</t>
  </si>
  <si>
    <t>Wind</t>
  </si>
  <si>
    <t>FD04</t>
  </si>
  <si>
    <t>FD05</t>
  </si>
  <si>
    <t>FD06</t>
  </si>
  <si>
    <t>FD07</t>
  </si>
  <si>
    <t>FD08</t>
  </si>
  <si>
    <t>FD09</t>
  </si>
  <si>
    <t>FD10</t>
  </si>
  <si>
    <t>FD11</t>
  </si>
  <si>
    <t>FD12</t>
  </si>
  <si>
    <t>FD13</t>
  </si>
  <si>
    <t>FD14</t>
  </si>
  <si>
    <t>FD15</t>
  </si>
  <si>
    <t>FD16</t>
  </si>
  <si>
    <t>2=</t>
  </si>
  <si>
    <t>2==</t>
  </si>
  <si>
    <t>2===</t>
  </si>
  <si>
    <t>3=</t>
  </si>
  <si>
    <t>3==</t>
  </si>
  <si>
    <t>4=</t>
  </si>
  <si>
    <t>1=====</t>
  </si>
  <si>
    <t>2====</t>
  </si>
  <si>
    <t>3===</t>
  </si>
  <si>
    <t>4==</t>
  </si>
  <si>
    <t>5=</t>
  </si>
  <si>
    <t>1======</t>
  </si>
  <si>
    <t>2=====</t>
  </si>
  <si>
    <t>3====</t>
  </si>
  <si>
    <t>4===</t>
  </si>
  <si>
    <t>5==</t>
  </si>
  <si>
    <t>6=</t>
  </si>
  <si>
    <t>6==</t>
  </si>
  <si>
    <t>7=</t>
  </si>
  <si>
    <t>1=======</t>
  </si>
  <si>
    <t>2======</t>
  </si>
  <si>
    <t>3=====</t>
  </si>
  <si>
    <t>4====</t>
  </si>
  <si>
    <t>5===</t>
  </si>
  <si>
    <t>LFW01</t>
  </si>
  <si>
    <t>LFW02</t>
  </si>
  <si>
    <t>LFW03</t>
  </si>
  <si>
    <t>LFW04</t>
  </si>
  <si>
    <t>FW01</t>
  </si>
  <si>
    <t>FW02</t>
  </si>
  <si>
    <t>FW03</t>
  </si>
  <si>
    <t>FW04</t>
  </si>
  <si>
    <t>FW05</t>
  </si>
  <si>
    <t>FW06</t>
  </si>
  <si>
    <t>FW07</t>
  </si>
  <si>
    <t>FW08</t>
  </si>
  <si>
    <t>LTD01</t>
  </si>
  <si>
    <t>LTD02</t>
  </si>
  <si>
    <t>LTD03</t>
  </si>
  <si>
    <t>LTD04</t>
  </si>
  <si>
    <t>LTDR1</t>
  </si>
  <si>
    <t>LTDR2</t>
  </si>
  <si>
    <t>LTR1</t>
  </si>
  <si>
    <t>LTR2</t>
  </si>
  <si>
    <t>LTR3</t>
  </si>
  <si>
    <t>LTR4</t>
  </si>
  <si>
    <t>Best of
All</t>
  </si>
  <si>
    <t>Trials at
Ht Cleared</t>
  </si>
  <si>
    <t>Total 
Failures</t>
  </si>
  <si>
    <t>Tie</t>
  </si>
  <si>
    <t>HEIGHT</t>
  </si>
  <si>
    <t>YDL: HEIGHT CARD</t>
  </si>
  <si>
    <t>FH01</t>
  </si>
  <si>
    <t>FH02</t>
  </si>
  <si>
    <t>FH03</t>
  </si>
  <si>
    <t>FH04</t>
  </si>
  <si>
    <t>FH05</t>
  </si>
  <si>
    <t>FH06</t>
  </si>
  <si>
    <t>FH07</t>
  </si>
  <si>
    <t>FH08</t>
  </si>
  <si>
    <t>C</t>
  </si>
  <si>
    <t>S</t>
  </si>
  <si>
    <t>SOUTH</t>
  </si>
  <si>
    <t>Premier 1</t>
  </si>
  <si>
    <t>Bracknell AC</t>
  </si>
  <si>
    <t>Southampton AC</t>
  </si>
  <si>
    <t>Guildford &amp; Godalming AC</t>
  </si>
  <si>
    <t>Crawley AC</t>
  </si>
  <si>
    <t>Central 1</t>
  </si>
  <si>
    <t>Harrow AC</t>
  </si>
  <si>
    <t>Thames Valley Harriers</t>
  </si>
  <si>
    <t>Medway &amp; Maidstone AC</t>
  </si>
  <si>
    <t>Lewes AC</t>
  </si>
  <si>
    <t>Reading AC</t>
  </si>
  <si>
    <t>Tonbridge AC</t>
  </si>
  <si>
    <t>Bedford &amp; County AC</t>
  </si>
  <si>
    <t>Winchester &amp; District AC</t>
  </si>
  <si>
    <t>Woking AC</t>
  </si>
  <si>
    <t>Belgrave Harriers</t>
  </si>
  <si>
    <t>Hillingdon AC</t>
  </si>
  <si>
    <t>Dartford Harriers</t>
  </si>
  <si>
    <t>Hastings AC</t>
  </si>
  <si>
    <t>Bexley AC</t>
  </si>
  <si>
    <t>Premier 2</t>
  </si>
  <si>
    <t>Central 2</t>
  </si>
  <si>
    <t>Croydon Harriers</t>
  </si>
  <si>
    <t>Orion Harriers</t>
  </si>
  <si>
    <t>City of Portsmouth AC</t>
  </si>
  <si>
    <t>Havering AC</t>
  </si>
  <si>
    <t>Camberley &amp; District AC</t>
  </si>
  <si>
    <t>Horsham Blue Star Harriers</t>
  </si>
  <si>
    <t>Basildon AC</t>
  </si>
  <si>
    <t>Herne Hill Harriers</t>
  </si>
  <si>
    <t>Havant AC</t>
  </si>
  <si>
    <t>Walton AC</t>
  </si>
  <si>
    <t>Herts Phoenix AC</t>
  </si>
  <si>
    <t>Reigate Priory AC</t>
  </si>
  <si>
    <t>East Grinstead AC</t>
  </si>
  <si>
    <t>Medway Park Phoenix</t>
  </si>
  <si>
    <t>South</t>
  </si>
  <si>
    <t>Vale of Aylesbury AC</t>
  </si>
  <si>
    <t>Enfield &amp; Haringey AC</t>
  </si>
  <si>
    <t>Birchfield Harriers</t>
  </si>
  <si>
    <t>Charnwood AC</t>
  </si>
  <si>
    <t>Marshall Milton Keynes AC</t>
  </si>
  <si>
    <t>Rugby &amp; Northampton AC</t>
  </si>
  <si>
    <t>Solihull &amp; Small Heath AC</t>
  </si>
  <si>
    <t>Wolverhampton &amp; Bilston AC</t>
  </si>
  <si>
    <t>Cannock &amp; Stafford AC</t>
  </si>
  <si>
    <t>City of Stoke AC</t>
  </si>
  <si>
    <t>Coventry Godiva Harriers</t>
  </si>
  <si>
    <t>Leicester Coritanian AC</t>
  </si>
  <si>
    <t>Notts AC</t>
  </si>
  <si>
    <t>Royal Sutton Coldfield AC</t>
  </si>
  <si>
    <t>Burton AC</t>
  </si>
  <si>
    <t>Derby AC</t>
  </si>
  <si>
    <t>Bicester AC</t>
  </si>
  <si>
    <t>Saffron AC</t>
  </si>
  <si>
    <t>Bromsgrove &amp; Redditch AC</t>
  </si>
  <si>
    <t>Dudley &amp; Stourbridge Harriers</t>
  </si>
  <si>
    <t>Halesowen A &amp; CC</t>
  </si>
  <si>
    <t>Kidderminster &amp; Stourport AC</t>
  </si>
  <si>
    <t>Tamworth AC</t>
  </si>
  <si>
    <t>Telford AC</t>
  </si>
  <si>
    <t>Tipton Harriers</t>
  </si>
  <si>
    <t>Cardiff AAC</t>
  </si>
  <si>
    <t>Cheltenham &amp; County Harriers</t>
  </si>
  <si>
    <t>Yate &amp; District AC</t>
  </si>
  <si>
    <t>Cwmbran Harriers</t>
  </si>
  <si>
    <t>Gloucester AC</t>
  </si>
  <si>
    <t>North Devon AC</t>
  </si>
  <si>
    <t>Swindon Harriers</t>
  </si>
  <si>
    <t>Worcester AC</t>
  </si>
  <si>
    <t>Hereford &amp; County AC</t>
  </si>
  <si>
    <t>Neath Harriers</t>
  </si>
  <si>
    <t>Newport Harriers</t>
  </si>
  <si>
    <t>North Somerset AC</t>
  </si>
  <si>
    <t>Midland</t>
  </si>
  <si>
    <t>Premier North/East</t>
  </si>
  <si>
    <t>Premier South/West</t>
  </si>
  <si>
    <t>North/East 1B</t>
  </si>
  <si>
    <t>North/East 1C</t>
  </si>
  <si>
    <t>South/West 1B</t>
  </si>
  <si>
    <t>South/West 1A</t>
  </si>
  <si>
    <t>North/East 1A</t>
  </si>
  <si>
    <t>North/East 1D</t>
  </si>
  <si>
    <t>MIDLAND</t>
  </si>
  <si>
    <t>Lower</t>
  </si>
  <si>
    <t>Doncaster</t>
  </si>
  <si>
    <t>Birmingham</t>
  </si>
  <si>
    <t>Eton</t>
  </si>
  <si>
    <t>Basildon</t>
  </si>
  <si>
    <t>City of Sheffield</t>
  </si>
  <si>
    <t>Shot Put</t>
  </si>
  <si>
    <t>4 x 100 Relay</t>
  </si>
  <si>
    <t>Rugby</t>
  </si>
  <si>
    <t>Frankie Johnson</t>
  </si>
  <si>
    <t>Leeds</t>
  </si>
  <si>
    <t>Jake Norris</t>
  </si>
  <si>
    <t>Lee Valley</t>
  </si>
  <si>
    <t>Croydon</t>
  </si>
  <si>
    <t>Guildford</t>
  </si>
  <si>
    <t>Sale Harriers</t>
  </si>
  <si>
    <t>Preston</t>
  </si>
  <si>
    <t>Reading</t>
  </si>
  <si>
    <t>June 1st</t>
  </si>
  <si>
    <t>80mH</t>
  </si>
  <si>
    <t>Loughborough</t>
  </si>
  <si>
    <t>4 X 300 Relay</t>
  </si>
  <si>
    <t>Jona Efoloko</t>
  </si>
  <si>
    <t>May 31st</t>
  </si>
  <si>
    <t>Liverpool</t>
  </si>
  <si>
    <t>June 22nd</t>
  </si>
  <si>
    <t>Stoke</t>
  </si>
  <si>
    <t>Keelan Wilson</t>
  </si>
  <si>
    <t>Cleckheaton</t>
  </si>
  <si>
    <t>Mohamed Mohamud</t>
  </si>
  <si>
    <t>June 21st</t>
  </si>
  <si>
    <t>Sept 5th</t>
  </si>
  <si>
    <t>Patrick Sylla</t>
  </si>
  <si>
    <t>Bournemouth A.C.</t>
  </si>
  <si>
    <t>Kingston</t>
  </si>
  <si>
    <t>May 4th</t>
  </si>
  <si>
    <t>Thomas Hanson</t>
  </si>
  <si>
    <t>Alfie Scopes</t>
  </si>
  <si>
    <t>July 13th</t>
  </si>
  <si>
    <t>Max Law</t>
  </si>
  <si>
    <t>Hornchurch</t>
  </si>
  <si>
    <t>June 19th</t>
  </si>
  <si>
    <t>July 19th</t>
  </si>
  <si>
    <t>Kareem Jerome</t>
  </si>
  <si>
    <t>Abraham Fobil</t>
  </si>
  <si>
    <t>July 16th</t>
  </si>
  <si>
    <t>Jaden Kennedy</t>
  </si>
  <si>
    <t>75mH</t>
  </si>
  <si>
    <t>July 18th</t>
  </si>
  <si>
    <t>Sam Mace</t>
  </si>
  <si>
    <t>Walton A.C.</t>
  </si>
  <si>
    <t>Sutton</t>
  </si>
  <si>
    <t>Archie Goodliff</t>
  </si>
  <si>
    <t>Ashlyn Bland</t>
  </si>
  <si>
    <t>May 30th</t>
  </si>
  <si>
    <t>Tilly Simpson</t>
  </si>
  <si>
    <t>Rotherham</t>
  </si>
  <si>
    <t>Josie Czura</t>
  </si>
  <si>
    <t>C of Portsmouth</t>
  </si>
  <si>
    <t>Niamh McGuigan</t>
  </si>
  <si>
    <t>Uxbridge</t>
  </si>
  <si>
    <t>Amelia Bateman</t>
  </si>
  <si>
    <t>Hull</t>
  </si>
  <si>
    <t>Ore Adamson</t>
  </si>
  <si>
    <t>Tooting Bec</t>
  </si>
  <si>
    <t>Sophie Mace</t>
  </si>
  <si>
    <t>Phoebe Baggott</t>
  </si>
  <si>
    <t>Wolverhampton &amp; Bilston</t>
  </si>
  <si>
    <t>Telford</t>
  </si>
  <si>
    <t>Bethany Moule</t>
  </si>
  <si>
    <t>Gloucester</t>
  </si>
  <si>
    <t>Apr 23rd</t>
  </si>
  <si>
    <t>Alicia Regis</t>
  </si>
  <si>
    <t>Elizabeth Wilkinson</t>
  </si>
  <si>
    <t>Keeley Hodgkinson</t>
  </si>
  <si>
    <t>Litherland</t>
  </si>
  <si>
    <t>70mH</t>
  </si>
  <si>
    <t>Jade Curtis</t>
  </si>
  <si>
    <t>Ashford AC</t>
  </si>
  <si>
    <t>Lewes</t>
  </si>
  <si>
    <t>TR1</t>
  </si>
  <si>
    <t>TR2</t>
  </si>
  <si>
    <t>TR3</t>
  </si>
  <si>
    <t>TR4</t>
  </si>
  <si>
    <t>TDR1</t>
  </si>
  <si>
    <t>TDR2</t>
  </si>
  <si>
    <t>LTD81</t>
  </si>
  <si>
    <t>LTD82</t>
  </si>
  <si>
    <t>LTD83</t>
  </si>
  <si>
    <t>LTD84</t>
  </si>
  <si>
    <t>LTD85</t>
  </si>
  <si>
    <t>LTD86</t>
  </si>
  <si>
    <t>LTD87</t>
  </si>
  <si>
    <t>LTD88</t>
  </si>
  <si>
    <t>LT18</t>
  </si>
  <si>
    <t>D</t>
  </si>
  <si>
    <t>numbers_</t>
  </si>
  <si>
    <t>Abbrv.</t>
  </si>
  <si>
    <t>Track2</t>
  </si>
  <si>
    <t>Track1</t>
  </si>
  <si>
    <t>Notts Lincs Alliance ©</t>
  </si>
  <si>
    <t>South Wales ©</t>
  </si>
  <si>
    <t>Final
Position</t>
  </si>
  <si>
    <t>Relays</t>
  </si>
  <si>
    <t>Officials</t>
  </si>
  <si>
    <t>Steeplechase</t>
  </si>
  <si>
    <t>Sprint Hurdles</t>
  </si>
  <si>
    <t>Distance Hurdles</t>
  </si>
  <si>
    <t>Trple Jump</t>
  </si>
  <si>
    <t>4x100 Relay</t>
  </si>
  <si>
    <t>4x400 (300)</t>
  </si>
  <si>
    <t>300 / 400</t>
  </si>
  <si>
    <t>75 / 100</t>
  </si>
  <si>
    <t>150 / 200</t>
  </si>
  <si>
    <t>1200 / 1500</t>
  </si>
  <si>
    <t>75 / 100 NS</t>
  </si>
  <si>
    <t>800 NS</t>
  </si>
  <si>
    <t>N</t>
  </si>
  <si>
    <t>BA</t>
  </si>
  <si>
    <t>CA</t>
  </si>
  <si>
    <t>DA</t>
  </si>
  <si>
    <t>EA</t>
  </si>
  <si>
    <t>FA</t>
  </si>
  <si>
    <t>GA</t>
  </si>
  <si>
    <t>Declare Row</t>
  </si>
  <si>
    <t>U15 GIRLS</t>
  </si>
  <si>
    <t>U13 GIRLS</t>
  </si>
  <si>
    <t>U15 BOYS</t>
  </si>
  <si>
    <t>U13 BOYS</t>
  </si>
  <si>
    <t>Leg 1</t>
  </si>
  <si>
    <t>Leg 2</t>
  </si>
  <si>
    <t>Leg 3</t>
  </si>
  <si>
    <t>Leg 4</t>
  </si>
  <si>
    <t>League</t>
  </si>
  <si>
    <t>B/fwd L</t>
  </si>
  <si>
    <t>Total L</t>
  </si>
  <si>
    <t>TOTAL EVENTS</t>
  </si>
  <si>
    <t>EVENT SCORED</t>
  </si>
  <si>
    <t>REMAINING</t>
  </si>
  <si>
    <t>REGION</t>
  </si>
  <si>
    <t>LEVEL</t>
  </si>
  <si>
    <t>DIVISION</t>
  </si>
  <si>
    <t>MATCH</t>
  </si>
  <si>
    <t>SCOTLAND</t>
  </si>
  <si>
    <t>Division 1</t>
  </si>
  <si>
    <t>Division 2</t>
  </si>
  <si>
    <t>NE Division</t>
  </si>
  <si>
    <t>Central AC</t>
  </si>
  <si>
    <t>@ Grangemouth</t>
  </si>
  <si>
    <t>@ Aberdeen</t>
  </si>
  <si>
    <t>@ Inverness</t>
  </si>
  <si>
    <t>Team East Lothian</t>
  </si>
  <si>
    <t>Aberdeen AAC</t>
  </si>
  <si>
    <t>@ Rotherham</t>
  </si>
  <si>
    <t>@ Swindon</t>
  </si>
  <si>
    <t>@ Yate</t>
  </si>
  <si>
    <t>@ Derby</t>
  </si>
  <si>
    <t>LAGSC</t>
  </si>
  <si>
    <t>Dundee Hawkhill Harriers</t>
  </si>
  <si>
    <t>@ Bracknell</t>
  </si>
  <si>
    <t>@ Norman Park</t>
  </si>
  <si>
    <t>@ Linford Christie Stadium</t>
  </si>
  <si>
    <t>@ Medway Park</t>
  </si>
  <si>
    <t>@ Lewes</t>
  </si>
  <si>
    <t>@ Winchester</t>
  </si>
  <si>
    <t>@ Battersea Park</t>
  </si>
  <si>
    <t>@ Milton Keynes</t>
  </si>
  <si>
    <t>@ Stoke</t>
  </si>
  <si>
    <t>@ Hereford</t>
  </si>
  <si>
    <t>Team Declarations</t>
  </si>
  <si>
    <t>Distance</t>
  </si>
  <si>
    <t>Go To</t>
  </si>
  <si>
    <t>Scored</t>
  </si>
  <si>
    <t>East Cheshire H &amp; Tameside AC</t>
  </si>
  <si>
    <t>Middlesbrough AC (Mandale)</t>
  </si>
  <si>
    <t>Team Dorset ©</t>
  </si>
  <si>
    <t>Forest of Dean AC</t>
  </si>
  <si>
    <t>Rhymney Valley AC</t>
  </si>
  <si>
    <t>Scotland</t>
  </si>
  <si>
    <t>Edinburgh AC</t>
  </si>
  <si>
    <t>Pitreavie AAC</t>
  </si>
  <si>
    <t>Kilbarchan AAC</t>
  </si>
  <si>
    <t>Shettleston Harriers</t>
  </si>
  <si>
    <t>Banchory Stonehaven AC</t>
  </si>
  <si>
    <t>Island Select ©</t>
  </si>
  <si>
    <t>South Lanarkshire ©</t>
  </si>
  <si>
    <t>Team IOM Youth ©</t>
  </si>
  <si>
    <t>Team North Cumbria ©</t>
  </si>
  <si>
    <t>LAGNO</t>
  </si>
  <si>
    <t>LAGSO</t>
  </si>
  <si>
    <t>LAGMI</t>
  </si>
  <si>
    <t>Gate</t>
  </si>
  <si>
    <t>Leeds C</t>
  </si>
  <si>
    <t>Liv H</t>
  </si>
  <si>
    <t>W Ches</t>
  </si>
  <si>
    <t>C'field</t>
  </si>
  <si>
    <t>C&amp;N</t>
  </si>
  <si>
    <t>M'bro</t>
  </si>
  <si>
    <t>Wirr</t>
  </si>
  <si>
    <t>L&amp;M</t>
  </si>
  <si>
    <t>Bolt</t>
  </si>
  <si>
    <t>Macc</t>
  </si>
  <si>
    <t>Alt</t>
  </si>
  <si>
    <t>Dees</t>
  </si>
  <si>
    <t>Manc H</t>
  </si>
  <si>
    <t>O&amp;R</t>
  </si>
  <si>
    <t>SHS</t>
  </si>
  <si>
    <t>Warr</t>
  </si>
  <si>
    <t>Wrex</t>
  </si>
  <si>
    <t>BWF</t>
  </si>
  <si>
    <t>Bord H</t>
  </si>
  <si>
    <t>Chor ATC</t>
  </si>
  <si>
    <t>Horw</t>
  </si>
  <si>
    <t>Hynd</t>
  </si>
  <si>
    <t>Salf M</t>
  </si>
  <si>
    <t>S'port W</t>
  </si>
  <si>
    <t>York</t>
  </si>
  <si>
    <t>Donc</t>
  </si>
  <si>
    <t>Hallam</t>
  </si>
  <si>
    <t>KuH</t>
  </si>
  <si>
    <t>Roth</t>
  </si>
  <si>
    <t>Bing</t>
  </si>
  <si>
    <t>Linc W</t>
  </si>
  <si>
    <t>Scun</t>
  </si>
  <si>
    <t>Spen</t>
  </si>
  <si>
    <t>Prest</t>
  </si>
  <si>
    <t>AFD</t>
  </si>
  <si>
    <t>Bas</t>
  </si>
  <si>
    <t>Belg</t>
  </si>
  <si>
    <t>Bex</t>
  </si>
  <si>
    <t>Bic</t>
  </si>
  <si>
    <t>Bir</t>
  </si>
  <si>
    <t>A'deen</t>
  </si>
  <si>
    <t>Arb</t>
  </si>
  <si>
    <t>Ayr S</t>
  </si>
  <si>
    <t>Banc</t>
  </si>
  <si>
    <t>Centr</t>
  </si>
  <si>
    <t>Dund H</t>
  </si>
  <si>
    <t>Edin</t>
  </si>
  <si>
    <t>Giff N</t>
  </si>
  <si>
    <t>I'ness</t>
  </si>
  <si>
    <t>Island</t>
  </si>
  <si>
    <t>Kilb</t>
  </si>
  <si>
    <t>Kil'k</t>
  </si>
  <si>
    <t>Lass</t>
  </si>
  <si>
    <t>Mont/Perth</t>
  </si>
  <si>
    <t>Pit</t>
  </si>
  <si>
    <t>Shett</t>
  </si>
  <si>
    <t>S Lan</t>
  </si>
  <si>
    <t>WSEH</t>
  </si>
  <si>
    <t>Victoria Park City of Glasgow AC</t>
  </si>
  <si>
    <t>Lnk to T'table</t>
  </si>
  <si>
    <t>Locn on Results</t>
  </si>
  <si>
    <t>A:A</t>
  </si>
  <si>
    <t>h:h</t>
  </si>
  <si>
    <t>o:o</t>
  </si>
  <si>
    <t>i:i</t>
  </si>
  <si>
    <t>q:q</t>
  </si>
  <si>
    <t>a:a</t>
  </si>
  <si>
    <t>Input Results</t>
  </si>
  <si>
    <t>Field Timetable Rows</t>
  </si>
  <si>
    <t>Dist1</t>
  </si>
  <si>
    <t>Macro</t>
  </si>
  <si>
    <t>Dist2</t>
  </si>
  <si>
    <t>Dist3</t>
  </si>
  <si>
    <t>Height1</t>
  </si>
  <si>
    <t>Dist4</t>
  </si>
  <si>
    <t>Dist5</t>
  </si>
  <si>
    <t>Dist6</t>
  </si>
  <si>
    <t>Height2</t>
  </si>
  <si>
    <t>Height3</t>
  </si>
  <si>
    <t>Height4</t>
  </si>
  <si>
    <t>Height5</t>
  </si>
  <si>
    <t>Dist7</t>
  </si>
  <si>
    <t>Dist8</t>
  </si>
  <si>
    <t>Dist9</t>
  </si>
  <si>
    <t>Dist10</t>
  </si>
  <si>
    <t>Dist11</t>
  </si>
  <si>
    <t>Dist12</t>
  </si>
  <si>
    <t>Dist17</t>
  </si>
  <si>
    <t>Dist18</t>
  </si>
  <si>
    <t>Dist19</t>
  </si>
  <si>
    <t>Dist20</t>
  </si>
  <si>
    <t>Height6</t>
  </si>
  <si>
    <t>B&amp;B</t>
  </si>
  <si>
    <t>Blae G</t>
  </si>
  <si>
    <t>Brack</t>
  </si>
  <si>
    <t>B&amp;H</t>
  </si>
  <si>
    <t>B&amp;R</t>
  </si>
  <si>
    <t>Burt</t>
  </si>
  <si>
    <t>C'ley</t>
  </si>
  <si>
    <t>Camb H</t>
  </si>
  <si>
    <t>C&amp;S</t>
  </si>
  <si>
    <t>Card</t>
  </si>
  <si>
    <t>Charn</t>
  </si>
  <si>
    <t>Chelt</t>
  </si>
  <si>
    <t>Chilt</t>
  </si>
  <si>
    <t>Ports</t>
  </si>
  <si>
    <t>Cov G</t>
  </si>
  <si>
    <t>Craw</t>
  </si>
  <si>
    <t>Croy</t>
  </si>
  <si>
    <t>Cwmb</t>
  </si>
  <si>
    <t>Dartf</t>
  </si>
  <si>
    <t>Dav</t>
  </si>
  <si>
    <t>D&amp;S</t>
  </si>
  <si>
    <t>E Grin</t>
  </si>
  <si>
    <t>Glouc</t>
  </si>
  <si>
    <t>G&amp;G</t>
  </si>
  <si>
    <t>Hales</t>
  </si>
  <si>
    <t>Harrow</t>
  </si>
  <si>
    <t>Hast</t>
  </si>
  <si>
    <t>Havant</t>
  </si>
  <si>
    <t>Have</t>
  </si>
  <si>
    <t>Here</t>
  </si>
  <si>
    <t>Herts P</t>
  </si>
  <si>
    <t>Holl S</t>
  </si>
  <si>
    <t>Horsh BS</t>
  </si>
  <si>
    <t>K&amp;S</t>
  </si>
  <si>
    <t>Leam</t>
  </si>
  <si>
    <t>Leic</t>
  </si>
  <si>
    <t>Leigh</t>
  </si>
  <si>
    <t>Mans</t>
  </si>
  <si>
    <t>M&amp;M</t>
  </si>
  <si>
    <t>Med PP</t>
  </si>
  <si>
    <t>Menai</t>
  </si>
  <si>
    <t>Neath</t>
  </si>
  <si>
    <t>NEB</t>
  </si>
  <si>
    <t>Newp</t>
  </si>
  <si>
    <t>N Dev</t>
  </si>
  <si>
    <t>N Som</t>
  </si>
  <si>
    <t>Notts</t>
  </si>
  <si>
    <t>Orion</t>
  </si>
  <si>
    <t>Read</t>
  </si>
  <si>
    <t>Reig P</t>
  </si>
  <si>
    <t>RSC</t>
  </si>
  <si>
    <t>R&amp;N</t>
  </si>
  <si>
    <t>Saff</t>
  </si>
  <si>
    <t>SSH</t>
  </si>
  <si>
    <t>Soton</t>
  </si>
  <si>
    <t>SMR</t>
  </si>
  <si>
    <t>SinA</t>
  </si>
  <si>
    <t>Swin</t>
  </si>
  <si>
    <t>Bath</t>
  </si>
  <si>
    <t>TVH</t>
  </si>
  <si>
    <t>Traff</t>
  </si>
  <si>
    <t>VoA</t>
  </si>
  <si>
    <t>VP&amp;TH</t>
  </si>
  <si>
    <t>Walt</t>
  </si>
  <si>
    <t>Win</t>
  </si>
  <si>
    <t>Woking</t>
  </si>
  <si>
    <t>W&amp;B</t>
  </si>
  <si>
    <t>Worc</t>
  </si>
  <si>
    <t>Worth</t>
  </si>
  <si>
    <t>Wyc P</t>
  </si>
  <si>
    <t>Height</t>
  </si>
  <si>
    <t>Page 1</t>
  </si>
  <si>
    <t>Page 2</t>
  </si>
  <si>
    <t>Page 3</t>
  </si>
  <si>
    <t>Page 4</t>
  </si>
  <si>
    <t>Page 5</t>
  </si>
  <si>
    <t>Page 6</t>
  </si>
  <si>
    <t>RESULTS PACKS</t>
  </si>
  <si>
    <t>BY AGE GROUP</t>
  </si>
  <si>
    <t>Runners</t>
  </si>
  <si>
    <t xml:space="preserve">UK ATHLETICS :: YOUTH DEVELOPMENT LEAGUE 2017 </t>
  </si>
  <si>
    <t>TIMETABLE</t>
  </si>
  <si>
    <t>Lane</t>
  </si>
  <si>
    <t>Time Starts</t>
  </si>
  <si>
    <t>PRINT Field Cards &amp; Track Start Lists</t>
  </si>
  <si>
    <t>Track Lists</t>
  </si>
  <si>
    <t>ALL TRACK EVENTS</t>
  </si>
  <si>
    <t>S Wales</t>
  </si>
  <si>
    <t>Dorset</t>
  </si>
  <si>
    <t>Sheff+D</t>
  </si>
  <si>
    <t>Notts+Linc</t>
  </si>
  <si>
    <t>Stock</t>
  </si>
  <si>
    <t>RVAC</t>
  </si>
  <si>
    <t>MMK</t>
  </si>
  <si>
    <t>Windsor Slough Eton &amp; Hounslow AC</t>
  </si>
  <si>
    <t>Deeside AAC</t>
  </si>
  <si>
    <t>Wrexham AAC</t>
  </si>
  <si>
    <t>Team Hounslow AC</t>
  </si>
  <si>
    <t>Leamington C &amp; AC</t>
  </si>
  <si>
    <t>Team Bath AC</t>
  </si>
  <si>
    <t>Team North Lanarkshire ©</t>
  </si>
  <si>
    <t>@ Kilmarnock</t>
  </si>
  <si>
    <t>U15 Boys HAMMER</t>
  </si>
  <si>
    <t>U15 Girls HAMMER</t>
  </si>
  <si>
    <t>U13 Boys LONG JUMP</t>
  </si>
  <si>
    <t>U15 Girls HIGH JUMP</t>
  </si>
  <si>
    <t>U13 Girls SHOT</t>
  </si>
  <si>
    <t>U15 Boys DISCUS</t>
  </si>
  <si>
    <t>U15 Girls LONG JUMP</t>
  </si>
  <si>
    <t>U13 Boys HIGH JUMP</t>
  </si>
  <si>
    <t>U13 Girls HIGH JUMP</t>
  </si>
  <si>
    <t>U15 Boys POLE VAULT</t>
  </si>
  <si>
    <t>U15 Girls POLE VAULT</t>
  </si>
  <si>
    <t>U15 Girls DISCUS</t>
  </si>
  <si>
    <t>U15 Boys SHOT</t>
  </si>
  <si>
    <t>U15 Boys JAVELIN</t>
  </si>
  <si>
    <t>U15 Girls JAVELIN</t>
  </si>
  <si>
    <t>U13 Girls LONG JUMP</t>
  </si>
  <si>
    <t>U15 Boys HIGH JUMP</t>
  </si>
  <si>
    <t>U13 Boys SHOT</t>
  </si>
  <si>
    <t>U13 Boys JAVELIN</t>
  </si>
  <si>
    <t>U15 Boys LONG JUMP</t>
  </si>
  <si>
    <t>U15 Girls SHOT</t>
  </si>
  <si>
    <t>U13 Girls JAVELIN</t>
  </si>
  <si>
    <t>U13 Girls 70m Hurdles</t>
  </si>
  <si>
    <t>U13 Boys 75m Hurdles</t>
  </si>
  <si>
    <t>U15 Girls 75m Hurdles</t>
  </si>
  <si>
    <t>U15 Boys 80m Hurdles</t>
  </si>
  <si>
    <t>U13 Girls 150m</t>
  </si>
  <si>
    <t>U13 Boys 200m</t>
  </si>
  <si>
    <t>U15 Girls 200m</t>
  </si>
  <si>
    <t>U15 Boys 200m</t>
  </si>
  <si>
    <t>U13 Girls 800m</t>
  </si>
  <si>
    <t>U13 Boys 800m</t>
  </si>
  <si>
    <t>U15 Girls 800m</t>
  </si>
  <si>
    <t>U15 Boys 800m</t>
  </si>
  <si>
    <t>U13 Girls 800m NS</t>
  </si>
  <si>
    <t>U13 Boys 800m NS</t>
  </si>
  <si>
    <t>U15 Girls 800m NS</t>
  </si>
  <si>
    <t>U15 Boys 800m NS</t>
  </si>
  <si>
    <t>U13 Girls 75m</t>
  </si>
  <si>
    <t>U13 Girls 75m NS</t>
  </si>
  <si>
    <t>U13 Boys 100m</t>
  </si>
  <si>
    <t>U15 Girls 100m</t>
  </si>
  <si>
    <t>U15 Boys 100m</t>
  </si>
  <si>
    <t>U13 Boys 100m NS</t>
  </si>
  <si>
    <t>U15 Girls 100m NS</t>
  </si>
  <si>
    <t>U15 Boys 100m NS</t>
  </si>
  <si>
    <t>U15 Girls 300m</t>
  </si>
  <si>
    <t>U15 Boys 300m</t>
  </si>
  <si>
    <t>U13 Girls 1200m</t>
  </si>
  <si>
    <t>U13 Boys 1500m</t>
  </si>
  <si>
    <t>U15 Girls 1500m</t>
  </si>
  <si>
    <t>U15 Boys 1500m</t>
  </si>
  <si>
    <t>U13 Girls 4 x 100m</t>
  </si>
  <si>
    <t>U13 Boys 4 x 100m</t>
  </si>
  <si>
    <t>U15 Girls 4 x 100m</t>
  </si>
  <si>
    <t>U15 Boys 4 x 100m</t>
  </si>
  <si>
    <t>U15 Girls 4 x 300m</t>
  </si>
  <si>
    <t>U15 Boys 4 x 300m</t>
  </si>
  <si>
    <t>U15 Boys Hammer</t>
  </si>
  <si>
    <t>U15 Girls Hammer</t>
  </si>
  <si>
    <t>U13 Boys Long Jump</t>
  </si>
  <si>
    <t>U15 Girls High Jump</t>
  </si>
  <si>
    <t>U13 Girls Shot</t>
  </si>
  <si>
    <t>U15 Boys Discus</t>
  </si>
  <si>
    <t>U15 Girls Long Jump</t>
  </si>
  <si>
    <t>U13 Boys High Jump</t>
  </si>
  <si>
    <t>U13 Girls High Jump</t>
  </si>
  <si>
    <t>U15 Boys Pole Vault</t>
  </si>
  <si>
    <t>U15 Girls Pole Vault</t>
  </si>
  <si>
    <t>U15 Girls Discus</t>
  </si>
  <si>
    <t>U15 Boys Shot</t>
  </si>
  <si>
    <t>U15 Boys Javelin</t>
  </si>
  <si>
    <t>U15 Girls Javelin</t>
  </si>
  <si>
    <t>U13 Girls Long Jump</t>
  </si>
  <si>
    <t>U15 Boys High Jump</t>
  </si>
  <si>
    <t>U13 Boys Shot</t>
  </si>
  <si>
    <t>U13 Boys Javelin</t>
  </si>
  <si>
    <t>U15 Boys Long Jump</t>
  </si>
  <si>
    <t>U15 Girls Shot</t>
  </si>
  <si>
    <t>U13 Girls Javelin</t>
  </si>
  <si>
    <t>U15B</t>
  </si>
  <si>
    <t>U15G</t>
  </si>
  <si>
    <t>U13B</t>
  </si>
  <si>
    <t>U13G</t>
  </si>
  <si>
    <t>Clyde &amp; H</t>
  </si>
  <si>
    <t>A1</t>
  </si>
  <si>
    <t>AA1</t>
  </si>
  <si>
    <t>BA1</t>
  </si>
  <si>
    <t>CA1</t>
  </si>
  <si>
    <t>DA1</t>
  </si>
  <si>
    <t>EA1</t>
  </si>
  <si>
    <t>FA1</t>
  </si>
  <si>
    <t>GA1</t>
  </si>
  <si>
    <t>FIXTURE ID</t>
  </si>
  <si>
    <t>downloads!$</t>
  </si>
  <si>
    <t>bib</t>
  </si>
  <si>
    <t>400mH</t>
  </si>
  <si>
    <t>u15b</t>
  </si>
  <si>
    <t>eventcode</t>
  </si>
  <si>
    <t>eventname</t>
  </si>
  <si>
    <t>name</t>
  </si>
  <si>
    <t>club</t>
  </si>
  <si>
    <t>perf</t>
  </si>
  <si>
    <t>venue</t>
  </si>
  <si>
    <t>monthday</t>
  </si>
  <si>
    <t>year</t>
  </si>
  <si>
    <t>-</t>
  </si>
  <si>
    <t>Phoebe Harland</t>
  </si>
  <si>
    <t>athlete</t>
  </si>
  <si>
    <t>agegroup</t>
  </si>
  <si>
    <t>SURNAME Firstname</t>
  </si>
  <si>
    <t>P/FINISH</t>
  </si>
  <si>
    <t>YES</t>
  </si>
  <si>
    <t>NO</t>
  </si>
  <si>
    <t>NO COMPETITORS/EVENT CANCELLED/NMR</t>
  </si>
  <si>
    <t>Joseph Harding</t>
  </si>
  <si>
    <t>Gillingham</t>
  </si>
  <si>
    <t>April 22nd</t>
  </si>
  <si>
    <t>Luke Ball</t>
  </si>
  <si>
    <t>Yate</t>
  </si>
  <si>
    <t>May 20th</t>
  </si>
  <si>
    <t>Manchester</t>
  </si>
  <si>
    <t>Bromley</t>
  </si>
  <si>
    <t>Blackheath &amp; Bromley Harriers A.C.</t>
  </si>
  <si>
    <t>Bedford</t>
  </si>
  <si>
    <t>Standings</t>
  </si>
  <si>
    <t>Arbroath &amp; District AC</t>
  </si>
  <si>
    <t>Cambridge Harriers (Kent)</t>
  </si>
  <si>
    <t>Holland Sports AC</t>
  </si>
  <si>
    <t>Inverness Harriers AAC</t>
  </si>
  <si>
    <t>Menai Track &amp; Field</t>
  </si>
  <si>
    <t>Newham &amp; Essex Beagles AC</t>
  </si>
  <si>
    <t>St. Helens Sutton AC</t>
  </si>
  <si>
    <t>St. Marys Richmond AC</t>
  </si>
  <si>
    <t>Swansea Harriers AC</t>
  </si>
  <si>
    <t>Page 7</t>
  </si>
  <si>
    <t>ALL</t>
  </si>
  <si>
    <t>Event Cancelled</t>
  </si>
  <si>
    <t>No Competitors Declared</t>
  </si>
  <si>
    <t>Regional Final</t>
  </si>
  <si>
    <t>SW Promotion Match</t>
  </si>
  <si>
    <t>NE Promotion Match</t>
  </si>
  <si>
    <t>June 18th</t>
  </si>
  <si>
    <t>Molly Palmer</t>
  </si>
  <si>
    <t>Blackheath &amp; Bromley Harriers AC</t>
  </si>
  <si>
    <t>Team Hounslow</t>
  </si>
  <si>
    <t>Registered</t>
  </si>
  <si>
    <t>Event X</t>
  </si>
  <si>
    <t>No Competitors</t>
  </si>
  <si>
    <t>Count As</t>
  </si>
  <si>
    <t>Count Bs</t>
  </si>
  <si>
    <t>Scottish Final</t>
  </si>
  <si>
    <t>UK FINAL</t>
  </si>
  <si>
    <t>YDL</t>
  </si>
  <si>
    <t>UK Final</t>
  </si>
  <si>
    <t>Sale</t>
  </si>
  <si>
    <t>July 15th</t>
  </si>
  <si>
    <t>Amber Valley &amp; Erewash AC</t>
  </si>
  <si>
    <t>Amber</t>
  </si>
  <si>
    <t>Rushcliffe AC</t>
  </si>
  <si>
    <t>Rush</t>
  </si>
  <si>
    <t>Blaenau Gwent AC</t>
  </si>
  <si>
    <t>Bristol &amp; West AC with Mendip AC ©</t>
  </si>
  <si>
    <t>Bury</t>
  </si>
  <si>
    <t>Team DG ©</t>
  </si>
  <si>
    <t>TDG</t>
  </si>
  <si>
    <t>Team North (Scotland) ©</t>
  </si>
  <si>
    <t>Team Bedfordshire ©</t>
  </si>
  <si>
    <t>Beds</t>
  </si>
  <si>
    <t>Victoria Park H &amp; Tower Hamlets AC</t>
  </si>
  <si>
    <t>HercW</t>
  </si>
  <si>
    <t>Chiltern Harriers AC</t>
  </si>
  <si>
    <t>Chichester Runners &amp; AC</t>
  </si>
  <si>
    <t>Bolton United H &amp; AC</t>
  </si>
  <si>
    <t>LAG Midland</t>
  </si>
  <si>
    <t>LAGYD</t>
  </si>
  <si>
    <t>Lasswade AAC</t>
  </si>
  <si>
    <t>@ Bebington Oval</t>
  </si>
  <si>
    <t>@ Wavertree</t>
  </si>
  <si>
    <t>@ Carlisle</t>
  </si>
  <si>
    <t>@ Wigan</t>
  </si>
  <si>
    <t>@ Wrexham</t>
  </si>
  <si>
    <t>@ Mile End</t>
  </si>
  <si>
    <t>@ Julie Rose Stadium</t>
  </si>
  <si>
    <t>@ Ashton Playing Fields</t>
  </si>
  <si>
    <t>@ Palmer Park</t>
  </si>
  <si>
    <t>@ Hornchurch</t>
  </si>
  <si>
    <t>@ Tooting Bec</t>
  </si>
  <si>
    <t>@ K2 Crawley</t>
  </si>
  <si>
    <t>@ Poole</t>
  </si>
  <si>
    <t>@ Walton</t>
  </si>
  <si>
    <t>@ Kings Park Bournemouth</t>
  </si>
  <si>
    <t>@ Worthing</t>
  </si>
  <si>
    <t>North/East 1a</t>
  </si>
  <si>
    <t>North/East 1b</t>
  </si>
  <si>
    <t>North/East 1c</t>
  </si>
  <si>
    <t>@ Leicester</t>
  </si>
  <si>
    <t>North/East 1d</t>
  </si>
  <si>
    <t>@ Solihull</t>
  </si>
  <si>
    <t>@ Swansea</t>
  </si>
  <si>
    <t>South/West 1a</t>
  </si>
  <si>
    <t>@ Braunton</t>
  </si>
  <si>
    <t>South/West 1b</t>
  </si>
  <si>
    <t>@ Neath</t>
  </si>
  <si>
    <t>@ Scotstoun</t>
  </si>
  <si>
    <t>Sept 2nd</t>
  </si>
  <si>
    <t>Sophie Ashurst</t>
  </si>
  <si>
    <t>Use this to refresh team changes</t>
  </si>
  <si>
    <t>Giffnock North AC</t>
  </si>
  <si>
    <t>Brighton &amp; Hove AC</t>
  </si>
  <si>
    <t>NT</t>
  </si>
  <si>
    <t>UT05</t>
  </si>
  <si>
    <t>Rio Mitcham</t>
  </si>
  <si>
    <t>Nottingham</t>
  </si>
  <si>
    <t>April 30th</t>
  </si>
  <si>
    <t>UT17</t>
  </si>
  <si>
    <t>Spinkhill</t>
  </si>
  <si>
    <t>April 27th</t>
  </si>
  <si>
    <t>UT09</t>
  </si>
  <si>
    <t>400m</t>
  </si>
  <si>
    <t>Jack Crosby</t>
  </si>
  <si>
    <t>Middlesbrough A.C. (Mandale)</t>
  </si>
  <si>
    <t>June 2nd</t>
  </si>
  <si>
    <t>UTD81</t>
  </si>
  <si>
    <t>Theo Blundell</t>
  </si>
  <si>
    <t>Sept 8th</t>
  </si>
  <si>
    <t>UTD01</t>
  </si>
  <si>
    <t>Josh Kerr</t>
  </si>
  <si>
    <t>Team Edinburgh</t>
  </si>
  <si>
    <t>May 16th</t>
  </si>
  <si>
    <t>UTD06</t>
  </si>
  <si>
    <t>3000m</t>
  </si>
  <si>
    <t>Abel Tsegay</t>
  </si>
  <si>
    <t>Invicta's Paddock</t>
  </si>
  <si>
    <t>Ashford</t>
  </si>
  <si>
    <t>June 29th</t>
  </si>
  <si>
    <t>UT16</t>
  </si>
  <si>
    <t>110mH</t>
  </si>
  <si>
    <t>May 28th</t>
  </si>
  <si>
    <t>UT01</t>
  </si>
  <si>
    <t>Jacob Paul</t>
  </si>
  <si>
    <t>April 28th</t>
  </si>
  <si>
    <t>UTD11</t>
  </si>
  <si>
    <t>2000m S/C</t>
  </si>
  <si>
    <t>Jarmaine Coleman</t>
  </si>
  <si>
    <t>UFH03</t>
  </si>
  <si>
    <t>Chris Kandu</t>
  </si>
  <si>
    <t>Enfield &amp; Haringey</t>
  </si>
  <si>
    <t>UFH05</t>
  </si>
  <si>
    <t>Adam Hague</t>
  </si>
  <si>
    <t>Sept 6th</t>
  </si>
  <si>
    <t>UFW01</t>
  </si>
  <si>
    <t>Michael Causer</t>
  </si>
  <si>
    <t>St. Helens Sutton A.C.</t>
  </si>
  <si>
    <t>Salford</t>
  </si>
  <si>
    <t>UFW05</t>
  </si>
  <si>
    <t>Montel Nevers</t>
  </si>
  <si>
    <t>Notts A.C.</t>
  </si>
  <si>
    <t>Abingdon</t>
  </si>
  <si>
    <t>June 30th</t>
  </si>
  <si>
    <t>UFD11</t>
  </si>
  <si>
    <t>George Evans</t>
  </si>
  <si>
    <t>Shaftesbury Barnet Harriers</t>
  </si>
  <si>
    <t>Hendon</t>
  </si>
  <si>
    <t>June 26th</t>
  </si>
  <si>
    <t>UFD15</t>
  </si>
  <si>
    <t>Nick Percy</t>
  </si>
  <si>
    <t>UFD01</t>
  </si>
  <si>
    <t>UFD05</t>
  </si>
  <si>
    <t>James Whiteaker</t>
  </si>
  <si>
    <t>Norwich</t>
  </si>
  <si>
    <t>UTR4</t>
  </si>
  <si>
    <t>UTDR4</t>
  </si>
  <si>
    <t>4 X 400 Relay</t>
  </si>
  <si>
    <t>Meadowbank</t>
  </si>
  <si>
    <t>UT06</t>
  </si>
  <si>
    <t>Ryan Gorman</t>
  </si>
  <si>
    <t>Stevenage</t>
  </si>
  <si>
    <t>April 18th</t>
  </si>
  <si>
    <t>Sept 4th</t>
  </si>
  <si>
    <t>UT18</t>
  </si>
  <si>
    <t>UT10</t>
  </si>
  <si>
    <t>June 28th</t>
  </si>
  <si>
    <t>UTD82</t>
  </si>
  <si>
    <t>Ben Read</t>
  </si>
  <si>
    <t>Wakefield</t>
  </si>
  <si>
    <t>Stretford</t>
  </si>
  <si>
    <t>UTD02</t>
  </si>
  <si>
    <t>UTD05</t>
  </si>
  <si>
    <t>Isaac Akers</t>
  </si>
  <si>
    <t>Rugby &amp; Northants</t>
  </si>
  <si>
    <t>UT15</t>
  </si>
  <si>
    <t>100mH</t>
  </si>
  <si>
    <t>Tre Thomas</t>
  </si>
  <si>
    <t>Banbury</t>
  </si>
  <si>
    <t>May 1st</t>
  </si>
  <si>
    <t>UT02</t>
  </si>
  <si>
    <t>Bailey Stickings</t>
  </si>
  <si>
    <t>Sept 7th</t>
  </si>
  <si>
    <t>UTD12</t>
  </si>
  <si>
    <t>1500m S/C</t>
  </si>
  <si>
    <t>Chey Blatchford Kemp</t>
  </si>
  <si>
    <t>UFH04</t>
  </si>
  <si>
    <t>Joel Khan</t>
  </si>
  <si>
    <t>Stoke on Trent</t>
  </si>
  <si>
    <t>UFH06</t>
  </si>
  <si>
    <t>Bedford &amp; County</t>
  </si>
  <si>
    <t>UFW02</t>
  </si>
  <si>
    <t>Joel McFarlane</t>
  </si>
  <si>
    <t>Team Forth Valley</t>
  </si>
  <si>
    <t>UFW06</t>
  </si>
  <si>
    <t>Stefan Amokwandoh</t>
  </si>
  <si>
    <t>UFD12</t>
  </si>
  <si>
    <t>UFD16</t>
  </si>
  <si>
    <t>James Tomlinson</t>
  </si>
  <si>
    <t>West Wales</t>
  </si>
  <si>
    <t>Newport</t>
  </si>
  <si>
    <t>May 29th</t>
  </si>
  <si>
    <t>UFD02</t>
  </si>
  <si>
    <t>UFD06</t>
  </si>
  <si>
    <t>George Davis</t>
  </si>
  <si>
    <t>City of York A.C.</t>
  </si>
  <si>
    <t>UTR2</t>
  </si>
  <si>
    <t>July 28th</t>
  </si>
  <si>
    <t>UTDR2</t>
  </si>
  <si>
    <t>UT07</t>
  </si>
  <si>
    <t>Dina Asher-Smith</t>
  </si>
  <si>
    <t>UT19</t>
  </si>
  <si>
    <t>UT11</t>
  </si>
  <si>
    <t>Lina Nielson</t>
  </si>
  <si>
    <t>Enfield &amp; Haringey A.C.</t>
  </si>
  <si>
    <t>UTD83</t>
  </si>
  <si>
    <t>Katy-Ann McDonald</t>
  </si>
  <si>
    <t>Sept 3rd</t>
  </si>
  <si>
    <t>UTD03</t>
  </si>
  <si>
    <t>Niamh Bridson-Hubbard</t>
  </si>
  <si>
    <t>UTD08</t>
  </si>
  <si>
    <t>Victoria Weir</t>
  </si>
  <si>
    <t>Team DC</t>
  </si>
  <si>
    <t>Yeovil</t>
  </si>
  <si>
    <t>July 24th</t>
  </si>
  <si>
    <t>UT14</t>
  </si>
  <si>
    <t>Isabella Hilditch</t>
  </si>
  <si>
    <t>Blackheath &amp; Bromley Harriers A. C</t>
  </si>
  <si>
    <t>Allianz Park</t>
  </si>
  <si>
    <t>UT03</t>
  </si>
  <si>
    <t>Shona Richards</t>
  </si>
  <si>
    <t>UTD10</t>
  </si>
  <si>
    <t>Aimee Pratt</t>
  </si>
  <si>
    <t>Blackburn</t>
  </si>
  <si>
    <t>UFH07</t>
  </si>
  <si>
    <t>Ada'oro Chigbo</t>
  </si>
  <si>
    <t>Team Avon</t>
  </si>
  <si>
    <t>UFH01</t>
  </si>
  <si>
    <t>Abigail Roberts</t>
  </si>
  <si>
    <t>UFW03</t>
  </si>
  <si>
    <t>Eleanor Broome</t>
  </si>
  <si>
    <t>Worcester</t>
  </si>
  <si>
    <t>UFW07</t>
  </si>
  <si>
    <t>Emily Gargan</t>
  </si>
  <si>
    <t>UFD07</t>
  </si>
  <si>
    <t>Adele Nicoll</t>
  </si>
  <si>
    <t>Wolverhampton</t>
  </si>
  <si>
    <t>July 26th</t>
  </si>
  <si>
    <t>UFD13</t>
  </si>
  <si>
    <t>Amy Holder</t>
  </si>
  <si>
    <t>UFD03</t>
  </si>
  <si>
    <t>Kimberley Reed</t>
  </si>
  <si>
    <t>Edinburgh</t>
  </si>
  <si>
    <t>UFD09</t>
  </si>
  <si>
    <t>Emma Hamplett</t>
  </si>
  <si>
    <t>June 25th</t>
  </si>
  <si>
    <t>UTR3</t>
  </si>
  <si>
    <t>UTDR3</t>
  </si>
  <si>
    <t>UT08</t>
  </si>
  <si>
    <t>Gina Akpe-Moses</t>
  </si>
  <si>
    <t>UT20</t>
  </si>
  <si>
    <t>Charlotte McLennaghan</t>
  </si>
  <si>
    <t>UT12</t>
  </si>
  <si>
    <t>Cheriece Hylton</t>
  </si>
  <si>
    <t>UTD84</t>
  </si>
  <si>
    <t>UTD04</t>
  </si>
  <si>
    <t>Sabrina Sinha</t>
  </si>
  <si>
    <t>Cambridge Harriers</t>
  </si>
  <si>
    <t>Mile End</t>
  </si>
  <si>
    <t>UTD07</t>
  </si>
  <si>
    <t>Claudia Lance-Jones</t>
  </si>
  <si>
    <t>UT13</t>
  </si>
  <si>
    <t>Alicia Barrett</t>
  </si>
  <si>
    <t>Chesterfield</t>
  </si>
  <si>
    <t>Grimsby</t>
  </si>
  <si>
    <t>UT04</t>
  </si>
  <si>
    <t>300mH</t>
  </si>
  <si>
    <t>Abigail Bowers</t>
  </si>
  <si>
    <t>Border Olympians</t>
  </si>
  <si>
    <t>UTD09</t>
  </si>
  <si>
    <t>Holly Page</t>
  </si>
  <si>
    <t>Dartford</t>
  </si>
  <si>
    <t>UFH08</t>
  </si>
  <si>
    <t>Morgan Lake</t>
  </si>
  <si>
    <t>UFH02</t>
  </si>
  <si>
    <t>Molly Caudery</t>
  </si>
  <si>
    <t>UFW04</t>
  </si>
  <si>
    <t>Holly Mills</t>
  </si>
  <si>
    <t>UFW08</t>
  </si>
  <si>
    <t>UFD08</t>
  </si>
  <si>
    <t>Serena Vincent</t>
  </si>
  <si>
    <t>City of Portsmouth</t>
  </si>
  <si>
    <t>UFD14</t>
  </si>
  <si>
    <t>Georgie Taylor</t>
  </si>
  <si>
    <t>Welwyn</t>
  </si>
  <si>
    <t>UFD04</t>
  </si>
  <si>
    <t>Katie Head</t>
  </si>
  <si>
    <t>Basildon Beagles</t>
  </si>
  <si>
    <t>Sutcliffe Park</t>
  </si>
  <si>
    <t>UFD10</t>
  </si>
  <si>
    <t>Cannock &amp; Stafford</t>
  </si>
  <si>
    <t>UTR1</t>
  </si>
  <si>
    <t>UTDR1</t>
  </si>
  <si>
    <t>Jordan Walklett</t>
  </si>
  <si>
    <t>Cardiff</t>
  </si>
  <si>
    <t>Total Pts</t>
  </si>
  <si>
    <t>Omolola Kuponiyi</t>
  </si>
  <si>
    <t>Bracknell</t>
  </si>
  <si>
    <t>April 21st</t>
  </si>
  <si>
    <t>Meghan Porterfield</t>
  </si>
  <si>
    <t>VP City of Glasgow</t>
  </si>
  <si>
    <t>Grangemouth</t>
  </si>
  <si>
    <t>Hannah Lewington</t>
  </si>
  <si>
    <t>Charlie Dobson</t>
  </si>
  <si>
    <t>April 29th</t>
  </si>
  <si>
    <t>Raphael Bouju</t>
  </si>
  <si>
    <t>Team Bedfordshire</t>
  </si>
  <si>
    <t>Joshua Pearson</t>
  </si>
  <si>
    <t>Jazz Sears</t>
  </si>
  <si>
    <r>
      <rPr>
        <sz val="8"/>
        <color rgb="FFFF0000"/>
        <rFont val="Trebuchet MS"/>
        <family val="2"/>
      </rPr>
      <t>PLEASE configure your match FIRST</t>
    </r>
    <r>
      <rPr>
        <sz val="8"/>
        <color theme="1"/>
        <rFont val="Trebuchet MS"/>
        <family val="2"/>
      </rPr>
      <t>.  Once you have done that you only need to use this once prior to the start.  It downloads League Records and Current Standings these are not going to change during your match</t>
    </r>
  </si>
  <si>
    <t>Amir Sultan-Edwards</t>
  </si>
  <si>
    <t>May 19th</t>
  </si>
  <si>
    <t>Dante Clark</t>
  </si>
  <si>
    <t>May 27th</t>
  </si>
  <si>
    <t>Kingsmeadow</t>
  </si>
  <si>
    <t>B/fwd M</t>
  </si>
  <si>
    <t>SW Promotion match</t>
  </si>
  <si>
    <t>NE Promotion match</t>
  </si>
  <si>
    <t>Ellesmere Port</t>
  </si>
  <si>
    <t>June 17th</t>
  </si>
  <si>
    <t>Portsmouth</t>
  </si>
  <si>
    <t>Lily Thurbon-Smith</t>
  </si>
  <si>
    <t>Bournemouth &amp; New Forest Juniors</t>
  </si>
  <si>
    <t>Kings Park, Bournemouth</t>
  </si>
  <si>
    <t>Lia Bonsu</t>
  </si>
  <si>
    <t>July 1st</t>
  </si>
  <si>
    <t>Marcus McLean</t>
  </si>
  <si>
    <t>Reggie Lucas-Merry</t>
  </si>
  <si>
    <t>Scottish YDL</t>
  </si>
  <si>
    <t>Track Events Start in Lane</t>
  </si>
  <si>
    <t>Count inc Relays</t>
  </si>
  <si>
    <t>Club/Runners</t>
  </si>
  <si>
    <t>ALL TRACK &amp; FIELD EVENTS</t>
  </si>
  <si>
    <t>David Bazuaye</t>
  </si>
  <si>
    <t>Victoria Park &amp; Tower Hamlets AC</t>
  </si>
  <si>
    <t>Hemel Hempstead</t>
  </si>
  <si>
    <t>July 21st</t>
  </si>
  <si>
    <t>Yaw Afirifah-Mensah</t>
  </si>
  <si>
    <t>Stoke Gifford</t>
  </si>
  <si>
    <t>Withdean</t>
  </si>
  <si>
    <t>Tyra Khambai-Annan</t>
  </si>
  <si>
    <t>Poppy Malik</t>
  </si>
  <si>
    <t>Swindon</t>
  </si>
  <si>
    <t>Bebington</t>
  </si>
  <si>
    <t>LV2019_V1</t>
  </si>
  <si>
    <r>
      <t xml:space="preserve">FOR ASSISTANCE WITH THE SOFTWARE, QUERIES, STUCK ABOUT WHAT TO DO? SOMETHING DOESN’T LOOK RIGHT? CALL
 SIMON 07507 853112 OR 
ALAN 07920 056324
</t>
    </r>
    <r>
      <rPr>
        <sz val="8"/>
        <color rgb="FFFF0000"/>
        <rFont val="Trebuchet MS"/>
        <family val="2"/>
      </rPr>
      <t>Version LV2019_V1</t>
    </r>
  </si>
  <si>
    <t>Premier East</t>
  </si>
  <si>
    <t>Premier West</t>
  </si>
  <si>
    <t>Dunfermline Track &amp; Field Club</t>
  </si>
  <si>
    <t>Aldershot Farnham &amp; District AC</t>
  </si>
  <si>
    <t>Ashford + Thanet ©</t>
  </si>
  <si>
    <t>Ash &amp; T</t>
  </si>
  <si>
    <t>Ayr Seaforth AAC</t>
  </si>
  <si>
    <t>Bingley H &amp; AC</t>
  </si>
  <si>
    <t>Blackburn H &amp; AC</t>
  </si>
  <si>
    <t>Bburn</t>
  </si>
  <si>
    <t>Border H &amp; AC</t>
  </si>
  <si>
    <t>Bournemouth + New Forest Jnrs ©</t>
  </si>
  <si>
    <t>B&amp;NFJ</t>
  </si>
  <si>
    <t>BriW&amp;M</t>
  </si>
  <si>
    <t>Cardiff Archers AC</t>
  </si>
  <si>
    <t>C Arch</t>
  </si>
  <si>
    <t>ChicR</t>
  </si>
  <si>
    <t>Chorley Athletic &amp; Triathlon Club</t>
  </si>
  <si>
    <t>Clydesdale + Helensburgh ©</t>
  </si>
  <si>
    <t>Colwyn Bay AC</t>
  </si>
  <si>
    <t>Colwyn</t>
  </si>
  <si>
    <t>Dartford Harriers AC</t>
  </si>
  <si>
    <t>Daventry AAC</t>
  </si>
  <si>
    <t>Derby</t>
  </si>
  <si>
    <t>Dunf</t>
  </si>
  <si>
    <t>ECHT</t>
  </si>
  <si>
    <t>FoDean</t>
  </si>
  <si>
    <t>Gateshead H &amp; AC</t>
  </si>
  <si>
    <t>Grimsby + Louth ©</t>
  </si>
  <si>
    <t>G&amp;L</t>
  </si>
  <si>
    <t>Harrogate H &amp; AC</t>
  </si>
  <si>
    <t>H'ogate</t>
  </si>
  <si>
    <t>Hercules Wimbledon AC</t>
  </si>
  <si>
    <t>HHH</t>
  </si>
  <si>
    <t>Hil'don</t>
  </si>
  <si>
    <t>Kilmarnock H &amp; AC</t>
  </si>
  <si>
    <t>Kingston AC &amp; Polytechnic H</t>
  </si>
  <si>
    <t>KP</t>
  </si>
  <si>
    <t>Leigh H &amp; AC</t>
  </si>
  <si>
    <t>Liverpool H &amp; AC</t>
  </si>
  <si>
    <t>Macclesfield H &amp; AC</t>
  </si>
  <si>
    <t>Manchester H &amp; AC</t>
  </si>
  <si>
    <t>Mansfield H &amp; AC</t>
  </si>
  <si>
    <t>Perth + Montrose ©</t>
  </si>
  <si>
    <t>Northampton AC</t>
  </si>
  <si>
    <t>Nhants</t>
  </si>
  <si>
    <t>North Notts Alliance ©</t>
  </si>
  <si>
    <t>NNA</t>
  </si>
  <si>
    <t>Nuneaton Harriers AC</t>
  </si>
  <si>
    <t>Nun</t>
  </si>
  <si>
    <t>Oldham &amp; Royton H &amp; AC</t>
  </si>
  <si>
    <t>Paddock Wood + Folkestone ©</t>
  </si>
  <si>
    <t>PWood+F</t>
  </si>
  <si>
    <t>Rotherham H &amp; AC</t>
  </si>
  <si>
    <t>Sale Harriers Manchester</t>
  </si>
  <si>
    <t>Stockport H &amp; AC</t>
  </si>
  <si>
    <t>Sutton-in-Ashfield H &amp; AC</t>
  </si>
  <si>
    <t>Swan</t>
  </si>
  <si>
    <t>Tamw</t>
  </si>
  <si>
    <t>T E Loth</t>
  </si>
  <si>
    <t>T Houns</t>
  </si>
  <si>
    <t>T IOMY</t>
  </si>
  <si>
    <t>T N Scot</t>
  </si>
  <si>
    <t>T N Cumb</t>
  </si>
  <si>
    <t>T N Lan</t>
  </si>
  <si>
    <t>Telf</t>
  </si>
  <si>
    <t>Tipton</t>
  </si>
  <si>
    <t>Tonb</t>
  </si>
  <si>
    <t>VPCG</t>
  </si>
  <si>
    <t>Wigan &amp; District H &amp; AC</t>
  </si>
  <si>
    <t>Wigan</t>
  </si>
  <si>
    <t>Woodford Green AC with Essex Ladies</t>
  </si>
  <si>
    <t>WGEL</t>
  </si>
  <si>
    <t>Worthing &amp; Dist Harriers AC</t>
  </si>
  <si>
    <t>Wycombe Phoenix H &amp; AC</t>
  </si>
  <si>
    <t>Solihull &amp; Small Heath AC*</t>
  </si>
  <si>
    <t>@ Costello Stadium, Hull</t>
  </si>
  <si>
    <t>@ Gateshead</t>
  </si>
  <si>
    <t>@ Preston</t>
  </si>
  <si>
    <t>@ Sports City</t>
  </si>
  <si>
    <t>@ Southport</t>
  </si>
  <si>
    <t>@ Blackpool</t>
  </si>
  <si>
    <t>@ Bury</t>
  </si>
  <si>
    <t>@ Ashton-u-Lyne</t>
  </si>
  <si>
    <t>@ Macclesfield</t>
  </si>
  <si>
    <t>@ Clayton le Moor</t>
  </si>
  <si>
    <t>@ Oldham</t>
  </si>
  <si>
    <t>@ Harrow</t>
  </si>
  <si>
    <t>@ Hillingdon</t>
  </si>
  <si>
    <t>@ TBC</t>
  </si>
  <si>
    <t>@ Ware</t>
  </si>
  <si>
    <t>@ Wimbledon Park</t>
  </si>
  <si>
    <t>@ Erith</t>
  </si>
  <si>
    <t>@ Southampton</t>
  </si>
  <si>
    <t>@ Withdean Stadium</t>
  </si>
  <si>
    <t>@ Spectrum Stadium</t>
  </si>
  <si>
    <t>@ Thames Valley Stadium</t>
  </si>
  <si>
    <t>@ Mountbatten Stadium</t>
  </si>
  <si>
    <t>@ Wolverhampton</t>
  </si>
  <si>
    <t>@ Alexander Stadium</t>
  </si>
  <si>
    <t>@ Nottingham</t>
  </si>
  <si>
    <t>@ Tipton</t>
  </si>
  <si>
    <t>@ Leamington</t>
  </si>
  <si>
    <t>@ Tamworth</t>
  </si>
  <si>
    <t>@ Cheltenham</t>
  </si>
  <si>
    <t>@ Gloucester</t>
  </si>
  <si>
    <t>@ Aberdare</t>
  </si>
  <si>
    <t>Promotion Match</t>
  </si>
  <si>
    <t>11:30</t>
  </si>
  <si>
    <t>11:40</t>
  </si>
  <si>
    <t>11:50</t>
  </si>
  <si>
    <t>12:00</t>
  </si>
  <si>
    <t>12:15</t>
  </si>
  <si>
    <t>12:25</t>
  </si>
  <si>
    <t>12:35</t>
  </si>
  <si>
    <t>12:45</t>
  </si>
  <si>
    <t>13:00</t>
  </si>
  <si>
    <t>13:15</t>
  </si>
  <si>
    <t>13:40</t>
  </si>
  <si>
    <t>14:00</t>
  </si>
  <si>
    <t>14:10</t>
  </si>
  <si>
    <t>14:15</t>
  </si>
  <si>
    <t>14:30</t>
  </si>
  <si>
    <t>15:00</t>
  </si>
  <si>
    <t>15:10</t>
  </si>
  <si>
    <t>15:20</t>
  </si>
  <si>
    <t>15:30</t>
  </si>
  <si>
    <t>15:40</t>
  </si>
  <si>
    <t>15:50</t>
  </si>
  <si>
    <t>16:00</t>
  </si>
  <si>
    <t>16:05</t>
  </si>
  <si>
    <t>16:10</t>
  </si>
  <si>
    <t>16:15</t>
  </si>
  <si>
    <t>16:20</t>
  </si>
  <si>
    <t>16:25</t>
  </si>
  <si>
    <t>11:00</t>
  </si>
  <si>
    <t>11:15</t>
  </si>
  <si>
    <t>11:45</t>
  </si>
  <si>
    <t>12:20</t>
  </si>
  <si>
    <t>12:30</t>
  </si>
  <si>
    <t>14:20</t>
  </si>
  <si>
    <t>Lanes</t>
  </si>
  <si>
    <t>YDL 2018 Latest League Records</t>
  </si>
  <si>
    <t>Lewis Byng</t>
  </si>
  <si>
    <t>Sept 9th</t>
  </si>
  <si>
    <t>Bekah Walton</t>
  </si>
  <si>
    <t>clubname:</t>
  </si>
  <si>
    <t>AW_abbr:</t>
  </si>
  <si>
    <t>agegroup:</t>
  </si>
  <si>
    <t>75/100</t>
  </si>
  <si>
    <t>100M NS</t>
  </si>
  <si>
    <t>800M NS</t>
  </si>
  <si>
    <t>Sp H</t>
  </si>
  <si>
    <t>SChase</t>
  </si>
  <si>
    <t>Long J</t>
  </si>
  <si>
    <t>Triple J</t>
  </si>
  <si>
    <t>High J</t>
  </si>
  <si>
    <t>Pole V</t>
  </si>
  <si>
    <t>r4x11/2:</t>
  </si>
  <si>
    <t>r4x13/4:</t>
  </si>
  <si>
    <t>r4x41/2:</t>
  </si>
  <si>
    <t>r4x43/4:</t>
  </si>
  <si>
    <t>1m140</t>
  </si>
  <si>
    <t>1mns140</t>
  </si>
  <si>
    <t>2m140</t>
  </si>
  <si>
    <t>4m140</t>
  </si>
  <si>
    <t>8m140</t>
  </si>
  <si>
    <t>8mns140</t>
  </si>
  <si>
    <t>15m140</t>
  </si>
  <si>
    <t>spm140</t>
  </si>
  <si>
    <t>3k140</t>
  </si>
  <si>
    <t>sc140</t>
  </si>
  <si>
    <t>4h140</t>
  </si>
  <si>
    <t>dis140</t>
  </si>
  <si>
    <t>ham140</t>
  </si>
  <si>
    <t>jav140</t>
  </si>
  <si>
    <t>sho140</t>
  </si>
  <si>
    <t>lj140</t>
  </si>
  <si>
    <t>tj140</t>
  </si>
  <si>
    <t>hj140</t>
  </si>
  <si>
    <t>pv140</t>
  </si>
  <si>
    <t>r411140</t>
  </si>
  <si>
    <t>r413140</t>
  </si>
  <si>
    <t>r441140</t>
  </si>
  <si>
    <t>r443140</t>
  </si>
  <si>
    <t>1m240</t>
  </si>
  <si>
    <t>1mns240</t>
  </si>
  <si>
    <t>2m240</t>
  </si>
  <si>
    <t>4m240</t>
  </si>
  <si>
    <t>8m240</t>
  </si>
  <si>
    <t>8mns240</t>
  </si>
  <si>
    <t>15m240</t>
  </si>
  <si>
    <t>spm240</t>
  </si>
  <si>
    <t>3k240</t>
  </si>
  <si>
    <t>sc240</t>
  </si>
  <si>
    <t>4h240</t>
  </si>
  <si>
    <t>dis240</t>
  </si>
  <si>
    <t>ham240</t>
  </si>
  <si>
    <t>jav240</t>
  </si>
  <si>
    <t>sho240</t>
  </si>
  <si>
    <t>lj240</t>
  </si>
  <si>
    <t>tj240</t>
  </si>
  <si>
    <t>hj240</t>
  </si>
  <si>
    <t>pv240</t>
  </si>
  <si>
    <t>r411240</t>
  </si>
  <si>
    <t>r413240</t>
  </si>
  <si>
    <t>r441240</t>
  </si>
  <si>
    <t>r443240</t>
  </si>
  <si>
    <t>1m440</t>
  </si>
  <si>
    <t>1mns440</t>
  </si>
  <si>
    <t>2m440</t>
  </si>
  <si>
    <t>4m440</t>
  </si>
  <si>
    <t>8m440</t>
  </si>
  <si>
    <t>8mns440</t>
  </si>
  <si>
    <t>15m440</t>
  </si>
  <si>
    <t>spm440</t>
  </si>
  <si>
    <t>3k440</t>
  </si>
  <si>
    <t>sc440</t>
  </si>
  <si>
    <t>4h440</t>
  </si>
  <si>
    <t>dis440</t>
  </si>
  <si>
    <t>ham440</t>
  </si>
  <si>
    <t>jav440</t>
  </si>
  <si>
    <t>sho440</t>
  </si>
  <si>
    <t>lj440</t>
  </si>
  <si>
    <t>tj440</t>
  </si>
  <si>
    <t>hj440</t>
  </si>
  <si>
    <t>pv440</t>
  </si>
  <si>
    <t>r411440</t>
  </si>
  <si>
    <t>r413440</t>
  </si>
  <si>
    <t>r441440</t>
  </si>
  <si>
    <t>r443440</t>
  </si>
  <si>
    <t>1m340</t>
  </si>
  <si>
    <t>1mns340</t>
  </si>
  <si>
    <t>2m340</t>
  </si>
  <si>
    <t>4m340</t>
  </si>
  <si>
    <t>8m340</t>
  </si>
  <si>
    <t>8mns340</t>
  </si>
  <si>
    <t>15m340</t>
  </si>
  <si>
    <t>spm340</t>
  </si>
  <si>
    <t>3k340</t>
  </si>
  <si>
    <t>sc340</t>
  </si>
  <si>
    <t>4h340</t>
  </si>
  <si>
    <t>dis340</t>
  </si>
  <si>
    <t>ham340</t>
  </si>
  <si>
    <t>jav340</t>
  </si>
  <si>
    <t>sho340</t>
  </si>
  <si>
    <t>lj340</t>
  </si>
  <si>
    <t>tj340</t>
  </si>
  <si>
    <t>hj340</t>
  </si>
  <si>
    <t>pv340</t>
  </si>
  <si>
    <t>r411340</t>
  </si>
  <si>
    <t>r413340</t>
  </si>
  <si>
    <t>r441340</t>
  </si>
  <si>
    <t>r443340</t>
  </si>
  <si>
    <t>1m540</t>
  </si>
  <si>
    <t>1mns540</t>
  </si>
  <si>
    <t>2m540</t>
  </si>
  <si>
    <t>4m540</t>
  </si>
  <si>
    <t>8m540</t>
  </si>
  <si>
    <t>8mns540</t>
  </si>
  <si>
    <t>15m540</t>
  </si>
  <si>
    <t>spm540</t>
  </si>
  <si>
    <t>3k540</t>
  </si>
  <si>
    <t>sc540</t>
  </si>
  <si>
    <t>4h540</t>
  </si>
  <si>
    <t>dis540</t>
  </si>
  <si>
    <t>ham540</t>
  </si>
  <si>
    <t>jav540</t>
  </si>
  <si>
    <t>sho540</t>
  </si>
  <si>
    <t>lj540</t>
  </si>
  <si>
    <t>tj540</t>
  </si>
  <si>
    <t>hj540</t>
  </si>
  <si>
    <t>pv540</t>
  </si>
  <si>
    <t>r411540</t>
  </si>
  <si>
    <t>r413540</t>
  </si>
  <si>
    <t>r441540</t>
  </si>
  <si>
    <t>r443540</t>
  </si>
  <si>
    <t>1m44</t>
  </si>
  <si>
    <t>1mns44</t>
  </si>
  <si>
    <t>2m44</t>
  </si>
  <si>
    <t>4m44</t>
  </si>
  <si>
    <t>8m44</t>
  </si>
  <si>
    <t>8mns44</t>
  </si>
  <si>
    <t>15m44</t>
  </si>
  <si>
    <t>spm44</t>
  </si>
  <si>
    <t>3k44</t>
  </si>
  <si>
    <t>sc44</t>
  </si>
  <si>
    <t>4h44</t>
  </si>
  <si>
    <t>dis44</t>
  </si>
  <si>
    <t>ham44</t>
  </si>
  <si>
    <t>jav44</t>
  </si>
  <si>
    <t>sho44</t>
  </si>
  <si>
    <t>lj44</t>
  </si>
  <si>
    <t>tj44</t>
  </si>
  <si>
    <t>hj44</t>
  </si>
  <si>
    <t>pv44</t>
  </si>
  <si>
    <t>r41144</t>
  </si>
  <si>
    <t>r41344</t>
  </si>
  <si>
    <t>r44144</t>
  </si>
  <si>
    <t>r44344</t>
  </si>
  <si>
    <t>1m24</t>
  </si>
  <si>
    <t>1mns24</t>
  </si>
  <si>
    <t>2m24</t>
  </si>
  <si>
    <t>4m24</t>
  </si>
  <si>
    <t>8m24</t>
  </si>
  <si>
    <t>8mns24</t>
  </si>
  <si>
    <t>15m24</t>
  </si>
  <si>
    <t>spm24</t>
  </si>
  <si>
    <t>3k24</t>
  </si>
  <si>
    <t>sc24</t>
  </si>
  <si>
    <t>4h24</t>
  </si>
  <si>
    <t>dis24</t>
  </si>
  <si>
    <t>ham24</t>
  </si>
  <si>
    <t>jav24</t>
  </si>
  <si>
    <t>sho24</t>
  </si>
  <si>
    <t>lj24</t>
  </si>
  <si>
    <t>tj24</t>
  </si>
  <si>
    <t>hj24</t>
  </si>
  <si>
    <t>pv24</t>
  </si>
  <si>
    <t>r41124</t>
  </si>
  <si>
    <t>r41324</t>
  </si>
  <si>
    <t>r44124</t>
  </si>
  <si>
    <t>r44324</t>
  </si>
  <si>
    <t>1m14</t>
  </si>
  <si>
    <t>1mns14</t>
  </si>
  <si>
    <t>2m14</t>
  </si>
  <si>
    <t>4m14</t>
  </si>
  <si>
    <t>8m14</t>
  </si>
  <si>
    <t>8mns14</t>
  </si>
  <si>
    <t>15m14</t>
  </si>
  <si>
    <t>spm14</t>
  </si>
  <si>
    <t>3k14</t>
  </si>
  <si>
    <t>sc14</t>
  </si>
  <si>
    <t>4h14</t>
  </si>
  <si>
    <t>dis14</t>
  </si>
  <si>
    <t>ham14</t>
  </si>
  <si>
    <t>jav14</t>
  </si>
  <si>
    <t>sho14</t>
  </si>
  <si>
    <t>lj14</t>
  </si>
  <si>
    <t>tj14</t>
  </si>
  <si>
    <t>hj14</t>
  </si>
  <si>
    <t>pv14</t>
  </si>
  <si>
    <t>r41114</t>
  </si>
  <si>
    <t>r41314</t>
  </si>
  <si>
    <t>r44114</t>
  </si>
  <si>
    <t>r44314</t>
  </si>
  <si>
    <t>1m34</t>
  </si>
  <si>
    <t>1mns34</t>
  </si>
  <si>
    <t>2m34</t>
  </si>
  <si>
    <t>4m34</t>
  </si>
  <si>
    <t>8m34</t>
  </si>
  <si>
    <t>8mns34</t>
  </si>
  <si>
    <t>15m34</t>
  </si>
  <si>
    <t>spm34</t>
  </si>
  <si>
    <t>3k34</t>
  </si>
  <si>
    <t>sc34</t>
  </si>
  <si>
    <t>4h34</t>
  </si>
  <si>
    <t>dis34</t>
  </si>
  <si>
    <t>ham34</t>
  </si>
  <si>
    <t>jav34</t>
  </si>
  <si>
    <t>sho34</t>
  </si>
  <si>
    <t>lj34</t>
  </si>
  <si>
    <t>tj34</t>
  </si>
  <si>
    <t>hj34</t>
  </si>
  <si>
    <t>pv34</t>
  </si>
  <si>
    <t>r41134</t>
  </si>
  <si>
    <t>r41334</t>
  </si>
  <si>
    <t>r44134</t>
  </si>
  <si>
    <t>r44334</t>
  </si>
  <si>
    <t>1m54</t>
  </si>
  <si>
    <t>1mns54</t>
  </si>
  <si>
    <t>2m54</t>
  </si>
  <si>
    <t>4m54</t>
  </si>
  <si>
    <t>8m54</t>
  </si>
  <si>
    <t>8mns54</t>
  </si>
  <si>
    <t>15m54</t>
  </si>
  <si>
    <t>spm54</t>
  </si>
  <si>
    <t>3k54</t>
  </si>
  <si>
    <t>sc54</t>
  </si>
  <si>
    <t>4h54</t>
  </si>
  <si>
    <t>dis54</t>
  </si>
  <si>
    <t>ham54</t>
  </si>
  <si>
    <t>jav54</t>
  </si>
  <si>
    <t>sho54</t>
  </si>
  <si>
    <t>lj54</t>
  </si>
  <si>
    <t>tj54</t>
  </si>
  <si>
    <t>hj54</t>
  </si>
  <si>
    <t>pv54</t>
  </si>
  <si>
    <t>r41154</t>
  </si>
  <si>
    <t>r41354</t>
  </si>
  <si>
    <t>r44154</t>
  </si>
  <si>
    <t>r44354</t>
  </si>
  <si>
    <t>1m450</t>
  </si>
  <si>
    <t>1mns450</t>
  </si>
  <si>
    <t>2m450</t>
  </si>
  <si>
    <t>4m450</t>
  </si>
  <si>
    <t>8m450</t>
  </si>
  <si>
    <t>8mns450</t>
  </si>
  <si>
    <t>15m450</t>
  </si>
  <si>
    <t>spm450</t>
  </si>
  <si>
    <t>3k450</t>
  </si>
  <si>
    <t>sc450</t>
  </si>
  <si>
    <t>4h450</t>
  </si>
  <si>
    <t>dis450</t>
  </si>
  <si>
    <t>ham450</t>
  </si>
  <si>
    <t>jav450</t>
  </si>
  <si>
    <t>sho450</t>
  </si>
  <si>
    <t>lj450</t>
  </si>
  <si>
    <t>tj450</t>
  </si>
  <si>
    <t>hj450</t>
  </si>
  <si>
    <t>pv450</t>
  </si>
  <si>
    <t>r411450</t>
  </si>
  <si>
    <t>r413450</t>
  </si>
  <si>
    <t>r441450</t>
  </si>
  <si>
    <t>r443450</t>
  </si>
  <si>
    <t>1m250</t>
  </si>
  <si>
    <t>1mns250</t>
  </si>
  <si>
    <t>2m250</t>
  </si>
  <si>
    <t>4m250</t>
  </si>
  <si>
    <t>8m250</t>
  </si>
  <si>
    <t>8mns250</t>
  </si>
  <si>
    <t>15m250</t>
  </si>
  <si>
    <t>spm250</t>
  </si>
  <si>
    <t>3k250</t>
  </si>
  <si>
    <t>sc250</t>
  </si>
  <si>
    <t>4h250</t>
  </si>
  <si>
    <t>dis250</t>
  </si>
  <si>
    <t>ham250</t>
  </si>
  <si>
    <t>jav250</t>
  </si>
  <si>
    <t>sho250</t>
  </si>
  <si>
    <t>lj250</t>
  </si>
  <si>
    <t>tj250</t>
  </si>
  <si>
    <t>hj250</t>
  </si>
  <si>
    <t>pv250</t>
  </si>
  <si>
    <t>r411250</t>
  </si>
  <si>
    <t>r413250</t>
  </si>
  <si>
    <t>r441250</t>
  </si>
  <si>
    <t>r443250</t>
  </si>
  <si>
    <t>1m150</t>
  </si>
  <si>
    <t>1mns150</t>
  </si>
  <si>
    <t>2m150</t>
  </si>
  <si>
    <t>4m150</t>
  </si>
  <si>
    <t>8m150</t>
  </si>
  <si>
    <t>8mns150</t>
  </si>
  <si>
    <t>15m150</t>
  </si>
  <si>
    <t>spm150</t>
  </si>
  <si>
    <t>3k150</t>
  </si>
  <si>
    <t>sc150</t>
  </si>
  <si>
    <t>4h150</t>
  </si>
  <si>
    <t>dis150</t>
  </si>
  <si>
    <t>ham150</t>
  </si>
  <si>
    <t>jav150</t>
  </si>
  <si>
    <t>sho150</t>
  </si>
  <si>
    <t>lj150</t>
  </si>
  <si>
    <t>tj150</t>
  </si>
  <si>
    <t>hj150</t>
  </si>
  <si>
    <t>pv150</t>
  </si>
  <si>
    <t>r411150</t>
  </si>
  <si>
    <t>r413150</t>
  </si>
  <si>
    <t>r441150</t>
  </si>
  <si>
    <t>r443150</t>
  </si>
  <si>
    <t>1m350</t>
  </si>
  <si>
    <t>1mns350</t>
  </si>
  <si>
    <t>2m350</t>
  </si>
  <si>
    <t>4m350</t>
  </si>
  <si>
    <t>8m350</t>
  </si>
  <si>
    <t>8mns350</t>
  </si>
  <si>
    <t>15m350</t>
  </si>
  <si>
    <t>spm350</t>
  </si>
  <si>
    <t>3k350</t>
  </si>
  <si>
    <t>sc350</t>
  </si>
  <si>
    <t>4h350</t>
  </si>
  <si>
    <t>dis350</t>
  </si>
  <si>
    <t>ham350</t>
  </si>
  <si>
    <t>jav350</t>
  </si>
  <si>
    <t>sho350</t>
  </si>
  <si>
    <t>lj350</t>
  </si>
  <si>
    <t>tj350</t>
  </si>
  <si>
    <t>hj350</t>
  </si>
  <si>
    <t>pv350</t>
  </si>
  <si>
    <t>r411350</t>
  </si>
  <si>
    <t>r413350</t>
  </si>
  <si>
    <t>r441350</t>
  </si>
  <si>
    <t>r443350</t>
  </si>
  <si>
    <t>1m550</t>
  </si>
  <si>
    <t>1mns550</t>
  </si>
  <si>
    <t>2m550</t>
  </si>
  <si>
    <t>4m550</t>
  </si>
  <si>
    <t>8m550</t>
  </si>
  <si>
    <t>8mns550</t>
  </si>
  <si>
    <t>15m550</t>
  </si>
  <si>
    <t>spm550</t>
  </si>
  <si>
    <t>3k550</t>
  </si>
  <si>
    <t>sc550</t>
  </si>
  <si>
    <t>4h550</t>
  </si>
  <si>
    <t>dis550</t>
  </si>
  <si>
    <t>ham550</t>
  </si>
  <si>
    <t>jav550</t>
  </si>
  <si>
    <t>sho550</t>
  </si>
  <si>
    <t>lj550</t>
  </si>
  <si>
    <t>tj550</t>
  </si>
  <si>
    <t>hj550</t>
  </si>
  <si>
    <t>pv550</t>
  </si>
  <si>
    <t>r411550</t>
  </si>
  <si>
    <t>r413550</t>
  </si>
  <si>
    <t>r441550</t>
  </si>
  <si>
    <t>r443550</t>
  </si>
  <si>
    <t>1m45</t>
  </si>
  <si>
    <t>1mns45</t>
  </si>
  <si>
    <t>2m45</t>
  </si>
  <si>
    <t>4m45</t>
  </si>
  <si>
    <t>8m45</t>
  </si>
  <si>
    <t>8mns45</t>
  </si>
  <si>
    <t>15m45</t>
  </si>
  <si>
    <t>spm45</t>
  </si>
  <si>
    <t>3k45</t>
  </si>
  <si>
    <t>sc45</t>
  </si>
  <si>
    <t>4h45</t>
  </si>
  <si>
    <t>dis45</t>
  </si>
  <si>
    <t>ham45</t>
  </si>
  <si>
    <t>jav45</t>
  </si>
  <si>
    <t>sho45</t>
  </si>
  <si>
    <t>lj45</t>
  </si>
  <si>
    <t>tj45</t>
  </si>
  <si>
    <t>hj45</t>
  </si>
  <si>
    <t>pv45</t>
  </si>
  <si>
    <t>r41145</t>
  </si>
  <si>
    <t>r41345</t>
  </si>
  <si>
    <t>r44145</t>
  </si>
  <si>
    <t>r44345</t>
  </si>
  <si>
    <t>1m15</t>
  </si>
  <si>
    <t>1mns15</t>
  </si>
  <si>
    <t>2m15</t>
  </si>
  <si>
    <t>4m15</t>
  </si>
  <si>
    <t>8m15</t>
  </si>
  <si>
    <t>8mns15</t>
  </si>
  <si>
    <t>15m15</t>
  </si>
  <si>
    <t>spm15</t>
  </si>
  <si>
    <t>3k15</t>
  </si>
  <si>
    <t>sc15</t>
  </si>
  <si>
    <t>4h15</t>
  </si>
  <si>
    <t>dis15</t>
  </si>
  <si>
    <t>ham15</t>
  </si>
  <si>
    <t>jav15</t>
  </si>
  <si>
    <t>sho15</t>
  </si>
  <si>
    <t>lj15</t>
  </si>
  <si>
    <t>tj15</t>
  </si>
  <si>
    <t>hj15</t>
  </si>
  <si>
    <t>pv15</t>
  </si>
  <si>
    <t>r41115</t>
  </si>
  <si>
    <t>r41315</t>
  </si>
  <si>
    <t>r44115</t>
  </si>
  <si>
    <t>r44315</t>
  </si>
  <si>
    <t>1m25</t>
  </si>
  <si>
    <t>1mns25</t>
  </si>
  <si>
    <t>2m25</t>
  </si>
  <si>
    <t>4m25</t>
  </si>
  <si>
    <t>8m25</t>
  </si>
  <si>
    <t>8mns25</t>
  </si>
  <si>
    <t>15m25</t>
  </si>
  <si>
    <t>spm25</t>
  </si>
  <si>
    <t>3k25</t>
  </si>
  <si>
    <t>sc25</t>
  </si>
  <si>
    <t>4h25</t>
  </si>
  <si>
    <t>dis25</t>
  </si>
  <si>
    <t>ham25</t>
  </si>
  <si>
    <t>jav25</t>
  </si>
  <si>
    <t>sho25</t>
  </si>
  <si>
    <t>lj25</t>
  </si>
  <si>
    <t>tj25</t>
  </si>
  <si>
    <t>hj25</t>
  </si>
  <si>
    <t>pv25</t>
  </si>
  <si>
    <t>r41125</t>
  </si>
  <si>
    <t>r41325</t>
  </si>
  <si>
    <t>r44125</t>
  </si>
  <si>
    <t>r44325</t>
  </si>
  <si>
    <t>1m35</t>
  </si>
  <si>
    <t>1mns35</t>
  </si>
  <si>
    <t>2m35</t>
  </si>
  <si>
    <t>4m35</t>
  </si>
  <si>
    <t>8m35</t>
  </si>
  <si>
    <t>8mns35</t>
  </si>
  <si>
    <t>15m35</t>
  </si>
  <si>
    <t>spm35</t>
  </si>
  <si>
    <t>3k35</t>
  </si>
  <si>
    <t>sc35</t>
  </si>
  <si>
    <t>4h35</t>
  </si>
  <si>
    <t>dis35</t>
  </si>
  <si>
    <t>ham35</t>
  </si>
  <si>
    <t>jav35</t>
  </si>
  <si>
    <t>sho35</t>
  </si>
  <si>
    <t>lj35</t>
  </si>
  <si>
    <t>tj35</t>
  </si>
  <si>
    <t>hj35</t>
  </si>
  <si>
    <t>pv35</t>
  </si>
  <si>
    <t>r41135</t>
  </si>
  <si>
    <t>r41335</t>
  </si>
  <si>
    <t>r44135</t>
  </si>
  <si>
    <t>r44335</t>
  </si>
  <si>
    <t>1m55</t>
  </si>
  <si>
    <t>1mns55</t>
  </si>
  <si>
    <t>2m55</t>
  </si>
  <si>
    <t>4m55</t>
  </si>
  <si>
    <t>8m55</t>
  </si>
  <si>
    <t>8mns55</t>
  </si>
  <si>
    <t>15m55</t>
  </si>
  <si>
    <t>spm55</t>
  </si>
  <si>
    <t>3k55</t>
  </si>
  <si>
    <t>sc55</t>
  </si>
  <si>
    <t>4h55</t>
  </si>
  <si>
    <t>dis55</t>
  </si>
  <si>
    <t>ham55</t>
  </si>
  <si>
    <t>jav55</t>
  </si>
  <si>
    <t>sho55</t>
  </si>
  <si>
    <t>lj55</t>
  </si>
  <si>
    <t>tj55</t>
  </si>
  <si>
    <t>hj55</t>
  </si>
  <si>
    <t>pv55</t>
  </si>
  <si>
    <t>r41155</t>
  </si>
  <si>
    <t>r41355</t>
  </si>
  <si>
    <t>r44155</t>
  </si>
  <si>
    <t>r44355</t>
  </si>
  <si>
    <t>1m</t>
  </si>
  <si>
    <t>1mns</t>
  </si>
  <si>
    <t>2m</t>
  </si>
  <si>
    <t>4m</t>
  </si>
  <si>
    <t>8m</t>
  </si>
  <si>
    <t>8mns</t>
  </si>
  <si>
    <t>15m</t>
  </si>
  <si>
    <t>spm</t>
  </si>
  <si>
    <t>3k</t>
  </si>
  <si>
    <t>sc</t>
  </si>
  <si>
    <t>4h</t>
  </si>
  <si>
    <t>dis</t>
  </si>
  <si>
    <t>ham</t>
  </si>
  <si>
    <t>jav</t>
  </si>
  <si>
    <t>sho</t>
  </si>
  <si>
    <t>lj</t>
  </si>
  <si>
    <t>tj</t>
  </si>
  <si>
    <t>pv</t>
  </si>
  <si>
    <t>r411</t>
  </si>
  <si>
    <t>r413</t>
  </si>
  <si>
    <t>r441</t>
  </si>
  <si>
    <t>hj</t>
  </si>
  <si>
    <t>r443</t>
  </si>
  <si>
    <t>APPLETON Harry</t>
  </si>
  <si>
    <t>KELSALL Thomas</t>
  </si>
  <si>
    <t>CAMPBELL Logan</t>
  </si>
  <si>
    <t>RIGBY Connor</t>
  </si>
  <si>
    <t>WHITESIDE Jay</t>
  </si>
  <si>
    <t>WINSTANLEY Jack</t>
  </si>
  <si>
    <t>RIDGLEY Hayden</t>
  </si>
  <si>
    <t>MOORHOUSE William</t>
  </si>
  <si>
    <t>MIDDLETON Corey</t>
  </si>
  <si>
    <t>MARTIN Thomas</t>
  </si>
  <si>
    <t>COX Oliver</t>
  </si>
  <si>
    <t>STURGESS Benjamin</t>
  </si>
  <si>
    <t>COTTON James</t>
  </si>
  <si>
    <t>SHEPPARD Luca</t>
  </si>
  <si>
    <t>HULLEY Joel</t>
  </si>
  <si>
    <t>LOOKER Edward</t>
  </si>
  <si>
    <t>CRONSHAW Ben</t>
  </si>
  <si>
    <t>TALBOT Jack</t>
  </si>
  <si>
    <t>BOOTH Sam</t>
  </si>
  <si>
    <t>Premier - 6</t>
  </si>
  <si>
    <t>Premier - 7</t>
  </si>
  <si>
    <t>AD</t>
  </si>
  <si>
    <t>AE</t>
  </si>
  <si>
    <t>AF</t>
  </si>
  <si>
    <t>ZOLA Tim</t>
  </si>
  <si>
    <t>EME Joshua</t>
  </si>
  <si>
    <t>GOOSEN Rocco</t>
  </si>
  <si>
    <t>GARDNER Matthew</t>
  </si>
  <si>
    <t>GODDARD Finlay</t>
  </si>
  <si>
    <t>HOBSON Thomas</t>
  </si>
  <si>
    <t>PIMLOTT Oliver</t>
  </si>
  <si>
    <t>GREENHALGH Lewis</t>
  </si>
  <si>
    <t>REID Jamie</t>
  </si>
  <si>
    <t>CRAVEN Miles</t>
  </si>
  <si>
    <t>ARECHAGG Javier</t>
  </si>
  <si>
    <t>HALLIDAY Milo</t>
  </si>
  <si>
    <t>MUNRO Reece</t>
  </si>
  <si>
    <t>PARKER Luke</t>
  </si>
  <si>
    <t>RUTHERFORD Alex</t>
  </si>
  <si>
    <t>WELLS Oliver</t>
  </si>
  <si>
    <t>x</t>
  </si>
  <si>
    <t>WILLIAMSON Alec</t>
  </si>
  <si>
    <t>HUDSON Orlando</t>
  </si>
  <si>
    <t>BURNEY Bobby</t>
  </si>
  <si>
    <t>MALONE Riley</t>
  </si>
  <si>
    <t>CHILTON Harvey</t>
  </si>
  <si>
    <t>ELLIOT Daniel</t>
  </si>
  <si>
    <t>WARD Luke</t>
  </si>
  <si>
    <t>WAKE Joseph</t>
  </si>
  <si>
    <t>BARR Montgomery</t>
  </si>
  <si>
    <t>DONNELLY Reuben</t>
  </si>
  <si>
    <t>HAYGARTH George</t>
  </si>
  <si>
    <t>FOWOWE Peter</t>
  </si>
  <si>
    <t>HUTCHINSON Jay</t>
  </si>
  <si>
    <t>COLEMAN Adam</t>
  </si>
  <si>
    <t>STANWAY Charlie</t>
  </si>
  <si>
    <t>WALTON James</t>
  </si>
  <si>
    <t>REEKIE Owen</t>
  </si>
  <si>
    <t>ELLIS-BRIGGS Joseph</t>
  </si>
  <si>
    <t>RALPH Adam</t>
  </si>
  <si>
    <t>MABOTE Bradley</t>
  </si>
  <si>
    <t>KENNEDY Calum</t>
  </si>
  <si>
    <t>UNSWORTH Daniel</t>
  </si>
  <si>
    <t>LLOYD Will</t>
  </si>
  <si>
    <t>VELIKS Maikls</t>
  </si>
  <si>
    <t>DEACON James</t>
  </si>
  <si>
    <t>MOLYNEUX Steven</t>
  </si>
  <si>
    <t>ATHERTON Luke</t>
  </si>
  <si>
    <t>BRIDDON Missy</t>
  </si>
  <si>
    <t>BAINES Lily</t>
  </si>
  <si>
    <t>ROGERS Emily</t>
  </si>
  <si>
    <t>MOODY Hannah</t>
  </si>
  <si>
    <t>PROCTOR Alicia</t>
  </si>
  <si>
    <t>DUNKLEY Autum</t>
  </si>
  <si>
    <t>KIRKWOOD Eva</t>
  </si>
  <si>
    <t>LABAN Ella</t>
  </si>
  <si>
    <t>HIGHAM Ruby</t>
  </si>
  <si>
    <t>MYCROFT Tilly</t>
  </si>
  <si>
    <t>JELONKIEWICZ Viktoria</t>
  </si>
  <si>
    <t>ADEBAYO Daphney</t>
  </si>
  <si>
    <t>PADDON Olivia</t>
  </si>
  <si>
    <t>EVANS Rebecca</t>
  </si>
  <si>
    <t>FLINDERS Agnes</t>
  </si>
  <si>
    <t>PADDON Freya</t>
  </si>
  <si>
    <t>KYNOCH Ella</t>
  </si>
  <si>
    <t>WOODHOUSE Polly</t>
  </si>
  <si>
    <t>BROOKS Carmen</t>
  </si>
  <si>
    <t>HICKLING Rosie</t>
  </si>
  <si>
    <t>HASTIE Eve</t>
  </si>
  <si>
    <t>CROSBY Alice</t>
  </si>
  <si>
    <t>HOGG Frances</t>
  </si>
  <si>
    <t>WALSH Tierney</t>
  </si>
  <si>
    <t>COURTNEY Libby</t>
  </si>
  <si>
    <t>GASKIN Lucy</t>
  </si>
  <si>
    <t>MAUDE Charlotte</t>
  </si>
  <si>
    <t>CROSSAN Lily</t>
  </si>
  <si>
    <t>LEE Isabel</t>
  </si>
  <si>
    <t>TWEDDLE Bella</t>
  </si>
  <si>
    <t>WYATT Martha</t>
  </si>
  <si>
    <t>GILLIS Madelaine</t>
  </si>
  <si>
    <t>OKEY Busonma</t>
  </si>
  <si>
    <t>ROBSON Daisy</t>
  </si>
  <si>
    <t>PYE Naiomi</t>
  </si>
  <si>
    <t>PYE Leoni</t>
  </si>
  <si>
    <t>CREASEY Lois</t>
  </si>
  <si>
    <t>LILLIE Imogen</t>
  </si>
  <si>
    <t>MCNEILL Emma</t>
  </si>
  <si>
    <t>HILL Zoe</t>
  </si>
  <si>
    <t>DORAN Bethany</t>
  </si>
  <si>
    <t>SULLOCK Amy</t>
  </si>
  <si>
    <t>MANNION Grace</t>
  </si>
  <si>
    <t>LINGARD Alice</t>
  </si>
  <si>
    <t>WRIGHT Lucy</t>
  </si>
  <si>
    <t>BETTS Demi</t>
  </si>
  <si>
    <t>VICKERS Cerys</t>
  </si>
  <si>
    <t>WHITTAKER Millie</t>
  </si>
  <si>
    <t>THIRKETTLE Charlotte</t>
  </si>
  <si>
    <t>LOVE Katie</t>
  </si>
  <si>
    <t>MEIGH William</t>
  </si>
  <si>
    <t>PYE George</t>
  </si>
  <si>
    <t>COOK Harry</t>
  </si>
  <si>
    <t>HOW Louis</t>
  </si>
  <si>
    <t>BRATLEY Jack</t>
  </si>
  <si>
    <t>BOWSHER James</t>
  </si>
  <si>
    <t>HANLEY Edward</t>
  </si>
  <si>
    <t>HENSON Isaac</t>
  </si>
  <si>
    <t>LANSFORD Hollis</t>
  </si>
  <si>
    <t>RHODES Ashton</t>
  </si>
  <si>
    <t>BROOKS Rory</t>
  </si>
  <si>
    <t>RUTTER Aaron</t>
  </si>
  <si>
    <t>OR KAM FAT Matteo</t>
  </si>
  <si>
    <t>WAINWRIGHT James</t>
  </si>
  <si>
    <t>BENTLEY Tom</t>
  </si>
  <si>
    <t>KRIEL PARR George</t>
  </si>
  <si>
    <t>SCOTT Leni</t>
  </si>
  <si>
    <t>COLLINI Joseph</t>
  </si>
  <si>
    <t>LANE William</t>
  </si>
  <si>
    <t>FOGDEN Ben</t>
  </si>
  <si>
    <t>COOPER Malachi</t>
  </si>
  <si>
    <t>MAZUREK Gracjan</t>
  </si>
  <si>
    <t>BAKER Joseph</t>
  </si>
  <si>
    <t>SAS Reuben</t>
  </si>
  <si>
    <t>MARRIOTT Thomas</t>
  </si>
  <si>
    <t>BETTNEY Thomas</t>
  </si>
  <si>
    <t>FOOT James</t>
  </si>
  <si>
    <t>PEERS-WAIN Jacob</t>
  </si>
  <si>
    <t>MAYNARD Tom</t>
  </si>
  <si>
    <t>OKEY Chieme</t>
  </si>
  <si>
    <t>BUTLER Jake</t>
  </si>
  <si>
    <t>CHINNERY Norton</t>
  </si>
  <si>
    <t>FRENCH William</t>
  </si>
  <si>
    <t>KAYE Charlie</t>
  </si>
  <si>
    <t>BELL Callum</t>
  </si>
  <si>
    <t>SAYERS James</t>
  </si>
  <si>
    <t>IBEH Terrell</t>
  </si>
  <si>
    <t>OADES Matthew</t>
  </si>
  <si>
    <t>COOK Edwin</t>
  </si>
  <si>
    <t>MAUDE Emily</t>
  </si>
  <si>
    <t>SIGSWORTH Martha</t>
  </si>
  <si>
    <t>BROOKS Laura</t>
  </si>
  <si>
    <t>POUNDER Esme</t>
  </si>
  <si>
    <t>MARSHALL Nancy</t>
  </si>
  <si>
    <t>BIRCH Louisa</t>
  </si>
  <si>
    <t>GREEN-HEMMINGS Grace</t>
  </si>
  <si>
    <t>LANGAN Lottie</t>
  </si>
  <si>
    <t>KENNEDY Amy</t>
  </si>
  <si>
    <t>CLAGUE Kathryn</t>
  </si>
  <si>
    <t>WRIGHT Ella</t>
  </si>
  <si>
    <t>HARTLEY Eleanor</t>
  </si>
  <si>
    <t>ROBERTS Eve</t>
  </si>
  <si>
    <t>BERRY Heather</t>
  </si>
  <si>
    <t>GRAY Molly</t>
  </si>
  <si>
    <t>GROVE Abigail</t>
  </si>
  <si>
    <t>SCOTT Violet</t>
  </si>
  <si>
    <t>COOPER Amy</t>
  </si>
  <si>
    <t>HUMPHREYS Melissa</t>
  </si>
  <si>
    <t>PELL Gracie</t>
  </si>
  <si>
    <t>HELPS Macy</t>
  </si>
  <si>
    <t>HAILEY Faye</t>
  </si>
  <si>
    <t>GRIFFIN Lydia</t>
  </si>
  <si>
    <t>SAS Evelyn</t>
  </si>
  <si>
    <t>STANILAND Charlotte</t>
  </si>
  <si>
    <t>HALL Lottie</t>
  </si>
  <si>
    <t>FELLOWS Isabelle</t>
  </si>
  <si>
    <t>WILMOT Amy</t>
  </si>
  <si>
    <t>SULLOCK Beth</t>
  </si>
  <si>
    <t>LILLIE Freya</t>
  </si>
  <si>
    <t>OKEY Gift</t>
  </si>
  <si>
    <t>SEDGWICK Emma</t>
  </si>
  <si>
    <t>PETTIT Grace</t>
  </si>
  <si>
    <t>STOW Libby</t>
  </si>
  <si>
    <t>ABDI Zulekha</t>
  </si>
  <si>
    <t>LINGARD Beatrice</t>
  </si>
  <si>
    <t>HAYES Zara</t>
  </si>
  <si>
    <t>CRESSEY Evie</t>
  </si>
  <si>
    <t>PEARSON Adam</t>
  </si>
  <si>
    <t>HICKLING William</t>
  </si>
  <si>
    <t>BASTOW Isaac</t>
  </si>
  <si>
    <t>WATSON Miles</t>
  </si>
  <si>
    <t>MARSHALL Syd</t>
  </si>
  <si>
    <t>SANDWELL Joshua</t>
  </si>
  <si>
    <t>JONES Alex</t>
  </si>
  <si>
    <t>CHALK William</t>
  </si>
  <si>
    <t>RUTTER Lewis</t>
  </si>
  <si>
    <t>ROTHWELL Noah</t>
  </si>
  <si>
    <t>WALSH Lincoln</t>
  </si>
  <si>
    <t>GASKIN Nathanael</t>
  </si>
  <si>
    <t>DREW Matthew</t>
  </si>
  <si>
    <t>LOWE Seth</t>
  </si>
  <si>
    <t>STOWELL Callum</t>
  </si>
  <si>
    <t>REILLY Arthur</t>
  </si>
  <si>
    <t>CONNELLY George</t>
  </si>
  <si>
    <t>WINGFIELD Tyler</t>
  </si>
  <si>
    <t>COCKINGS Matthew</t>
  </si>
  <si>
    <t>MAY Rudi</t>
  </si>
  <si>
    <t>PLATTS Will</t>
  </si>
  <si>
    <t>REED Elliot</t>
  </si>
  <si>
    <t>TAYLOR George</t>
  </si>
  <si>
    <t>ENGLISH Elliott</t>
  </si>
  <si>
    <t>HENNESSEY Thomas</t>
  </si>
  <si>
    <t>MAYNARD Finley</t>
  </si>
  <si>
    <t>HONEYMAN Leo</t>
  </si>
  <si>
    <t>SMURTHWAITE Oliver</t>
  </si>
  <si>
    <t>FRANCIS Stan</t>
  </si>
  <si>
    <t>CRAGGS George</t>
  </si>
  <si>
    <t>O'HARE Christy</t>
  </si>
  <si>
    <t>MARRON Ethan</t>
  </si>
  <si>
    <t>O'HARE Dillon</t>
  </si>
  <si>
    <t>LANGTON Cody</t>
  </si>
  <si>
    <t>OADES James</t>
  </si>
  <si>
    <t>COOK Alexander</t>
  </si>
  <si>
    <t>PELL Nathan</t>
  </si>
  <si>
    <t>BENNETT Daniel</t>
  </si>
  <si>
    <t>BODEN Ethan</t>
  </si>
  <si>
    <t>DAVIES-BOWLER Harrison</t>
  </si>
  <si>
    <t>DEAKIN Nathan</t>
  </si>
  <si>
    <t>GRATTON Ollie</t>
  </si>
  <si>
    <t>GREVESON Keyon</t>
  </si>
  <si>
    <t>LEE Jenson</t>
  </si>
  <si>
    <t>MARRIOTT Max</t>
  </si>
  <si>
    <t>HEATON Ben</t>
  </si>
  <si>
    <t>HENNESSEY John</t>
  </si>
  <si>
    <t>HIBBERD Elijah</t>
  </si>
  <si>
    <t>HIRST Adam</t>
  </si>
  <si>
    <t>MARSTON-GIROUX Isaac</t>
  </si>
  <si>
    <t>MURRAY Tony</t>
  </si>
  <si>
    <t>OLIVER Isaac</t>
  </si>
  <si>
    <t>PRINCE Zak</t>
  </si>
  <si>
    <t>RHODES Jamie</t>
  </si>
  <si>
    <t>WALLACE George</t>
  </si>
  <si>
    <t>WELFORD Rowan</t>
  </si>
  <si>
    <t>BOYLE Jack</t>
  </si>
  <si>
    <t>BROWN EDWARD</t>
  </si>
  <si>
    <t>DOEG Aiden</t>
  </si>
  <si>
    <t>FARMER-BEASLEY Bryce</t>
  </si>
  <si>
    <t>GASKIN Ian</t>
  </si>
  <si>
    <t>GOLD James</t>
  </si>
  <si>
    <t>HOPKIN Jacob</t>
  </si>
  <si>
    <t>KIRBY Alfie</t>
  </si>
  <si>
    <t>LEFLEY Samuel</t>
  </si>
  <si>
    <t>LINDRIDGE Theo</t>
  </si>
  <si>
    <t>MOSS Joshua</t>
  </si>
  <si>
    <t>PYM Ethan</t>
  </si>
  <si>
    <t>SCHOFIELD Sam</t>
  </si>
  <si>
    <t>SCURRAH-SMYTH Ben</t>
  </si>
  <si>
    <t>STABLER Isaac</t>
  </si>
  <si>
    <t>TRANTER Adam</t>
  </si>
  <si>
    <t>WAITES Jonah</t>
  </si>
  <si>
    <t>WILSON Conall</t>
  </si>
  <si>
    <t>WILSON Harley</t>
  </si>
  <si>
    <t>WRIGHT Charlie</t>
  </si>
  <si>
    <t>APPLEBY Dylan</t>
  </si>
  <si>
    <t>BAKER Edward</t>
  </si>
  <si>
    <t>BIRSE Tommy</t>
  </si>
  <si>
    <t>CARR Freddie</t>
  </si>
  <si>
    <t>CARTER Alex</t>
  </si>
  <si>
    <t>CAYGILL Matthew</t>
  </si>
  <si>
    <t>GRYLLS Theo</t>
  </si>
  <si>
    <t>HARRIS Mason</t>
  </si>
  <si>
    <t>HUGHES James</t>
  </si>
  <si>
    <t>JOHNSON Curtis</t>
  </si>
  <si>
    <t>KELL William</t>
  </si>
  <si>
    <t>RYDER Joseph</t>
  </si>
  <si>
    <t>SAVAGE Benjamin</t>
  </si>
  <si>
    <t>SAYER James</t>
  </si>
  <si>
    <t>SIGSWORTH Joe</t>
  </si>
  <si>
    <t>SIMPSON Harry</t>
  </si>
  <si>
    <t>WILSON Harry</t>
  </si>
  <si>
    <t>BAYLEY Jack</t>
  </si>
  <si>
    <t>CHANT Oliver</t>
  </si>
  <si>
    <t>COMERFORD Alfie</t>
  </si>
  <si>
    <t>COUCH Harvey</t>
  </si>
  <si>
    <t>DAVIES Kieran</t>
  </si>
  <si>
    <t>PRASAD Ashil</t>
  </si>
  <si>
    <t>TAYLOR Harley</t>
  </si>
  <si>
    <t>TRIPPITT Levi</t>
  </si>
  <si>
    <t>TRIPPITT Lewis</t>
  </si>
  <si>
    <t>BEEBE Lucy</t>
  </si>
  <si>
    <t>CAMPTON Eleanor</t>
  </si>
  <si>
    <t>COULSON Sky</t>
  </si>
  <si>
    <t>HILL Kelsey</t>
  </si>
  <si>
    <t>SMITH Robyn</t>
  </si>
  <si>
    <t>SOLLEY Leah</t>
  </si>
  <si>
    <t>ATOYEBI Anaiah</t>
  </si>
  <si>
    <t>HOLMES Amelia rose</t>
  </si>
  <si>
    <t>KRIEL PARR Daisy</t>
  </si>
  <si>
    <t>CALVERT Caitlin</t>
  </si>
  <si>
    <t>CHECHIK Sonya</t>
  </si>
  <si>
    <t>EASTWOOD Abbie</t>
  </si>
  <si>
    <t>HADAWAY Alice</t>
  </si>
  <si>
    <t>HALL Gabi</t>
  </si>
  <si>
    <t>HANCOCK Daisy</t>
  </si>
  <si>
    <t>LINDRIDGE Maya</t>
  </si>
  <si>
    <t>MOAT Annabel</t>
  </si>
  <si>
    <t>RICHMOND Lucy</t>
  </si>
  <si>
    <t>TAYLOR Freya</t>
  </si>
  <si>
    <t>VASSELL Elvina</t>
  </si>
  <si>
    <t>WEATHERSTONE Olivia</t>
  </si>
  <si>
    <t>BRAZUKAS Toni</t>
  </si>
  <si>
    <t>CLARKE Holly</t>
  </si>
  <si>
    <t>DALEY Hannah</t>
  </si>
  <si>
    <t>DAY Martha</t>
  </si>
  <si>
    <t>FLETCHER Olivia</t>
  </si>
  <si>
    <t>FLETCHER Ruth</t>
  </si>
  <si>
    <t>HALL Gabrielle</t>
  </si>
  <si>
    <t>HALL Isabelle</t>
  </si>
  <si>
    <t>HEDGER Ella</t>
  </si>
  <si>
    <t>HERBERT Isabel</t>
  </si>
  <si>
    <t>JOHNSON Althea</t>
  </si>
  <si>
    <t>LOWE Katie</t>
  </si>
  <si>
    <t>MCDONALD Grace</t>
  </si>
  <si>
    <t>MCGOURAN Lucy</t>
  </si>
  <si>
    <t>MONTAGUE Isabella</t>
  </si>
  <si>
    <t>MORFITT Isobel</t>
  </si>
  <si>
    <t>PAWLETT Neve</t>
  </si>
  <si>
    <t>RAMSEY Libby</t>
  </si>
  <si>
    <t>USHIE Loraine</t>
  </si>
  <si>
    <t>WALKER Ruby</t>
  </si>
  <si>
    <t>WILSON Pheobe</t>
  </si>
  <si>
    <t>ALTOFT Olivia</t>
  </si>
  <si>
    <t>BAXTER Ellisha</t>
  </si>
  <si>
    <t>CARTLEDGE Ellie</t>
  </si>
  <si>
    <t>GREGORY Ava</t>
  </si>
  <si>
    <t>JENKINS Emily</t>
  </si>
  <si>
    <t>POTTER Niamh</t>
  </si>
  <si>
    <t>X</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</si>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</sst>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4" formatCode="_-&quot;£&quot;* #,##0.00_-;\-&quot;£&quot;* #,##0.00_-;_-&quot;£&quot;* &quot;-&quot;??_-;_-@_-"/>
    <numFmt numFmtId="43" formatCode="_-* #,##0.00_-;\-* #,##0.00_-;_-* &quot;-&quot;??_-;_-@_-"/>
    <numFmt numFmtId="164" formatCode="_-* #,##0_-;\-* #,##0_-;_-* &quot;-&quot;??_-;_-@_-"/>
    <numFmt numFmtId="165" formatCode="mm:ss.00"/>
    <numFmt numFmtId="166" formatCode="dddd\,\ mmmm\ dd\ yyyy"/>
    <numFmt numFmtId="167" formatCode="[$-F800]dddd\,\ mmmm\ dd\,\ yyyy"/>
    <numFmt numFmtId="168" formatCode="0.00_ ;[Red]\-0.00\ "/>
    <numFmt numFmtId="169" formatCode="0.0"/>
    <numFmt numFmtId="170" formatCode="0.0000"/>
    <numFmt numFmtId="171" formatCode="#,##0.0000"/>
    <numFmt numFmtId="172" formatCode="#,##0.000"/>
    <numFmt numFmtId="173" formatCode="#,##0.0"/>
    <numFmt numFmtId="174" formatCode="dd\/mm\/yyyy"/>
  </numFmts>
  <fonts count="100" x14ac:knownFonts="1">
    <font>
      <sz val="11"/>
      <color theme="1"/>
      <name val="Calibri"/>
      <family val="2"/>
      <scheme val="minor"/>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1"/>
      <color theme="1"/>
      <name val="Calibri"/>
      <family val="2"/>
      <scheme val="minor"/>
    </font>
    <font>
      <sz val="10"/>
      <name val="Arial"/>
      <family val="2"/>
    </font>
    <font>
      <b/>
      <sz val="8"/>
      <name val="Trebuchet MS"/>
      <family val="2"/>
    </font>
    <font>
      <i/>
      <sz val="8"/>
      <name val="Trebuchet MS"/>
      <family val="2"/>
    </font>
    <font>
      <b/>
      <sz val="16"/>
      <name val="Trebuchet MS"/>
      <family val="2"/>
    </font>
    <font>
      <sz val="8"/>
      <name val="Trebuchet MS"/>
      <family val="2"/>
    </font>
    <font>
      <sz val="8"/>
      <color theme="1"/>
      <name val="Trebuchet MS"/>
      <family val="2"/>
    </font>
    <font>
      <sz val="9"/>
      <name val="Trebuchet MS"/>
      <family val="2"/>
    </font>
    <font>
      <b/>
      <sz val="9"/>
      <name val="Trebuchet MS"/>
      <family val="2"/>
    </font>
    <font>
      <sz val="9"/>
      <color theme="1"/>
      <name val="Trebuchet MS"/>
      <family val="2"/>
    </font>
    <font>
      <sz val="10"/>
      <color rgb="FF000000"/>
      <name val="Times New Roman"/>
      <family val="1"/>
    </font>
    <font>
      <sz val="10"/>
      <color theme="1"/>
      <name val="Trebuchet MS"/>
      <family val="2"/>
    </font>
    <font>
      <b/>
      <sz val="10"/>
      <name val="Trebuchet MS"/>
      <family val="2"/>
    </font>
    <font>
      <sz val="10"/>
      <name val="Trebuchet MS"/>
      <family val="2"/>
    </font>
    <font>
      <b/>
      <u/>
      <sz val="10"/>
      <color theme="1"/>
      <name val="Trebuchet MS"/>
      <family val="2"/>
    </font>
    <font>
      <sz val="7"/>
      <name val="Trebuchet MS"/>
      <family val="2"/>
    </font>
    <font>
      <b/>
      <sz val="12"/>
      <name val="Trebuchet MS"/>
      <family val="2"/>
    </font>
    <font>
      <sz val="9"/>
      <color rgb="FF000000"/>
      <name val="Trebuchet MS"/>
      <family val="2"/>
    </font>
    <font>
      <b/>
      <sz val="9"/>
      <color theme="1"/>
      <name val="Trebuchet MS"/>
      <family val="2"/>
    </font>
    <font>
      <sz val="9"/>
      <color theme="0"/>
      <name val="Trebuchet MS"/>
      <family val="2"/>
    </font>
    <font>
      <sz val="9"/>
      <color rgb="FFFF0000"/>
      <name val="Trebuchet MS"/>
      <family val="2"/>
    </font>
    <font>
      <i/>
      <sz val="9"/>
      <color rgb="FFFF0000"/>
      <name val="Trebuchet MS"/>
      <family val="2"/>
    </font>
    <font>
      <sz val="10"/>
      <name val="Arial Narrow"/>
      <family val="2"/>
    </font>
    <font>
      <b/>
      <u/>
      <sz val="9"/>
      <color theme="1"/>
      <name val="Trebuchet MS"/>
      <family val="2"/>
    </font>
    <font>
      <i/>
      <sz val="8"/>
      <color rgb="FFFF0000"/>
      <name val="Trebuchet MS"/>
      <family val="2"/>
    </font>
    <font>
      <sz val="14"/>
      <name val="Trebuchet MS"/>
      <family val="2"/>
    </font>
    <font>
      <sz val="10"/>
      <color rgb="FFC00000"/>
      <name val="Trebuchet MS"/>
      <family val="2"/>
    </font>
    <font>
      <sz val="36"/>
      <name val="Trebuchet MS"/>
      <family val="2"/>
    </font>
    <font>
      <u/>
      <sz val="11"/>
      <color theme="10"/>
      <name val="Calibri"/>
      <family val="2"/>
      <scheme val="minor"/>
    </font>
    <font>
      <u/>
      <sz val="14"/>
      <color theme="10"/>
      <name val="Trebuchet MS"/>
      <family val="2"/>
    </font>
    <font>
      <sz val="8"/>
      <name val="Calibri"/>
      <family val="2"/>
      <scheme val="minor"/>
    </font>
    <font>
      <b/>
      <sz val="10"/>
      <color theme="0"/>
      <name val="Trebuchet MS"/>
      <family val="2"/>
    </font>
    <font>
      <b/>
      <sz val="10"/>
      <color theme="1"/>
      <name val="Trebuchet MS"/>
      <family val="2"/>
    </font>
    <font>
      <sz val="10"/>
      <color theme="0"/>
      <name val="Trebuchet MS"/>
      <family val="2"/>
    </font>
    <font>
      <u/>
      <sz val="10"/>
      <color theme="0"/>
      <name val="Trebuchet MS"/>
      <family val="2"/>
    </font>
    <font>
      <b/>
      <u/>
      <sz val="10"/>
      <color theme="0"/>
      <name val="Trebuchet MS"/>
      <family val="2"/>
    </font>
    <font>
      <sz val="8"/>
      <color rgb="FFFF0000"/>
      <name val="Trebuchet MS"/>
      <family val="2"/>
    </font>
    <font>
      <sz val="10"/>
      <color rgb="FF222222"/>
      <name val="Trebuchet MS"/>
      <family val="2"/>
    </font>
    <font>
      <u/>
      <sz val="10"/>
      <name val="Trebuchet MS"/>
      <family val="2"/>
    </font>
    <font>
      <sz val="10"/>
      <name val="Wingdings"/>
      <charset val="2"/>
    </font>
    <font>
      <sz val="10"/>
      <color rgb="FF222222"/>
      <name val="Arial"/>
      <family val="2"/>
    </font>
    <font>
      <b/>
      <u/>
      <sz val="10"/>
      <color indexed="8"/>
      <name val="Trebuchet MS"/>
      <family val="2"/>
    </font>
    <font>
      <b/>
      <sz val="10"/>
      <name val="Trebuchet MS"/>
      <family val="2"/>
    </font>
    <font>
      <sz val="10"/>
      <name val="Trebuchet MS"/>
      <family val="2"/>
    </font>
    <font>
      <sz val="10"/>
      <color theme="1"/>
      <name val="Trebuchet MS"/>
      <family val="2"/>
    </font>
    <font>
      <sz val="9"/>
      <name val="Trebuchet MS"/>
      <family val="2"/>
    </font>
    <font>
      <sz val="10"/>
      <color rgb="FF000000"/>
      <name val="Segoe UI Semilight"/>
      <family val="2"/>
    </font>
    <font>
      <sz val="11"/>
      <color rgb="FFFF0000"/>
      <name val="Calibri"/>
      <family val="2"/>
    </font>
    <font>
      <sz val="11"/>
      <color rgb="FF000000"/>
      <name val="Calibri"/>
      <family val="2"/>
    </font>
    <font>
      <sz val="10"/>
      <color rgb="FFFF0000"/>
      <name val="Trebuchet MS"/>
      <family val="2"/>
    </font>
    <font>
      <sz val="9"/>
      <color indexed="81"/>
      <name val="Tahoma"/>
      <family val="2"/>
    </font>
    <font>
      <sz val="10"/>
      <color rgb="FF00B0F0"/>
      <name val="Trebuchet MS"/>
      <family val="2"/>
    </font>
    <font>
      <sz val="9"/>
      <color indexed="8"/>
      <name val="Trebuchet MS"/>
      <family val="2"/>
    </font>
    <font>
      <b/>
      <sz val="9"/>
      <color rgb="FFFF0000"/>
      <name val="Trebuchet MS"/>
      <family val="2"/>
    </font>
    <font>
      <sz val="9"/>
      <color rgb="FFC00000"/>
      <name val="Trebuchet MS"/>
      <family val="2"/>
    </font>
    <font>
      <sz val="9"/>
      <color rgb="FF00B0F0"/>
      <name val="Trebuchet MS"/>
      <family val="2"/>
    </font>
    <font>
      <sz val="9"/>
      <color theme="1"/>
      <name val="Segoe UI Semilight"/>
      <family val="2"/>
    </font>
    <font>
      <sz val="9"/>
      <color theme="0"/>
      <name val="Segoe UI Light"/>
      <family val="2"/>
    </font>
    <font>
      <sz val="9"/>
      <color theme="1"/>
      <name val="Segoe UI Light"/>
      <family val="2"/>
    </font>
    <font>
      <b/>
      <sz val="9"/>
      <color theme="1"/>
      <name val="Segoe UI Light"/>
      <family val="2"/>
    </font>
    <font>
      <u/>
      <sz val="9"/>
      <name val="Trebuchet MS"/>
      <family val="2"/>
    </font>
    <font>
      <b/>
      <u/>
      <sz val="10"/>
      <name val="Trebuchet MS"/>
      <family val="2"/>
    </font>
    <font>
      <b/>
      <u/>
      <sz val="9"/>
      <name val="Trebuchet MS"/>
      <family val="2"/>
    </font>
    <font>
      <i/>
      <sz val="9"/>
      <name val="Trebuchet MS"/>
      <family val="2"/>
    </font>
  </fonts>
  <fills count="33">
    <fill>
      <patternFill patternType="none"/>
    </fill>
    <fill>
      <patternFill patternType="gray125"/>
    </fill>
    <fill>
      <patternFill patternType="solid">
        <fgColor theme="1"/>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8" tint="0.59999389629810485"/>
        <bgColor indexed="64"/>
      </patternFill>
    </fill>
    <fill>
      <patternFill patternType="solid">
        <fgColor rgb="FFFFC000"/>
        <bgColor indexed="64"/>
      </patternFill>
    </fill>
    <fill>
      <patternFill patternType="solid">
        <fgColor rgb="FFFFFF00"/>
        <bgColor indexed="64"/>
      </patternFill>
    </fill>
    <fill>
      <patternFill patternType="solid">
        <fgColor indexed="26"/>
        <bgColor indexed="64"/>
      </patternFill>
    </fill>
    <fill>
      <patternFill patternType="solid">
        <fgColor theme="6" tint="0.79998168889431442"/>
        <bgColor indexed="64"/>
      </patternFill>
    </fill>
    <fill>
      <patternFill patternType="solid">
        <fgColor theme="4" tint="0.79998168889431442"/>
        <bgColor indexed="64"/>
      </patternFill>
    </fill>
    <fill>
      <patternFill patternType="lightGray">
        <fgColor theme="2" tint="-0.499984740745262"/>
        <bgColor indexed="65"/>
      </patternFill>
    </fill>
    <fill>
      <patternFill patternType="solid">
        <fgColor theme="8" tint="0.79998168889431442"/>
        <bgColor indexed="64"/>
      </patternFill>
    </fill>
    <fill>
      <patternFill patternType="lightGray">
        <fgColor theme="2" tint="-0.499984740745262"/>
        <bgColor theme="8" tint="0.79998168889431442"/>
      </patternFill>
    </fill>
    <fill>
      <patternFill patternType="solid">
        <fgColor theme="7" tint="0.79998168889431442"/>
        <bgColor indexed="64"/>
      </patternFill>
    </fill>
    <fill>
      <patternFill patternType="lightGray">
        <fgColor theme="2" tint="-0.499984740745262"/>
        <bgColor theme="9" tint="0.79998168889431442"/>
      </patternFill>
    </fill>
    <fill>
      <patternFill patternType="solid">
        <fgColor theme="6" tint="0.39997558519241921"/>
        <bgColor indexed="64"/>
      </patternFill>
    </fill>
    <fill>
      <patternFill patternType="solid">
        <fgColor theme="8" tint="-0.249977111117893"/>
        <bgColor theme="8" tint="-0.249977111117893"/>
      </patternFill>
    </fill>
    <fill>
      <patternFill patternType="solid">
        <fgColor theme="8"/>
        <bgColor theme="8"/>
      </patternFill>
    </fill>
    <fill>
      <patternFill patternType="solid">
        <fgColor theme="0" tint="-0.14999847407452621"/>
        <bgColor theme="0" tint="-0.14999847407452621"/>
      </patternFill>
    </fill>
    <fill>
      <patternFill patternType="solid">
        <fgColor theme="4"/>
        <bgColor theme="4"/>
      </patternFill>
    </fill>
    <fill>
      <patternFill patternType="solid">
        <fgColor theme="4" tint="0.79998168889431442"/>
        <bgColor theme="4" tint="0.79998168889431442"/>
      </patternFill>
    </fill>
    <fill>
      <patternFill patternType="solid">
        <fgColor theme="4"/>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rgb="FF7FA700"/>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FFF00"/>
        <bgColor theme="4" tint="0.79998168889431442"/>
      </patternFill>
    </fill>
    <fill>
      <patternFill patternType="lightTrellis"/>
    </fill>
    <fill>
      <patternFill patternType="gray0625"/>
    </fill>
  </fills>
  <borders count="35">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hair">
        <color auto="1"/>
      </right>
      <top style="hair">
        <color auto="1"/>
      </top>
      <bottom style="hair">
        <color auto="1"/>
      </bottom>
      <diagonal/>
    </border>
    <border>
      <left style="thin">
        <color auto="1"/>
      </left>
      <right/>
      <top/>
      <bottom/>
      <diagonal/>
    </border>
    <border>
      <left style="hair">
        <color auto="1"/>
      </left>
      <right style="hair">
        <color auto="1"/>
      </right>
      <top style="hair">
        <color auto="1"/>
      </top>
      <bottom style="hair">
        <color auto="1"/>
      </bottom>
      <diagonal/>
    </border>
    <border>
      <left style="dashDotDot">
        <color auto="1"/>
      </left>
      <right style="dotted">
        <color auto="1"/>
      </right>
      <top style="dashDotDot">
        <color auto="1"/>
      </top>
      <bottom style="dotted">
        <color auto="1"/>
      </bottom>
      <diagonal/>
    </border>
    <border>
      <left style="dotted">
        <color auto="1"/>
      </left>
      <right style="dotted">
        <color auto="1"/>
      </right>
      <top style="dashDotDot">
        <color auto="1"/>
      </top>
      <bottom style="dotted">
        <color auto="1"/>
      </bottom>
      <diagonal/>
    </border>
    <border>
      <left style="dotted">
        <color auto="1"/>
      </left>
      <right style="dashDotDot">
        <color auto="1"/>
      </right>
      <top style="dashDotDot">
        <color auto="1"/>
      </top>
      <bottom style="dotted">
        <color auto="1"/>
      </bottom>
      <diagonal/>
    </border>
    <border>
      <left style="dashDotDot">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ashDotDot">
        <color auto="1"/>
      </right>
      <top style="dotted">
        <color auto="1"/>
      </top>
      <bottom style="dotted">
        <color auto="1"/>
      </bottom>
      <diagonal/>
    </border>
    <border>
      <left/>
      <right/>
      <top style="thin">
        <color auto="1"/>
      </top>
      <bottom style="double">
        <color auto="1"/>
      </bottom>
      <diagonal/>
    </border>
    <border>
      <left/>
      <right/>
      <top style="medium">
        <color theme="0"/>
      </top>
      <bottom/>
      <diagonal/>
    </border>
    <border>
      <left style="hair">
        <color auto="1"/>
      </left>
      <right style="hair">
        <color auto="1"/>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diagonal/>
    </border>
    <border diagonalDown="1">
      <left style="thin">
        <color auto="1"/>
      </left>
      <right style="thin">
        <color auto="1"/>
      </right>
      <top style="thin">
        <color auto="1"/>
      </top>
      <bottom style="thin">
        <color auto="1"/>
      </bottom>
      <diagonal style="thin">
        <color auto="1"/>
      </diagonal>
    </border>
    <border>
      <left/>
      <right style="medium">
        <color auto="1"/>
      </right>
      <top/>
      <bottom/>
      <diagonal/>
    </border>
  </borders>
  <cellStyleXfs count="8">
    <xf numFmtId="0" fontId="0" fillId="0" borderId="0"/>
    <xf numFmtId="43" fontId="36" fillId="0" borderId="0" applyFont="0" applyFill="0" applyBorder="0" applyAlignment="0" applyProtection="0"/>
    <xf numFmtId="0" fontId="37" fillId="0" borderId="0"/>
    <xf numFmtId="0" fontId="46" fillId="0" borderId="0"/>
    <xf numFmtId="44" fontId="37" fillId="0" borderId="0" applyFont="0" applyFill="0" applyBorder="0" applyAlignment="0" applyProtection="0"/>
    <xf numFmtId="0" fontId="37" fillId="0" borderId="0"/>
    <xf numFmtId="0" fontId="58" fillId="0" borderId="0"/>
    <xf numFmtId="0" fontId="64" fillId="0" borderId="0" applyNumberFormat="0" applyFill="0" applyBorder="0" applyAlignment="0" applyProtection="0"/>
  </cellStyleXfs>
  <cellXfs count="581">
    <xf numFmtId="0" fontId="0" fillId="0" borderId="0" xfId="0"/>
    <xf numFmtId="0" fontId="38" fillId="0" borderId="0" xfId="2" applyFont="1" applyAlignment="1" applyProtection="1">
      <alignment horizontal="center" vertical="center"/>
      <protection hidden="1"/>
    </xf>
    <xf numFmtId="0" fontId="39" fillId="3" borderId="0" xfId="2" applyFont="1" applyFill="1" applyAlignment="1" applyProtection="1">
      <alignment horizontal="center" vertical="center"/>
      <protection hidden="1"/>
    </xf>
    <xf numFmtId="0" fontId="39" fillId="0" borderId="0" xfId="2" applyFont="1" applyAlignment="1" applyProtection="1">
      <alignment vertical="center"/>
      <protection hidden="1"/>
    </xf>
    <xf numFmtId="0" fontId="41" fillId="0" borderId="0" xfId="2" applyFont="1" applyAlignment="1" applyProtection="1">
      <alignment vertical="center"/>
      <protection hidden="1"/>
    </xf>
    <xf numFmtId="0" fontId="42" fillId="0" borderId="0" xfId="0" applyFont="1" applyAlignment="1" applyProtection="1">
      <alignment horizontal="center" vertical="center"/>
      <protection hidden="1"/>
    </xf>
    <xf numFmtId="167" fontId="41" fillId="0" borderId="0" xfId="2" applyNumberFormat="1" applyFont="1" applyAlignment="1" applyProtection="1">
      <alignment vertical="center"/>
      <protection hidden="1"/>
    </xf>
    <xf numFmtId="0" fontId="39" fillId="0" borderId="0" xfId="0" applyFont="1" applyAlignment="1" applyProtection="1">
      <alignment horizontal="center"/>
      <protection hidden="1"/>
    </xf>
    <xf numFmtId="0" fontId="41" fillId="0" borderId="0" xfId="2" applyFont="1" applyAlignment="1" applyProtection="1">
      <alignment horizontal="center" vertical="center"/>
      <protection hidden="1"/>
    </xf>
    <xf numFmtId="0" fontId="41" fillId="0" borderId="0" xfId="0" applyFont="1" applyAlignment="1" applyProtection="1">
      <alignment horizontal="center"/>
      <protection hidden="1"/>
    </xf>
    <xf numFmtId="0" fontId="39" fillId="0" borderId="0" xfId="2" applyFont="1" applyAlignment="1" applyProtection="1">
      <alignment horizontal="center" vertical="center"/>
      <protection hidden="1"/>
    </xf>
    <xf numFmtId="2" fontId="41" fillId="0" borderId="0" xfId="2" applyNumberFormat="1" applyFont="1" applyAlignment="1" applyProtection="1">
      <alignment horizontal="center" vertical="center"/>
      <protection hidden="1"/>
    </xf>
    <xf numFmtId="0" fontId="43" fillId="0" borderId="1" xfId="2" applyFont="1" applyBorder="1" applyAlignment="1" applyProtection="1">
      <alignment vertical="center"/>
      <protection hidden="1"/>
    </xf>
    <xf numFmtId="0" fontId="43" fillId="0" borderId="6" xfId="2" applyFont="1" applyBorder="1" applyAlignment="1" applyProtection="1">
      <alignment horizontal="center" vertical="center"/>
      <protection hidden="1"/>
    </xf>
    <xf numFmtId="0" fontId="43" fillId="0" borderId="7" xfId="2" applyFont="1" applyBorder="1" applyAlignment="1" applyProtection="1">
      <alignment horizontal="center" vertical="center"/>
      <protection hidden="1"/>
    </xf>
    <xf numFmtId="0" fontId="43" fillId="0" borderId="9" xfId="2" applyFont="1" applyBorder="1" applyAlignment="1" applyProtection="1">
      <alignment horizontal="left" vertical="center"/>
      <protection hidden="1"/>
    </xf>
    <xf numFmtId="0" fontId="43" fillId="0" borderId="8" xfId="2" applyFont="1" applyBorder="1" applyAlignment="1" applyProtection="1">
      <alignment horizontal="left" vertical="center"/>
      <protection hidden="1"/>
    </xf>
    <xf numFmtId="3" fontId="43" fillId="0" borderId="1" xfId="2" applyNumberFormat="1" applyFont="1" applyBorder="1" applyAlignment="1" applyProtection="1">
      <alignment horizontal="center" vertical="center"/>
      <protection hidden="1"/>
    </xf>
    <xf numFmtId="0" fontId="45" fillId="0" borderId="1" xfId="0" applyFont="1" applyBorder="1" applyAlignment="1" applyProtection="1">
      <alignment vertical="center"/>
      <protection hidden="1"/>
    </xf>
    <xf numFmtId="0" fontId="43" fillId="0" borderId="1" xfId="0" applyFont="1" applyBorder="1" applyAlignment="1" applyProtection="1">
      <alignment horizontal="center" vertical="center"/>
      <protection hidden="1"/>
    </xf>
    <xf numFmtId="0" fontId="43" fillId="0" borderId="0" xfId="2" applyFont="1" applyAlignment="1" applyProtection="1">
      <alignment vertical="center"/>
      <protection hidden="1"/>
    </xf>
    <xf numFmtId="0" fontId="43" fillId="0" borderId="0" xfId="2" applyFont="1" applyAlignment="1" applyProtection="1">
      <alignment horizontal="left" vertical="center"/>
      <protection hidden="1"/>
    </xf>
    <xf numFmtId="0" fontId="43" fillId="0" borderId="7" xfId="2" applyFont="1" applyBorder="1" applyAlignment="1" applyProtection="1">
      <alignment vertical="center"/>
      <protection hidden="1"/>
    </xf>
    <xf numFmtId="0" fontId="43" fillId="0" borderId="9" xfId="2" applyFont="1" applyBorder="1" applyAlignment="1" applyProtection="1">
      <alignment vertical="center"/>
      <protection hidden="1"/>
    </xf>
    <xf numFmtId="0" fontId="43" fillId="0" borderId="12" xfId="2" applyFont="1" applyBorder="1" applyAlignment="1" applyProtection="1">
      <alignment vertical="center"/>
      <protection hidden="1"/>
    </xf>
    <xf numFmtId="0" fontId="43" fillId="0" borderId="13" xfId="2" applyFont="1" applyBorder="1" applyAlignment="1" applyProtection="1">
      <alignment vertical="center"/>
      <protection hidden="1"/>
    </xf>
    <xf numFmtId="0" fontId="43" fillId="0" borderId="14" xfId="2" applyFont="1" applyBorder="1" applyAlignment="1" applyProtection="1">
      <alignment vertical="center"/>
      <protection hidden="1"/>
    </xf>
    <xf numFmtId="0" fontId="43" fillId="0" borderId="1" xfId="0" applyFont="1" applyBorder="1" applyAlignment="1" applyProtection="1">
      <alignment horizontal="left" vertical="center"/>
      <protection hidden="1"/>
    </xf>
    <xf numFmtId="0" fontId="43" fillId="0" borderId="10" xfId="2" applyFont="1" applyBorder="1" applyAlignment="1" applyProtection="1">
      <alignment vertical="center"/>
      <protection hidden="1"/>
    </xf>
    <xf numFmtId="0" fontId="43" fillId="0" borderId="11" xfId="2" applyFont="1" applyBorder="1" applyAlignment="1" applyProtection="1">
      <alignment vertical="center"/>
      <protection hidden="1"/>
    </xf>
    <xf numFmtId="0" fontId="43" fillId="0" borderId="8" xfId="2" applyFont="1" applyBorder="1" applyAlignment="1" applyProtection="1">
      <alignment vertical="center"/>
      <protection hidden="1"/>
    </xf>
    <xf numFmtId="0" fontId="41" fillId="0" borderId="15" xfId="2" applyFont="1" applyBorder="1" applyAlignment="1" applyProtection="1">
      <alignment horizontal="center" vertical="center"/>
      <protection hidden="1"/>
    </xf>
    <xf numFmtId="0" fontId="48" fillId="0" borderId="0" xfId="2"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49" fillId="0" borderId="0" xfId="2" applyFont="1" applyAlignment="1" applyProtection="1">
      <alignment horizontal="center" vertical="center"/>
      <protection hidden="1"/>
    </xf>
    <xf numFmtId="3" fontId="49" fillId="0" borderId="0" xfId="2" applyNumberFormat="1" applyFont="1" applyAlignment="1" applyProtection="1">
      <alignment horizontal="center" vertical="center"/>
      <protection hidden="1"/>
    </xf>
    <xf numFmtId="0" fontId="47" fillId="0" borderId="0" xfId="0" applyFont="1" applyAlignment="1" applyProtection="1">
      <alignment vertical="center"/>
      <protection hidden="1"/>
    </xf>
    <xf numFmtId="167" fontId="41" fillId="0" borderId="0" xfId="2" applyNumberFormat="1" applyFont="1" applyAlignment="1" applyProtection="1">
      <alignment horizontal="center" vertical="center"/>
      <protection hidden="1"/>
    </xf>
    <xf numFmtId="3" fontId="39" fillId="0" borderId="0" xfId="2" applyNumberFormat="1" applyFont="1" applyAlignment="1" applyProtection="1">
      <alignment horizontal="center" vertical="center"/>
      <protection hidden="1"/>
    </xf>
    <xf numFmtId="0" fontId="41" fillId="0" borderId="6" xfId="2" applyFont="1" applyBorder="1" applyAlignment="1" applyProtection="1">
      <alignment horizontal="center" vertical="center"/>
      <protection hidden="1"/>
    </xf>
    <xf numFmtId="0" fontId="41" fillId="0" borderId="7" xfId="2" applyFont="1" applyBorder="1" applyAlignment="1" applyProtection="1">
      <alignment horizontal="center" vertical="center"/>
      <protection hidden="1"/>
    </xf>
    <xf numFmtId="0" fontId="41" fillId="0" borderId="12" xfId="2" applyFont="1" applyBorder="1" applyAlignment="1" applyProtection="1">
      <alignment horizontal="center" vertical="center" textRotation="90" wrapText="1"/>
      <protection hidden="1"/>
    </xf>
    <xf numFmtId="0" fontId="41" fillId="0" borderId="0" xfId="2" applyFont="1" applyAlignment="1" applyProtection="1">
      <alignment horizontal="center" vertical="center" wrapText="1"/>
      <protection hidden="1"/>
    </xf>
    <xf numFmtId="0" fontId="41" fillId="0" borderId="9" xfId="2" applyFont="1" applyBorder="1" applyAlignment="1" applyProtection="1">
      <alignment horizontal="center" vertical="center"/>
      <protection hidden="1"/>
    </xf>
    <xf numFmtId="0" fontId="41" fillId="0" borderId="10" xfId="2" applyFont="1" applyBorder="1" applyAlignment="1" applyProtection="1">
      <alignment horizontal="center" vertical="center" textRotation="90" wrapText="1"/>
      <protection hidden="1"/>
    </xf>
    <xf numFmtId="0" fontId="42" fillId="0" borderId="0" xfId="0" applyFont="1" applyAlignment="1" applyProtection="1">
      <alignment horizontal="center"/>
      <protection hidden="1"/>
    </xf>
    <xf numFmtId="0" fontId="41" fillId="0" borderId="0" xfId="0" applyFont="1" applyProtection="1">
      <protection hidden="1"/>
    </xf>
    <xf numFmtId="0" fontId="42" fillId="0" borderId="0" xfId="0" applyFont="1" applyProtection="1">
      <protection hidden="1"/>
    </xf>
    <xf numFmtId="0" fontId="41" fillId="0" borderId="1" xfId="2" applyFont="1" applyBorder="1" applyAlignment="1" applyProtection="1">
      <alignment vertical="center"/>
      <protection hidden="1"/>
    </xf>
    <xf numFmtId="0" fontId="41" fillId="0" borderId="1" xfId="2" applyFont="1" applyBorder="1" applyAlignment="1" applyProtection="1">
      <alignment horizontal="center" vertical="center"/>
      <protection hidden="1"/>
    </xf>
    <xf numFmtId="0" fontId="41" fillId="0" borderId="1" xfId="0" applyFont="1" applyBorder="1" applyAlignment="1" applyProtection="1">
      <alignment horizontal="center" vertical="center"/>
      <protection hidden="1"/>
    </xf>
    <xf numFmtId="0" fontId="41" fillId="0" borderId="16" xfId="2" applyFont="1" applyBorder="1" applyAlignment="1" applyProtection="1">
      <alignment horizontal="center" vertical="center"/>
      <protection hidden="1"/>
    </xf>
    <xf numFmtId="1" fontId="41" fillId="0" borderId="0" xfId="0" applyNumberFormat="1" applyFont="1" applyAlignment="1" applyProtection="1">
      <alignment horizontal="center"/>
      <protection hidden="1"/>
    </xf>
    <xf numFmtId="1" fontId="41" fillId="0" borderId="0" xfId="2" applyNumberFormat="1" applyFont="1" applyAlignment="1" applyProtection="1">
      <alignment horizontal="center" vertical="center"/>
      <protection hidden="1"/>
    </xf>
    <xf numFmtId="0" fontId="43" fillId="0" borderId="10" xfId="2" applyFont="1" applyBorder="1" applyAlignment="1" applyProtection="1">
      <alignment horizontal="center" vertical="center"/>
      <protection hidden="1"/>
    </xf>
    <xf numFmtId="0" fontId="43" fillId="0" borderId="1"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1" fillId="0" borderId="8" xfId="2" applyFont="1" applyBorder="1" applyAlignment="1" applyProtection="1">
      <alignment vertical="center"/>
      <protection hidden="1"/>
    </xf>
    <xf numFmtId="0" fontId="41" fillId="0" borderId="9" xfId="2" applyFont="1" applyBorder="1" applyAlignment="1" applyProtection="1">
      <alignment vertical="center"/>
      <protection hidden="1"/>
    </xf>
    <xf numFmtId="0" fontId="47" fillId="0" borderId="0" xfId="0" applyFont="1" applyProtection="1">
      <protection hidden="1"/>
    </xf>
    <xf numFmtId="0" fontId="47" fillId="8" borderId="0" xfId="0" applyFont="1" applyFill="1" applyAlignment="1" applyProtection="1">
      <alignment horizontal="center"/>
      <protection hidden="1"/>
    </xf>
    <xf numFmtId="2" fontId="47" fillId="8" borderId="0" xfId="0" applyNumberFormat="1" applyFont="1" applyFill="1" applyAlignment="1" applyProtection="1">
      <alignment horizontal="center"/>
      <protection hidden="1"/>
    </xf>
    <xf numFmtId="0" fontId="47" fillId="0" borderId="0" xfId="0" applyFont="1" applyAlignment="1" applyProtection="1">
      <alignment horizontal="center"/>
      <protection hidden="1"/>
    </xf>
    <xf numFmtId="2" fontId="47" fillId="0" borderId="0" xfId="0" applyNumberFormat="1" applyFont="1" applyAlignment="1" applyProtection="1">
      <alignment horizontal="center"/>
      <protection hidden="1"/>
    </xf>
    <xf numFmtId="0" fontId="45" fillId="0" borderId="0" xfId="0" applyFont="1" applyProtection="1">
      <protection hidden="1"/>
    </xf>
    <xf numFmtId="2" fontId="45" fillId="0" borderId="0" xfId="0" applyNumberFormat="1" applyFont="1" applyAlignment="1" applyProtection="1">
      <alignment horizontal="center"/>
      <protection hidden="1"/>
    </xf>
    <xf numFmtId="0" fontId="45" fillId="0" borderId="0" xfId="0" applyFont="1" applyAlignment="1" applyProtection="1">
      <alignment horizontal="center"/>
      <protection hidden="1"/>
    </xf>
    <xf numFmtId="2" fontId="45" fillId="0" borderId="0" xfId="0" applyNumberFormat="1" applyFont="1" applyProtection="1">
      <protection hidden="1"/>
    </xf>
    <xf numFmtId="0" fontId="44" fillId="0" borderId="0" xfId="0" applyFont="1" applyAlignment="1" applyProtection="1">
      <alignment vertical="top"/>
      <protection hidden="1"/>
    </xf>
    <xf numFmtId="0" fontId="44" fillId="0" borderId="0" xfId="0" applyFont="1" applyAlignment="1" applyProtection="1">
      <alignment horizontal="center" vertical="center"/>
      <protection hidden="1"/>
    </xf>
    <xf numFmtId="0" fontId="45" fillId="0" borderId="0" xfId="0" applyFont="1" applyAlignment="1" applyProtection="1">
      <alignment vertical="center"/>
      <protection hidden="1"/>
    </xf>
    <xf numFmtId="2" fontId="45" fillId="0" borderId="0" xfId="0" applyNumberFormat="1" applyFont="1" applyAlignment="1" applyProtection="1">
      <alignment vertical="center"/>
      <protection hidden="1"/>
    </xf>
    <xf numFmtId="0" fontId="43" fillId="0" borderId="0" xfId="0" applyFont="1" applyAlignment="1" applyProtection="1">
      <alignment vertical="top"/>
      <protection hidden="1"/>
    </xf>
    <xf numFmtId="2" fontId="43" fillId="0" borderId="0" xfId="0" applyNumberFormat="1" applyFont="1" applyAlignment="1" applyProtection="1">
      <alignment horizontal="center" vertical="top"/>
      <protection hidden="1"/>
    </xf>
    <xf numFmtId="0" fontId="43" fillId="0" borderId="0" xfId="0" applyFont="1" applyAlignment="1" applyProtection="1">
      <alignment horizontal="center" vertical="top"/>
      <protection hidden="1"/>
    </xf>
    <xf numFmtId="47" fontId="43" fillId="0" borderId="0" xfId="0" applyNumberFormat="1" applyFont="1" applyAlignment="1" applyProtection="1">
      <alignment horizontal="center" vertical="top"/>
      <protection hidden="1"/>
    </xf>
    <xf numFmtId="0" fontId="45" fillId="0" borderId="0" xfId="0" applyFont="1" applyAlignment="1" applyProtection="1">
      <alignment vertical="top"/>
      <protection hidden="1"/>
    </xf>
    <xf numFmtId="0" fontId="45" fillId="0" borderId="0" xfId="0" applyFont="1" applyAlignment="1" applyProtection="1">
      <alignment horizontal="center" vertical="top"/>
      <protection hidden="1"/>
    </xf>
    <xf numFmtId="2" fontId="45" fillId="0" borderId="0" xfId="0" applyNumberFormat="1" applyFont="1" applyAlignment="1" applyProtection="1">
      <alignment horizontal="center" vertical="top"/>
      <protection hidden="1"/>
    </xf>
    <xf numFmtId="0" fontId="43" fillId="0" borderId="0" xfId="0" applyFont="1" applyAlignment="1" applyProtection="1">
      <alignment horizontal="left" vertical="top"/>
      <protection hidden="1"/>
    </xf>
    <xf numFmtId="0" fontId="44" fillId="0" borderId="0" xfId="0" applyFont="1" applyAlignment="1" applyProtection="1">
      <alignment horizontal="left" vertical="top"/>
      <protection hidden="1"/>
    </xf>
    <xf numFmtId="0" fontId="54" fillId="0" borderId="0" xfId="0" applyFont="1" applyAlignment="1" applyProtection="1">
      <alignment horizontal="center"/>
      <protection hidden="1"/>
    </xf>
    <xf numFmtId="0" fontId="45" fillId="0" borderId="0" xfId="0" applyFont="1" applyAlignment="1" applyProtection="1">
      <alignment horizontal="center" vertical="center"/>
      <protection hidden="1"/>
    </xf>
    <xf numFmtId="0" fontId="43" fillId="0" borderId="0" xfId="0" applyFont="1" applyAlignment="1" applyProtection="1">
      <alignment horizontal="left" vertical="center"/>
      <protection hidden="1"/>
    </xf>
    <xf numFmtId="2" fontId="43" fillId="0" borderId="0" xfId="0" applyNumberFormat="1" applyFont="1" applyAlignment="1" applyProtection="1">
      <alignment horizontal="center" vertical="center"/>
      <protection hidden="1"/>
    </xf>
    <xf numFmtId="0" fontId="43" fillId="0" borderId="0" xfId="0" applyFont="1" applyAlignment="1" applyProtection="1">
      <alignment horizontal="center" vertical="center"/>
      <protection hidden="1"/>
    </xf>
    <xf numFmtId="47" fontId="43" fillId="0" borderId="0" xfId="0" applyNumberFormat="1" applyFont="1" applyAlignment="1" applyProtection="1">
      <alignment horizontal="center" vertical="center"/>
      <protection hidden="1"/>
    </xf>
    <xf numFmtId="0" fontId="54" fillId="0" borderId="0" xfId="0" applyFont="1" applyAlignment="1" applyProtection="1">
      <alignment horizontal="left" vertical="center"/>
      <protection hidden="1"/>
    </xf>
    <xf numFmtId="0" fontId="44" fillId="0" borderId="0" xfId="0" applyFont="1" applyAlignment="1" applyProtection="1">
      <alignment horizontal="left" vertical="center"/>
      <protection hidden="1"/>
    </xf>
    <xf numFmtId="0" fontId="45" fillId="0" borderId="0" xfId="0" applyFont="1" applyAlignment="1" applyProtection="1">
      <alignment horizontal="left"/>
      <protection hidden="1"/>
    </xf>
    <xf numFmtId="0" fontId="45" fillId="4" borderId="0" xfId="0" applyFont="1" applyFill="1" applyAlignment="1" applyProtection="1">
      <alignment horizontal="center"/>
      <protection hidden="1"/>
    </xf>
    <xf numFmtId="0" fontId="45" fillId="4" borderId="0" xfId="0" applyFont="1" applyFill="1" applyProtection="1">
      <protection hidden="1"/>
    </xf>
    <xf numFmtId="0" fontId="45" fillId="4" borderId="0" xfId="0" applyFont="1" applyFill="1" applyAlignment="1" applyProtection="1">
      <alignment horizontal="left"/>
      <protection hidden="1"/>
    </xf>
    <xf numFmtId="0" fontId="45" fillId="6" borderId="0" xfId="0" applyFont="1" applyFill="1" applyAlignment="1" applyProtection="1">
      <alignment horizontal="center"/>
      <protection hidden="1"/>
    </xf>
    <xf numFmtId="0" fontId="45" fillId="6" borderId="0" xfId="0" applyFont="1" applyFill="1" applyProtection="1">
      <protection hidden="1"/>
    </xf>
    <xf numFmtId="0" fontId="45" fillId="6" borderId="0" xfId="0" applyFont="1" applyFill="1" applyAlignment="1" applyProtection="1">
      <alignment horizontal="left"/>
      <protection hidden="1"/>
    </xf>
    <xf numFmtId="0" fontId="45" fillId="7" borderId="0" xfId="0" applyFont="1" applyFill="1" applyAlignment="1" applyProtection="1">
      <alignment horizontal="center"/>
      <protection hidden="1"/>
    </xf>
    <xf numFmtId="0" fontId="45" fillId="7" borderId="0" xfId="0" applyFont="1" applyFill="1" applyProtection="1">
      <protection hidden="1"/>
    </xf>
    <xf numFmtId="0" fontId="45" fillId="7" borderId="0" xfId="0" applyFont="1" applyFill="1" applyAlignment="1" applyProtection="1">
      <alignment horizontal="left"/>
      <protection hidden="1"/>
    </xf>
    <xf numFmtId="14" fontId="45" fillId="0" borderId="0" xfId="0" applyNumberFormat="1" applyFont="1" applyAlignment="1" applyProtection="1">
      <alignment horizontal="center"/>
      <protection hidden="1"/>
    </xf>
    <xf numFmtId="0" fontId="45" fillId="0" borderId="0" xfId="0" quotePrefix="1" applyFont="1" applyProtection="1">
      <protection hidden="1"/>
    </xf>
    <xf numFmtId="0" fontId="53" fillId="0" borderId="0" xfId="3" applyFont="1" applyAlignment="1" applyProtection="1">
      <alignment horizontal="left" vertical="top"/>
      <protection hidden="1"/>
    </xf>
    <xf numFmtId="0" fontId="53" fillId="3" borderId="0" xfId="3" applyFont="1" applyFill="1" applyAlignment="1" applyProtection="1">
      <alignment horizontal="left" vertical="top"/>
      <protection hidden="1"/>
    </xf>
    <xf numFmtId="0" fontId="53" fillId="3" borderId="0" xfId="3" applyFont="1" applyFill="1" applyAlignment="1" applyProtection="1">
      <alignment horizontal="center" vertical="top"/>
      <protection hidden="1"/>
    </xf>
    <xf numFmtId="0" fontId="53" fillId="0" borderId="0" xfId="3" applyFont="1" applyAlignment="1" applyProtection="1">
      <alignment horizontal="center" vertical="top"/>
      <protection hidden="1"/>
    </xf>
    <xf numFmtId="0" fontId="0" fillId="0" borderId="0" xfId="0" applyProtection="1">
      <protection hidden="1"/>
    </xf>
    <xf numFmtId="0" fontId="0" fillId="0" borderId="0" xfId="0" applyAlignment="1" applyProtection="1">
      <alignment horizontal="center"/>
      <protection hidden="1"/>
    </xf>
    <xf numFmtId="0" fontId="50" fillId="0" borderId="0" xfId="0" applyFont="1" applyAlignment="1" applyProtection="1">
      <alignment horizontal="left"/>
      <protection hidden="1"/>
    </xf>
    <xf numFmtId="1" fontId="57" fillId="0" borderId="0" xfId="0" applyNumberFormat="1" applyFont="1" applyAlignment="1" applyProtection="1">
      <alignment horizontal="center"/>
      <protection hidden="1"/>
    </xf>
    <xf numFmtId="165" fontId="45" fillId="0" borderId="0" xfId="0" applyNumberFormat="1" applyFont="1" applyAlignment="1" applyProtection="1">
      <alignment horizontal="center"/>
      <protection hidden="1"/>
    </xf>
    <xf numFmtId="165" fontId="45" fillId="0" borderId="0" xfId="0" applyNumberFormat="1" applyFont="1" applyProtection="1">
      <protection hidden="1"/>
    </xf>
    <xf numFmtId="0" fontId="44" fillId="0" borderId="0" xfId="2" applyFont="1" applyAlignment="1" applyProtection="1">
      <alignment horizontal="center" vertical="center"/>
      <protection hidden="1"/>
    </xf>
    <xf numFmtId="0" fontId="59" fillId="0" borderId="0" xfId="0" applyFont="1" applyAlignment="1" applyProtection="1">
      <alignment vertical="center"/>
      <protection hidden="1"/>
    </xf>
    <xf numFmtId="165" fontId="56" fillId="0" borderId="0" xfId="0" applyNumberFormat="1" applyFont="1" applyAlignment="1" applyProtection="1">
      <alignment horizontal="center"/>
      <protection hidden="1"/>
    </xf>
    <xf numFmtId="0" fontId="59" fillId="0" borderId="0" xfId="0" applyFont="1" applyAlignment="1" applyProtection="1">
      <alignment horizontal="left" vertical="center"/>
      <protection hidden="1"/>
    </xf>
    <xf numFmtId="0" fontId="59" fillId="0" borderId="0" xfId="0" applyFont="1" applyAlignment="1" applyProtection="1">
      <alignment horizontal="left"/>
      <protection hidden="1"/>
    </xf>
    <xf numFmtId="0" fontId="43" fillId="0" borderId="0" xfId="2" applyFont="1" applyAlignment="1" applyProtection="1">
      <alignment horizontal="center" vertical="center"/>
      <protection hidden="1"/>
    </xf>
    <xf numFmtId="3" fontId="45" fillId="0" borderId="0" xfId="0" applyNumberFormat="1" applyFont="1" applyAlignment="1" applyProtection="1">
      <alignment horizontal="center"/>
      <protection hidden="1"/>
    </xf>
    <xf numFmtId="2" fontId="43" fillId="0" borderId="0" xfId="2" applyNumberFormat="1" applyFont="1" applyAlignment="1" applyProtection="1">
      <alignment horizontal="center" vertical="center"/>
      <protection hidden="1"/>
    </xf>
    <xf numFmtId="2" fontId="56" fillId="0" borderId="0" xfId="0" applyNumberFormat="1" applyFont="1" applyAlignment="1" applyProtection="1">
      <alignment horizontal="center"/>
      <protection hidden="1"/>
    </xf>
    <xf numFmtId="3" fontId="45" fillId="0" borderId="0" xfId="0" applyNumberFormat="1" applyFont="1" applyAlignment="1" applyProtection="1">
      <alignment horizontal="center"/>
      <protection locked="0" hidden="1"/>
    </xf>
    <xf numFmtId="0" fontId="56" fillId="0" borderId="0" xfId="0" applyFont="1" applyAlignment="1" applyProtection="1">
      <alignment horizontal="center"/>
      <protection hidden="1"/>
    </xf>
    <xf numFmtId="4" fontId="45" fillId="0" borderId="0" xfId="0" applyNumberFormat="1" applyFont="1" applyAlignment="1" applyProtection="1">
      <alignment horizontal="center"/>
      <protection locked="0" hidden="1"/>
    </xf>
    <xf numFmtId="4" fontId="45" fillId="0" borderId="0" xfId="0" applyNumberFormat="1" applyFont="1" applyAlignment="1" applyProtection="1">
      <alignment horizontal="center"/>
      <protection hidden="1"/>
    </xf>
    <xf numFmtId="0" fontId="47" fillId="4" borderId="0" xfId="0" applyFont="1" applyFill="1" applyAlignment="1" applyProtection="1">
      <alignment horizontal="center"/>
      <protection locked="0" hidden="1"/>
    </xf>
    <xf numFmtId="171" fontId="45" fillId="0" borderId="0" xfId="0" applyNumberFormat="1" applyFont="1" applyAlignment="1" applyProtection="1">
      <alignment horizontal="center"/>
      <protection locked="0" hidden="1"/>
    </xf>
    <xf numFmtId="1" fontId="60" fillId="0" borderId="0" xfId="0" applyNumberFormat="1" applyFont="1" applyAlignment="1" applyProtection="1">
      <alignment horizontal="center"/>
      <protection hidden="1"/>
    </xf>
    <xf numFmtId="164" fontId="45" fillId="0" borderId="0" xfId="1" applyNumberFormat="1" applyFont="1" applyAlignment="1" applyProtection="1">
      <alignment horizontal="left"/>
      <protection hidden="1"/>
    </xf>
    <xf numFmtId="164" fontId="45" fillId="0" borderId="2" xfId="1" applyNumberFormat="1" applyFont="1" applyBorder="1" applyAlignment="1" applyProtection="1">
      <alignment horizontal="left"/>
      <protection hidden="1"/>
    </xf>
    <xf numFmtId="164" fontId="45" fillId="0" borderId="0" xfId="1" applyNumberFormat="1" applyFont="1" applyAlignment="1" applyProtection="1">
      <alignment horizontal="right"/>
      <protection hidden="1"/>
    </xf>
    <xf numFmtId="0" fontId="45" fillId="0" borderId="0" xfId="0" applyFont="1" applyAlignment="1" applyProtection="1">
      <alignment horizontal="right"/>
      <protection hidden="1"/>
    </xf>
    <xf numFmtId="164" fontId="56" fillId="0" borderId="0" xfId="1" applyNumberFormat="1" applyFont="1" applyAlignment="1" applyProtection="1">
      <alignment horizontal="right"/>
      <protection hidden="1"/>
    </xf>
    <xf numFmtId="0" fontId="43" fillId="0" borderId="12" xfId="2" applyFont="1" applyBorder="1" applyAlignment="1" applyProtection="1">
      <alignment horizontal="center" vertical="center"/>
      <protection hidden="1"/>
    </xf>
    <xf numFmtId="0" fontId="43" fillId="0" borderId="13" xfId="2" applyFont="1" applyBorder="1" applyAlignment="1" applyProtection="1">
      <alignment horizontal="center" vertical="center"/>
      <protection hidden="1"/>
    </xf>
    <xf numFmtId="0" fontId="43" fillId="0" borderId="17" xfId="2" applyFont="1" applyBorder="1" applyAlignment="1" applyProtection="1">
      <alignment vertical="center"/>
      <protection hidden="1"/>
    </xf>
    <xf numFmtId="0" fontId="43" fillId="0" borderId="1" xfId="2" applyFont="1" applyBorder="1" applyAlignment="1" applyProtection="1">
      <alignment horizontal="left" vertical="center"/>
      <protection hidden="1"/>
    </xf>
    <xf numFmtId="0" fontId="45" fillId="11" borderId="0" xfId="0" applyFont="1" applyFill="1" applyAlignment="1" applyProtection="1">
      <alignment horizontal="center"/>
      <protection hidden="1"/>
    </xf>
    <xf numFmtId="0" fontId="42" fillId="11" borderId="0" xfId="0" applyFont="1" applyFill="1" applyAlignment="1" applyProtection="1">
      <alignment horizontal="center" vertical="center"/>
      <protection hidden="1"/>
    </xf>
    <xf numFmtId="169" fontId="0" fillId="0" borderId="0" xfId="0" applyNumberFormat="1" applyProtection="1">
      <protection hidden="1"/>
    </xf>
    <xf numFmtId="1" fontId="41" fillId="0" borderId="1" xfId="0" applyNumberFormat="1" applyFont="1" applyBorder="1" applyAlignment="1" applyProtection="1">
      <alignment horizontal="center" vertical="center"/>
      <protection hidden="1"/>
    </xf>
    <xf numFmtId="1" fontId="41" fillId="0" borderId="0" xfId="2" applyNumberFormat="1" applyFont="1" applyAlignment="1" applyProtection="1">
      <alignment vertical="center"/>
      <protection hidden="1"/>
    </xf>
    <xf numFmtId="1" fontId="43" fillId="0" borderId="13" xfId="2" applyNumberFormat="1" applyFont="1" applyBorder="1" applyAlignment="1" applyProtection="1">
      <alignment vertical="center"/>
      <protection hidden="1"/>
    </xf>
    <xf numFmtId="1" fontId="43" fillId="0" borderId="14" xfId="2" applyNumberFormat="1" applyFont="1" applyBorder="1" applyAlignment="1" applyProtection="1">
      <alignment vertical="center"/>
      <protection hidden="1"/>
    </xf>
    <xf numFmtId="1" fontId="43" fillId="0" borderId="11" xfId="2" applyNumberFormat="1" applyFont="1" applyBorder="1" applyAlignment="1" applyProtection="1">
      <alignment vertical="center"/>
      <protection hidden="1"/>
    </xf>
    <xf numFmtId="1" fontId="43" fillId="0" borderId="8" xfId="2" applyNumberFormat="1" applyFont="1" applyBorder="1" applyAlignment="1" applyProtection="1">
      <alignment vertical="center"/>
      <protection hidden="1"/>
    </xf>
    <xf numFmtId="1" fontId="43" fillId="0" borderId="0" xfId="2" applyNumberFormat="1" applyFont="1" applyAlignment="1" applyProtection="1">
      <alignment vertical="center"/>
      <protection hidden="1"/>
    </xf>
    <xf numFmtId="1" fontId="43" fillId="0" borderId="7" xfId="2" applyNumberFormat="1" applyFont="1" applyBorder="1" applyAlignment="1" applyProtection="1">
      <alignment vertical="center"/>
      <protection hidden="1"/>
    </xf>
    <xf numFmtId="1" fontId="0" fillId="0" borderId="0" xfId="0" applyNumberFormat="1" applyProtection="1">
      <protection hidden="1"/>
    </xf>
    <xf numFmtId="3" fontId="45" fillId="0" borderId="0" xfId="0" applyNumberFormat="1" applyFont="1" applyProtection="1">
      <protection hidden="1"/>
    </xf>
    <xf numFmtId="2" fontId="42" fillId="0" borderId="0" xfId="0" applyNumberFormat="1" applyFont="1" applyAlignment="1" applyProtection="1">
      <alignment horizontal="center"/>
      <protection hidden="1"/>
    </xf>
    <xf numFmtId="165" fontId="42" fillId="0" borderId="0" xfId="0" applyNumberFormat="1" applyFont="1" applyAlignment="1" applyProtection="1">
      <alignment horizontal="center"/>
      <protection hidden="1"/>
    </xf>
    <xf numFmtId="169" fontId="41" fillId="0" borderId="0" xfId="0" applyNumberFormat="1" applyFont="1" applyAlignment="1" applyProtection="1">
      <alignment horizontal="center"/>
      <protection hidden="1"/>
    </xf>
    <xf numFmtId="169" fontId="41" fillId="0" borderId="0" xfId="2" applyNumberFormat="1" applyFont="1" applyAlignment="1" applyProtection="1">
      <alignment horizontal="center" vertical="center"/>
      <protection hidden="1"/>
    </xf>
    <xf numFmtId="169" fontId="42" fillId="0" borderId="0" xfId="0" applyNumberFormat="1" applyFont="1" applyProtection="1">
      <protection hidden="1"/>
    </xf>
    <xf numFmtId="0" fontId="49" fillId="0" borderId="20" xfId="0" applyFont="1" applyBorder="1" applyAlignment="1" applyProtection="1">
      <alignment horizontal="center" vertical="center"/>
      <protection hidden="1"/>
    </xf>
    <xf numFmtId="0" fontId="49" fillId="0" borderId="0" xfId="0" applyFont="1" applyAlignment="1" applyProtection="1">
      <alignment horizontal="left" vertical="center"/>
      <protection hidden="1"/>
    </xf>
    <xf numFmtId="0" fontId="49" fillId="0" borderId="23" xfId="0" applyFont="1" applyBorder="1" applyAlignment="1" applyProtection="1">
      <alignment horizontal="center" vertical="center" textRotation="90"/>
      <protection hidden="1"/>
    </xf>
    <xf numFmtId="0" fontId="49" fillId="0" borderId="22" xfId="0" applyFont="1" applyBorder="1" applyAlignment="1" applyProtection="1">
      <alignment horizontal="left" vertical="center"/>
      <protection locked="0"/>
    </xf>
    <xf numFmtId="0" fontId="49" fillId="0" borderId="23" xfId="0" applyFont="1" applyBorder="1" applyAlignment="1" applyProtection="1">
      <alignment horizontal="center" vertical="center"/>
      <protection locked="0"/>
    </xf>
    <xf numFmtId="0" fontId="49" fillId="0" borderId="0" xfId="0" applyFont="1" applyAlignment="1" applyProtection="1">
      <alignment horizontal="center" vertical="center"/>
      <protection hidden="1"/>
    </xf>
    <xf numFmtId="0" fontId="49" fillId="12" borderId="23" xfId="0" applyFont="1" applyFill="1" applyBorder="1" applyAlignment="1" applyProtection="1">
      <alignment horizontal="center" vertical="center"/>
      <protection hidden="1"/>
    </xf>
    <xf numFmtId="0" fontId="61" fillId="12" borderId="22" xfId="0" applyFont="1" applyFill="1" applyBorder="1" applyAlignment="1" applyProtection="1">
      <alignment horizontal="left" vertical="center"/>
      <protection hidden="1"/>
    </xf>
    <xf numFmtId="0" fontId="62" fillId="0" borderId="23" xfId="0" applyFont="1" applyBorder="1" applyAlignment="1" applyProtection="1">
      <alignment horizontal="center" vertical="center" textRotation="90"/>
      <protection hidden="1"/>
    </xf>
    <xf numFmtId="0" fontId="62" fillId="0" borderId="20" xfId="0" applyFont="1" applyBorder="1" applyAlignment="1" applyProtection="1">
      <alignment horizontal="center" vertical="center"/>
      <protection hidden="1"/>
    </xf>
    <xf numFmtId="0" fontId="62" fillId="12" borderId="23" xfId="0" applyFont="1" applyFill="1" applyBorder="1" applyAlignment="1" applyProtection="1">
      <alignment horizontal="center" vertical="center"/>
      <protection hidden="1"/>
    </xf>
    <xf numFmtId="0" fontId="62" fillId="0" borderId="23" xfId="0" applyFont="1" applyBorder="1" applyAlignment="1" applyProtection="1">
      <alignment horizontal="center" vertical="center"/>
      <protection locked="0"/>
    </xf>
    <xf numFmtId="0" fontId="62" fillId="0" borderId="0" xfId="0" applyFont="1" applyAlignment="1" applyProtection="1">
      <alignment horizontal="center" vertical="center"/>
      <protection hidden="1"/>
    </xf>
    <xf numFmtId="0" fontId="63" fillId="0" borderId="22" xfId="0" applyFont="1" applyBorder="1" applyAlignment="1" applyProtection="1">
      <alignment horizontal="center" vertical="center"/>
      <protection hidden="1"/>
    </xf>
    <xf numFmtId="0" fontId="49" fillId="13" borderId="20" xfId="0" applyFont="1" applyFill="1" applyBorder="1" applyAlignment="1" applyProtection="1">
      <alignment horizontal="center" vertical="center"/>
      <protection hidden="1"/>
    </xf>
    <xf numFmtId="0" fontId="49" fillId="13" borderId="23" xfId="0" applyFont="1" applyFill="1" applyBorder="1" applyAlignment="1" applyProtection="1">
      <alignment horizontal="center" vertical="center" textRotation="90"/>
      <protection hidden="1"/>
    </xf>
    <xf numFmtId="0" fontId="49" fillId="14" borderId="23" xfId="0" applyFont="1" applyFill="1" applyBorder="1" applyAlignment="1" applyProtection="1">
      <alignment horizontal="center" vertical="center"/>
      <protection hidden="1"/>
    </xf>
    <xf numFmtId="0" fontId="49" fillId="13" borderId="23" xfId="0" applyFont="1" applyFill="1" applyBorder="1" applyAlignment="1" applyProtection="1">
      <alignment horizontal="center" vertical="center"/>
      <protection locked="0"/>
    </xf>
    <xf numFmtId="0" fontId="49" fillId="13" borderId="21" xfId="0" applyFont="1" applyFill="1" applyBorder="1" applyAlignment="1" applyProtection="1">
      <alignment horizontal="center" vertical="center"/>
      <protection hidden="1"/>
    </xf>
    <xf numFmtId="0" fontId="49" fillId="13" borderId="24" xfId="0" applyFont="1" applyFill="1" applyBorder="1" applyAlignment="1" applyProtection="1">
      <alignment horizontal="center" vertical="center" textRotation="90"/>
      <protection hidden="1"/>
    </xf>
    <xf numFmtId="0" fontId="49" fillId="4" borderId="20" xfId="0" applyFont="1" applyFill="1" applyBorder="1" applyAlignment="1" applyProtection="1">
      <alignment horizontal="center" vertical="center"/>
      <protection hidden="1"/>
    </xf>
    <xf numFmtId="0" fontId="49" fillId="4" borderId="23" xfId="0" applyFont="1" applyFill="1" applyBorder="1" applyAlignment="1" applyProtection="1">
      <alignment horizontal="center" vertical="center" textRotation="90"/>
      <protection hidden="1"/>
    </xf>
    <xf numFmtId="0" fontId="49" fillId="16" borderId="23" xfId="0" applyFont="1" applyFill="1" applyBorder="1" applyAlignment="1" applyProtection="1">
      <alignment horizontal="center" vertical="center"/>
      <protection hidden="1"/>
    </xf>
    <xf numFmtId="0" fontId="49" fillId="4" borderId="23" xfId="0" applyFont="1" applyFill="1" applyBorder="1" applyAlignment="1" applyProtection="1">
      <alignment horizontal="center" vertical="center"/>
      <protection locked="0"/>
    </xf>
    <xf numFmtId="0" fontId="49" fillId="4" borderId="21" xfId="0" applyFont="1" applyFill="1" applyBorder="1" applyAlignment="1" applyProtection="1">
      <alignment horizontal="center" vertical="center"/>
      <protection hidden="1"/>
    </xf>
    <xf numFmtId="0" fontId="49" fillId="4" borderId="24" xfId="0" applyFont="1" applyFill="1" applyBorder="1" applyAlignment="1" applyProtection="1">
      <alignment horizontal="center" vertical="center" textRotation="90"/>
      <protection hidden="1"/>
    </xf>
    <xf numFmtId="0" fontId="49" fillId="0" borderId="23" xfId="0" applyFont="1" applyBorder="1" applyAlignment="1" applyProtection="1">
      <alignment horizontal="center" vertical="center"/>
      <protection hidden="1"/>
    </xf>
    <xf numFmtId="0" fontId="43" fillId="15" borderId="0" xfId="2" applyFont="1" applyFill="1" applyAlignment="1" applyProtection="1">
      <alignment horizontal="center" vertical="center"/>
      <protection hidden="1"/>
    </xf>
    <xf numFmtId="0" fontId="42" fillId="0" borderId="0" xfId="0" applyFont="1" applyAlignment="1" applyProtection="1">
      <alignment horizontal="left"/>
      <protection hidden="1"/>
    </xf>
    <xf numFmtId="3" fontId="45" fillId="0" borderId="0" xfId="0" applyNumberFormat="1" applyFont="1" applyAlignment="1" applyProtection="1">
      <alignment horizontal="left"/>
      <protection hidden="1"/>
    </xf>
    <xf numFmtId="0" fontId="45" fillId="13" borderId="0" xfId="0" applyFont="1" applyFill="1" applyAlignment="1" applyProtection="1">
      <alignment horizontal="center"/>
      <protection hidden="1"/>
    </xf>
    <xf numFmtId="0" fontId="49" fillId="12" borderId="23" xfId="0" applyFont="1" applyFill="1" applyBorder="1" applyAlignment="1">
      <alignment horizontal="center" vertical="center"/>
    </xf>
    <xf numFmtId="0" fontId="49" fillId="14" borderId="23" xfId="0" applyFont="1" applyFill="1" applyBorder="1" applyAlignment="1">
      <alignment horizontal="center" vertical="center"/>
    </xf>
    <xf numFmtId="0" fontId="49" fillId="16" borderId="23" xfId="0" applyFont="1" applyFill="1" applyBorder="1" applyAlignment="1">
      <alignment horizontal="center" vertical="center"/>
    </xf>
    <xf numFmtId="0" fontId="65" fillId="0" borderId="19" xfId="7" applyFont="1" applyBorder="1" applyAlignment="1" applyProtection="1">
      <alignment horizontal="left" vertical="center"/>
      <protection hidden="1"/>
    </xf>
    <xf numFmtId="0" fontId="45" fillId="17" borderId="0" xfId="0" applyFont="1" applyFill="1" applyAlignment="1" applyProtection="1">
      <alignment horizontal="center"/>
      <protection hidden="1"/>
    </xf>
    <xf numFmtId="0" fontId="45" fillId="17" borderId="0" xfId="0" applyFont="1" applyFill="1" applyProtection="1">
      <protection hidden="1"/>
    </xf>
    <xf numFmtId="0" fontId="45" fillId="17" borderId="0" xfId="0" applyFont="1" applyFill="1" applyAlignment="1" applyProtection="1">
      <alignment horizontal="left"/>
      <protection hidden="1"/>
    </xf>
    <xf numFmtId="0" fontId="45" fillId="0" borderId="0" xfId="0" applyFont="1" applyAlignment="1" applyProtection="1">
      <alignment horizontal="left" wrapText="1"/>
      <protection hidden="1"/>
    </xf>
    <xf numFmtId="2" fontId="45" fillId="0" borderId="0" xfId="0" applyNumberFormat="1" applyFont="1" applyAlignment="1" applyProtection="1">
      <alignment horizontal="center" vertical="center"/>
      <protection hidden="1"/>
    </xf>
    <xf numFmtId="164" fontId="55" fillId="2" borderId="0" xfId="1" applyNumberFormat="1" applyFont="1" applyFill="1" applyAlignment="1" applyProtection="1">
      <alignment horizontal="right" vertical="center"/>
      <protection hidden="1"/>
    </xf>
    <xf numFmtId="164" fontId="55" fillId="2" borderId="2" xfId="1" applyNumberFormat="1" applyFont="1" applyFill="1" applyBorder="1" applyAlignment="1" applyProtection="1">
      <alignment horizontal="right" vertical="center"/>
      <protection hidden="1"/>
    </xf>
    <xf numFmtId="0" fontId="45" fillId="0" borderId="0" xfId="0" applyFont="1" applyAlignment="1" applyProtection="1">
      <alignment horizontal="right" vertical="center"/>
      <protection hidden="1"/>
    </xf>
    <xf numFmtId="0" fontId="45" fillId="0" borderId="0" xfId="0" applyFont="1" applyAlignment="1" applyProtection="1">
      <alignment horizontal="center" vertical="center" wrapText="1"/>
      <protection hidden="1"/>
    </xf>
    <xf numFmtId="1" fontId="56" fillId="0" borderId="0" xfId="0" applyNumberFormat="1" applyFont="1" applyAlignment="1" applyProtection="1">
      <alignment horizontal="center"/>
      <protection hidden="1"/>
    </xf>
    <xf numFmtId="1" fontId="72" fillId="0" borderId="0" xfId="0" applyNumberFormat="1" applyFont="1" applyAlignment="1" applyProtection="1">
      <alignment horizontal="center"/>
      <protection hidden="1"/>
    </xf>
    <xf numFmtId="0" fontId="56" fillId="0" borderId="0" xfId="0" applyFont="1" applyProtection="1">
      <protection hidden="1"/>
    </xf>
    <xf numFmtId="0" fontId="69" fillId="0" borderId="0" xfId="0" applyFont="1" applyAlignment="1" applyProtection="1">
      <alignment vertical="center"/>
      <protection hidden="1"/>
    </xf>
    <xf numFmtId="14" fontId="34" fillId="0" borderId="0" xfId="0" applyNumberFormat="1" applyFont="1" applyAlignment="1" applyProtection="1">
      <alignment horizontal="left" vertical="center"/>
      <protection hidden="1"/>
    </xf>
    <xf numFmtId="1" fontId="45" fillId="0" borderId="0" xfId="0" applyNumberFormat="1" applyFont="1" applyAlignment="1" applyProtection="1">
      <alignment horizontal="center" vertical="center"/>
      <protection hidden="1"/>
    </xf>
    <xf numFmtId="0" fontId="28" fillId="0" borderId="0" xfId="0" applyFont="1" applyAlignment="1" applyProtection="1">
      <alignment vertical="center"/>
      <protection hidden="1"/>
    </xf>
    <xf numFmtId="0" fontId="28" fillId="0" borderId="18" xfId="0" applyFont="1" applyBorder="1" applyAlignment="1" applyProtection="1">
      <alignment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horizontal="center" vertical="center"/>
      <protection hidden="1"/>
    </xf>
    <xf numFmtId="0" fontId="28" fillId="4" borderId="18" xfId="0" applyFont="1" applyFill="1" applyBorder="1" applyAlignment="1" applyProtection="1">
      <alignment horizontal="center" vertical="center"/>
      <protection locked="0" hidden="1"/>
    </xf>
    <xf numFmtId="0" fontId="28" fillId="0" borderId="0" xfId="0" applyFont="1" applyAlignment="1" applyProtection="1">
      <alignment horizontal="right" vertical="center"/>
      <protection hidden="1"/>
    </xf>
    <xf numFmtId="2" fontId="28" fillId="0" borderId="0" xfId="0" applyNumberFormat="1" applyFont="1" applyAlignment="1" applyProtection="1">
      <alignment vertical="center"/>
      <protection hidden="1"/>
    </xf>
    <xf numFmtId="0" fontId="28" fillId="0" borderId="0" xfId="0" applyFont="1" applyAlignment="1" applyProtection="1">
      <alignment vertical="center" wrapText="1"/>
      <protection hidden="1"/>
    </xf>
    <xf numFmtId="43" fontId="28" fillId="0" borderId="0" xfId="1" applyFont="1" applyAlignment="1" applyProtection="1">
      <alignment horizontal="right" vertical="center"/>
      <protection hidden="1"/>
    </xf>
    <xf numFmtId="0" fontId="69" fillId="5" borderId="0" xfId="0" applyFont="1" applyFill="1" applyAlignment="1" applyProtection="1">
      <alignment horizontal="center" vertical="center"/>
      <protection hidden="1"/>
    </xf>
    <xf numFmtId="0" fontId="69" fillId="5" borderId="0" xfId="0" applyFont="1" applyFill="1" applyAlignment="1" applyProtection="1">
      <alignment vertical="center"/>
      <protection hidden="1"/>
    </xf>
    <xf numFmtId="164" fontId="28" fillId="0" borderId="0" xfId="1" applyNumberFormat="1" applyFont="1" applyAlignment="1" applyProtection="1">
      <alignment horizontal="right" vertical="center"/>
      <protection hidden="1"/>
    </xf>
    <xf numFmtId="164" fontId="28" fillId="0" borderId="25" xfId="1" applyNumberFormat="1" applyFont="1" applyBorder="1" applyAlignment="1" applyProtection="1">
      <alignment horizontal="right" vertical="center"/>
      <protection hidden="1"/>
    </xf>
    <xf numFmtId="169" fontId="28" fillId="0" borderId="0" xfId="1" applyNumberFormat="1" applyFont="1" applyAlignment="1" applyProtection="1">
      <alignment horizontal="right" vertical="center"/>
      <protection hidden="1"/>
    </xf>
    <xf numFmtId="0" fontId="72" fillId="0" borderId="0" xfId="0" applyFont="1" applyAlignment="1" applyProtection="1">
      <alignment horizontal="center"/>
      <protection hidden="1"/>
    </xf>
    <xf numFmtId="1" fontId="45" fillId="0" borderId="0" xfId="0" applyNumberFormat="1" applyFont="1" applyAlignment="1" applyProtection="1">
      <alignment horizontal="center"/>
      <protection hidden="1"/>
    </xf>
    <xf numFmtId="0" fontId="69" fillId="0" borderId="0" xfId="0" applyFont="1" applyAlignment="1" applyProtection="1">
      <alignment horizontal="center" vertical="center"/>
      <protection hidden="1"/>
    </xf>
    <xf numFmtId="0" fontId="35" fillId="0" borderId="0" xfId="0" applyFont="1" applyAlignment="1" applyProtection="1">
      <alignment horizontal="center" vertical="center"/>
      <protection hidden="1"/>
    </xf>
    <xf numFmtId="0" fontId="35" fillId="0" borderId="0" xfId="0" applyFont="1" applyAlignment="1" applyProtection="1">
      <alignment vertical="center"/>
      <protection hidden="1"/>
    </xf>
    <xf numFmtId="0" fontId="50" fillId="0" borderId="0" xfId="0" applyFont="1" applyAlignment="1" applyProtection="1">
      <alignment vertical="center"/>
      <protection hidden="1"/>
    </xf>
    <xf numFmtId="0" fontId="32" fillId="0" borderId="0" xfId="0" applyFont="1" applyAlignment="1" applyProtection="1">
      <alignment vertical="center"/>
      <protection hidden="1"/>
    </xf>
    <xf numFmtId="49" fontId="25" fillId="0" borderId="0" xfId="0" applyNumberFormat="1" applyFont="1" applyAlignment="1" applyProtection="1">
      <alignment vertical="center"/>
      <protection hidden="1"/>
    </xf>
    <xf numFmtId="14" fontId="50" fillId="0" borderId="0" xfId="0" applyNumberFormat="1" applyFont="1" applyAlignment="1" applyProtection="1">
      <alignment horizontal="left" vertical="center"/>
      <protection hidden="1"/>
    </xf>
    <xf numFmtId="0" fontId="30" fillId="0" borderId="0" xfId="0" quotePrefix="1" applyFont="1" applyAlignment="1" applyProtection="1">
      <alignment vertical="center"/>
      <protection hidden="1"/>
    </xf>
    <xf numFmtId="0" fontId="50" fillId="3" borderId="0" xfId="0" applyFont="1" applyFill="1" applyAlignment="1" applyProtection="1">
      <alignment vertical="center"/>
      <protection hidden="1"/>
    </xf>
    <xf numFmtId="0" fontId="68" fillId="3" borderId="0" xfId="0" applyFont="1" applyFill="1" applyAlignment="1" applyProtection="1">
      <alignment horizontal="center" vertical="center"/>
      <protection hidden="1"/>
    </xf>
    <xf numFmtId="0" fontId="48" fillId="7" borderId="18" xfId="0" applyFont="1" applyFill="1" applyBorder="1" applyAlignment="1" applyProtection="1">
      <alignment horizontal="center" vertical="center"/>
      <protection hidden="1"/>
    </xf>
    <xf numFmtId="0" fontId="32" fillId="3" borderId="28" xfId="0" applyFont="1" applyFill="1" applyBorder="1" applyAlignment="1" applyProtection="1">
      <alignment horizontal="left" vertical="center"/>
      <protection hidden="1"/>
    </xf>
    <xf numFmtId="0" fontId="35" fillId="3" borderId="29" xfId="0" applyFont="1" applyFill="1" applyBorder="1" applyAlignment="1" applyProtection="1">
      <alignment vertical="center"/>
      <protection hidden="1"/>
    </xf>
    <xf numFmtId="0" fontId="26" fillId="3" borderId="30" xfId="0" applyFont="1" applyFill="1" applyBorder="1" applyAlignment="1" applyProtection="1">
      <alignment horizontal="center" vertical="center"/>
      <protection hidden="1"/>
    </xf>
    <xf numFmtId="0" fontId="32" fillId="3" borderId="18" xfId="0" applyFont="1" applyFill="1" applyBorder="1" applyAlignment="1" applyProtection="1">
      <alignment vertical="center"/>
      <protection hidden="1"/>
    </xf>
    <xf numFmtId="0" fontId="35" fillId="3" borderId="18" xfId="0" applyFont="1" applyFill="1" applyBorder="1" applyAlignment="1" applyProtection="1">
      <alignment vertical="center"/>
      <protection hidden="1"/>
    </xf>
    <xf numFmtId="0" fontId="29" fillId="0" borderId="0" xfId="0" applyFont="1" applyAlignment="1" applyProtection="1">
      <alignment vertical="center"/>
      <protection hidden="1"/>
    </xf>
    <xf numFmtId="0" fontId="69" fillId="18" borderId="26" xfId="0" applyFont="1" applyFill="1" applyBorder="1" applyAlignment="1" applyProtection="1">
      <alignment vertical="center"/>
      <protection hidden="1"/>
    </xf>
    <xf numFmtId="0" fontId="70" fillId="18" borderId="26" xfId="7" applyFont="1" applyFill="1" applyBorder="1" applyAlignment="1" applyProtection="1">
      <alignment horizontal="center" vertical="center"/>
      <protection hidden="1"/>
    </xf>
    <xf numFmtId="0" fontId="27" fillId="20" borderId="28" xfId="0" applyFont="1" applyFill="1" applyBorder="1" applyAlignment="1" applyProtection="1">
      <alignment vertical="center"/>
      <protection hidden="1"/>
    </xf>
    <xf numFmtId="0" fontId="49" fillId="20" borderId="28" xfId="0" applyFont="1" applyFill="1" applyBorder="1" applyAlignment="1" applyProtection="1">
      <alignment horizontal="center" vertical="center"/>
      <protection hidden="1"/>
    </xf>
    <xf numFmtId="0" fontId="27" fillId="20" borderId="32" xfId="0" applyFont="1" applyFill="1" applyBorder="1" applyAlignment="1" applyProtection="1">
      <alignment vertical="center"/>
      <protection hidden="1"/>
    </xf>
    <xf numFmtId="0" fontId="67" fillId="21" borderId="27" xfId="0" applyFont="1" applyFill="1" applyBorder="1" applyAlignment="1" applyProtection="1">
      <alignment horizontal="center" vertical="center"/>
      <protection hidden="1"/>
    </xf>
    <xf numFmtId="0" fontId="67" fillId="23" borderId="27" xfId="0" applyFont="1" applyFill="1" applyBorder="1" applyAlignment="1" applyProtection="1">
      <alignment horizontal="center" vertical="center"/>
      <protection hidden="1"/>
    </xf>
    <xf numFmtId="0" fontId="73" fillId="0" borderId="18"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69" fillId="19" borderId="0" xfId="0" applyFont="1" applyFill="1" applyAlignment="1" applyProtection="1">
      <alignment vertical="center"/>
      <protection hidden="1"/>
    </xf>
    <xf numFmtId="0" fontId="70" fillId="19" borderId="0" xfId="7" applyFont="1" applyFill="1" applyAlignment="1" applyProtection="1">
      <alignment horizontal="center" vertical="center"/>
      <protection hidden="1"/>
    </xf>
    <xf numFmtId="0" fontId="27" fillId="0" borderId="28" xfId="0" applyFont="1" applyBorder="1" applyAlignment="1" applyProtection="1">
      <alignment vertical="center"/>
      <protection hidden="1"/>
    </xf>
    <xf numFmtId="0" fontId="27" fillId="0" borderId="32" xfId="0" applyFont="1" applyBorder="1" applyAlignment="1" applyProtection="1">
      <alignment vertical="center"/>
      <protection hidden="1"/>
    </xf>
    <xf numFmtId="0" fontId="33" fillId="0" borderId="18" xfId="0" applyFont="1" applyBorder="1" applyAlignment="1" applyProtection="1">
      <alignment horizontal="center" vertical="center"/>
      <protection hidden="1"/>
    </xf>
    <xf numFmtId="0" fontId="35" fillId="0" borderId="18" xfId="0" applyFont="1" applyBorder="1" applyAlignment="1" applyProtection="1">
      <alignment vertical="center"/>
      <protection hidden="1"/>
    </xf>
    <xf numFmtId="0" fontId="69" fillId="18" borderId="0" xfId="0" applyFont="1" applyFill="1" applyAlignment="1" applyProtection="1">
      <alignment vertical="center"/>
      <protection hidden="1"/>
    </xf>
    <xf numFmtId="0" fontId="70" fillId="18" borderId="0" xfId="7" applyFont="1" applyFill="1" applyAlignment="1" applyProtection="1">
      <alignment horizontal="center" vertical="center"/>
      <protection hidden="1"/>
    </xf>
    <xf numFmtId="0" fontId="73" fillId="22" borderId="18" xfId="0" applyFont="1" applyFill="1" applyBorder="1" applyAlignment="1" applyProtection="1">
      <alignment horizontal="center" vertical="center"/>
      <protection hidden="1"/>
    </xf>
    <xf numFmtId="0" fontId="73" fillId="11" borderId="18" xfId="0" applyFont="1" applyFill="1" applyBorder="1" applyAlignment="1" applyProtection="1">
      <alignment horizontal="center" vertical="center"/>
      <protection hidden="1"/>
    </xf>
    <xf numFmtId="0" fontId="67" fillId="21" borderId="18" xfId="0" applyFont="1" applyFill="1" applyBorder="1" applyAlignment="1" applyProtection="1">
      <alignment horizontal="center" vertical="center"/>
      <protection hidden="1"/>
    </xf>
    <xf numFmtId="0" fontId="67" fillId="23" borderId="18" xfId="0" applyFont="1" applyFill="1" applyBorder="1" applyAlignment="1" applyProtection="1">
      <alignment horizontal="center" vertical="center"/>
      <protection hidden="1"/>
    </xf>
    <xf numFmtId="0" fontId="71" fillId="0" borderId="0" xfId="0" applyFont="1" applyAlignment="1" applyProtection="1">
      <alignment vertical="center"/>
      <protection hidden="1"/>
    </xf>
    <xf numFmtId="0" fontId="67"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74" fillId="0" borderId="0" xfId="7" applyFont="1" applyAlignment="1" applyProtection="1">
      <alignment horizontal="center" vertical="center"/>
      <protection hidden="1"/>
    </xf>
    <xf numFmtId="0" fontId="75" fillId="0" borderId="0" xfId="0" applyFont="1" applyAlignment="1" applyProtection="1">
      <alignment horizontal="center" vertical="center"/>
      <protection hidden="1"/>
    </xf>
    <xf numFmtId="0" fontId="76"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33" fillId="0" borderId="0" xfId="0" applyFont="1" applyAlignment="1" applyProtection="1">
      <alignment horizontal="center" vertical="center"/>
      <protection hidden="1"/>
    </xf>
    <xf numFmtId="0" fontId="27" fillId="0" borderId="18" xfId="0" applyFont="1" applyBorder="1" applyAlignment="1" applyProtection="1">
      <alignment vertical="center"/>
      <protection hidden="1"/>
    </xf>
    <xf numFmtId="0" fontId="31" fillId="0" borderId="29" xfId="0" applyFont="1" applyBorder="1" applyAlignment="1" applyProtection="1">
      <alignment vertical="center"/>
      <protection hidden="1"/>
    </xf>
    <xf numFmtId="0" fontId="32" fillId="0" borderId="29" xfId="0" applyFont="1" applyBorder="1" applyAlignment="1" applyProtection="1">
      <alignment horizontal="center" vertical="center"/>
      <protection hidden="1"/>
    </xf>
    <xf numFmtId="0" fontId="32" fillId="0" borderId="29" xfId="0" applyFont="1" applyBorder="1" applyAlignment="1" applyProtection="1">
      <alignment vertical="center"/>
      <protection hidden="1"/>
    </xf>
    <xf numFmtId="0" fontId="25" fillId="0" borderId="0" xfId="0" applyFont="1" applyAlignment="1" applyProtection="1">
      <alignment vertical="center"/>
      <protection hidden="1"/>
    </xf>
    <xf numFmtId="0" fontId="69" fillId="26" borderId="12" xfId="0" applyFont="1" applyFill="1" applyBorder="1" applyAlignment="1" applyProtection="1">
      <alignment horizontal="center" vertical="center"/>
      <protection hidden="1"/>
    </xf>
    <xf numFmtId="0" fontId="69" fillId="26" borderId="13" xfId="0" applyFont="1" applyFill="1" applyBorder="1" applyAlignment="1" applyProtection="1">
      <alignment horizontal="center" vertical="center"/>
      <protection hidden="1"/>
    </xf>
    <xf numFmtId="0" fontId="69" fillId="26" borderId="14" xfId="0" applyFont="1" applyFill="1" applyBorder="1" applyAlignment="1" applyProtection="1">
      <alignment horizontal="center" vertical="center"/>
      <protection hidden="1"/>
    </xf>
    <xf numFmtId="0" fontId="69" fillId="25" borderId="17" xfId="0" applyFont="1" applyFill="1" applyBorder="1" applyAlignment="1" applyProtection="1">
      <alignment horizontal="center" vertical="center"/>
      <protection hidden="1"/>
    </xf>
    <xf numFmtId="0" fontId="69" fillId="25" borderId="7" xfId="0" applyFont="1" applyFill="1" applyBorder="1" applyAlignment="1" applyProtection="1">
      <alignment horizontal="center" vertical="center"/>
      <protection hidden="1"/>
    </xf>
    <xf numFmtId="0" fontId="32" fillId="0" borderId="17"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32" fillId="25" borderId="17" xfId="0" applyFont="1" applyFill="1" applyBorder="1" applyAlignment="1" applyProtection="1">
      <alignment vertical="center"/>
      <protection hidden="1"/>
    </xf>
    <xf numFmtId="0" fontId="32" fillId="25" borderId="7" xfId="0" applyFont="1" applyFill="1" applyBorder="1" applyAlignment="1" applyProtection="1">
      <alignment vertical="center"/>
      <protection hidden="1"/>
    </xf>
    <xf numFmtId="0" fontId="32" fillId="0" borderId="17" xfId="0" applyFont="1" applyBorder="1" applyAlignment="1" applyProtection="1">
      <alignment vertical="center"/>
      <protection hidden="1"/>
    </xf>
    <xf numFmtId="0" fontId="32" fillId="0" borderId="7" xfId="0" applyFont="1" applyBorder="1" applyAlignment="1" applyProtection="1">
      <alignment vertical="center"/>
      <protection hidden="1"/>
    </xf>
    <xf numFmtId="0" fontId="35" fillId="0" borderId="17" xfId="0" applyFont="1" applyBorder="1" applyAlignment="1" applyProtection="1">
      <alignment vertical="center"/>
      <protection hidden="1"/>
    </xf>
    <xf numFmtId="0" fontId="35" fillId="0" borderId="7" xfId="0" applyFont="1" applyBorder="1" applyAlignment="1" applyProtection="1">
      <alignment vertical="center"/>
      <protection hidden="1"/>
    </xf>
    <xf numFmtId="0" fontId="35" fillId="25" borderId="17" xfId="0" applyFont="1" applyFill="1" applyBorder="1" applyAlignment="1" applyProtection="1">
      <alignment vertical="center"/>
      <protection hidden="1"/>
    </xf>
    <xf numFmtId="0" fontId="35" fillId="25" borderId="7" xfId="0" applyFont="1" applyFill="1" applyBorder="1" applyAlignment="1" applyProtection="1">
      <alignment vertical="center"/>
      <protection hidden="1"/>
    </xf>
    <xf numFmtId="0" fontId="35" fillId="0" borderId="10" xfId="0" applyFont="1" applyBorder="1" applyAlignment="1" applyProtection="1">
      <alignment vertical="center"/>
      <protection hidden="1"/>
    </xf>
    <xf numFmtId="0" fontId="35" fillId="0" borderId="8" xfId="0" applyFont="1" applyBorder="1" applyAlignment="1" applyProtection="1">
      <alignment vertical="center"/>
      <protection hidden="1"/>
    </xf>
    <xf numFmtId="0" fontId="50" fillId="0" borderId="0" xfId="0" applyFont="1" applyAlignment="1" applyProtection="1">
      <alignment horizontal="left" vertical="center"/>
      <protection hidden="1"/>
    </xf>
    <xf numFmtId="0" fontId="27" fillId="24" borderId="28" xfId="0" applyFont="1" applyFill="1" applyBorder="1" applyAlignment="1" applyProtection="1">
      <alignment vertical="center"/>
      <protection hidden="1"/>
    </xf>
    <xf numFmtId="0" fontId="27" fillId="24" borderId="31" xfId="0" applyFont="1" applyFill="1" applyBorder="1" applyAlignment="1" applyProtection="1">
      <alignment vertical="center"/>
      <protection hidden="1"/>
    </xf>
    <xf numFmtId="0" fontId="27" fillId="24" borderId="32" xfId="0" applyFont="1" applyFill="1" applyBorder="1" applyAlignment="1" applyProtection="1">
      <alignment vertical="center"/>
      <protection hidden="1"/>
    </xf>
    <xf numFmtId="0" fontId="49" fillId="0" borderId="28" xfId="0" applyFont="1" applyBorder="1" applyAlignment="1" applyProtection="1">
      <alignment horizontal="center" vertical="center"/>
      <protection hidden="1"/>
    </xf>
    <xf numFmtId="0" fontId="27" fillId="0" borderId="28" xfId="0" applyFont="1" applyBorder="1" applyAlignment="1" applyProtection="1">
      <alignment horizontal="center" vertical="center"/>
      <protection hidden="1"/>
    </xf>
    <xf numFmtId="0" fontId="27" fillId="0" borderId="31" xfId="0" applyFont="1" applyBorder="1" applyAlignment="1" applyProtection="1">
      <alignment horizontal="center" vertical="center"/>
      <protection hidden="1"/>
    </xf>
    <xf numFmtId="0" fontId="31" fillId="0" borderId="0" xfId="0" applyFont="1" applyAlignment="1" applyProtection="1">
      <alignment vertical="center"/>
      <protection hidden="1"/>
    </xf>
    <xf numFmtId="0" fontId="24" fillId="0" borderId="0" xfId="0" applyFont="1" applyAlignment="1" applyProtection="1">
      <alignment horizontal="center" vertical="center"/>
      <protection hidden="1"/>
    </xf>
    <xf numFmtId="14" fontId="50"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169" fontId="45" fillId="0" borderId="0" xfId="0" applyNumberFormat="1" applyFont="1" applyAlignment="1" applyProtection="1">
      <alignment horizontal="center"/>
      <protection hidden="1"/>
    </xf>
    <xf numFmtId="169" fontId="45" fillId="0" borderId="0" xfId="0" applyNumberFormat="1" applyFont="1" applyProtection="1">
      <protection hidden="1"/>
    </xf>
    <xf numFmtId="169" fontId="42" fillId="0" borderId="0" xfId="0" applyNumberFormat="1" applyFont="1" applyAlignment="1" applyProtection="1">
      <alignment horizontal="center"/>
      <protection hidden="1"/>
    </xf>
    <xf numFmtId="47" fontId="45" fillId="0" borderId="0" xfId="0" applyNumberFormat="1" applyFont="1" applyAlignment="1" applyProtection="1">
      <alignment horizontal="center"/>
      <protection hidden="1"/>
    </xf>
    <xf numFmtId="170" fontId="43" fillId="0" borderId="0" xfId="2" applyNumberFormat="1" applyFont="1" applyAlignment="1" applyProtection="1">
      <alignment horizontal="center" vertical="center"/>
      <protection hidden="1"/>
    </xf>
    <xf numFmtId="47" fontId="45" fillId="0" borderId="0" xfId="0" applyNumberFormat="1" applyFont="1" applyProtection="1">
      <protection hidden="1"/>
    </xf>
    <xf numFmtId="47" fontId="56" fillId="0" borderId="0" xfId="0" applyNumberFormat="1" applyFont="1" applyAlignment="1" applyProtection="1">
      <alignment horizontal="center"/>
      <protection hidden="1"/>
    </xf>
    <xf numFmtId="47" fontId="42" fillId="0" borderId="0" xfId="0" applyNumberFormat="1" applyFont="1" applyAlignment="1" applyProtection="1">
      <alignment horizontal="center"/>
      <protection hidden="1"/>
    </xf>
    <xf numFmtId="172" fontId="45" fillId="0" borderId="0" xfId="0" applyNumberFormat="1" applyFont="1" applyProtection="1">
      <protection hidden="1"/>
    </xf>
    <xf numFmtId="172" fontId="56" fillId="0" borderId="0" xfId="0" applyNumberFormat="1" applyFont="1" applyAlignment="1" applyProtection="1">
      <alignment horizontal="center"/>
      <protection hidden="1"/>
    </xf>
    <xf numFmtId="172" fontId="42" fillId="0" borderId="0" xfId="0" applyNumberFormat="1" applyFont="1" applyAlignment="1" applyProtection="1">
      <alignment horizontal="center"/>
      <protection hidden="1"/>
    </xf>
    <xf numFmtId="173" fontId="45" fillId="0" borderId="0" xfId="0" applyNumberFormat="1" applyFont="1" applyProtection="1">
      <protection hidden="1"/>
    </xf>
    <xf numFmtId="173" fontId="56" fillId="0" borderId="0" xfId="0" applyNumberFormat="1" applyFont="1" applyAlignment="1" applyProtection="1">
      <alignment horizontal="center"/>
      <protection hidden="1"/>
    </xf>
    <xf numFmtId="173" fontId="42" fillId="0" borderId="0" xfId="0" applyNumberFormat="1" applyFont="1" applyAlignment="1" applyProtection="1">
      <alignment horizontal="center"/>
      <protection hidden="1"/>
    </xf>
    <xf numFmtId="2" fontId="45" fillId="0" borderId="0" xfId="0" applyNumberFormat="1" applyFont="1" applyAlignment="1" applyProtection="1">
      <alignment horizontal="center"/>
      <protection locked="0" hidden="1"/>
    </xf>
    <xf numFmtId="170" fontId="42" fillId="0" borderId="0" xfId="0" applyNumberFormat="1" applyFont="1" applyAlignment="1" applyProtection="1">
      <alignment horizontal="center"/>
      <protection hidden="1"/>
    </xf>
    <xf numFmtId="170" fontId="45" fillId="0" borderId="0" xfId="0" applyNumberFormat="1" applyFont="1" applyAlignment="1" applyProtection="1">
      <alignment horizontal="center"/>
      <protection hidden="1"/>
    </xf>
    <xf numFmtId="0" fontId="21" fillId="0" borderId="0" xfId="0" applyFont="1" applyAlignment="1" applyProtection="1">
      <alignment vertical="center"/>
      <protection hidden="1"/>
    </xf>
    <xf numFmtId="0" fontId="21" fillId="0" borderId="0" xfId="0" applyFont="1" applyAlignment="1" applyProtection="1">
      <alignment horizontal="center" vertical="center"/>
      <protection hidden="1"/>
    </xf>
    <xf numFmtId="0" fontId="78" fillId="0" borderId="0" xfId="2" applyFont="1" applyAlignment="1" applyProtection="1">
      <alignment horizontal="center" vertical="center"/>
      <protection hidden="1"/>
    </xf>
    <xf numFmtId="0" fontId="79" fillId="0" borderId="0" xfId="2" applyFont="1" applyAlignment="1" applyProtection="1">
      <alignment horizontal="center" vertical="center"/>
      <protection hidden="1"/>
    </xf>
    <xf numFmtId="4" fontId="79" fillId="0" borderId="0" xfId="5" applyNumberFormat="1" applyFont="1" applyAlignment="1" applyProtection="1">
      <alignment horizontal="center" vertical="center"/>
      <protection hidden="1"/>
    </xf>
    <xf numFmtId="0" fontId="79" fillId="0" borderId="0" xfId="5" applyFont="1" applyAlignment="1" applyProtection="1">
      <alignment vertical="center"/>
      <protection hidden="1"/>
    </xf>
    <xf numFmtId="0" fontId="79" fillId="0" borderId="0" xfId="6" applyFont="1" applyAlignment="1" applyProtection="1">
      <alignment horizontal="center" vertical="center"/>
      <protection hidden="1"/>
    </xf>
    <xf numFmtId="0" fontId="79" fillId="0" borderId="0" xfId="6" applyFont="1" applyProtection="1">
      <protection hidden="1"/>
    </xf>
    <xf numFmtId="0" fontId="79" fillId="0" borderId="0" xfId="6" applyFont="1" applyAlignment="1" applyProtection="1">
      <alignment horizontal="center"/>
      <protection hidden="1"/>
    </xf>
    <xf numFmtId="0" fontId="79" fillId="0" borderId="11" xfId="6" applyFont="1" applyBorder="1" applyProtection="1">
      <protection hidden="1"/>
    </xf>
    <xf numFmtId="0" fontId="80" fillId="0" borderId="0" xfId="0" applyFont="1" applyAlignment="1" applyProtection="1">
      <alignment horizontal="center" vertical="center"/>
      <protection hidden="1"/>
    </xf>
    <xf numFmtId="0" fontId="79" fillId="0" borderId="0" xfId="5" applyFont="1" applyAlignment="1" applyProtection="1">
      <alignment horizontal="center" vertical="center"/>
      <protection hidden="1"/>
    </xf>
    <xf numFmtId="0" fontId="80" fillId="0" borderId="0" xfId="0" applyFont="1" applyProtection="1">
      <protection hidden="1"/>
    </xf>
    <xf numFmtId="165" fontId="79" fillId="0" borderId="0" xfId="6" applyNumberFormat="1" applyFont="1" applyProtection="1">
      <protection hidden="1"/>
    </xf>
    <xf numFmtId="1" fontId="79" fillId="0" borderId="0" xfId="6" applyNumberFormat="1" applyFont="1" applyAlignment="1" applyProtection="1">
      <alignment horizontal="center"/>
      <protection hidden="1"/>
    </xf>
    <xf numFmtId="0" fontId="79" fillId="0" borderId="1" xfId="5" applyFont="1" applyBorder="1" applyAlignment="1" applyProtection="1">
      <alignment horizontal="center" vertical="center"/>
      <protection hidden="1"/>
    </xf>
    <xf numFmtId="1" fontId="79" fillId="0" borderId="0" xfId="5" applyNumberFormat="1" applyFont="1" applyAlignment="1" applyProtection="1">
      <alignment horizontal="center"/>
      <protection hidden="1"/>
    </xf>
    <xf numFmtId="0" fontId="80" fillId="0" borderId="0" xfId="0" applyFont="1" applyAlignment="1" applyProtection="1">
      <alignment horizontal="center"/>
      <protection hidden="1"/>
    </xf>
    <xf numFmtId="0" fontId="79" fillId="0" borderId="0" xfId="5" applyFont="1" applyAlignment="1" applyProtection="1">
      <alignment horizontal="center"/>
      <protection hidden="1"/>
    </xf>
    <xf numFmtId="0" fontId="80" fillId="11" borderId="0" xfId="0" applyFont="1" applyFill="1" applyAlignment="1" applyProtection="1">
      <alignment horizontal="center"/>
      <protection hidden="1"/>
    </xf>
    <xf numFmtId="0" fontId="81" fillId="15" borderId="0" xfId="2" applyFont="1" applyFill="1" applyAlignment="1" applyProtection="1">
      <alignment horizontal="center" vertical="center"/>
      <protection hidden="1"/>
    </xf>
    <xf numFmtId="2" fontId="79" fillId="0" borderId="0" xfId="2" applyNumberFormat="1" applyFont="1" applyAlignment="1" applyProtection="1">
      <alignment horizontal="center" vertical="center"/>
      <protection hidden="1"/>
    </xf>
    <xf numFmtId="0" fontId="82" fillId="0" borderId="0" xfId="0" applyFont="1" applyAlignment="1" applyProtection="1">
      <alignment vertical="center"/>
      <protection hidden="1"/>
    </xf>
    <xf numFmtId="170" fontId="49" fillId="10" borderId="18" xfId="6" applyNumberFormat="1" applyFont="1" applyFill="1" applyBorder="1" applyAlignment="1" applyProtection="1">
      <alignment horizontal="center"/>
      <protection locked="0" hidden="1"/>
    </xf>
    <xf numFmtId="0" fontId="20" fillId="0" borderId="0" xfId="0" applyFont="1" applyAlignment="1" applyProtection="1">
      <alignment vertical="center"/>
      <protection hidden="1"/>
    </xf>
    <xf numFmtId="0" fontId="20" fillId="0" borderId="18" xfId="0" applyFont="1" applyBorder="1" applyAlignment="1" applyProtection="1">
      <alignment vertical="center"/>
      <protection hidden="1"/>
    </xf>
    <xf numFmtId="0" fontId="73" fillId="29" borderId="18" xfId="0" applyFont="1" applyFill="1" applyBorder="1" applyAlignment="1" applyProtection="1">
      <alignment horizontal="center" vertical="center"/>
      <protection hidden="1"/>
    </xf>
    <xf numFmtId="0" fontId="49" fillId="30" borderId="18" xfId="0" applyFont="1" applyFill="1" applyBorder="1" applyAlignment="1" applyProtection="1">
      <alignment horizontal="center" vertical="center"/>
      <protection hidden="1"/>
    </xf>
    <xf numFmtId="0" fontId="49" fillId="31" borderId="23" xfId="0" applyFont="1" applyFill="1" applyBorder="1" applyAlignment="1">
      <alignment horizontal="center" vertical="center"/>
    </xf>
    <xf numFmtId="0" fontId="49" fillId="31" borderId="23" xfId="0" applyFont="1" applyFill="1" applyBorder="1" applyAlignment="1" applyProtection="1">
      <alignment horizontal="center" vertical="center"/>
      <protection hidden="1"/>
    </xf>
    <xf numFmtId="0" fontId="20" fillId="25" borderId="18" xfId="0" applyFont="1" applyFill="1" applyBorder="1" applyAlignment="1" applyProtection="1">
      <alignment vertical="center"/>
      <protection locked="0" hidden="1"/>
    </xf>
    <xf numFmtId="173" fontId="45" fillId="0" borderId="0" xfId="0" applyNumberFormat="1" applyFont="1" applyAlignment="1" applyProtection="1">
      <alignment horizontal="center"/>
      <protection hidden="1"/>
    </xf>
    <xf numFmtId="165" fontId="49" fillId="0" borderId="0" xfId="6" applyNumberFormat="1" applyFont="1" applyProtection="1">
      <protection hidden="1"/>
    </xf>
    <xf numFmtId="165" fontId="49" fillId="0" borderId="0" xfId="6" applyNumberFormat="1" applyFont="1" applyAlignment="1" applyProtection="1">
      <alignment horizontal="center"/>
      <protection hidden="1"/>
    </xf>
    <xf numFmtId="170" fontId="49" fillId="0" borderId="0" xfId="6" applyNumberFormat="1" applyFont="1" applyAlignment="1" applyProtection="1">
      <alignment horizontal="center"/>
      <protection hidden="1"/>
    </xf>
    <xf numFmtId="0" fontId="73" fillId="0" borderId="18" xfId="0" applyFont="1" applyBorder="1" applyAlignment="1" applyProtection="1">
      <alignment horizontal="center" vertical="center" wrapText="1"/>
      <protection hidden="1"/>
    </xf>
    <xf numFmtId="0" fontId="85" fillId="0" borderId="28" xfId="0" applyFont="1" applyBorder="1" applyAlignment="1" applyProtection="1">
      <alignment horizontal="center" vertical="center"/>
      <protection hidden="1"/>
    </xf>
    <xf numFmtId="0" fontId="35" fillId="0" borderId="0" xfId="0" applyFont="1" applyAlignment="1" applyProtection="1">
      <alignment horizontal="center" vertical="center" wrapText="1"/>
      <protection hidden="1"/>
    </xf>
    <xf numFmtId="0" fontId="33" fillId="0" borderId="0" xfId="0" applyFont="1" applyAlignment="1" applyProtection="1">
      <alignment vertical="center"/>
      <protection hidden="1"/>
    </xf>
    <xf numFmtId="0" fontId="29" fillId="0" borderId="0" xfId="0" applyFont="1" applyAlignment="1" applyProtection="1">
      <alignment horizontal="left" vertical="center"/>
      <protection hidden="1"/>
    </xf>
    <xf numFmtId="0" fontId="30" fillId="0" borderId="0" xfId="0" applyFont="1" applyAlignment="1" applyProtection="1">
      <alignment horizontal="left" vertical="center"/>
      <protection hidden="1"/>
    </xf>
    <xf numFmtId="169" fontId="28" fillId="0" borderId="0" xfId="0" applyNumberFormat="1" applyFont="1" applyAlignment="1" applyProtection="1">
      <alignment horizontal="right" vertical="center"/>
      <protection hidden="1"/>
    </xf>
    <xf numFmtId="169" fontId="62" fillId="0" borderId="0" xfId="0" applyNumberFormat="1" applyFont="1" applyAlignment="1" applyProtection="1">
      <alignment horizontal="right" vertical="center"/>
      <protection hidden="1"/>
    </xf>
    <xf numFmtId="1" fontId="87" fillId="0" borderId="0" xfId="0" applyNumberFormat="1" applyFont="1" applyAlignment="1" applyProtection="1">
      <alignment horizontal="center" vertical="center"/>
      <protection hidden="1"/>
    </xf>
    <xf numFmtId="2" fontId="19" fillId="4" borderId="0" xfId="0" applyNumberFormat="1" applyFont="1" applyFill="1" applyAlignment="1" applyProtection="1">
      <alignment horizontal="center"/>
      <protection locked="0" hidden="1"/>
    </xf>
    <xf numFmtId="0" fontId="57" fillId="0" borderId="0" xfId="0" applyFont="1" applyAlignment="1" applyProtection="1">
      <alignment horizontal="center"/>
      <protection hidden="1"/>
    </xf>
    <xf numFmtId="1" fontId="28" fillId="0" borderId="0" xfId="1" applyNumberFormat="1" applyFont="1" applyAlignment="1" applyProtection="1">
      <alignment horizontal="center" vertical="center"/>
      <protection locked="0" hidden="1"/>
    </xf>
    <xf numFmtId="1" fontId="28" fillId="0" borderId="0" xfId="0" applyNumberFormat="1" applyFont="1" applyAlignment="1" applyProtection="1">
      <alignment horizontal="center" vertical="center"/>
      <protection hidden="1"/>
    </xf>
    <xf numFmtId="0" fontId="18" fillId="0" borderId="0" xfId="0" applyFont="1" applyAlignment="1" applyProtection="1">
      <alignment vertical="center"/>
      <protection hidden="1"/>
    </xf>
    <xf numFmtId="0" fontId="55" fillId="28" borderId="0" xfId="0" applyFont="1" applyFill="1" applyAlignment="1" applyProtection="1">
      <alignment horizontal="center"/>
      <protection hidden="1"/>
    </xf>
    <xf numFmtId="0" fontId="55" fillId="28" borderId="0" xfId="0" applyFont="1" applyFill="1" applyProtection="1">
      <protection hidden="1"/>
    </xf>
    <xf numFmtId="0" fontId="55" fillId="28" borderId="0" xfId="0" applyFont="1" applyFill="1" applyAlignment="1" applyProtection="1">
      <alignment horizontal="left"/>
      <protection hidden="1"/>
    </xf>
    <xf numFmtId="164" fontId="43" fillId="0" borderId="0" xfId="1" applyNumberFormat="1" applyFont="1" applyAlignment="1" applyProtection="1">
      <alignment horizontal="right"/>
      <protection hidden="1"/>
    </xf>
    <xf numFmtId="0" fontId="17" fillId="0" borderId="0" xfId="0" applyFont="1" applyAlignment="1" applyProtection="1">
      <alignment vertical="center"/>
      <protection hidden="1"/>
    </xf>
    <xf numFmtId="165" fontId="28" fillId="0" borderId="0" xfId="0" applyNumberFormat="1" applyFont="1" applyAlignment="1" applyProtection="1">
      <alignment vertical="center"/>
      <protection hidden="1"/>
    </xf>
    <xf numFmtId="0" fontId="16" fillId="0" borderId="0" xfId="0" applyFont="1" applyProtection="1">
      <protection hidden="1"/>
    </xf>
    <xf numFmtId="0" fontId="16" fillId="0" borderId="0" xfId="0" applyFont="1" applyAlignment="1" applyProtection="1">
      <alignment horizontal="center"/>
      <protection hidden="1"/>
    </xf>
    <xf numFmtId="174" fontId="45" fillId="0" borderId="0" xfId="0" applyNumberFormat="1" applyFont="1" applyAlignment="1" applyProtection="1">
      <alignment horizontal="center"/>
      <protection hidden="1"/>
    </xf>
    <xf numFmtId="164" fontId="45" fillId="0" borderId="34" xfId="1" applyNumberFormat="1" applyFont="1" applyBorder="1" applyAlignment="1" applyProtection="1">
      <alignment horizontal="right"/>
      <protection hidden="1"/>
    </xf>
    <xf numFmtId="164" fontId="56" fillId="0" borderId="34" xfId="1" applyNumberFormat="1" applyFont="1" applyBorder="1" applyAlignment="1" applyProtection="1">
      <alignment horizontal="right"/>
      <protection hidden="1"/>
    </xf>
    <xf numFmtId="164" fontId="43" fillId="0" borderId="34" xfId="1" applyNumberFormat="1" applyFont="1" applyBorder="1" applyAlignment="1" applyProtection="1">
      <alignment horizontal="right"/>
      <protection hidden="1"/>
    </xf>
    <xf numFmtId="0" fontId="16" fillId="0" borderId="0" xfId="0" applyFont="1"/>
    <xf numFmtId="0" fontId="17" fillId="4" borderId="18" xfId="0" applyFont="1" applyFill="1" applyBorder="1" applyAlignment="1" applyProtection="1">
      <alignment vertical="center"/>
      <protection locked="0" hidden="1"/>
    </xf>
    <xf numFmtId="0" fontId="17" fillId="4" borderId="18" xfId="0" applyFont="1" applyFill="1" applyBorder="1" applyAlignment="1" applyProtection="1">
      <alignment vertical="center"/>
      <protection hidden="1"/>
    </xf>
    <xf numFmtId="0" fontId="16" fillId="0" borderId="0" xfId="0" applyFont="1" applyAlignment="1" applyProtection="1">
      <alignment horizontal="left"/>
      <protection hidden="1"/>
    </xf>
    <xf numFmtId="0" fontId="42" fillId="0" borderId="0" xfId="0" applyFont="1" applyAlignment="1" applyProtection="1">
      <alignment vertical="center"/>
      <protection hidden="1"/>
    </xf>
    <xf numFmtId="0" fontId="15" fillId="0" borderId="0" xfId="0" applyFont="1" applyProtection="1">
      <protection hidden="1"/>
    </xf>
    <xf numFmtId="0" fontId="15" fillId="0" borderId="0" xfId="0" quotePrefix="1" applyFont="1" applyProtection="1">
      <protection hidden="1"/>
    </xf>
    <xf numFmtId="170" fontId="14" fillId="0" borderId="0" xfId="0" applyNumberFormat="1" applyFont="1" applyAlignment="1" applyProtection="1">
      <alignment horizontal="center"/>
      <protection locked="0" hidden="1"/>
    </xf>
    <xf numFmtId="170" fontId="49" fillId="10" borderId="18" xfId="6" quotePrefix="1" applyNumberFormat="1" applyFont="1" applyFill="1" applyBorder="1" applyAlignment="1" applyProtection="1">
      <alignment horizontal="center"/>
      <protection locked="0" hidden="1"/>
    </xf>
    <xf numFmtId="0" fontId="14" fillId="0" borderId="0" xfId="0" applyFont="1" applyProtection="1">
      <protection hidden="1"/>
    </xf>
    <xf numFmtId="0" fontId="13" fillId="0" borderId="0" xfId="0" applyFont="1" applyProtection="1">
      <protection hidden="1"/>
    </xf>
    <xf numFmtId="0" fontId="12" fillId="0" borderId="0" xfId="0" applyFont="1" applyProtection="1">
      <protection hidden="1"/>
    </xf>
    <xf numFmtId="0" fontId="11" fillId="0" borderId="0" xfId="0" applyFont="1" applyProtection="1">
      <protection hidden="1"/>
    </xf>
    <xf numFmtId="2" fontId="11" fillId="0" borderId="0" xfId="0" applyNumberFormat="1" applyFont="1" applyProtection="1">
      <protection hidden="1"/>
    </xf>
    <xf numFmtId="170" fontId="11" fillId="0" borderId="0" xfId="0" applyNumberFormat="1" applyFont="1" applyAlignment="1" applyProtection="1">
      <alignment horizontal="center"/>
      <protection locked="0" hidden="1"/>
    </xf>
    <xf numFmtId="3" fontId="11" fillId="0" borderId="0" xfId="0" applyNumberFormat="1" applyFont="1" applyAlignment="1" applyProtection="1">
      <alignment horizontal="center"/>
      <protection locked="0" hidden="1"/>
    </xf>
    <xf numFmtId="2" fontId="11" fillId="0" borderId="0" xfId="0" applyNumberFormat="1" applyFont="1" applyAlignment="1" applyProtection="1">
      <alignment horizontal="center"/>
      <protection locked="0" hidden="1"/>
    </xf>
    <xf numFmtId="169" fontId="11" fillId="0" borderId="0" xfId="0" applyNumberFormat="1" applyFont="1" applyAlignment="1" applyProtection="1">
      <alignment horizontal="center"/>
      <protection locked="0"/>
    </xf>
    <xf numFmtId="170" fontId="11" fillId="0" borderId="0" xfId="0" applyNumberFormat="1" applyFont="1" applyProtection="1">
      <protection hidden="1"/>
    </xf>
    <xf numFmtId="3" fontId="49" fillId="9" borderId="18" xfId="5" applyNumberFormat="1" applyFont="1" applyFill="1" applyBorder="1" applyAlignment="1" applyProtection="1">
      <alignment horizontal="center"/>
      <protection locked="0" hidden="1"/>
    </xf>
    <xf numFmtId="0" fontId="49" fillId="0" borderId="0" xfId="6" applyFont="1" applyAlignment="1" applyProtection="1">
      <alignment horizontal="center"/>
      <protection hidden="1"/>
    </xf>
    <xf numFmtId="0" fontId="49" fillId="0" borderId="0" xfId="6" applyFont="1" applyAlignment="1" applyProtection="1">
      <alignment horizontal="center" vertical="center"/>
      <protection hidden="1"/>
    </xf>
    <xf numFmtId="0" fontId="10" fillId="0" borderId="0" xfId="0" applyFont="1" applyAlignment="1" applyProtection="1">
      <alignment horizontal="center"/>
      <protection locked="0"/>
    </xf>
    <xf numFmtId="169" fontId="88" fillId="0" borderId="0" xfId="0" applyNumberFormat="1" applyFont="1" applyAlignment="1" applyProtection="1">
      <alignment horizontal="center"/>
      <protection hidden="1"/>
    </xf>
    <xf numFmtId="2" fontId="88"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9" fillId="0" borderId="0" xfId="0" applyFont="1" applyAlignment="1" applyProtection="1">
      <alignment horizontal="center"/>
      <protection hidden="1"/>
    </xf>
    <xf numFmtId="0" fontId="90" fillId="5" borderId="0" xfId="0" applyFont="1" applyFill="1" applyAlignment="1" applyProtection="1">
      <alignment horizontal="right" vertical="center"/>
      <protection hidden="1"/>
    </xf>
    <xf numFmtId="0" fontId="55" fillId="5" borderId="0" xfId="0" applyFont="1" applyFill="1" applyAlignment="1" applyProtection="1">
      <alignment horizontal="right" vertical="center"/>
      <protection hidden="1"/>
    </xf>
    <xf numFmtId="0" fontId="91" fillId="5" borderId="0" xfId="0" applyFont="1" applyFill="1" applyAlignment="1" applyProtection="1">
      <alignment horizontal="right" vertical="center"/>
      <protection hidden="1"/>
    </xf>
    <xf numFmtId="0" fontId="42" fillId="0" borderId="0" xfId="0" applyFont="1" applyAlignment="1" applyProtection="1">
      <alignment vertical="center" wrapText="1"/>
      <protection hidden="1"/>
    </xf>
    <xf numFmtId="166" fontId="28" fillId="0" borderId="0" xfId="0" applyNumberFormat="1" applyFont="1" applyAlignment="1" applyProtection="1">
      <alignment horizontal="left" vertical="center"/>
      <protection hidden="1"/>
    </xf>
    <xf numFmtId="0" fontId="9" fillId="0" borderId="0" xfId="0" applyFont="1" applyProtection="1">
      <protection hidden="1"/>
    </xf>
    <xf numFmtId="0" fontId="8" fillId="0" borderId="0" xfId="0" applyFont="1" applyProtection="1">
      <protection hidden="1"/>
    </xf>
    <xf numFmtId="0" fontId="7" fillId="0" borderId="0" xfId="0" applyFont="1" applyProtection="1">
      <protection hidden="1"/>
    </xf>
    <xf numFmtId="0" fontId="17" fillId="8" borderId="18" xfId="0" applyFont="1" applyFill="1" applyBorder="1" applyAlignment="1" applyProtection="1">
      <alignment horizontal="center" vertical="center"/>
      <protection locked="0" hidden="1"/>
    </xf>
    <xf numFmtId="43" fontId="28" fillId="0" borderId="0" xfId="1" applyFont="1" applyAlignment="1" applyProtection="1">
      <alignment horizontal="center" vertical="center"/>
      <protection hidden="1"/>
    </xf>
    <xf numFmtId="169" fontId="6" fillId="0" borderId="0" xfId="0" quotePrefix="1" applyNumberFormat="1" applyFont="1" applyAlignment="1" applyProtection="1">
      <alignment horizontal="center"/>
      <protection locked="0"/>
    </xf>
    <xf numFmtId="169" fontId="11" fillId="0" borderId="0" xfId="0" applyNumberFormat="1" applyFont="1" applyAlignment="1" applyProtection="1">
      <alignment horizontal="center"/>
      <protection locked="0" hidden="1"/>
    </xf>
    <xf numFmtId="2" fontId="6" fillId="0" borderId="0" xfId="0" applyNumberFormat="1" applyFont="1" applyAlignment="1" applyProtection="1">
      <alignment horizontal="center"/>
      <protection locked="0" hidden="1"/>
    </xf>
    <xf numFmtId="170" fontId="6" fillId="0" borderId="0" xfId="0" applyNumberFormat="1" applyFont="1" applyAlignment="1" applyProtection="1">
      <alignment horizontal="center"/>
      <protection locked="0" hidden="1"/>
    </xf>
    <xf numFmtId="2" fontId="17" fillId="4" borderId="0" xfId="0" applyNumberFormat="1" applyFont="1" applyFill="1" applyAlignment="1" applyProtection="1">
      <alignment horizontal="center"/>
      <protection locked="0" hidden="1"/>
    </xf>
    <xf numFmtId="3" fontId="5" fillId="0" borderId="0" xfId="0" applyNumberFormat="1" applyFont="1" applyAlignment="1" applyProtection="1">
      <alignment horizontal="center"/>
      <protection locked="0" hidden="1"/>
    </xf>
    <xf numFmtId="3" fontId="5" fillId="0" borderId="0" xfId="0" applyNumberFormat="1" applyFont="1" applyAlignment="1" applyProtection="1">
      <alignment horizontal="center"/>
      <protection hidden="1"/>
    </xf>
    <xf numFmtId="169" fontId="19" fillId="4" borderId="0" xfId="0" applyNumberFormat="1" applyFont="1" applyFill="1" applyAlignment="1" applyProtection="1">
      <alignment horizontal="center"/>
      <protection locked="0" hidden="1"/>
    </xf>
    <xf numFmtId="0" fontId="5" fillId="0" borderId="0" xfId="0" applyFont="1" applyProtection="1">
      <protection hidden="1"/>
    </xf>
    <xf numFmtId="0" fontId="4" fillId="0" borderId="0" xfId="0" applyFont="1" applyProtection="1">
      <protection hidden="1"/>
    </xf>
    <xf numFmtId="0" fontId="4" fillId="4" borderId="0" xfId="0" applyFont="1" applyFill="1" applyProtection="1">
      <protection hidden="1"/>
    </xf>
    <xf numFmtId="0" fontId="43" fillId="0" borderId="0" xfId="0" applyFont="1"/>
    <xf numFmtId="0" fontId="4" fillId="0" borderId="0" xfId="0" quotePrefix="1" applyFont="1" applyProtection="1">
      <protection hidden="1"/>
    </xf>
    <xf numFmtId="0" fontId="4" fillId="0" borderId="0" xfId="0" applyFont="1" applyAlignment="1" applyProtection="1">
      <alignment horizontal="center"/>
      <protection hidden="1"/>
    </xf>
    <xf numFmtId="0" fontId="17" fillId="0" borderId="0" xfId="0" applyFont="1" applyAlignment="1" applyProtection="1">
      <alignment horizontal="center" vertical="center"/>
      <protection hidden="1"/>
    </xf>
    <xf numFmtId="2" fontId="4" fillId="0" borderId="0" xfId="0" applyNumberFormat="1" applyFont="1" applyAlignment="1" applyProtection="1">
      <alignment horizontal="center"/>
      <protection hidden="1"/>
    </xf>
    <xf numFmtId="20" fontId="4" fillId="0" borderId="0" xfId="0" applyNumberFormat="1" applyFont="1" applyAlignment="1" applyProtection="1">
      <alignment horizontal="center"/>
      <protection hidden="1"/>
    </xf>
    <xf numFmtId="170" fontId="4" fillId="0" borderId="0" xfId="0" applyNumberFormat="1" applyFont="1" applyAlignment="1" applyProtection="1">
      <alignment horizontal="center"/>
      <protection locked="0" hidden="1"/>
    </xf>
    <xf numFmtId="0" fontId="3" fillId="0" borderId="0" xfId="0" applyFont="1" applyProtection="1">
      <protection hidden="1"/>
    </xf>
    <xf numFmtId="0" fontId="0" fillId="0" borderId="0" xfId="0" applyFont="1" applyFill="1"/>
    <xf numFmtId="0" fontId="2" fillId="0" borderId="0" xfId="0" applyFont="1"/>
    <xf numFmtId="0" fontId="92" fillId="0" borderId="0" xfId="0" applyFont="1" applyBorder="1"/>
    <xf numFmtId="0" fontId="92" fillId="0" borderId="0" xfId="0" applyFont="1" applyBorder="1" applyAlignment="1">
      <alignment horizontal="center"/>
    </xf>
    <xf numFmtId="0" fontId="93" fillId="0" borderId="0" xfId="0" applyFont="1" applyFill="1" applyBorder="1" applyAlignment="1">
      <alignment horizontal="left"/>
    </xf>
    <xf numFmtId="0" fontId="94" fillId="0" borderId="0" xfId="0" applyFont="1" applyFill="1" applyBorder="1" applyAlignment="1">
      <alignment horizontal="left"/>
    </xf>
    <xf numFmtId="0" fontId="94" fillId="0" borderId="0" xfId="0" applyFont="1" applyBorder="1"/>
    <xf numFmtId="0" fontId="95" fillId="27" borderId="0" xfId="0" applyFont="1" applyFill="1" applyBorder="1" applyAlignment="1">
      <alignment wrapText="1"/>
    </xf>
    <xf numFmtId="0" fontId="94" fillId="0" borderId="0" xfId="0" applyFont="1" applyFill="1" applyBorder="1" applyAlignment="1">
      <alignment horizontal="left" wrapText="1"/>
    </xf>
    <xf numFmtId="0" fontId="94" fillId="0" borderId="0" xfId="0" applyFont="1" applyBorder="1" applyAlignment="1">
      <alignment horizontal="center"/>
    </xf>
    <xf numFmtId="0" fontId="95" fillId="0" borderId="0" xfId="0" applyFont="1" applyBorder="1" applyAlignment="1">
      <alignment wrapText="1"/>
    </xf>
    <xf numFmtId="2" fontId="95" fillId="0" borderId="0" xfId="0" applyNumberFormat="1" applyFont="1" applyBorder="1" applyAlignment="1">
      <alignment wrapText="1"/>
    </xf>
    <xf numFmtId="0" fontId="94" fillId="0" borderId="0" xfId="0" applyFont="1" applyBorder="1" applyAlignment="1">
      <alignment wrapText="1"/>
    </xf>
    <xf numFmtId="2" fontId="94" fillId="0" borderId="0" xfId="0" applyNumberFormat="1" applyFont="1" applyBorder="1" applyAlignment="1">
      <alignment wrapText="1"/>
    </xf>
    <xf numFmtId="0" fontId="94" fillId="0" borderId="0" xfId="0" quotePrefix="1" applyFont="1" applyFill="1" applyBorder="1" applyAlignment="1">
      <alignment horizontal="left" wrapText="1"/>
    </xf>
    <xf numFmtId="165" fontId="94" fillId="0" borderId="0" xfId="0" applyNumberFormat="1" applyFont="1" applyBorder="1" applyAlignment="1">
      <alignment wrapText="1"/>
    </xf>
    <xf numFmtId="0" fontId="94" fillId="0" borderId="0" xfId="0" quotePrefix="1" applyFont="1" applyBorder="1" applyAlignment="1">
      <alignment wrapText="1"/>
    </xf>
    <xf numFmtId="0" fontId="94" fillId="0" borderId="0" xfId="0" quotePrefix="1" applyFont="1" applyBorder="1"/>
    <xf numFmtId="2" fontId="94" fillId="0" borderId="0" xfId="0" applyNumberFormat="1" applyFont="1" applyBorder="1"/>
    <xf numFmtId="0" fontId="92" fillId="0" borderId="0" xfId="0" applyFont="1" applyFill="1"/>
    <xf numFmtId="0" fontId="53" fillId="0" borderId="0" xfId="3" applyFont="1" applyFill="1" applyAlignment="1" applyProtection="1">
      <alignment horizontal="center" vertical="top"/>
      <protection hidden="1"/>
    </xf>
    <xf numFmtId="0" fontId="43" fillId="0" borderId="0" xfId="3" applyFont="1" applyFill="1" applyAlignment="1" applyProtection="1">
      <alignment horizontal="center" vertical="top"/>
      <protection hidden="1"/>
    </xf>
    <xf numFmtId="0" fontId="1" fillId="0" borderId="0" xfId="0" applyFont="1" applyAlignment="1" applyProtection="1">
      <alignment horizontal="center"/>
      <protection hidden="1"/>
    </xf>
    <xf numFmtId="0" fontId="43" fillId="0" borderId="0" xfId="0" applyFont="1" applyFill="1" applyBorder="1" applyProtection="1">
      <protection hidden="1"/>
    </xf>
    <xf numFmtId="1" fontId="43" fillId="0" borderId="0" xfId="0" applyNumberFormat="1" applyFont="1" applyFill="1" applyBorder="1" applyAlignment="1" applyProtection="1">
      <alignment horizontal="left"/>
      <protection hidden="1"/>
    </xf>
    <xf numFmtId="0" fontId="16" fillId="11" borderId="0" xfId="0" applyFont="1" applyFill="1"/>
    <xf numFmtId="0" fontId="43" fillId="11" borderId="0" xfId="0" applyFont="1" applyFill="1" applyAlignment="1" applyProtection="1">
      <alignment horizontal="left" vertical="center"/>
      <protection hidden="1"/>
    </xf>
    <xf numFmtId="0" fontId="43" fillId="0" borderId="0" xfId="0" applyFont="1" applyFill="1" applyBorder="1" applyAlignment="1" applyProtection="1">
      <alignment horizontal="left" vertical="center"/>
      <protection hidden="1"/>
    </xf>
    <xf numFmtId="0" fontId="97" fillId="0" borderId="0" xfId="0" applyFont="1" applyAlignment="1" applyProtection="1">
      <alignment horizontal="left" vertical="center"/>
      <protection hidden="1"/>
    </xf>
    <xf numFmtId="0" fontId="98" fillId="0" borderId="0" xfId="0" applyFont="1" applyAlignment="1" applyProtection="1">
      <alignment horizontal="center"/>
      <protection hidden="1"/>
    </xf>
    <xf numFmtId="0" fontId="98" fillId="0" borderId="0" xfId="0" applyFont="1" applyProtection="1">
      <protection hidden="1"/>
    </xf>
    <xf numFmtId="2" fontId="98" fillId="0" borderId="0" xfId="0" applyNumberFormat="1" applyFont="1" applyProtection="1">
      <protection hidden="1"/>
    </xf>
    <xf numFmtId="14" fontId="97" fillId="0" borderId="0" xfId="0" applyNumberFormat="1" applyFont="1" applyAlignment="1" applyProtection="1">
      <alignment horizontal="left" vertical="center"/>
      <protection hidden="1"/>
    </xf>
    <xf numFmtId="2" fontId="43" fillId="0" borderId="0" xfId="0" applyNumberFormat="1" applyFont="1" applyAlignment="1" applyProtection="1">
      <alignment horizontal="center"/>
      <protection hidden="1"/>
    </xf>
    <xf numFmtId="0" fontId="43" fillId="0" borderId="0" xfId="0" applyFont="1" applyProtection="1">
      <protection hidden="1"/>
    </xf>
    <xf numFmtId="0" fontId="43" fillId="0" borderId="0" xfId="0" applyFont="1" applyAlignment="1" applyProtection="1">
      <alignment horizontal="center"/>
      <protection hidden="1"/>
    </xf>
    <xf numFmtId="0" fontId="98" fillId="0" borderId="0" xfId="0" applyFont="1" applyAlignment="1" applyProtection="1">
      <alignment vertical="center"/>
      <protection hidden="1"/>
    </xf>
    <xf numFmtId="0" fontId="96" fillId="0" borderId="0" xfId="0" applyFont="1" applyProtection="1">
      <protection hidden="1"/>
    </xf>
    <xf numFmtId="2" fontId="96" fillId="0" borderId="0" xfId="0" applyNumberFormat="1" applyFont="1" applyAlignment="1" applyProtection="1">
      <alignment horizontal="center"/>
      <protection hidden="1"/>
    </xf>
    <xf numFmtId="0" fontId="98" fillId="0" borderId="0" xfId="0" applyFont="1" applyAlignment="1" applyProtection="1">
      <alignment horizontal="left" vertical="center"/>
      <protection hidden="1"/>
    </xf>
    <xf numFmtId="0" fontId="43" fillId="0" borderId="0" xfId="0" applyFont="1" applyAlignment="1" applyProtection="1">
      <alignment horizontal="left"/>
      <protection hidden="1"/>
    </xf>
    <xf numFmtId="2" fontId="98" fillId="0" borderId="0" xfId="0" applyNumberFormat="1" applyFont="1" applyAlignment="1" applyProtection="1">
      <alignment horizontal="right" vertical="center"/>
      <protection hidden="1"/>
    </xf>
    <xf numFmtId="2" fontId="41" fillId="0" borderId="0" xfId="0" applyNumberFormat="1" applyFont="1" applyAlignment="1" applyProtection="1">
      <alignment horizontal="center"/>
      <protection hidden="1"/>
    </xf>
    <xf numFmtId="2" fontId="43" fillId="0" borderId="0" xfId="0" applyNumberFormat="1" applyFont="1" applyProtection="1">
      <protection hidden="1"/>
    </xf>
    <xf numFmtId="3" fontId="43" fillId="0" borderId="0" xfId="0" applyNumberFormat="1" applyFont="1" applyAlignment="1" applyProtection="1">
      <alignment horizontal="center"/>
      <protection hidden="1"/>
    </xf>
    <xf numFmtId="1" fontId="43" fillId="0" borderId="0" xfId="0" applyNumberFormat="1" applyFont="1" applyAlignment="1" applyProtection="1">
      <alignment horizontal="center"/>
      <protection hidden="1"/>
    </xf>
    <xf numFmtId="0" fontId="43" fillId="11" borderId="0" xfId="0" applyFont="1" applyFill="1" applyAlignment="1" applyProtection="1">
      <alignment horizontal="center"/>
      <protection hidden="1"/>
    </xf>
    <xf numFmtId="165" fontId="98" fillId="0" borderId="0" xfId="0" applyNumberFormat="1" applyFont="1" applyAlignment="1" applyProtection="1">
      <alignment horizontal="right" vertical="center"/>
      <protection hidden="1"/>
    </xf>
    <xf numFmtId="1" fontId="99" fillId="0" borderId="0" xfId="0" applyNumberFormat="1" applyFont="1" applyAlignment="1" applyProtection="1">
      <alignment horizontal="center"/>
      <protection hidden="1"/>
    </xf>
    <xf numFmtId="4" fontId="43" fillId="0" borderId="0" xfId="0" applyNumberFormat="1" applyFont="1" applyAlignment="1" applyProtection="1">
      <alignment horizontal="center"/>
      <protection locked="0" hidden="1"/>
    </xf>
    <xf numFmtId="0" fontId="43" fillId="0" borderId="0" xfId="0" applyFont="1" applyAlignment="1" applyProtection="1">
      <alignment horizontal="center"/>
      <protection hidden="1"/>
    </xf>
    <xf numFmtId="170" fontId="1" fillId="0" borderId="0" xfId="0" applyNumberFormat="1" applyFont="1" applyAlignment="1" applyProtection="1">
      <alignment horizontal="center"/>
      <protection locked="0" hidden="1"/>
    </xf>
    <xf numFmtId="2" fontId="1" fillId="0" borderId="0" xfId="0" applyNumberFormat="1" applyFont="1" applyAlignment="1" applyProtection="1">
      <alignment horizontal="center"/>
      <protection locked="0" hidden="1"/>
    </xf>
    <xf numFmtId="0" fontId="32" fillId="25" borderId="0" xfId="0" applyFont="1" applyFill="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32" fillId="0" borderId="11" xfId="0" applyFont="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0" fontId="17" fillId="15" borderId="0" xfId="0" applyFont="1" applyFill="1" applyAlignment="1" applyProtection="1">
      <alignment horizontal="center" vertical="center" wrapText="1"/>
      <protection hidden="1"/>
    </xf>
    <xf numFmtId="0" fontId="23" fillId="15" borderId="0" xfId="0" applyFont="1" applyFill="1" applyAlignment="1" applyProtection="1">
      <alignment horizontal="center" vertical="center" wrapText="1"/>
      <protection hidden="1"/>
    </xf>
    <xf numFmtId="0" fontId="17" fillId="25" borderId="0" xfId="0" applyFont="1" applyFill="1" applyAlignment="1" applyProtection="1">
      <alignment horizontal="center" vertical="center" wrapText="1"/>
      <protection hidden="1"/>
    </xf>
    <xf numFmtId="0" fontId="49" fillId="25" borderId="0" xfId="0" applyFont="1" applyFill="1" applyAlignment="1" applyProtection="1">
      <alignment horizontal="center" vertical="center"/>
      <protection hidden="1"/>
    </xf>
    <xf numFmtId="0" fontId="69" fillId="25" borderId="0" xfId="0" applyFont="1" applyFill="1" applyAlignment="1" applyProtection="1">
      <alignment horizontal="center" vertical="center"/>
      <protection hidden="1"/>
    </xf>
    <xf numFmtId="0" fontId="42" fillId="0" borderId="0" xfId="0" applyFont="1" applyAlignment="1" applyProtection="1">
      <alignment horizontal="left" vertical="center" wrapText="1"/>
      <protection hidden="1"/>
    </xf>
    <xf numFmtId="0" fontId="17" fillId="0" borderId="18" xfId="0" applyFont="1" applyBorder="1" applyAlignment="1" applyProtection="1">
      <alignment horizontal="center" vertical="center" wrapText="1"/>
      <protection hidden="1"/>
    </xf>
    <xf numFmtId="14" fontId="50" fillId="0" borderId="0" xfId="0" applyNumberFormat="1" applyFont="1" applyAlignment="1" applyProtection="1">
      <alignment horizontal="center" vertical="center"/>
      <protection hidden="1"/>
    </xf>
    <xf numFmtId="2" fontId="50" fillId="0" borderId="0" xfId="0" applyNumberFormat="1" applyFont="1" applyAlignment="1" applyProtection="1">
      <alignment horizontal="center" vertical="center"/>
      <protection hidden="1"/>
    </xf>
    <xf numFmtId="14" fontId="77" fillId="0" borderId="0" xfId="0" applyNumberFormat="1" applyFont="1" applyAlignment="1" applyProtection="1">
      <alignment horizontal="center" vertical="center"/>
      <protection hidden="1"/>
    </xf>
    <xf numFmtId="2" fontId="77" fillId="0" borderId="0" xfId="0" applyNumberFormat="1" applyFont="1" applyAlignment="1" applyProtection="1">
      <alignment horizontal="center" vertical="center"/>
      <protection hidden="1"/>
    </xf>
    <xf numFmtId="0" fontId="43" fillId="0" borderId="0" xfId="0" applyFont="1" applyAlignment="1" applyProtection="1">
      <alignment horizontal="center"/>
      <protection hidden="1"/>
    </xf>
    <xf numFmtId="0" fontId="40" fillId="0" borderId="3" xfId="2" applyFont="1" applyBorder="1" applyAlignment="1" applyProtection="1">
      <alignment horizontal="left" vertical="center"/>
      <protection hidden="1"/>
    </xf>
    <xf numFmtId="0" fontId="40" fillId="0" borderId="4" xfId="2" applyFont="1" applyBorder="1" applyAlignment="1" applyProtection="1">
      <alignment horizontal="left" vertical="center"/>
      <protection hidden="1"/>
    </xf>
    <xf numFmtId="0" fontId="44" fillId="0" borderId="3" xfId="2" applyFont="1" applyBorder="1" applyAlignment="1" applyProtection="1">
      <alignment horizontal="center" vertical="center"/>
      <protection hidden="1"/>
    </xf>
    <xf numFmtId="0" fontId="44" fillId="0" borderId="5" xfId="2" applyFont="1" applyBorder="1" applyAlignment="1" applyProtection="1">
      <alignment horizontal="center" vertical="center"/>
      <protection hidden="1"/>
    </xf>
    <xf numFmtId="2" fontId="38" fillId="0" borderId="4" xfId="2" applyNumberFormat="1" applyFont="1" applyBorder="1" applyAlignment="1" applyProtection="1">
      <alignment horizontal="center" vertical="center"/>
      <protection hidden="1"/>
    </xf>
    <xf numFmtId="2" fontId="38" fillId="0" borderId="5" xfId="2" applyNumberFormat="1" applyFont="1" applyBorder="1" applyAlignment="1" applyProtection="1">
      <alignment horizontal="center" vertical="center"/>
      <protection hidden="1"/>
    </xf>
    <xf numFmtId="0" fontId="45" fillId="0" borderId="3" xfId="0" applyFont="1" applyBorder="1" applyAlignment="1" applyProtection="1">
      <alignment horizontal="center" vertical="center"/>
      <protection hidden="1"/>
    </xf>
    <xf numFmtId="0" fontId="45" fillId="0" borderId="5" xfId="0" applyFont="1" applyBorder="1" applyAlignment="1" applyProtection="1">
      <alignment horizontal="center" vertical="center"/>
      <protection hidden="1"/>
    </xf>
    <xf numFmtId="0" fontId="44" fillId="0" borderId="4" xfId="2" applyFont="1" applyBorder="1" applyAlignment="1" applyProtection="1">
      <alignment horizontal="center" vertical="center"/>
      <protection hidden="1"/>
    </xf>
    <xf numFmtId="2" fontId="43" fillId="0" borderId="1" xfId="2" applyNumberFormat="1" applyFont="1" applyBorder="1" applyAlignment="1" applyProtection="1">
      <alignment horizontal="center" vertical="center"/>
      <protection hidden="1"/>
    </xf>
    <xf numFmtId="0" fontId="43" fillId="0" borderId="3"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5" xfId="2" applyFont="1" applyBorder="1" applyAlignment="1" applyProtection="1">
      <alignment horizontal="center" vertical="center"/>
      <protection hidden="1"/>
    </xf>
    <xf numFmtId="0" fontId="48" fillId="0" borderId="3" xfId="2" applyFont="1" applyBorder="1" applyAlignment="1" applyProtection="1">
      <alignment horizontal="center" vertical="center"/>
      <protection hidden="1"/>
    </xf>
    <xf numFmtId="0" fontId="48" fillId="0" borderId="4" xfId="2" applyFont="1" applyBorder="1" applyAlignment="1" applyProtection="1">
      <alignment horizontal="center" vertical="center"/>
      <protection hidden="1"/>
    </xf>
    <xf numFmtId="0" fontId="48" fillId="0" borderId="5" xfId="2" applyFont="1" applyBorder="1" applyAlignment="1" applyProtection="1">
      <alignment horizontal="center" vertical="center"/>
      <protection hidden="1"/>
    </xf>
    <xf numFmtId="0" fontId="52" fillId="0" borderId="3" xfId="2" applyFont="1" applyBorder="1" applyAlignment="1" applyProtection="1">
      <alignment horizontal="center" vertical="center"/>
      <protection hidden="1"/>
    </xf>
    <xf numFmtId="0" fontId="52" fillId="0" borderId="4" xfId="2" applyFont="1" applyBorder="1" applyAlignment="1" applyProtection="1">
      <alignment horizontal="center" vertical="center"/>
      <protection hidden="1"/>
    </xf>
    <xf numFmtId="0" fontId="52" fillId="0" borderId="5" xfId="2" applyFont="1" applyBorder="1" applyAlignment="1" applyProtection="1">
      <alignment horizontal="center" vertical="center"/>
      <protection hidden="1"/>
    </xf>
    <xf numFmtId="166" fontId="43" fillId="0" borderId="3" xfId="2" applyNumberFormat="1" applyFont="1" applyBorder="1" applyAlignment="1" applyProtection="1">
      <alignment horizontal="center" vertical="center"/>
      <protection hidden="1"/>
    </xf>
    <xf numFmtId="166" fontId="43" fillId="0" borderId="4" xfId="2" applyNumberFormat="1" applyFont="1" applyBorder="1" applyAlignment="1" applyProtection="1">
      <alignment horizontal="center" vertical="center"/>
      <protection hidden="1"/>
    </xf>
    <xf numFmtId="166" fontId="43" fillId="0" borderId="5" xfId="2" applyNumberFormat="1" applyFont="1" applyBorder="1" applyAlignment="1" applyProtection="1">
      <alignment horizontal="center" vertical="center"/>
      <protection hidden="1"/>
    </xf>
    <xf numFmtId="2" fontId="43" fillId="0" borderId="3" xfId="2" applyNumberFormat="1" applyFont="1" applyBorder="1" applyAlignment="1" applyProtection="1">
      <alignment horizontal="center" vertical="center"/>
      <protection hidden="1"/>
    </xf>
    <xf numFmtId="2" fontId="43" fillId="0" borderId="5" xfId="2" applyNumberFormat="1" applyFont="1" applyBorder="1" applyAlignment="1" applyProtection="1">
      <alignment horizontal="center" vertical="center"/>
      <protection hidden="1"/>
    </xf>
    <xf numFmtId="0" fontId="41" fillId="0" borderId="3" xfId="2" applyFont="1" applyBorder="1" applyAlignment="1" applyProtection="1">
      <alignment horizontal="center" vertical="center"/>
      <protection hidden="1"/>
    </xf>
    <xf numFmtId="0" fontId="41" fillId="0" borderId="5" xfId="2" applyFont="1" applyBorder="1" applyAlignment="1" applyProtection="1">
      <alignment horizontal="center" vertical="center"/>
      <protection hidden="1"/>
    </xf>
    <xf numFmtId="0" fontId="41" fillId="0" borderId="6" xfId="2" applyFont="1" applyBorder="1" applyAlignment="1" applyProtection="1">
      <alignment horizontal="center" vertical="center" textRotation="90" wrapText="1"/>
      <protection hidden="1"/>
    </xf>
    <xf numFmtId="0" fontId="41" fillId="0" borderId="9" xfId="2" applyFont="1" applyBorder="1" applyAlignment="1" applyProtection="1">
      <alignment horizontal="center" vertical="center" textRotation="90" wrapText="1"/>
      <protection hidden="1"/>
    </xf>
    <xf numFmtId="0" fontId="43" fillId="0" borderId="10"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8" xfId="2" applyFont="1" applyBorder="1" applyAlignment="1" applyProtection="1">
      <alignment horizontal="center" vertical="center"/>
      <protection hidden="1"/>
    </xf>
    <xf numFmtId="0" fontId="43" fillId="0" borderId="1"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9" xfId="2" applyFont="1" applyBorder="1" applyAlignment="1" applyProtection="1">
      <alignment horizontal="center" vertical="center" textRotation="90" wrapText="1"/>
      <protection hidden="1"/>
    </xf>
    <xf numFmtId="0" fontId="43" fillId="0" borderId="1" xfId="2" applyFont="1" applyBorder="1" applyAlignment="1" applyProtection="1">
      <alignment horizontal="center" vertical="center" textRotation="90" wrapText="1"/>
      <protection hidden="1"/>
    </xf>
    <xf numFmtId="0" fontId="41" fillId="0" borderId="9" xfId="2" applyFont="1" applyBorder="1" applyAlignment="1" applyProtection="1">
      <alignment horizontal="center" vertical="center"/>
      <protection hidden="1"/>
    </xf>
    <xf numFmtId="0" fontId="41" fillId="0" borderId="10" xfId="2" applyFont="1" applyBorder="1" applyAlignment="1" applyProtection="1">
      <alignment horizontal="center" vertical="center"/>
      <protection hidden="1"/>
    </xf>
    <xf numFmtId="168" fontId="43" fillId="0" borderId="3" xfId="2" applyNumberFormat="1" applyFont="1" applyBorder="1" applyAlignment="1" applyProtection="1">
      <alignment horizontal="center" vertical="center"/>
      <protection hidden="1"/>
    </xf>
    <xf numFmtId="168" fontId="43" fillId="0" borderId="5" xfId="2" applyNumberFormat="1" applyFont="1" applyBorder="1" applyAlignment="1" applyProtection="1">
      <alignment horizontal="center" vertical="center"/>
      <protection hidden="1"/>
    </xf>
    <xf numFmtId="2" fontId="43" fillId="32" borderId="33" xfId="2" applyNumberFormat="1" applyFont="1" applyFill="1" applyBorder="1" applyAlignment="1" applyProtection="1">
      <alignment horizontal="center" vertical="center"/>
      <protection hidden="1"/>
    </xf>
    <xf numFmtId="2" fontId="43" fillId="0" borderId="3" xfId="0" applyNumberFormat="1" applyFont="1" applyBorder="1" applyAlignment="1" applyProtection="1">
      <alignment horizontal="center" vertical="center"/>
      <protection hidden="1"/>
    </xf>
    <xf numFmtId="2" fontId="43" fillId="0" borderId="5" xfId="0" applyNumberFormat="1" applyFont="1" applyBorder="1" applyAlignment="1" applyProtection="1">
      <alignment horizontal="center" vertical="center"/>
      <protection hidden="1"/>
    </xf>
    <xf numFmtId="0" fontId="43" fillId="0" borderId="3" xfId="2" applyFont="1" applyBorder="1" applyAlignment="1" applyProtection="1">
      <alignment horizontal="left" vertical="center"/>
      <protection hidden="1"/>
    </xf>
    <xf numFmtId="0" fontId="43" fillId="0" borderId="4" xfId="2" applyFont="1" applyBorder="1" applyAlignment="1" applyProtection="1">
      <alignment horizontal="left" vertical="center"/>
      <protection hidden="1"/>
    </xf>
    <xf numFmtId="0" fontId="43" fillId="0" borderId="5" xfId="2" applyFont="1" applyBorder="1" applyAlignment="1" applyProtection="1">
      <alignment horizontal="left" vertical="center"/>
      <protection hidden="1"/>
    </xf>
    <xf numFmtId="0" fontId="43" fillId="0" borderId="1" xfId="2" quotePrefix="1" applyFont="1" applyBorder="1" applyAlignment="1" applyProtection="1">
      <alignment horizontal="center" vertical="center"/>
      <protection hidden="1"/>
    </xf>
    <xf numFmtId="0" fontId="43" fillId="0" borderId="4" xfId="2" quotePrefix="1" applyFont="1" applyBorder="1" applyAlignment="1" applyProtection="1">
      <alignment horizontal="center" vertical="center"/>
      <protection hidden="1"/>
    </xf>
    <xf numFmtId="0" fontId="43" fillId="0" borderId="5" xfId="2" quotePrefix="1" applyFont="1" applyBorder="1" applyAlignment="1" applyProtection="1">
      <alignment horizontal="center" vertical="center"/>
      <protection hidden="1"/>
    </xf>
    <xf numFmtId="0" fontId="43" fillId="0" borderId="3" xfId="0" applyFont="1" applyBorder="1" applyAlignment="1" applyProtection="1">
      <alignment horizontal="center" vertical="center"/>
      <protection hidden="1"/>
    </xf>
    <xf numFmtId="0" fontId="43" fillId="0" borderId="5" xfId="0" applyFont="1" applyBorder="1" applyAlignment="1" applyProtection="1">
      <alignment horizontal="center" vertical="center"/>
      <protection hidden="1"/>
    </xf>
    <xf numFmtId="0" fontId="43" fillId="0" borderId="4" xfId="2" applyFont="1" applyBorder="1" applyAlignment="1" applyProtection="1">
      <alignment vertical="center"/>
      <protection hidden="1"/>
    </xf>
    <xf numFmtId="0" fontId="43" fillId="0" borderId="5" xfId="2" applyFont="1" applyBorder="1" applyAlignment="1" applyProtection="1">
      <alignment vertical="center"/>
      <protection hidden="1"/>
    </xf>
    <xf numFmtId="0" fontId="51" fillId="0" borderId="3" xfId="2" applyFont="1" applyBorder="1" applyAlignment="1" applyProtection="1">
      <alignment horizontal="center" vertical="center"/>
      <protection hidden="1"/>
    </xf>
    <xf numFmtId="0" fontId="51" fillId="0" borderId="5" xfId="2" applyFont="1" applyBorder="1" applyAlignment="1" applyProtection="1">
      <alignment vertical="center"/>
      <protection hidden="1"/>
    </xf>
    <xf numFmtId="0" fontId="43" fillId="0" borderId="1" xfId="2" applyFont="1" applyBorder="1" applyAlignment="1" applyProtection="1">
      <alignment vertical="center"/>
      <protection hidden="1"/>
    </xf>
    <xf numFmtId="168" fontId="41" fillId="0" borderId="3" xfId="2" applyNumberFormat="1" applyFont="1" applyBorder="1" applyAlignment="1" applyProtection="1">
      <alignment horizontal="center" vertical="center"/>
      <protection hidden="1"/>
    </xf>
    <xf numFmtId="168" fontId="41" fillId="0" borderId="5" xfId="2" applyNumberFormat="1" applyFont="1" applyBorder="1" applyAlignment="1" applyProtection="1">
      <alignment horizontal="center" vertical="center"/>
      <protection hidden="1"/>
    </xf>
    <xf numFmtId="2" fontId="41" fillId="0" borderId="3" xfId="2" applyNumberFormat="1" applyFont="1" applyBorder="1" applyAlignment="1" applyProtection="1">
      <alignment horizontal="center" vertical="center"/>
      <protection hidden="1"/>
    </xf>
    <xf numFmtId="2" fontId="41" fillId="0" borderId="5" xfId="2" applyNumberFormat="1" applyFont="1" applyBorder="1" applyAlignment="1" applyProtection="1">
      <alignment horizontal="center" vertical="center"/>
      <protection hidden="1"/>
    </xf>
    <xf numFmtId="0" fontId="41" fillId="0" borderId="3" xfId="2" applyFont="1" applyBorder="1" applyAlignment="1" applyProtection="1">
      <alignment horizontal="center" vertical="center" wrapText="1"/>
      <protection hidden="1"/>
    </xf>
    <xf numFmtId="0" fontId="41" fillId="0" borderId="5" xfId="2" applyFont="1" applyBorder="1" applyAlignment="1" applyProtection="1">
      <alignment horizontal="center" vertical="center" wrapText="1"/>
      <protection hidden="1"/>
    </xf>
    <xf numFmtId="0" fontId="51" fillId="0" borderId="15" xfId="2" applyFont="1" applyBorder="1" applyAlignment="1" applyProtection="1">
      <alignment horizontal="center" vertical="center" textRotation="90" wrapText="1"/>
      <protection hidden="1"/>
    </xf>
    <xf numFmtId="0" fontId="51" fillId="0" borderId="9" xfId="2" applyFont="1" applyBorder="1" applyAlignment="1" applyProtection="1">
      <alignment horizontal="center" vertical="center" textRotation="90" wrapText="1"/>
      <protection hidden="1"/>
    </xf>
    <xf numFmtId="0" fontId="51" fillId="0" borderId="5" xfId="2" applyFont="1" applyBorder="1" applyAlignment="1" applyProtection="1">
      <alignment horizontal="center" vertical="center"/>
      <protection hidden="1"/>
    </xf>
    <xf numFmtId="0" fontId="40" fillId="0" borderId="5" xfId="2" applyFont="1" applyBorder="1" applyAlignment="1" applyProtection="1">
      <alignment horizontal="left" vertical="center"/>
      <protection hidden="1"/>
    </xf>
    <xf numFmtId="44" fontId="38" fillId="0" borderId="3" xfId="4" applyFont="1" applyBorder="1" applyAlignment="1" applyProtection="1">
      <alignment horizontal="center" vertical="center"/>
      <protection hidden="1"/>
    </xf>
    <xf numFmtId="44" fontId="38" fillId="0" borderId="4" xfId="4" applyFont="1" applyBorder="1" applyAlignment="1" applyProtection="1">
      <alignment horizontal="center" vertical="center"/>
      <protection hidden="1"/>
    </xf>
    <xf numFmtId="44" fontId="38" fillId="0" borderId="5" xfId="4" applyFont="1" applyBorder="1" applyAlignment="1" applyProtection="1">
      <alignment horizontal="center" vertical="center"/>
      <protection hidden="1"/>
    </xf>
    <xf numFmtId="2" fontId="41" fillId="0" borderId="4" xfId="2" applyNumberFormat="1" applyFont="1" applyBorder="1" applyAlignment="1" applyProtection="1">
      <alignment horizontal="center" vertical="center"/>
      <protection hidden="1"/>
    </xf>
    <xf numFmtId="1" fontId="41" fillId="0" borderId="12" xfId="2" applyNumberFormat="1" applyFont="1" applyBorder="1" applyAlignment="1" applyProtection="1">
      <alignment horizontal="center" vertical="center" wrapText="1"/>
      <protection hidden="1"/>
    </xf>
    <xf numFmtId="1" fontId="41" fillId="0" borderId="14" xfId="2" applyNumberFormat="1" applyFont="1" applyBorder="1" applyAlignment="1" applyProtection="1">
      <alignment horizontal="center" vertical="center" wrapText="1"/>
      <protection hidden="1"/>
    </xf>
    <xf numFmtId="1" fontId="41" fillId="0" borderId="10" xfId="2" applyNumberFormat="1" applyFont="1" applyBorder="1" applyAlignment="1" applyProtection="1">
      <alignment horizontal="center" vertical="center" wrapText="1"/>
      <protection hidden="1"/>
    </xf>
    <xf numFmtId="1" fontId="41" fillId="0" borderId="8" xfId="2" applyNumberFormat="1" applyFont="1" applyBorder="1" applyAlignment="1" applyProtection="1">
      <alignment horizontal="center" vertical="center" wrapText="1"/>
      <protection hidden="1"/>
    </xf>
    <xf numFmtId="0" fontId="41" fillId="0" borderId="10" xfId="2" applyFont="1" applyBorder="1" applyAlignment="1" applyProtection="1">
      <alignment horizontal="center" vertical="center" wrapText="1"/>
      <protection hidden="1"/>
    </xf>
    <xf numFmtId="0" fontId="41" fillId="0" borderId="8" xfId="2" applyFont="1" applyBorder="1" applyAlignment="1" applyProtection="1">
      <alignment vertical="center"/>
      <protection hidden="1"/>
    </xf>
    <xf numFmtId="0" fontId="51" fillId="0" borderId="6" xfId="2" applyFont="1" applyBorder="1" applyAlignment="1" applyProtection="1">
      <alignment horizontal="center" vertical="center" textRotation="90" wrapText="1"/>
      <protection hidden="1"/>
    </xf>
    <xf numFmtId="0" fontId="51" fillId="0" borderId="9" xfId="2" applyFont="1" applyBorder="1" applyAlignment="1" applyProtection="1">
      <alignment vertical="center"/>
      <protection hidden="1"/>
    </xf>
    <xf numFmtId="0" fontId="51" fillId="0" borderId="4" xfId="2" applyFont="1" applyBorder="1" applyAlignment="1" applyProtection="1">
      <alignment horizontal="center" vertical="center"/>
      <protection hidden="1"/>
    </xf>
    <xf numFmtId="0" fontId="43" fillId="0" borderId="1" xfId="2" applyFont="1" applyBorder="1" applyAlignment="1" applyProtection="1">
      <alignment horizontal="left" vertical="center"/>
      <protection hidden="1"/>
    </xf>
  </cellXfs>
  <cellStyles count="8">
    <cellStyle name="Comma" xfId="1" builtinId="3"/>
    <cellStyle name="Currency 2" xfId="4" xr:uid="{00000000-0005-0000-0000-000001000000}"/>
    <cellStyle name="Hyperlink" xfId="7" builtinId="8"/>
    <cellStyle name="Normal" xfId="0" builtinId="0"/>
    <cellStyle name="Normal 10" xfId="5" xr:uid="{00000000-0005-0000-0000-000004000000}"/>
    <cellStyle name="Normal 2" xfId="2" xr:uid="{00000000-0005-0000-0000-000005000000}"/>
    <cellStyle name="Normal 3" xfId="3" xr:uid="{00000000-0005-0000-0000-000006000000}"/>
    <cellStyle name="Normal_sheet" xfId="6" xr:uid="{00000000-0005-0000-0000-000007000000}"/>
  </cellStyles>
  <dxfs count="184">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rgb="FFFFC000"/>
        </patternFill>
      </fill>
    </dxf>
    <dxf>
      <fill>
        <patternFill>
          <bgColor theme="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0070C0"/>
        </patternFill>
      </fill>
    </dxf>
    <dxf>
      <font>
        <color theme="0"/>
      </font>
      <fill>
        <patternFill>
          <bgColor rgb="FF0070C0"/>
        </patternFill>
      </fill>
    </dxf>
    <dxf>
      <font>
        <color theme="0"/>
      </font>
      <fill>
        <patternFill>
          <bgColor rgb="FF7030A0"/>
        </patternFill>
      </fill>
    </dxf>
    <dxf>
      <font>
        <color theme="0"/>
      </font>
      <fill>
        <patternFill>
          <bgColor rgb="FF0070C0"/>
        </patternFill>
      </fill>
    </dxf>
    <dxf>
      <font>
        <color theme="0"/>
      </font>
      <fill>
        <patternFill>
          <bgColor rgb="FF7030A0"/>
        </patternFill>
      </fill>
    </dxf>
    <dxf>
      <font>
        <color theme="0"/>
      </font>
      <fill>
        <patternFill>
          <bgColor rgb="FF0070C0"/>
        </patternFill>
      </fill>
    </dxf>
    <dxf>
      <font>
        <color theme="0"/>
      </font>
      <fill>
        <patternFill>
          <bgColor rgb="FF7030A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b val="0"/>
        <i val="0"/>
        <strike val="0"/>
        <condense val="0"/>
        <extend val="0"/>
        <outline val="0"/>
        <shadow val="0"/>
        <u val="none"/>
        <vertAlign val="baseline"/>
        <sz val="10"/>
        <color rgb="FF00B0F0"/>
        <name val="Trebuchet MS"/>
        <scheme val="none"/>
      </font>
      <numFmt numFmtId="1" formatCode="0"/>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C00000"/>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C00000"/>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0" formatCode="General"/>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0" formatCode="Genera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theme="0"/>
        <name val="Trebuchet MS"/>
        <scheme val="none"/>
      </font>
      <fill>
        <patternFill patternType="solid">
          <fgColor indexed="64"/>
          <bgColor rgb="FF00206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69" formatCode="0.0"/>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numFmt numFmtId="1" formatCode="0"/>
      <alignment horizontal="center" vertical="center" textRotation="0" wrapText="0" indent="0" justifyLastLine="0" shrinkToFit="0" readingOrder="0"/>
      <protection locked="0" hidden="1"/>
    </dxf>
    <dxf>
      <font>
        <b val="0"/>
        <i val="0"/>
        <strike val="0"/>
        <condense val="0"/>
        <extend val="0"/>
        <outline val="0"/>
        <shadow val="0"/>
        <u val="none"/>
        <vertAlign val="baseline"/>
        <sz val="10"/>
        <color theme="1"/>
        <name val="Trebuchet MS"/>
        <scheme val="none"/>
      </font>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1"/>
        <name val="Trebuchet MS"/>
        <scheme val="none"/>
      </font>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auto="1"/>
        <name val="Wingdings"/>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ertAlign val="baseline"/>
        <sz val="10"/>
        <color auto="1"/>
        <name val="Calibri"/>
        <scheme val="none"/>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Trebuchet MS"/>
        <scheme val="none"/>
      </font>
      <fill>
        <patternFill patternType="none">
          <fgColor indexed="64"/>
          <bgColor indexed="65"/>
        </patternFill>
      </fill>
      <alignment vertical="center" textRotation="0" wrapText="0" indent="0" justifyLastLine="0" shrinkToFit="0" readingOrder="0"/>
      <protection locked="1" hidden="1"/>
    </dxf>
    <dxf>
      <font>
        <strike val="0"/>
        <outline val="0"/>
        <shadow val="0"/>
        <vertAlign val="baseline"/>
        <sz val="10"/>
      </font>
      <alignment vertical="center" textRotation="0" wrapText="0" indent="0" justifyLastLine="0" shrinkToFit="0" readingOrder="0"/>
      <protection locked="1" hidden="1"/>
    </dxf>
    <dxf>
      <font>
        <strike val="0"/>
        <outline val="0"/>
        <shadow val="0"/>
        <vertAlign val="baseline"/>
        <sz val="10"/>
        <color theme="0"/>
        <name val="Trebuchet MS"/>
        <scheme val="none"/>
      </font>
      <alignment vertical="center" textRotation="0" wrapText="0" indent="0" justifyLastLine="0" shrinkToFit="0" readingOrder="0"/>
      <protection locked="1" hidden="1"/>
    </dxf>
    <dxf>
      <fill>
        <patternFill patternType="solid">
          <bgColor theme="9" tint="0.39991454817346722"/>
        </patternFill>
      </fill>
    </dxf>
    <dxf>
      <fill>
        <patternFill patternType="solid">
          <bgColor theme="9" tint="0.39991454817346722"/>
        </patternFill>
      </fill>
    </dxf>
    <dxf>
      <fill>
        <patternFill patternType="solid">
          <bgColor theme="9" tint="0.39991454817346722"/>
        </patternFill>
      </fill>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83"/>
      <tableStyleElement type="headerRow" dxfId="182"/>
    </tableStyle>
    <tableStyle name="Table Style 1" pivot="0" count="0" xr9:uid="{00000000-0011-0000-FFFF-FFFF01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amp;ehk=iCrQHPr0e5F3b9NR"/><Relationship Id="rId1" Type="http://schemas.openxmlformats.org/officeDocument/2006/relationships/hyperlink" Target="#Dashboard!A1"/></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amp;ehk=iCrQHPr0e5F3b9NR"/><Relationship Id="rId1" Type="http://schemas.openxmlformats.org/officeDocument/2006/relationships/hyperlink" Target="#Dashboard!A1"/></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amp;ehk=iCrQHPr0e5F3b9NR"/><Relationship Id="rId1" Type="http://schemas.openxmlformats.org/officeDocument/2006/relationships/hyperlink" Target="#Dashboard!A1"/></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1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Dashboard!D13"/></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152400</xdr:colOff>
          <xdr:row>4</xdr:row>
          <xdr:rowOff>38100</xdr:rowOff>
        </xdr:from>
        <xdr:to>
          <xdr:col>10</xdr:col>
          <xdr:colOff>638175</xdr:colOff>
          <xdr:row>4</xdr:row>
          <xdr:rowOff>295275</xdr:rowOff>
        </xdr:to>
        <xdr:sp macro="" textlink="">
          <xdr:nvSpPr>
            <xdr:cNvPr id="1054" name="Button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GB" sz="1100" b="0" i="0" u="none" strike="noStrike" baseline="0">
                  <a:solidFill>
                    <a:srgbClr val="FF0000"/>
                  </a:solidFill>
                  <a:latin typeface="Calibri"/>
                  <a:cs typeface="Calibri"/>
                </a:rPr>
                <a:t>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152400</xdr:colOff>
          <xdr:row>3</xdr:row>
          <xdr:rowOff>28575</xdr:rowOff>
        </xdr:from>
        <xdr:to>
          <xdr:col>8</xdr:col>
          <xdr:colOff>638175</xdr:colOff>
          <xdr:row>3</xdr:row>
          <xdr:rowOff>295275</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GB" sz="1100" b="0" i="0" u="none" strike="noStrike" baseline="0">
                  <a:solidFill>
                    <a:srgbClr val="000000"/>
                  </a:solidFill>
                  <a:latin typeface="Calibri"/>
                  <a:cs typeface="Calibri"/>
                </a:rPr>
                <a:t>ALL</a:t>
              </a:r>
            </a:p>
          </xdr:txBody>
        </xdr:sp>
        <xdr:clientData fPrintsWithSheet="0"/>
      </xdr:twoCellAnchor>
    </mc:Choice>
    <mc:Fallback/>
  </mc:AlternateContent>
  <xdr:twoCellAnchor editAs="oneCell">
    <xdr:from>
      <xdr:col>10</xdr:col>
      <xdr:colOff>276225</xdr:colOff>
      <xdr:row>33</xdr:row>
      <xdr:rowOff>190500</xdr:rowOff>
    </xdr:from>
    <xdr:to>
      <xdr:col>10</xdr:col>
      <xdr:colOff>526183</xdr:colOff>
      <xdr:row>34</xdr:row>
      <xdr:rowOff>126133</xdr:rowOff>
    </xdr:to>
    <xdr:pic macro="[0]!StartP2">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7334250" y="9934575"/>
          <a:ext cx="249958" cy="249958"/>
        </a:xfrm>
        <a:prstGeom prst="rect">
          <a:avLst/>
        </a:prstGeom>
      </xdr:spPr>
    </xdr:pic>
    <xdr:clientData/>
  </xdr:twoCellAnchor>
  <xdr:twoCellAnchor editAs="oneCell">
    <xdr:from>
      <xdr:col>10</xdr:col>
      <xdr:colOff>276225</xdr:colOff>
      <xdr:row>37</xdr:row>
      <xdr:rowOff>190500</xdr:rowOff>
    </xdr:from>
    <xdr:to>
      <xdr:col>10</xdr:col>
      <xdr:colOff>526183</xdr:colOff>
      <xdr:row>38</xdr:row>
      <xdr:rowOff>126133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7334250" y="11191875"/>
          <a:ext cx="249958" cy="249958"/>
        </a:xfrm>
        <a:prstGeom prst="rect">
          <a:avLst/>
        </a:prstGeom>
      </xdr:spPr>
    </xdr:pic>
    <xdr:clientData/>
  </xdr:twoCellAnchor>
  <xdr:twoCellAnchor editAs="oneCell">
    <xdr:from>
      <xdr:col>10</xdr:col>
      <xdr:colOff>276225</xdr:colOff>
      <xdr:row>41</xdr:row>
      <xdr:rowOff>190500</xdr:rowOff>
    </xdr:from>
    <xdr:to>
      <xdr:col>10</xdr:col>
      <xdr:colOff>526183</xdr:colOff>
      <xdr:row>42</xdr:row>
      <xdr:rowOff>126133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7334250" y="12449175"/>
          <a:ext cx="249958" cy="249958"/>
        </a:xfrm>
        <a:prstGeom prst="rect">
          <a:avLst/>
        </a:prstGeom>
      </xdr:spPr>
    </xdr:pic>
    <xdr:clientData/>
  </xdr:twoCellAnchor>
  <xdr:twoCellAnchor editAs="oneCell">
    <xdr:from>
      <xdr:col>10</xdr:col>
      <xdr:colOff>276225</xdr:colOff>
      <xdr:row>45</xdr:row>
      <xdr:rowOff>190500</xdr:rowOff>
    </xdr:from>
    <xdr:to>
      <xdr:col>10</xdr:col>
      <xdr:colOff>526183</xdr:colOff>
      <xdr:row>46</xdr:row>
      <xdr:rowOff>126133</xdr:rowOff>
    </xdr:to>
    <xdr:pic macro="[0]!StartP6">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7334250" y="13706475"/>
          <a:ext cx="249958" cy="249958"/>
        </a:xfrm>
        <a:prstGeom prst="rect">
          <a:avLst/>
        </a:prstGeom>
      </xdr:spPr>
    </xdr:pic>
    <xdr:clientData/>
  </xdr:twoCellAnchor>
  <xdr:twoCellAnchor editAs="oneCell">
    <xdr:from>
      <xdr:col>8</xdr:col>
      <xdr:colOff>285750</xdr:colOff>
      <xdr:row>31</xdr:row>
      <xdr:rowOff>171450</xdr:rowOff>
    </xdr:from>
    <xdr:to>
      <xdr:col>8</xdr:col>
      <xdr:colOff>535708</xdr:colOff>
      <xdr:row>32</xdr:row>
      <xdr:rowOff>107083</xdr:rowOff>
    </xdr:to>
    <xdr:pic macro="[0]!StartP1">
      <xdr:nvPicPr>
        <xdr:cNvPr id="70" name="Picture 6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
        <a:stretch>
          <a:fillRect/>
        </a:stretch>
      </xdr:blipFill>
      <xdr:spPr>
        <a:xfrm>
          <a:off x="4219575" y="9286875"/>
          <a:ext cx="249958" cy="249958"/>
        </a:xfrm>
        <a:prstGeom prst="rect">
          <a:avLst/>
        </a:prstGeom>
      </xdr:spPr>
    </xdr:pic>
    <xdr:clientData/>
  </xdr:twoCellAnchor>
  <xdr:twoCellAnchor editAs="oneCell">
    <xdr:from>
      <xdr:col>8</xdr:col>
      <xdr:colOff>285750</xdr:colOff>
      <xdr:row>35</xdr:row>
      <xdr:rowOff>171450</xdr:rowOff>
    </xdr:from>
    <xdr:to>
      <xdr:col>8</xdr:col>
      <xdr:colOff>535708</xdr:colOff>
      <xdr:row>36</xdr:row>
      <xdr:rowOff>107083</xdr:rowOff>
    </xdr:to>
    <xdr:pic macro="[0]!StartP3">
      <xdr:nvPicPr>
        <xdr:cNvPr id="71" name="Picture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
        <a:stretch>
          <a:fillRect/>
        </a:stretch>
      </xdr:blipFill>
      <xdr:spPr>
        <a:xfrm>
          <a:off x="4219575" y="10544175"/>
          <a:ext cx="249958" cy="249958"/>
        </a:xfrm>
        <a:prstGeom prst="rect">
          <a:avLst/>
        </a:prstGeom>
      </xdr:spPr>
    </xdr:pic>
    <xdr:clientData/>
  </xdr:twoCellAnchor>
  <xdr:twoCellAnchor editAs="oneCell">
    <xdr:from>
      <xdr:col>8</xdr:col>
      <xdr:colOff>285750</xdr:colOff>
      <xdr:row>39</xdr:row>
      <xdr:rowOff>171450</xdr:rowOff>
    </xdr:from>
    <xdr:to>
      <xdr:col>8</xdr:col>
      <xdr:colOff>535708</xdr:colOff>
      <xdr:row>40</xdr:row>
      <xdr:rowOff>107083</xdr:rowOff>
    </xdr:to>
    <xdr:pic macro="[0]!StartP4">
      <xdr:nvPicPr>
        <xdr:cNvPr id="72" name="Picture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
        <a:stretch>
          <a:fillRect/>
        </a:stretch>
      </xdr:blipFill>
      <xdr:spPr>
        <a:xfrm>
          <a:off x="4219575" y="11801475"/>
          <a:ext cx="249958" cy="249958"/>
        </a:xfrm>
        <a:prstGeom prst="rect">
          <a:avLst/>
        </a:prstGeom>
      </xdr:spPr>
    </xdr:pic>
    <xdr:clientData/>
  </xdr:twoCellAnchor>
  <xdr:twoCellAnchor editAs="oneCell">
    <xdr:from>
      <xdr:col>8</xdr:col>
      <xdr:colOff>285750</xdr:colOff>
      <xdr:row>43</xdr:row>
      <xdr:rowOff>171450</xdr:rowOff>
    </xdr:from>
    <xdr:to>
      <xdr:col>8</xdr:col>
      <xdr:colOff>535708</xdr:colOff>
      <xdr:row>44</xdr:row>
      <xdr:rowOff>107083</xdr:rowOff>
    </xdr:to>
    <xdr:pic macro="[0]!StartP5">
      <xdr:nvPicPr>
        <xdr:cNvPr id="73" name="Picture 72">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1"/>
        <a:stretch>
          <a:fillRect/>
        </a:stretch>
      </xdr:blipFill>
      <xdr:spPr>
        <a:xfrm>
          <a:off x="4219575" y="13058775"/>
          <a:ext cx="249958" cy="249958"/>
        </a:xfrm>
        <a:prstGeom prst="rect">
          <a:avLst/>
        </a:prstGeom>
      </xdr:spPr>
    </xdr:pic>
    <xdr:clientData/>
  </xdr:twoCellAnchor>
  <xdr:twoCellAnchor editAs="oneCell">
    <xdr:from>
      <xdr:col>8</xdr:col>
      <xdr:colOff>285750</xdr:colOff>
      <xdr:row>47</xdr:row>
      <xdr:rowOff>142875</xdr:rowOff>
    </xdr:from>
    <xdr:to>
      <xdr:col>8</xdr:col>
      <xdr:colOff>535708</xdr:colOff>
      <xdr:row>48</xdr:row>
      <xdr:rowOff>78508</xdr:rowOff>
    </xdr:to>
    <xdr:pic macro="[0]!StartP13">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
        <a:stretch>
          <a:fillRect/>
        </a:stretch>
      </xdr:blipFill>
      <xdr:spPr>
        <a:xfrm>
          <a:off x="4219575" y="14287500"/>
          <a:ext cx="249958" cy="249958"/>
        </a:xfrm>
        <a:prstGeom prst="rect">
          <a:avLst/>
        </a:prstGeom>
      </xdr:spPr>
    </xdr:pic>
    <xdr:clientData/>
  </xdr:twoCellAnchor>
  <xdr:twoCellAnchor editAs="oneCell">
    <xdr:from>
      <xdr:col>10</xdr:col>
      <xdr:colOff>266700</xdr:colOff>
      <xdr:row>29</xdr:row>
      <xdr:rowOff>180975</xdr:rowOff>
    </xdr:from>
    <xdr:to>
      <xdr:col>10</xdr:col>
      <xdr:colOff>516658</xdr:colOff>
      <xdr:row>30</xdr:row>
      <xdr:rowOff>116608</xdr:rowOff>
    </xdr:to>
    <xdr:pic macro="[0]!StartALL">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7324725" y="9296400"/>
          <a:ext cx="249958" cy="249958"/>
        </a:xfrm>
        <a:prstGeom prst="rect">
          <a:avLst/>
        </a:prstGeom>
      </xdr:spPr>
    </xdr:pic>
    <xdr:clientData/>
  </xdr:twoCellAnchor>
  <xdr:oneCellAnchor>
    <xdr:from>
      <xdr:col>10</xdr:col>
      <xdr:colOff>266700</xdr:colOff>
      <xdr:row>49</xdr:row>
      <xdr:rowOff>161925</xdr:rowOff>
    </xdr:from>
    <xdr:ext cx="249958" cy="249958"/>
    <xdr:pic macro="[0]!StartP14">
      <xdr:nvPicPr>
        <xdr:cNvPr id="76" name="Pictur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
        <a:stretch>
          <a:fillRect/>
        </a:stretch>
      </xdr:blipFill>
      <xdr:spPr>
        <a:xfrm>
          <a:off x="7324725" y="15563850"/>
          <a:ext cx="249958" cy="249958"/>
        </a:xfrm>
        <a:prstGeom prst="rect">
          <a:avLst/>
        </a:prstGeom>
      </xdr:spPr>
    </xdr:pic>
    <xdr:clientData/>
  </xdr:oneCellAnchor>
  <xdr:oneCellAnchor>
    <xdr:from>
      <xdr:col>8</xdr:col>
      <xdr:colOff>285750</xdr:colOff>
      <xdr:row>51</xdr:row>
      <xdr:rowOff>142875</xdr:rowOff>
    </xdr:from>
    <xdr:ext cx="249958" cy="249958"/>
    <xdr:pic macro="[0]!StartALLTF">
      <xdr:nvPicPr>
        <xdr:cNvPr id="77" name="Picture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1"/>
        <a:stretch>
          <a:fillRect/>
        </a:stretch>
      </xdr:blipFill>
      <xdr:spPr>
        <a:xfrm>
          <a:off x="4219575" y="14916150"/>
          <a:ext cx="249958" cy="249958"/>
        </a:xfrm>
        <a:prstGeom prst="rect">
          <a:avLst/>
        </a:prstGeom>
      </xdr:spPr>
    </xdr:pic>
    <xdr:clientData/>
  </xdr:oneCellAnchor>
  <xdr:twoCellAnchor editAs="oneCell">
    <xdr:from>
      <xdr:col>8</xdr:col>
      <xdr:colOff>247650</xdr:colOff>
      <xdr:row>5</xdr:row>
      <xdr:rowOff>38100</xdr:rowOff>
    </xdr:from>
    <xdr:to>
      <xdr:col>8</xdr:col>
      <xdr:colOff>485415</xdr:colOff>
      <xdr:row>5</xdr:row>
      <xdr:rowOff>288058</xdr:rowOff>
    </xdr:to>
    <xdr:pic macro="[0]!Dist1L">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867525" y="1609725"/>
          <a:ext cx="237765" cy="249958"/>
        </a:xfrm>
        <a:prstGeom prst="rect">
          <a:avLst/>
        </a:prstGeom>
      </xdr:spPr>
    </xdr:pic>
    <xdr:clientData/>
  </xdr:twoCellAnchor>
  <xdr:twoCellAnchor editAs="oneCell">
    <xdr:from>
      <xdr:col>10</xdr:col>
      <xdr:colOff>247650</xdr:colOff>
      <xdr:row>6</xdr:row>
      <xdr:rowOff>38100</xdr:rowOff>
    </xdr:from>
    <xdr:to>
      <xdr:col>10</xdr:col>
      <xdr:colOff>485415</xdr:colOff>
      <xdr:row>6</xdr:row>
      <xdr:rowOff>288058</xdr:rowOff>
    </xdr:to>
    <xdr:pic macro="[0]!Dist2L">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9991725" y="1924050"/>
          <a:ext cx="237765" cy="249958"/>
        </a:xfrm>
        <a:prstGeom prst="rect">
          <a:avLst/>
        </a:prstGeom>
      </xdr:spPr>
    </xdr:pic>
    <xdr:clientData/>
  </xdr:twoCellAnchor>
  <xdr:twoCellAnchor editAs="oneCell">
    <xdr:from>
      <xdr:col>8</xdr:col>
      <xdr:colOff>247650</xdr:colOff>
      <xdr:row>7</xdr:row>
      <xdr:rowOff>66675</xdr:rowOff>
    </xdr:from>
    <xdr:to>
      <xdr:col>8</xdr:col>
      <xdr:colOff>503704</xdr:colOff>
      <xdr:row>8</xdr:row>
      <xdr:rowOff>2308</xdr:rowOff>
    </xdr:to>
    <xdr:pic macro="[0]!Dist13L">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6867525" y="2266950"/>
          <a:ext cx="256054" cy="249958"/>
        </a:xfrm>
        <a:prstGeom prst="rect">
          <a:avLst/>
        </a:prstGeom>
      </xdr:spPr>
    </xdr:pic>
    <xdr:clientData/>
  </xdr:twoCellAnchor>
  <xdr:twoCellAnchor editAs="oneCell">
    <xdr:from>
      <xdr:col>8</xdr:col>
      <xdr:colOff>247650</xdr:colOff>
      <xdr:row>11</xdr:row>
      <xdr:rowOff>66675</xdr:rowOff>
    </xdr:from>
    <xdr:to>
      <xdr:col>8</xdr:col>
      <xdr:colOff>503704</xdr:colOff>
      <xdr:row>12</xdr:row>
      <xdr:rowOff>2308</xdr:rowOff>
    </xdr:to>
    <xdr:pic macro="[0]!Dist14L">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stretch>
          <a:fillRect/>
        </a:stretch>
      </xdr:blipFill>
      <xdr:spPr>
        <a:xfrm>
          <a:off x="6867525" y="3524250"/>
          <a:ext cx="256054" cy="249958"/>
        </a:xfrm>
        <a:prstGeom prst="rect">
          <a:avLst/>
        </a:prstGeom>
      </xdr:spPr>
    </xdr:pic>
    <xdr:clientData/>
  </xdr:twoCellAnchor>
  <xdr:twoCellAnchor editAs="oneCell">
    <xdr:from>
      <xdr:col>10</xdr:col>
      <xdr:colOff>276225</xdr:colOff>
      <xdr:row>20</xdr:row>
      <xdr:rowOff>47625</xdr:rowOff>
    </xdr:from>
    <xdr:to>
      <xdr:col>10</xdr:col>
      <xdr:colOff>532279</xdr:colOff>
      <xdr:row>20</xdr:row>
      <xdr:rowOff>297583</xdr:rowOff>
    </xdr:to>
    <xdr:pic macro="[0]!Dist15L">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a:stretch>
          <a:fillRect/>
        </a:stretch>
      </xdr:blipFill>
      <xdr:spPr>
        <a:xfrm>
          <a:off x="10020300" y="6334125"/>
          <a:ext cx="256054" cy="249958"/>
        </a:xfrm>
        <a:prstGeom prst="rect">
          <a:avLst/>
        </a:prstGeom>
      </xdr:spPr>
    </xdr:pic>
    <xdr:clientData/>
  </xdr:twoCellAnchor>
  <xdr:twoCellAnchor editAs="oneCell">
    <xdr:from>
      <xdr:col>10</xdr:col>
      <xdr:colOff>276225</xdr:colOff>
      <xdr:row>24</xdr:row>
      <xdr:rowOff>47625</xdr:rowOff>
    </xdr:from>
    <xdr:to>
      <xdr:col>10</xdr:col>
      <xdr:colOff>532279</xdr:colOff>
      <xdr:row>24</xdr:row>
      <xdr:rowOff>297583</xdr:rowOff>
    </xdr:to>
    <xdr:pic macro="[0]!Dist16L">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a:stretch>
          <a:fillRect/>
        </a:stretch>
      </xdr:blipFill>
      <xdr:spPr>
        <a:xfrm>
          <a:off x="10020300" y="7591425"/>
          <a:ext cx="256054" cy="249958"/>
        </a:xfrm>
        <a:prstGeom prst="rect">
          <a:avLst/>
        </a:prstGeom>
      </xdr:spPr>
    </xdr:pic>
    <xdr:clientData/>
  </xdr:twoCellAnchor>
  <xdr:twoCellAnchor editAs="oneCell">
    <xdr:from>
      <xdr:col>10</xdr:col>
      <xdr:colOff>285750</xdr:colOff>
      <xdr:row>14</xdr:row>
      <xdr:rowOff>38100</xdr:rowOff>
    </xdr:from>
    <xdr:to>
      <xdr:col>10</xdr:col>
      <xdr:colOff>511322</xdr:colOff>
      <xdr:row>14</xdr:row>
      <xdr:rowOff>288058</xdr:rowOff>
    </xdr:to>
    <xdr:pic macro="[0]!Height4L">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a:stretch>
          <a:fillRect/>
        </a:stretch>
      </xdr:blipFill>
      <xdr:spPr>
        <a:xfrm>
          <a:off x="10029825" y="4438650"/>
          <a:ext cx="225572" cy="249958"/>
        </a:xfrm>
        <a:prstGeom prst="rect">
          <a:avLst/>
        </a:prstGeom>
      </xdr:spPr>
    </xdr:pic>
    <xdr:clientData/>
  </xdr:twoCellAnchor>
  <xdr:twoCellAnchor editAs="oneCell">
    <xdr:from>
      <xdr:col>8</xdr:col>
      <xdr:colOff>247650</xdr:colOff>
      <xdr:row>15</xdr:row>
      <xdr:rowOff>38100</xdr:rowOff>
    </xdr:from>
    <xdr:to>
      <xdr:col>8</xdr:col>
      <xdr:colOff>473222</xdr:colOff>
      <xdr:row>15</xdr:row>
      <xdr:rowOff>288058</xdr:rowOff>
    </xdr:to>
    <xdr:pic macro="[0]!Height5L">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4"/>
        <a:stretch>
          <a:fillRect/>
        </a:stretch>
      </xdr:blipFill>
      <xdr:spPr>
        <a:xfrm>
          <a:off x="6867525" y="4752975"/>
          <a:ext cx="225572" cy="249958"/>
        </a:xfrm>
        <a:prstGeom prst="rect">
          <a:avLst/>
        </a:prstGeom>
      </xdr:spPr>
    </xdr:pic>
    <xdr:clientData/>
  </xdr:twoCellAnchor>
  <xdr:twoCellAnchor editAs="oneCell">
    <xdr:from>
      <xdr:col>10</xdr:col>
      <xdr:colOff>285750</xdr:colOff>
      <xdr:row>8</xdr:row>
      <xdr:rowOff>38100</xdr:rowOff>
    </xdr:from>
    <xdr:to>
      <xdr:col>10</xdr:col>
      <xdr:colOff>523515</xdr:colOff>
      <xdr:row>8</xdr:row>
      <xdr:rowOff>288058</xdr:rowOff>
    </xdr:to>
    <xdr:pic macro="[0]!Height1L">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a:stretch>
          <a:fillRect/>
        </a:stretch>
      </xdr:blipFill>
      <xdr:spPr>
        <a:xfrm>
          <a:off x="10029825" y="2552700"/>
          <a:ext cx="237765" cy="249958"/>
        </a:xfrm>
        <a:prstGeom prst="rect">
          <a:avLst/>
        </a:prstGeom>
      </xdr:spPr>
    </xdr:pic>
    <xdr:clientData/>
  </xdr:twoCellAnchor>
  <xdr:twoCellAnchor editAs="oneCell">
    <xdr:from>
      <xdr:col>10</xdr:col>
      <xdr:colOff>285750</xdr:colOff>
      <xdr:row>12</xdr:row>
      <xdr:rowOff>38100</xdr:rowOff>
    </xdr:from>
    <xdr:to>
      <xdr:col>10</xdr:col>
      <xdr:colOff>523515</xdr:colOff>
      <xdr:row>12</xdr:row>
      <xdr:rowOff>288058</xdr:rowOff>
    </xdr:to>
    <xdr:pic macro="[0]!Height2L">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5"/>
        <a:stretch>
          <a:fillRect/>
        </a:stretch>
      </xdr:blipFill>
      <xdr:spPr>
        <a:xfrm>
          <a:off x="10029825" y="3810000"/>
          <a:ext cx="237765" cy="249958"/>
        </a:xfrm>
        <a:prstGeom prst="rect">
          <a:avLst/>
        </a:prstGeom>
      </xdr:spPr>
    </xdr:pic>
    <xdr:clientData/>
  </xdr:twoCellAnchor>
  <xdr:twoCellAnchor editAs="oneCell">
    <xdr:from>
      <xdr:col>8</xdr:col>
      <xdr:colOff>247650</xdr:colOff>
      <xdr:row>13</xdr:row>
      <xdr:rowOff>66675</xdr:rowOff>
    </xdr:from>
    <xdr:to>
      <xdr:col>8</xdr:col>
      <xdr:colOff>485415</xdr:colOff>
      <xdr:row>14</xdr:row>
      <xdr:rowOff>2308</xdr:rowOff>
    </xdr:to>
    <xdr:pic macro="[0]!Height3L">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5"/>
        <a:stretch>
          <a:fillRect/>
        </a:stretch>
      </xdr:blipFill>
      <xdr:spPr>
        <a:xfrm>
          <a:off x="6867525" y="4152900"/>
          <a:ext cx="237765" cy="249958"/>
        </a:xfrm>
        <a:prstGeom prst="rect">
          <a:avLst/>
        </a:prstGeom>
      </xdr:spPr>
    </xdr:pic>
    <xdr:clientData/>
  </xdr:twoCellAnchor>
  <xdr:twoCellAnchor editAs="oneCell">
    <xdr:from>
      <xdr:col>8</xdr:col>
      <xdr:colOff>247650</xdr:colOff>
      <xdr:row>21</xdr:row>
      <xdr:rowOff>38100</xdr:rowOff>
    </xdr:from>
    <xdr:to>
      <xdr:col>8</xdr:col>
      <xdr:colOff>485415</xdr:colOff>
      <xdr:row>21</xdr:row>
      <xdr:rowOff>288058</xdr:rowOff>
    </xdr:to>
    <xdr:pic macro="[0]!Height6L">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stretch>
          <a:fillRect/>
        </a:stretch>
      </xdr:blipFill>
      <xdr:spPr>
        <a:xfrm>
          <a:off x="6867525" y="6638925"/>
          <a:ext cx="237765" cy="249958"/>
        </a:xfrm>
        <a:prstGeom prst="rect">
          <a:avLst/>
        </a:prstGeom>
      </xdr:spPr>
    </xdr:pic>
    <xdr:clientData/>
  </xdr:twoCellAnchor>
  <xdr:twoCellAnchor editAs="oneCell">
    <xdr:from>
      <xdr:col>10</xdr:col>
      <xdr:colOff>285750</xdr:colOff>
      <xdr:row>18</xdr:row>
      <xdr:rowOff>38100</xdr:rowOff>
    </xdr:from>
    <xdr:to>
      <xdr:col>10</xdr:col>
      <xdr:colOff>541804</xdr:colOff>
      <xdr:row>18</xdr:row>
      <xdr:rowOff>288058</xdr:rowOff>
    </xdr:to>
    <xdr:pic macro="[0]!Dist7L">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a:stretch>
          <a:fillRect/>
        </a:stretch>
      </xdr:blipFill>
      <xdr:spPr>
        <a:xfrm>
          <a:off x="10029825" y="5695950"/>
          <a:ext cx="256054" cy="249958"/>
        </a:xfrm>
        <a:prstGeom prst="rect">
          <a:avLst/>
        </a:prstGeom>
      </xdr:spPr>
    </xdr:pic>
    <xdr:clientData/>
  </xdr:twoCellAnchor>
  <xdr:twoCellAnchor editAs="oneCell">
    <xdr:from>
      <xdr:col>8</xdr:col>
      <xdr:colOff>247650</xdr:colOff>
      <xdr:row>19</xdr:row>
      <xdr:rowOff>38100</xdr:rowOff>
    </xdr:from>
    <xdr:to>
      <xdr:col>8</xdr:col>
      <xdr:colOff>503704</xdr:colOff>
      <xdr:row>19</xdr:row>
      <xdr:rowOff>288058</xdr:rowOff>
    </xdr:to>
    <xdr:pic macro="[0]!Dist8L">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6"/>
        <a:stretch>
          <a:fillRect/>
        </a:stretch>
      </xdr:blipFill>
      <xdr:spPr>
        <a:xfrm>
          <a:off x="6867525" y="6010275"/>
          <a:ext cx="256054" cy="249958"/>
        </a:xfrm>
        <a:prstGeom prst="rect">
          <a:avLst/>
        </a:prstGeom>
      </xdr:spPr>
    </xdr:pic>
    <xdr:clientData/>
  </xdr:twoCellAnchor>
  <xdr:twoCellAnchor editAs="oneCell">
    <xdr:from>
      <xdr:col>8</xdr:col>
      <xdr:colOff>247650</xdr:colOff>
      <xdr:row>23</xdr:row>
      <xdr:rowOff>38100</xdr:rowOff>
    </xdr:from>
    <xdr:to>
      <xdr:col>8</xdr:col>
      <xdr:colOff>503704</xdr:colOff>
      <xdr:row>23</xdr:row>
      <xdr:rowOff>288058</xdr:rowOff>
    </xdr:to>
    <xdr:pic macro="[0]!Dist10L">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6"/>
        <a:stretch>
          <a:fillRect/>
        </a:stretch>
      </xdr:blipFill>
      <xdr:spPr>
        <a:xfrm>
          <a:off x="6867525" y="7267575"/>
          <a:ext cx="256054" cy="249958"/>
        </a:xfrm>
        <a:prstGeom prst="rect">
          <a:avLst/>
        </a:prstGeom>
      </xdr:spPr>
    </xdr:pic>
    <xdr:clientData/>
  </xdr:twoCellAnchor>
  <xdr:twoCellAnchor editAs="oneCell">
    <xdr:from>
      <xdr:col>10</xdr:col>
      <xdr:colOff>276225</xdr:colOff>
      <xdr:row>26</xdr:row>
      <xdr:rowOff>38100</xdr:rowOff>
    </xdr:from>
    <xdr:to>
      <xdr:col>10</xdr:col>
      <xdr:colOff>532279</xdr:colOff>
      <xdr:row>26</xdr:row>
      <xdr:rowOff>288058</xdr:rowOff>
    </xdr:to>
    <xdr:pic macro="[0]!Dist12L">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6"/>
        <a:stretch>
          <a:fillRect/>
        </a:stretch>
      </xdr:blipFill>
      <xdr:spPr>
        <a:xfrm>
          <a:off x="10020300" y="8210550"/>
          <a:ext cx="256054" cy="249958"/>
        </a:xfrm>
        <a:prstGeom prst="rect">
          <a:avLst/>
        </a:prstGeom>
      </xdr:spPr>
    </xdr:pic>
    <xdr:clientData/>
  </xdr:twoCellAnchor>
  <xdr:twoCellAnchor editAs="oneCell">
    <xdr:from>
      <xdr:col>8</xdr:col>
      <xdr:colOff>257175</xdr:colOff>
      <xdr:row>9</xdr:row>
      <xdr:rowOff>47625</xdr:rowOff>
    </xdr:from>
    <xdr:to>
      <xdr:col>8</xdr:col>
      <xdr:colOff>458360</xdr:colOff>
      <xdr:row>9</xdr:row>
      <xdr:rowOff>297583</xdr:rowOff>
    </xdr:to>
    <xdr:pic macro="[0]!Dist3L">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7"/>
        <a:stretch>
          <a:fillRect/>
        </a:stretch>
      </xdr:blipFill>
      <xdr:spPr>
        <a:xfrm>
          <a:off x="4191000" y="2876550"/>
          <a:ext cx="201185" cy="249958"/>
        </a:xfrm>
        <a:prstGeom prst="rect">
          <a:avLst/>
        </a:prstGeom>
      </xdr:spPr>
    </xdr:pic>
    <xdr:clientData/>
  </xdr:twoCellAnchor>
  <xdr:twoCellAnchor editAs="oneCell">
    <xdr:from>
      <xdr:col>8</xdr:col>
      <xdr:colOff>247650</xdr:colOff>
      <xdr:row>17</xdr:row>
      <xdr:rowOff>38100</xdr:rowOff>
    </xdr:from>
    <xdr:to>
      <xdr:col>8</xdr:col>
      <xdr:colOff>448835</xdr:colOff>
      <xdr:row>17</xdr:row>
      <xdr:rowOff>288058</xdr:rowOff>
    </xdr:to>
    <xdr:pic macro="[0]!Dist6L">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7"/>
        <a:stretch>
          <a:fillRect/>
        </a:stretch>
      </xdr:blipFill>
      <xdr:spPr>
        <a:xfrm>
          <a:off x="6867525" y="5381625"/>
          <a:ext cx="201185" cy="249958"/>
        </a:xfrm>
        <a:prstGeom prst="rect">
          <a:avLst/>
        </a:prstGeom>
      </xdr:spPr>
    </xdr:pic>
    <xdr:clientData/>
  </xdr:twoCellAnchor>
  <xdr:twoCellAnchor editAs="oneCell">
    <xdr:from>
      <xdr:col>10</xdr:col>
      <xdr:colOff>276225</xdr:colOff>
      <xdr:row>22</xdr:row>
      <xdr:rowOff>47625</xdr:rowOff>
    </xdr:from>
    <xdr:to>
      <xdr:col>10</xdr:col>
      <xdr:colOff>477410</xdr:colOff>
      <xdr:row>22</xdr:row>
      <xdr:rowOff>297583</xdr:rowOff>
    </xdr:to>
    <xdr:pic macro="[0]!Dist9L">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a:stretch>
          <a:fillRect/>
        </a:stretch>
      </xdr:blipFill>
      <xdr:spPr>
        <a:xfrm>
          <a:off x="10020300" y="6962775"/>
          <a:ext cx="201185" cy="249958"/>
        </a:xfrm>
        <a:prstGeom prst="rect">
          <a:avLst/>
        </a:prstGeom>
      </xdr:spPr>
    </xdr:pic>
    <xdr:clientData/>
  </xdr:twoCellAnchor>
  <xdr:twoCellAnchor editAs="oneCell">
    <xdr:from>
      <xdr:col>8</xdr:col>
      <xdr:colOff>257175</xdr:colOff>
      <xdr:row>25</xdr:row>
      <xdr:rowOff>28575</xdr:rowOff>
    </xdr:from>
    <xdr:to>
      <xdr:col>8</xdr:col>
      <xdr:colOff>458360</xdr:colOff>
      <xdr:row>25</xdr:row>
      <xdr:rowOff>278533</xdr:rowOff>
    </xdr:to>
    <xdr:pic macro="[0]!Dist11L">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a:stretch>
          <a:fillRect/>
        </a:stretch>
      </xdr:blipFill>
      <xdr:spPr>
        <a:xfrm>
          <a:off x="6877050" y="7886700"/>
          <a:ext cx="201185" cy="249958"/>
        </a:xfrm>
        <a:prstGeom prst="rect">
          <a:avLst/>
        </a:prstGeom>
      </xdr:spPr>
    </xdr:pic>
    <xdr:clientData/>
  </xdr:twoCellAnchor>
  <xdr:twoCellAnchor editAs="oneCell">
    <xdr:from>
      <xdr:col>10</xdr:col>
      <xdr:colOff>285750</xdr:colOff>
      <xdr:row>10</xdr:row>
      <xdr:rowOff>38100</xdr:rowOff>
    </xdr:from>
    <xdr:to>
      <xdr:col>10</xdr:col>
      <xdr:colOff>486935</xdr:colOff>
      <xdr:row>10</xdr:row>
      <xdr:rowOff>288058</xdr:rowOff>
    </xdr:to>
    <xdr:pic macro="[0]!Dist4L">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7"/>
        <a:stretch>
          <a:fillRect/>
        </a:stretch>
      </xdr:blipFill>
      <xdr:spPr>
        <a:xfrm>
          <a:off x="10029825" y="3181350"/>
          <a:ext cx="201185" cy="249958"/>
        </a:xfrm>
        <a:prstGeom prst="rect">
          <a:avLst/>
        </a:prstGeom>
      </xdr:spPr>
    </xdr:pic>
    <xdr:clientData/>
  </xdr:twoCellAnchor>
  <xdr:twoCellAnchor editAs="oneCell">
    <xdr:from>
      <xdr:col>10</xdr:col>
      <xdr:colOff>285750</xdr:colOff>
      <xdr:row>16</xdr:row>
      <xdr:rowOff>38100</xdr:rowOff>
    </xdr:from>
    <xdr:to>
      <xdr:col>10</xdr:col>
      <xdr:colOff>486935</xdr:colOff>
      <xdr:row>16</xdr:row>
      <xdr:rowOff>288058</xdr:rowOff>
    </xdr:to>
    <xdr:pic macro="[0]!Dist5L">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7"/>
        <a:stretch>
          <a:fillRect/>
        </a:stretch>
      </xdr:blipFill>
      <xdr:spPr>
        <a:xfrm>
          <a:off x="10029825" y="5067300"/>
          <a:ext cx="201185" cy="249958"/>
        </a:xfrm>
        <a:prstGeom prst="rect">
          <a:avLst/>
        </a:prstGeom>
      </xdr:spPr>
    </xdr:pic>
    <xdr:clientData/>
  </xdr:twoCellAnchor>
  <xdr:twoCellAnchor editAs="oneCell">
    <xdr:from>
      <xdr:col>14</xdr:col>
      <xdr:colOff>238125</xdr:colOff>
      <xdr:row>4</xdr:row>
      <xdr:rowOff>38100</xdr:rowOff>
    </xdr:from>
    <xdr:to>
      <xdr:col>14</xdr:col>
      <xdr:colOff>488083</xdr:colOff>
      <xdr:row>4</xdr:row>
      <xdr:rowOff>288058</xdr:rowOff>
    </xdr:to>
    <xdr:pic macro="[0]!T1P1">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420225" y="1295400"/>
          <a:ext cx="249958" cy="249958"/>
        </a:xfrm>
        <a:prstGeom prst="rect">
          <a:avLst/>
        </a:prstGeom>
      </xdr:spPr>
    </xdr:pic>
    <xdr:clientData/>
  </xdr:twoCellAnchor>
  <xdr:twoCellAnchor editAs="oneCell">
    <xdr:from>
      <xdr:col>14</xdr:col>
      <xdr:colOff>238125</xdr:colOff>
      <xdr:row>6</xdr:row>
      <xdr:rowOff>38100</xdr:rowOff>
    </xdr:from>
    <xdr:to>
      <xdr:col>14</xdr:col>
      <xdr:colOff>488083</xdr:colOff>
      <xdr:row>6</xdr:row>
      <xdr:rowOff>288058</xdr:rowOff>
    </xdr:to>
    <xdr:pic macro="[0]!T1P3">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a:stretch>
          <a:fillRect/>
        </a:stretch>
      </xdr:blipFill>
      <xdr:spPr>
        <a:xfrm>
          <a:off x="9420225" y="1924050"/>
          <a:ext cx="249958" cy="249958"/>
        </a:xfrm>
        <a:prstGeom prst="rect">
          <a:avLst/>
        </a:prstGeom>
      </xdr:spPr>
    </xdr:pic>
    <xdr:clientData/>
  </xdr:twoCellAnchor>
  <xdr:twoCellAnchor editAs="oneCell">
    <xdr:from>
      <xdr:col>14</xdr:col>
      <xdr:colOff>238125</xdr:colOff>
      <xdr:row>8</xdr:row>
      <xdr:rowOff>38100</xdr:rowOff>
    </xdr:from>
    <xdr:to>
      <xdr:col>14</xdr:col>
      <xdr:colOff>488083</xdr:colOff>
      <xdr:row>8</xdr:row>
      <xdr:rowOff>288058</xdr:rowOff>
    </xdr:to>
    <xdr:pic macro="[0]!T1P5">
      <xdr:nvPicPr>
        <xdr:cNvPr id="32" name="Pictur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
        <a:stretch>
          <a:fillRect/>
        </a:stretch>
      </xdr:blipFill>
      <xdr:spPr>
        <a:xfrm>
          <a:off x="9420225" y="2552700"/>
          <a:ext cx="249958" cy="249958"/>
        </a:xfrm>
        <a:prstGeom prst="rect">
          <a:avLst/>
        </a:prstGeom>
      </xdr:spPr>
    </xdr:pic>
    <xdr:clientData/>
  </xdr:twoCellAnchor>
  <xdr:twoCellAnchor editAs="oneCell">
    <xdr:from>
      <xdr:col>14</xdr:col>
      <xdr:colOff>238125</xdr:colOff>
      <xdr:row>10</xdr:row>
      <xdr:rowOff>38100</xdr:rowOff>
    </xdr:from>
    <xdr:to>
      <xdr:col>14</xdr:col>
      <xdr:colOff>488083</xdr:colOff>
      <xdr:row>10</xdr:row>
      <xdr:rowOff>288058</xdr:rowOff>
    </xdr:to>
    <xdr:pic macro="[0]!T1P7">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
        <a:stretch>
          <a:fillRect/>
        </a:stretch>
      </xdr:blipFill>
      <xdr:spPr>
        <a:xfrm>
          <a:off x="9420225" y="3181350"/>
          <a:ext cx="249958" cy="249958"/>
        </a:xfrm>
        <a:prstGeom prst="rect">
          <a:avLst/>
        </a:prstGeom>
      </xdr:spPr>
    </xdr:pic>
    <xdr:clientData/>
  </xdr:twoCellAnchor>
  <xdr:twoCellAnchor editAs="oneCell">
    <xdr:from>
      <xdr:col>14</xdr:col>
      <xdr:colOff>238125</xdr:colOff>
      <xdr:row>12</xdr:row>
      <xdr:rowOff>28575</xdr:rowOff>
    </xdr:from>
    <xdr:to>
      <xdr:col>14</xdr:col>
      <xdr:colOff>488083</xdr:colOff>
      <xdr:row>12</xdr:row>
      <xdr:rowOff>278533</xdr:rowOff>
    </xdr:to>
    <xdr:pic macro="[0]!T2P1">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a:stretch>
          <a:fillRect/>
        </a:stretch>
      </xdr:blipFill>
      <xdr:spPr>
        <a:xfrm>
          <a:off x="9420225" y="3800475"/>
          <a:ext cx="249958" cy="249958"/>
        </a:xfrm>
        <a:prstGeom prst="rect">
          <a:avLst/>
        </a:prstGeom>
      </xdr:spPr>
    </xdr:pic>
    <xdr:clientData/>
  </xdr:twoCellAnchor>
  <xdr:twoCellAnchor editAs="oneCell">
    <xdr:from>
      <xdr:col>14</xdr:col>
      <xdr:colOff>238125</xdr:colOff>
      <xdr:row>14</xdr:row>
      <xdr:rowOff>38100</xdr:rowOff>
    </xdr:from>
    <xdr:to>
      <xdr:col>14</xdr:col>
      <xdr:colOff>488083</xdr:colOff>
      <xdr:row>14</xdr:row>
      <xdr:rowOff>288058</xdr:rowOff>
    </xdr:to>
    <xdr:pic macro="[0]!RelayP1">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
        <a:stretch>
          <a:fillRect/>
        </a:stretch>
      </xdr:blipFill>
      <xdr:spPr>
        <a:xfrm>
          <a:off x="9420225" y="4438650"/>
          <a:ext cx="249958" cy="249958"/>
        </a:xfrm>
        <a:prstGeom prst="rect">
          <a:avLst/>
        </a:prstGeom>
      </xdr:spPr>
    </xdr:pic>
    <xdr:clientData/>
  </xdr:twoCellAnchor>
  <xdr:twoCellAnchor editAs="oneCell">
    <xdr:from>
      <xdr:col>14</xdr:col>
      <xdr:colOff>238125</xdr:colOff>
      <xdr:row>17</xdr:row>
      <xdr:rowOff>38100</xdr:rowOff>
    </xdr:from>
    <xdr:to>
      <xdr:col>14</xdr:col>
      <xdr:colOff>488083</xdr:colOff>
      <xdr:row>17</xdr:row>
      <xdr:rowOff>288058</xdr:rowOff>
    </xdr:to>
    <xdr:pic macro="[0]!FieldP1">
      <xdr:nvPicPr>
        <xdr:cNvPr id="56" name="Pictur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9420225" y="5381625"/>
          <a:ext cx="249958" cy="249958"/>
        </a:xfrm>
        <a:prstGeom prst="rect">
          <a:avLst/>
        </a:prstGeom>
      </xdr:spPr>
    </xdr:pic>
    <xdr:clientData/>
  </xdr:twoCellAnchor>
  <xdr:twoCellAnchor editAs="oneCell">
    <xdr:from>
      <xdr:col>14</xdr:col>
      <xdr:colOff>228600</xdr:colOff>
      <xdr:row>19</xdr:row>
      <xdr:rowOff>38100</xdr:rowOff>
    </xdr:from>
    <xdr:to>
      <xdr:col>14</xdr:col>
      <xdr:colOff>478558</xdr:colOff>
      <xdr:row>19</xdr:row>
      <xdr:rowOff>288058</xdr:rowOff>
    </xdr:to>
    <xdr:pic macro="[0]!FieldP3">
      <xdr:nvPicPr>
        <xdr:cNvPr id="58" name="Picture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
        <a:stretch>
          <a:fillRect/>
        </a:stretch>
      </xdr:blipFill>
      <xdr:spPr>
        <a:xfrm>
          <a:off x="9410700" y="6010275"/>
          <a:ext cx="249958" cy="249958"/>
        </a:xfrm>
        <a:prstGeom prst="rect">
          <a:avLst/>
        </a:prstGeom>
      </xdr:spPr>
    </xdr:pic>
    <xdr:clientData/>
  </xdr:twoCellAnchor>
  <xdr:twoCellAnchor editAs="oneCell">
    <xdr:from>
      <xdr:col>14</xdr:col>
      <xdr:colOff>238125</xdr:colOff>
      <xdr:row>21</xdr:row>
      <xdr:rowOff>38100</xdr:rowOff>
    </xdr:from>
    <xdr:to>
      <xdr:col>14</xdr:col>
      <xdr:colOff>488083</xdr:colOff>
      <xdr:row>21</xdr:row>
      <xdr:rowOff>288058</xdr:rowOff>
    </xdr:to>
    <xdr:pic macro="[0]!FieldP5">
      <xdr:nvPicPr>
        <xdr:cNvPr id="59" name="Picture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
        <a:stretch>
          <a:fillRect/>
        </a:stretch>
      </xdr:blipFill>
      <xdr:spPr>
        <a:xfrm>
          <a:off x="9420225" y="6638925"/>
          <a:ext cx="249958" cy="249958"/>
        </a:xfrm>
        <a:prstGeom prst="rect">
          <a:avLst/>
        </a:prstGeom>
      </xdr:spPr>
    </xdr:pic>
    <xdr:clientData/>
  </xdr:twoCellAnchor>
  <xdr:twoCellAnchor editAs="oneCell">
    <xdr:from>
      <xdr:col>14</xdr:col>
      <xdr:colOff>238125</xdr:colOff>
      <xdr:row>5</xdr:row>
      <xdr:rowOff>38100</xdr:rowOff>
    </xdr:from>
    <xdr:to>
      <xdr:col>14</xdr:col>
      <xdr:colOff>488083</xdr:colOff>
      <xdr:row>5</xdr:row>
      <xdr:rowOff>288058</xdr:rowOff>
    </xdr:to>
    <xdr:pic macro="[0]!T1P2">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blip>
        <a:stretch>
          <a:fillRect/>
        </a:stretch>
      </xdr:blipFill>
      <xdr:spPr>
        <a:xfrm>
          <a:off x="9420225" y="1609725"/>
          <a:ext cx="249958" cy="249958"/>
        </a:xfrm>
        <a:prstGeom prst="rect">
          <a:avLst/>
        </a:prstGeom>
      </xdr:spPr>
    </xdr:pic>
    <xdr:clientData/>
  </xdr:twoCellAnchor>
  <xdr:twoCellAnchor editAs="oneCell">
    <xdr:from>
      <xdr:col>14</xdr:col>
      <xdr:colOff>238125</xdr:colOff>
      <xdr:row>7</xdr:row>
      <xdr:rowOff>38100</xdr:rowOff>
    </xdr:from>
    <xdr:to>
      <xdr:col>14</xdr:col>
      <xdr:colOff>488083</xdr:colOff>
      <xdr:row>7</xdr:row>
      <xdr:rowOff>288058</xdr:rowOff>
    </xdr:to>
    <xdr:pic macro="[0]!T1P4">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8"/>
        <a:stretch>
          <a:fillRect/>
        </a:stretch>
      </xdr:blipFill>
      <xdr:spPr>
        <a:xfrm>
          <a:off x="9420225" y="2238375"/>
          <a:ext cx="249958" cy="249958"/>
        </a:xfrm>
        <a:prstGeom prst="rect">
          <a:avLst/>
        </a:prstGeom>
      </xdr:spPr>
    </xdr:pic>
    <xdr:clientData/>
  </xdr:twoCellAnchor>
  <xdr:twoCellAnchor editAs="oneCell">
    <xdr:from>
      <xdr:col>14</xdr:col>
      <xdr:colOff>238125</xdr:colOff>
      <xdr:row>9</xdr:row>
      <xdr:rowOff>38100</xdr:rowOff>
    </xdr:from>
    <xdr:to>
      <xdr:col>14</xdr:col>
      <xdr:colOff>488083</xdr:colOff>
      <xdr:row>9</xdr:row>
      <xdr:rowOff>288058</xdr:rowOff>
    </xdr:to>
    <xdr:pic macro="[0]!T1P6">
      <xdr:nvPicPr>
        <xdr:cNvPr id="62" name="Picture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8"/>
        <a:stretch>
          <a:fillRect/>
        </a:stretch>
      </xdr:blipFill>
      <xdr:spPr>
        <a:xfrm>
          <a:off x="9420225" y="2867025"/>
          <a:ext cx="249958" cy="249958"/>
        </a:xfrm>
        <a:prstGeom prst="rect">
          <a:avLst/>
        </a:prstGeom>
      </xdr:spPr>
    </xdr:pic>
    <xdr:clientData/>
  </xdr:twoCellAnchor>
  <xdr:twoCellAnchor editAs="oneCell">
    <xdr:from>
      <xdr:col>14</xdr:col>
      <xdr:colOff>238125</xdr:colOff>
      <xdr:row>15</xdr:row>
      <xdr:rowOff>38100</xdr:rowOff>
    </xdr:from>
    <xdr:to>
      <xdr:col>14</xdr:col>
      <xdr:colOff>488083</xdr:colOff>
      <xdr:row>15</xdr:row>
      <xdr:rowOff>288058</xdr:rowOff>
    </xdr:to>
    <xdr:pic macro="[0]!RelayP2">
      <xdr:nvPicPr>
        <xdr:cNvPr id="63" name="Picture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8"/>
        <a:stretch>
          <a:fillRect/>
        </a:stretch>
      </xdr:blipFill>
      <xdr:spPr>
        <a:xfrm>
          <a:off x="9420225" y="4752975"/>
          <a:ext cx="249958" cy="249958"/>
        </a:xfrm>
        <a:prstGeom prst="rect">
          <a:avLst/>
        </a:prstGeom>
      </xdr:spPr>
    </xdr:pic>
    <xdr:clientData/>
  </xdr:twoCellAnchor>
  <xdr:twoCellAnchor editAs="oneCell">
    <xdr:from>
      <xdr:col>14</xdr:col>
      <xdr:colOff>238125</xdr:colOff>
      <xdr:row>18</xdr:row>
      <xdr:rowOff>38100</xdr:rowOff>
    </xdr:from>
    <xdr:to>
      <xdr:col>14</xdr:col>
      <xdr:colOff>488083</xdr:colOff>
      <xdr:row>18</xdr:row>
      <xdr:rowOff>288058</xdr:rowOff>
    </xdr:to>
    <xdr:pic macro="[0]!FieldP2">
      <xdr:nvPicPr>
        <xdr:cNvPr id="75" name="Picture 74">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8"/>
        <a:stretch>
          <a:fillRect/>
        </a:stretch>
      </xdr:blipFill>
      <xdr:spPr>
        <a:xfrm>
          <a:off x="9420225" y="5695950"/>
          <a:ext cx="249958" cy="249958"/>
        </a:xfrm>
        <a:prstGeom prst="rect">
          <a:avLst/>
        </a:prstGeom>
      </xdr:spPr>
    </xdr:pic>
    <xdr:clientData/>
  </xdr:twoCellAnchor>
  <xdr:twoCellAnchor editAs="oneCell">
    <xdr:from>
      <xdr:col>14</xdr:col>
      <xdr:colOff>238125</xdr:colOff>
      <xdr:row>20</xdr:row>
      <xdr:rowOff>38100</xdr:rowOff>
    </xdr:from>
    <xdr:to>
      <xdr:col>14</xdr:col>
      <xdr:colOff>488083</xdr:colOff>
      <xdr:row>20</xdr:row>
      <xdr:rowOff>288058</xdr:rowOff>
    </xdr:to>
    <xdr:pic macro="[0]!FieldP4">
      <xdr:nvPicPr>
        <xdr:cNvPr id="78" name="Picture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8"/>
        <a:stretch>
          <a:fillRect/>
        </a:stretch>
      </xdr:blipFill>
      <xdr:spPr>
        <a:xfrm>
          <a:off x="9420225" y="6324600"/>
          <a:ext cx="249958" cy="249958"/>
        </a:xfrm>
        <a:prstGeom prst="rect">
          <a:avLst/>
        </a:prstGeom>
      </xdr:spPr>
    </xdr:pic>
    <xdr:clientData/>
  </xdr:twoCellAnchor>
  <xdr:twoCellAnchor editAs="oneCell">
    <xdr:from>
      <xdr:col>14</xdr:col>
      <xdr:colOff>238125</xdr:colOff>
      <xdr:row>22</xdr:row>
      <xdr:rowOff>38100</xdr:rowOff>
    </xdr:from>
    <xdr:to>
      <xdr:col>14</xdr:col>
      <xdr:colOff>488083</xdr:colOff>
      <xdr:row>22</xdr:row>
      <xdr:rowOff>288058</xdr:rowOff>
    </xdr:to>
    <xdr:pic macro="[0]!FieldP6">
      <xdr:nvPicPr>
        <xdr:cNvPr id="79" name="Picture 78">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8"/>
        <a:stretch>
          <a:fillRect/>
        </a:stretch>
      </xdr:blipFill>
      <xdr:spPr>
        <a:xfrm>
          <a:off x="9420225" y="6953250"/>
          <a:ext cx="249958" cy="249958"/>
        </a:xfrm>
        <a:prstGeom prst="rect">
          <a:avLst/>
        </a:prstGeom>
      </xdr:spPr>
    </xdr:pic>
    <xdr:clientData/>
  </xdr:twoCellAnchor>
  <xdr:twoCellAnchor editAs="oneCell">
    <xdr:from>
      <xdr:col>18</xdr:col>
      <xdr:colOff>257175</xdr:colOff>
      <xdr:row>3</xdr:row>
      <xdr:rowOff>47625</xdr:rowOff>
    </xdr:from>
    <xdr:to>
      <xdr:col>18</xdr:col>
      <xdr:colOff>507133</xdr:colOff>
      <xdr:row>3</xdr:row>
      <xdr:rowOff>297583</xdr:rowOff>
    </xdr:to>
    <xdr:pic macro="[0]!u15b">
      <xdr:nvPicPr>
        <xdr:cNvPr id="80" name="Picture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
        <a:stretch>
          <a:fillRect/>
        </a:stretch>
      </xdr:blipFill>
      <xdr:spPr>
        <a:xfrm>
          <a:off x="11582400" y="990600"/>
          <a:ext cx="249958" cy="249958"/>
        </a:xfrm>
        <a:prstGeom prst="rect">
          <a:avLst/>
        </a:prstGeom>
      </xdr:spPr>
    </xdr:pic>
    <xdr:clientData/>
  </xdr:twoCellAnchor>
  <xdr:twoCellAnchor editAs="oneCell">
    <xdr:from>
      <xdr:col>18</xdr:col>
      <xdr:colOff>266700</xdr:colOff>
      <xdr:row>5</xdr:row>
      <xdr:rowOff>38100</xdr:rowOff>
    </xdr:from>
    <xdr:to>
      <xdr:col>18</xdr:col>
      <xdr:colOff>516658</xdr:colOff>
      <xdr:row>5</xdr:row>
      <xdr:rowOff>288058</xdr:rowOff>
    </xdr:to>
    <xdr:pic macro="[0]!u15g">
      <xdr:nvPicPr>
        <xdr:cNvPr id="81" name="Picture 80">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
        <a:stretch>
          <a:fillRect/>
        </a:stretch>
      </xdr:blipFill>
      <xdr:spPr>
        <a:xfrm>
          <a:off x="11591925" y="1609725"/>
          <a:ext cx="249958" cy="249958"/>
        </a:xfrm>
        <a:prstGeom prst="rect">
          <a:avLst/>
        </a:prstGeom>
      </xdr:spPr>
    </xdr:pic>
    <xdr:clientData/>
  </xdr:twoCellAnchor>
  <xdr:twoCellAnchor editAs="oneCell">
    <xdr:from>
      <xdr:col>18</xdr:col>
      <xdr:colOff>266700</xdr:colOff>
      <xdr:row>7</xdr:row>
      <xdr:rowOff>38100</xdr:rowOff>
    </xdr:from>
    <xdr:to>
      <xdr:col>18</xdr:col>
      <xdr:colOff>516658</xdr:colOff>
      <xdr:row>7</xdr:row>
      <xdr:rowOff>288058</xdr:rowOff>
    </xdr:to>
    <xdr:pic macro="[0]!u13b">
      <xdr:nvPicPr>
        <xdr:cNvPr id="82" name="Picture 8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
        <a:stretch>
          <a:fillRect/>
        </a:stretch>
      </xdr:blipFill>
      <xdr:spPr>
        <a:xfrm>
          <a:off x="11591925" y="2238375"/>
          <a:ext cx="249958" cy="249958"/>
        </a:xfrm>
        <a:prstGeom prst="rect">
          <a:avLst/>
        </a:prstGeom>
      </xdr:spPr>
    </xdr:pic>
    <xdr:clientData/>
  </xdr:twoCellAnchor>
  <xdr:twoCellAnchor editAs="oneCell">
    <xdr:from>
      <xdr:col>18</xdr:col>
      <xdr:colOff>266700</xdr:colOff>
      <xdr:row>9</xdr:row>
      <xdr:rowOff>38100</xdr:rowOff>
    </xdr:from>
    <xdr:to>
      <xdr:col>18</xdr:col>
      <xdr:colOff>516658</xdr:colOff>
      <xdr:row>9</xdr:row>
      <xdr:rowOff>288058</xdr:rowOff>
    </xdr:to>
    <xdr:pic macro="[0]!u13g">
      <xdr:nvPicPr>
        <xdr:cNvPr id="83" name="Picture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a:stretch>
          <a:fillRect/>
        </a:stretch>
      </xdr:blipFill>
      <xdr:spPr>
        <a:xfrm>
          <a:off x="11591925" y="2867025"/>
          <a:ext cx="249958" cy="249958"/>
        </a:xfrm>
        <a:prstGeom prst="rect">
          <a:avLst/>
        </a:prstGeom>
      </xdr:spPr>
    </xdr:pic>
    <xdr:clientData/>
  </xdr:twoCellAnchor>
  <xdr:twoCellAnchor editAs="oneCell">
    <xdr:from>
      <xdr:col>18</xdr:col>
      <xdr:colOff>257175</xdr:colOff>
      <xdr:row>11</xdr:row>
      <xdr:rowOff>28575</xdr:rowOff>
    </xdr:from>
    <xdr:to>
      <xdr:col>18</xdr:col>
      <xdr:colOff>507133</xdr:colOff>
      <xdr:row>11</xdr:row>
      <xdr:rowOff>278533</xdr:rowOff>
    </xdr:to>
    <xdr:pic macro="[0]!printallage">
      <xdr:nvPicPr>
        <xdr:cNvPr id="84" name="Picture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1582400" y="3486150"/>
          <a:ext cx="249958" cy="2499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57150</xdr:colOff>
      <xdr:row>0</xdr:row>
      <xdr:rowOff>38100</xdr:rowOff>
    </xdr:from>
    <xdr:to>
      <xdr:col>15</xdr:col>
      <xdr:colOff>563162</xdr:colOff>
      <xdr:row>0</xdr:row>
      <xdr:rowOff>538015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7105650" y="38100"/>
          <a:ext cx="506012" cy="4999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47625</xdr:colOff>
      <xdr:row>0</xdr:row>
      <xdr:rowOff>28575</xdr:rowOff>
    </xdr:from>
    <xdr:to>
      <xdr:col>14</xdr:col>
      <xdr:colOff>553637</xdr:colOff>
      <xdr:row>0</xdr:row>
      <xdr:rowOff>528490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6572250" y="28575"/>
          <a:ext cx="506012" cy="499915"/>
        </a:xfrm>
        <a:prstGeom prst="rect">
          <a:avLst/>
        </a:prstGeom>
      </xdr:spPr>
    </xdr:pic>
    <xdr:clientData/>
  </xdr:twoCellAnchor>
  <xdr:twoCellAnchor>
    <xdr:from>
      <xdr:col>29</xdr:col>
      <xdr:colOff>95251</xdr:colOff>
      <xdr:row>0</xdr:row>
      <xdr:rowOff>171449</xdr:rowOff>
    </xdr:from>
    <xdr:to>
      <xdr:col>30</xdr:col>
      <xdr:colOff>127501</xdr:colOff>
      <xdr:row>0</xdr:row>
      <xdr:rowOff>387449</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8039101" y="171449"/>
          <a:ext cx="1080000" cy="216000"/>
        </a:xfrm>
        <a:prstGeom prst="rect">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900" b="1">
              <a:solidFill>
                <a:schemeClr val="bg1"/>
              </a:solidFill>
            </a:rPr>
            <a:t>Not</a:t>
          </a:r>
          <a:r>
            <a:rPr lang="en-GB" sz="900" b="1" baseline="0">
              <a:solidFill>
                <a:schemeClr val="bg1"/>
              </a:solidFill>
            </a:rPr>
            <a:t> Registered?</a:t>
          </a:r>
          <a:endParaRPr lang="en-GB" sz="1100" b="1">
            <a:solidFill>
              <a:schemeClr val="bg1"/>
            </a:solidFill>
          </a:endParaRPr>
        </a:p>
      </xdr:txBody>
    </xdr:sp>
    <xdr:clientData/>
  </xdr:twoCellAnchor>
  <xdr:twoCellAnchor>
    <xdr:from>
      <xdr:col>30</xdr:col>
      <xdr:colOff>171450</xdr:colOff>
      <xdr:row>0</xdr:row>
      <xdr:rowOff>180975</xdr:rowOff>
    </xdr:from>
    <xdr:to>
      <xdr:col>31</xdr:col>
      <xdr:colOff>203700</xdr:colOff>
      <xdr:row>0</xdr:row>
      <xdr:rowOff>396975</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9163050" y="180975"/>
          <a:ext cx="1080000" cy="216000"/>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900">
              <a:solidFill>
                <a:schemeClr val="bg1"/>
              </a:solidFill>
            </a:rPr>
            <a:t>Too Many Events?</a:t>
          </a:r>
          <a:endParaRPr lang="en-GB" sz="1100">
            <a:solidFill>
              <a:schemeClr val="bg1"/>
            </a:solidFill>
          </a:endParaRPr>
        </a:p>
      </xdr:txBody>
    </xdr:sp>
    <xdr:clientData/>
  </xdr:twoCellAnchor>
  <xdr:twoCellAnchor>
    <xdr:from>
      <xdr:col>32</xdr:col>
      <xdr:colOff>342900</xdr:colOff>
      <xdr:row>0</xdr:row>
      <xdr:rowOff>190500</xdr:rowOff>
    </xdr:from>
    <xdr:to>
      <xdr:col>33</xdr:col>
      <xdr:colOff>375150</xdr:colOff>
      <xdr:row>0</xdr:row>
      <xdr:rowOff>406500</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11430000" y="190500"/>
          <a:ext cx="1080000" cy="216000"/>
        </a:xfrm>
        <a:prstGeom prst="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900">
              <a:solidFill>
                <a:schemeClr val="bg1"/>
              </a:solidFill>
            </a:rPr>
            <a:t>Query Leg </a:t>
          </a:r>
          <a:r>
            <a:rPr lang="en-GB" sz="900" baseline="0">
              <a:solidFill>
                <a:schemeClr val="bg1"/>
              </a:solidFill>
            </a:rPr>
            <a:t>Runners</a:t>
          </a:r>
          <a:endParaRPr lang="en-GB" sz="1100">
            <a:solidFill>
              <a:schemeClr val="bg1"/>
            </a:solidFill>
          </a:endParaRPr>
        </a:p>
      </xdr:txBody>
    </xdr:sp>
    <xdr:clientData/>
  </xdr:twoCellAnchor>
  <xdr:twoCellAnchor>
    <xdr:from>
      <xdr:col>31</xdr:col>
      <xdr:colOff>257175</xdr:colOff>
      <xdr:row>0</xdr:row>
      <xdr:rowOff>180975</xdr:rowOff>
    </xdr:from>
    <xdr:to>
      <xdr:col>32</xdr:col>
      <xdr:colOff>289425</xdr:colOff>
      <xdr:row>0</xdr:row>
      <xdr:rowOff>396975</xdr:rowOff>
    </xdr:to>
    <xdr:sp macro="" textlink="">
      <xdr:nvSpPr>
        <xdr:cNvPr id="10" name="Rectangle 9">
          <a:extLst>
            <a:ext uri="{FF2B5EF4-FFF2-40B4-BE49-F238E27FC236}">
              <a16:creationId xmlns:a16="http://schemas.microsoft.com/office/drawing/2014/main" id="{00000000-0008-0000-0C00-00000A000000}"/>
            </a:ext>
          </a:extLst>
        </xdr:cNvPr>
        <xdr:cNvSpPr/>
      </xdr:nvSpPr>
      <xdr:spPr>
        <a:xfrm>
          <a:off x="10296525" y="180975"/>
          <a:ext cx="1080000" cy="216000"/>
        </a:xfrm>
        <a:prstGeom prst="rect">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900">
              <a:solidFill>
                <a:sysClr val="windowText" lastClr="000000"/>
              </a:solidFill>
            </a:rPr>
            <a:t>Needs Checking</a:t>
          </a:r>
          <a:endParaRPr lang="en-GB" sz="11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47625</xdr:colOff>
      <xdr:row>0</xdr:row>
      <xdr:rowOff>57150</xdr:rowOff>
    </xdr:from>
    <xdr:to>
      <xdr:col>16</xdr:col>
      <xdr:colOff>553637</xdr:colOff>
      <xdr:row>0</xdr:row>
      <xdr:rowOff>557065</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7686675" y="57150"/>
          <a:ext cx="506012" cy="4999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38100</xdr:colOff>
      <xdr:row>0</xdr:row>
      <xdr:rowOff>57150</xdr:rowOff>
    </xdr:from>
    <xdr:to>
      <xdr:col>15</xdr:col>
      <xdr:colOff>544112</xdr:colOff>
      <xdr:row>0</xdr:row>
      <xdr:rowOff>557065</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8210550" y="57150"/>
          <a:ext cx="506012" cy="4999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47625</xdr:colOff>
      <xdr:row>0</xdr:row>
      <xdr:rowOff>9526</xdr:rowOff>
    </xdr:from>
    <xdr:to>
      <xdr:col>3</xdr:col>
      <xdr:colOff>552449</xdr:colOff>
      <xdr:row>1</xdr:row>
      <xdr:rowOff>0</xdr:rowOff>
    </xdr:to>
    <xdr:pic>
      <xdr:nvPicPr>
        <xdr:cNvPr id="5" name="Picture 4" descr="File:Agt &lt;strong&gt;home&lt;/strong&gt;.png - Wikimedia Commons">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9526"/>
          <a:ext cx="504824" cy="5048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32</xdr:col>
      <xdr:colOff>57150</xdr:colOff>
      <xdr:row>2</xdr:row>
      <xdr:rowOff>38100</xdr:rowOff>
    </xdr:from>
    <xdr:to>
      <xdr:col>32</xdr:col>
      <xdr:colOff>561974</xdr:colOff>
      <xdr:row>4</xdr:row>
      <xdr:rowOff>161924</xdr:rowOff>
    </xdr:to>
    <xdr:pic>
      <xdr:nvPicPr>
        <xdr:cNvPr id="4" name="Picture 3" descr="File:Agt &lt;strong&gt;home&lt;/strong&gt;.png - Wikimedia Commons">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34775" y="419100"/>
          <a:ext cx="504824" cy="5048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34</xdr:col>
      <xdr:colOff>76200</xdr:colOff>
      <xdr:row>1</xdr:row>
      <xdr:rowOff>38100</xdr:rowOff>
    </xdr:from>
    <xdr:to>
      <xdr:col>34</xdr:col>
      <xdr:colOff>581024</xdr:colOff>
      <xdr:row>3</xdr:row>
      <xdr:rowOff>161924</xdr:rowOff>
    </xdr:to>
    <xdr:pic>
      <xdr:nvPicPr>
        <xdr:cNvPr id="2" name="Picture 1" descr="File:Agt &lt;strong&gt;home&lt;/strong&gt;.png - Wikimedia Commons">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01500" y="228600"/>
          <a:ext cx="504824" cy="5048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38100</xdr:colOff>
      <xdr:row>0</xdr:row>
      <xdr:rowOff>38100</xdr:rowOff>
    </xdr:from>
    <xdr:to>
      <xdr:col>17</xdr:col>
      <xdr:colOff>504825</xdr:colOff>
      <xdr:row>0</xdr:row>
      <xdr:rowOff>538015</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7667625" y="38100"/>
          <a:ext cx="504825" cy="49991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66675</xdr:colOff>
      <xdr:row>0</xdr:row>
      <xdr:rowOff>38100</xdr:rowOff>
    </xdr:from>
    <xdr:to>
      <xdr:col>16</xdr:col>
      <xdr:colOff>572687</xdr:colOff>
      <xdr:row>0</xdr:row>
      <xdr:rowOff>538015</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7696200" y="38100"/>
          <a:ext cx="506012" cy="499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9525</xdr:colOff>
      <xdr:row>2</xdr:row>
      <xdr:rowOff>86824</xdr:rowOff>
    </xdr:from>
    <xdr:to>
      <xdr:col>31</xdr:col>
      <xdr:colOff>190500</xdr:colOff>
      <xdr:row>5</xdr:row>
      <xdr:rowOff>0</xdr:rowOff>
    </xdr:to>
    <xdr:pic macro="[0]!downloadrecords">
      <xdr:nvPicPr>
        <xdr:cNvPr id="3" name="Picture 2" descr="Image result for download image">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3600" y="524974"/>
          <a:ext cx="771525" cy="65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19050</xdr:colOff>
      <xdr:row>1</xdr:row>
      <xdr:rowOff>192950</xdr:rowOff>
    </xdr:from>
    <xdr:to>
      <xdr:col>27</xdr:col>
      <xdr:colOff>581025</xdr:colOff>
      <xdr:row>4</xdr:row>
      <xdr:rowOff>238124</xdr:rowOff>
    </xdr:to>
    <xdr:pic macro="[0]!downloadteams">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754475" y="383450"/>
          <a:ext cx="1152525" cy="788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47625</xdr:colOff>
      <xdr:row>0</xdr:row>
      <xdr:rowOff>66675</xdr:rowOff>
    </xdr:from>
    <xdr:to>
      <xdr:col>15</xdr:col>
      <xdr:colOff>553637</xdr:colOff>
      <xdr:row>0</xdr:row>
      <xdr:rowOff>566590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7096125" y="66675"/>
          <a:ext cx="506012" cy="49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47625</xdr:colOff>
      <xdr:row>0</xdr:row>
      <xdr:rowOff>66675</xdr:rowOff>
    </xdr:from>
    <xdr:to>
      <xdr:col>15</xdr:col>
      <xdr:colOff>553637</xdr:colOff>
      <xdr:row>0</xdr:row>
      <xdr:rowOff>566590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096125" y="66675"/>
          <a:ext cx="506012"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47625</xdr:colOff>
      <xdr:row>0</xdr:row>
      <xdr:rowOff>38100</xdr:rowOff>
    </xdr:from>
    <xdr:to>
      <xdr:col>15</xdr:col>
      <xdr:colOff>553637</xdr:colOff>
      <xdr:row>0</xdr:row>
      <xdr:rowOff>538015</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7096125" y="38100"/>
          <a:ext cx="506012" cy="4999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47625</xdr:colOff>
      <xdr:row>0</xdr:row>
      <xdr:rowOff>38100</xdr:rowOff>
    </xdr:from>
    <xdr:to>
      <xdr:col>15</xdr:col>
      <xdr:colOff>553637</xdr:colOff>
      <xdr:row>0</xdr:row>
      <xdr:rowOff>538015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7096125" y="38100"/>
          <a:ext cx="506012" cy="4999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57150</xdr:colOff>
      <xdr:row>0</xdr:row>
      <xdr:rowOff>47625</xdr:rowOff>
    </xdr:from>
    <xdr:to>
      <xdr:col>15</xdr:col>
      <xdr:colOff>563162</xdr:colOff>
      <xdr:row>0</xdr:row>
      <xdr:rowOff>547540</xdr:rowOff>
    </xdr:to>
    <xdr:pic>
      <xdr:nvPicPr>
        <xdr:cNvPr id="6" name="Picture 5">
          <a:hlinkClick xmlns:r="http://schemas.openxmlformats.org/officeDocument/2006/relationships" r:id="rId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7105650" y="47625"/>
          <a:ext cx="506012" cy="4999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57150</xdr:colOff>
      <xdr:row>0</xdr:row>
      <xdr:rowOff>47625</xdr:rowOff>
    </xdr:from>
    <xdr:to>
      <xdr:col>15</xdr:col>
      <xdr:colOff>563162</xdr:colOff>
      <xdr:row>0</xdr:row>
      <xdr:rowOff>547540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7105650" y="47625"/>
          <a:ext cx="506012" cy="4999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57150</xdr:colOff>
      <xdr:row>0</xdr:row>
      <xdr:rowOff>38100</xdr:rowOff>
    </xdr:from>
    <xdr:to>
      <xdr:col>15</xdr:col>
      <xdr:colOff>563162</xdr:colOff>
      <xdr:row>0</xdr:row>
      <xdr:rowOff>538015</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7105650" y="38100"/>
          <a:ext cx="506012" cy="49991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wnload_LAG_R2.asp?fixtureID=12_6" growShrinkType="overwriteClear" connectionId="1" xr16:uid="{00000000-0016-0000-0100-00002C000000}"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LAG_squads_F.asp?fixtureID=6" growShrinkType="overwriteClear" connectionId="1" xr16:uid="{00000000-0016-0000-0100-000033000000}"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LAG_squads_M.asp?fixtureID=12" growShrinkType="overwriteClear" connectionId="2" xr16:uid="{00000000-0016-0000-0100-000016000000}"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LAG_squads_M.asp?fixtureID=12_10" growShrinkType="overwriteClear" connectionId="2" xr16:uid="{00000000-0016-0000-0100-00003F000000}"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LAG_squads_M.asp?fixtureID=6" growShrinkType="overwriteClear" connectionId="2" xr16:uid="{00000000-0016-0000-0100-00001D000000}"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LAG_squads_F.asp?fixtureID=12_2" growShrinkType="overwriteClear" connectionId="1" xr16:uid="{00000000-0016-0000-0100-000045000000}"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LAG_squads_F.asp?fixtureID=12_10" growShrinkType="overwriteClear" connectionId="1" xr16:uid="{00000000-0016-0000-0100-000041000000}"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ownload_LAG_R2.asp?fixtureID=12_2" growShrinkType="overwriteClear" connectionId="1" xr16:uid="{00000000-0016-0000-0100-00000A000000}"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LAG_squads_F.asp?fixtureID=13_1" growShrinkType="overwriteClear" connectionId="1" xr16:uid="{00000000-0016-0000-0100-000013000000}"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ownload_LAG_R2.asp?fixtureID=12_7" growShrinkType="overwriteClear" connectionId="1" xr16:uid="{00000000-0016-0000-0100-000036000000}"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LAG_squads_M.asp?fixtureID=15_3" growShrinkType="overwriteClear" connectionId="2" xr16:uid="{00000000-0016-0000-0100-000038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wnload_LAG_R2.asp?fixtureID=13_2" growShrinkType="overwriteClear" connectionId="1" xr16:uid="{00000000-0016-0000-0100-000012000000}"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ownload_LAG_R2.asp?fixtureID=13_3" growShrinkType="overwriteClear" connectionId="1" xr16:uid="{00000000-0016-0000-0100-000027000000}"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LAG_squads_M.asp?fixtureID=12_5" growShrinkType="overwriteClear" connectionId="2" xr16:uid="{00000000-0016-0000-0100-00003D000000}"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ownload_LAG_R2.asp?fixtureID=16" growShrinkType="overwriteClear" connectionId="1" xr16:uid="{00000000-0016-0000-0100-00000B000000}"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ownload_LAG_R2.asp?fixtureID=12_11" growShrinkType="overwriteClear" connectionId="1" xr16:uid="{00000000-0016-0000-0100-000029000000}"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ownload_LAG_R2.asp?fixtureID=12_1" growShrinkType="overwriteClear" connectionId="1" xr16:uid="{00000000-0016-0000-0100-000007000000}"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LAG_squads_F.asp?fixtureID=15_1" growShrinkType="overwriteClear" connectionId="1" xr16:uid="{00000000-0016-0000-0100-00002B000000}"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LAG_squads_M.asp?fixtureID=12_2" growShrinkType="overwriteClear" connectionId="2" xr16:uid="{00000000-0016-0000-0100-00000E000000}"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LAG_squads_M.asp?fixtureID=13_1" growShrinkType="overwriteClear" connectionId="2" xr16:uid="{00000000-0016-0000-0100-00003A000000}"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LAG_squads_F.asp?fixtureID=12_9" growShrinkType="overwriteClear" connectionId="1" xr16:uid="{00000000-0016-0000-0100-00000D000000}"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LAG_squads_M.asp?fixtureID=12_12" growShrinkType="overwriteClear" connectionId="2" xr16:uid="{00000000-0016-0000-0100-00003C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LAG_squads_M.asp?fixtureID=12_6" growShrinkType="overwriteClear" connectionId="2" xr16:uid="{00000000-0016-0000-0100-00001B000000}"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ownload_LAG_R2.asp?fixtureID=12_10" growShrinkType="overwriteClear" connectionId="1" xr16:uid="{00000000-0016-0000-0100-000039000000}"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LAG_squads_M.asp?fixtureID=12_3" growShrinkType="overwriteClear" connectionId="2" xr16:uid="{00000000-0016-0000-0100-00002A000000}"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LAG_squads_F.asp?fixtureID=12_7" growShrinkType="overwriteClear" connectionId="1" xr16:uid="{00000000-0016-0000-0100-000034000000}"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LAG_squads_M.asp?fixtureID=6_24" growShrinkType="overwriteClear" preserveFormatting="0" connectionId="2" xr16:uid="{00000000-0016-0000-0100-000017000000}"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LAG_squads_F.asp?fixtureID=15_2" growShrinkType="overwriteClear" connectionId="1" xr16:uid="{00000000-0016-0000-0100-000028000000}"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LAG_squads_M.asp?fixtureID=12_9" growShrinkType="overwriteClear" connectionId="2" xr16:uid="{00000000-0016-0000-0100-000018000000}"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LAG_squads_F.asp?fixtureID=12_8" growShrinkType="overwriteClear" connectionId="1" xr16:uid="{00000000-0016-0000-0100-000043000000}"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LAG_squads_M.asp?fixtureID=13_2" growShrinkType="overwriteClear" connectionId="2" xr16:uid="{00000000-0016-0000-0100-000014000000}"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ownload_LAG_R2.asp?fixtureID=12_5" growShrinkType="overwriteClear" connectionId="1" xr16:uid="{00000000-0016-0000-0100-000004000000}"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ownload_LAG_R2.asp?fixtureID=12_9" growShrinkType="overwriteClear" connectionId="1" xr16:uid="{00000000-0016-0000-0100-00003B000000}"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wnload_LAG_R2.asp?fixtureID=12_4" growShrinkType="overwriteClear" connectionId="1" xr16:uid="{00000000-0016-0000-0100-00002D000000}"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LAG_squads_M.asp?fixtureID=16" growShrinkType="overwriteClear" connectionId="2" xr16:uid="{00000000-0016-0000-0100-000011000000}"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LAG_squads_F.asp?fixtureID=12_4" growShrinkType="overwriteClear" connectionId="1" xr16:uid="{00000000-0016-0000-0100-000046000000}" autoFormatId="16" applyNumberFormats="0" applyBorderFormats="0" applyFontFormats="1" applyPatternFormats="1"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ownload_LAG_R2.asp?fixtureID=6_24" growShrinkType="overwriteClear" connectionId="1" xr16:uid="{00000000-0016-0000-0100-000037000000}" autoFormatId="16" applyNumberFormats="0" applyBorderFormats="0" applyFontFormats="1" applyPatternFormats="1"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ownload_LAG_R2.asp?fixtureID=12" growShrinkType="overwriteClear" connectionId="1" xr16:uid="{00000000-0016-0000-0100-000015000000}" autoFormatId="16" applyNumberFormats="0" applyBorderFormats="0" applyFontFormats="1" applyPatternFormats="1"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LAG_squads_M.asp?fixtureID=12_7" growShrinkType="overwriteClear" connectionId="2" xr16:uid="{00000000-0016-0000-0100-00004A000000}" autoFormatId="16" applyNumberFormats="0" applyBorderFormats="0" applyFontFormats="1" applyPatternFormats="1"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ownload_LAG_R2.asp?fixtureID=12_8" growShrinkType="overwriteClear" connectionId="1" xr16:uid="{00000000-0016-0000-0100-00001F000000}" autoFormatId="16" applyNumberFormats="0" applyBorderFormats="0" applyFontFormats="1" applyPatternFormats="1"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ownload_LAG_R2.asp?fixtureID=15_2" growShrinkType="overwriteClear" connectionId="1" xr16:uid="{00000000-0016-0000-0100-000047000000}" autoFormatId="16" applyNumberFormats="0" applyBorderFormats="0" applyFontFormats="1" applyPatternFormats="1"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ownload_LAG_R2.asp?fixtureID=15" growShrinkType="overwriteClear" connectionId="1" xr16:uid="{00000000-0016-0000-0100-000042000000}" autoFormatId="16" applyNumberFormats="0" applyBorderFormats="0" applyFontFormats="1" applyPatternFormats="1"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ownload_LAG_R2.asp?fixtureID=15_1" growShrinkType="overwriteClear" connectionId="1" xr16:uid="{00000000-0016-0000-0100-000048000000}" autoFormatId="16" applyNumberFormats="0" applyBorderFormats="0" applyFontFormats="1" applyPatternFormats="1"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LAG_squads_F.asp?fixtureID=12_3" growShrinkType="overwriteClear" connectionId="1" xr16:uid="{00000000-0016-0000-0100-000019000000}"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LAG_squads_F.asp?fixtureID=12" growShrinkType="overwriteClear" connectionId="1" xr16:uid="{00000000-0016-0000-0100-000010000000}" autoFormatId="16" applyNumberFormats="0" applyBorderFormats="0" applyFontFormats="1" applyPatternFormats="1"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ownload_LAG_R2.asp?fixtureID=13_1" growShrinkType="overwriteClear" connectionId="1" xr16:uid="{00000000-0016-0000-0100-000023000000}" autoFormatId="16" applyNumberFormats="0" applyBorderFormats="0" applyFontFormats="1" applyPatternFormats="1"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ownload_LAG_R2.asp?fixtureID=15_3" growShrinkType="overwriteClear" connectionId="1" xr16:uid="{00000000-0016-0000-0100-000025000000}" autoFormatId="16" applyNumberFormats="0" applyBorderFormats="0" applyFontFormats="1" applyPatternFormats="1"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LAG_squads_F.asp?fixtureID=12_12" growShrinkType="overwriteClear" connectionId="1" xr16:uid="{00000000-0016-0000-0100-000002000000}" autoFormatId="16" applyNumberFormats="0" applyBorderFormats="0" applyFontFormats="1" applyPatternFormats="1"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LAG_squads_M.asp?fixtureID=15_2" growShrinkType="overwriteClear" connectionId="2" xr16:uid="{00000000-0016-0000-0100-000030000000}" autoFormatId="16" applyNumberFormats="0" applyBorderFormats="0" applyFontFormats="1" applyPatternFormats="1"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ownload_LAG_R2.asp?fixtureID=6" growShrinkType="overwriteClear" connectionId="1" xr16:uid="{00000000-0016-0000-0100-000020000000}" autoFormatId="16" applyNumberFormats="0" applyBorderFormats="0" applyFontFormats="1" applyPatternFormats="1"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LAG_squads_M.asp?fixtureID=15_1" growShrinkType="overwriteClear" connectionId="2" xr16:uid="{00000000-0016-0000-0100-00001C000000}" autoFormatId="16" applyNumberFormats="0" applyBorderFormats="0" applyFontFormats="1" applyPatternFormats="1"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LAG_squads_M.asp?fixtureID=13" growShrinkType="overwriteClear" connectionId="2" xr16:uid="{00000000-0016-0000-0100-000040000000}" autoFormatId="16" applyNumberFormats="0" applyBorderFormats="0" applyFontFormats="1" applyPatternFormats="1"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LAG_squads_F.asp?fixtureID=15_3" growShrinkType="overwriteClear" connectionId="1" xr16:uid="{00000000-0016-0000-0100-00001E000000}" autoFormatId="16" applyNumberFormats="0" applyBorderFormats="0" applyFontFormats="1" applyPatternFormats="1"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LAG_squads_M.asp?fixtureID=12_8" growShrinkType="overwriteClear" connectionId="2" xr16:uid="{00000000-0016-0000-0100-000001000000}" autoFormatId="16" applyNumberFormats="0" applyBorderFormats="0" applyFontFormats="1" applyPatternFormats="1"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LAG_squads_M.asp?fixtureID=12_4" growShrinkType="overwriteClear" connectionId="2" xr16:uid="{00000000-0016-0000-0100-00001A000000}"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LAG_squads_F.asp?fixtureID=15" growShrinkType="overwriteClear" connectionId="1" xr16:uid="{00000000-0016-0000-0100-00003E000000}" autoFormatId="16" applyNumberFormats="0" applyBorderFormats="0" applyFontFormats="1" applyPatternFormats="1"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LAG_squads_F.asp?fixtureID=12_1" growShrinkType="overwriteClear" connectionId="1" xr16:uid="{00000000-0016-0000-0100-000005000000}" autoFormatId="16" applyNumberFormats="0" applyBorderFormats="0" applyFontFormats="1" applyPatternFormats="1"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LAG_squads_M.asp?fixtureID=12_11" growShrinkType="overwriteClear" connectionId="2" xr16:uid="{00000000-0016-0000-0100-000024000000}" autoFormatId="16" applyNumberFormats="0" applyBorderFormats="0" applyFontFormats="1" applyPatternFormats="1"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download_LAG_R2.asp?fixtureID=12_3" growShrinkType="overwriteClear" connectionId="1" xr16:uid="{00000000-0016-0000-0100-000035000000}" autoFormatId="16" applyNumberFormats="0" applyBorderFormats="0" applyFontFormats="1" applyPatternFormats="1"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LAG_squads_F.asp?fixtureID=13_3" growShrinkType="overwriteClear" connectionId="1" xr16:uid="{00000000-0016-0000-0100-00000F000000}" autoFormatId="16" applyNumberFormats="0" applyBorderFormats="0" applyFontFormats="1" applyPatternFormats="1"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LAG_squads_F.asp?fixtureID=12_5" growShrinkType="overwriteClear" connectionId="1" xr16:uid="{00000000-0016-0000-0100-000003000000}" autoFormatId="16" applyNumberFormats="0" applyBorderFormats="0" applyFontFormats="1" applyPatternFormats="1"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LAG_squads_F.asp?fixtureID=12_6" growShrinkType="overwriteClear" connectionId="1" xr16:uid="{00000000-0016-0000-0100-000031000000}" autoFormatId="16" applyNumberFormats="0" applyBorderFormats="0" applyFontFormats="1" applyPatternFormats="1"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LAG_squads_F.asp?fixtureID=12_11" growShrinkType="overwriteClear" connectionId="1" xr16:uid="{00000000-0016-0000-0100-000021000000}" autoFormatId="16" applyNumberFormats="0" applyBorderFormats="0" applyFontFormats="1" applyPatternFormats="1"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LAG_squads_M.asp?fixtureID=15" growShrinkType="overwriteClear" connectionId="2" xr16:uid="{00000000-0016-0000-0100-000044000000}" autoFormatId="16" applyNumberFormats="0" applyBorderFormats="0" applyFontFormats="1" applyPatternFormats="1"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LAG_squads_F.asp?fixtureID=16" growShrinkType="overwriteClear" connectionId="1" xr16:uid="{00000000-0016-0000-0100-000026000000}" autoFormatId="16" applyNumberFormats="0" applyBorderFormats="0" applyFontFormats="1" applyPatternFormats="1"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LAG_squads_M.asp?fixtureID=12_1" growShrinkType="overwriteClear" connectionId="2" xr16:uid="{00000000-0016-0000-0100-000032000000}"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LAG_squads_F.asp?fixtureID=13" growShrinkType="overwriteClear" connectionId="1" xr16:uid="{00000000-0016-0000-0100-00000C000000}" autoFormatId="16" applyNumberFormats="0" applyBorderFormats="0" applyFontFormats="1" applyPatternFormats="1"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LAG_squads_F.asp?fixtureID=6_23" growShrinkType="overwriteClear" preserveFormatting="0" connectionId="1" xr16:uid="{00000000-0016-0000-0100-000049000000}" autoFormatId="16" applyNumberFormats="0" applyBorderFormats="0" applyFontFormats="1" applyPatternFormats="1"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LAG_squads_F.asp?fixtureID=6_24" growShrinkType="overwriteClear" connectionId="1" xr16:uid="{00000000-0016-0000-0100-000006000000}" autoFormatId="16" applyNumberFormats="0" applyBorderFormats="0" applyFontFormats="1" applyPatternFormats="1"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LAG_squads_F.asp?fixtureID=13_2" growShrinkType="overwriteClear" connectionId="1" xr16:uid="{00000000-0016-0000-0100-000008000000}" autoFormatId="16" applyNumberFormats="0" applyBorderFormats="0" applyFontFormats="1" applyPatternFormats="1"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LAG_squads_M.asp?fixtureID=6_25" growShrinkType="overwriteClear" connectionId="2" xr16:uid="{00000000-0016-0000-0100-00002F000000}" autoFormatId="16" applyNumberFormats="0" applyBorderFormats="0" applyFontFormats="1" applyPatternFormats="1"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download_LAG_R2.asp?fixtureID=12_12" growShrinkType="overwriteClear" connectionId="1" xr16:uid="{00000000-0016-0000-0100-000022000000}" autoFormatId="16" applyNumberFormats="0" applyBorderFormats="0" applyFontFormats="1" applyPatternFormats="1"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LAG_squads_M.asp?fixtureID=13_3" growShrinkType="overwriteClear" connectionId="2" xr16:uid="{00000000-0016-0000-0100-000000000000}"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ownload_LAG_R2.asp?fixtureID=6_25" growShrinkType="overwriteClear" connectionId="1" xr16:uid="{00000000-0016-0000-0100-000009000000}"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ownload_LAG_R2.asp?fixtureID=13" growShrinkType="overwriteClear" connectionId="1" xr16:uid="{00000000-0016-0000-0100-00002E000000}"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E13:G71" totalsRowShown="0" headerRowDxfId="178" dataDxfId="177">
  <tableColumns count="3">
    <tableColumn id="1" xr3:uid="{00000000-0010-0000-0000-000001000000}" name="Input Results" dataDxfId="176">
      <calculatedColumnFormula>IFERROR(CONCATENATE(INDIRECT(CONCATENATE("Timetables!C",$A14))," ",INDIRECT(CONCATENATE("Timetables!B",$A14))),"")</calculatedColumnFormula>
    </tableColumn>
    <tableColumn id="2" xr3:uid="{00000000-0010-0000-0000-000002000000}" name="Go To" dataDxfId="175" dataCellStyle="Hyperlink">
      <calculatedColumnFormula>IFERROR(HYPERLINK("#"&amp;VLOOKUP(B14,timetables,128,FALSE),"X"),"")</calculatedColumnFormula>
    </tableColumn>
    <tableColumn id="3" xr3:uid="{00000000-0010-0000-0000-000003000000}" name="Scored" dataDxfId="174">
      <calculatedColumnFormula>IFERROR(IF(INDIRECT(VLOOKUP(B14,timetables,133,FALSE))=1,"þ",""),"")</calculatedColumnFormula>
    </tableColumn>
  </tableColumns>
  <tableStyleInfo name="TableStyleMedium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12:J20" totalsRowShown="0" headerRowDxfId="173" dataDxfId="172" dataCellStyle="Comma">
  <tableColumns count="9">
    <tableColumn id="1" xr3:uid="{00000000-0010-0000-0100-000001000000}" name="Bib" dataDxfId="171"/>
    <tableColumn id="2" xr3:uid="{00000000-0010-0000-0100-000002000000}" name="Team Name" dataDxfId="170">
      <calculatedColumnFormula>IFERROR(VLOOKUP($C$2&amp;$C$3&amp;$C$4&amp;$B13,Teams!$A:$E,3,FALSE),"")</calculatedColumnFormula>
    </tableColumn>
    <tableColumn id="3" xr3:uid="{00000000-0010-0000-0100-000003000000}" name="Abbrev." dataDxfId="169">
      <calculatedColumnFormula>IFERROR(VLOOKUP($C$2&amp;$C$3&amp;$C$4&amp;$B13,Teams!$A:$E,4,FALSE),"")</calculatedColumnFormula>
    </tableColumn>
    <tableColumn id="4" xr3:uid="{00000000-0010-0000-0100-000004000000}" name="Officials" dataDxfId="168" dataCellStyle="Comma"/>
    <tableColumn id="5" xr3:uid="{00000000-0010-0000-0100-000005000000}" name="Track1" dataDxfId="167" dataCellStyle="Comma">
      <calculatedColumnFormula>SUMIF(Track1!$E:$E,MatchDay!D13,Track1!$P:$P)+SUMIF(Track1!$L:$L,MatchDay!D13,Track1!$Q:$Q)</calculatedColumnFormula>
    </tableColumn>
    <tableColumn id="6" xr3:uid="{00000000-0010-0000-0100-000006000000}" name="Track2" dataDxfId="166" dataCellStyle="Comma">
      <calculatedColumnFormula>SUMIF(Track2!$E:$E,MatchDay!D13,Track2!$P:$P)+SUMIF(Track2!$L:$L,MatchDay!D13,Track2!$Q:$Q)</calculatedColumnFormula>
    </tableColumn>
    <tableColumn id="7" xr3:uid="{00000000-0010-0000-0100-000007000000}" name="Relays" dataDxfId="165" dataCellStyle="Comma">
      <calculatedColumnFormula>SUMIF(Relays!$D:$D,MatchDay!D13,Relays!$L:$L)</calculatedColumnFormula>
    </tableColumn>
    <tableColumn id="8" xr3:uid="{00000000-0010-0000-0100-000008000000}" name="Field" dataDxfId="164" dataCellStyle="Comma">
      <calculatedColumnFormula>SUMIF(Field!$E:$E,MatchDay!D13,Field!$P:$P)+SUMIF(Field!$L:$L,MatchDay!D13,Field!$Q:$Q)</calculatedColumnFormula>
    </tableColumn>
    <tableColumn id="9" xr3:uid="{00000000-0010-0000-0100-000009000000}" name="Total" dataDxfId="163" dataCellStyle="Comma">
      <calculatedColumnFormula>IFERROR(IF(F13+I13+G13+H13+I13=0,"",F13+I13+G13+H13+E13),"")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22:J30" totalsRowShown="0" headerRowDxfId="162" dataDxfId="161">
  <tableColumns count="9">
    <tableColumn id="1" xr3:uid="{00000000-0010-0000-0200-000001000000}" name="Posn" dataDxfId="160">
      <calculatedColumnFormula>IFERROR(VLOOKUP(A23,$A$13:$M$20,11,FALSE),"")</calculatedColumnFormula>
    </tableColumn>
    <tableColumn id="2" xr3:uid="{00000000-0010-0000-0200-000002000000}" name="Team Name" dataDxfId="159">
      <calculatedColumnFormula>IFERROR(IF($D$35=58,downloads!AC3,VLOOKUP($A23,$A$13:$M$20,3,FALSE)),"")</calculatedColumnFormula>
    </tableColumn>
    <tableColumn id="3" xr3:uid="{00000000-0010-0000-0200-000003000000}" name="Points" dataDxfId="158" dataCellStyle="Comma">
      <calculatedColumnFormula>IFERROR(VLOOKUP($A23,$A$13:$M$20,10,FALSE),0)</calculatedColumnFormula>
    </tableColumn>
    <tableColumn id="4" xr3:uid="{00000000-0010-0000-0200-000004000000}" name="League" dataDxfId="157">
      <calculatedColumnFormula>IFERROR(VLOOKUP(Table2[[#This Row],[Posn]],$P$13:$S$20,4,FALSE),0)</calculatedColumnFormula>
    </tableColumn>
    <tableColumn id="5" xr3:uid="{00000000-0010-0000-0200-000005000000}" name="B/fwd M" dataDxfId="156">
      <calculatedColumnFormula>IFERROR(VLOOKUP(Table2[[#This Row],[Team Name]],$M$13:$O$20,3,FALSE),0)</calculatedColumnFormula>
    </tableColumn>
    <tableColumn id="6" xr3:uid="{00000000-0010-0000-0200-000006000000}" name="B/fwd L" dataDxfId="155">
      <calculatedColumnFormula>IFERROR(VLOOKUP(Table2[[#This Row],[Team Name]],$M$13:$O$20,2,FALSE),0)</calculatedColumnFormula>
    </tableColumn>
    <tableColumn id="7" xr3:uid="{00000000-0010-0000-0200-000007000000}" name="Total Pts" dataDxfId="154">
      <calculatedColumnFormula>Table2[[#This Row],[Points]]+Table2[[#This Row],[B/fwd M]]</calculatedColumnFormula>
    </tableColumn>
    <tableColumn id="8" xr3:uid="{00000000-0010-0000-0200-000008000000}" name="Total L" dataDxfId="153">
      <calculatedColumnFormula>Table2[[#This Row],[League]]+Table2[[#This Row],[B/fwd L]]</calculatedColumnFormula>
    </tableColumn>
    <tableColumn id="9" xr3:uid="{00000000-0010-0000-0200-000009000000}" name="Standings" dataDxfId="152">
      <calculatedColumnFormula>IF(Table2[[#This Row],[Posn]]="-","",IF(RANK(M23,$M$23:$M$30,0)&gt;$U$2,"",RANK(M23,$M$23:$M$30,0)))</calculatedColumnFormula>
    </tableColumn>
  </tableColumns>
  <tableStyleInfo name="TableStyleMedium2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9" Type="http://schemas.openxmlformats.org/officeDocument/2006/relationships/queryTable" Target="../queryTables/queryTable38.xml"/><Relationship Id="rId21" Type="http://schemas.openxmlformats.org/officeDocument/2006/relationships/queryTable" Target="../queryTables/queryTable20.xml"/><Relationship Id="rId34" Type="http://schemas.openxmlformats.org/officeDocument/2006/relationships/queryTable" Target="../queryTables/queryTable33.xml"/><Relationship Id="rId42" Type="http://schemas.openxmlformats.org/officeDocument/2006/relationships/queryTable" Target="../queryTables/queryTable41.xml"/><Relationship Id="rId47" Type="http://schemas.openxmlformats.org/officeDocument/2006/relationships/queryTable" Target="../queryTables/queryTable46.xml"/><Relationship Id="rId50" Type="http://schemas.openxmlformats.org/officeDocument/2006/relationships/queryTable" Target="../queryTables/queryTable49.xml"/><Relationship Id="rId55" Type="http://schemas.openxmlformats.org/officeDocument/2006/relationships/queryTable" Target="../queryTables/queryTable54.xml"/><Relationship Id="rId63" Type="http://schemas.openxmlformats.org/officeDocument/2006/relationships/queryTable" Target="../queryTables/queryTable62.xml"/><Relationship Id="rId68" Type="http://schemas.openxmlformats.org/officeDocument/2006/relationships/queryTable" Target="../queryTables/queryTable67.xml"/><Relationship Id="rId76" Type="http://schemas.openxmlformats.org/officeDocument/2006/relationships/queryTable" Target="../queryTables/queryTable75.xml"/><Relationship Id="rId7" Type="http://schemas.openxmlformats.org/officeDocument/2006/relationships/queryTable" Target="../queryTables/queryTable6.xml"/><Relationship Id="rId71" Type="http://schemas.openxmlformats.org/officeDocument/2006/relationships/queryTable" Target="../queryTables/queryTable70.xml"/><Relationship Id="rId2" Type="http://schemas.openxmlformats.org/officeDocument/2006/relationships/queryTable" Target="../queryTables/queryTable1.xml"/><Relationship Id="rId16" Type="http://schemas.openxmlformats.org/officeDocument/2006/relationships/queryTable" Target="../queryTables/queryTable15.xml"/><Relationship Id="rId29" Type="http://schemas.openxmlformats.org/officeDocument/2006/relationships/queryTable" Target="../queryTables/queryTable28.xml"/><Relationship Id="rId11" Type="http://schemas.openxmlformats.org/officeDocument/2006/relationships/queryTable" Target="../queryTables/queryTable10.xml"/><Relationship Id="rId24" Type="http://schemas.openxmlformats.org/officeDocument/2006/relationships/queryTable" Target="../queryTables/queryTable23.xml"/><Relationship Id="rId32" Type="http://schemas.openxmlformats.org/officeDocument/2006/relationships/queryTable" Target="../queryTables/queryTable31.xml"/><Relationship Id="rId37" Type="http://schemas.openxmlformats.org/officeDocument/2006/relationships/queryTable" Target="../queryTables/queryTable36.xml"/><Relationship Id="rId40" Type="http://schemas.openxmlformats.org/officeDocument/2006/relationships/queryTable" Target="../queryTables/queryTable39.xml"/><Relationship Id="rId45" Type="http://schemas.openxmlformats.org/officeDocument/2006/relationships/queryTable" Target="../queryTables/queryTable44.xml"/><Relationship Id="rId53" Type="http://schemas.openxmlformats.org/officeDocument/2006/relationships/queryTable" Target="../queryTables/queryTable52.xml"/><Relationship Id="rId58" Type="http://schemas.openxmlformats.org/officeDocument/2006/relationships/queryTable" Target="../queryTables/queryTable57.xml"/><Relationship Id="rId66" Type="http://schemas.openxmlformats.org/officeDocument/2006/relationships/queryTable" Target="../queryTables/queryTable65.xml"/><Relationship Id="rId74" Type="http://schemas.openxmlformats.org/officeDocument/2006/relationships/queryTable" Target="../queryTables/queryTable7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36" Type="http://schemas.openxmlformats.org/officeDocument/2006/relationships/queryTable" Target="../queryTables/queryTable35.xml"/><Relationship Id="rId49" Type="http://schemas.openxmlformats.org/officeDocument/2006/relationships/queryTable" Target="../queryTables/queryTable48.xml"/><Relationship Id="rId57" Type="http://schemas.openxmlformats.org/officeDocument/2006/relationships/queryTable" Target="../queryTables/queryTable56.xml"/><Relationship Id="rId61" Type="http://schemas.openxmlformats.org/officeDocument/2006/relationships/queryTable" Target="../queryTables/queryTable60.xml"/><Relationship Id="rId10" Type="http://schemas.openxmlformats.org/officeDocument/2006/relationships/queryTable" Target="../queryTables/queryTable9.xml"/><Relationship Id="rId19" Type="http://schemas.openxmlformats.org/officeDocument/2006/relationships/queryTable" Target="../queryTables/queryTable18.xml"/><Relationship Id="rId31" Type="http://schemas.openxmlformats.org/officeDocument/2006/relationships/queryTable" Target="../queryTables/queryTable30.xml"/><Relationship Id="rId44" Type="http://schemas.openxmlformats.org/officeDocument/2006/relationships/queryTable" Target="../queryTables/queryTable43.xml"/><Relationship Id="rId52" Type="http://schemas.openxmlformats.org/officeDocument/2006/relationships/queryTable" Target="../queryTables/queryTable51.xml"/><Relationship Id="rId60" Type="http://schemas.openxmlformats.org/officeDocument/2006/relationships/queryTable" Target="../queryTables/queryTable59.xml"/><Relationship Id="rId65" Type="http://schemas.openxmlformats.org/officeDocument/2006/relationships/queryTable" Target="../queryTables/queryTable64.xml"/><Relationship Id="rId73" Type="http://schemas.openxmlformats.org/officeDocument/2006/relationships/queryTable" Target="../queryTables/queryTable72.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 Id="rId30" Type="http://schemas.openxmlformats.org/officeDocument/2006/relationships/queryTable" Target="../queryTables/queryTable29.xml"/><Relationship Id="rId35" Type="http://schemas.openxmlformats.org/officeDocument/2006/relationships/queryTable" Target="../queryTables/queryTable34.xml"/><Relationship Id="rId43" Type="http://schemas.openxmlformats.org/officeDocument/2006/relationships/queryTable" Target="../queryTables/queryTable42.xml"/><Relationship Id="rId48" Type="http://schemas.openxmlformats.org/officeDocument/2006/relationships/queryTable" Target="../queryTables/queryTable47.xml"/><Relationship Id="rId56" Type="http://schemas.openxmlformats.org/officeDocument/2006/relationships/queryTable" Target="../queryTables/queryTable55.xml"/><Relationship Id="rId64" Type="http://schemas.openxmlformats.org/officeDocument/2006/relationships/queryTable" Target="../queryTables/queryTable63.xml"/><Relationship Id="rId69" Type="http://schemas.openxmlformats.org/officeDocument/2006/relationships/queryTable" Target="../queryTables/queryTable68.xml"/><Relationship Id="rId8" Type="http://schemas.openxmlformats.org/officeDocument/2006/relationships/queryTable" Target="../queryTables/queryTable7.xml"/><Relationship Id="rId51" Type="http://schemas.openxmlformats.org/officeDocument/2006/relationships/queryTable" Target="../queryTables/queryTable50.xml"/><Relationship Id="rId72" Type="http://schemas.openxmlformats.org/officeDocument/2006/relationships/queryTable" Target="../queryTables/queryTable71.xml"/><Relationship Id="rId3" Type="http://schemas.openxmlformats.org/officeDocument/2006/relationships/queryTable" Target="../queryTables/queryTable2.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33" Type="http://schemas.openxmlformats.org/officeDocument/2006/relationships/queryTable" Target="../queryTables/queryTable32.xml"/><Relationship Id="rId38" Type="http://schemas.openxmlformats.org/officeDocument/2006/relationships/queryTable" Target="../queryTables/queryTable37.xml"/><Relationship Id="rId46" Type="http://schemas.openxmlformats.org/officeDocument/2006/relationships/queryTable" Target="../queryTables/queryTable45.xml"/><Relationship Id="rId59" Type="http://schemas.openxmlformats.org/officeDocument/2006/relationships/queryTable" Target="../queryTables/queryTable58.xml"/><Relationship Id="rId67" Type="http://schemas.openxmlformats.org/officeDocument/2006/relationships/queryTable" Target="../queryTables/queryTable66.xml"/><Relationship Id="rId20" Type="http://schemas.openxmlformats.org/officeDocument/2006/relationships/queryTable" Target="../queryTables/queryTable19.xml"/><Relationship Id="rId41" Type="http://schemas.openxmlformats.org/officeDocument/2006/relationships/queryTable" Target="../queryTables/queryTable40.xml"/><Relationship Id="rId54" Type="http://schemas.openxmlformats.org/officeDocument/2006/relationships/queryTable" Target="../queryTables/queryTable53.xml"/><Relationship Id="rId62" Type="http://schemas.openxmlformats.org/officeDocument/2006/relationships/queryTable" Target="../queryTables/queryTable61.xml"/><Relationship Id="rId70" Type="http://schemas.openxmlformats.org/officeDocument/2006/relationships/queryTable" Target="../queryTables/queryTable69.xml"/><Relationship Id="rId75" Type="http://schemas.openxmlformats.org/officeDocument/2006/relationships/queryTable" Target="../queryTables/queryTable74.xml"/><Relationship Id="rId1" Type="http://schemas.openxmlformats.org/officeDocument/2006/relationships/printerSettings" Target="../printerSettings/printerSettings2.bin"/><Relationship Id="rId6" Type="http://schemas.openxmlformats.org/officeDocument/2006/relationships/queryTable" Target="../queryTables/queryTable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table" Target="../tables/table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tabColor theme="2" tint="-0.499984740745262"/>
  </sheetPr>
  <dimension ref="A1:T198"/>
  <sheetViews>
    <sheetView zoomScaleSheetLayoutView="100" workbookViewId="0">
      <pane xSplit="3" ySplit="2" topLeftCell="D70" activePane="bottomRight" state="frozen"/>
      <selection pane="topRight" activeCell="D1" sqref="D1"/>
      <selection pane="bottomLeft" activeCell="A3" sqref="A3"/>
      <selection pane="bottomRight" activeCell="U90" sqref="U90"/>
    </sheetView>
  </sheetViews>
  <sheetFormatPr defaultColWidth="9" defaultRowHeight="11.65" x14ac:dyDescent="0.35"/>
  <cols>
    <col min="1" max="1" width="9" style="377"/>
    <col min="2" max="2" width="8.86328125" style="83" customWidth="1"/>
    <col min="3" max="3" width="16.1328125" style="83" customWidth="1"/>
    <col min="4" max="19" width="8.86328125" style="83" customWidth="1"/>
    <col min="20" max="16384" width="9" style="377"/>
  </cols>
  <sheetData>
    <row r="1" spans="2:19" x14ac:dyDescent="0.35">
      <c r="D1" s="83" t="s">
        <v>53</v>
      </c>
      <c r="F1" s="83" t="s">
        <v>210</v>
      </c>
      <c r="G1" s="83" t="s">
        <v>53</v>
      </c>
      <c r="H1" s="83" t="s">
        <v>538</v>
      </c>
      <c r="I1" s="83" t="s">
        <v>54</v>
      </c>
      <c r="J1" s="83" t="s">
        <v>539</v>
      </c>
      <c r="K1" s="83" t="s">
        <v>333</v>
      </c>
      <c r="L1" s="83" t="s">
        <v>540</v>
      </c>
      <c r="M1" s="83" t="s">
        <v>515</v>
      </c>
      <c r="N1" s="83" t="s">
        <v>541</v>
      </c>
      <c r="O1" s="83" t="s">
        <v>223</v>
      </c>
      <c r="P1" s="83" t="s">
        <v>542</v>
      </c>
      <c r="Q1" s="83" t="s">
        <v>224</v>
      </c>
      <c r="R1" s="83" t="s">
        <v>543</v>
      </c>
      <c r="S1" s="83" t="s">
        <v>225</v>
      </c>
    </row>
    <row r="2" spans="2:19" x14ac:dyDescent="0.35">
      <c r="D2" s="83">
        <v>1</v>
      </c>
      <c r="E2" s="83">
        <v>11</v>
      </c>
      <c r="F2" s="83">
        <v>2</v>
      </c>
      <c r="G2" s="83">
        <v>22</v>
      </c>
      <c r="H2" s="83">
        <v>3</v>
      </c>
      <c r="I2" s="83">
        <v>33</v>
      </c>
      <c r="J2" s="83">
        <v>4</v>
      </c>
      <c r="K2" s="83">
        <v>44</v>
      </c>
      <c r="L2" s="83">
        <v>5</v>
      </c>
      <c r="M2" s="83">
        <v>55</v>
      </c>
      <c r="N2" s="83">
        <v>6</v>
      </c>
      <c r="O2" s="83">
        <v>66</v>
      </c>
      <c r="P2" s="83">
        <v>7</v>
      </c>
      <c r="Q2" s="83">
        <v>77</v>
      </c>
      <c r="R2" s="83">
        <v>8</v>
      </c>
      <c r="S2" s="83">
        <v>88</v>
      </c>
    </row>
    <row r="3" spans="2:19" x14ac:dyDescent="0.35">
      <c r="B3" s="83" t="str">
        <f>"'LAG Girls'!"</f>
        <v>'LAG Girls'!</v>
      </c>
      <c r="C3" s="83" t="s">
        <v>545</v>
      </c>
    </row>
    <row r="4" spans="2:19" x14ac:dyDescent="0.35">
      <c r="B4" s="83" t="s">
        <v>54</v>
      </c>
      <c r="C4" s="83" t="s">
        <v>532</v>
      </c>
      <c r="D4" s="83" t="str">
        <f ca="1">IFERROR(IF(INDIRECT(CONCATENATE($B$3,D$1,MATCH(D$2,INDIRECT(CONCATENATE($B$3,E$1,$B4,4,":",E$1,$B4,33)),0)+3))="-",D128,INDIRECT(CONCATENATE($B$3,D$1,MATCH(D$2,INDIRECT(CONCATENATE($B$3,E$1,$B4,4,":",E$1,$B4,33)),0)+3))),D128)</f>
        <v>BRIDDON Missy</v>
      </c>
      <c r="E4" s="83" t="str">
        <f ca="1">IFERROR(IF(INDIRECT(CONCATENATE($B$3,D$1,MATCH(E$2,INDIRECT(CONCATENATE($B$3,E$1,$B4,4,":",E$1,$B4,33)),0)+3))="-",E128,INDIRECT(CONCATENATE($B$3,D$1,MATCH(E$2,INDIRECT(CONCATENATE($B$3,E$1,$B4,4,":",E$1,$B4,33)),0)+3))),E128)</f>
        <v>BAINES Lily</v>
      </c>
      <c r="F4" s="83" t="str">
        <f ca="1">IFERROR(IF(INDIRECT(CONCATENATE($B$3,F$1,MATCH(F$2,INDIRECT(CONCATENATE($B$3,G$1,$B4,4,":",G$1,$B4,33)),0)+3))="-",F128,INDIRECT(CONCATENATE($B$3,F$1,MATCH(F$2,INDIRECT(CONCATENATE($B$3,G$1,$B4,4,":",G$1,$B4,33)),0)+3))),F128)</f>
        <v>MYCROFT Tilly</v>
      </c>
      <c r="G4" s="83" t="str">
        <f ca="1">IFERROR(IF(INDIRECT(CONCATENATE($B$3,F$1,MATCH(G$2,INDIRECT(CONCATENATE($B$3,G$1,$B4,4,":",G$1,$B4,33)),0)+3))="-",G128,INDIRECT(CONCATENATE($B$3,F$1,MATCH(G$2,INDIRECT(CONCATENATE($B$3,G$1,$B4,4,":",G$1,$B4,33)),0)+3))),G128)</f>
        <v>JELONKIEWICZ Viktoria</v>
      </c>
      <c r="H4" s="83" t="str">
        <f ca="1">IFERROR(IF(INDIRECT(CONCATENATE($B$3,H$1,MATCH(H$2,INDIRECT(CONCATENATE($B$3,I$1,$B4,4,":",I$1,$B4,33)),0)+3))="-",H128,INDIRECT(CONCATENATE($B$3,H$1,MATCH(H$2,INDIRECT(CONCATENATE($B$3,I$1,$B4,4,":",I$1,$B4,33)),0)+3))),H128)</f>
        <v>BROOKS Carmen</v>
      </c>
      <c r="I4" s="83" t="str">
        <f ca="1">IFERROR(IF(INDIRECT(CONCATENATE($B$3,H$1,MATCH(I$2,INDIRECT(CONCATENATE($B$3,I$1,$B4,4,":",I$1,$B4,33)),0)+3))="-",I128,INDIRECT(CONCATENATE($B$3,H$1,MATCH(I$2,INDIRECT(CONCATENATE($B$3,I$1,$B4,4,":",I$1,$B4,33)),0)+3))),I128)</f>
        <v>HICKLING Rosie</v>
      </c>
      <c r="J4" s="83" t="str">
        <f ca="1">IFERROR(IF(INDIRECT(CONCATENATE($B$3,J$1,MATCH(J$2,INDIRECT(CONCATENATE($B$3,K$1,$B4,4,":",K$1,$B4,33)),0)+3))="-",J128,INDIRECT(CONCATENATE($B$3,J$1,MATCH(J$2,INDIRECT(CONCATENATE($B$3,K$1,$B4,4,":",K$1,$B4,33)),0)+3))),J128)</f>
        <v>WYATT Martha</v>
      </c>
      <c r="K4" s="83" t="str">
        <f ca="1">IFERROR(IF(INDIRECT(CONCATENATE($B$3,J$1,MATCH(K$2,INDIRECT(CONCATENATE($B$3,K$1,$B4,4,":",K$1,$B4,33)),0)+3))="-",K128,INDIRECT(CONCATENATE($B$3,J$1,MATCH(K$2,INDIRECT(CONCATENATE($B$3,K$1,$B4,4,":",K$1,$B4,33)),0)+3))),K128)</f>
        <v>GILLIS Madelaine</v>
      </c>
      <c r="L4" s="83" t="str">
        <f ca="1">IFERROR(IF(INDIRECT(CONCATENATE($B$3,L$1,MATCH(L$2,INDIRECT(CONCATENATE($B$3,M$1,$B4,4,":",M$1,$B4,33)),0)+3))="-",L128,INDIRECT(CONCATENATE($B$3,L$1,MATCH(L$2,INDIRECT(CONCATENATE($B$3,M$1,$B4,4,":",M$1,$B4,33)),0)+3))),L128)</f>
        <v>-</v>
      </c>
      <c r="M4" s="83">
        <f ca="1">IFERROR(IF(INDIRECT(CONCATENATE($B$3,L$1,MATCH(M$2,INDIRECT(CONCATENATE($B$3,M$1,$B4,4,":",M$1,$B4,33)),0)+3))="-",M128,INDIRECT(CONCATENATE($B$3,L$1,MATCH(M$2,INDIRECT(CONCATENATE($B$3,M$1,$B4,4,":",M$1,$B4,33)),0)+3))),M128)</f>
        <v>0</v>
      </c>
      <c r="N4" s="83" t="str">
        <f ca="1">IFERROR(IF(INDIRECT(CONCATENATE($B$3,N$1,MATCH(N$2,INDIRECT(CONCATENATE($B$3,O$1,$B4,4,":",O$1,$B4,33)),0)+3))="-",N128,INDIRECT(CONCATENATE($B$3,N$1,MATCH(N$2,INDIRECT(CONCATENATE($B$3,O$1,$B4,4,":",O$1,$B4,33)),0)+3))),N128)</f>
        <v/>
      </c>
      <c r="O4" s="83" t="str">
        <f ca="1">IFERROR(IF(INDIRECT(CONCATENATE($B$3,N$1,MATCH(O$2,INDIRECT(CONCATENATE($B$3,O$1,$B4,4,":",O$1,$B4,33)),0)+3))="-",O128,INDIRECT(CONCATENATE($B$3,N$1,MATCH(O$2,INDIRECT(CONCATENATE($B$3,O$1,$B4,4,":",O$1,$B4,33)),0)+3))),O128)</f>
        <v/>
      </c>
      <c r="P4" s="83" t="str">
        <f ca="1">IFERROR(IF(INDIRECT(CONCATENATE($B$3,P$1,MATCH(P$2,INDIRECT(CONCATENATE($B$3,Q$1,$B4,4,":",Q$1,$B4,33)),0)+3))="-",P128,INDIRECT(CONCATENATE($B$3,P$1,MATCH(P$2,INDIRECT(CONCATENATE($B$3,Q$1,$B4,4,":",Q$1,$B4,33)),0)+3))),P128)</f>
        <v/>
      </c>
      <c r="Q4" s="83" t="str">
        <f ca="1">IFERROR(IF(INDIRECT(CONCATENATE($B$3,P$1,MATCH(Q$2,INDIRECT(CONCATENATE($B$3,Q$1,$B4,4,":",Q$1,$B4,33)),0)+3))="-",Q128,INDIRECT(CONCATENATE($B$3,P$1,MATCH(Q$2,INDIRECT(CONCATENATE($B$3,Q$1,$B4,4,":",Q$1,$B4,33)),0)+3))),Q128)</f>
        <v/>
      </c>
      <c r="R4" s="83" t="str">
        <f ca="1">IFERROR(IF(INDIRECT(CONCATENATE($B$3,R$1,MATCH(R$2,INDIRECT(CONCATENATE($B$3,S$1,$B4,4,":",S$1,$B4,33)),0)+3))="-",R128,INDIRECT(CONCATENATE($B$3,R$1,MATCH(R$2,INDIRECT(CONCATENATE($B$3,S$1,$B4,4,":",S$1,$B4,33)),0)+3))),R128)</f>
        <v/>
      </c>
      <c r="S4" s="83" t="str">
        <f ca="1">IFERROR(IF(INDIRECT(CONCATENATE($B$3,R$1,MATCH(S$2,INDIRECT(CONCATENATE($B$3,S$1,$B4,4,":",S$1,$B4,33)),0)+3))="-",S128,INDIRECT(CONCATENATE($B$3,R$1,MATCH(S$2,INDIRECT(CONCATENATE($B$3,S$1,$B4,4,":",S$1,$B4,33)),0)+3))),S128)</f>
        <v/>
      </c>
    </row>
    <row r="5" spans="2:19" x14ac:dyDescent="0.35">
      <c r="B5" s="83" t="s">
        <v>333</v>
      </c>
      <c r="C5" s="83" t="s">
        <v>535</v>
      </c>
      <c r="D5" s="83">
        <f t="shared" ref="D5:D22" ca="1" si="0">IFERROR(IF(INDIRECT(CONCATENATE($B$3,D$1,MATCH(D$2,INDIRECT(CONCATENATE($B$3,E$1,$B5,4,":",E$1,$B5,33)),0)+3))="-",D129,INDIRECT(CONCATENATE($B$3,D$1,MATCH(D$2,INDIRECT(CONCATENATE($B$3,E$1,$B5,4,":",E$1,$B5,33)),0)+3))),D129)</f>
        <v>0</v>
      </c>
      <c r="E5" s="83">
        <f t="shared" ref="E5:E22" ca="1" si="1">IFERROR(IF(INDIRECT(CONCATENATE($B$3,D$1,MATCH(E$2,INDIRECT(CONCATENATE($B$3,E$1,$B5,4,":",E$1,$B5,33)),0)+3))="-",E129,INDIRECT(CONCATENATE($B$3,D$1,MATCH(E$2,INDIRECT(CONCATENATE($B$3,E$1,$B5,4,":",E$1,$B5,33)),0)+3))),E129)</f>
        <v>0</v>
      </c>
      <c r="F5" s="83">
        <f t="shared" ref="F5:F22" ca="1" si="2">IFERROR(IF(INDIRECT(CONCATENATE($B$3,F$1,MATCH(F$2,INDIRECT(CONCATENATE($B$3,G$1,$B5,4,":",G$1,$B5,33)),0)+3))="-",F129,INDIRECT(CONCATENATE($B$3,F$1,MATCH(F$2,INDIRECT(CONCATENATE($B$3,G$1,$B5,4,":",G$1,$B5,33)),0)+3))),F129)</f>
        <v>0</v>
      </c>
      <c r="G5" s="83">
        <f t="shared" ref="G5:G22" ca="1" si="3">IFERROR(IF(INDIRECT(CONCATENATE($B$3,F$1,MATCH(G$2,INDIRECT(CONCATENATE($B$3,G$1,$B5,4,":",G$1,$B5,33)),0)+3))="-",G129,INDIRECT(CONCATENATE($B$3,F$1,MATCH(G$2,INDIRECT(CONCATENATE($B$3,G$1,$B5,4,":",G$1,$B5,33)),0)+3))),G129)</f>
        <v>0</v>
      </c>
      <c r="H5" s="83" t="str">
        <f t="shared" ref="H5:H22" ca="1" si="4">IFERROR(IF(INDIRECT(CONCATENATE($B$3,H$1,MATCH(H$2,INDIRECT(CONCATENATE($B$3,I$1,$B5,4,":",I$1,$B5,33)),0)+3))="-",H129,INDIRECT(CONCATENATE($B$3,H$1,MATCH(H$2,INDIRECT(CONCATENATE($B$3,I$1,$B5,4,":",I$1,$B5,33)),0)+3))),H129)</f>
        <v>HASTIE Eve</v>
      </c>
      <c r="I5" s="83" t="str">
        <f t="shared" ref="I5:I22" ca="1" si="5">IFERROR(IF(INDIRECT(CONCATENATE($B$3,H$1,MATCH(I$2,INDIRECT(CONCATENATE($B$3,I$1,$B5,4,":",I$1,$B5,33)),0)+3))="-",I129,INDIRECT(CONCATENATE($B$3,H$1,MATCH(I$2,INDIRECT(CONCATENATE($B$3,I$1,$B5,4,":",I$1,$B5,33)),0)+3))),I129)</f>
        <v>CROSBY Alice</v>
      </c>
      <c r="J5" s="83" t="str">
        <f t="shared" ref="J5:J22" ca="1" si="6">IFERROR(IF(INDIRECT(CONCATENATE($B$3,J$1,MATCH(J$2,INDIRECT(CONCATENATE($B$3,K$1,$B5,4,":",K$1,$B5,33)),0)+3))="-",J129,INDIRECT(CONCATENATE($B$3,J$1,MATCH(J$2,INDIRECT(CONCATENATE($B$3,K$1,$B5,4,":",K$1,$B5,33)),0)+3))),J129)</f>
        <v>OKEY Busonma</v>
      </c>
      <c r="K5" s="83" t="str">
        <f t="shared" ref="K5:K22" ca="1" si="7">IFERROR(IF(INDIRECT(CONCATENATE($B$3,J$1,MATCH(K$2,INDIRECT(CONCATENATE($B$3,K$1,$B5,4,":",K$1,$B5,33)),0)+3))="-",K129,INDIRECT(CONCATENATE($B$3,J$1,MATCH(K$2,INDIRECT(CONCATENATE($B$3,K$1,$B5,4,":",K$1,$B5,33)),0)+3))),K129)</f>
        <v>ROBSON Daisy</v>
      </c>
      <c r="L5" s="83">
        <f t="shared" ref="L5:L22" ca="1" si="8">IFERROR(IF(INDIRECT(CONCATENATE($B$3,L$1,MATCH(L$2,INDIRECT(CONCATENATE($B$3,M$1,$B5,4,":",M$1,$B5,33)),0)+3))="-",L129,INDIRECT(CONCATENATE($B$3,L$1,MATCH(L$2,INDIRECT(CONCATENATE($B$3,M$1,$B5,4,":",M$1,$B5,33)),0)+3))),L129)</f>
        <v>0</v>
      </c>
      <c r="M5" s="83">
        <f t="shared" ref="M5:M22" ca="1" si="9">IFERROR(IF(INDIRECT(CONCATENATE($B$3,L$1,MATCH(M$2,INDIRECT(CONCATENATE($B$3,M$1,$B5,4,":",M$1,$B5,33)),0)+3))="-",M129,INDIRECT(CONCATENATE($B$3,L$1,MATCH(M$2,INDIRECT(CONCATENATE($B$3,M$1,$B5,4,":",M$1,$B5,33)),0)+3))),M129)</f>
        <v>0</v>
      </c>
      <c r="N5" s="83" t="str">
        <f t="shared" ref="N5:N22" ca="1" si="10">IFERROR(IF(INDIRECT(CONCATENATE($B$3,N$1,MATCH(N$2,INDIRECT(CONCATENATE($B$3,O$1,$B5,4,":",O$1,$B5,33)),0)+3))="-",N129,INDIRECT(CONCATENATE($B$3,N$1,MATCH(N$2,INDIRECT(CONCATENATE($B$3,O$1,$B5,4,":",O$1,$B5,33)),0)+3))),N129)</f>
        <v/>
      </c>
      <c r="O5" s="83" t="str">
        <f t="shared" ref="O5:O22" ca="1" si="11">IFERROR(IF(INDIRECT(CONCATENATE($B$3,N$1,MATCH(O$2,INDIRECT(CONCATENATE($B$3,O$1,$B5,4,":",O$1,$B5,33)),0)+3))="-",O129,INDIRECT(CONCATENATE($B$3,N$1,MATCH(O$2,INDIRECT(CONCATENATE($B$3,O$1,$B5,4,":",O$1,$B5,33)),0)+3))),O129)</f>
        <v/>
      </c>
      <c r="P5" s="83" t="str">
        <f t="shared" ref="P5:P22" ca="1" si="12">IFERROR(IF(INDIRECT(CONCATENATE($B$3,P$1,MATCH(P$2,INDIRECT(CONCATENATE($B$3,Q$1,$B5,4,":",Q$1,$B5,33)),0)+3))="-",P129,INDIRECT(CONCATENATE($B$3,P$1,MATCH(P$2,INDIRECT(CONCATENATE($B$3,Q$1,$B5,4,":",Q$1,$B5,33)),0)+3))),P129)</f>
        <v/>
      </c>
      <c r="Q5" s="83" t="str">
        <f t="shared" ref="Q5:Q22" ca="1" si="13">IFERROR(IF(INDIRECT(CONCATENATE($B$3,P$1,MATCH(Q$2,INDIRECT(CONCATENATE($B$3,Q$1,$B5,4,":",Q$1,$B5,33)),0)+3))="-",Q129,INDIRECT(CONCATENATE($B$3,P$1,MATCH(Q$2,INDIRECT(CONCATENATE($B$3,Q$1,$B5,4,":",Q$1,$B5,33)),0)+3))),Q129)</f>
        <v/>
      </c>
      <c r="R5" s="83" t="str">
        <f t="shared" ref="R5:R22" ca="1" si="14">IFERROR(IF(INDIRECT(CONCATENATE($B$3,R$1,MATCH(R$2,INDIRECT(CONCATENATE($B$3,S$1,$B5,4,":",S$1,$B5,33)),0)+3))="-",R129,INDIRECT(CONCATENATE($B$3,R$1,MATCH(R$2,INDIRECT(CONCATENATE($B$3,S$1,$B5,4,":",S$1,$B5,33)),0)+3))),R129)</f>
        <v/>
      </c>
      <c r="S5" s="83" t="str">
        <f t="shared" ref="S5:S22" ca="1" si="15">IFERROR(IF(INDIRECT(CONCATENATE($B$3,R$1,MATCH(S$2,INDIRECT(CONCATENATE($B$3,S$1,$B5,4,":",S$1,$B5,33)),0)+3))="-",S129,INDIRECT(CONCATENATE($B$3,R$1,MATCH(S$2,INDIRECT(CONCATENATE($B$3,S$1,$B5,4,":",S$1,$B5,33)),0)+3))),S129)</f>
        <v/>
      </c>
    </row>
    <row r="6" spans="2:19" x14ac:dyDescent="0.35">
      <c r="B6" s="83" t="s">
        <v>515</v>
      </c>
      <c r="C6" s="83" t="s">
        <v>533</v>
      </c>
      <c r="D6" s="83" t="str">
        <f t="shared" ca="1" si="0"/>
        <v>BRIDDON Missy</v>
      </c>
      <c r="E6" s="83" t="str">
        <f t="shared" ca="1" si="1"/>
        <v>ROGERS Emily</v>
      </c>
      <c r="F6" s="83" t="str">
        <f t="shared" ca="1" si="2"/>
        <v>ADEBAYO Daphney</v>
      </c>
      <c r="G6" s="83" t="str">
        <f t="shared" ca="1" si="3"/>
        <v>PADDON Olivia</v>
      </c>
      <c r="H6" s="83" t="str">
        <f t="shared" ca="1" si="4"/>
        <v>HOGG Frances</v>
      </c>
      <c r="I6" s="83" t="str">
        <f t="shared" ca="1" si="5"/>
        <v>HASTIE Eve</v>
      </c>
      <c r="J6" s="83" t="str">
        <f t="shared" ca="1" si="6"/>
        <v>PYE Naiomi</v>
      </c>
      <c r="K6" s="83" t="str">
        <f t="shared" ca="1" si="7"/>
        <v>PYE Leoni</v>
      </c>
      <c r="L6" s="83" t="str">
        <f t="shared" ca="1" si="8"/>
        <v>LINGARD Alice</v>
      </c>
      <c r="M6" s="83" t="str">
        <f t="shared" ca="1" si="9"/>
        <v>-</v>
      </c>
      <c r="N6" s="83" t="str">
        <f t="shared" ca="1" si="10"/>
        <v/>
      </c>
      <c r="O6" s="83" t="str">
        <f t="shared" ca="1" si="11"/>
        <v/>
      </c>
      <c r="P6" s="83" t="str">
        <f t="shared" ca="1" si="12"/>
        <v/>
      </c>
      <c r="Q6" s="83" t="str">
        <f t="shared" ca="1" si="13"/>
        <v/>
      </c>
      <c r="R6" s="83" t="str">
        <f t="shared" ca="1" si="14"/>
        <v/>
      </c>
      <c r="S6" s="83" t="str">
        <f t="shared" ca="1" si="15"/>
        <v/>
      </c>
    </row>
    <row r="7" spans="2:19" x14ac:dyDescent="0.35">
      <c r="B7" s="83" t="s">
        <v>223</v>
      </c>
      <c r="C7" s="83" t="s">
        <v>531</v>
      </c>
      <c r="D7" s="83" t="str">
        <f t="shared" ca="1" si="0"/>
        <v>MOODY Hannah</v>
      </c>
      <c r="E7" s="83" t="str">
        <f t="shared" ca="1" si="1"/>
        <v>PROCTOR Alicia</v>
      </c>
      <c r="F7" s="83">
        <f t="shared" ca="1" si="2"/>
        <v>0</v>
      </c>
      <c r="G7" s="83">
        <f t="shared" ca="1" si="3"/>
        <v>0</v>
      </c>
      <c r="H7" s="83" t="str">
        <f t="shared" ca="1" si="4"/>
        <v>WALSH Tierney</v>
      </c>
      <c r="I7" s="83" t="str">
        <f t="shared" ca="1" si="5"/>
        <v>COURTNEY Libby</v>
      </c>
      <c r="J7" s="83" t="str">
        <f t="shared" ca="1" si="6"/>
        <v>GILLIS Madelaine</v>
      </c>
      <c r="K7" s="83" t="str">
        <f t="shared" ca="1" si="7"/>
        <v>PYE Leoni</v>
      </c>
      <c r="L7" s="83" t="str">
        <f t="shared" ca="1" si="8"/>
        <v>WRIGHT Lucy</v>
      </c>
      <c r="M7" s="83">
        <f t="shared" ca="1" si="9"/>
        <v>0</v>
      </c>
      <c r="N7" s="83" t="str">
        <f t="shared" ca="1" si="10"/>
        <v/>
      </c>
      <c r="O7" s="83" t="str">
        <f t="shared" ca="1" si="11"/>
        <v/>
      </c>
      <c r="P7" s="83" t="str">
        <f t="shared" ca="1" si="12"/>
        <v/>
      </c>
      <c r="Q7" s="83" t="str">
        <f t="shared" ca="1" si="13"/>
        <v/>
      </c>
      <c r="R7" s="83" t="str">
        <f t="shared" ca="1" si="14"/>
        <v/>
      </c>
      <c r="S7" s="83" t="str">
        <f t="shared" ca="1" si="15"/>
        <v/>
      </c>
    </row>
    <row r="8" spans="2:19" x14ac:dyDescent="0.35">
      <c r="B8" s="83" t="s">
        <v>224</v>
      </c>
      <c r="C8" s="83">
        <v>800</v>
      </c>
      <c r="D8" s="83" t="str">
        <f t="shared" ca="1" si="0"/>
        <v>PROCTOR Alicia</v>
      </c>
      <c r="E8" s="83" t="str">
        <f t="shared" ca="1" si="1"/>
        <v>DUNKLEY Autum</v>
      </c>
      <c r="F8" s="83" t="str">
        <f t="shared" ca="1" si="2"/>
        <v>EVANS Rebecca</v>
      </c>
      <c r="G8" s="83" t="str">
        <f t="shared" ca="1" si="3"/>
        <v>FLINDERS Agnes</v>
      </c>
      <c r="H8" s="83" t="str">
        <f t="shared" ca="1" si="4"/>
        <v>WALSH Tierney</v>
      </c>
      <c r="I8" s="83" t="str">
        <f t="shared" ca="1" si="5"/>
        <v>HOGG Frances</v>
      </c>
      <c r="J8" s="83" t="str">
        <f t="shared" ca="1" si="6"/>
        <v>CREASEY Lois</v>
      </c>
      <c r="K8" s="83" t="str">
        <f t="shared" ca="1" si="7"/>
        <v>LILLIE Imogen</v>
      </c>
      <c r="L8" s="83" t="str">
        <f t="shared" ca="1" si="8"/>
        <v>WRIGHT Lucy</v>
      </c>
      <c r="M8" s="83" t="str">
        <f t="shared" ca="1" si="9"/>
        <v>BETTS Demi</v>
      </c>
      <c r="N8" s="83" t="str">
        <f t="shared" ca="1" si="10"/>
        <v/>
      </c>
      <c r="O8" s="83" t="str">
        <f t="shared" ca="1" si="11"/>
        <v/>
      </c>
      <c r="P8" s="83" t="str">
        <f t="shared" ca="1" si="12"/>
        <v/>
      </c>
      <c r="Q8" s="83" t="str">
        <f t="shared" ca="1" si="13"/>
        <v/>
      </c>
      <c r="R8" s="83" t="str">
        <f t="shared" ca="1" si="14"/>
        <v/>
      </c>
      <c r="S8" s="83" t="str">
        <f t="shared" ca="1" si="15"/>
        <v/>
      </c>
    </row>
    <row r="9" spans="2:19" x14ac:dyDescent="0.35">
      <c r="B9" s="83" t="s">
        <v>225</v>
      </c>
      <c r="C9" s="83" t="s">
        <v>536</v>
      </c>
      <c r="D9" s="83">
        <f t="shared" ca="1" si="0"/>
        <v>0</v>
      </c>
      <c r="E9" s="83">
        <f t="shared" ca="1" si="1"/>
        <v>0</v>
      </c>
      <c r="F9" s="83">
        <f t="shared" ca="1" si="2"/>
        <v>0</v>
      </c>
      <c r="G9" s="83">
        <f t="shared" ca="1" si="3"/>
        <v>0</v>
      </c>
      <c r="H9" s="83" t="str">
        <f t="shared" ca="1" si="4"/>
        <v>-</v>
      </c>
      <c r="I9" s="83" t="str">
        <f t="shared" ca="1" si="5"/>
        <v>-</v>
      </c>
      <c r="J9" s="83" t="str">
        <f t="shared" ca="1" si="6"/>
        <v>-</v>
      </c>
      <c r="K9" s="83" t="str">
        <f t="shared" ca="1" si="7"/>
        <v>-</v>
      </c>
      <c r="L9" s="83">
        <f t="shared" ca="1" si="8"/>
        <v>0</v>
      </c>
      <c r="M9" s="83">
        <f t="shared" ca="1" si="9"/>
        <v>0</v>
      </c>
      <c r="N9" s="83" t="str">
        <f t="shared" ca="1" si="10"/>
        <v/>
      </c>
      <c r="O9" s="83" t="str">
        <f t="shared" ca="1" si="11"/>
        <v/>
      </c>
      <c r="P9" s="83" t="str">
        <f t="shared" ca="1" si="12"/>
        <v/>
      </c>
      <c r="Q9" s="83" t="str">
        <f t="shared" ca="1" si="13"/>
        <v/>
      </c>
      <c r="R9" s="83" t="str">
        <f t="shared" ca="1" si="14"/>
        <v/>
      </c>
      <c r="S9" s="83" t="str">
        <f t="shared" ca="1" si="15"/>
        <v/>
      </c>
    </row>
    <row r="10" spans="2:19" x14ac:dyDescent="0.35">
      <c r="B10" s="83" t="s">
        <v>226</v>
      </c>
      <c r="C10" s="83" t="s">
        <v>534</v>
      </c>
      <c r="D10" s="83" t="str">
        <f t="shared" ca="1" si="0"/>
        <v>KIRKWOOD Eva</v>
      </c>
      <c r="E10" s="83" t="str">
        <f t="shared" ca="1" si="1"/>
        <v>-</v>
      </c>
      <c r="F10" s="83">
        <f t="shared" ca="1" si="2"/>
        <v>0</v>
      </c>
      <c r="G10" s="83">
        <f t="shared" ca="1" si="3"/>
        <v>0</v>
      </c>
      <c r="H10" s="83" t="str">
        <f t="shared" ca="1" si="4"/>
        <v>GASKIN Lucy</v>
      </c>
      <c r="I10" s="83" t="str">
        <f t="shared" ca="1" si="5"/>
        <v>COURTNEY Libby</v>
      </c>
      <c r="J10" s="83" t="str">
        <f t="shared" ca="1" si="6"/>
        <v>MCNEILL Emma</v>
      </c>
      <c r="K10" s="83" t="str">
        <f t="shared" ca="1" si="7"/>
        <v>HILL Zoe</v>
      </c>
      <c r="L10" s="83" t="str">
        <f t="shared" ca="1" si="8"/>
        <v>VICKERS Cerys</v>
      </c>
      <c r="M10" s="83" t="str">
        <f t="shared" ca="1" si="9"/>
        <v>WHITTAKER Millie</v>
      </c>
      <c r="N10" s="83" t="str">
        <f t="shared" ca="1" si="10"/>
        <v/>
      </c>
      <c r="O10" s="83" t="str">
        <f t="shared" ca="1" si="11"/>
        <v/>
      </c>
      <c r="P10" s="83" t="str">
        <f t="shared" ca="1" si="12"/>
        <v/>
      </c>
      <c r="Q10" s="83" t="str">
        <f t="shared" ca="1" si="13"/>
        <v/>
      </c>
      <c r="R10" s="83" t="str">
        <f t="shared" ca="1" si="14"/>
        <v/>
      </c>
      <c r="S10" s="83" t="str">
        <f t="shared" ca="1" si="15"/>
        <v/>
      </c>
    </row>
    <row r="11" spans="2:19" x14ac:dyDescent="0.35">
      <c r="B11" s="83" t="s">
        <v>138</v>
      </c>
      <c r="C11" s="83" t="s">
        <v>526</v>
      </c>
      <c r="D11" s="83" t="str">
        <f t="shared" ca="1" si="0"/>
        <v>LABAN Ella</v>
      </c>
      <c r="E11" s="83" t="str">
        <f t="shared" ca="1" si="1"/>
        <v>ROGERS Emily</v>
      </c>
      <c r="F11" s="83" t="str">
        <f t="shared" ca="1" si="2"/>
        <v>PADDON Freya</v>
      </c>
      <c r="G11" s="83" t="str">
        <f t="shared" ca="1" si="3"/>
        <v>PADDON Olivia</v>
      </c>
      <c r="H11" s="83" t="str">
        <f t="shared" ca="1" si="4"/>
        <v>MAUDE Charlotte</v>
      </c>
      <c r="I11" s="83" t="str">
        <f t="shared" ca="1" si="5"/>
        <v>CROSSAN Lily</v>
      </c>
      <c r="J11" s="83" t="str">
        <f t="shared" ca="1" si="6"/>
        <v>-</v>
      </c>
      <c r="K11" s="83" t="str">
        <f t="shared" ca="1" si="7"/>
        <v>-</v>
      </c>
      <c r="L11" s="83" t="str">
        <f t="shared" ca="1" si="8"/>
        <v>-</v>
      </c>
      <c r="M11" s="83">
        <f t="shared" ca="1" si="9"/>
        <v>0</v>
      </c>
      <c r="N11" s="83" t="str">
        <f t="shared" ca="1" si="10"/>
        <v/>
      </c>
      <c r="O11" s="83" t="str">
        <f t="shared" ca="1" si="11"/>
        <v/>
      </c>
      <c r="P11" s="83" t="str">
        <f t="shared" ca="1" si="12"/>
        <v/>
      </c>
      <c r="Q11" s="83" t="str">
        <f t="shared" ca="1" si="13"/>
        <v/>
      </c>
      <c r="R11" s="83" t="str">
        <f t="shared" ca="1" si="14"/>
        <v/>
      </c>
      <c r="S11" s="83" t="str">
        <f t="shared" ca="1" si="15"/>
        <v/>
      </c>
    </row>
    <row r="12" spans="2:19" x14ac:dyDescent="0.35">
      <c r="B12" s="83" t="s">
        <v>219</v>
      </c>
      <c r="C12" s="83">
        <v>3000</v>
      </c>
      <c r="D12" s="83">
        <f t="shared" ca="1" si="0"/>
        <v>0</v>
      </c>
      <c r="E12" s="83">
        <f t="shared" ca="1" si="1"/>
        <v>0</v>
      </c>
      <c r="F12" s="83">
        <f t="shared" ca="1" si="2"/>
        <v>0</v>
      </c>
      <c r="G12" s="83">
        <f t="shared" ca="1" si="3"/>
        <v>0</v>
      </c>
      <c r="H12" s="83">
        <f t="shared" ca="1" si="4"/>
        <v>0</v>
      </c>
      <c r="I12" s="83">
        <f t="shared" ca="1" si="5"/>
        <v>0</v>
      </c>
      <c r="J12" s="83">
        <f t="shared" ca="1" si="6"/>
        <v>0</v>
      </c>
      <c r="K12" s="83">
        <f t="shared" ca="1" si="7"/>
        <v>0</v>
      </c>
      <c r="L12" s="83">
        <f t="shared" ca="1" si="8"/>
        <v>0</v>
      </c>
      <c r="M12" s="83">
        <f t="shared" ca="1" si="9"/>
        <v>0</v>
      </c>
      <c r="N12" s="83" t="str">
        <f t="shared" ca="1" si="10"/>
        <v/>
      </c>
      <c r="O12" s="83" t="str">
        <f t="shared" ca="1" si="11"/>
        <v/>
      </c>
      <c r="P12" s="83" t="str">
        <f t="shared" ca="1" si="12"/>
        <v/>
      </c>
      <c r="Q12" s="83" t="str">
        <f t="shared" ca="1" si="13"/>
        <v/>
      </c>
      <c r="R12" s="83" t="str">
        <f t="shared" ca="1" si="14"/>
        <v/>
      </c>
      <c r="S12" s="83" t="str">
        <f t="shared" ca="1" si="15"/>
        <v/>
      </c>
    </row>
    <row r="13" spans="2:19" x14ac:dyDescent="0.35">
      <c r="B13" s="83" t="s">
        <v>220</v>
      </c>
      <c r="C13" s="83" t="s">
        <v>525</v>
      </c>
      <c r="D13" s="83">
        <f t="shared" ca="1" si="0"/>
        <v>0</v>
      </c>
      <c r="E13" s="83">
        <f t="shared" ca="1" si="1"/>
        <v>0</v>
      </c>
      <c r="F13" s="83">
        <f t="shared" ca="1" si="2"/>
        <v>0</v>
      </c>
      <c r="G13" s="83">
        <f t="shared" ca="1" si="3"/>
        <v>0</v>
      </c>
      <c r="H13" s="83">
        <f t="shared" ca="1" si="4"/>
        <v>0</v>
      </c>
      <c r="I13" s="83">
        <f t="shared" ca="1" si="5"/>
        <v>0</v>
      </c>
      <c r="J13" s="83">
        <f t="shared" ca="1" si="6"/>
        <v>0</v>
      </c>
      <c r="K13" s="83">
        <f t="shared" ca="1" si="7"/>
        <v>0</v>
      </c>
      <c r="L13" s="83">
        <f t="shared" ca="1" si="8"/>
        <v>0</v>
      </c>
      <c r="M13" s="83">
        <f t="shared" ca="1" si="9"/>
        <v>0</v>
      </c>
      <c r="N13" s="83" t="str">
        <f t="shared" ca="1" si="10"/>
        <v/>
      </c>
      <c r="O13" s="83" t="str">
        <f t="shared" ca="1" si="11"/>
        <v/>
      </c>
      <c r="P13" s="83" t="str">
        <f t="shared" ca="1" si="12"/>
        <v/>
      </c>
      <c r="Q13" s="83" t="str">
        <f t="shared" ca="1" si="13"/>
        <v/>
      </c>
      <c r="R13" s="83" t="str">
        <f t="shared" ca="1" si="14"/>
        <v/>
      </c>
      <c r="S13" s="83" t="str">
        <f t="shared" ca="1" si="15"/>
        <v/>
      </c>
    </row>
    <row r="14" spans="2:19" x14ac:dyDescent="0.35">
      <c r="B14" s="83" t="s">
        <v>221</v>
      </c>
      <c r="C14" s="83" t="s">
        <v>527</v>
      </c>
      <c r="D14" s="83">
        <f t="shared" ca="1" si="0"/>
        <v>0</v>
      </c>
      <c r="E14" s="83">
        <f t="shared" ca="1" si="1"/>
        <v>0</v>
      </c>
      <c r="F14" s="83">
        <f t="shared" ca="1" si="2"/>
        <v>0</v>
      </c>
      <c r="G14" s="83">
        <f t="shared" ca="1" si="3"/>
        <v>0</v>
      </c>
      <c r="H14" s="83">
        <f t="shared" ca="1" si="4"/>
        <v>0</v>
      </c>
      <c r="I14" s="83">
        <f t="shared" ca="1" si="5"/>
        <v>0</v>
      </c>
      <c r="J14" s="83">
        <f t="shared" ca="1" si="6"/>
        <v>0</v>
      </c>
      <c r="K14" s="83">
        <f t="shared" ca="1" si="7"/>
        <v>0</v>
      </c>
      <c r="L14" s="83">
        <f t="shared" ca="1" si="8"/>
        <v>0</v>
      </c>
      <c r="M14" s="83">
        <f t="shared" ca="1" si="9"/>
        <v>0</v>
      </c>
      <c r="N14" s="83" t="str">
        <f t="shared" ca="1" si="10"/>
        <v/>
      </c>
      <c r="O14" s="83" t="str">
        <f t="shared" ca="1" si="11"/>
        <v/>
      </c>
      <c r="P14" s="83" t="str">
        <f t="shared" ca="1" si="12"/>
        <v/>
      </c>
      <c r="Q14" s="83" t="str">
        <f t="shared" ca="1" si="13"/>
        <v/>
      </c>
      <c r="R14" s="83" t="str">
        <f t="shared" ca="1" si="14"/>
        <v/>
      </c>
      <c r="S14" s="83" t="str">
        <f t="shared" ca="1" si="15"/>
        <v/>
      </c>
    </row>
    <row r="15" spans="2:19" x14ac:dyDescent="0.35">
      <c r="B15" s="83" t="s">
        <v>222</v>
      </c>
      <c r="C15" s="83" t="s">
        <v>25</v>
      </c>
      <c r="D15" s="83" t="str">
        <f t="shared" ca="1" si="0"/>
        <v>LABAN Ella</v>
      </c>
      <c r="E15" s="83" t="str">
        <f t="shared" ca="1" si="1"/>
        <v>HIGHAM Ruby</v>
      </c>
      <c r="F15" s="83" t="str">
        <f t="shared" ca="1" si="2"/>
        <v>KYNOCH Ella</v>
      </c>
      <c r="G15" s="83" t="str">
        <f t="shared" ca="1" si="3"/>
        <v>JELONKIEWICZ Viktoria</v>
      </c>
      <c r="H15" s="83" t="str">
        <f t="shared" ca="1" si="4"/>
        <v>BROOKS Carmen</v>
      </c>
      <c r="I15" s="83" t="str">
        <f t="shared" ca="1" si="5"/>
        <v>LEE Isabel</v>
      </c>
      <c r="J15" s="83" t="str">
        <f t="shared" ca="1" si="6"/>
        <v>DORAN Bethany</v>
      </c>
      <c r="K15" s="83" t="str">
        <f t="shared" ca="1" si="7"/>
        <v>MANNION Grace</v>
      </c>
      <c r="L15" s="83" t="str">
        <f t="shared" ca="1" si="8"/>
        <v>THIRKETTLE Charlotte</v>
      </c>
      <c r="M15" s="83" t="str">
        <f t="shared" ca="1" si="9"/>
        <v>-</v>
      </c>
      <c r="N15" s="83" t="str">
        <f t="shared" ca="1" si="10"/>
        <v/>
      </c>
      <c r="O15" s="83" t="str">
        <f t="shared" ca="1" si="11"/>
        <v/>
      </c>
      <c r="P15" s="83" t="str">
        <f t="shared" ca="1" si="12"/>
        <v/>
      </c>
      <c r="Q15" s="83" t="str">
        <f t="shared" ca="1" si="13"/>
        <v/>
      </c>
      <c r="R15" s="83" t="str">
        <f t="shared" ca="1" si="14"/>
        <v/>
      </c>
      <c r="S15" s="83" t="str">
        <f t="shared" ca="1" si="15"/>
        <v/>
      </c>
    </row>
    <row r="16" spans="2:19" x14ac:dyDescent="0.35">
      <c r="B16" s="83" t="s">
        <v>537</v>
      </c>
      <c r="C16" s="83" t="s">
        <v>21</v>
      </c>
      <c r="D16" s="83" t="str">
        <f t="shared" ca="1" si="0"/>
        <v>LABAN Ella</v>
      </c>
      <c r="E16" s="83" t="str">
        <f t="shared" ca="1" si="1"/>
        <v>HIGHAM Ruby</v>
      </c>
      <c r="F16" s="83" t="str">
        <f t="shared" ca="1" si="2"/>
        <v>KYNOCH Ella</v>
      </c>
      <c r="G16" s="83" t="str">
        <f t="shared" ca="1" si="3"/>
        <v>PADDON Freya</v>
      </c>
      <c r="H16" s="83" t="str">
        <f t="shared" ca="1" si="4"/>
        <v>-</v>
      </c>
      <c r="I16" s="83" t="str">
        <f t="shared" ca="1" si="5"/>
        <v>-</v>
      </c>
      <c r="J16" s="83" t="str">
        <f t="shared" ca="1" si="6"/>
        <v>-</v>
      </c>
      <c r="K16" s="83" t="str">
        <f t="shared" ca="1" si="7"/>
        <v>-</v>
      </c>
      <c r="L16" s="83" t="str">
        <f t="shared" ca="1" si="8"/>
        <v>LOVE Katie</v>
      </c>
      <c r="M16" s="83" t="str">
        <f t="shared" ca="1" si="9"/>
        <v>BETTS Demi</v>
      </c>
      <c r="N16" s="83" t="str">
        <f t="shared" ca="1" si="10"/>
        <v/>
      </c>
      <c r="O16" s="83" t="str">
        <f t="shared" ca="1" si="11"/>
        <v/>
      </c>
      <c r="P16" s="83" t="str">
        <f t="shared" ca="1" si="12"/>
        <v/>
      </c>
      <c r="Q16" s="83" t="str">
        <f t="shared" ca="1" si="13"/>
        <v/>
      </c>
      <c r="R16" s="83" t="str">
        <f t="shared" ca="1" si="14"/>
        <v/>
      </c>
      <c r="S16" s="83" t="str">
        <f t="shared" ca="1" si="15"/>
        <v/>
      </c>
    </row>
    <row r="17" spans="2:19" x14ac:dyDescent="0.35">
      <c r="B17" s="83" t="s">
        <v>216</v>
      </c>
      <c r="C17" s="83" t="s">
        <v>28</v>
      </c>
      <c r="D17" s="83" t="str">
        <f t="shared" ca="1" si="0"/>
        <v>BAINES Lily</v>
      </c>
      <c r="E17" s="83" t="str">
        <f t="shared" ca="1" si="1"/>
        <v>KIRKWOOD Eva</v>
      </c>
      <c r="F17" s="83" t="str">
        <f t="shared" ca="1" si="2"/>
        <v>PADDON Freya</v>
      </c>
      <c r="G17" s="83" t="str">
        <f t="shared" ca="1" si="3"/>
        <v>PADDON Olivia</v>
      </c>
      <c r="H17" s="83" t="str">
        <f t="shared" ca="1" si="4"/>
        <v>CROSBY Alice</v>
      </c>
      <c r="I17" s="83" t="str">
        <f t="shared" ca="1" si="5"/>
        <v>HICKLING Rosie</v>
      </c>
      <c r="J17" s="83" t="str">
        <f t="shared" ca="1" si="6"/>
        <v>DORAN Bethany</v>
      </c>
      <c r="K17" s="83" t="str">
        <f t="shared" ca="1" si="7"/>
        <v>SULLOCK Amy</v>
      </c>
      <c r="L17" s="83" t="str">
        <f t="shared" ca="1" si="8"/>
        <v>BETTS Demi</v>
      </c>
      <c r="M17" s="83" t="str">
        <f t="shared" ca="1" si="9"/>
        <v>-</v>
      </c>
      <c r="N17" s="83" t="str">
        <f t="shared" ca="1" si="10"/>
        <v/>
      </c>
      <c r="O17" s="83" t="str">
        <f t="shared" ca="1" si="11"/>
        <v/>
      </c>
      <c r="P17" s="83" t="str">
        <f t="shared" ca="1" si="12"/>
        <v/>
      </c>
      <c r="Q17" s="83" t="str">
        <f t="shared" ca="1" si="13"/>
        <v/>
      </c>
      <c r="R17" s="83" t="str">
        <f t="shared" ca="1" si="14"/>
        <v/>
      </c>
      <c r="S17" s="83" t="str">
        <f t="shared" ca="1" si="15"/>
        <v/>
      </c>
    </row>
    <row r="18" spans="2:19" x14ac:dyDescent="0.35">
      <c r="B18" s="83" t="s">
        <v>217</v>
      </c>
      <c r="C18" s="83" t="s">
        <v>24</v>
      </c>
      <c r="D18" s="83" t="str">
        <f t="shared" ca="1" si="0"/>
        <v>HIGHAM Ruby</v>
      </c>
      <c r="E18" s="83" t="str">
        <f t="shared" ca="1" si="1"/>
        <v>BAINES Lily</v>
      </c>
      <c r="F18" s="83" t="str">
        <f t="shared" ca="1" si="2"/>
        <v>ADEBAYO Daphney</v>
      </c>
      <c r="G18" s="83" t="str">
        <f t="shared" ca="1" si="3"/>
        <v>KYNOCH Ella</v>
      </c>
      <c r="H18" s="83" t="str">
        <f t="shared" ca="1" si="4"/>
        <v>BROOKS Carmen</v>
      </c>
      <c r="I18" s="83" t="str">
        <f t="shared" ca="1" si="5"/>
        <v>LEE Isabel</v>
      </c>
      <c r="J18" s="83" t="str">
        <f t="shared" ca="1" si="6"/>
        <v>DORAN Bethany</v>
      </c>
      <c r="K18" s="83" t="str">
        <f t="shared" ca="1" si="7"/>
        <v>-</v>
      </c>
      <c r="L18" s="83" t="str">
        <f t="shared" ca="1" si="8"/>
        <v>THIRKETTLE Charlotte</v>
      </c>
      <c r="M18" s="83" t="str">
        <f t="shared" ca="1" si="9"/>
        <v>VICKERS Cerys</v>
      </c>
      <c r="N18" s="83" t="str">
        <f t="shared" ca="1" si="10"/>
        <v/>
      </c>
      <c r="O18" s="83" t="str">
        <f t="shared" ca="1" si="11"/>
        <v/>
      </c>
      <c r="P18" s="83" t="str">
        <f t="shared" ca="1" si="12"/>
        <v/>
      </c>
      <c r="Q18" s="83" t="str">
        <f t="shared" ca="1" si="13"/>
        <v/>
      </c>
      <c r="R18" s="83" t="str">
        <f t="shared" ca="1" si="14"/>
        <v/>
      </c>
      <c r="S18" s="83" t="str">
        <f t="shared" ca="1" si="15"/>
        <v/>
      </c>
    </row>
    <row r="19" spans="2:19" x14ac:dyDescent="0.35">
      <c r="B19" s="83" t="s">
        <v>142</v>
      </c>
      <c r="C19" s="83" t="s">
        <v>22</v>
      </c>
      <c r="D19" s="83" t="str">
        <f t="shared" ca="1" si="0"/>
        <v>BRIDDON Missy</v>
      </c>
      <c r="E19" s="83" t="str">
        <f t="shared" ca="1" si="1"/>
        <v>ROGERS Emily</v>
      </c>
      <c r="F19" s="83" t="str">
        <f t="shared" ca="1" si="2"/>
        <v>MYCROFT Tilly</v>
      </c>
      <c r="G19" s="83" t="str">
        <f t="shared" ca="1" si="3"/>
        <v>ADEBAYO Daphney</v>
      </c>
      <c r="H19" s="83" t="str">
        <f t="shared" ca="1" si="4"/>
        <v>HASTIE Eve</v>
      </c>
      <c r="I19" s="83" t="str">
        <f t="shared" ca="1" si="5"/>
        <v>MAUDE Charlotte</v>
      </c>
      <c r="J19" s="83" t="str">
        <f t="shared" ca="1" si="6"/>
        <v>PYE Naiomi</v>
      </c>
      <c r="K19" s="83" t="str">
        <f t="shared" ca="1" si="7"/>
        <v>MANNION Grace</v>
      </c>
      <c r="L19" s="83" t="str">
        <f t="shared" ca="1" si="8"/>
        <v>LINGARD Alice</v>
      </c>
      <c r="M19" s="83" t="str">
        <f t="shared" ca="1" si="9"/>
        <v>WHITTAKER Millie</v>
      </c>
      <c r="N19" s="83" t="str">
        <f t="shared" ca="1" si="10"/>
        <v/>
      </c>
      <c r="O19" s="83" t="str">
        <f t="shared" ca="1" si="11"/>
        <v/>
      </c>
      <c r="P19" s="83" t="str">
        <f t="shared" ca="1" si="12"/>
        <v/>
      </c>
      <c r="Q19" s="83" t="str">
        <f t="shared" ca="1" si="13"/>
        <v/>
      </c>
      <c r="R19" s="83" t="str">
        <f t="shared" ca="1" si="14"/>
        <v/>
      </c>
      <c r="S19" s="83" t="str">
        <f t="shared" ca="1" si="15"/>
        <v/>
      </c>
    </row>
    <row r="20" spans="2:19" x14ac:dyDescent="0.35">
      <c r="B20" s="83" t="s">
        <v>218</v>
      </c>
      <c r="C20" s="83" t="s">
        <v>31</v>
      </c>
      <c r="D20" s="83">
        <f t="shared" ca="1" si="0"/>
        <v>0</v>
      </c>
      <c r="E20" s="83">
        <f t="shared" ca="1" si="1"/>
        <v>0</v>
      </c>
      <c r="F20" s="83">
        <f t="shared" ca="1" si="2"/>
        <v>0</v>
      </c>
      <c r="G20" s="83">
        <f t="shared" ca="1" si="3"/>
        <v>0</v>
      </c>
      <c r="H20" s="83">
        <f t="shared" ca="1" si="4"/>
        <v>0</v>
      </c>
      <c r="I20" s="83">
        <f t="shared" ca="1" si="5"/>
        <v>0</v>
      </c>
      <c r="J20" s="83">
        <f t="shared" ca="1" si="6"/>
        <v>0</v>
      </c>
      <c r="K20" s="83">
        <f t="shared" ca="1" si="7"/>
        <v>0</v>
      </c>
      <c r="L20" s="83">
        <f t="shared" ca="1" si="8"/>
        <v>0</v>
      </c>
      <c r="M20" s="83">
        <f t="shared" ca="1" si="9"/>
        <v>0</v>
      </c>
      <c r="N20" s="83" t="str">
        <f t="shared" ca="1" si="10"/>
        <v/>
      </c>
      <c r="O20" s="83" t="str">
        <f t="shared" ca="1" si="11"/>
        <v/>
      </c>
      <c r="P20" s="83" t="str">
        <f t="shared" ca="1" si="12"/>
        <v/>
      </c>
      <c r="Q20" s="83" t="str">
        <f t="shared" ca="1" si="13"/>
        <v/>
      </c>
      <c r="R20" s="83" t="str">
        <f t="shared" ca="1" si="14"/>
        <v/>
      </c>
      <c r="S20" s="83" t="str">
        <f t="shared" ca="1" si="15"/>
        <v/>
      </c>
    </row>
    <row r="21" spans="2:19" x14ac:dyDescent="0.35">
      <c r="B21" s="83" t="s">
        <v>334</v>
      </c>
      <c r="C21" s="83" t="s">
        <v>23</v>
      </c>
      <c r="D21" s="83" t="str">
        <f t="shared" ca="1" si="0"/>
        <v>MOODY Hannah</v>
      </c>
      <c r="E21" s="83" t="str">
        <f t="shared" ca="1" si="1"/>
        <v>KIRKWOOD Eva</v>
      </c>
      <c r="F21" s="83" t="str">
        <f t="shared" ca="1" si="2"/>
        <v>WOODHOUSE Polly</v>
      </c>
      <c r="G21" s="83" t="str">
        <f t="shared" ca="1" si="3"/>
        <v>MYCROFT Tilly</v>
      </c>
      <c r="H21" s="83" t="str">
        <f t="shared" ca="1" si="4"/>
        <v>HOGG Frances</v>
      </c>
      <c r="I21" s="83" t="str">
        <f t="shared" ca="1" si="5"/>
        <v>TWEDDLE Bella</v>
      </c>
      <c r="J21" s="83" t="str">
        <f t="shared" ca="1" si="6"/>
        <v>MANNION Grace</v>
      </c>
      <c r="K21" s="83" t="str">
        <f t="shared" ca="1" si="7"/>
        <v>-</v>
      </c>
      <c r="L21" s="83">
        <f t="shared" ca="1" si="8"/>
        <v>0</v>
      </c>
      <c r="M21" s="83">
        <f t="shared" ca="1" si="9"/>
        <v>0</v>
      </c>
      <c r="N21" s="83" t="str">
        <f t="shared" ca="1" si="10"/>
        <v/>
      </c>
      <c r="O21" s="83" t="str">
        <f t="shared" ca="1" si="11"/>
        <v/>
      </c>
      <c r="P21" s="83" t="str">
        <f t="shared" ca="1" si="12"/>
        <v/>
      </c>
      <c r="Q21" s="83" t="str">
        <f t="shared" ca="1" si="13"/>
        <v/>
      </c>
      <c r="R21" s="83" t="str">
        <f t="shared" ca="1" si="14"/>
        <v/>
      </c>
      <c r="S21" s="83" t="str">
        <f t="shared" ca="1" si="15"/>
        <v/>
      </c>
    </row>
    <row r="22" spans="2:19" x14ac:dyDescent="0.35">
      <c r="B22" s="83" t="s">
        <v>212</v>
      </c>
      <c r="C22" s="83" t="s">
        <v>27</v>
      </c>
      <c r="D22" s="83" t="str">
        <f t="shared" ca="1" si="0"/>
        <v>MOODY Hannah</v>
      </c>
      <c r="E22" s="83" t="str">
        <f t="shared" ca="1" si="1"/>
        <v>PROCTOR Alicia</v>
      </c>
      <c r="F22" s="83">
        <f t="shared" ca="1" si="2"/>
        <v>0</v>
      </c>
      <c r="G22" s="83">
        <f t="shared" ca="1" si="3"/>
        <v>0</v>
      </c>
      <c r="H22" s="83" t="str">
        <f t="shared" ca="1" si="4"/>
        <v>CROSBY Alice</v>
      </c>
      <c r="I22" s="83" t="str">
        <f t="shared" ca="1" si="5"/>
        <v>LEE Isabel</v>
      </c>
      <c r="J22" s="83" t="str">
        <f t="shared" ca="1" si="6"/>
        <v>-</v>
      </c>
      <c r="K22" s="83" t="str">
        <f t="shared" ca="1" si="7"/>
        <v>-</v>
      </c>
      <c r="L22" s="83">
        <f t="shared" ca="1" si="8"/>
        <v>0</v>
      </c>
      <c r="M22" s="83">
        <f t="shared" ca="1" si="9"/>
        <v>0</v>
      </c>
      <c r="N22" s="83" t="str">
        <f t="shared" ca="1" si="10"/>
        <v/>
      </c>
      <c r="O22" s="83" t="str">
        <f t="shared" ca="1" si="11"/>
        <v/>
      </c>
      <c r="P22" s="83" t="str">
        <f t="shared" ca="1" si="12"/>
        <v/>
      </c>
      <c r="Q22" s="83" t="str">
        <f t="shared" ca="1" si="13"/>
        <v/>
      </c>
      <c r="R22" s="83" t="str">
        <f t="shared" ca="1" si="14"/>
        <v/>
      </c>
      <c r="S22" s="83" t="str">
        <f t="shared" ca="1" si="15"/>
        <v/>
      </c>
    </row>
    <row r="23" spans="2:19" x14ac:dyDescent="0.35">
      <c r="B23" s="83" t="s">
        <v>213</v>
      </c>
      <c r="C23" s="83" t="s">
        <v>529</v>
      </c>
      <c r="D23" s="83" t="str">
        <f ca="1">IFERROR(IF(INDIRECT(CONCATENATE($B$3,D$1,MATCH($D$2,INDIRECT(CONCATENATE($B$3,E$1,$B23,4,":",E$1,$B23,33)),0)+3))="-",D147,INDIRECT(CONCATENATE($B$3,D$1,MATCH($D$2,INDIRECT(CONCATENATE($B$3,E$1,$B23,4,":",E$1,$B23,33)),0)+3))),D147)</f>
        <v>BAINES Lily</v>
      </c>
      <c r="E23" s="83" t="str">
        <f ca="1">IFERROR(IF(INDIRECT(CONCATENATE($B$3,D$1,MATCH($F$2,INDIRECT(CONCATENATE($B$3,E$1,$B23,4,":",E$1,$B23,33)),0)+3))="-",E147,INDIRECT(CONCATENATE($B$3,D$1,MATCH($F$2,INDIRECT(CONCATENATE($B$3,E$1,$B23,4,":",E$1,$B23,33)),0)+3))),E147)</f>
        <v>KIRKWOOD Eva</v>
      </c>
      <c r="F23" s="83" t="str">
        <f ca="1">IFERROR(IF(INDIRECT(CONCATENATE($B$3,F$1,MATCH($D$2,INDIRECT(CONCATENATE($B$3,G$1,$B23,4,":",G$1,$B23,33)),0)+3))="-",F147,INDIRECT(CONCATENATE($B$3,F$1,MATCH($D$2,INDIRECT(CONCATENATE($B$3,G$1,$B23,4,":",G$1,$B23,33)),0)+3))),F147)</f>
        <v>PADDON Olivia</v>
      </c>
      <c r="G23" s="83" t="str">
        <f ca="1">IFERROR(IF(INDIRECT(CONCATENATE($B$3,F$1,MATCH($F$2,INDIRECT(CONCATENATE($B$3,G$1,$B23,4,":",G$1,$B23,33)),0)+3))="-",G147,INDIRECT(CONCATENATE($B$3,F$1,MATCH($F$2,INDIRECT(CONCATENATE($B$3,G$1,$B23,4,":",G$1,$B23,33)),0)+3))),G147)</f>
        <v>PADDON Freya</v>
      </c>
      <c r="H23" s="83" t="str">
        <f ca="1">IFERROR(IF(INDIRECT(CONCATENATE($B$3,H$1,MATCH($D$2,INDIRECT(CONCATENATE($B$3,I$1,$B23,4,":",I$1,$B23,33)),0)+3))="-",H147,INDIRECT(CONCATENATE($B$3,H$1,MATCH($D$2,INDIRECT(CONCATENATE($B$3,I$1,$B23,4,":",I$1,$B23,33)),0)+3))),H147)</f>
        <v>HOGG Frances</v>
      </c>
      <c r="I23" s="83" t="str">
        <f ca="1">IFERROR(IF(INDIRECT(CONCATENATE($B$3,H$1,MATCH($F$2,INDIRECT(CONCATENATE($B$3,I$1,$B23,4,":",I$1,$B23,33)),0)+3))="-",I147,INDIRECT(CONCATENATE($B$3,H$1,MATCH($F$2,INDIRECT(CONCATENATE($B$3,I$1,$B23,4,":",I$1,$B23,33)),0)+3))),I147)</f>
        <v>MAUDE Charlotte</v>
      </c>
      <c r="J23" s="83" t="str">
        <f ca="1">IFERROR(IF(INDIRECT(CONCATENATE($B$3,J$1,MATCH($D$2,INDIRECT(CONCATENATE($B$3,K$1,$B23,4,":",K$1,$B23,33)),0)+3))="-",J147,INDIRECT(CONCATENATE($B$3,J$1,MATCH($D$2,INDIRECT(CONCATENATE($B$3,K$1,$B23,4,":",K$1,$B23,33)),0)+3))),J147)</f>
        <v>OKEY Busonma</v>
      </c>
      <c r="K23" s="83" t="str">
        <f ca="1">IFERROR(IF(INDIRECT(CONCATENATE($B$3,J$1,MATCH($F$2,INDIRECT(CONCATENATE($B$3,K$1,$B23,4,":",K$1,$B23,33)),0)+3))="-",K147,INDIRECT(CONCATENATE($B$3,J$1,MATCH($F$2,INDIRECT(CONCATENATE($B$3,K$1,$B23,4,":",K$1,$B23,33)),0)+3))),K147)</f>
        <v>ROBSON Daisy</v>
      </c>
      <c r="L23" s="83" t="str">
        <f ca="1">IFERROR(IF(INDIRECT(CONCATENATE($B$3,L$1,MATCH($D$2,INDIRECT(CONCATENATE($B$3,M$1,$B23,4,":",M$1,$B23,33)),0)+3))="-",L147,INDIRECT(CONCATENATE($B$3,L$1,MATCH($D$2,INDIRECT(CONCATENATE($B$3,M$1,$B23,4,":",M$1,$B23,33)),0)+3))),L147)</f>
        <v>VICKERS Cerys</v>
      </c>
      <c r="M23" s="83" t="str">
        <f ca="1">IFERROR(IF(INDIRECT(CONCATENATE($B$3,L$1,MATCH($F$2,INDIRECT(CONCATENATE($B$3,M$1,$B23,4,":",M$1,$B23,33)),0)+3))="-",M147,INDIRECT(CONCATENATE($B$3,L$1,MATCH($F$2,INDIRECT(CONCATENATE($B$3,M$1,$B23,4,":",M$1,$B23,33)),0)+3))),M147)</f>
        <v>WRIGHT Lucy</v>
      </c>
      <c r="N23" s="83" t="str">
        <f ca="1">IFERROR(IF(INDIRECT(CONCATENATE($B$3,N$1,MATCH($D$2,INDIRECT(CONCATENATE($B$3,O$1,$B23,4,":",O$1,$B23,33)),0)+3))="-",N147,INDIRECT(CONCATENATE($B$3,N$1,MATCH($D$2,INDIRECT(CONCATENATE($B$3,O$1,$B23,4,":",O$1,$B23,33)),0)+3))),N147)</f>
        <v/>
      </c>
      <c r="O23" s="83" t="str">
        <f ca="1">IFERROR(IF(INDIRECT(CONCATENATE($B$3,N$1,MATCH($F$2,INDIRECT(CONCATENATE($B$3,O$1,$B23,4,":",O$1,$B23,33)),0)+3))="-",O147,INDIRECT(CONCATENATE($B$3,N$1,MATCH($F$2,INDIRECT(CONCATENATE($B$3,O$1,$B23,4,":",O$1,$B23,33)),0)+3))),O147)</f>
        <v/>
      </c>
      <c r="P23" s="83" t="str">
        <f ca="1">IFERROR(IF(INDIRECT(CONCATENATE($B$3,P$1,MATCH($D$2,INDIRECT(CONCATENATE($B$3,Q$1,$B23,4,":",Q$1,$B23,33)),0)+3))="-",P147,INDIRECT(CONCATENATE($B$3,P$1,MATCH($D$2,INDIRECT(CONCATENATE($B$3,Q$1,$B23,4,":",Q$1,$B23,33)),0)+3))),P147)</f>
        <v/>
      </c>
      <c r="Q23" s="83" t="str">
        <f ca="1">IFERROR(IF(INDIRECT(CONCATENATE($B$3,P$1,MATCH($F$2,INDIRECT(CONCATENATE($B$3,Q$1,$B23,4,":",Q$1,$B23,33)),0)+3))="-",Q147,INDIRECT(CONCATENATE($B$3,P$1,MATCH($F$2,INDIRECT(CONCATENATE($B$3,Q$1,$B23,4,":",Q$1,$B23,33)),0)+3))),Q147)</f>
        <v/>
      </c>
      <c r="R23" s="83" t="str">
        <f ca="1">IFERROR(IF(INDIRECT(CONCATENATE($B$3,R$1,MATCH($D$2,INDIRECT(CONCATENATE($B$3,S$1,$B23,4,":",S$1,$B23,33)),0)+3))="-",R147,INDIRECT(CONCATENATE($B$3,R$1,MATCH($D$2,INDIRECT(CONCATENATE($B$3,S$1,$B23,4,":",S$1,$B23,33)),0)+3))),R147)</f>
        <v/>
      </c>
      <c r="S23" s="83" t="str">
        <f ca="1">IFERROR(IF(INDIRECT(CONCATENATE($B$3,R$1,MATCH($F$2,INDIRECT(CONCATENATE($B$3,S$1,$B23,4,":",S$1,$B23,33)),0)+3))="-",S147,INDIRECT(CONCATENATE($B$3,R$1,MATCH($F$2,INDIRECT(CONCATENATE($B$3,S$1,$B23,4,":",S$1,$B23,33)),0)+3))),S147)</f>
        <v/>
      </c>
    </row>
    <row r="24" spans="2:19" x14ac:dyDescent="0.35">
      <c r="B24" s="83" t="s">
        <v>213</v>
      </c>
      <c r="C24" s="83" t="s">
        <v>529</v>
      </c>
      <c r="D24" s="83" t="str">
        <f ca="1">IFERROR(IF(INDIRECT(CONCATENATE($B$3,D$1,MATCH($H$2,INDIRECT(CONCATENATE($B$3,E$1,$B24,4,":",E$1,$B24,33)),0)+3))="-",D148,INDIRECT(CONCATENATE($B$3,D$1,MATCH($H$2,INDIRECT(CONCATENATE($B$3,E$1,$B24,4,":",E$1,$B24,33)),0)+3))),D148)</f>
        <v>DUNKLEY Autum</v>
      </c>
      <c r="E24" s="83" t="str">
        <f ca="1">IFERROR(IF(INDIRECT(CONCATENATE($B$3,D$1,MATCH($J$2,INDIRECT(CONCATENATE($B$3,E$1,$B24,4,":",E$1,$B24,33)),0)+3))="-",E148,INDIRECT(CONCATENATE($B$3,D$1,MATCH($J$2,INDIRECT(CONCATENATE($B$3,E$1,$B24,4,":",E$1,$B24,33)),0)+3))),E148)</f>
        <v>BRIDDON Missy</v>
      </c>
      <c r="F24" s="83" t="str">
        <f ca="1">IFERROR(IF(INDIRECT(CONCATENATE($B$3,F$1,MATCH($H$2,INDIRECT(CONCATENATE($B$3,G$1,$B24,4,":",G$1,$B24,33)),0)+3))="-",F148,INDIRECT(CONCATENATE($B$3,F$1,MATCH($H$2,INDIRECT(CONCATENATE($B$3,G$1,$B24,4,":",G$1,$B24,33)),0)+3))),F148)</f>
        <v>ADEBAYO Daphney</v>
      </c>
      <c r="G24" s="83" t="str">
        <f ca="1">IFERROR(IF(INDIRECT(CONCATENATE($B$3,F$1,MATCH($J$2,INDIRECT(CONCATENATE($B$3,G$1,$B24,4,":",G$1,$B24,33)),0)+3))="-",G148,INDIRECT(CONCATENATE($B$3,F$1,MATCH($J$2,INDIRECT(CONCATENATE($B$3,G$1,$B24,4,":",G$1,$B24,33)),0)+3))),G148)</f>
        <v>JELONKIEWICZ Viktoria</v>
      </c>
      <c r="H24" s="83" t="str">
        <f ca="1">IFERROR(IF(INDIRECT(CONCATENATE($B$3,H$1,MATCH($H$2,INDIRECT(CONCATENATE($B$3,I$1,$B24,4,":",I$1,$B24,33)),0)+3))="-",H148,INDIRECT(CONCATENATE($B$3,H$1,MATCH($H$2,INDIRECT(CONCATENATE($B$3,I$1,$B24,4,":",I$1,$B24,33)),0)+3))),H148)</f>
        <v>HASTIE Eve</v>
      </c>
      <c r="I24" s="83" t="str">
        <f ca="1">IFERROR(IF(INDIRECT(CONCATENATE($B$3,H$1,MATCH($J$2,INDIRECT(CONCATENATE($B$3,I$1,$B24,4,":",I$1,$B24,33)),0)+3))="-",I148,INDIRECT(CONCATENATE($B$3,H$1,MATCH($J$2,INDIRECT(CONCATENATE($B$3,I$1,$B24,4,":",I$1,$B24,33)),0)+3))),I148)</f>
        <v>HICKLING Rosie</v>
      </c>
      <c r="J24" s="83" t="str">
        <f ca="1">IFERROR(IF(INDIRECT(CONCATENATE($B$3,J$1,MATCH($H$2,INDIRECT(CONCATENATE($B$3,K$1,$B24,4,":",K$1,$B24,33)),0)+3))="-",J148,INDIRECT(CONCATENATE($B$3,J$1,MATCH($H$2,INDIRECT(CONCATENATE($B$3,K$1,$B24,4,":",K$1,$B24,33)),0)+3))),J148)</f>
        <v>PYE Naiomi</v>
      </c>
      <c r="K24" s="83" t="str">
        <f ca="1">IFERROR(IF(INDIRECT(CONCATENATE($B$3,J$1,MATCH($J$2,INDIRECT(CONCATENATE($B$3,K$1,$B24,4,":",K$1,$B24,33)),0)+3))="-",K148,INDIRECT(CONCATENATE($B$3,J$1,MATCH($J$2,INDIRECT(CONCATENATE($B$3,K$1,$B24,4,":",K$1,$B24,33)),0)+3))),K148)</f>
        <v>WYATT Martha</v>
      </c>
      <c r="L24" s="83" t="str">
        <f ca="1">IFERROR(IF(INDIRECT(CONCATENATE($B$3,L$1,MATCH($H$2,INDIRECT(CONCATENATE($B$3,M$1,$B24,4,":",M$1,$B24,33)),0)+3))="-",L148,INDIRECT(CONCATENATE($B$3,L$1,MATCH($H$2,INDIRECT(CONCATENATE($B$3,M$1,$B24,4,":",M$1,$B24,33)),0)+3))),L148)</f>
        <v>WHITTAKER Millie</v>
      </c>
      <c r="M24" s="83" t="str">
        <f ca="1">IFERROR(IF(INDIRECT(CONCATENATE($B$3,L$1,MATCH($J$2,INDIRECT(CONCATENATE($B$3,M$1,$B24,4,":",M$1,$B24,33)),0)+3))="-",M148,INDIRECT(CONCATENATE($B$3,L$1,MATCH($J$2,INDIRECT(CONCATENATE($B$3,M$1,$B24,4,":",M$1,$B24,33)),0)+3))),M148)</f>
        <v>BETTS Demi</v>
      </c>
      <c r="N24" s="83" t="str">
        <f ca="1">IFERROR(IF(INDIRECT(CONCATENATE($B$3,N$1,MATCH($H$2,INDIRECT(CONCATENATE($B$3,O$1,$B24,4,":",O$1,$B24,33)),0)+3))="-",N148,INDIRECT(CONCATENATE($B$3,N$1,MATCH($H$2,INDIRECT(CONCATENATE($B$3,O$1,$B24,4,":",O$1,$B24,33)),0)+3))),N148)</f>
        <v/>
      </c>
      <c r="O24" s="83" t="str">
        <f ca="1">IFERROR(IF(INDIRECT(CONCATENATE($B$3,N$1,MATCH($J$2,INDIRECT(CONCATENATE($B$3,O$1,$B24,4,":",O$1,$B24,33)),0)+3))="-",O148,INDIRECT(CONCATENATE($B$3,N$1,MATCH($J$2,INDIRECT(CONCATENATE($B$3,O$1,$B24,4,":",O$1,$B24,33)),0)+3))),O148)</f>
        <v/>
      </c>
      <c r="P24" s="83" t="str">
        <f ca="1">IFERROR(IF(INDIRECT(CONCATENATE($B$3,P$1,MATCH($H$2,INDIRECT(CONCATENATE($B$3,Q$1,$B24,4,":",Q$1,$B24,33)),0)+3))="-",P148,INDIRECT(CONCATENATE($B$3,P$1,MATCH($H$2,INDIRECT(CONCATENATE($B$3,Q$1,$B24,4,":",Q$1,$B24,33)),0)+3))),P148)</f>
        <v/>
      </c>
      <c r="Q24" s="83" t="str">
        <f ca="1">IFERROR(IF(INDIRECT(CONCATENATE($B$3,P$1,MATCH($J$2,INDIRECT(CONCATENATE($B$3,Q$1,$B24,4,":",Q$1,$B24,33)),0)+3))="-",Q148,INDIRECT(CONCATENATE($B$3,P$1,MATCH($J$2,INDIRECT(CONCATENATE($B$3,Q$1,$B24,4,":",Q$1,$B24,33)),0)+3))),Q148)</f>
        <v/>
      </c>
      <c r="R24" s="83" t="str">
        <f ca="1">IFERROR(IF(INDIRECT(CONCATENATE($B$3,R$1,MATCH($H$2,INDIRECT(CONCATENATE($B$3,S$1,$B24,4,":",S$1,$B24,33)),0)+3))="-",R148,INDIRECT(CONCATENATE($B$3,R$1,MATCH($H$2,INDIRECT(CONCATENATE($B$3,S$1,$B24,4,":",S$1,$B24,33)),0)+3))),R148)</f>
        <v/>
      </c>
      <c r="S24" s="83" t="str">
        <f ca="1">IFERROR(IF(INDIRECT(CONCATENATE($B$3,R$1,MATCH($J$2,INDIRECT(CONCATENATE($B$3,S$1,$B24,4,":",S$1,$B24,33)),0)+3))="-",S148,INDIRECT(CONCATENATE($B$3,R$1,MATCH($J$2,INDIRECT(CONCATENATE($B$3,S$1,$B24,4,":",S$1,$B24,33)),0)+3))),S148)</f>
        <v/>
      </c>
    </row>
    <row r="25" spans="2:19" x14ac:dyDescent="0.35">
      <c r="B25" s="83" t="s">
        <v>214</v>
      </c>
      <c r="C25" s="83" t="s">
        <v>530</v>
      </c>
      <c r="D25" s="83" t="str">
        <f ca="1">IFERROR(IF(INDIRECT(CONCATENATE($B$3,D$1,MATCH($D$2,INDIRECT(CONCATENATE($B$3,E$1,$B25,4,":",E$1,$B25,33)),0)+3))="-",D149,INDIRECT(CONCATENATE($B$3,D$1,MATCH($D$2,INDIRECT(CONCATENATE($B$3,E$1,$B25,4,":",E$1,$B25,33)),0)+3))),D149)</f>
        <v>LABAN Ella</v>
      </c>
      <c r="E25" s="83" t="str">
        <f ca="1">IFERROR(IF(INDIRECT(CONCATENATE($B$3,D$1,MATCH($F$2,INDIRECT(CONCATENATE($B$3,E$1,$B25,4,":",E$1,$B25,33)),0)+3))="-",E149,INDIRECT(CONCATENATE($B$3,D$1,MATCH($F$2,INDIRECT(CONCATENATE($B$3,E$1,$B25,4,":",E$1,$B25,33)),0)+3))),E149)</f>
        <v>DUNKLEY Autum</v>
      </c>
      <c r="F25" s="83">
        <f ca="1">IFERROR(IF(INDIRECT(CONCATENATE($B$3,F$1,MATCH($D$2,INDIRECT(CONCATENATE($B$3,G$1,$B25,4,":",G$1,$B25,33)),0)+3))="-",F149,INDIRECT(CONCATENATE($B$3,F$1,MATCH($D$2,INDIRECT(CONCATENATE($B$3,G$1,$B25,4,":",G$1,$B25,33)),0)+3))),F149)</f>
        <v>0</v>
      </c>
      <c r="G25" s="83">
        <f ca="1">IFERROR(IF(INDIRECT(CONCATENATE($B$3,F$1,MATCH($F$2,INDIRECT(CONCATENATE($B$3,G$1,$B25,4,":",G$1,$B25,33)),0)+3))="-",G149,INDIRECT(CONCATENATE($B$3,F$1,MATCH($F$2,INDIRECT(CONCATENATE($B$3,G$1,$B25,4,":",G$1,$B25,33)),0)+3))),G149)</f>
        <v>0</v>
      </c>
      <c r="H25" s="83" t="str">
        <f ca="1">IFERROR(IF(INDIRECT(CONCATENATE($B$3,H$1,MATCH($D$2,INDIRECT(CONCATENATE($B$3,I$1,$B25,4,":",I$1,$B25,33)),0)+3))="-",H149,INDIRECT(CONCATENATE($B$3,H$1,MATCH($D$2,INDIRECT(CONCATENATE($B$3,I$1,$B25,4,":",I$1,$B25,33)),0)+3))),H149)</f>
        <v>WALSH Tierney</v>
      </c>
      <c r="I25" s="83" t="str">
        <f ca="1">IFERROR(IF(INDIRECT(CONCATENATE($B$3,H$1,MATCH($F$2,INDIRECT(CONCATENATE($B$3,I$1,$B25,4,":",I$1,$B25,33)),0)+3))="-",I149,INDIRECT(CONCATENATE($B$3,H$1,MATCH($F$2,INDIRECT(CONCATENATE($B$3,I$1,$B25,4,":",I$1,$B25,33)),0)+3))),I149)</f>
        <v>BROOKS Carmen</v>
      </c>
      <c r="J25" s="83" t="str">
        <f ca="1">IFERROR(IF(INDIRECT(CONCATENATE($B$3,J$1,MATCH($D$2,INDIRECT(CONCATENATE($B$3,K$1,$B25,4,":",K$1,$B25,33)),0)+3))="-",J149,INDIRECT(CONCATENATE($B$3,J$1,MATCH($D$2,INDIRECT(CONCATENATE($B$3,K$1,$B25,4,":",K$1,$B25,33)),0)+3))),J149)</f>
        <v>MCNEILL Emma</v>
      </c>
      <c r="K25" s="83" t="str">
        <f ca="1">IFERROR(IF(INDIRECT(CONCATENATE($B$3,J$1,MATCH($F$2,INDIRECT(CONCATENATE($B$3,K$1,$B25,4,":",K$1,$B25,33)),0)+3))="-",K149,INDIRECT(CONCATENATE($B$3,J$1,MATCH($F$2,INDIRECT(CONCATENATE($B$3,K$1,$B25,4,":",K$1,$B25,33)),0)+3))),K149)</f>
        <v>LILLIE Imogen</v>
      </c>
      <c r="L25" s="83">
        <f ca="1">IFERROR(IF(INDIRECT(CONCATENATE($B$3,L$1,MATCH($D$2,INDIRECT(CONCATENATE($B$3,M$1,$B25,4,":",M$1,$B25,33)),0)+3))="-",L149,INDIRECT(CONCATENATE($B$3,L$1,MATCH($D$2,INDIRECT(CONCATENATE($B$3,M$1,$B25,4,":",M$1,$B25,33)),0)+3))),L149)</f>
        <v>0</v>
      </c>
      <c r="M25" s="83">
        <f ca="1">IFERROR(IF(INDIRECT(CONCATENATE($B$3,L$1,MATCH($F$2,INDIRECT(CONCATENATE($B$3,M$1,$B25,4,":",M$1,$B25,33)),0)+3))="-",M149,INDIRECT(CONCATENATE($B$3,L$1,MATCH($F$2,INDIRECT(CONCATENATE($B$3,M$1,$B25,4,":",M$1,$B25,33)),0)+3))),M149)</f>
        <v>0</v>
      </c>
      <c r="N25" s="83" t="str">
        <f ca="1">IFERROR(IF(INDIRECT(CONCATENATE($B$3,N$1,MATCH($D$2,INDIRECT(CONCATENATE($B$3,O$1,$B25,4,":",O$1,$B25,33)),0)+3))="-",N149,INDIRECT(CONCATENATE($B$3,N$1,MATCH($D$2,INDIRECT(CONCATENATE($B$3,O$1,$B25,4,":",O$1,$B25,33)),0)+3))),N149)</f>
        <v/>
      </c>
      <c r="O25" s="83" t="str">
        <f ca="1">IFERROR(IF(INDIRECT(CONCATENATE($B$3,N$1,MATCH($F$2,INDIRECT(CONCATENATE($B$3,O$1,$B25,4,":",O$1,$B25,33)),0)+3))="-",O149,INDIRECT(CONCATENATE($B$3,N$1,MATCH($F$2,INDIRECT(CONCATENATE($B$3,O$1,$B25,4,":",O$1,$B25,33)),0)+3))),O149)</f>
        <v/>
      </c>
      <c r="P25" s="83" t="str">
        <f ca="1">IFERROR(IF(INDIRECT(CONCATENATE($B$3,P$1,MATCH($D$2,INDIRECT(CONCATENATE($B$3,Q$1,$B25,4,":",Q$1,$B25,33)),0)+3))="-",P149,INDIRECT(CONCATENATE($B$3,P$1,MATCH($D$2,INDIRECT(CONCATENATE($B$3,Q$1,$B25,4,":",Q$1,$B25,33)),0)+3))),P149)</f>
        <v/>
      </c>
      <c r="Q25" s="83" t="str">
        <f ca="1">IFERROR(IF(INDIRECT(CONCATENATE($B$3,P$1,MATCH($F$2,INDIRECT(CONCATENATE($B$3,Q$1,$B25,4,":",Q$1,$B25,33)),0)+3))="-",Q149,INDIRECT(CONCATENATE($B$3,P$1,MATCH($F$2,INDIRECT(CONCATENATE($B$3,Q$1,$B25,4,":",Q$1,$B25,33)),0)+3))),Q149)</f>
        <v/>
      </c>
      <c r="R25" s="83" t="str">
        <f ca="1">IFERROR(IF(INDIRECT(CONCATENATE($B$3,R$1,MATCH($D$2,INDIRECT(CONCATENATE($B$3,S$1,$B25,4,":",S$1,$B25,33)),0)+3))="-",R149,INDIRECT(CONCATENATE($B$3,R$1,MATCH($D$2,INDIRECT(CONCATENATE($B$3,S$1,$B25,4,":",S$1,$B25,33)),0)+3))),R149)</f>
        <v/>
      </c>
      <c r="S25" s="83" t="str">
        <f ca="1">IFERROR(IF(INDIRECT(CONCATENATE($B$3,R$1,MATCH($F$2,INDIRECT(CONCATENATE($B$3,S$1,$B25,4,":",S$1,$B25,33)),0)+3))="-",S149,INDIRECT(CONCATENATE($B$3,R$1,MATCH($F$2,INDIRECT(CONCATENATE($B$3,S$1,$B25,4,":",S$1,$B25,33)),0)+3))),S149)</f>
        <v/>
      </c>
    </row>
    <row r="26" spans="2:19" x14ac:dyDescent="0.35">
      <c r="B26" s="83" t="s">
        <v>214</v>
      </c>
      <c r="C26" s="83" t="s">
        <v>530</v>
      </c>
      <c r="D26" s="83" t="str">
        <f ca="1">IFERROR(IF(INDIRECT(CONCATENATE($B$3,D$1,MATCH($H$2,INDIRECT(CONCATENATE($B$3,E$1,$B26,4,":",E$1,$B26,33)),0)+3))="-",D150,INDIRECT(CONCATENATE($B$3,D$1,MATCH($H$2,INDIRECT(CONCATENATE($B$3,E$1,$B26,4,":",E$1,$B26,33)),0)+3))),D150)</f>
        <v>PROCTOR Alicia</v>
      </c>
      <c r="E26" s="83" t="str">
        <f ca="1">IFERROR(IF(INDIRECT(CONCATENATE($B$3,D$1,MATCH($J$2,INDIRECT(CONCATENATE($B$3,E$1,$B26,4,":",E$1,$B26,33)),0)+3))="-",E150,INDIRECT(CONCATENATE($B$3,D$1,MATCH($J$2,INDIRECT(CONCATENATE($B$3,E$1,$B26,4,":",E$1,$B26,33)),0)+3))),E150)</f>
        <v>MOODY Hannah</v>
      </c>
      <c r="F26" s="83">
        <f ca="1">IFERROR(IF(INDIRECT(CONCATENATE($B$3,F$1,MATCH($H$2,INDIRECT(CONCATENATE($B$3,G$1,$B26,4,":",G$1,$B26,33)),0)+3))="-",F150,INDIRECT(CONCATENATE($B$3,F$1,MATCH($H$2,INDIRECT(CONCATENATE($B$3,G$1,$B26,4,":",G$1,$B26,33)),0)+3))),F150)</f>
        <v>0</v>
      </c>
      <c r="G26" s="83">
        <f ca="1">IFERROR(IF(INDIRECT(CONCATENATE($B$3,F$1,MATCH($J$2,INDIRECT(CONCATENATE($B$3,G$1,$B26,4,":",G$1,$B26,33)),0)+3))="-",G150,INDIRECT(CONCATENATE($B$3,F$1,MATCH($J$2,INDIRECT(CONCATENATE($B$3,G$1,$B26,4,":",G$1,$B26,33)),0)+3))),G150)</f>
        <v>0</v>
      </c>
      <c r="H26" s="83" t="str">
        <f ca="1">IFERROR(IF(INDIRECT(CONCATENATE($B$3,H$1,MATCH($H$2,INDIRECT(CONCATENATE($B$3,I$1,$B26,4,":",I$1,$B26,33)),0)+3))="-",H150,INDIRECT(CONCATENATE($B$3,H$1,MATCH($H$2,INDIRECT(CONCATENATE($B$3,I$1,$B26,4,":",I$1,$B26,33)),0)+3))),H150)</f>
        <v>LEE Isabel</v>
      </c>
      <c r="I26" s="83" t="str">
        <f ca="1">IFERROR(IF(INDIRECT(CONCATENATE($B$3,H$1,MATCH($J$2,INDIRECT(CONCATENATE($B$3,I$1,$B26,4,":",I$1,$B26,33)),0)+3))="-",I150,INDIRECT(CONCATENATE($B$3,H$1,MATCH($J$2,INDIRECT(CONCATENATE($B$3,I$1,$B26,4,":",I$1,$B26,33)),0)+3))),I150)</f>
        <v>TWEDDLE Bella</v>
      </c>
      <c r="J26" s="83" t="str">
        <f ca="1">IFERROR(IF(INDIRECT(CONCATENATE($B$3,J$1,MATCH($H$2,INDIRECT(CONCATENATE($B$3,K$1,$B26,4,":",K$1,$B26,33)),0)+3))="-",J150,INDIRECT(CONCATENATE($B$3,J$1,MATCH($H$2,INDIRECT(CONCATENATE($B$3,K$1,$B26,4,":",K$1,$B26,33)),0)+3))),J150)</f>
        <v>PYE Leoni</v>
      </c>
      <c r="K26" s="83" t="str">
        <f ca="1">IFERROR(IF(INDIRECT(CONCATENATE($B$3,J$1,MATCH($J$2,INDIRECT(CONCATENATE($B$3,K$1,$B26,4,":",K$1,$B26,33)),0)+3))="-",K150,INDIRECT(CONCATENATE($B$3,J$1,MATCH($J$2,INDIRECT(CONCATENATE($B$3,K$1,$B26,4,":",K$1,$B26,33)),0)+3))),K150)</f>
        <v>GILLIS Madelaine</v>
      </c>
      <c r="L26" s="83">
        <f ca="1">IFERROR(IF(INDIRECT(CONCATENATE($B$3,L$1,MATCH($H$2,INDIRECT(CONCATENATE($B$3,M$1,$B26,4,":",M$1,$B26,33)),0)+3))="-",L150,INDIRECT(CONCATENATE($B$3,L$1,MATCH($H$2,INDIRECT(CONCATENATE($B$3,M$1,$B26,4,":",M$1,$B26,33)),0)+3))),L150)</f>
        <v>0</v>
      </c>
      <c r="M26" s="83">
        <f ca="1">IFERROR(IF(INDIRECT(CONCATENATE($B$3,L$1,MATCH($J$2,INDIRECT(CONCATENATE($B$3,M$1,$B26,4,":",M$1,$B26,33)),0)+3))="-",M150,INDIRECT(CONCATENATE($B$3,L$1,MATCH($J$2,INDIRECT(CONCATENATE($B$3,M$1,$B26,4,":",M$1,$B26,33)),0)+3))),M150)</f>
        <v>0</v>
      </c>
      <c r="N26" s="83" t="str">
        <f ca="1">IFERROR(IF(INDIRECT(CONCATENATE($B$3,N$1,MATCH($H$2,INDIRECT(CONCATENATE($B$3,O$1,$B26,4,":",O$1,$B26,33)),0)+3))="-",N150,INDIRECT(CONCATENATE($B$3,N$1,MATCH($H$2,INDIRECT(CONCATENATE($B$3,O$1,$B26,4,":",O$1,$B26,33)),0)+3))),N150)</f>
        <v/>
      </c>
      <c r="O26" s="83" t="str">
        <f ca="1">IFERROR(IF(INDIRECT(CONCATENATE($B$3,N$1,MATCH($J$2,INDIRECT(CONCATENATE($B$3,O$1,$B26,4,":",O$1,$B26,33)),0)+3))="-",O150,INDIRECT(CONCATENATE($B$3,N$1,MATCH($J$2,INDIRECT(CONCATENATE($B$3,O$1,$B26,4,":",O$1,$B26,33)),0)+3))),O150)</f>
        <v/>
      </c>
      <c r="P26" s="83" t="str">
        <f ca="1">IFERROR(IF(INDIRECT(CONCATENATE($B$3,P$1,MATCH($H$2,INDIRECT(CONCATENATE($B$3,Q$1,$B26,4,":",Q$1,$B26,33)),0)+3))="-",P150,INDIRECT(CONCATENATE($B$3,P$1,MATCH($H$2,INDIRECT(CONCATENATE($B$3,Q$1,$B26,4,":",Q$1,$B26,33)),0)+3))),P150)</f>
        <v/>
      </c>
      <c r="Q26" s="83" t="str">
        <f ca="1">IFERROR(IF(INDIRECT(CONCATENATE($B$3,P$1,MATCH($J$2,INDIRECT(CONCATENATE($B$3,Q$1,$B26,4,":",Q$1,$B26,33)),0)+3))="-",Q150,INDIRECT(CONCATENATE($B$3,P$1,MATCH($J$2,INDIRECT(CONCATENATE($B$3,Q$1,$B26,4,":",Q$1,$B26,33)),0)+3))),Q150)</f>
        <v/>
      </c>
      <c r="R26" s="83" t="str">
        <f ca="1">IFERROR(IF(INDIRECT(CONCATENATE($B$3,R$1,MATCH($H$2,INDIRECT(CONCATENATE($B$3,S$1,$B26,4,":",S$1,$B26,33)),0)+3))="-",R150,INDIRECT(CONCATENATE($B$3,R$1,MATCH($H$2,INDIRECT(CONCATENATE($B$3,S$1,$B26,4,":",S$1,$B26,33)),0)+3))),R150)</f>
        <v/>
      </c>
      <c r="S26" s="83" t="str">
        <f ca="1">IFERROR(IF(INDIRECT(CONCATENATE($B$3,R$1,MATCH($J$2,INDIRECT(CONCATENATE($B$3,S$1,$B26,4,":",S$1,$B26,33)),0)+3))="-",S150,INDIRECT(CONCATENATE($B$3,R$1,MATCH($J$2,INDIRECT(CONCATENATE($B$3,S$1,$B26,4,":",S$1,$B26,33)),0)+3))),S150)</f>
        <v/>
      </c>
    </row>
    <row r="28" spans="2:19" x14ac:dyDescent="0.35">
      <c r="C28" s="83" t="s">
        <v>546</v>
      </c>
      <c r="D28" s="83">
        <f>D2</f>
        <v>1</v>
      </c>
      <c r="E28" s="83">
        <f t="shared" ref="E28:S28" si="16">E2</f>
        <v>11</v>
      </c>
      <c r="F28" s="83">
        <f t="shared" si="16"/>
        <v>2</v>
      </c>
      <c r="G28" s="83">
        <f t="shared" si="16"/>
        <v>22</v>
      </c>
      <c r="H28" s="83">
        <f t="shared" si="16"/>
        <v>3</v>
      </c>
      <c r="I28" s="83">
        <f t="shared" si="16"/>
        <v>33</v>
      </c>
      <c r="J28" s="83">
        <f t="shared" si="16"/>
        <v>4</v>
      </c>
      <c r="K28" s="83">
        <f t="shared" si="16"/>
        <v>44</v>
      </c>
      <c r="L28" s="83">
        <f t="shared" si="16"/>
        <v>5</v>
      </c>
      <c r="M28" s="83">
        <f t="shared" si="16"/>
        <v>55</v>
      </c>
      <c r="N28" s="83">
        <f t="shared" si="16"/>
        <v>6</v>
      </c>
      <c r="O28" s="83">
        <f t="shared" si="16"/>
        <v>66</v>
      </c>
      <c r="P28" s="83">
        <f t="shared" si="16"/>
        <v>7</v>
      </c>
      <c r="Q28" s="83">
        <f t="shared" si="16"/>
        <v>77</v>
      </c>
      <c r="R28" s="83">
        <f t="shared" si="16"/>
        <v>8</v>
      </c>
      <c r="S28" s="83">
        <f t="shared" si="16"/>
        <v>88</v>
      </c>
    </row>
    <row r="29" spans="2:19" x14ac:dyDescent="0.35">
      <c r="B29" s="83" t="s">
        <v>54</v>
      </c>
      <c r="C29" s="83" t="s">
        <v>532</v>
      </c>
      <c r="D29" s="83" t="str">
        <f ca="1">IFERROR(IF(INDIRECT(CONCATENATE($B$3,D$1,MATCH(D$28,INDIRECT(CONCATENATE($B$3,E$1,$B29,35,":",E$1,$B29,74)),0)+34))="-",D176,INDIRECT(CONCATENATE($B$3,D$1,MATCH(D$28,INDIRECT(CONCATENATE($B$3,E$1,$B29,35,":",E$1,$B29,74)),0)+34))),D176)</f>
        <v>HUMPHREYS Melissa</v>
      </c>
      <c r="E29" s="83" t="str">
        <f ca="1">IFERROR(IF(INDIRECT(CONCATENATE($B$3,D$1,MATCH(E$28,INDIRECT(CONCATENATE($B$3,E$1,$B29,35,":",E$1,$B29,74)),0)+34))="-",E176,INDIRECT(CONCATENATE($B$3,D$1,MATCH(E$28,INDIRECT(CONCATENATE($B$3,E$1,$B29,35,":",E$1,$B29,74)),0)+34))),E176)</f>
        <v>PELL Gracie</v>
      </c>
      <c r="F29" s="83" t="str">
        <f ca="1">IFERROR(IF(INDIRECT(CONCATENATE($B$3,F$1,MATCH(F$28,INDIRECT(CONCATENATE($B$3,G$1,$B29,35,":",G$1,$B29,74)),0)+34))="-",F176,INDIRECT(CONCATENATE($B$3,F$1,MATCH(F$28,INDIRECT(CONCATENATE($B$3,G$1,$B29,35,":",G$1,$B29,74)),0)+34))),F176)</f>
        <v>HARTLEY Eleanor</v>
      </c>
      <c r="G29" s="83" t="str">
        <f ca="1">IFERROR(IF(INDIRECT(CONCATENATE($B$3,F$1,MATCH(G$28,INDIRECT(CONCATENATE($B$3,G$1,$B29,35,":",G$1,$B29,74)),0)+34))="-",G176,INDIRECT(CONCATENATE($B$3,F$1,MATCH(G$28,INDIRECT(CONCATENATE($B$3,G$1,$B29,35,":",G$1,$B29,74)),0)+34))),G176)</f>
        <v>ROBERTS Eve</v>
      </c>
      <c r="H29" s="83" t="str">
        <f ca="1">IFERROR(IF(INDIRECT(CONCATENATE($B$3,H$1,MATCH(H$28,INDIRECT(CONCATENATE($B$3,I$1,$B29,35,":",I$1,$B29,74)),0)+34))="-",H176,INDIRECT(CONCATENATE($B$3,H$1,MATCH(H$28,INDIRECT(CONCATENATE($B$3,I$1,$B29,35,":",I$1,$B29,74)),0)+34))),H176)</f>
        <v>MAUDE Emily</v>
      </c>
      <c r="I29" s="83" t="str">
        <f ca="1">IFERROR(IF(INDIRECT(CONCATENATE($B$3,H$1,MATCH(I$28,INDIRECT(CONCATENATE($B$3,I$1,$B29,35,":",I$1,$B29,74)),0)+34))="-",I176,INDIRECT(CONCATENATE($B$3,H$1,MATCH(I$28,INDIRECT(CONCATENATE($B$3,I$1,$B29,35,":",I$1,$B29,74)),0)+34))),I176)</f>
        <v>SIGSWORTH Martha</v>
      </c>
      <c r="J29" s="83" t="str">
        <f ca="1">IFERROR(IF(INDIRECT(CONCATENATE($B$3,J$1,MATCH(J$28,INDIRECT(CONCATENATE($B$3,K$1,$B29,35,":",K$1,$B29,74)),0)+34))="-",J176,INDIRECT(CONCATENATE($B$3,J$1,MATCH(J$28,INDIRECT(CONCATENATE($B$3,K$1,$B29,35,":",K$1,$B29,74)),0)+34))),J176)</f>
        <v>WILMOT Amy</v>
      </c>
      <c r="K29" s="83" t="str">
        <f ca="1">IFERROR(IF(INDIRECT(CONCATENATE($B$3,J$1,MATCH(K$28,INDIRECT(CONCATENATE($B$3,K$1,$B29,35,":",K$1,$B29,74)),0)+34))="-",K176,INDIRECT(CONCATENATE($B$3,J$1,MATCH(K$28,INDIRECT(CONCATENATE($B$3,K$1,$B29,35,":",K$1,$B29,74)),0)+34))),K176)</f>
        <v>SULLOCK Beth</v>
      </c>
      <c r="L29" s="83" t="str">
        <f ca="1">IFERROR(IF(INDIRECT(CONCATENATE($B$3,L$1,MATCH(L$28,INDIRECT(CONCATENATE($B$3,M$1,$B29,35,":",M$1,$B29,74)),0)+34))="-",L176,INDIRECT(CONCATENATE($B$3,L$1,MATCH(L$28,INDIRECT(CONCATENATE($B$3,M$1,$B29,35,":",M$1,$B29,74)),0)+34))),L176)</f>
        <v>STOW Libby</v>
      </c>
      <c r="M29" s="83" t="str">
        <f ca="1">IFERROR(IF(INDIRECT(CONCATENATE($B$3,L$1,MATCH(M$28,INDIRECT(CONCATENATE($B$3,M$1,$B29,35,":",M$1,$B29,74)),0)+34))="-",M176,INDIRECT(CONCATENATE($B$3,L$1,MATCH(M$28,INDIRECT(CONCATENATE($B$3,M$1,$B29,35,":",M$1,$B29,74)),0)+34))),M176)</f>
        <v>ABDI Zulekha</v>
      </c>
      <c r="N29" s="83" t="str">
        <f ca="1">IFERROR(IF(INDIRECT(CONCATENATE($B$3,N$1,MATCH(N$28,INDIRECT(CONCATENATE($B$3,O$1,$B29,35,":",O$1,$B29,74)),0)+34))="-",N176,INDIRECT(CONCATENATE($B$3,N$1,MATCH(N$28,INDIRECT(CONCATENATE($B$3,O$1,$B29,35,":",O$1,$B29,74)),0)+34))),N176)</f>
        <v/>
      </c>
      <c r="O29" s="83" t="str">
        <f ca="1">IFERROR(IF(INDIRECT(CONCATENATE($B$3,N$1,MATCH(O$28,INDIRECT(CONCATENATE($B$3,O$1,$B29,35,":",O$1,$B29,74)),0)+34))="-",O176,INDIRECT(CONCATENATE($B$3,N$1,MATCH(O$28,INDIRECT(CONCATENATE($B$3,O$1,$B29,35,":",O$1,$B29,74)),0)+34))),O176)</f>
        <v/>
      </c>
      <c r="P29" s="83" t="str">
        <f ca="1">IFERROR(IF(INDIRECT(CONCATENATE($B$3,P$1,MATCH(P$28,INDIRECT(CONCATENATE($B$3,Q$1,$B29,35,":",Q$1,$B29,74)),0)+34))="-",P176,INDIRECT(CONCATENATE($B$3,P$1,MATCH(P$28,INDIRECT(CONCATENATE($B$3,Q$1,$B29,35,":",Q$1,$B29,74)),0)+34))),P176)</f>
        <v/>
      </c>
      <c r="Q29" s="83" t="str">
        <f ca="1">IFERROR(IF(INDIRECT(CONCATENATE($B$3,P$1,MATCH(Q$28,INDIRECT(CONCATENATE($B$3,Q$1,$B29,35,":",Q$1,$B29,74)),0)+34))="-",Q176,INDIRECT(CONCATENATE($B$3,P$1,MATCH(Q$28,INDIRECT(CONCATENATE($B$3,Q$1,$B29,35,":",Q$1,$B29,74)),0)+34))),Q176)</f>
        <v/>
      </c>
      <c r="R29" s="83" t="str">
        <f ca="1">IFERROR(IF(INDIRECT(CONCATENATE($B$3,R$1,MATCH(R$28,INDIRECT(CONCATENATE($B$3,S$1,$B29,35,":",S$1,$B29,74)),0)+34))="-",R176,INDIRECT(CONCATENATE($B$3,R$1,MATCH(R$28,INDIRECT(CONCATENATE($B$3,S$1,$B29,35,":",S$1,$B29,74)),0)+34))),R176)</f>
        <v/>
      </c>
      <c r="S29" s="83" t="str">
        <f ca="1">IFERROR(IF(INDIRECT(CONCATENATE($B$3,R$1,MATCH(S$28,INDIRECT(CONCATENATE($B$3,S$1,$B29,35,":",S$1,$B29,74)),0)+34))="-",S176,INDIRECT(CONCATENATE($B$3,R$1,MATCH(S$28,INDIRECT(CONCATENATE($B$3,S$1,$B29,35,":",S$1,$B29,74)),0)+34))),S176)</f>
        <v/>
      </c>
    </row>
    <row r="30" spans="2:19" x14ac:dyDescent="0.35">
      <c r="B30" s="83" t="s">
        <v>333</v>
      </c>
      <c r="C30" s="83" t="s">
        <v>535</v>
      </c>
      <c r="D30" s="83" t="str">
        <f t="shared" ref="D30:D47" ca="1" si="17">IFERROR(IF(INDIRECT(CONCATENATE($B$3,D$1,MATCH(D$28,INDIRECT(CONCATENATE($B$3,E$1,$B30,35,":",E$1,$B30,74)),0)+34))="-",D177,INDIRECT(CONCATENATE($B$3,D$1,MATCH(D$28,INDIRECT(CONCATENATE($B$3,E$1,$B30,35,":",E$1,$B30,74)),0)+34))),D177)</f>
        <v>HELPS Macy</v>
      </c>
      <c r="E30" s="83" t="str">
        <f t="shared" ref="E30:E46" ca="1" si="18">IFERROR(IF(INDIRECT(CONCATENATE($B$3,D$1,MATCH(E$28,INDIRECT(CONCATENATE($B$3,E$1,$B30,35,":",E$1,$B30,74)),0)+34))="-",E177,INDIRECT(CONCATENATE($B$3,D$1,MATCH(E$28,INDIRECT(CONCATENATE($B$3,E$1,$B30,35,":",E$1,$B30,74)),0)+34))),E177)</f>
        <v>HAILEY Faye</v>
      </c>
      <c r="F30" s="83" t="str">
        <f t="shared" ref="F30:F47" ca="1" si="19">IFERROR(IF(INDIRECT(CONCATENATE($B$3,F$1,MATCH(F$28,INDIRECT(CONCATENATE($B$3,G$1,$B30,35,":",G$1,$B30,74)),0)+34))="-",F177,INDIRECT(CONCATENATE($B$3,F$1,MATCH(F$28,INDIRECT(CONCATENATE($B$3,G$1,$B30,35,":",G$1,$B30,74)),0)+34))),F177)</f>
        <v>BERRY Heather</v>
      </c>
      <c r="G30" s="83" t="str">
        <f t="shared" ref="G30:G47" ca="1" si="20">IFERROR(IF(INDIRECT(CONCATENATE($B$3,F$1,MATCH(G$28,INDIRECT(CONCATENATE($B$3,G$1,$B30,35,":",G$1,$B30,74)),0)+34))="-",G177,INDIRECT(CONCATENATE($B$3,F$1,MATCH(G$28,INDIRECT(CONCATENATE($B$3,G$1,$B30,35,":",G$1,$B30,74)),0)+34))),G177)</f>
        <v>GRAY Molly</v>
      </c>
      <c r="H30" s="83" t="str">
        <f t="shared" ref="H30:H47" ca="1" si="21">IFERROR(IF(INDIRECT(CONCATENATE($B$3,H$1,MATCH(H$28,INDIRECT(CONCATENATE($B$3,I$1,$B30,35,":",I$1,$B30,74)),0)+34))="-",H177,INDIRECT(CONCATENATE($B$3,H$1,MATCH(H$28,INDIRECT(CONCATENATE($B$3,I$1,$B30,35,":",I$1,$B30,74)),0)+34))),H177)</f>
        <v>BROOKS Laura</v>
      </c>
      <c r="I30" s="83" t="str">
        <f t="shared" ref="I30:I47" ca="1" si="22">IFERROR(IF(INDIRECT(CONCATENATE($B$3,H$1,MATCH(I$28,INDIRECT(CONCATENATE($B$3,I$1,$B30,35,":",I$1,$B30,74)),0)+34))="-",I177,INDIRECT(CONCATENATE($B$3,H$1,MATCH(I$28,INDIRECT(CONCATENATE($B$3,I$1,$B30,35,":",I$1,$B30,74)),0)+34))),I177)</f>
        <v>POUNDER Esme</v>
      </c>
      <c r="J30" s="83" t="str">
        <f t="shared" ref="J30:J47" ca="1" si="23">IFERROR(IF(INDIRECT(CONCATENATE($B$3,J$1,MATCH(J$28,INDIRECT(CONCATENATE($B$3,K$1,$B30,35,":",K$1,$B30,74)),0)+34))="-",J177,INDIRECT(CONCATENATE($B$3,J$1,MATCH(J$28,INDIRECT(CONCATENATE($B$3,K$1,$B30,35,":",K$1,$B30,74)),0)+34))),J177)</f>
        <v>OKEY Gift</v>
      </c>
      <c r="K30" s="83" t="str">
        <f t="shared" ref="K30:K47" ca="1" si="24">IFERROR(IF(INDIRECT(CONCATENATE($B$3,J$1,MATCH(K$28,INDIRECT(CONCATENATE($B$3,K$1,$B30,35,":",K$1,$B30,74)),0)+34))="-",K177,INDIRECT(CONCATENATE($B$3,J$1,MATCH(K$28,INDIRECT(CONCATENATE($B$3,K$1,$B30,35,":",K$1,$B30,74)),0)+34))),K177)</f>
        <v>-</v>
      </c>
      <c r="L30" s="83">
        <f t="shared" ref="L30:L47" ca="1" si="25">IFERROR(IF(INDIRECT(CONCATENATE($B$3,L$1,MATCH(L$28,INDIRECT(CONCATENATE($B$3,M$1,$B30,35,":",M$1,$B30,74)),0)+34))="-",L177,INDIRECT(CONCATENATE($B$3,L$1,MATCH(L$28,INDIRECT(CONCATENATE($B$3,M$1,$B30,35,":",M$1,$B30,74)),0)+34))),L177)</f>
        <v>0</v>
      </c>
      <c r="M30" s="83">
        <f t="shared" ref="M30:M47" ca="1" si="26">IFERROR(IF(INDIRECT(CONCATENATE($B$3,L$1,MATCH(M$28,INDIRECT(CONCATENATE($B$3,M$1,$B30,35,":",M$1,$B30,74)),0)+34))="-",M177,INDIRECT(CONCATENATE($B$3,L$1,MATCH(M$28,INDIRECT(CONCATENATE($B$3,M$1,$B30,35,":",M$1,$B30,74)),0)+34))),M177)</f>
        <v>0</v>
      </c>
      <c r="N30" s="83" t="str">
        <f t="shared" ref="N30:N47" ca="1" si="27">IFERROR(IF(INDIRECT(CONCATENATE($B$3,N$1,MATCH(N$28,INDIRECT(CONCATENATE($B$3,O$1,$B30,35,":",O$1,$B30,74)),0)+34))="-",N177,INDIRECT(CONCATENATE($B$3,N$1,MATCH(N$28,INDIRECT(CONCATENATE($B$3,O$1,$B30,35,":",O$1,$B30,74)),0)+34))),N177)</f>
        <v/>
      </c>
      <c r="O30" s="83" t="str">
        <f t="shared" ref="O30:O47" ca="1" si="28">IFERROR(IF(INDIRECT(CONCATENATE($B$3,N$1,MATCH(O$28,INDIRECT(CONCATENATE($B$3,O$1,$B30,35,":",O$1,$B30,74)),0)+34))="-",O177,INDIRECT(CONCATENATE($B$3,N$1,MATCH(O$28,INDIRECT(CONCATENATE($B$3,O$1,$B30,35,":",O$1,$B30,74)),0)+34))),O177)</f>
        <v/>
      </c>
      <c r="P30" s="83" t="str">
        <f t="shared" ref="P30:P47" ca="1" si="29">IFERROR(IF(INDIRECT(CONCATENATE($B$3,P$1,MATCH(P$28,INDIRECT(CONCATENATE($B$3,Q$1,$B30,35,":",Q$1,$B30,74)),0)+34))="-",P177,INDIRECT(CONCATENATE($B$3,P$1,MATCH(P$28,INDIRECT(CONCATENATE($B$3,Q$1,$B30,35,":",Q$1,$B30,74)),0)+34))),P177)</f>
        <v/>
      </c>
      <c r="Q30" s="83" t="str">
        <f t="shared" ref="Q30:Q47" ca="1" si="30">IFERROR(IF(INDIRECT(CONCATENATE($B$3,P$1,MATCH(Q$28,INDIRECT(CONCATENATE($B$3,Q$1,$B30,35,":",Q$1,$B30,74)),0)+34))="-",Q177,INDIRECT(CONCATENATE($B$3,P$1,MATCH(Q$28,INDIRECT(CONCATENATE($B$3,Q$1,$B30,35,":",Q$1,$B30,74)),0)+34))),Q177)</f>
        <v/>
      </c>
      <c r="R30" s="83" t="str">
        <f t="shared" ref="R30:R47" ca="1" si="31">IFERROR(IF(INDIRECT(CONCATENATE($B$3,R$1,MATCH(R$28,INDIRECT(CONCATENATE($B$3,S$1,$B30,35,":",S$1,$B30,74)),0)+34))="-",R177,INDIRECT(CONCATENATE($B$3,R$1,MATCH(R$28,INDIRECT(CONCATENATE($B$3,S$1,$B30,35,":",S$1,$B30,74)),0)+34))),R177)</f>
        <v/>
      </c>
      <c r="S30" s="83" t="str">
        <f t="shared" ref="S30:S47" ca="1" si="32">IFERROR(IF(INDIRECT(CONCATENATE($B$3,R$1,MATCH(S$28,INDIRECT(CONCATENATE($B$3,S$1,$B30,35,":",S$1,$B30,74)),0)+34))="-",S177,INDIRECT(CONCATENATE($B$3,R$1,MATCH(S$28,INDIRECT(CONCATENATE($B$3,S$1,$B30,35,":",S$1,$B30,74)),0)+34))),S177)</f>
        <v/>
      </c>
    </row>
    <row r="31" spans="2:19" x14ac:dyDescent="0.35">
      <c r="B31" s="83" t="s">
        <v>515</v>
      </c>
      <c r="C31" s="83" t="s">
        <v>533</v>
      </c>
      <c r="D31" s="83" t="str">
        <f ca="1">IFERROR(IF(INDIRECT(CONCATENATE($B$3,D$1,MATCH(D$28,INDIRECT(CONCATENATE($B$3,E$1,$B31,35,":",E$1,$B31,74)),0)+34))="-",D178,INDIRECT(CONCATENATE($B$3,D$1,MATCH(D$28,INDIRECT(CONCATENATE($B$3,E$1,$B31,35,":",E$1,$B31,74)),0)+34))),D178)</f>
        <v>GRIFFIN Lydia</v>
      </c>
      <c r="E31" s="83" t="str">
        <f ca="1">IFERROR(IF(INDIRECT(CONCATENATE($B$3,D$1,MATCH(E$28,INDIRECT(CONCATENATE($B$3,E$1,$B31,35,":",E$1,$B31,74)),0)+34))="-",E178,INDIRECT(CONCATENATE($B$3,D$1,MATCH(E$28,INDIRECT(CONCATENATE($B$3,E$1,$B31,35,":",E$1,$B31,74)),0)+34))),E178)</f>
        <v>SAS Evelyn</v>
      </c>
      <c r="F31" s="83" t="str">
        <f ca="1">IFERROR(IF(INDIRECT(CONCATENATE($B$3,F$1,MATCH(F$28,INDIRECT(CONCATENATE($B$3,G$1,$B31,35,":",G$1,$B31,74)),0)+34))="-",F178,INDIRECT(CONCATENATE($B$3,F$1,MATCH(F$28,INDIRECT(CONCATENATE($B$3,G$1,$B31,35,":",G$1,$B31,74)),0)+34))),F178)</f>
        <v>GROVE Abigail</v>
      </c>
      <c r="G31" s="83" t="str">
        <f t="shared" ca="1" si="20"/>
        <v>HARTLEY Eleanor</v>
      </c>
      <c r="H31" s="83" t="str">
        <f t="shared" ca="1" si="21"/>
        <v>MARSHALL Nancy</v>
      </c>
      <c r="I31" s="83" t="str">
        <f t="shared" ca="1" si="22"/>
        <v>BIRCH Louisa</v>
      </c>
      <c r="J31" s="83" t="str">
        <f t="shared" ca="1" si="23"/>
        <v>SULLOCK Beth</v>
      </c>
      <c r="K31" s="83" t="str">
        <f t="shared" ca="1" si="24"/>
        <v>SEDGWICK Emma</v>
      </c>
      <c r="L31" s="83" t="str">
        <f t="shared" ca="1" si="25"/>
        <v>LINGARD Beatrice</v>
      </c>
      <c r="M31" s="83" t="str">
        <f t="shared" ca="1" si="26"/>
        <v>HAYES Zara</v>
      </c>
      <c r="N31" s="83" t="str">
        <f t="shared" ca="1" si="27"/>
        <v/>
      </c>
      <c r="O31" s="83" t="str">
        <f t="shared" ca="1" si="28"/>
        <v/>
      </c>
      <c r="P31" s="83" t="str">
        <f t="shared" ca="1" si="29"/>
        <v/>
      </c>
      <c r="Q31" s="83" t="str">
        <f t="shared" ca="1" si="30"/>
        <v/>
      </c>
      <c r="R31" s="83" t="str">
        <f t="shared" ca="1" si="31"/>
        <v/>
      </c>
      <c r="S31" s="83" t="str">
        <f t="shared" ca="1" si="32"/>
        <v/>
      </c>
    </row>
    <row r="32" spans="2:19" x14ac:dyDescent="0.35">
      <c r="B32" s="83" t="s">
        <v>223</v>
      </c>
      <c r="C32" s="83" t="s">
        <v>531</v>
      </c>
      <c r="D32" s="83">
        <f t="shared" ca="1" si="17"/>
        <v>0</v>
      </c>
      <c r="E32" s="83">
        <f t="shared" ca="1" si="18"/>
        <v>0</v>
      </c>
      <c r="F32" s="83">
        <f t="shared" ca="1" si="19"/>
        <v>0</v>
      </c>
      <c r="G32" s="83">
        <f t="shared" ca="1" si="20"/>
        <v>0</v>
      </c>
      <c r="H32" s="83">
        <f t="shared" ca="1" si="21"/>
        <v>0</v>
      </c>
      <c r="I32" s="83">
        <f t="shared" ca="1" si="22"/>
        <v>0</v>
      </c>
      <c r="J32" s="83">
        <f t="shared" ca="1" si="23"/>
        <v>0</v>
      </c>
      <c r="K32" s="83">
        <f t="shared" ca="1" si="24"/>
        <v>0</v>
      </c>
      <c r="L32" s="83">
        <f t="shared" ca="1" si="25"/>
        <v>0</v>
      </c>
      <c r="M32" s="83">
        <f t="shared" ca="1" si="26"/>
        <v>0</v>
      </c>
      <c r="N32" s="83" t="str">
        <f t="shared" ca="1" si="27"/>
        <v/>
      </c>
      <c r="O32" s="83" t="str">
        <f t="shared" ca="1" si="28"/>
        <v/>
      </c>
      <c r="P32" s="83" t="str">
        <f t="shared" ca="1" si="29"/>
        <v/>
      </c>
      <c r="Q32" s="83" t="str">
        <f t="shared" ca="1" si="30"/>
        <v/>
      </c>
      <c r="R32" s="83" t="str">
        <f t="shared" ca="1" si="31"/>
        <v/>
      </c>
      <c r="S32" s="83" t="str">
        <f t="shared" ca="1" si="32"/>
        <v/>
      </c>
    </row>
    <row r="33" spans="2:19" x14ac:dyDescent="0.35">
      <c r="B33" s="83" t="s">
        <v>224</v>
      </c>
      <c r="C33" s="83">
        <v>800</v>
      </c>
      <c r="D33" s="83" t="str">
        <f t="shared" ca="1" si="17"/>
        <v>STANILAND Charlotte</v>
      </c>
      <c r="E33" s="83" t="str">
        <f t="shared" ca="1" si="18"/>
        <v>PELL Gracie</v>
      </c>
      <c r="F33" s="83" t="str">
        <f t="shared" ca="1" si="19"/>
        <v>SCOTT Violet</v>
      </c>
      <c r="G33" s="83" t="str">
        <f t="shared" ca="1" si="20"/>
        <v>BERRY Heather</v>
      </c>
      <c r="H33" s="83" t="str">
        <f t="shared" ca="1" si="21"/>
        <v>SIGSWORTH Martha</v>
      </c>
      <c r="I33" s="83" t="str">
        <f t="shared" ca="1" si="22"/>
        <v>BROOKS Laura</v>
      </c>
      <c r="J33" s="83" t="str">
        <f t="shared" ca="1" si="23"/>
        <v>LILLIE Freya</v>
      </c>
      <c r="K33" s="83" t="str">
        <f t="shared" ca="1" si="24"/>
        <v>-</v>
      </c>
      <c r="L33" s="83" t="str">
        <f t="shared" ca="1" si="25"/>
        <v>ABDI Zulekha</v>
      </c>
      <c r="M33" s="83">
        <f t="shared" ca="1" si="26"/>
        <v>0</v>
      </c>
      <c r="N33" s="83" t="str">
        <f t="shared" ca="1" si="27"/>
        <v/>
      </c>
      <c r="O33" s="83" t="str">
        <f t="shared" ca="1" si="28"/>
        <v/>
      </c>
      <c r="P33" s="83" t="str">
        <f t="shared" ca="1" si="29"/>
        <v/>
      </c>
      <c r="Q33" s="83" t="str">
        <f t="shared" ca="1" si="30"/>
        <v/>
      </c>
      <c r="R33" s="83" t="str">
        <f t="shared" ca="1" si="31"/>
        <v/>
      </c>
      <c r="S33" s="83" t="str">
        <f t="shared" ca="1" si="32"/>
        <v/>
      </c>
    </row>
    <row r="34" spans="2:19" x14ac:dyDescent="0.35">
      <c r="B34" s="83" t="s">
        <v>225</v>
      </c>
      <c r="C34" s="83" t="s">
        <v>536</v>
      </c>
      <c r="D34" s="83">
        <f t="shared" ca="1" si="17"/>
        <v>0</v>
      </c>
      <c r="E34" s="83">
        <f t="shared" ca="1" si="18"/>
        <v>0</v>
      </c>
      <c r="F34" s="83" t="str">
        <f t="shared" ca="1" si="19"/>
        <v>-</v>
      </c>
      <c r="G34" s="83">
        <f t="shared" ca="1" si="20"/>
        <v>0</v>
      </c>
      <c r="H34" s="83" t="str">
        <f t="shared" ca="1" si="21"/>
        <v>GREEN-HEMMINGS Grace</v>
      </c>
      <c r="I34" s="83" t="str">
        <f t="shared" ca="1" si="22"/>
        <v>BIRCH Louisa</v>
      </c>
      <c r="J34" s="83" t="str">
        <f t="shared" ca="1" si="23"/>
        <v>-</v>
      </c>
      <c r="K34" s="83" t="str">
        <f t="shared" ca="1" si="24"/>
        <v>-</v>
      </c>
      <c r="L34" s="83">
        <f t="shared" ca="1" si="25"/>
        <v>0</v>
      </c>
      <c r="M34" s="83">
        <f t="shared" ca="1" si="26"/>
        <v>0</v>
      </c>
      <c r="N34" s="83" t="str">
        <f t="shared" ca="1" si="27"/>
        <v/>
      </c>
      <c r="O34" s="83" t="str">
        <f t="shared" ca="1" si="28"/>
        <v/>
      </c>
      <c r="P34" s="83" t="str">
        <f t="shared" ca="1" si="29"/>
        <v/>
      </c>
      <c r="Q34" s="83" t="str">
        <f t="shared" ca="1" si="30"/>
        <v/>
      </c>
      <c r="R34" s="83" t="str">
        <f t="shared" ca="1" si="31"/>
        <v/>
      </c>
      <c r="S34" s="83" t="str">
        <f t="shared" ca="1" si="32"/>
        <v/>
      </c>
    </row>
    <row r="35" spans="2:19" x14ac:dyDescent="0.35">
      <c r="B35" s="83" t="s">
        <v>226</v>
      </c>
      <c r="C35" s="83" t="s">
        <v>534</v>
      </c>
      <c r="D35" s="83" t="str">
        <f t="shared" ca="1" si="17"/>
        <v>GRIFFIN Lydia</v>
      </c>
      <c r="E35" s="83" t="str">
        <f t="shared" ca="1" si="18"/>
        <v>HELPS Macy</v>
      </c>
      <c r="F35" s="83">
        <f t="shared" ca="1" si="19"/>
        <v>0</v>
      </c>
      <c r="G35" s="83">
        <f t="shared" ca="1" si="20"/>
        <v>0</v>
      </c>
      <c r="H35" s="83" t="str">
        <f t="shared" ca="1" si="21"/>
        <v>LANGAN Lottie</v>
      </c>
      <c r="I35" s="83" t="str">
        <f t="shared" ca="1" si="22"/>
        <v>KENNEDY Amy</v>
      </c>
      <c r="J35" s="83" t="str">
        <f t="shared" ca="1" si="23"/>
        <v>PETTIT Grace</v>
      </c>
      <c r="K35" s="83" t="str">
        <f t="shared" ca="1" si="24"/>
        <v>-</v>
      </c>
      <c r="L35" s="83" t="str">
        <f t="shared" ca="1" si="25"/>
        <v>CRESSEY Evie</v>
      </c>
      <c r="M35" s="83">
        <f t="shared" ca="1" si="26"/>
        <v>0</v>
      </c>
      <c r="N35" s="83" t="str">
        <f t="shared" ca="1" si="27"/>
        <v/>
      </c>
      <c r="O35" s="83" t="str">
        <f t="shared" ca="1" si="28"/>
        <v/>
      </c>
      <c r="P35" s="83" t="str">
        <f t="shared" ca="1" si="29"/>
        <v/>
      </c>
      <c r="Q35" s="83" t="str">
        <f t="shared" ca="1" si="30"/>
        <v/>
      </c>
      <c r="R35" s="83" t="str">
        <f t="shared" ca="1" si="31"/>
        <v/>
      </c>
      <c r="S35" s="83" t="str">
        <f t="shared" ca="1" si="32"/>
        <v/>
      </c>
    </row>
    <row r="36" spans="2:19" x14ac:dyDescent="0.35">
      <c r="B36" s="83" t="s">
        <v>138</v>
      </c>
      <c r="C36" s="83" t="s">
        <v>526</v>
      </c>
      <c r="D36" s="83" t="str">
        <f t="shared" ca="1" si="17"/>
        <v>STANILAND Charlotte</v>
      </c>
      <c r="E36" s="83" t="str">
        <f t="shared" ca="1" si="18"/>
        <v>HALL Lottie</v>
      </c>
      <c r="F36" s="83" t="str">
        <f t="shared" ca="1" si="19"/>
        <v>COOPER Amy</v>
      </c>
      <c r="G36" s="83" t="str">
        <f t="shared" ca="1" si="20"/>
        <v>GROVE Abigail</v>
      </c>
      <c r="H36" s="83" t="str">
        <f t="shared" ca="1" si="21"/>
        <v>POUNDER Esme</v>
      </c>
      <c r="I36" s="83" t="str">
        <f t="shared" ca="1" si="22"/>
        <v>GREEN-HEMMINGS Grace</v>
      </c>
      <c r="J36" s="83" t="str">
        <f t="shared" ca="1" si="23"/>
        <v>SEDGWICK Emma</v>
      </c>
      <c r="K36" s="83" t="str">
        <f t="shared" ca="1" si="24"/>
        <v>-</v>
      </c>
      <c r="L36" s="83">
        <f t="shared" ca="1" si="25"/>
        <v>0</v>
      </c>
      <c r="M36" s="83">
        <f t="shared" ca="1" si="26"/>
        <v>0</v>
      </c>
      <c r="N36" s="83" t="str">
        <f t="shared" ca="1" si="27"/>
        <v/>
      </c>
      <c r="O36" s="83" t="str">
        <f t="shared" ca="1" si="28"/>
        <v/>
      </c>
      <c r="P36" s="83" t="str">
        <f t="shared" ca="1" si="29"/>
        <v/>
      </c>
      <c r="Q36" s="83" t="str">
        <f t="shared" ca="1" si="30"/>
        <v/>
      </c>
      <c r="R36" s="83" t="str">
        <f t="shared" ca="1" si="31"/>
        <v/>
      </c>
      <c r="S36" s="83" t="str">
        <f t="shared" ca="1" si="32"/>
        <v/>
      </c>
    </row>
    <row r="37" spans="2:19" x14ac:dyDescent="0.35">
      <c r="B37" s="83" t="s">
        <v>219</v>
      </c>
      <c r="C37" s="83">
        <v>3000</v>
      </c>
      <c r="D37" s="83">
        <f t="shared" ca="1" si="17"/>
        <v>0</v>
      </c>
      <c r="E37" s="83">
        <f t="shared" ca="1" si="18"/>
        <v>0</v>
      </c>
      <c r="F37" s="83">
        <f t="shared" ca="1" si="19"/>
        <v>0</v>
      </c>
      <c r="G37" s="83">
        <f t="shared" ca="1" si="20"/>
        <v>0</v>
      </c>
      <c r="H37" s="83">
        <f t="shared" ca="1" si="21"/>
        <v>0</v>
      </c>
      <c r="I37" s="83">
        <f t="shared" ca="1" si="22"/>
        <v>0</v>
      </c>
      <c r="J37" s="83">
        <f t="shared" ca="1" si="23"/>
        <v>0</v>
      </c>
      <c r="K37" s="83">
        <f t="shared" ca="1" si="24"/>
        <v>0</v>
      </c>
      <c r="L37" s="83">
        <f t="shared" ca="1" si="25"/>
        <v>0</v>
      </c>
      <c r="M37" s="83">
        <f t="shared" ca="1" si="26"/>
        <v>0</v>
      </c>
      <c r="N37" s="83" t="str">
        <f t="shared" ca="1" si="27"/>
        <v/>
      </c>
      <c r="O37" s="83" t="str">
        <f t="shared" ca="1" si="28"/>
        <v/>
      </c>
      <c r="P37" s="83" t="str">
        <f t="shared" ca="1" si="29"/>
        <v/>
      </c>
      <c r="Q37" s="83" t="str">
        <f t="shared" ca="1" si="30"/>
        <v/>
      </c>
      <c r="R37" s="83" t="str">
        <f t="shared" ca="1" si="31"/>
        <v/>
      </c>
      <c r="S37" s="83" t="str">
        <f t="shared" ca="1" si="32"/>
        <v/>
      </c>
    </row>
    <row r="38" spans="2:19" x14ac:dyDescent="0.35">
      <c r="B38" s="83" t="s">
        <v>220</v>
      </c>
      <c r="C38" s="83" t="s">
        <v>525</v>
      </c>
      <c r="D38" s="83">
        <f t="shared" ca="1" si="17"/>
        <v>0</v>
      </c>
      <c r="E38" s="83">
        <f t="shared" ca="1" si="18"/>
        <v>0</v>
      </c>
      <c r="F38" s="83">
        <f t="shared" ca="1" si="19"/>
        <v>0</v>
      </c>
      <c r="G38" s="83">
        <f t="shared" ca="1" si="20"/>
        <v>0</v>
      </c>
      <c r="H38" s="83">
        <f t="shared" ca="1" si="21"/>
        <v>0</v>
      </c>
      <c r="I38" s="83">
        <f t="shared" ca="1" si="22"/>
        <v>0</v>
      </c>
      <c r="J38" s="83">
        <f t="shared" ca="1" si="23"/>
        <v>0</v>
      </c>
      <c r="K38" s="83">
        <f t="shared" ca="1" si="24"/>
        <v>0</v>
      </c>
      <c r="L38" s="83">
        <f t="shared" ca="1" si="25"/>
        <v>0</v>
      </c>
      <c r="M38" s="83">
        <f t="shared" ca="1" si="26"/>
        <v>0</v>
      </c>
      <c r="N38" s="83" t="str">
        <f t="shared" ca="1" si="27"/>
        <v/>
      </c>
      <c r="O38" s="83" t="str">
        <f t="shared" ca="1" si="28"/>
        <v/>
      </c>
      <c r="P38" s="83" t="str">
        <f t="shared" ca="1" si="29"/>
        <v/>
      </c>
      <c r="Q38" s="83" t="str">
        <f t="shared" ca="1" si="30"/>
        <v/>
      </c>
      <c r="R38" s="83" t="str">
        <f t="shared" ca="1" si="31"/>
        <v/>
      </c>
      <c r="S38" s="83" t="str">
        <f t="shared" ca="1" si="32"/>
        <v/>
      </c>
    </row>
    <row r="39" spans="2:19" x14ac:dyDescent="0.35">
      <c r="B39" s="83" t="s">
        <v>221</v>
      </c>
      <c r="C39" s="83" t="s">
        <v>527</v>
      </c>
      <c r="D39" s="83">
        <f t="shared" ca="1" si="17"/>
        <v>0</v>
      </c>
      <c r="E39" s="83">
        <f t="shared" ca="1" si="18"/>
        <v>0</v>
      </c>
      <c r="F39" s="83">
        <f t="shared" ca="1" si="19"/>
        <v>0</v>
      </c>
      <c r="G39" s="83">
        <f t="shared" ca="1" si="20"/>
        <v>0</v>
      </c>
      <c r="H39" s="83">
        <f t="shared" ca="1" si="21"/>
        <v>0</v>
      </c>
      <c r="I39" s="83">
        <f t="shared" ca="1" si="22"/>
        <v>0</v>
      </c>
      <c r="J39" s="83">
        <f t="shared" ca="1" si="23"/>
        <v>0</v>
      </c>
      <c r="K39" s="83">
        <f t="shared" ca="1" si="24"/>
        <v>0</v>
      </c>
      <c r="L39" s="83">
        <f t="shared" ca="1" si="25"/>
        <v>0</v>
      </c>
      <c r="M39" s="83">
        <f t="shared" ca="1" si="26"/>
        <v>0</v>
      </c>
      <c r="N39" s="83" t="str">
        <f t="shared" ca="1" si="27"/>
        <v/>
      </c>
      <c r="O39" s="83" t="str">
        <f t="shared" ca="1" si="28"/>
        <v/>
      </c>
      <c r="P39" s="83" t="str">
        <f t="shared" ca="1" si="29"/>
        <v/>
      </c>
      <c r="Q39" s="83" t="str">
        <f t="shared" ca="1" si="30"/>
        <v/>
      </c>
      <c r="R39" s="83" t="str">
        <f t="shared" ca="1" si="31"/>
        <v/>
      </c>
      <c r="S39" s="83" t="str">
        <f t="shared" ca="1" si="32"/>
        <v/>
      </c>
    </row>
    <row r="40" spans="2:19" x14ac:dyDescent="0.35">
      <c r="B40" s="83" t="s">
        <v>222</v>
      </c>
      <c r="C40" s="83" t="s">
        <v>25</v>
      </c>
      <c r="D40" s="83">
        <f t="shared" ca="1" si="17"/>
        <v>0</v>
      </c>
      <c r="E40" s="83">
        <f t="shared" ca="1" si="18"/>
        <v>0</v>
      </c>
      <c r="F40" s="83">
        <f t="shared" ca="1" si="19"/>
        <v>0</v>
      </c>
      <c r="G40" s="83">
        <f t="shared" ca="1" si="20"/>
        <v>0</v>
      </c>
      <c r="H40" s="83">
        <f t="shared" ca="1" si="21"/>
        <v>0</v>
      </c>
      <c r="I40" s="83">
        <f t="shared" ca="1" si="22"/>
        <v>0</v>
      </c>
      <c r="J40" s="83">
        <f t="shared" ca="1" si="23"/>
        <v>0</v>
      </c>
      <c r="K40" s="83">
        <f t="shared" ca="1" si="24"/>
        <v>0</v>
      </c>
      <c r="L40" s="83">
        <f t="shared" ca="1" si="25"/>
        <v>0</v>
      </c>
      <c r="M40" s="83">
        <f t="shared" ca="1" si="26"/>
        <v>0</v>
      </c>
      <c r="N40" s="83" t="str">
        <f t="shared" ca="1" si="27"/>
        <v/>
      </c>
      <c r="O40" s="83" t="str">
        <f t="shared" ca="1" si="28"/>
        <v/>
      </c>
      <c r="P40" s="83" t="str">
        <f t="shared" ca="1" si="29"/>
        <v/>
      </c>
      <c r="Q40" s="83" t="str">
        <f t="shared" ca="1" si="30"/>
        <v/>
      </c>
      <c r="R40" s="83" t="str">
        <f t="shared" ca="1" si="31"/>
        <v/>
      </c>
      <c r="S40" s="83" t="str">
        <f t="shared" ca="1" si="32"/>
        <v/>
      </c>
    </row>
    <row r="41" spans="2:19" x14ac:dyDescent="0.35">
      <c r="B41" s="83" t="s">
        <v>537</v>
      </c>
      <c r="C41" s="83" t="s">
        <v>21</v>
      </c>
      <c r="D41" s="83">
        <f t="shared" ca="1" si="17"/>
        <v>0</v>
      </c>
      <c r="E41" s="83">
        <f t="shared" ca="1" si="18"/>
        <v>0</v>
      </c>
      <c r="F41" s="83">
        <f t="shared" ca="1" si="19"/>
        <v>0</v>
      </c>
      <c r="G41" s="83">
        <f t="shared" ca="1" si="20"/>
        <v>0</v>
      </c>
      <c r="H41" s="83">
        <f t="shared" ca="1" si="21"/>
        <v>0</v>
      </c>
      <c r="I41" s="83">
        <f t="shared" ca="1" si="22"/>
        <v>0</v>
      </c>
      <c r="J41" s="83">
        <f t="shared" ca="1" si="23"/>
        <v>0</v>
      </c>
      <c r="K41" s="83">
        <f t="shared" ca="1" si="24"/>
        <v>0</v>
      </c>
      <c r="L41" s="83">
        <f t="shared" ca="1" si="25"/>
        <v>0</v>
      </c>
      <c r="M41" s="83">
        <f t="shared" ca="1" si="26"/>
        <v>0</v>
      </c>
      <c r="N41" s="83" t="str">
        <f t="shared" ca="1" si="27"/>
        <v/>
      </c>
      <c r="O41" s="83" t="str">
        <f t="shared" ca="1" si="28"/>
        <v/>
      </c>
      <c r="P41" s="83" t="str">
        <f t="shared" ca="1" si="29"/>
        <v/>
      </c>
      <c r="Q41" s="83" t="str">
        <f t="shared" ca="1" si="30"/>
        <v/>
      </c>
      <c r="R41" s="83" t="str">
        <f t="shared" ca="1" si="31"/>
        <v/>
      </c>
      <c r="S41" s="83" t="str">
        <f t="shared" ca="1" si="32"/>
        <v/>
      </c>
    </row>
    <row r="42" spans="2:19" x14ac:dyDescent="0.35">
      <c r="B42" s="83" t="s">
        <v>216</v>
      </c>
      <c r="C42" s="83" t="s">
        <v>28</v>
      </c>
      <c r="D42" s="83" t="str">
        <f t="shared" ca="1" si="17"/>
        <v>FELLOWS Isabelle</v>
      </c>
      <c r="E42" s="83" t="str">
        <f t="shared" ca="1" si="18"/>
        <v>HALL Lottie</v>
      </c>
      <c r="F42" s="83" t="str">
        <f t="shared" ca="1" si="19"/>
        <v>ROBERTS Eve</v>
      </c>
      <c r="G42" s="83" t="str">
        <f t="shared" ca="1" si="20"/>
        <v>GRAY Molly</v>
      </c>
      <c r="H42" s="83" t="str">
        <f t="shared" ca="1" si="21"/>
        <v>CLAGUE Kathryn</v>
      </c>
      <c r="I42" s="83" t="str">
        <f t="shared" ca="1" si="22"/>
        <v>WRIGHT Ella</v>
      </c>
      <c r="J42" s="83" t="str">
        <f t="shared" ca="1" si="23"/>
        <v>-</v>
      </c>
      <c r="K42" s="83" t="str">
        <f t="shared" ca="1" si="24"/>
        <v>-</v>
      </c>
      <c r="L42" s="83">
        <f t="shared" ca="1" si="25"/>
        <v>0</v>
      </c>
      <c r="M42" s="83">
        <f t="shared" ca="1" si="26"/>
        <v>0</v>
      </c>
      <c r="N42" s="83" t="str">
        <f t="shared" ca="1" si="27"/>
        <v/>
      </c>
      <c r="O42" s="83" t="str">
        <f t="shared" ca="1" si="28"/>
        <v/>
      </c>
      <c r="P42" s="83" t="str">
        <f t="shared" ca="1" si="29"/>
        <v/>
      </c>
      <c r="Q42" s="83" t="str">
        <f t="shared" ca="1" si="30"/>
        <v/>
      </c>
      <c r="R42" s="83" t="str">
        <f t="shared" ca="1" si="31"/>
        <v/>
      </c>
      <c r="S42" s="83" t="str">
        <f t="shared" ca="1" si="32"/>
        <v/>
      </c>
    </row>
    <row r="43" spans="2:19" x14ac:dyDescent="0.35">
      <c r="B43" s="83" t="s">
        <v>217</v>
      </c>
      <c r="C43" s="83" t="s">
        <v>24</v>
      </c>
      <c r="D43" s="83" t="str">
        <f t="shared" ca="1" si="17"/>
        <v>FELLOWS Isabelle</v>
      </c>
      <c r="E43" s="83" t="str">
        <f t="shared" ca="1" si="18"/>
        <v>HALL Lottie</v>
      </c>
      <c r="F43" s="83" t="str">
        <f t="shared" ca="1" si="19"/>
        <v>BERRY Heather</v>
      </c>
      <c r="G43" s="83" t="str">
        <f t="shared" ca="1" si="20"/>
        <v>SCOTT Violet</v>
      </c>
      <c r="H43" s="83" t="str">
        <f t="shared" ca="1" si="21"/>
        <v>CLAGUE Kathryn</v>
      </c>
      <c r="I43" s="83" t="str">
        <f t="shared" ca="1" si="22"/>
        <v>WRIGHT Ella</v>
      </c>
      <c r="J43" s="83" t="str">
        <f t="shared" ca="1" si="23"/>
        <v>SEDGWICK Emma</v>
      </c>
      <c r="K43" s="83" t="str">
        <f t="shared" ca="1" si="24"/>
        <v>-</v>
      </c>
      <c r="L43" s="83" t="str">
        <f t="shared" ca="1" si="25"/>
        <v>HAYES Zara</v>
      </c>
      <c r="M43" s="83" t="str">
        <f t="shared" ca="1" si="26"/>
        <v>CRESSEY Evie</v>
      </c>
      <c r="N43" s="83" t="str">
        <f t="shared" ca="1" si="27"/>
        <v/>
      </c>
      <c r="O43" s="83" t="str">
        <f t="shared" ca="1" si="28"/>
        <v/>
      </c>
      <c r="P43" s="83" t="str">
        <f t="shared" ca="1" si="29"/>
        <v/>
      </c>
      <c r="Q43" s="83" t="str">
        <f t="shared" ca="1" si="30"/>
        <v/>
      </c>
      <c r="R43" s="83" t="str">
        <f t="shared" ca="1" si="31"/>
        <v/>
      </c>
      <c r="S43" s="83" t="str">
        <f t="shared" ca="1" si="32"/>
        <v/>
      </c>
    </row>
    <row r="44" spans="2:19" x14ac:dyDescent="0.35">
      <c r="B44" s="83" t="s">
        <v>142</v>
      </c>
      <c r="C44" s="83" t="s">
        <v>22</v>
      </c>
      <c r="D44" s="83" t="str">
        <f t="shared" ca="1" si="17"/>
        <v>FELLOWS Isabelle</v>
      </c>
      <c r="E44" s="83" t="str">
        <f t="shared" ca="1" si="18"/>
        <v>HUMPHREYS Melissa</v>
      </c>
      <c r="F44" s="83" t="str">
        <f t="shared" ca="1" si="19"/>
        <v>COOPER Amy</v>
      </c>
      <c r="G44" s="83" t="str">
        <f t="shared" ca="1" si="20"/>
        <v>GROVE Abigail</v>
      </c>
      <c r="H44" s="83" t="str">
        <f t="shared" ca="1" si="21"/>
        <v>MAUDE Emily</v>
      </c>
      <c r="I44" s="83" t="str">
        <f t="shared" ca="1" si="22"/>
        <v>WRIGHT Ella</v>
      </c>
      <c r="J44" s="83" t="str">
        <f t="shared" ca="1" si="23"/>
        <v>WILMOT Amy</v>
      </c>
      <c r="K44" s="83" t="str">
        <f t="shared" ca="1" si="24"/>
        <v>SULLOCK Beth</v>
      </c>
      <c r="L44" s="83" t="str">
        <f t="shared" ca="1" si="25"/>
        <v>STOW Libby</v>
      </c>
      <c r="M44" s="83" t="str">
        <f t="shared" ca="1" si="26"/>
        <v>HAYES Zara</v>
      </c>
      <c r="N44" s="83" t="str">
        <f t="shared" ca="1" si="27"/>
        <v/>
      </c>
      <c r="O44" s="83" t="str">
        <f t="shared" ca="1" si="28"/>
        <v/>
      </c>
      <c r="P44" s="83" t="str">
        <f t="shared" ca="1" si="29"/>
        <v/>
      </c>
      <c r="Q44" s="83" t="str">
        <f t="shared" ca="1" si="30"/>
        <v/>
      </c>
      <c r="R44" s="83" t="str">
        <f t="shared" ca="1" si="31"/>
        <v/>
      </c>
      <c r="S44" s="83" t="str">
        <f t="shared" ca="1" si="32"/>
        <v/>
      </c>
    </row>
    <row r="45" spans="2:19" x14ac:dyDescent="0.35">
      <c r="B45" s="83" t="s">
        <v>218</v>
      </c>
      <c r="C45" s="83" t="s">
        <v>31</v>
      </c>
      <c r="D45" s="83">
        <f t="shared" ca="1" si="17"/>
        <v>0</v>
      </c>
      <c r="E45" s="83">
        <f t="shared" ca="1" si="18"/>
        <v>0</v>
      </c>
      <c r="F45" s="83">
        <f t="shared" ca="1" si="19"/>
        <v>0</v>
      </c>
      <c r="G45" s="83">
        <f t="shared" ca="1" si="20"/>
        <v>0</v>
      </c>
      <c r="H45" s="83">
        <f t="shared" ca="1" si="21"/>
        <v>0</v>
      </c>
      <c r="I45" s="83">
        <f t="shared" ca="1" si="22"/>
        <v>0</v>
      </c>
      <c r="J45" s="83">
        <f t="shared" ca="1" si="23"/>
        <v>0</v>
      </c>
      <c r="K45" s="83">
        <f t="shared" ca="1" si="24"/>
        <v>0</v>
      </c>
      <c r="L45" s="83">
        <f t="shared" ca="1" si="25"/>
        <v>0</v>
      </c>
      <c r="M45" s="83">
        <f t="shared" ca="1" si="26"/>
        <v>0</v>
      </c>
      <c r="N45" s="83" t="str">
        <f t="shared" ca="1" si="27"/>
        <v/>
      </c>
      <c r="O45" s="83" t="str">
        <f t="shared" ca="1" si="28"/>
        <v/>
      </c>
      <c r="P45" s="83" t="str">
        <f t="shared" ca="1" si="29"/>
        <v/>
      </c>
      <c r="Q45" s="83" t="str">
        <f t="shared" ca="1" si="30"/>
        <v/>
      </c>
      <c r="R45" s="83" t="str">
        <f t="shared" ca="1" si="31"/>
        <v/>
      </c>
      <c r="S45" s="83" t="str">
        <f t="shared" ca="1" si="32"/>
        <v/>
      </c>
    </row>
    <row r="46" spans="2:19" x14ac:dyDescent="0.35">
      <c r="B46" s="83" t="s">
        <v>334</v>
      </c>
      <c r="C46" s="83" t="s">
        <v>23</v>
      </c>
      <c r="D46" s="83" t="str">
        <f t="shared" ca="1" si="17"/>
        <v>HUMPHREYS Melissa</v>
      </c>
      <c r="E46" s="83" t="str">
        <f t="shared" ca="1" si="18"/>
        <v>STANILAND Charlotte</v>
      </c>
      <c r="F46" s="83" t="str">
        <f t="shared" ca="1" si="19"/>
        <v>ROBERTS Eve</v>
      </c>
      <c r="G46" s="83" t="str">
        <f t="shared" ca="1" si="20"/>
        <v>HARTLEY Eleanor</v>
      </c>
      <c r="H46" s="83" t="str">
        <f t="shared" ca="1" si="21"/>
        <v>CLAGUE Kathryn</v>
      </c>
      <c r="I46" s="83" t="str">
        <f t="shared" ca="1" si="22"/>
        <v>POUNDER Esme</v>
      </c>
      <c r="J46" s="83" t="str">
        <f t="shared" ca="1" si="23"/>
        <v>-</v>
      </c>
      <c r="K46" s="83" t="str">
        <f t="shared" ca="1" si="24"/>
        <v>-</v>
      </c>
      <c r="L46" s="83" t="str">
        <f t="shared" ca="1" si="25"/>
        <v>-</v>
      </c>
      <c r="M46" s="83">
        <f t="shared" ca="1" si="26"/>
        <v>0</v>
      </c>
      <c r="N46" s="83" t="str">
        <f t="shared" ca="1" si="27"/>
        <v/>
      </c>
      <c r="O46" s="83" t="str">
        <f t="shared" ca="1" si="28"/>
        <v/>
      </c>
      <c r="P46" s="83" t="str">
        <f t="shared" ca="1" si="29"/>
        <v/>
      </c>
      <c r="Q46" s="83" t="str">
        <f t="shared" ca="1" si="30"/>
        <v/>
      </c>
      <c r="R46" s="83" t="str">
        <f t="shared" ca="1" si="31"/>
        <v/>
      </c>
      <c r="S46" s="83" t="str">
        <f t="shared" ca="1" si="32"/>
        <v/>
      </c>
    </row>
    <row r="47" spans="2:19" x14ac:dyDescent="0.35">
      <c r="B47" s="83" t="s">
        <v>212</v>
      </c>
      <c r="C47" s="83" t="s">
        <v>27</v>
      </c>
      <c r="D47" s="83">
        <f t="shared" ca="1" si="17"/>
        <v>0</v>
      </c>
      <c r="E47" s="83">
        <f ca="1">IFERROR(IF(INDIRECT(CONCATENATE($B$3,D$1,MATCH(E$28,INDIRECT(CONCATENATE($B$3,E$1,$B47,35,":",E$1,$B47,74)),0)+34))="-",E194,INDIRECT(CONCATENATE($B$3,D$1,MATCH(E$28,INDIRECT(CONCATENATE($B$3,E$1,$B47,35,":",E$1,$B47,74)),0)+34))),E194)</f>
        <v>0</v>
      </c>
      <c r="F47" s="83">
        <f t="shared" ca="1" si="19"/>
        <v>0</v>
      </c>
      <c r="G47" s="83">
        <f t="shared" ca="1" si="20"/>
        <v>0</v>
      </c>
      <c r="H47" s="83">
        <f t="shared" ca="1" si="21"/>
        <v>0</v>
      </c>
      <c r="I47" s="83">
        <f t="shared" ca="1" si="22"/>
        <v>0</v>
      </c>
      <c r="J47" s="83">
        <f t="shared" ca="1" si="23"/>
        <v>0</v>
      </c>
      <c r="K47" s="83">
        <f t="shared" ca="1" si="24"/>
        <v>0</v>
      </c>
      <c r="L47" s="83">
        <f t="shared" ca="1" si="25"/>
        <v>0</v>
      </c>
      <c r="M47" s="83">
        <f t="shared" ca="1" si="26"/>
        <v>0</v>
      </c>
      <c r="N47" s="83" t="str">
        <f t="shared" ca="1" si="27"/>
        <v/>
      </c>
      <c r="O47" s="83" t="str">
        <f t="shared" ca="1" si="28"/>
        <v/>
      </c>
      <c r="P47" s="83" t="str">
        <f t="shared" ca="1" si="29"/>
        <v/>
      </c>
      <c r="Q47" s="83" t="str">
        <f t="shared" ca="1" si="30"/>
        <v/>
      </c>
      <c r="R47" s="83" t="str">
        <f t="shared" ca="1" si="31"/>
        <v/>
      </c>
      <c r="S47" s="83" t="str">
        <f t="shared" ca="1" si="32"/>
        <v/>
      </c>
    </row>
    <row r="48" spans="2:19" x14ac:dyDescent="0.35">
      <c r="B48" s="83" t="s">
        <v>213</v>
      </c>
      <c r="C48" s="83" t="s">
        <v>529</v>
      </c>
      <c r="D48" s="83" t="str">
        <f ca="1">IFERROR(IF(INDIRECT(CONCATENATE($B$3,D$1,MATCH($D$28,INDIRECT(CONCATENATE($B$3,E$1,$B48,35,":",E$1,$B48,74)),0)+34))="-",D195,INDIRECT(CONCATENATE($B$3,D$1,MATCH($D$28,INDIRECT(CONCATENATE($B$3,E$1,$B48,35,":",E$1,$B48,74)),0)+34))),D195)</f>
        <v>HAILEY Faye</v>
      </c>
      <c r="E48" s="83" t="str">
        <f ca="1">IFERROR(IF(INDIRECT(CONCATENATE($B$3,D$1,MATCH($F$28,INDIRECT(CONCATENATE($B$3,E$1,$B48,35,":",E$1,$B48,74)),0)+34))="-",E195,INDIRECT(CONCATENATE($B$3,D$1,MATCH($F$28,INDIRECT(CONCATENATE($B$3,E$1,$B48,35,":",E$1,$B48,74)),0)+34))),E195)</f>
        <v>GRIFFIN Lydia</v>
      </c>
      <c r="F48" s="83" t="str">
        <f t="shared" ref="F48" ca="1" si="33">IFERROR(IF(INDIRECT(CONCATENATE($B$3,F$1,MATCH($D$28,INDIRECT(CONCATENATE($B$3,G$1,$B48,35,":",G$1,$B48,74)),0)+34))="-",F195,INDIRECT(CONCATENATE($B$3,F$1,MATCH($D$28,INDIRECT(CONCATENATE($B$3,G$1,$B48,35,":",G$1,$B48,74)),0)+34))),F195)</f>
        <v>GROVE Abigail</v>
      </c>
      <c r="G48" s="83" t="str">
        <f ca="1">IFERROR(IF(INDIRECT(CONCATENATE($B$3,F$1,MATCH($F$28,INDIRECT(CONCATENATE($B$3,G$1,$B48,35,":",G$1,$B48,74)),0)+34))="-",G195,INDIRECT(CONCATENATE($B$3,F$1,MATCH($F$28,INDIRECT(CONCATENATE($B$3,G$1,$B48,35,":",G$1,$B48,74)),0)+34))),G195)</f>
        <v>GRAY Molly</v>
      </c>
      <c r="H48" s="83" t="str">
        <f t="shared" ref="H48" ca="1" si="34">IFERROR(IF(INDIRECT(CONCATENATE($B$3,H$1,MATCH($D$28,INDIRECT(CONCATENATE($B$3,I$1,$B48,35,":",I$1,$B48,74)),0)+34))="-",H195,INDIRECT(CONCATENATE($B$3,H$1,MATCH($D$28,INDIRECT(CONCATENATE($B$3,I$1,$B48,35,":",I$1,$B48,74)),0)+34))),H195)</f>
        <v>POUNDER Esme</v>
      </c>
      <c r="I48" s="83" t="str">
        <f t="shared" ref="I48" ca="1" si="35">IFERROR(IF(INDIRECT(CONCATENATE($B$3,H$1,MATCH($F$28,INDIRECT(CONCATENATE($B$3,I$1,$B48,35,":",I$1,$B48,74)),0)+34))="-",I195,INDIRECT(CONCATENATE($B$3,H$1,MATCH($F$28,INDIRECT(CONCATENATE($B$3,I$1,$B48,35,":",I$1,$B48,74)),0)+34))),I195)</f>
        <v>MAUDE Emily</v>
      </c>
      <c r="J48" s="83" t="str">
        <f t="shared" ref="J48" ca="1" si="36">IFERROR(IF(INDIRECT(CONCATENATE($B$3,J$1,MATCH($D$28,INDIRECT(CONCATENATE($B$3,K$1,$B48,35,":",K$1,$B48,74)),0)+34))="-",J195,INDIRECT(CONCATENATE($B$3,J$1,MATCH($D$28,INDIRECT(CONCATENATE($B$3,K$1,$B48,35,":",K$1,$B48,74)),0)+34))),J195)</f>
        <v>LILLIE Freya</v>
      </c>
      <c r="K48" s="83" t="str">
        <f t="shared" ref="K48" ca="1" si="37">IFERROR(IF(INDIRECT(CONCATENATE($B$3,J$1,MATCH($F$28,INDIRECT(CONCATENATE($B$3,K$1,$B48,35,":",K$1,$B48,74)),0)+34))="-",K195,INDIRECT(CONCATENATE($B$3,J$1,MATCH($F$28,INDIRECT(CONCATENATE($B$3,K$1,$B48,35,":",K$1,$B48,74)),0)+34))),K195)</f>
        <v>SEDGWICK Emma</v>
      </c>
      <c r="L48" s="83">
        <f t="shared" ref="L48" ca="1" si="38">IFERROR(IF(INDIRECT(CONCATENATE($B$3,L$1,MATCH($D$28,INDIRECT(CONCATENATE($B$3,M$1,$B48,35,":",M$1,$B48,74)),0)+34))="-",L195,INDIRECT(CONCATENATE($B$3,L$1,MATCH($D$28,INDIRECT(CONCATENATE($B$3,M$1,$B48,35,":",M$1,$B48,74)),0)+34))),L195)</f>
        <v>0</v>
      </c>
      <c r="M48" s="83">
        <f t="shared" ref="M48" ca="1" si="39">IFERROR(IF(INDIRECT(CONCATENATE($B$3,L$1,MATCH($F$28,INDIRECT(CONCATENATE($B$3,M$1,$B48,35,":",M$1,$B48,74)),0)+34))="-",M195,INDIRECT(CONCATENATE($B$3,L$1,MATCH($F$28,INDIRECT(CONCATENATE($B$3,M$1,$B48,35,":",M$1,$B48,74)),0)+34))),M195)</f>
        <v>0</v>
      </c>
      <c r="N48" s="83" t="str">
        <f t="shared" ref="N48" ca="1" si="40">IFERROR(IF(INDIRECT(CONCATENATE($B$3,N$1,MATCH($D$28,INDIRECT(CONCATENATE($B$3,O$1,$B48,35,":",O$1,$B48,74)),0)+34))="-",N195,INDIRECT(CONCATENATE($B$3,N$1,MATCH($D$28,INDIRECT(CONCATENATE($B$3,O$1,$B48,35,":",O$1,$B48,74)),0)+34))),N195)</f>
        <v/>
      </c>
      <c r="O48" s="83" t="str">
        <f t="shared" ref="O48" ca="1" si="41">IFERROR(IF(INDIRECT(CONCATENATE($B$3,N$1,MATCH($F$28,INDIRECT(CONCATENATE($B$3,O$1,$B48,35,":",O$1,$B48,74)),0)+34))="-",O195,INDIRECT(CONCATENATE($B$3,N$1,MATCH($F$28,INDIRECT(CONCATENATE($B$3,O$1,$B48,35,":",O$1,$B48,74)),0)+34))),O195)</f>
        <v/>
      </c>
      <c r="P48" s="83" t="str">
        <f t="shared" ref="P48" ca="1" si="42">IFERROR(IF(INDIRECT(CONCATENATE($B$3,P$1,MATCH($D$28,INDIRECT(CONCATENATE($B$3,Q$1,$B48,35,":",Q$1,$B48,74)),0)+34))="-",P195,INDIRECT(CONCATENATE($B$3,P$1,MATCH($D$28,INDIRECT(CONCATENATE($B$3,Q$1,$B48,35,":",Q$1,$B48,74)),0)+34))),P195)</f>
        <v/>
      </c>
      <c r="Q48" s="83" t="str">
        <f t="shared" ref="Q48" ca="1" si="43">IFERROR(IF(INDIRECT(CONCATENATE($B$3,P$1,MATCH($F$28,INDIRECT(CONCATENATE($B$3,Q$1,$B48,35,":",Q$1,$B48,74)),0)+34))="-",Q195,INDIRECT(CONCATENATE($B$3,P$1,MATCH($F$28,INDIRECT(CONCATENATE($B$3,Q$1,$B48,35,":",Q$1,$B48,74)),0)+34))),Q195)</f>
        <v/>
      </c>
      <c r="R48" s="83" t="str">
        <f t="shared" ref="R48" ca="1" si="44">IFERROR(IF(INDIRECT(CONCATENATE($B$3,R$1,MATCH($D$28,INDIRECT(CONCATENATE($B$3,S$1,$B48,35,":",S$1,$B48,74)),0)+34))="-",R195,INDIRECT(CONCATENATE($B$3,R$1,MATCH($D$28,INDIRECT(CONCATENATE($B$3,S$1,$B48,35,":",S$1,$B48,74)),0)+34))),R195)</f>
        <v/>
      </c>
      <c r="S48" s="83" t="str">
        <f t="shared" ref="S48" ca="1" si="45">IFERROR(IF(INDIRECT(CONCATENATE($B$3,R$1,MATCH($F$28,INDIRECT(CONCATENATE($B$3,S$1,$B48,35,":",S$1,$B48,74)),0)+34))="-",S195,INDIRECT(CONCATENATE($B$3,R$1,MATCH($F$28,INDIRECT(CONCATENATE($B$3,S$1,$B48,35,":",S$1,$B48,74)),0)+34))),S195)</f>
        <v/>
      </c>
    </row>
    <row r="49" spans="2:20" x14ac:dyDescent="0.35">
      <c r="B49" s="83" t="s">
        <v>213</v>
      </c>
      <c r="C49" s="83" t="s">
        <v>529</v>
      </c>
      <c r="D49" s="83" t="str">
        <f ca="1">IFERROR(IF(INDIRECT(CONCATENATE($B$3,D$1,MATCH($H$28,INDIRECT(CONCATENATE($B$3,E$1,$B49,35,":",E$1,$B49,74)),0)+34))="-",D196,INDIRECT(CONCATENATE($B$3,D$1,MATCH($H$28,INDIRECT(CONCATENATE($B$3,E$1,$B49,35,":",E$1,$B49,74)),0)+34))),D196)</f>
        <v>PELL Gracie</v>
      </c>
      <c r="E49" s="83" t="str">
        <f ca="1">IFERROR(IF(INDIRECT(CONCATENATE($B$3,D$1,MATCH($J$28,INDIRECT(CONCATENATE($B$3,E$1,$B49,35,":",E$1,$B49,74)),0)+34))="-",E196,INDIRECT(CONCATENATE($B$3,D$1,MATCH($J$28,INDIRECT(CONCATENATE($B$3,E$1,$B49,35,":",E$1,$B49,74)),0)+34))),E196)</f>
        <v>SAS Evelyn</v>
      </c>
      <c r="F49" s="83" t="str">
        <f t="shared" ref="F49" ca="1" si="46">IFERROR(IF(INDIRECT(CONCATENATE($B$3,F$1,MATCH($H$28,INDIRECT(CONCATENATE($B$3,G$1,$B49,35,":",G$1,$B49,74)),0)+34))="-",F196,INDIRECT(CONCATENATE($B$3,F$1,MATCH($H$28,INDIRECT(CONCATENATE($B$3,G$1,$B49,35,":",G$1,$B49,74)),0)+34))),F196)</f>
        <v>ROBERTS Eve</v>
      </c>
      <c r="G49" s="83" t="str">
        <f ca="1">IFERROR(IF(INDIRECT(CONCATENATE($B$3,F$1,MATCH($J$28,INDIRECT(CONCATENATE($B$3,G$1,$B49,35,":",G$1,$B49,74)),0)+34))="-",G196,INDIRECT(CONCATENATE($B$3,F$1,MATCH($J$28,INDIRECT(CONCATENATE($B$3,G$1,$B49,35,":",G$1,$B49,74)),0)+34))),G196)</f>
        <v>SCOTT Violet</v>
      </c>
      <c r="H49" s="83" t="str">
        <f t="shared" ref="H49" ca="1" si="47">IFERROR(IF(INDIRECT(CONCATENATE($B$3,H$1,MATCH($H$28,INDIRECT(CONCATENATE($B$3,I$1,$B49,35,":",I$1,$B49,74)),0)+34))="-",H196,INDIRECT(CONCATENATE($B$3,H$1,MATCH($H$28,INDIRECT(CONCATENATE($B$3,I$1,$B49,35,":",I$1,$B49,74)),0)+34))),H196)</f>
        <v>GREEN-HEMMINGS Grace</v>
      </c>
      <c r="I49" s="83" t="str">
        <f t="shared" ref="I49" ca="1" si="48">IFERROR(IF(INDIRECT(CONCATENATE($B$3,H$1,MATCH($J$28,INDIRECT(CONCATENATE($B$3,I$1,$B49,35,":",I$1,$B49,74)),0)+34))="-",I196,INDIRECT(CONCATENATE($B$3,H$1,MATCH($J$28,INDIRECT(CONCATENATE($B$3,I$1,$B49,35,":",I$1,$B49,74)),0)+34))),I196)</f>
        <v>MARSHALL Nancy</v>
      </c>
      <c r="J49" s="83" t="str">
        <f t="shared" ref="J49" ca="1" si="49">IFERROR(IF(INDIRECT(CONCATENATE($B$3,J$1,MATCH($H$28,INDIRECT(CONCATENATE($B$3,K$1,$B49,35,":",K$1,$B49,74)),0)+34))="-",J196,INDIRECT(CONCATENATE($B$3,J$1,MATCH($H$28,INDIRECT(CONCATENATE($B$3,K$1,$B49,35,":",K$1,$B49,74)),0)+34))),J196)</f>
        <v>SULLOCK Beth</v>
      </c>
      <c r="K49" s="83" t="str">
        <f t="shared" ref="K49" ca="1" si="50">IFERROR(IF(INDIRECT(CONCATENATE($B$3,J$1,MATCH($J$28,INDIRECT(CONCATENATE($B$3,K$1,$B49,35,":",K$1,$B49,74)),0)+34))="-",K196,INDIRECT(CONCATENATE($B$3,J$1,MATCH($J$28,INDIRECT(CONCATENATE($B$3,K$1,$B49,35,":",K$1,$B49,74)),0)+34))),K196)</f>
        <v>WILMOT Amy</v>
      </c>
      <c r="L49" s="83">
        <f t="shared" ref="L49" ca="1" si="51">IFERROR(IF(INDIRECT(CONCATENATE($B$3,L$1,MATCH($H$28,INDIRECT(CONCATENATE($B$3,M$1,$B49,35,":",M$1,$B49,74)),0)+34))="-",L196,INDIRECT(CONCATENATE($B$3,L$1,MATCH($H$28,INDIRECT(CONCATENATE($B$3,M$1,$B49,35,":",M$1,$B49,74)),0)+34))),L196)</f>
        <v>0</v>
      </c>
      <c r="M49" s="83">
        <f t="shared" ref="M49" ca="1" si="52">IFERROR(IF(INDIRECT(CONCATENATE($B$3,L$1,MATCH($J$28,INDIRECT(CONCATENATE($B$3,M$1,$B49,35,":",M$1,$B49,74)),0)+34))="-",M196,INDIRECT(CONCATENATE($B$3,L$1,MATCH($J$28,INDIRECT(CONCATENATE($B$3,M$1,$B49,35,":",M$1,$B49,74)),0)+34))),M196)</f>
        <v>0</v>
      </c>
      <c r="N49" s="83" t="str">
        <f t="shared" ref="N49" ca="1" si="53">IFERROR(IF(INDIRECT(CONCATENATE($B$3,N$1,MATCH($H$28,INDIRECT(CONCATENATE($B$3,O$1,$B49,35,":",O$1,$B49,74)),0)+34))="-",N196,INDIRECT(CONCATENATE($B$3,N$1,MATCH($H$28,INDIRECT(CONCATENATE($B$3,O$1,$B49,35,":",O$1,$B49,74)),0)+34))),N196)</f>
        <v/>
      </c>
      <c r="O49" s="83" t="str">
        <f t="shared" ref="O49" ca="1" si="54">IFERROR(IF(INDIRECT(CONCATENATE($B$3,N$1,MATCH($J$28,INDIRECT(CONCATENATE($B$3,O$1,$B49,35,":",O$1,$B49,74)),0)+34))="-",O196,INDIRECT(CONCATENATE($B$3,N$1,MATCH($J$28,INDIRECT(CONCATENATE($B$3,O$1,$B49,35,":",O$1,$B49,74)),0)+34))),O196)</f>
        <v/>
      </c>
      <c r="P49" s="83" t="str">
        <f t="shared" ref="P49" ca="1" si="55">IFERROR(IF(INDIRECT(CONCATENATE($B$3,P$1,MATCH($H$28,INDIRECT(CONCATENATE($B$3,Q$1,$B49,35,":",Q$1,$B49,74)),0)+34))="-",P196,INDIRECT(CONCATENATE($B$3,P$1,MATCH($H$28,INDIRECT(CONCATENATE($B$3,Q$1,$B49,35,":",Q$1,$B49,74)),0)+34))),P196)</f>
        <v/>
      </c>
      <c r="Q49" s="83" t="str">
        <f t="shared" ref="Q49" ca="1" si="56">IFERROR(IF(INDIRECT(CONCATENATE($B$3,P$1,MATCH($J$28,INDIRECT(CONCATENATE($B$3,Q$1,$B49,35,":",Q$1,$B49,74)),0)+34))="-",Q196,INDIRECT(CONCATENATE($B$3,P$1,MATCH($J$28,INDIRECT(CONCATENATE($B$3,Q$1,$B49,35,":",Q$1,$B49,74)),0)+34))),Q196)</f>
        <v/>
      </c>
      <c r="R49" s="83" t="str">
        <f t="shared" ref="R49" ca="1" si="57">IFERROR(IF(INDIRECT(CONCATENATE($B$3,R$1,MATCH($H$28,INDIRECT(CONCATENATE($B$3,S$1,$B49,35,":",S$1,$B49,74)),0)+34))="-",R196,INDIRECT(CONCATENATE($B$3,R$1,MATCH($H$28,INDIRECT(CONCATENATE($B$3,S$1,$B49,35,":",S$1,$B49,74)),0)+34))),R196)</f>
        <v/>
      </c>
      <c r="S49" s="83" t="str">
        <f t="shared" ref="S49" ca="1" si="58">IFERROR(IF(INDIRECT(CONCATENATE($B$3,R$1,MATCH($J$28,INDIRECT(CONCATENATE($B$3,S$1,$B49,35,":",S$1,$B49,74)),0)+34))="-",S196,INDIRECT(CONCATENATE($B$3,R$1,MATCH($J$28,INDIRECT(CONCATENATE($B$3,S$1,$B49,35,":",S$1,$B49,74)),0)+34))),S196)</f>
        <v/>
      </c>
    </row>
    <row r="50" spans="2:20" x14ac:dyDescent="0.35">
      <c r="B50" s="83" t="s">
        <v>214</v>
      </c>
      <c r="C50" s="83" t="s">
        <v>530</v>
      </c>
    </row>
    <row r="51" spans="2:20" x14ac:dyDescent="0.35">
      <c r="B51" s="83" t="s">
        <v>214</v>
      </c>
      <c r="C51" s="83" t="s">
        <v>530</v>
      </c>
    </row>
    <row r="53" spans="2:20" x14ac:dyDescent="0.35">
      <c r="B53" s="83" t="str">
        <f>"'LAG Boys'!"</f>
        <v>'LAG Boys'!</v>
      </c>
      <c r="C53" s="83" t="s">
        <v>547</v>
      </c>
      <c r="D53" s="83">
        <f>D2</f>
        <v>1</v>
      </c>
      <c r="E53" s="83">
        <f t="shared" ref="E53:S53" si="59">E2</f>
        <v>11</v>
      </c>
      <c r="F53" s="83">
        <f t="shared" si="59"/>
        <v>2</v>
      </c>
      <c r="G53" s="83">
        <f t="shared" si="59"/>
        <v>22</v>
      </c>
      <c r="H53" s="83">
        <f t="shared" si="59"/>
        <v>3</v>
      </c>
      <c r="I53" s="83">
        <f t="shared" si="59"/>
        <v>33</v>
      </c>
      <c r="J53" s="83">
        <f t="shared" si="59"/>
        <v>4</v>
      </c>
      <c r="K53" s="83">
        <f t="shared" si="59"/>
        <v>44</v>
      </c>
      <c r="L53" s="83">
        <f t="shared" si="59"/>
        <v>5</v>
      </c>
      <c r="M53" s="83">
        <f t="shared" si="59"/>
        <v>55</v>
      </c>
      <c r="N53" s="83">
        <f t="shared" si="59"/>
        <v>6</v>
      </c>
      <c r="O53" s="83">
        <f t="shared" si="59"/>
        <v>66</v>
      </c>
      <c r="P53" s="83">
        <f t="shared" si="59"/>
        <v>7</v>
      </c>
      <c r="Q53" s="83">
        <f t="shared" si="59"/>
        <v>77</v>
      </c>
      <c r="R53" s="83">
        <f t="shared" si="59"/>
        <v>8</v>
      </c>
      <c r="S53" s="83">
        <f t="shared" si="59"/>
        <v>88</v>
      </c>
    </row>
    <row r="54" spans="2:20" x14ac:dyDescent="0.35">
      <c r="B54" s="83" t="s">
        <v>54</v>
      </c>
      <c r="C54" s="83" t="s">
        <v>532</v>
      </c>
      <c r="D54" s="83" t="str">
        <f ca="1">IFERROR(IF(INDIRECT(CONCATENATE($B$53,D$1,MATCH(D$2,INDIRECT(CONCATENATE($B$53,E$1,$B54,4,":",E$1,$B54,33)),0)+3))="-",D104,INDIRECT(CONCATENATE($B$53,D$1,MATCH(D$2,INDIRECT(CONCATENATE($B$53,E$1,$B54,4,":",E$1,$B54,33)),0)+3))),D104)</f>
        <v>FOGDEN Ben</v>
      </c>
      <c r="E54" s="83" t="str">
        <f t="shared" ref="E54:S69" ca="1" si="60">IFERROR(IF(INDIRECT(CONCATENATE($B$53,E$1,MATCH(E$2,INDIRECT(CONCATENATE($B$53,F$1,$B54,4,":",F$1,$B54,33)),0)+3))="-",E104,INDIRECT(CONCATENATE($B$53,E$1,MATCH(E$2,INDIRECT(CONCATENATE($B$53,F$1,$B54,4,":",F$1,$B54,33)),0)+3))),E104)</f>
        <v>COOPER Malachi</v>
      </c>
      <c r="F54" s="83" t="str">
        <f t="shared" ca="1" si="60"/>
        <v>WAINWRIGHT James</v>
      </c>
      <c r="G54" s="83" t="str">
        <f t="shared" ca="1" si="60"/>
        <v>-</v>
      </c>
      <c r="H54" s="83" t="str">
        <f t="shared" ca="1" si="60"/>
        <v>MEIGH William</v>
      </c>
      <c r="I54" s="83" t="str">
        <f t="shared" ca="1" si="60"/>
        <v>PYE George</v>
      </c>
      <c r="J54" s="83" t="str">
        <f t="shared" ca="1" si="60"/>
        <v>MAYNARD Tom</v>
      </c>
      <c r="K54" s="83" t="str">
        <f t="shared" ca="1" si="60"/>
        <v>OKEY Chieme</v>
      </c>
      <c r="L54" s="83">
        <f t="shared" ca="1" si="60"/>
        <v>0</v>
      </c>
      <c r="M54" s="83">
        <f t="shared" ca="1" si="60"/>
        <v>0</v>
      </c>
      <c r="N54" s="83" t="str">
        <f t="shared" ca="1" si="60"/>
        <v/>
      </c>
      <c r="O54" s="83" t="str">
        <f t="shared" ca="1" si="60"/>
        <v/>
      </c>
      <c r="P54" s="83" t="str">
        <f t="shared" ca="1" si="60"/>
        <v/>
      </c>
      <c r="Q54" s="83" t="str">
        <f t="shared" ca="1" si="60"/>
        <v/>
      </c>
      <c r="R54" s="83" t="str">
        <f t="shared" ca="1" si="60"/>
        <v/>
      </c>
      <c r="S54" s="83" t="str">
        <f t="shared" ca="1" si="60"/>
        <v/>
      </c>
      <c r="T54" s="83"/>
    </row>
    <row r="55" spans="2:20" x14ac:dyDescent="0.35">
      <c r="B55" s="83" t="s">
        <v>333</v>
      </c>
      <c r="C55" s="83" t="s">
        <v>535</v>
      </c>
      <c r="D55" s="83" t="str">
        <f ca="1">IFERROR(IF(INDIRECT(CONCATENATE($B$53,D$1,MATCH(D$2,INDIRECT(CONCATENATE($B$53,E$1,$B55,4,":",E$1,$B55,33)),0)+3))="-",D105,INDIRECT(CONCATENATE($B$53,D$1,MATCH(D$2,INDIRECT(CONCATENATE($B$53,E$1,$B55,4,":",E$1,$B55,33)),0)+3))),D105)</f>
        <v>MAZUREK Gracjan</v>
      </c>
      <c r="E55" s="83" t="str">
        <f t="shared" ca="1" si="60"/>
        <v>BAKER Joseph</v>
      </c>
      <c r="F55" s="83">
        <f t="shared" ca="1" si="60"/>
        <v>0</v>
      </c>
      <c r="G55" s="83">
        <f t="shared" ca="1" si="60"/>
        <v>0</v>
      </c>
      <c r="H55" s="83" t="str">
        <f t="shared" ca="1" si="60"/>
        <v>COOK Harry</v>
      </c>
      <c r="I55" s="83" t="str">
        <f t="shared" ca="1" si="60"/>
        <v>-</v>
      </c>
      <c r="J55" s="83" t="str">
        <f t="shared" ca="1" si="60"/>
        <v>BUTLER Jake</v>
      </c>
      <c r="K55" s="83" t="str">
        <f t="shared" ca="1" si="60"/>
        <v>CHINNERY Norton</v>
      </c>
      <c r="L55" s="83">
        <f t="shared" ca="1" si="60"/>
        <v>0</v>
      </c>
      <c r="M55" s="83">
        <f t="shared" ca="1" si="60"/>
        <v>0</v>
      </c>
      <c r="N55" s="83" t="str">
        <f t="shared" ca="1" si="60"/>
        <v/>
      </c>
      <c r="O55" s="83" t="str">
        <f t="shared" ca="1" si="60"/>
        <v/>
      </c>
      <c r="P55" s="83" t="str">
        <f t="shared" ca="1" si="60"/>
        <v/>
      </c>
      <c r="Q55" s="83" t="str">
        <f t="shared" ca="1" si="60"/>
        <v/>
      </c>
      <c r="R55" s="83" t="str">
        <f t="shared" ca="1" si="60"/>
        <v/>
      </c>
      <c r="S55" s="83" t="str">
        <f t="shared" ca="1" si="60"/>
        <v/>
      </c>
      <c r="T55" s="83"/>
    </row>
    <row r="56" spans="2:20" x14ac:dyDescent="0.35">
      <c r="B56" s="83" t="s">
        <v>515</v>
      </c>
      <c r="C56" s="83" t="s">
        <v>533</v>
      </c>
      <c r="D56" s="83" t="str">
        <f ca="1">IFERROR(IF(INDIRECT(CONCATENATE($B$53,D$1,MATCH(D$2,INDIRECT(CONCATENATE($B$53,E$1,$B56,4,":",E$1,$B56,33)),0)+3))="-",D106,INDIRECT(CONCATENATE($B$53,D$1,MATCH(D$2,INDIRECT(CONCATENATE($B$53,E$1,$B56,4,":",E$1,$B56,33)),0)+3))),D106)</f>
        <v>FOGDEN Ben</v>
      </c>
      <c r="E56" s="83" t="str">
        <f t="shared" ca="1" si="60"/>
        <v>SAS Reuben</v>
      </c>
      <c r="F56" s="83" t="str">
        <f t="shared" ca="1" si="60"/>
        <v>OR KAM FAT Matteo</v>
      </c>
      <c r="G56" s="83" t="str">
        <f t="shared" ca="1" si="60"/>
        <v>BENTLEY Tom</v>
      </c>
      <c r="H56" s="83" t="str">
        <f t="shared" ca="1" si="60"/>
        <v>HOW Louis</v>
      </c>
      <c r="I56" s="83" t="str">
        <f t="shared" ca="1" si="60"/>
        <v>PYE George</v>
      </c>
      <c r="J56" s="83" t="str">
        <f t="shared" ca="1" si="60"/>
        <v>MAYNARD Tom</v>
      </c>
      <c r="K56" s="83" t="str">
        <f t="shared" ca="1" si="60"/>
        <v>CHINNERY Norton</v>
      </c>
      <c r="L56" s="83">
        <f t="shared" ca="1" si="60"/>
        <v>0</v>
      </c>
      <c r="M56" s="83">
        <f t="shared" ca="1" si="60"/>
        <v>0</v>
      </c>
      <c r="N56" s="83" t="str">
        <f t="shared" ca="1" si="60"/>
        <v/>
      </c>
      <c r="O56" s="83" t="str">
        <f t="shared" ca="1" si="60"/>
        <v/>
      </c>
      <c r="P56" s="83" t="str">
        <f t="shared" ca="1" si="60"/>
        <v/>
      </c>
      <c r="Q56" s="83" t="str">
        <f t="shared" ca="1" si="60"/>
        <v/>
      </c>
      <c r="R56" s="83" t="str">
        <f t="shared" ca="1" si="60"/>
        <v/>
      </c>
      <c r="S56" s="83" t="str">
        <f t="shared" ca="1" si="60"/>
        <v/>
      </c>
      <c r="T56" s="83"/>
    </row>
    <row r="57" spans="2:20" x14ac:dyDescent="0.35">
      <c r="B57" s="83" t="s">
        <v>223</v>
      </c>
      <c r="C57" s="83" t="s">
        <v>531</v>
      </c>
      <c r="D57" s="83" t="str">
        <f ca="1">IFERROR(IF(INDIRECT(CONCATENATE($B$53,D$1,MATCH(D$2,INDIRECT(CONCATENATE($B$53,E$1,$B57,4,":",E$1,$B57,33)),0)+3))="-",D107,INDIRECT(CONCATENATE($B$53,D$1,MATCH(D$2,INDIRECT(CONCATENATE($B$53,E$1,$B57,4,":",E$1,$B57,33)),0)+3))),D107)</f>
        <v>MARRIOTT Thomas</v>
      </c>
      <c r="E57" s="83" t="str">
        <f t="shared" ca="1" si="60"/>
        <v>BAKER Joseph</v>
      </c>
      <c r="F57" s="83" t="str">
        <f t="shared" ca="1" si="60"/>
        <v>KRIEL PARR George</v>
      </c>
      <c r="G57" s="83" t="str">
        <f t="shared" ca="1" si="60"/>
        <v>-</v>
      </c>
      <c r="H57" s="83" t="str">
        <f t="shared" ca="1" si="60"/>
        <v>BRATLEY Jack</v>
      </c>
      <c r="I57" s="83" t="str">
        <f t="shared" ca="1" si="60"/>
        <v>BROOKS Rory</v>
      </c>
      <c r="J57" s="83" t="str">
        <f t="shared" ca="1" si="60"/>
        <v>FRENCH William</v>
      </c>
      <c r="K57" s="83" t="str">
        <f t="shared" ca="1" si="60"/>
        <v>KAYE Charlie</v>
      </c>
      <c r="L57" s="83" t="str">
        <f t="shared" ca="1" si="60"/>
        <v>OADES Matthew</v>
      </c>
      <c r="M57" s="83">
        <f t="shared" ca="1" si="60"/>
        <v>0</v>
      </c>
      <c r="N57" s="83" t="str">
        <f t="shared" ca="1" si="60"/>
        <v/>
      </c>
      <c r="O57" s="83" t="str">
        <f t="shared" ca="1" si="60"/>
        <v/>
      </c>
      <c r="P57" s="83" t="str">
        <f t="shared" ca="1" si="60"/>
        <v/>
      </c>
      <c r="Q57" s="83" t="str">
        <f t="shared" ca="1" si="60"/>
        <v/>
      </c>
      <c r="R57" s="83" t="str">
        <f t="shared" ca="1" si="60"/>
        <v/>
      </c>
      <c r="S57" s="83" t="str">
        <f t="shared" ca="1" si="60"/>
        <v/>
      </c>
      <c r="T57" s="83"/>
    </row>
    <row r="58" spans="2:20" x14ac:dyDescent="0.35">
      <c r="B58" s="83" t="s">
        <v>224</v>
      </c>
      <c r="C58" s="83">
        <v>800</v>
      </c>
      <c r="D58" s="83" t="str">
        <f ca="1">IFERROR(IF(INDIRECT(CONCATENATE($B$53,D$1,MATCH(D$2,INDIRECT(CONCATENATE($B$53,E$1,$B58,4,":",E$1,$B58,33)),0)+3))="-",D108,INDIRECT(CONCATENATE($B$53,D$1,MATCH(D$2,INDIRECT(CONCATENATE($B$53,E$1,$B58,4,":",E$1,$B58,33)),0)+3))),D108)</f>
        <v>MARRIOTT Thomas</v>
      </c>
      <c r="E58" s="83" t="str">
        <f t="shared" ca="1" si="60"/>
        <v>MAZUREK Gracjan</v>
      </c>
      <c r="F58" s="83" t="str">
        <f t="shared" ca="1" si="60"/>
        <v>SCOTT Leni</v>
      </c>
      <c r="G58" s="83" t="str">
        <f t="shared" ca="1" si="60"/>
        <v>KRIEL PARR George</v>
      </c>
      <c r="H58" s="83" t="str">
        <f t="shared" ca="1" si="60"/>
        <v>HOW Louis</v>
      </c>
      <c r="I58" s="83" t="str">
        <f t="shared" ca="1" si="60"/>
        <v>HANLEY Edward</v>
      </c>
      <c r="J58" s="83" t="str">
        <f t="shared" ca="1" si="60"/>
        <v>BELL Callum</v>
      </c>
      <c r="K58" s="83" t="str">
        <f t="shared" ca="1" si="60"/>
        <v>-</v>
      </c>
      <c r="L58" s="83" t="str">
        <f t="shared" ca="1" si="60"/>
        <v>OADES Matthew</v>
      </c>
      <c r="M58" s="83">
        <f t="shared" ca="1" si="60"/>
        <v>0</v>
      </c>
      <c r="N58" s="83" t="str">
        <f t="shared" ca="1" si="60"/>
        <v/>
      </c>
      <c r="O58" s="83" t="str">
        <f t="shared" ca="1" si="60"/>
        <v/>
      </c>
      <c r="P58" s="83" t="str">
        <f t="shared" ca="1" si="60"/>
        <v/>
      </c>
      <c r="Q58" s="83" t="str">
        <f t="shared" ca="1" si="60"/>
        <v/>
      </c>
      <c r="R58" s="83" t="str">
        <f t="shared" ca="1" si="60"/>
        <v/>
      </c>
      <c r="S58" s="83" t="str">
        <f t="shared" ca="1" si="60"/>
        <v/>
      </c>
      <c r="T58" s="83"/>
    </row>
    <row r="59" spans="2:20" x14ac:dyDescent="0.35">
      <c r="B59" s="83" t="s">
        <v>225</v>
      </c>
      <c r="C59" s="83" t="s">
        <v>536</v>
      </c>
      <c r="D59" s="83" t="str">
        <f t="shared" ref="D59:D72" ca="1" si="61">IFERROR(IF(INDIRECT(CONCATENATE($B$53,D$1,MATCH(D$2,INDIRECT(CONCATENATE($B$53,E$1,$B59,4,":",E$1,$B59,33)),0)+3))="-",D109,INDIRECT(CONCATENATE($B$53,D$1,MATCH(D$2,INDIRECT(CONCATENATE($B$53,E$1,$B59,4,":",E$1,$B59,33)),0)+3))),D109)</f>
        <v>BAKER Joseph</v>
      </c>
      <c r="E59" s="83">
        <f t="shared" ca="1" si="60"/>
        <v>0</v>
      </c>
      <c r="F59" s="83">
        <f t="shared" ca="1" si="60"/>
        <v>0</v>
      </c>
      <c r="G59" s="83">
        <f t="shared" ca="1" si="60"/>
        <v>0</v>
      </c>
      <c r="H59" s="83" t="str">
        <f t="shared" ca="1" si="60"/>
        <v>-</v>
      </c>
      <c r="I59" s="83" t="str">
        <f t="shared" ca="1" si="60"/>
        <v>-</v>
      </c>
      <c r="J59" s="83" t="str">
        <f t="shared" ca="1" si="60"/>
        <v>-</v>
      </c>
      <c r="K59" s="83" t="str">
        <f t="shared" ca="1" si="60"/>
        <v>-</v>
      </c>
      <c r="L59" s="83">
        <f t="shared" ca="1" si="60"/>
        <v>0</v>
      </c>
      <c r="M59" s="83">
        <f t="shared" ca="1" si="60"/>
        <v>0</v>
      </c>
      <c r="N59" s="83" t="str">
        <f t="shared" ca="1" si="60"/>
        <v/>
      </c>
      <c r="O59" s="83" t="str">
        <f t="shared" ca="1" si="60"/>
        <v/>
      </c>
      <c r="P59" s="83" t="str">
        <f t="shared" ca="1" si="60"/>
        <v/>
      </c>
      <c r="Q59" s="83" t="str">
        <f t="shared" ca="1" si="60"/>
        <v/>
      </c>
      <c r="R59" s="83" t="str">
        <f t="shared" ca="1" si="60"/>
        <v/>
      </c>
      <c r="S59" s="83" t="str">
        <f t="shared" ca="1" si="60"/>
        <v/>
      </c>
      <c r="T59" s="83"/>
    </row>
    <row r="60" spans="2:20" x14ac:dyDescent="0.35">
      <c r="B60" s="83" t="s">
        <v>226</v>
      </c>
      <c r="C60" s="83" t="s">
        <v>534</v>
      </c>
      <c r="D60" s="83" t="str">
        <f t="shared" ca="1" si="61"/>
        <v>BETTNEY Thomas</v>
      </c>
      <c r="E60" s="83" t="str">
        <f t="shared" ca="1" si="60"/>
        <v>SAS Reuben</v>
      </c>
      <c r="F60" s="83" t="str">
        <f t="shared" ca="1" si="60"/>
        <v>COLLINI Joseph</v>
      </c>
      <c r="G60" s="83">
        <f t="shared" ca="1" si="60"/>
        <v>0</v>
      </c>
      <c r="H60" s="83" t="str">
        <f t="shared" ca="1" si="60"/>
        <v>BRATLEY Jack</v>
      </c>
      <c r="I60" s="83" t="str">
        <f t="shared" ca="1" si="60"/>
        <v>HENSON Isaac</v>
      </c>
      <c r="J60" s="83" t="str">
        <f t="shared" ca="1" si="60"/>
        <v>SAYERS James</v>
      </c>
      <c r="K60" s="83" t="str">
        <f t="shared" ca="1" si="60"/>
        <v>-</v>
      </c>
      <c r="L60" s="83">
        <f t="shared" ca="1" si="60"/>
        <v>0</v>
      </c>
      <c r="M60" s="83">
        <f t="shared" ca="1" si="60"/>
        <v>0</v>
      </c>
      <c r="N60" s="83" t="str">
        <f t="shared" ca="1" si="60"/>
        <v/>
      </c>
      <c r="O60" s="83" t="str">
        <f t="shared" ca="1" si="60"/>
        <v/>
      </c>
      <c r="P60" s="83" t="str">
        <f t="shared" ca="1" si="60"/>
        <v/>
      </c>
      <c r="Q60" s="83" t="str">
        <f t="shared" ca="1" si="60"/>
        <v/>
      </c>
      <c r="R60" s="83" t="str">
        <f t="shared" ca="1" si="60"/>
        <v/>
      </c>
      <c r="S60" s="83" t="str">
        <f t="shared" ca="1" si="60"/>
        <v/>
      </c>
      <c r="T60" s="83"/>
    </row>
    <row r="61" spans="2:20" x14ac:dyDescent="0.35">
      <c r="B61" s="83" t="s">
        <v>138</v>
      </c>
      <c r="C61" s="83" t="s">
        <v>526</v>
      </c>
      <c r="D61" s="83" t="str">
        <f t="shared" ca="1" si="61"/>
        <v>MARRIOTT Thomas</v>
      </c>
      <c r="E61" s="83" t="str">
        <f t="shared" ca="1" si="60"/>
        <v>FOOT James</v>
      </c>
      <c r="F61" s="83" t="str">
        <f t="shared" ca="1" si="60"/>
        <v>BENTLEY Tom</v>
      </c>
      <c r="G61" s="83" t="str">
        <f t="shared" ca="1" si="60"/>
        <v>SCOTT Leni</v>
      </c>
      <c r="H61" s="83" t="str">
        <f t="shared" ca="1" si="60"/>
        <v>HENSON Isaac</v>
      </c>
      <c r="I61" s="83" t="str">
        <f t="shared" ca="1" si="60"/>
        <v>LANSFORD Hollis</v>
      </c>
      <c r="J61" s="83" t="str">
        <f t="shared" ca="1" si="60"/>
        <v>-</v>
      </c>
      <c r="K61" s="83" t="str">
        <f t="shared" ca="1" si="60"/>
        <v>-</v>
      </c>
      <c r="L61" s="83">
        <f t="shared" ca="1" si="60"/>
        <v>0</v>
      </c>
      <c r="M61" s="83">
        <f t="shared" ca="1" si="60"/>
        <v>0</v>
      </c>
      <c r="N61" s="83" t="str">
        <f t="shared" ca="1" si="60"/>
        <v/>
      </c>
      <c r="O61" s="83" t="str">
        <f t="shared" ca="1" si="60"/>
        <v/>
      </c>
      <c r="P61" s="83" t="str">
        <f t="shared" ca="1" si="60"/>
        <v/>
      </c>
      <c r="Q61" s="83" t="str">
        <f t="shared" ca="1" si="60"/>
        <v/>
      </c>
      <c r="R61" s="83" t="str">
        <f t="shared" ca="1" si="60"/>
        <v/>
      </c>
      <c r="S61" s="83" t="str">
        <f t="shared" ca="1" si="60"/>
        <v/>
      </c>
      <c r="T61" s="83"/>
    </row>
    <row r="62" spans="2:20" x14ac:dyDescent="0.35">
      <c r="B62" s="83" t="s">
        <v>219</v>
      </c>
      <c r="C62" s="83">
        <v>3000</v>
      </c>
      <c r="D62" s="83">
        <f t="shared" ca="1" si="61"/>
        <v>0</v>
      </c>
      <c r="E62" s="83">
        <f t="shared" ca="1" si="60"/>
        <v>0</v>
      </c>
      <c r="F62" s="83">
        <f t="shared" ca="1" si="60"/>
        <v>0</v>
      </c>
      <c r="G62" s="83">
        <f t="shared" ca="1" si="60"/>
        <v>0</v>
      </c>
      <c r="H62" s="83">
        <f t="shared" ca="1" si="60"/>
        <v>0</v>
      </c>
      <c r="I62" s="83">
        <f t="shared" ca="1" si="60"/>
        <v>0</v>
      </c>
      <c r="J62" s="83">
        <f t="shared" ca="1" si="60"/>
        <v>0</v>
      </c>
      <c r="K62" s="83">
        <f t="shared" ca="1" si="60"/>
        <v>0</v>
      </c>
      <c r="L62" s="83">
        <f t="shared" ca="1" si="60"/>
        <v>0</v>
      </c>
      <c r="M62" s="83">
        <f t="shared" ca="1" si="60"/>
        <v>0</v>
      </c>
      <c r="N62" s="83" t="str">
        <f t="shared" ca="1" si="60"/>
        <v/>
      </c>
      <c r="O62" s="83" t="str">
        <f t="shared" ca="1" si="60"/>
        <v/>
      </c>
      <c r="P62" s="83" t="str">
        <f t="shared" ca="1" si="60"/>
        <v/>
      </c>
      <c r="Q62" s="83" t="str">
        <f t="shared" ca="1" si="60"/>
        <v/>
      </c>
      <c r="R62" s="83" t="str">
        <f t="shared" ca="1" si="60"/>
        <v/>
      </c>
      <c r="S62" s="83" t="str">
        <f t="shared" ca="1" si="60"/>
        <v/>
      </c>
      <c r="T62" s="83"/>
    </row>
    <row r="63" spans="2:20" x14ac:dyDescent="0.35">
      <c r="B63" s="83" t="s">
        <v>220</v>
      </c>
      <c r="C63" s="83" t="s">
        <v>525</v>
      </c>
      <c r="D63" s="83">
        <f t="shared" ca="1" si="61"/>
        <v>0</v>
      </c>
      <c r="E63" s="83">
        <f t="shared" ca="1" si="60"/>
        <v>0</v>
      </c>
      <c r="F63" s="83">
        <f t="shared" ca="1" si="60"/>
        <v>0</v>
      </c>
      <c r="G63" s="83">
        <f t="shared" ca="1" si="60"/>
        <v>0</v>
      </c>
      <c r="H63" s="83">
        <f t="shared" ca="1" si="60"/>
        <v>0</v>
      </c>
      <c r="I63" s="83">
        <f t="shared" ca="1" si="60"/>
        <v>0</v>
      </c>
      <c r="J63" s="83">
        <f t="shared" ca="1" si="60"/>
        <v>0</v>
      </c>
      <c r="K63" s="83">
        <f t="shared" ca="1" si="60"/>
        <v>0</v>
      </c>
      <c r="L63" s="83">
        <f t="shared" ca="1" si="60"/>
        <v>0</v>
      </c>
      <c r="M63" s="83">
        <f t="shared" ca="1" si="60"/>
        <v>0</v>
      </c>
      <c r="N63" s="83" t="str">
        <f t="shared" ca="1" si="60"/>
        <v/>
      </c>
      <c r="O63" s="83" t="str">
        <f t="shared" ca="1" si="60"/>
        <v/>
      </c>
      <c r="P63" s="83" t="str">
        <f t="shared" ca="1" si="60"/>
        <v/>
      </c>
      <c r="Q63" s="83" t="str">
        <f t="shared" ca="1" si="60"/>
        <v/>
      </c>
      <c r="R63" s="83" t="str">
        <f t="shared" ca="1" si="60"/>
        <v/>
      </c>
      <c r="S63" s="83" t="str">
        <f t="shared" ca="1" si="60"/>
        <v/>
      </c>
      <c r="T63" s="83"/>
    </row>
    <row r="64" spans="2:20" x14ac:dyDescent="0.35">
      <c r="B64" s="83" t="s">
        <v>221</v>
      </c>
      <c r="C64" s="83" t="s">
        <v>527</v>
      </c>
      <c r="D64" s="83">
        <f t="shared" ca="1" si="61"/>
        <v>0</v>
      </c>
      <c r="E64" s="83">
        <f t="shared" ca="1" si="60"/>
        <v>0</v>
      </c>
      <c r="F64" s="83">
        <f t="shared" ca="1" si="60"/>
        <v>0</v>
      </c>
      <c r="G64" s="83">
        <f t="shared" ca="1" si="60"/>
        <v>0</v>
      </c>
      <c r="H64" s="83">
        <f t="shared" ca="1" si="60"/>
        <v>0</v>
      </c>
      <c r="I64" s="83">
        <f t="shared" ca="1" si="60"/>
        <v>0</v>
      </c>
      <c r="J64" s="83">
        <f t="shared" ca="1" si="60"/>
        <v>0</v>
      </c>
      <c r="K64" s="83">
        <f t="shared" ca="1" si="60"/>
        <v>0</v>
      </c>
      <c r="L64" s="83">
        <f t="shared" ca="1" si="60"/>
        <v>0</v>
      </c>
      <c r="M64" s="83">
        <f t="shared" ca="1" si="60"/>
        <v>0</v>
      </c>
      <c r="N64" s="83" t="str">
        <f t="shared" ca="1" si="60"/>
        <v/>
      </c>
      <c r="O64" s="83" t="str">
        <f t="shared" ca="1" si="60"/>
        <v/>
      </c>
      <c r="P64" s="83" t="str">
        <f t="shared" ca="1" si="60"/>
        <v/>
      </c>
      <c r="Q64" s="83" t="str">
        <f t="shared" ca="1" si="60"/>
        <v/>
      </c>
      <c r="R64" s="83" t="str">
        <f t="shared" ca="1" si="60"/>
        <v/>
      </c>
      <c r="S64" s="83" t="str">
        <f t="shared" ca="1" si="60"/>
        <v/>
      </c>
      <c r="T64" s="83"/>
    </row>
    <row r="65" spans="2:20" x14ac:dyDescent="0.35">
      <c r="B65" s="83" t="s">
        <v>222</v>
      </c>
      <c r="C65" s="83" t="s">
        <v>25</v>
      </c>
      <c r="D65" s="83" t="str">
        <f t="shared" ca="1" si="61"/>
        <v>COOPER Malachi</v>
      </c>
      <c r="E65" s="83" t="str">
        <f t="shared" ca="1" si="60"/>
        <v>PEERS-WAIN Jacob</v>
      </c>
      <c r="F65" s="83" t="str">
        <f t="shared" ca="1" si="60"/>
        <v>WAINWRIGHT James</v>
      </c>
      <c r="G65" s="83" t="str">
        <f t="shared" ca="1" si="60"/>
        <v>KRIEL PARR George</v>
      </c>
      <c r="H65" s="83" t="str">
        <f t="shared" ca="1" si="60"/>
        <v>RHODES Ashton</v>
      </c>
      <c r="I65" s="83" t="str">
        <f t="shared" ca="1" si="60"/>
        <v>BROOKS Rory</v>
      </c>
      <c r="J65" s="83" t="str">
        <f t="shared" ca="1" si="60"/>
        <v>BELL Callum</v>
      </c>
      <c r="K65" s="83" t="str">
        <f t="shared" ca="1" si="60"/>
        <v>-</v>
      </c>
      <c r="L65" s="83" t="str">
        <f t="shared" ca="1" si="60"/>
        <v>COOK Edwin</v>
      </c>
      <c r="M65" s="83">
        <f t="shared" ca="1" si="60"/>
        <v>0</v>
      </c>
      <c r="N65" s="83" t="str">
        <f t="shared" ca="1" si="60"/>
        <v/>
      </c>
      <c r="O65" s="83" t="str">
        <f t="shared" ca="1" si="60"/>
        <v/>
      </c>
      <c r="P65" s="83" t="str">
        <f t="shared" ca="1" si="60"/>
        <v/>
      </c>
      <c r="Q65" s="83" t="str">
        <f t="shared" ca="1" si="60"/>
        <v/>
      </c>
      <c r="R65" s="83" t="str">
        <f t="shared" ca="1" si="60"/>
        <v/>
      </c>
      <c r="S65" s="83" t="str">
        <f t="shared" ca="1" si="60"/>
        <v/>
      </c>
      <c r="T65" s="83"/>
    </row>
    <row r="66" spans="2:20" x14ac:dyDescent="0.35">
      <c r="B66" s="83" t="s">
        <v>537</v>
      </c>
      <c r="C66" s="83" t="s">
        <v>21</v>
      </c>
      <c r="D66" s="83" t="str">
        <f t="shared" ca="1" si="61"/>
        <v>PEERS-WAIN Jacob</v>
      </c>
      <c r="E66" s="83" t="str">
        <f t="shared" ca="1" si="60"/>
        <v>BETTNEY Thomas</v>
      </c>
      <c r="F66" s="83">
        <f t="shared" ca="1" si="60"/>
        <v>0</v>
      </c>
      <c r="G66" s="83">
        <f t="shared" ca="1" si="60"/>
        <v>0</v>
      </c>
      <c r="H66" s="83" t="str">
        <f t="shared" ca="1" si="60"/>
        <v>MEIGH William</v>
      </c>
      <c r="I66" s="83" t="str">
        <f t="shared" ca="1" si="60"/>
        <v>RUTTER Aaron</v>
      </c>
      <c r="J66" s="83" t="str">
        <f t="shared" ca="1" si="60"/>
        <v>BELL Callum</v>
      </c>
      <c r="K66" s="83" t="str">
        <f t="shared" ca="1" si="60"/>
        <v>-</v>
      </c>
      <c r="L66" s="83" t="str">
        <f t="shared" ca="1" si="60"/>
        <v>-</v>
      </c>
      <c r="M66" s="83">
        <f t="shared" ca="1" si="60"/>
        <v>0</v>
      </c>
      <c r="N66" s="83" t="str">
        <f t="shared" ca="1" si="60"/>
        <v/>
      </c>
      <c r="O66" s="83" t="str">
        <f t="shared" ca="1" si="60"/>
        <v/>
      </c>
      <c r="P66" s="83" t="str">
        <f t="shared" ca="1" si="60"/>
        <v/>
      </c>
      <c r="Q66" s="83" t="str">
        <f t="shared" ca="1" si="60"/>
        <v/>
      </c>
      <c r="R66" s="83" t="str">
        <f t="shared" ca="1" si="60"/>
        <v/>
      </c>
      <c r="S66" s="83" t="str">
        <f t="shared" ca="1" si="60"/>
        <v/>
      </c>
      <c r="T66" s="83"/>
    </row>
    <row r="67" spans="2:20" x14ac:dyDescent="0.35">
      <c r="B67" s="83" t="s">
        <v>216</v>
      </c>
      <c r="C67" s="83" t="s">
        <v>28</v>
      </c>
      <c r="D67" s="83" t="str">
        <f t="shared" ca="1" si="61"/>
        <v>BETTNEY Thomas</v>
      </c>
      <c r="E67" s="83" t="str">
        <f t="shared" ca="1" si="60"/>
        <v>SAS Reuben</v>
      </c>
      <c r="F67" s="83" t="str">
        <f t="shared" ca="1" si="60"/>
        <v>COLLINI Joseph</v>
      </c>
      <c r="G67" s="83" t="str">
        <f t="shared" ca="1" si="60"/>
        <v>WAINWRIGHT James</v>
      </c>
      <c r="H67" s="83" t="str">
        <f t="shared" ca="1" si="60"/>
        <v>RHODES Ashton</v>
      </c>
      <c r="I67" s="83" t="str">
        <f t="shared" ca="1" si="60"/>
        <v>BROOKS Rory</v>
      </c>
      <c r="J67" s="83" t="str">
        <f t="shared" ca="1" si="60"/>
        <v>-</v>
      </c>
      <c r="K67" s="83" t="str">
        <f t="shared" ca="1" si="60"/>
        <v>-</v>
      </c>
      <c r="L67" s="83" t="str">
        <f t="shared" ca="1" si="60"/>
        <v>COOK Edwin</v>
      </c>
      <c r="M67" s="83" t="str">
        <f t="shared" ca="1" si="60"/>
        <v>OADES Matthew</v>
      </c>
      <c r="N67" s="83" t="str">
        <f t="shared" ca="1" si="60"/>
        <v/>
      </c>
      <c r="O67" s="83" t="str">
        <f t="shared" ca="1" si="60"/>
        <v/>
      </c>
      <c r="P67" s="83" t="str">
        <f t="shared" ca="1" si="60"/>
        <v/>
      </c>
      <c r="Q67" s="83" t="str">
        <f t="shared" ca="1" si="60"/>
        <v/>
      </c>
      <c r="R67" s="83" t="str">
        <f t="shared" ca="1" si="60"/>
        <v/>
      </c>
      <c r="S67" s="83" t="str">
        <f t="shared" ca="1" si="60"/>
        <v/>
      </c>
      <c r="T67" s="83"/>
    </row>
    <row r="68" spans="2:20" x14ac:dyDescent="0.35">
      <c r="B68" s="83" t="s">
        <v>217</v>
      </c>
      <c r="C68" s="83" t="s">
        <v>24</v>
      </c>
      <c r="D68" s="83" t="str">
        <f t="shared" ca="1" si="61"/>
        <v>COOPER Malachi</v>
      </c>
      <c r="E68" s="83" t="str">
        <f t="shared" ca="1" si="60"/>
        <v>MAZUREK Gracjan</v>
      </c>
      <c r="F68" s="83" t="str">
        <f t="shared" ca="1" si="60"/>
        <v>LANE William</v>
      </c>
      <c r="G68" s="83">
        <f t="shared" ca="1" si="60"/>
        <v>0</v>
      </c>
      <c r="H68" s="83" t="str">
        <f t="shared" ca="1" si="60"/>
        <v>MEIGH William</v>
      </c>
      <c r="I68" s="83" t="str">
        <f t="shared" ca="1" si="60"/>
        <v>RUTTER Aaron</v>
      </c>
      <c r="J68" s="83" t="str">
        <f t="shared" ca="1" si="60"/>
        <v>IBEH Terrell</v>
      </c>
      <c r="K68" s="83" t="str">
        <f t="shared" ca="1" si="60"/>
        <v>KAYE Charlie</v>
      </c>
      <c r="L68" s="83" t="str">
        <f t="shared" ca="1" si="60"/>
        <v>COOK Edwin</v>
      </c>
      <c r="M68" s="83" t="str">
        <f t="shared" ca="1" si="60"/>
        <v>OADES Matthew</v>
      </c>
      <c r="N68" s="83" t="str">
        <f t="shared" ca="1" si="60"/>
        <v/>
      </c>
      <c r="O68" s="83" t="str">
        <f t="shared" ca="1" si="60"/>
        <v/>
      </c>
      <c r="P68" s="83" t="str">
        <f t="shared" ca="1" si="60"/>
        <v/>
      </c>
      <c r="Q68" s="83" t="str">
        <f t="shared" ca="1" si="60"/>
        <v/>
      </c>
      <c r="R68" s="83" t="str">
        <f t="shared" ca="1" si="60"/>
        <v/>
      </c>
      <c r="S68" s="83" t="str">
        <f t="shared" ca="1" si="60"/>
        <v/>
      </c>
      <c r="T68" s="83"/>
    </row>
    <row r="69" spans="2:20" x14ac:dyDescent="0.35">
      <c r="B69" s="83" t="s">
        <v>142</v>
      </c>
      <c r="C69" s="83" t="s">
        <v>22</v>
      </c>
      <c r="D69" s="83" t="str">
        <f t="shared" ca="1" si="61"/>
        <v>FOGDEN Ben</v>
      </c>
      <c r="E69" s="83" t="str">
        <f t="shared" ca="1" si="60"/>
        <v>FOOT James</v>
      </c>
      <c r="F69" s="83" t="str">
        <f t="shared" ca="1" si="60"/>
        <v>BENTLEY Tom</v>
      </c>
      <c r="G69" s="83" t="str">
        <f t="shared" ca="1" si="60"/>
        <v>SCOTT Leni</v>
      </c>
      <c r="H69" s="83" t="str">
        <f t="shared" ca="1" si="60"/>
        <v>COOK Harry</v>
      </c>
      <c r="I69" s="83" t="str">
        <f t="shared" ca="1" si="60"/>
        <v>LANSFORD Hollis</v>
      </c>
      <c r="J69" s="83" t="str">
        <f t="shared" ca="1" si="60"/>
        <v>CHINNERY Norton</v>
      </c>
      <c r="K69" s="83" t="str">
        <f t="shared" ca="1" si="60"/>
        <v>IBEH Terrell</v>
      </c>
      <c r="L69" s="83">
        <f t="shared" ca="1" si="60"/>
        <v>0</v>
      </c>
      <c r="M69" s="83">
        <f t="shared" ca="1" si="60"/>
        <v>0</v>
      </c>
      <c r="N69" s="83" t="str">
        <f t="shared" ca="1" si="60"/>
        <v/>
      </c>
      <c r="O69" s="83" t="str">
        <f t="shared" ca="1" si="60"/>
        <v/>
      </c>
      <c r="P69" s="83" t="str">
        <f t="shared" ca="1" si="60"/>
        <v/>
      </c>
      <c r="Q69" s="83" t="str">
        <f t="shared" ca="1" si="60"/>
        <v/>
      </c>
      <c r="R69" s="83" t="str">
        <f t="shared" ca="1" si="60"/>
        <v/>
      </c>
      <c r="S69" s="83" t="str">
        <f t="shared" ca="1" si="60"/>
        <v/>
      </c>
      <c r="T69" s="83"/>
    </row>
    <row r="70" spans="2:20" x14ac:dyDescent="0.35">
      <c r="B70" s="83" t="s">
        <v>218</v>
      </c>
      <c r="C70" s="83" t="s">
        <v>31</v>
      </c>
      <c r="D70" s="83">
        <f t="shared" ca="1" si="61"/>
        <v>0</v>
      </c>
      <c r="E70" s="83">
        <f t="shared" ref="E70:E72" ca="1" si="62">IFERROR(IF(INDIRECT(CONCATENATE($B$53,E$1,MATCH(E$2,INDIRECT(CONCATENATE($B$53,F$1,$B70,4,":",F$1,$B70,33)),0)+3))="-",E120,INDIRECT(CONCATENATE($B$53,E$1,MATCH(E$2,INDIRECT(CONCATENATE($B$53,F$1,$B70,4,":",F$1,$B70,33)),0)+3))),E120)</f>
        <v>0</v>
      </c>
      <c r="F70" s="83">
        <f t="shared" ref="F70:F72" ca="1" si="63">IFERROR(IF(INDIRECT(CONCATENATE($B$53,F$1,MATCH(F$2,INDIRECT(CONCATENATE($B$53,G$1,$B70,4,":",G$1,$B70,33)),0)+3))="-",F120,INDIRECT(CONCATENATE($B$53,F$1,MATCH(F$2,INDIRECT(CONCATENATE($B$53,G$1,$B70,4,":",G$1,$B70,33)),0)+3))),F120)</f>
        <v>0</v>
      </c>
      <c r="G70" s="83">
        <f t="shared" ref="G70:G72" ca="1" si="64">IFERROR(IF(INDIRECT(CONCATENATE($B$53,G$1,MATCH(G$2,INDIRECT(CONCATENATE($B$53,H$1,$B70,4,":",H$1,$B70,33)),0)+3))="-",G120,INDIRECT(CONCATENATE($B$53,G$1,MATCH(G$2,INDIRECT(CONCATENATE($B$53,H$1,$B70,4,":",H$1,$B70,33)),0)+3))),G120)</f>
        <v>0</v>
      </c>
      <c r="H70" s="83">
        <f t="shared" ref="H70:H72" ca="1" si="65">IFERROR(IF(INDIRECT(CONCATENATE($B$53,H$1,MATCH(H$2,INDIRECT(CONCATENATE($B$53,I$1,$B70,4,":",I$1,$B70,33)),0)+3))="-",H120,INDIRECT(CONCATENATE($B$53,H$1,MATCH(H$2,INDIRECT(CONCATENATE($B$53,I$1,$B70,4,":",I$1,$B70,33)),0)+3))),H120)</f>
        <v>0</v>
      </c>
      <c r="I70" s="83">
        <f t="shared" ref="I70:I72" ca="1" si="66">IFERROR(IF(INDIRECT(CONCATENATE($B$53,I$1,MATCH(I$2,INDIRECT(CONCATENATE($B$53,J$1,$B70,4,":",J$1,$B70,33)),0)+3))="-",I120,INDIRECT(CONCATENATE($B$53,I$1,MATCH(I$2,INDIRECT(CONCATENATE($B$53,J$1,$B70,4,":",J$1,$B70,33)),0)+3))),I120)</f>
        <v>0</v>
      </c>
      <c r="J70" s="83">
        <f t="shared" ref="J70:J72" ca="1" si="67">IFERROR(IF(INDIRECT(CONCATENATE($B$53,J$1,MATCH(J$2,INDIRECT(CONCATENATE($B$53,K$1,$B70,4,":",K$1,$B70,33)),0)+3))="-",J120,INDIRECT(CONCATENATE($B$53,J$1,MATCH(J$2,INDIRECT(CONCATENATE($B$53,K$1,$B70,4,":",K$1,$B70,33)),0)+3))),J120)</f>
        <v>0</v>
      </c>
      <c r="K70" s="83">
        <f t="shared" ref="K70:K72" ca="1" si="68">IFERROR(IF(INDIRECT(CONCATENATE($B$53,K$1,MATCH(K$2,INDIRECT(CONCATENATE($B$53,L$1,$B70,4,":",L$1,$B70,33)),0)+3))="-",K120,INDIRECT(CONCATENATE($B$53,K$1,MATCH(K$2,INDIRECT(CONCATENATE($B$53,L$1,$B70,4,":",L$1,$B70,33)),0)+3))),K120)</f>
        <v>0</v>
      </c>
      <c r="L70" s="83">
        <f t="shared" ref="L70:L72" ca="1" si="69">IFERROR(IF(INDIRECT(CONCATENATE($B$53,L$1,MATCH(L$2,INDIRECT(CONCATENATE($B$53,M$1,$B70,4,":",M$1,$B70,33)),0)+3))="-",L120,INDIRECT(CONCATENATE($B$53,L$1,MATCH(L$2,INDIRECT(CONCATENATE($B$53,M$1,$B70,4,":",M$1,$B70,33)),0)+3))),L120)</f>
        <v>0</v>
      </c>
      <c r="M70" s="83">
        <f t="shared" ref="M70:M72" ca="1" si="70">IFERROR(IF(INDIRECT(CONCATENATE($B$53,M$1,MATCH(M$2,INDIRECT(CONCATENATE($B$53,N$1,$B70,4,":",N$1,$B70,33)),0)+3))="-",M120,INDIRECT(CONCATENATE($B$53,M$1,MATCH(M$2,INDIRECT(CONCATENATE($B$53,N$1,$B70,4,":",N$1,$B70,33)),0)+3))),M120)</f>
        <v>0</v>
      </c>
      <c r="N70" s="83" t="str">
        <f t="shared" ref="N70:N72" ca="1" si="71">IFERROR(IF(INDIRECT(CONCATENATE($B$53,N$1,MATCH(N$2,INDIRECT(CONCATENATE($B$53,O$1,$B70,4,":",O$1,$B70,33)),0)+3))="-",N120,INDIRECT(CONCATENATE($B$53,N$1,MATCH(N$2,INDIRECT(CONCATENATE($B$53,O$1,$B70,4,":",O$1,$B70,33)),0)+3))),N120)</f>
        <v/>
      </c>
      <c r="O70" s="83" t="str">
        <f t="shared" ref="O70:O72" ca="1" si="72">IFERROR(IF(INDIRECT(CONCATENATE($B$53,O$1,MATCH(O$2,INDIRECT(CONCATENATE($B$53,P$1,$B70,4,":",P$1,$B70,33)),0)+3))="-",O120,INDIRECT(CONCATENATE($B$53,O$1,MATCH(O$2,INDIRECT(CONCATENATE($B$53,P$1,$B70,4,":",P$1,$B70,33)),0)+3))),O120)</f>
        <v/>
      </c>
      <c r="P70" s="83" t="str">
        <f t="shared" ref="P70:P72" ca="1" si="73">IFERROR(IF(INDIRECT(CONCATENATE($B$53,P$1,MATCH(P$2,INDIRECT(CONCATENATE($B$53,Q$1,$B70,4,":",Q$1,$B70,33)),0)+3))="-",P120,INDIRECT(CONCATENATE($B$53,P$1,MATCH(P$2,INDIRECT(CONCATENATE($B$53,Q$1,$B70,4,":",Q$1,$B70,33)),0)+3))),P120)</f>
        <v/>
      </c>
      <c r="Q70" s="83" t="str">
        <f t="shared" ref="Q70:Q72" ca="1" si="74">IFERROR(IF(INDIRECT(CONCATENATE($B$53,Q$1,MATCH(Q$2,INDIRECT(CONCATENATE($B$53,R$1,$B70,4,":",R$1,$B70,33)),0)+3))="-",Q120,INDIRECT(CONCATENATE($B$53,Q$1,MATCH(Q$2,INDIRECT(CONCATENATE($B$53,R$1,$B70,4,":",R$1,$B70,33)),0)+3))),Q120)</f>
        <v/>
      </c>
      <c r="R70" s="83" t="str">
        <f t="shared" ref="R70:R72" ca="1" si="75">IFERROR(IF(INDIRECT(CONCATENATE($B$53,R$1,MATCH(R$2,INDIRECT(CONCATENATE($B$53,S$1,$B70,4,":",S$1,$B70,33)),0)+3))="-",R120,INDIRECT(CONCATENATE($B$53,R$1,MATCH(R$2,INDIRECT(CONCATENATE($B$53,S$1,$B70,4,":",S$1,$B70,33)),0)+3))),R120)</f>
        <v/>
      </c>
      <c r="S70" s="83" t="str">
        <f t="shared" ref="S70:S72" ca="1" si="76">IFERROR(IF(INDIRECT(CONCATENATE($B$53,S$1,MATCH(S$2,INDIRECT(CONCATENATE($B$53,T$1,$B70,4,":",T$1,$B70,33)),0)+3))="-",S120,INDIRECT(CONCATENATE($B$53,S$1,MATCH(S$2,INDIRECT(CONCATENATE($B$53,T$1,$B70,4,":",T$1,$B70,33)),0)+3))),S120)</f>
        <v/>
      </c>
      <c r="T70" s="83"/>
    </row>
    <row r="71" spans="2:20" x14ac:dyDescent="0.35">
      <c r="B71" s="83" t="s">
        <v>334</v>
      </c>
      <c r="C71" s="83" t="s">
        <v>23</v>
      </c>
      <c r="D71" s="83" t="str">
        <f t="shared" ca="1" si="61"/>
        <v>PEERS-WAIN Jacob</v>
      </c>
      <c r="E71" s="83" t="str">
        <f t="shared" ca="1" si="62"/>
        <v>FOOT James</v>
      </c>
      <c r="F71" s="83" t="str">
        <f t="shared" ca="1" si="63"/>
        <v>LANE William</v>
      </c>
      <c r="G71" s="83">
        <f t="shared" ca="1" si="64"/>
        <v>0</v>
      </c>
      <c r="H71" s="83" t="str">
        <f t="shared" ca="1" si="65"/>
        <v>HENSON Isaac</v>
      </c>
      <c r="I71" s="83" t="str">
        <f t="shared" ca="1" si="66"/>
        <v>-</v>
      </c>
      <c r="J71" s="83" t="str">
        <f t="shared" ca="1" si="67"/>
        <v>-</v>
      </c>
      <c r="K71" s="83" t="str">
        <f t="shared" ca="1" si="68"/>
        <v>-</v>
      </c>
      <c r="L71" s="83">
        <f t="shared" ca="1" si="69"/>
        <v>0</v>
      </c>
      <c r="M71" s="83">
        <f t="shared" ca="1" si="70"/>
        <v>0</v>
      </c>
      <c r="N71" s="83" t="str">
        <f t="shared" ca="1" si="71"/>
        <v/>
      </c>
      <c r="O71" s="83" t="str">
        <f t="shared" ca="1" si="72"/>
        <v/>
      </c>
      <c r="P71" s="83" t="str">
        <f t="shared" ca="1" si="73"/>
        <v/>
      </c>
      <c r="Q71" s="83" t="str">
        <f t="shared" ca="1" si="74"/>
        <v/>
      </c>
      <c r="R71" s="83" t="str">
        <f t="shared" ca="1" si="75"/>
        <v/>
      </c>
      <c r="S71" s="83" t="str">
        <f t="shared" ca="1" si="76"/>
        <v/>
      </c>
      <c r="T71" s="83"/>
    </row>
    <row r="72" spans="2:20" x14ac:dyDescent="0.35">
      <c r="B72" s="83" t="s">
        <v>212</v>
      </c>
      <c r="C72" s="83" t="s">
        <v>27</v>
      </c>
      <c r="D72" s="83">
        <f t="shared" ca="1" si="61"/>
        <v>0</v>
      </c>
      <c r="E72" s="83">
        <f t="shared" ca="1" si="62"/>
        <v>0</v>
      </c>
      <c r="F72" s="83" t="str">
        <f t="shared" ca="1" si="63"/>
        <v>LANE William</v>
      </c>
      <c r="G72" s="83">
        <f t="shared" ca="1" si="64"/>
        <v>0</v>
      </c>
      <c r="H72" s="83" t="str">
        <f t="shared" ca="1" si="65"/>
        <v>BOWSHER James</v>
      </c>
      <c r="I72" s="83" t="str">
        <f t="shared" ca="1" si="66"/>
        <v>-</v>
      </c>
      <c r="J72" s="83" t="str">
        <f t="shared" ca="1" si="67"/>
        <v>-</v>
      </c>
      <c r="K72" s="83" t="str">
        <f t="shared" ca="1" si="68"/>
        <v>-</v>
      </c>
      <c r="L72" s="83">
        <f t="shared" ca="1" si="69"/>
        <v>0</v>
      </c>
      <c r="M72" s="83" t="str">
        <f t="shared" ca="1" si="70"/>
        <v>-</v>
      </c>
      <c r="N72" s="83" t="str">
        <f t="shared" ca="1" si="71"/>
        <v/>
      </c>
      <c r="O72" s="83" t="str">
        <f t="shared" ca="1" si="72"/>
        <v/>
      </c>
      <c r="P72" s="83" t="str">
        <f t="shared" ca="1" si="73"/>
        <v/>
      </c>
      <c r="Q72" s="83" t="str">
        <f t="shared" ca="1" si="74"/>
        <v/>
      </c>
      <c r="R72" s="83" t="str">
        <f t="shared" ca="1" si="75"/>
        <v/>
      </c>
      <c r="S72" s="83" t="str">
        <f t="shared" ca="1" si="76"/>
        <v/>
      </c>
      <c r="T72" s="83"/>
    </row>
    <row r="73" spans="2:20" x14ac:dyDescent="0.35">
      <c r="B73" s="83" t="s">
        <v>213</v>
      </c>
      <c r="C73" s="83" t="s">
        <v>529</v>
      </c>
      <c r="D73" s="83" t="str">
        <f ca="1">IFERROR(IF(INDIRECT(CONCATENATE($B$53,D$1,MATCH($D$2,INDIRECT(CONCATENATE($B$53,E$1,$B73,4,":",E$1,$B73,33)),0)+3))="-",D123,INDIRECT(CONCATENATE($B$53,D$1,MATCH($D$2,INDIRECT(CONCATENATE($B$53,E$1,$B73,4,":",E$1,$B73,33)),0)+3))),D123)</f>
        <v>COOPER Malachi</v>
      </c>
      <c r="E73" s="83" t="str">
        <f t="shared" ref="E73:S73" ca="1" si="77">IFERROR(IF(INDIRECT(CONCATENATE($B$53,E$1,MATCH($D$2,INDIRECT(CONCATENATE($B$53,F$1,$B73,4,":",F$1,$B73,33)),0)+3))="-",E123,INDIRECT(CONCATENATE($B$53,E$1,MATCH($D$2,INDIRECT(CONCATENATE($B$53,F$1,$B73,4,":",F$1,$B73,33)),0)+3))),E123)</f>
        <v>MARRIOTT Thomas</v>
      </c>
      <c r="F73" s="83" t="str">
        <f t="shared" ca="1" si="77"/>
        <v>BENTLEY Tom</v>
      </c>
      <c r="G73" s="83" t="str">
        <f t="shared" ca="1" si="77"/>
        <v>KRIEL PARR George</v>
      </c>
      <c r="H73" s="83" t="str">
        <f t="shared" ca="1" si="77"/>
        <v>LANSFORD Hollis</v>
      </c>
      <c r="I73" s="83" t="str">
        <f t="shared" ca="1" si="77"/>
        <v>HOW Louis</v>
      </c>
      <c r="J73" s="83" t="str">
        <f t="shared" ca="1" si="77"/>
        <v>BUTLER Jake</v>
      </c>
      <c r="K73" s="83" t="str">
        <f t="shared" ca="1" si="77"/>
        <v>OKEY Chieme</v>
      </c>
      <c r="L73" s="83">
        <f t="shared" ca="1" si="77"/>
        <v>0</v>
      </c>
      <c r="M73" s="83">
        <f t="shared" ca="1" si="77"/>
        <v>0</v>
      </c>
      <c r="N73" s="83" t="str">
        <f t="shared" ca="1" si="77"/>
        <v/>
      </c>
      <c r="O73" s="83" t="str">
        <f t="shared" ca="1" si="77"/>
        <v/>
      </c>
      <c r="P73" s="83" t="str">
        <f t="shared" ca="1" si="77"/>
        <v/>
      </c>
      <c r="Q73" s="83" t="str">
        <f t="shared" ca="1" si="77"/>
        <v/>
      </c>
      <c r="R73" s="83" t="str">
        <f t="shared" ca="1" si="77"/>
        <v/>
      </c>
      <c r="S73" s="83" t="str">
        <f t="shared" ca="1" si="77"/>
        <v/>
      </c>
      <c r="T73" s="83"/>
    </row>
    <row r="74" spans="2:20" x14ac:dyDescent="0.35">
      <c r="B74" s="83" t="s">
        <v>213</v>
      </c>
      <c r="C74" s="83" t="s">
        <v>529</v>
      </c>
      <c r="D74" s="83" t="str">
        <f ca="1">IFERROR(IF(INDIRECT(CONCATENATE($B$53,D$1,MATCH($H$2,INDIRECT(CONCATENATE($B$53,E$1,$B74,4,":",E$1,$B74,33)),0)+3))="-",D124,INDIRECT(CONCATENATE($B$53,D$1,MATCH($H$2,INDIRECT(CONCATENATE($B$53,E$1,$B74,4,":",E$1,$B74,33)),0)+3))),D124)</f>
        <v>SAS Reuben</v>
      </c>
      <c r="E74" s="83" t="str">
        <f t="shared" ref="E74:S74" ca="1" si="78">IFERROR(IF(INDIRECT(CONCATENATE($B$53,E$1,MATCH($H$2,INDIRECT(CONCATENATE($B$53,F$1,$B74,4,":",F$1,$B74,33)),0)+3))="-",E124,INDIRECT(CONCATENATE($B$53,E$1,MATCH($H$2,INDIRECT(CONCATENATE($B$53,F$1,$B74,4,":",F$1,$B74,33)),0)+3))),E124)</f>
        <v>FOGDEN Ben</v>
      </c>
      <c r="F74" s="83" t="str">
        <f t="shared" ca="1" si="78"/>
        <v>WAINWRIGHT James</v>
      </c>
      <c r="G74" s="83" t="str">
        <f t="shared" ca="1" si="78"/>
        <v>OR KAM FAT Matteo</v>
      </c>
      <c r="H74" s="83" t="str">
        <f t="shared" ca="1" si="78"/>
        <v>PYE George</v>
      </c>
      <c r="I74" s="83" t="str">
        <f t="shared" ca="1" si="78"/>
        <v>MEIGH William</v>
      </c>
      <c r="J74" s="83" t="str">
        <f t="shared" ca="1" si="78"/>
        <v>CHINNERY Norton</v>
      </c>
      <c r="K74" s="83" t="str">
        <f t="shared" ca="1" si="78"/>
        <v>MAYNARD Tom</v>
      </c>
      <c r="L74" s="83">
        <f t="shared" ca="1" si="78"/>
        <v>0</v>
      </c>
      <c r="M74" s="83">
        <f t="shared" ca="1" si="78"/>
        <v>0</v>
      </c>
      <c r="N74" s="83" t="str">
        <f t="shared" ca="1" si="78"/>
        <v/>
      </c>
      <c r="O74" s="83" t="str">
        <f t="shared" ca="1" si="78"/>
        <v/>
      </c>
      <c r="P74" s="83" t="str">
        <f t="shared" ca="1" si="78"/>
        <v/>
      </c>
      <c r="Q74" s="83" t="str">
        <f t="shared" ca="1" si="78"/>
        <v/>
      </c>
      <c r="R74" s="83" t="str">
        <f t="shared" ca="1" si="78"/>
        <v/>
      </c>
      <c r="S74" s="83" t="str">
        <f t="shared" ca="1" si="78"/>
        <v/>
      </c>
      <c r="T74" s="83"/>
    </row>
    <row r="75" spans="2:20" x14ac:dyDescent="0.35">
      <c r="B75" s="83" t="s">
        <v>214</v>
      </c>
      <c r="C75" s="83" t="s">
        <v>530</v>
      </c>
      <c r="D75" s="83" t="str">
        <f ca="1">IFERROR(IF(INDIRECT(CONCATENATE($B$53,D$1,MATCH($D$2,INDIRECT(CONCATENATE($B$53,E$1,$B75,4,":",E$1,$B75,33)),0)+3))="-",D125,INDIRECT(CONCATENATE($B$53,D$1,MATCH($D$2,INDIRECT(CONCATENATE($B$53,E$1,$B75,4,":",E$1,$B75,33)),0)+3))),D125)</f>
        <v>FOOT James</v>
      </c>
      <c r="E75" s="83" t="str">
        <f t="shared" ref="E75:S75" ca="1" si="79">IFERROR(IF(INDIRECT(CONCATENATE($B$53,E$1,MATCH($D$2,INDIRECT(CONCATENATE($B$53,F$1,$B75,4,":",F$1,$B75,33)),0)+3))="-",E125,INDIRECT(CONCATENATE($B$53,E$1,MATCH($D$2,INDIRECT(CONCATENATE($B$53,F$1,$B75,4,":",F$1,$B75,33)),0)+3))),E125)</f>
        <v>BETTNEY Thomas</v>
      </c>
      <c r="F75" s="83">
        <f t="shared" ca="1" si="79"/>
        <v>0</v>
      </c>
      <c r="G75" s="83">
        <f t="shared" ca="1" si="79"/>
        <v>0</v>
      </c>
      <c r="H75" s="83" t="str">
        <f t="shared" ca="1" si="79"/>
        <v>HENSON Isaac</v>
      </c>
      <c r="I75" s="83" t="str">
        <f t="shared" ca="1" si="79"/>
        <v>BRATLEY Jack</v>
      </c>
      <c r="J75" s="83" t="str">
        <f t="shared" ca="1" si="79"/>
        <v>SAYERS James</v>
      </c>
      <c r="K75" s="83" t="str">
        <f t="shared" ca="1" si="79"/>
        <v>IBEH Terrell</v>
      </c>
      <c r="L75" s="83">
        <f t="shared" ca="1" si="79"/>
        <v>0</v>
      </c>
      <c r="M75" s="83">
        <f t="shared" ca="1" si="79"/>
        <v>0</v>
      </c>
      <c r="N75" s="83" t="str">
        <f t="shared" ca="1" si="79"/>
        <v/>
      </c>
      <c r="O75" s="83" t="str">
        <f t="shared" ca="1" si="79"/>
        <v/>
      </c>
      <c r="P75" s="83" t="str">
        <f t="shared" ca="1" si="79"/>
        <v/>
      </c>
      <c r="Q75" s="83" t="str">
        <f t="shared" ca="1" si="79"/>
        <v/>
      </c>
      <c r="R75" s="83" t="str">
        <f t="shared" ca="1" si="79"/>
        <v/>
      </c>
      <c r="S75" s="83" t="str">
        <f t="shared" ca="1" si="79"/>
        <v/>
      </c>
      <c r="T75" s="83"/>
    </row>
    <row r="76" spans="2:20" x14ac:dyDescent="0.35">
      <c r="B76" s="83" t="s">
        <v>214</v>
      </c>
      <c r="C76" s="83" t="s">
        <v>530</v>
      </c>
      <c r="D76" s="83" t="str">
        <f ca="1">IFERROR(IF(INDIRECT(CONCATENATE($B$53,D$1,MATCH($H$2,INDIRECT(CONCATENATE($B$53,E$1,$B76,4,":",E$1,$B76,33)),0)+3))="-",D126,INDIRECT(CONCATENATE($B$53,D$1,MATCH($H$2,INDIRECT(CONCATENATE($B$53,E$1,$B76,4,":",E$1,$B76,33)),0)+3))),D126)</f>
        <v>PEERS-WAIN Jacob</v>
      </c>
      <c r="E76" s="83" t="str">
        <f t="shared" ref="E76:S76" ca="1" si="80">IFERROR(IF(INDIRECT(CONCATENATE($B$53,E$1,MATCH($H$2,INDIRECT(CONCATENATE($B$53,F$1,$B76,4,":",F$1,$B76,33)),0)+3))="-",E126,INDIRECT(CONCATENATE($B$53,E$1,MATCH($H$2,INDIRECT(CONCATENATE($B$53,F$1,$B76,4,":",F$1,$B76,33)),0)+3))),E126)</f>
        <v>MAZUREK Gracjan</v>
      </c>
      <c r="F76" s="83">
        <f t="shared" ca="1" si="80"/>
        <v>0</v>
      </c>
      <c r="G76" s="83">
        <f t="shared" ca="1" si="80"/>
        <v>0</v>
      </c>
      <c r="H76" s="83" t="str">
        <f t="shared" ca="1" si="80"/>
        <v>HANLEY Edward</v>
      </c>
      <c r="I76" s="83" t="str">
        <f t="shared" ca="1" si="80"/>
        <v>BROOKS Rory</v>
      </c>
      <c r="J76" s="83" t="str">
        <f t="shared" ca="1" si="80"/>
        <v>KAYE Charlie</v>
      </c>
      <c r="K76" s="83" t="str">
        <f t="shared" ca="1" si="80"/>
        <v>FRENCH William</v>
      </c>
      <c r="L76" s="83">
        <f t="shared" ca="1" si="80"/>
        <v>0</v>
      </c>
      <c r="M76" s="83">
        <f t="shared" ca="1" si="80"/>
        <v>0</v>
      </c>
      <c r="N76" s="83" t="str">
        <f t="shared" ca="1" si="80"/>
        <v/>
      </c>
      <c r="O76" s="83" t="str">
        <f t="shared" ca="1" si="80"/>
        <v/>
      </c>
      <c r="P76" s="83" t="str">
        <f t="shared" ca="1" si="80"/>
        <v/>
      </c>
      <c r="Q76" s="83" t="str">
        <f t="shared" ca="1" si="80"/>
        <v/>
      </c>
      <c r="R76" s="83" t="str">
        <f t="shared" ca="1" si="80"/>
        <v/>
      </c>
      <c r="S76" s="83" t="str">
        <f t="shared" ca="1" si="80"/>
        <v/>
      </c>
      <c r="T76" s="83"/>
    </row>
    <row r="78" spans="2:20" x14ac:dyDescent="0.35">
      <c r="C78" s="83" t="s">
        <v>548</v>
      </c>
      <c r="D78" s="83">
        <f>D2</f>
        <v>1</v>
      </c>
      <c r="E78" s="83">
        <f t="shared" ref="E78:S78" si="81">E2</f>
        <v>11</v>
      </c>
      <c r="F78" s="83">
        <f t="shared" si="81"/>
        <v>2</v>
      </c>
      <c r="G78" s="83">
        <f t="shared" si="81"/>
        <v>22</v>
      </c>
      <c r="H78" s="83">
        <f t="shared" si="81"/>
        <v>3</v>
      </c>
      <c r="I78" s="83">
        <f t="shared" si="81"/>
        <v>33</v>
      </c>
      <c r="J78" s="83">
        <f t="shared" si="81"/>
        <v>4</v>
      </c>
      <c r="K78" s="83">
        <f t="shared" si="81"/>
        <v>44</v>
      </c>
      <c r="L78" s="83">
        <f t="shared" si="81"/>
        <v>5</v>
      </c>
      <c r="M78" s="83">
        <f t="shared" si="81"/>
        <v>55</v>
      </c>
      <c r="N78" s="83">
        <f t="shared" si="81"/>
        <v>6</v>
      </c>
      <c r="O78" s="83">
        <f t="shared" si="81"/>
        <v>66</v>
      </c>
      <c r="P78" s="83">
        <f t="shared" si="81"/>
        <v>7</v>
      </c>
      <c r="Q78" s="83">
        <f t="shared" si="81"/>
        <v>77</v>
      </c>
      <c r="R78" s="83">
        <f t="shared" si="81"/>
        <v>8</v>
      </c>
      <c r="S78" s="83">
        <f t="shared" si="81"/>
        <v>88</v>
      </c>
    </row>
    <row r="79" spans="2:20" x14ac:dyDescent="0.35">
      <c r="B79" s="83" t="s">
        <v>54</v>
      </c>
      <c r="C79" s="83" t="s">
        <v>532</v>
      </c>
      <c r="D79" s="460" t="str">
        <f ca="1">IFERROR(IF(INDIRECT(CONCATENATE($B$53,D$1,MATCH(D$78,INDIRECT(CONCATENATE($B$53,E$1,$B79,35,":",E$1,$B79,74)),0)+34))="-",D152,INDIRECT(CONCATENATE($B$53,D$1,MATCH(D$78,INDIRECT(CONCATENATE($B$53,E$1,$B79,35,":",E$1,$B79,74)),0)+34))),D152)</f>
        <v>GASKIN Nathanael</v>
      </c>
      <c r="E79" s="460" t="str">
        <f ca="1">IFERROR(IF(INDIRECT(CONCATENATE($B$53,D$1,MATCH(E$78,INDIRECT(CONCATENATE($B$53,E$1,$B79,35,":",E$1,$B79,74)),0)+34))="-",E152,INDIRECT(CONCATENATE($B$53,D$1,MATCH(E$78,INDIRECT(CONCATENATE($B$53,E$1,$B79,35,":",E$1,$B79,74)),0)+34))),E152)</f>
        <v>DREW Matthew</v>
      </c>
      <c r="F79" s="460" t="str">
        <f ca="1">IFERROR(IF(INDIRECT(CONCATENATE($B$53,F$1,MATCH(F$78,INDIRECT(CONCATENATE($B$53,G$1,$B79,35,":",G$1,$B79,74)),0)+34))="-",F152,INDIRECT(CONCATENATE($B$53,F$1,MATCH(F$78,INDIRECT(CONCATENATE($B$53,G$1,$B79,35,":",G$1,$B79,74)),0)+34))),F152)</f>
        <v>REILLY Arthur</v>
      </c>
      <c r="G79" s="460" t="str">
        <f ca="1">IFERROR(IF(INDIRECT(CONCATENATE($B$53,F$1,MATCH(G$78,INDIRECT(CONCATENATE($B$53,G$1,$B79,35,":",G$1,$B79,74)),0)+34))="-",G152,INDIRECT(CONCATENATE($B$53,F$1,MATCH(G$78,INDIRECT(CONCATENATE($B$53,G$1,$B79,35,":",G$1,$B79,74)),0)+34))),G152)</f>
        <v>CONNELLY George</v>
      </c>
      <c r="H79" s="460" t="str">
        <f ca="1">IFERROR(IF(INDIRECT(CONCATENATE($B$53,H$1,MATCH(H$78,INDIRECT(CONCATENATE($B$53,I$1,$B79,35,":",I$1,$B79,74)),0)+34))="-",H152,INDIRECT(CONCATENATE($B$53,H$1,MATCH(H$78,INDIRECT(CONCATENATE($B$53,I$1,$B79,35,":",I$1,$B79,74)),0)+34))),H152)</f>
        <v>PEARSON Adam</v>
      </c>
      <c r="I79" s="460" t="str">
        <f ca="1">IFERROR(IF(INDIRECT(CONCATENATE($B$53,H$1,MATCH(I$78,INDIRECT(CONCATENATE($B$53,I$1,$B79,35,":",I$1,$B79,74)),0)+34))="-",I152,INDIRECT(CONCATENATE($B$53,H$1,MATCH(I$78,INDIRECT(CONCATENATE($B$53,I$1,$B79,35,":",I$1,$B79,74)),0)+34))),I152)</f>
        <v>HICKLING William</v>
      </c>
      <c r="J79" s="460" t="str">
        <f ca="1">IFERROR(IF(INDIRECT(CONCATENATE($B$53,J$1,MATCH(J$78,INDIRECT(CONCATENATE($B$53,K$1,$B79,35,":",K$1,$B79,74)),0)+34))="-",J152,INDIRECT(CONCATENATE($B$53,J$1,MATCH(J$78,INDIRECT(CONCATENATE($B$53,K$1,$B79,35,":",K$1,$B79,74)),0)+34))),J152)</f>
        <v>MAYNARD Finley</v>
      </c>
      <c r="K79" s="460" t="str">
        <f ca="1">IFERROR(IF(INDIRECT(CONCATENATE($B$53,J$1,MATCH(K$78,INDIRECT(CONCATENATE($B$53,K$1,$B79,35,":",K$1,$B79,74)),0)+34))="-",K152,INDIRECT(CONCATENATE($B$53,J$1,MATCH(K$78,INDIRECT(CONCATENATE($B$53,K$1,$B79,35,":",K$1,$B79,74)),0)+34))),K152)</f>
        <v>HONEYMAN Leo</v>
      </c>
      <c r="L79" s="460" t="str">
        <f ca="1">IFERROR(IF(INDIRECT(CONCATENATE($B$53,L$1,MATCH(L$78,INDIRECT(CONCATENATE($B$53,M$1,$B79,35,":",M$1,$B79,74)),0)+34))="-",L152,INDIRECT(CONCATENATE($B$53,L$1,MATCH(L$78,INDIRECT(CONCATENATE($B$53,M$1,$B79,35,":",M$1,$B79,74)),0)+34))),L152)</f>
        <v>LANGTON Cody</v>
      </c>
      <c r="M79" s="460" t="str">
        <f ca="1">IFERROR(IF(INDIRECT(CONCATENATE($B$53,L$1,MATCH(M$78,INDIRECT(CONCATENATE($B$53,M$1,$B79,35,":",M$1,$B79,74)),0)+34))="-",M152,INDIRECT(CONCATENATE($B$53,L$1,MATCH(M$78,INDIRECT(CONCATENATE($B$53,M$1,$B79,35,":",M$1,$B79,74)),0)+34))),M152)</f>
        <v>-</v>
      </c>
      <c r="N79" s="460" t="str">
        <f ca="1">IFERROR(IF(INDIRECT(CONCATENATE($B$53,N$1,MATCH(N$78,INDIRECT(CONCATENATE($B$53,O$1,$B79,35,":",O$1,$B79,74)),0)+34))="-",N152,INDIRECT(CONCATENATE($B$53,N$1,MATCH(N$78,INDIRECT(CONCATENATE($B$53,O$1,$B79,35,":",O$1,$B79,74)),0)+34))),N152)</f>
        <v/>
      </c>
      <c r="O79" s="460" t="str">
        <f ca="1">IFERROR(IF(INDIRECT(CONCATENATE($B$53,N$1,MATCH(O$78,INDIRECT(CONCATENATE($B$53,O$1,$B79,35,":",O$1,$B79,74)),0)+34))="-",O152,INDIRECT(CONCATENATE($B$53,N$1,MATCH(O$78,INDIRECT(CONCATENATE($B$53,O$1,$B79,35,":",O$1,$B79,74)),0)+34))),O152)</f>
        <v/>
      </c>
      <c r="P79" s="460" t="str">
        <f ca="1">IFERROR(IF(INDIRECT(CONCATENATE($B$53,P$1,MATCH(P$78,INDIRECT(CONCATENATE($B$53,Q$1,$B79,35,":",Q$1,$B79,74)),0)+34))="-",P152,INDIRECT(CONCATENATE($B$53,P$1,MATCH(P$78,INDIRECT(CONCATENATE($B$53,Q$1,$B79,35,":",Q$1,$B79,74)),0)+34))),P152)</f>
        <v/>
      </c>
      <c r="Q79" s="460" t="str">
        <f ca="1">IFERROR(IF(INDIRECT(CONCATENATE($B$53,P$1,MATCH(Q$78,INDIRECT(CONCATENATE($B$53,Q$1,$B79,35,":",Q$1,$B79,74)),0)+34))="-",Q152,INDIRECT(CONCATENATE($B$53,P$1,MATCH(Q$78,INDIRECT(CONCATENATE($B$53,Q$1,$B79,35,":",Q$1,$B79,74)),0)+34))),Q152)</f>
        <v/>
      </c>
      <c r="R79" s="460" t="str">
        <f ca="1">IFERROR(IF(INDIRECT(CONCATENATE($B$53,R$1,MATCH(R$78,INDIRECT(CONCATENATE($B$53,S$1,$B79,35,":",S$1,$B79,74)),0)+34))="-",R152,INDIRECT(CONCATENATE($B$53,R$1,MATCH(R$78,INDIRECT(CONCATENATE($B$53,S$1,$B79,35,":",S$1,$B79,74)),0)+34))),R152)</f>
        <v/>
      </c>
      <c r="S79" s="460" t="str">
        <f ca="1">IFERROR(IF(INDIRECT(CONCATENATE($B$53,R$1,MATCH(S$78,INDIRECT(CONCATENATE($B$53,S$1,$B79,35,":",S$1,$B79,74)),0)+34))="-",S152,INDIRECT(CONCATENATE($B$53,R$1,MATCH(S$78,INDIRECT(CONCATENATE($B$53,S$1,$B79,35,":",S$1,$B79,74)),0)+34))),S152)</f>
        <v/>
      </c>
    </row>
    <row r="80" spans="2:20" x14ac:dyDescent="0.35">
      <c r="B80" s="83" t="s">
        <v>333</v>
      </c>
      <c r="C80" s="83" t="s">
        <v>535</v>
      </c>
      <c r="D80" s="460">
        <f t="shared" ref="D80:D97" ca="1" si="82">IFERROR(IF(INDIRECT(CONCATENATE($B$53,D$1,MATCH(D$78,INDIRECT(CONCATENATE($B$53,E$1,$B80,35,":",E$1,$B80,74)),0)+34))="-",D153,INDIRECT(CONCATENATE($B$53,D$1,MATCH(D$78,INDIRECT(CONCATENATE($B$53,E$1,$B80,35,":",E$1,$B80,74)),0)+34))),D153)</f>
        <v>0</v>
      </c>
      <c r="E80" s="460">
        <f t="shared" ref="E80:E97" ca="1" si="83">IFERROR(IF(INDIRECT(CONCATENATE($B$53,D$1,MATCH(E$78,INDIRECT(CONCATENATE($B$53,E$1,$B80,35,":",E$1,$B80,74)),0)+34))="-",E153,INDIRECT(CONCATENATE($B$53,D$1,MATCH(E$78,INDIRECT(CONCATENATE($B$53,E$1,$B80,35,":",E$1,$B80,74)),0)+34))),E153)</f>
        <v>0</v>
      </c>
      <c r="F80" s="460" t="str">
        <f t="shared" ref="F80:F97" ca="1" si="84">IFERROR(IF(INDIRECT(CONCATENATE($B$53,F$1,MATCH(F$78,INDIRECT(CONCATENATE($B$53,G$1,$B80,35,":",G$1,$B80,74)),0)+34))="-",F153,INDIRECT(CONCATENATE($B$53,F$1,MATCH(F$78,INDIRECT(CONCATENATE($B$53,G$1,$B80,35,":",G$1,$B80,74)),0)+34))),F153)</f>
        <v>WINGFIELD Tyler</v>
      </c>
      <c r="G80" s="460" t="str">
        <f t="shared" ref="G80:G97" ca="1" si="85">IFERROR(IF(INDIRECT(CONCATENATE($B$53,F$1,MATCH(G$78,INDIRECT(CONCATENATE($B$53,G$1,$B80,35,":",G$1,$B80,74)),0)+34))="-",G153,INDIRECT(CONCATENATE($B$53,F$1,MATCH(G$78,INDIRECT(CONCATENATE($B$53,G$1,$B80,35,":",G$1,$B80,74)),0)+34))),G153)</f>
        <v>COCKINGS Matthew</v>
      </c>
      <c r="H80" s="460" t="str">
        <f t="shared" ref="H80:H97" ca="1" si="86">IFERROR(IF(INDIRECT(CONCATENATE($B$53,H$1,MATCH(H$78,INDIRECT(CONCATENATE($B$53,I$1,$B80,35,":",I$1,$B80,74)),0)+34))="-",H153,INDIRECT(CONCATENATE($B$53,H$1,MATCH(H$78,INDIRECT(CONCATENATE($B$53,I$1,$B80,35,":",I$1,$B80,74)),0)+34))),H153)</f>
        <v>BASTOW Isaac</v>
      </c>
      <c r="I80" s="460" t="str">
        <f t="shared" ref="I80:I97" ca="1" si="87">IFERROR(IF(INDIRECT(CONCATENATE($B$53,H$1,MATCH(I$78,INDIRECT(CONCATENATE($B$53,I$1,$B80,35,":",I$1,$B80,74)),0)+34))="-",I153,INDIRECT(CONCATENATE($B$53,H$1,MATCH(I$78,INDIRECT(CONCATENATE($B$53,I$1,$B80,35,":",I$1,$B80,74)),0)+34))),I153)</f>
        <v>WATSON Miles</v>
      </c>
      <c r="J80" s="460" t="str">
        <f t="shared" ref="J80:J97" ca="1" si="88">IFERROR(IF(INDIRECT(CONCATENATE($B$53,J$1,MATCH(J$78,INDIRECT(CONCATENATE($B$53,K$1,$B80,35,":",K$1,$B80,74)),0)+34))="-",J153,INDIRECT(CONCATENATE($B$53,J$1,MATCH(J$78,INDIRECT(CONCATENATE($B$53,K$1,$B80,35,":",K$1,$B80,74)),0)+34))),J153)</f>
        <v>BAKER Edward</v>
      </c>
      <c r="K80" s="460" t="str">
        <f t="shared" ref="K80:K97" ca="1" si="89">IFERROR(IF(INDIRECT(CONCATENATE($B$53,J$1,MATCH(K$78,INDIRECT(CONCATENATE($B$53,K$1,$B80,35,":",K$1,$B80,74)),0)+34))="-",K153,INDIRECT(CONCATENATE($B$53,J$1,MATCH(K$78,INDIRECT(CONCATENATE($B$53,K$1,$B80,35,":",K$1,$B80,74)),0)+34))),K153)</f>
        <v>-</v>
      </c>
      <c r="L80" s="460">
        <f t="shared" ref="L80:L97" ca="1" si="90">IFERROR(IF(INDIRECT(CONCATENATE($B$53,L$1,MATCH(L$78,INDIRECT(CONCATENATE($B$53,M$1,$B80,35,":",M$1,$B80,74)),0)+34))="-",L153,INDIRECT(CONCATENATE($B$53,L$1,MATCH(L$78,INDIRECT(CONCATENATE($B$53,M$1,$B80,35,":",M$1,$B80,74)),0)+34))),L153)</f>
        <v>0</v>
      </c>
      <c r="M80" s="460">
        <f t="shared" ref="M80:M97" ca="1" si="91">IFERROR(IF(INDIRECT(CONCATENATE($B$53,L$1,MATCH(M$78,INDIRECT(CONCATENATE($B$53,M$1,$B80,35,":",M$1,$B80,74)),0)+34))="-",M153,INDIRECT(CONCATENATE($B$53,L$1,MATCH(M$78,INDIRECT(CONCATENATE($B$53,M$1,$B80,35,":",M$1,$B80,74)),0)+34))),M153)</f>
        <v>0</v>
      </c>
      <c r="N80" s="460" t="str">
        <f t="shared" ref="N80:N97" ca="1" si="92">IFERROR(IF(INDIRECT(CONCATENATE($B$53,N$1,MATCH(N$78,INDIRECT(CONCATENATE($B$53,O$1,$B80,35,":",O$1,$B80,74)),0)+34))="-",N153,INDIRECT(CONCATENATE($B$53,N$1,MATCH(N$78,INDIRECT(CONCATENATE($B$53,O$1,$B80,35,":",O$1,$B80,74)),0)+34))),N153)</f>
        <v/>
      </c>
      <c r="O80" s="460" t="str">
        <f t="shared" ref="O80:O97" ca="1" si="93">IFERROR(IF(INDIRECT(CONCATENATE($B$53,N$1,MATCH(O$78,INDIRECT(CONCATENATE($B$53,O$1,$B80,35,":",O$1,$B80,74)),0)+34))="-",O153,INDIRECT(CONCATENATE($B$53,N$1,MATCH(O$78,INDIRECT(CONCATENATE($B$53,O$1,$B80,35,":",O$1,$B80,74)),0)+34))),O153)</f>
        <v/>
      </c>
      <c r="P80" s="460" t="str">
        <f t="shared" ref="P80:P97" ca="1" si="94">IFERROR(IF(INDIRECT(CONCATENATE($B$53,P$1,MATCH(P$78,INDIRECT(CONCATENATE($B$53,Q$1,$B80,35,":",Q$1,$B80,74)),0)+34))="-",P153,INDIRECT(CONCATENATE($B$53,P$1,MATCH(P$78,INDIRECT(CONCATENATE($B$53,Q$1,$B80,35,":",Q$1,$B80,74)),0)+34))),P153)</f>
        <v/>
      </c>
      <c r="Q80" s="460" t="str">
        <f t="shared" ref="Q80:Q97" ca="1" si="95">IFERROR(IF(INDIRECT(CONCATENATE($B$53,P$1,MATCH(Q$78,INDIRECT(CONCATENATE($B$53,Q$1,$B80,35,":",Q$1,$B80,74)),0)+34))="-",Q153,INDIRECT(CONCATENATE($B$53,P$1,MATCH(Q$78,INDIRECT(CONCATENATE($B$53,Q$1,$B80,35,":",Q$1,$B80,74)),0)+34))),Q153)</f>
        <v/>
      </c>
      <c r="R80" s="460" t="str">
        <f t="shared" ref="R80:R97" ca="1" si="96">IFERROR(IF(INDIRECT(CONCATENATE($B$53,R$1,MATCH(R$78,INDIRECT(CONCATENATE($B$53,S$1,$B80,35,":",S$1,$B80,74)),0)+34))="-",R153,INDIRECT(CONCATENATE($B$53,R$1,MATCH(R$78,INDIRECT(CONCATENATE($B$53,S$1,$B80,35,":",S$1,$B80,74)),0)+34))),R153)</f>
        <v/>
      </c>
      <c r="S80" s="460" t="str">
        <f t="shared" ref="S80:S97" ca="1" si="97">IFERROR(IF(INDIRECT(CONCATENATE($B$53,R$1,MATCH(S$78,INDIRECT(CONCATENATE($B$53,S$1,$B80,35,":",S$1,$B80,74)),0)+34))="-",S153,INDIRECT(CONCATENATE($B$53,R$1,MATCH(S$78,INDIRECT(CONCATENATE($B$53,S$1,$B80,35,":",S$1,$B80,74)),0)+34))),S153)</f>
        <v/>
      </c>
    </row>
    <row r="81" spans="2:19" x14ac:dyDescent="0.35">
      <c r="B81" s="83" t="s">
        <v>515</v>
      </c>
      <c r="C81" s="83" t="s">
        <v>533</v>
      </c>
      <c r="D81" s="460" t="str">
        <f t="shared" ca="1" si="82"/>
        <v>GASKIN Nathanael</v>
      </c>
      <c r="E81" s="460" t="str">
        <f t="shared" ca="1" si="83"/>
        <v>LOWE Seth</v>
      </c>
      <c r="F81" s="460" t="str">
        <f t="shared" ca="1" si="84"/>
        <v>WINGFIELD Tyler</v>
      </c>
      <c r="G81" s="460" t="str">
        <f t="shared" ca="1" si="85"/>
        <v>MAY Rudi</v>
      </c>
      <c r="H81" s="460" t="str">
        <f t="shared" ca="1" si="86"/>
        <v>MARSHALL Syd</v>
      </c>
      <c r="I81" s="460" t="str">
        <f t="shared" ca="1" si="87"/>
        <v>BASTOW Isaac</v>
      </c>
      <c r="J81" s="460" t="str">
        <f t="shared" ca="1" si="88"/>
        <v>MAYNARD Finley</v>
      </c>
      <c r="K81" s="460" t="str">
        <f t="shared" ca="1" si="89"/>
        <v>HONEYMAN Leo</v>
      </c>
      <c r="L81" s="460" t="str">
        <f t="shared" ca="1" si="90"/>
        <v>LANGTON Cody</v>
      </c>
      <c r="M81" s="460" t="str">
        <f t="shared" ca="1" si="91"/>
        <v>-</v>
      </c>
      <c r="N81" s="460" t="str">
        <f t="shared" ca="1" si="92"/>
        <v/>
      </c>
      <c r="O81" s="460" t="str">
        <f t="shared" ca="1" si="93"/>
        <v/>
      </c>
      <c r="P81" s="460" t="str">
        <f t="shared" ca="1" si="94"/>
        <v/>
      </c>
      <c r="Q81" s="460" t="str">
        <f t="shared" ca="1" si="95"/>
        <v/>
      </c>
      <c r="R81" s="460" t="str">
        <f t="shared" ca="1" si="96"/>
        <v/>
      </c>
      <c r="S81" s="460" t="str">
        <f t="shared" ca="1" si="97"/>
        <v/>
      </c>
    </row>
    <row r="82" spans="2:19" x14ac:dyDescent="0.35">
      <c r="B82" s="83" t="s">
        <v>223</v>
      </c>
      <c r="C82" s="83" t="s">
        <v>531</v>
      </c>
      <c r="D82" s="460">
        <f t="shared" ca="1" si="82"/>
        <v>0</v>
      </c>
      <c r="E82" s="460">
        <f t="shared" ca="1" si="83"/>
        <v>0</v>
      </c>
      <c r="F82" s="460">
        <f t="shared" ca="1" si="84"/>
        <v>0</v>
      </c>
      <c r="G82" s="460">
        <f t="shared" ca="1" si="85"/>
        <v>0</v>
      </c>
      <c r="H82" s="460">
        <f t="shared" ca="1" si="86"/>
        <v>0</v>
      </c>
      <c r="I82" s="460">
        <f t="shared" ca="1" si="87"/>
        <v>0</v>
      </c>
      <c r="J82" s="460">
        <f t="shared" ca="1" si="88"/>
        <v>0</v>
      </c>
      <c r="K82" s="460">
        <f t="shared" ca="1" si="89"/>
        <v>0</v>
      </c>
      <c r="L82" s="460">
        <f t="shared" ca="1" si="90"/>
        <v>0</v>
      </c>
      <c r="M82" s="460">
        <f t="shared" ca="1" si="91"/>
        <v>0</v>
      </c>
      <c r="N82" s="460" t="str">
        <f t="shared" ca="1" si="92"/>
        <v/>
      </c>
      <c r="O82" s="460" t="str">
        <f t="shared" ca="1" si="93"/>
        <v/>
      </c>
      <c r="P82" s="460" t="str">
        <f t="shared" ca="1" si="94"/>
        <v/>
      </c>
      <c r="Q82" s="460" t="str">
        <f t="shared" ca="1" si="95"/>
        <v/>
      </c>
      <c r="R82" s="460" t="str">
        <f t="shared" ca="1" si="96"/>
        <v/>
      </c>
      <c r="S82" s="460" t="str">
        <f t="shared" ca="1" si="97"/>
        <v/>
      </c>
    </row>
    <row r="83" spans="2:19" x14ac:dyDescent="0.35">
      <c r="B83" s="83" t="s">
        <v>224</v>
      </c>
      <c r="C83" s="83">
        <v>800</v>
      </c>
      <c r="D83" s="460" t="str">
        <f t="shared" ca="1" si="82"/>
        <v>LOWE Seth</v>
      </c>
      <c r="E83" s="460" t="str">
        <f t="shared" ca="1" si="83"/>
        <v>STOWELL Callum</v>
      </c>
      <c r="F83" s="460" t="str">
        <f t="shared" ca="1" si="84"/>
        <v>PLATTS Will</v>
      </c>
      <c r="G83" s="460" t="str">
        <f t="shared" ca="1" si="85"/>
        <v>REED Elliot</v>
      </c>
      <c r="H83" s="460" t="str">
        <f t="shared" ca="1" si="86"/>
        <v>SANDWELL Joshua</v>
      </c>
      <c r="I83" s="460" t="str">
        <f t="shared" ca="1" si="87"/>
        <v>JONES Alex</v>
      </c>
      <c r="J83" s="460" t="str">
        <f t="shared" ca="1" si="88"/>
        <v>FRANCIS Stan</v>
      </c>
      <c r="K83" s="460" t="str">
        <f t="shared" ca="1" si="89"/>
        <v>CRAGGS George</v>
      </c>
      <c r="L83" s="460" t="str">
        <f t="shared" ca="1" si="90"/>
        <v>-</v>
      </c>
      <c r="M83" s="460">
        <f t="shared" ca="1" si="91"/>
        <v>0</v>
      </c>
      <c r="N83" s="460" t="str">
        <f t="shared" ca="1" si="92"/>
        <v/>
      </c>
      <c r="O83" s="460" t="str">
        <f t="shared" ca="1" si="93"/>
        <v/>
      </c>
      <c r="P83" s="460" t="str">
        <f t="shared" ca="1" si="94"/>
        <v/>
      </c>
      <c r="Q83" s="460" t="str">
        <f t="shared" ca="1" si="95"/>
        <v/>
      </c>
      <c r="R83" s="460" t="str">
        <f t="shared" ca="1" si="96"/>
        <v/>
      </c>
      <c r="S83" s="460" t="str">
        <f t="shared" ca="1" si="97"/>
        <v/>
      </c>
    </row>
    <row r="84" spans="2:19" x14ac:dyDescent="0.35">
      <c r="B84" s="83" t="s">
        <v>225</v>
      </c>
      <c r="C84" s="83" t="s">
        <v>536</v>
      </c>
      <c r="D84" s="460">
        <f t="shared" ca="1" si="82"/>
        <v>0</v>
      </c>
      <c r="E84" s="460">
        <f t="shared" ca="1" si="83"/>
        <v>0</v>
      </c>
      <c r="F84" s="460" t="str">
        <f t="shared" ca="1" si="84"/>
        <v>-</v>
      </c>
      <c r="G84" s="460">
        <f t="shared" ca="1" si="85"/>
        <v>0</v>
      </c>
      <c r="H84" s="460" t="str">
        <f t="shared" ca="1" si="86"/>
        <v>-</v>
      </c>
      <c r="I84" s="460" t="str">
        <f t="shared" ca="1" si="87"/>
        <v>-</v>
      </c>
      <c r="J84" s="460" t="str">
        <f t="shared" ca="1" si="88"/>
        <v>-</v>
      </c>
      <c r="K84" s="460" t="str">
        <f t="shared" ca="1" si="89"/>
        <v>-</v>
      </c>
      <c r="L84" s="460">
        <f t="shared" ca="1" si="90"/>
        <v>0</v>
      </c>
      <c r="M84" s="460">
        <f t="shared" ca="1" si="91"/>
        <v>0</v>
      </c>
      <c r="N84" s="460" t="str">
        <f t="shared" ca="1" si="92"/>
        <v/>
      </c>
      <c r="O84" s="460" t="str">
        <f t="shared" ca="1" si="93"/>
        <v/>
      </c>
      <c r="P84" s="460" t="str">
        <f t="shared" ca="1" si="94"/>
        <v/>
      </c>
      <c r="Q84" s="460" t="str">
        <f t="shared" ca="1" si="95"/>
        <v/>
      </c>
      <c r="R84" s="460" t="str">
        <f t="shared" ca="1" si="96"/>
        <v/>
      </c>
      <c r="S84" s="460" t="str">
        <f t="shared" ca="1" si="97"/>
        <v/>
      </c>
    </row>
    <row r="85" spans="2:19" x14ac:dyDescent="0.35">
      <c r="B85" s="83" t="s">
        <v>226</v>
      </c>
      <c r="C85" s="83" t="s">
        <v>534</v>
      </c>
      <c r="D85" s="460">
        <f t="shared" ca="1" si="82"/>
        <v>0</v>
      </c>
      <c r="E85" s="460">
        <f t="shared" ca="1" si="83"/>
        <v>0</v>
      </c>
      <c r="F85" s="460" t="str">
        <f t="shared" ca="1" si="84"/>
        <v>TAYLOR George</v>
      </c>
      <c r="G85" s="460" t="str">
        <f t="shared" ca="1" si="85"/>
        <v>ENGLISH Elliott</v>
      </c>
      <c r="H85" s="460" t="str">
        <f t="shared" ca="1" si="86"/>
        <v>CHALK William</v>
      </c>
      <c r="I85" s="460" t="str">
        <f t="shared" ca="1" si="87"/>
        <v>WATSON Miles</v>
      </c>
      <c r="J85" s="460" t="str">
        <f t="shared" ca="1" si="88"/>
        <v>O'HARE Christy</v>
      </c>
      <c r="K85" s="460" t="str">
        <f t="shared" ca="1" si="89"/>
        <v>MARRON Ethan</v>
      </c>
      <c r="L85" s="460" t="str">
        <f t="shared" ca="1" si="90"/>
        <v>OADES James</v>
      </c>
      <c r="M85" s="460">
        <f t="shared" ca="1" si="91"/>
        <v>0</v>
      </c>
      <c r="N85" s="460" t="str">
        <f t="shared" ca="1" si="92"/>
        <v/>
      </c>
      <c r="O85" s="460" t="str">
        <f t="shared" ca="1" si="93"/>
        <v/>
      </c>
      <c r="P85" s="460" t="str">
        <f t="shared" ca="1" si="94"/>
        <v/>
      </c>
      <c r="Q85" s="460" t="str">
        <f t="shared" ca="1" si="95"/>
        <v/>
      </c>
      <c r="R85" s="460" t="str">
        <f t="shared" ca="1" si="96"/>
        <v/>
      </c>
      <c r="S85" s="460" t="str">
        <f t="shared" ca="1" si="97"/>
        <v/>
      </c>
    </row>
    <row r="86" spans="2:19" x14ac:dyDescent="0.35">
      <c r="B86" s="83" t="s">
        <v>138</v>
      </c>
      <c r="C86" s="83" t="s">
        <v>526</v>
      </c>
      <c r="D86" s="460">
        <f t="shared" ca="1" si="82"/>
        <v>0</v>
      </c>
      <c r="E86" s="460">
        <f t="shared" ca="1" si="83"/>
        <v>0</v>
      </c>
      <c r="F86" s="460" t="str">
        <f t="shared" ca="1" si="84"/>
        <v>MAY Rudi</v>
      </c>
      <c r="G86" s="460" t="str">
        <f t="shared" ca="1" si="85"/>
        <v>REILLY Arthur</v>
      </c>
      <c r="H86" s="460" t="str">
        <f t="shared" ca="1" si="86"/>
        <v>HICKLING William</v>
      </c>
      <c r="I86" s="460" t="str">
        <f t="shared" ca="1" si="87"/>
        <v>JONES Alex</v>
      </c>
      <c r="J86" s="460" t="str">
        <f t="shared" ca="1" si="88"/>
        <v>BAKER Edward</v>
      </c>
      <c r="K86" s="460" t="str">
        <f t="shared" ca="1" si="89"/>
        <v>-</v>
      </c>
      <c r="L86" s="460">
        <f t="shared" ca="1" si="90"/>
        <v>0</v>
      </c>
      <c r="M86" s="460">
        <f t="shared" ca="1" si="91"/>
        <v>0</v>
      </c>
      <c r="N86" s="460" t="str">
        <f t="shared" ca="1" si="92"/>
        <v/>
      </c>
      <c r="O86" s="460" t="str">
        <f t="shared" ca="1" si="93"/>
        <v/>
      </c>
      <c r="P86" s="460" t="str">
        <f t="shared" ca="1" si="94"/>
        <v/>
      </c>
      <c r="Q86" s="460" t="str">
        <f t="shared" ca="1" si="95"/>
        <v/>
      </c>
      <c r="R86" s="460" t="str">
        <f t="shared" ca="1" si="96"/>
        <v/>
      </c>
      <c r="S86" s="460" t="str">
        <f t="shared" ca="1" si="97"/>
        <v/>
      </c>
    </row>
    <row r="87" spans="2:19" x14ac:dyDescent="0.35">
      <c r="B87" s="83" t="s">
        <v>219</v>
      </c>
      <c r="C87" s="83">
        <v>3000</v>
      </c>
      <c r="D87" s="460">
        <f t="shared" ca="1" si="82"/>
        <v>0</v>
      </c>
      <c r="E87" s="460">
        <f t="shared" ca="1" si="83"/>
        <v>0</v>
      </c>
      <c r="F87" s="460">
        <f t="shared" ca="1" si="84"/>
        <v>0</v>
      </c>
      <c r="G87" s="460">
        <f t="shared" ca="1" si="85"/>
        <v>0</v>
      </c>
      <c r="H87" s="460">
        <f t="shared" ca="1" si="86"/>
        <v>0</v>
      </c>
      <c r="I87" s="460">
        <f t="shared" ca="1" si="87"/>
        <v>0</v>
      </c>
      <c r="J87" s="460">
        <f t="shared" ca="1" si="88"/>
        <v>0</v>
      </c>
      <c r="K87" s="460">
        <f t="shared" ca="1" si="89"/>
        <v>0</v>
      </c>
      <c r="L87" s="460">
        <f t="shared" ca="1" si="90"/>
        <v>0</v>
      </c>
      <c r="M87" s="460">
        <f t="shared" ca="1" si="91"/>
        <v>0</v>
      </c>
      <c r="N87" s="460" t="str">
        <f t="shared" ca="1" si="92"/>
        <v/>
      </c>
      <c r="O87" s="460" t="str">
        <f t="shared" ca="1" si="93"/>
        <v/>
      </c>
      <c r="P87" s="460" t="str">
        <f t="shared" ca="1" si="94"/>
        <v/>
      </c>
      <c r="Q87" s="460" t="str">
        <f t="shared" ca="1" si="95"/>
        <v/>
      </c>
      <c r="R87" s="460" t="str">
        <f t="shared" ca="1" si="96"/>
        <v/>
      </c>
      <c r="S87" s="460" t="str">
        <f t="shared" ca="1" si="97"/>
        <v/>
      </c>
    </row>
    <row r="88" spans="2:19" x14ac:dyDescent="0.35">
      <c r="B88" s="83" t="s">
        <v>220</v>
      </c>
      <c r="C88" s="83" t="s">
        <v>525</v>
      </c>
      <c r="D88" s="460">
        <f t="shared" ca="1" si="82"/>
        <v>0</v>
      </c>
      <c r="E88" s="460">
        <f t="shared" ca="1" si="83"/>
        <v>0</v>
      </c>
      <c r="F88" s="460">
        <f t="shared" ca="1" si="84"/>
        <v>0</v>
      </c>
      <c r="G88" s="460">
        <f t="shared" ca="1" si="85"/>
        <v>0</v>
      </c>
      <c r="H88" s="460">
        <f t="shared" ca="1" si="86"/>
        <v>0</v>
      </c>
      <c r="I88" s="460">
        <f t="shared" ca="1" si="87"/>
        <v>0</v>
      </c>
      <c r="J88" s="460">
        <f t="shared" ca="1" si="88"/>
        <v>0</v>
      </c>
      <c r="K88" s="460">
        <f t="shared" ca="1" si="89"/>
        <v>0</v>
      </c>
      <c r="L88" s="460">
        <f t="shared" ca="1" si="90"/>
        <v>0</v>
      </c>
      <c r="M88" s="460">
        <f t="shared" ca="1" si="91"/>
        <v>0</v>
      </c>
      <c r="N88" s="460" t="str">
        <f t="shared" ca="1" si="92"/>
        <v/>
      </c>
      <c r="O88" s="460" t="str">
        <f t="shared" ca="1" si="93"/>
        <v/>
      </c>
      <c r="P88" s="460" t="str">
        <f t="shared" ca="1" si="94"/>
        <v/>
      </c>
      <c r="Q88" s="460" t="str">
        <f t="shared" ca="1" si="95"/>
        <v/>
      </c>
      <c r="R88" s="460" t="str">
        <f t="shared" ca="1" si="96"/>
        <v/>
      </c>
      <c r="S88" s="460" t="str">
        <f t="shared" ca="1" si="97"/>
        <v/>
      </c>
    </row>
    <row r="89" spans="2:19" x14ac:dyDescent="0.35">
      <c r="B89" s="83" t="s">
        <v>221</v>
      </c>
      <c r="C89" s="83" t="s">
        <v>527</v>
      </c>
      <c r="D89" s="460">
        <f t="shared" ca="1" si="82"/>
        <v>0</v>
      </c>
      <c r="E89" s="460">
        <f t="shared" ca="1" si="83"/>
        <v>0</v>
      </c>
      <c r="F89" s="460">
        <f t="shared" ca="1" si="84"/>
        <v>0</v>
      </c>
      <c r="G89" s="460">
        <f t="shared" ca="1" si="85"/>
        <v>0</v>
      </c>
      <c r="H89" s="460">
        <f t="shared" ca="1" si="86"/>
        <v>0</v>
      </c>
      <c r="I89" s="460">
        <f t="shared" ca="1" si="87"/>
        <v>0</v>
      </c>
      <c r="J89" s="460">
        <f t="shared" ca="1" si="88"/>
        <v>0</v>
      </c>
      <c r="K89" s="460">
        <f t="shared" ca="1" si="89"/>
        <v>0</v>
      </c>
      <c r="L89" s="460">
        <f t="shared" ca="1" si="90"/>
        <v>0</v>
      </c>
      <c r="M89" s="460">
        <f t="shared" ca="1" si="91"/>
        <v>0</v>
      </c>
      <c r="N89" s="460" t="str">
        <f t="shared" ca="1" si="92"/>
        <v/>
      </c>
      <c r="O89" s="460" t="str">
        <f t="shared" ca="1" si="93"/>
        <v/>
      </c>
      <c r="P89" s="460" t="str">
        <f t="shared" ca="1" si="94"/>
        <v/>
      </c>
      <c r="Q89" s="460" t="str">
        <f t="shared" ca="1" si="95"/>
        <v/>
      </c>
      <c r="R89" s="460" t="str">
        <f t="shared" ca="1" si="96"/>
        <v/>
      </c>
      <c r="S89" s="460" t="str">
        <f t="shared" ca="1" si="97"/>
        <v/>
      </c>
    </row>
    <row r="90" spans="2:19" x14ac:dyDescent="0.35">
      <c r="B90" s="83" t="s">
        <v>222</v>
      </c>
      <c r="C90" s="83" t="s">
        <v>25</v>
      </c>
      <c r="D90" s="460">
        <f t="shared" ca="1" si="82"/>
        <v>0</v>
      </c>
      <c r="E90" s="460">
        <f t="shared" ca="1" si="83"/>
        <v>0</v>
      </c>
      <c r="F90" s="460">
        <f t="shared" ca="1" si="84"/>
        <v>0</v>
      </c>
      <c r="G90" s="460">
        <f t="shared" ca="1" si="85"/>
        <v>0</v>
      </c>
      <c r="H90" s="460">
        <f t="shared" ca="1" si="86"/>
        <v>0</v>
      </c>
      <c r="I90" s="460">
        <f t="shared" ca="1" si="87"/>
        <v>0</v>
      </c>
      <c r="J90" s="460">
        <f t="shared" ca="1" si="88"/>
        <v>0</v>
      </c>
      <c r="K90" s="460">
        <f t="shared" ca="1" si="89"/>
        <v>0</v>
      </c>
      <c r="L90" s="460">
        <f t="shared" ca="1" si="90"/>
        <v>0</v>
      </c>
      <c r="M90" s="460">
        <f t="shared" ca="1" si="91"/>
        <v>0</v>
      </c>
      <c r="N90" s="460" t="str">
        <f t="shared" ca="1" si="92"/>
        <v/>
      </c>
      <c r="O90" s="460" t="str">
        <f t="shared" ca="1" si="93"/>
        <v/>
      </c>
      <c r="P90" s="460" t="str">
        <f t="shared" ca="1" si="94"/>
        <v/>
      </c>
      <c r="Q90" s="460" t="str">
        <f t="shared" ca="1" si="95"/>
        <v/>
      </c>
      <c r="R90" s="460" t="str">
        <f t="shared" ca="1" si="96"/>
        <v/>
      </c>
      <c r="S90" s="460" t="str">
        <f t="shared" ca="1" si="97"/>
        <v/>
      </c>
    </row>
    <row r="91" spans="2:19" x14ac:dyDescent="0.35">
      <c r="B91" s="83" t="s">
        <v>537</v>
      </c>
      <c r="C91" s="83" t="s">
        <v>21</v>
      </c>
      <c r="D91" s="460">
        <f t="shared" ca="1" si="82"/>
        <v>0</v>
      </c>
      <c r="E91" s="460">
        <f t="shared" ca="1" si="83"/>
        <v>0</v>
      </c>
      <c r="F91" s="460">
        <f t="shared" ca="1" si="84"/>
        <v>0</v>
      </c>
      <c r="G91" s="460">
        <f t="shared" ca="1" si="85"/>
        <v>0</v>
      </c>
      <c r="H91" s="460">
        <f t="shared" ca="1" si="86"/>
        <v>0</v>
      </c>
      <c r="I91" s="460">
        <f t="shared" ca="1" si="87"/>
        <v>0</v>
      </c>
      <c r="J91" s="460">
        <f t="shared" ca="1" si="88"/>
        <v>0</v>
      </c>
      <c r="K91" s="460">
        <f t="shared" ca="1" si="89"/>
        <v>0</v>
      </c>
      <c r="L91" s="460">
        <f t="shared" ca="1" si="90"/>
        <v>0</v>
      </c>
      <c r="M91" s="460">
        <f t="shared" ca="1" si="91"/>
        <v>0</v>
      </c>
      <c r="N91" s="460" t="str">
        <f t="shared" ca="1" si="92"/>
        <v/>
      </c>
      <c r="O91" s="460" t="str">
        <f t="shared" ca="1" si="93"/>
        <v/>
      </c>
      <c r="P91" s="460" t="str">
        <f t="shared" ca="1" si="94"/>
        <v/>
      </c>
      <c r="Q91" s="460" t="str">
        <f t="shared" ca="1" si="95"/>
        <v/>
      </c>
      <c r="R91" s="460" t="str">
        <f t="shared" ca="1" si="96"/>
        <v/>
      </c>
      <c r="S91" s="460" t="str">
        <f t="shared" ca="1" si="97"/>
        <v/>
      </c>
    </row>
    <row r="92" spans="2:19" x14ac:dyDescent="0.35">
      <c r="B92" s="83" t="s">
        <v>216</v>
      </c>
      <c r="C92" s="83" t="s">
        <v>28</v>
      </c>
      <c r="D92" s="460" t="str">
        <f t="shared" ca="1" si="82"/>
        <v>STOWELL Callum</v>
      </c>
      <c r="E92" s="460">
        <f t="shared" ca="1" si="83"/>
        <v>0</v>
      </c>
      <c r="F92" s="460" t="str">
        <f t="shared" ca="1" si="84"/>
        <v>HENNESSEY Thomas</v>
      </c>
      <c r="G92" s="460" t="str">
        <f t="shared" ca="1" si="85"/>
        <v>COCKINGS Matthew</v>
      </c>
      <c r="H92" s="460" t="str">
        <f t="shared" ca="1" si="86"/>
        <v>RUTTER Lewis</v>
      </c>
      <c r="I92" s="460" t="str">
        <f t="shared" ca="1" si="87"/>
        <v>ROTHWELL Noah</v>
      </c>
      <c r="J92" s="460" t="str">
        <f t="shared" ca="1" si="88"/>
        <v>MAYNARD Finley</v>
      </c>
      <c r="K92" s="460" t="str">
        <f t="shared" ca="1" si="89"/>
        <v>-</v>
      </c>
      <c r="L92" s="460" t="str">
        <f t="shared" ca="1" si="90"/>
        <v>COOK Alexander</v>
      </c>
      <c r="M92" s="460" t="str">
        <f t="shared" ca="1" si="91"/>
        <v>PELL Nathan</v>
      </c>
      <c r="N92" s="460" t="str">
        <f t="shared" ca="1" si="92"/>
        <v/>
      </c>
      <c r="O92" s="460" t="str">
        <f t="shared" ca="1" si="93"/>
        <v/>
      </c>
      <c r="P92" s="460" t="str">
        <f t="shared" ca="1" si="94"/>
        <v/>
      </c>
      <c r="Q92" s="460" t="str">
        <f t="shared" ca="1" si="95"/>
        <v/>
      </c>
      <c r="R92" s="460" t="str">
        <f t="shared" ca="1" si="96"/>
        <v/>
      </c>
      <c r="S92" s="460" t="str">
        <f t="shared" ca="1" si="97"/>
        <v/>
      </c>
    </row>
    <row r="93" spans="2:19" x14ac:dyDescent="0.35">
      <c r="B93" s="83" t="s">
        <v>217</v>
      </c>
      <c r="C93" s="83" t="s">
        <v>24</v>
      </c>
      <c r="D93" s="460" t="str">
        <f t="shared" ca="1" si="82"/>
        <v>STOWELL Callum</v>
      </c>
      <c r="E93" s="460" t="str">
        <f t="shared" ca="1" si="83"/>
        <v>DREW Matthew</v>
      </c>
      <c r="F93" s="460" t="str">
        <f t="shared" ca="1" si="84"/>
        <v>HENNESSEY Thomas</v>
      </c>
      <c r="G93" s="460" t="str">
        <f t="shared" ca="1" si="85"/>
        <v>COCKINGS Matthew</v>
      </c>
      <c r="H93" s="460" t="str">
        <f t="shared" ca="1" si="86"/>
        <v>WALSH Lincoln</v>
      </c>
      <c r="I93" s="460" t="str">
        <f t="shared" ca="1" si="87"/>
        <v>ROTHWELL Noah</v>
      </c>
      <c r="J93" s="460" t="str">
        <f t="shared" ca="1" si="88"/>
        <v>FRANCIS Stan</v>
      </c>
      <c r="K93" s="460" t="str">
        <f t="shared" ca="1" si="89"/>
        <v>-</v>
      </c>
      <c r="L93" s="460" t="str">
        <f t="shared" ca="1" si="90"/>
        <v>COOK Alexander</v>
      </c>
      <c r="M93" s="460" t="str">
        <f t="shared" ca="1" si="91"/>
        <v>PELL Nathan</v>
      </c>
      <c r="N93" s="460" t="str">
        <f t="shared" ca="1" si="92"/>
        <v/>
      </c>
      <c r="O93" s="460" t="str">
        <f t="shared" ca="1" si="93"/>
        <v/>
      </c>
      <c r="P93" s="460" t="str">
        <f t="shared" ca="1" si="94"/>
        <v/>
      </c>
      <c r="Q93" s="460" t="str">
        <f t="shared" ca="1" si="95"/>
        <v/>
      </c>
      <c r="R93" s="460" t="str">
        <f t="shared" ca="1" si="96"/>
        <v/>
      </c>
      <c r="S93" s="460" t="str">
        <f t="shared" ca="1" si="97"/>
        <v/>
      </c>
    </row>
    <row r="94" spans="2:19" x14ac:dyDescent="0.35">
      <c r="B94" s="83" t="s">
        <v>142</v>
      </c>
      <c r="C94" s="83" t="s">
        <v>22</v>
      </c>
      <c r="D94" s="460" t="str">
        <f t="shared" ca="1" si="82"/>
        <v>GASKIN Nathanael</v>
      </c>
      <c r="E94" s="460" t="str">
        <f t="shared" ca="1" si="83"/>
        <v>DREW Matthew</v>
      </c>
      <c r="F94" s="460" t="str">
        <f t="shared" ca="1" si="84"/>
        <v>CONNELLY George</v>
      </c>
      <c r="G94" s="460" t="str">
        <f t="shared" ca="1" si="85"/>
        <v>REILLY Arthur</v>
      </c>
      <c r="H94" s="460" t="str">
        <f t="shared" ca="1" si="86"/>
        <v>MARSHALL Syd</v>
      </c>
      <c r="I94" s="460" t="str">
        <f t="shared" ca="1" si="87"/>
        <v>PEARSON Adam</v>
      </c>
      <c r="J94" s="460" t="str">
        <f t="shared" ca="1" si="88"/>
        <v>BAKER Edward</v>
      </c>
      <c r="K94" s="460" t="str">
        <f t="shared" ca="1" si="89"/>
        <v>CRAGGS George</v>
      </c>
      <c r="L94" s="460" t="str">
        <f t="shared" ca="1" si="90"/>
        <v>LANGTON Cody</v>
      </c>
      <c r="M94" s="460" t="str">
        <f t="shared" ca="1" si="91"/>
        <v>-</v>
      </c>
      <c r="N94" s="460" t="str">
        <f t="shared" ca="1" si="92"/>
        <v/>
      </c>
      <c r="O94" s="460" t="str">
        <f t="shared" ca="1" si="93"/>
        <v/>
      </c>
      <c r="P94" s="460" t="str">
        <f t="shared" ca="1" si="94"/>
        <v/>
      </c>
      <c r="Q94" s="460" t="str">
        <f t="shared" ca="1" si="95"/>
        <v/>
      </c>
      <c r="R94" s="460" t="str">
        <f t="shared" ca="1" si="96"/>
        <v/>
      </c>
      <c r="S94" s="460" t="str">
        <f t="shared" ca="1" si="97"/>
        <v/>
      </c>
    </row>
    <row r="95" spans="2:19" x14ac:dyDescent="0.35">
      <c r="B95" s="83" t="s">
        <v>218</v>
      </c>
      <c r="C95" s="83" t="s">
        <v>31</v>
      </c>
      <c r="D95" s="460">
        <f t="shared" ca="1" si="82"/>
        <v>0</v>
      </c>
      <c r="E95" s="460">
        <f t="shared" ca="1" si="83"/>
        <v>0</v>
      </c>
      <c r="F95" s="460">
        <f t="shared" ca="1" si="84"/>
        <v>0</v>
      </c>
      <c r="G95" s="460">
        <f t="shared" ca="1" si="85"/>
        <v>0</v>
      </c>
      <c r="H95" s="460">
        <f t="shared" ca="1" si="86"/>
        <v>0</v>
      </c>
      <c r="I95" s="460">
        <f t="shared" ca="1" si="87"/>
        <v>0</v>
      </c>
      <c r="J95" s="460">
        <f t="shared" ca="1" si="88"/>
        <v>0</v>
      </c>
      <c r="K95" s="460">
        <f t="shared" ca="1" si="89"/>
        <v>0</v>
      </c>
      <c r="L95" s="460">
        <f t="shared" ca="1" si="90"/>
        <v>0</v>
      </c>
      <c r="M95" s="460">
        <f t="shared" ca="1" si="91"/>
        <v>0</v>
      </c>
      <c r="N95" s="460" t="str">
        <f t="shared" ca="1" si="92"/>
        <v/>
      </c>
      <c r="O95" s="460" t="str">
        <f t="shared" ca="1" si="93"/>
        <v/>
      </c>
      <c r="P95" s="460" t="str">
        <f t="shared" ca="1" si="94"/>
        <v/>
      </c>
      <c r="Q95" s="460" t="str">
        <f t="shared" ca="1" si="95"/>
        <v/>
      </c>
      <c r="R95" s="460" t="str">
        <f t="shared" ca="1" si="96"/>
        <v/>
      </c>
      <c r="S95" s="460" t="str">
        <f t="shared" ca="1" si="97"/>
        <v/>
      </c>
    </row>
    <row r="96" spans="2:19" x14ac:dyDescent="0.35">
      <c r="B96" s="83" t="s">
        <v>334</v>
      </c>
      <c r="C96" s="83" t="s">
        <v>23</v>
      </c>
      <c r="D96" s="460" t="str">
        <f t="shared" ca="1" si="82"/>
        <v>LOWE Seth</v>
      </c>
      <c r="E96" s="460">
        <f t="shared" ca="1" si="83"/>
        <v>0</v>
      </c>
      <c r="F96" s="460" t="str">
        <f t="shared" ca="1" si="84"/>
        <v>MAY Rudi</v>
      </c>
      <c r="G96" s="460" t="str">
        <f t="shared" ca="1" si="85"/>
        <v>COCKINGS Matthew</v>
      </c>
      <c r="H96" s="460" t="str">
        <f t="shared" ca="1" si="86"/>
        <v>BASTOW Isaac</v>
      </c>
      <c r="I96" s="460" t="str">
        <f t="shared" ca="1" si="87"/>
        <v>JONES Alex</v>
      </c>
      <c r="J96" s="460" t="str">
        <f t="shared" ca="1" si="88"/>
        <v>-</v>
      </c>
      <c r="K96" s="460" t="str">
        <f t="shared" ca="1" si="89"/>
        <v>-</v>
      </c>
      <c r="L96" s="460" t="str">
        <f t="shared" ca="1" si="90"/>
        <v>OADES James</v>
      </c>
      <c r="M96" s="460" t="str">
        <f t="shared" ca="1" si="91"/>
        <v>-</v>
      </c>
      <c r="N96" s="460" t="str">
        <f t="shared" ca="1" si="92"/>
        <v/>
      </c>
      <c r="O96" s="460" t="str">
        <f t="shared" ca="1" si="93"/>
        <v/>
      </c>
      <c r="P96" s="460" t="str">
        <f t="shared" ca="1" si="94"/>
        <v/>
      </c>
      <c r="Q96" s="460" t="str">
        <f t="shared" ca="1" si="95"/>
        <v/>
      </c>
      <c r="R96" s="460" t="str">
        <f t="shared" ca="1" si="96"/>
        <v/>
      </c>
      <c r="S96" s="460" t="str">
        <f t="shared" ca="1" si="97"/>
        <v/>
      </c>
    </row>
    <row r="97" spans="1:19" x14ac:dyDescent="0.35">
      <c r="B97" s="83" t="s">
        <v>212</v>
      </c>
      <c r="C97" s="83" t="s">
        <v>27</v>
      </c>
      <c r="D97" s="460">
        <f t="shared" ca="1" si="82"/>
        <v>0</v>
      </c>
      <c r="E97" s="460">
        <f t="shared" ca="1" si="83"/>
        <v>0</v>
      </c>
      <c r="F97" s="460">
        <f t="shared" ca="1" si="84"/>
        <v>0</v>
      </c>
      <c r="G97" s="460">
        <f t="shared" ca="1" si="85"/>
        <v>0</v>
      </c>
      <c r="H97" s="460">
        <f t="shared" ca="1" si="86"/>
        <v>0</v>
      </c>
      <c r="I97" s="460">
        <f t="shared" ca="1" si="87"/>
        <v>0</v>
      </c>
      <c r="J97" s="460">
        <f t="shared" ca="1" si="88"/>
        <v>0</v>
      </c>
      <c r="K97" s="460">
        <f t="shared" ca="1" si="89"/>
        <v>0</v>
      </c>
      <c r="L97" s="460">
        <f t="shared" ca="1" si="90"/>
        <v>0</v>
      </c>
      <c r="M97" s="460">
        <f t="shared" ca="1" si="91"/>
        <v>0</v>
      </c>
      <c r="N97" s="460" t="str">
        <f t="shared" ca="1" si="92"/>
        <v/>
      </c>
      <c r="O97" s="460" t="str">
        <f t="shared" ca="1" si="93"/>
        <v/>
      </c>
      <c r="P97" s="460" t="str">
        <f t="shared" ca="1" si="94"/>
        <v/>
      </c>
      <c r="Q97" s="460" t="str">
        <f t="shared" ca="1" si="95"/>
        <v/>
      </c>
      <c r="R97" s="460" t="str">
        <f t="shared" ca="1" si="96"/>
        <v/>
      </c>
      <c r="S97" s="460" t="str">
        <f t="shared" ca="1" si="97"/>
        <v/>
      </c>
    </row>
    <row r="98" spans="1:19" x14ac:dyDescent="0.35">
      <c r="B98" s="83" t="s">
        <v>213</v>
      </c>
      <c r="C98" s="83" t="s">
        <v>529</v>
      </c>
      <c r="D98" s="460" t="str">
        <f ca="1">IFERROR(IF(INDIRECT(CONCATENATE($B$53,D$1,MATCH($D$28,INDIRECT(CONCATENATE($B$53,E$1,$B98,35,":",E$1,$B98,74)),0)+34))="-",D171,INDIRECT(CONCATENATE($B$53,D$1,MATCH($D$28,INDIRECT(CONCATENATE($B$53,E$1,$B98,35,":",E$1,$B98,74)),0)+34))),D171)</f>
        <v>DREW Matthew</v>
      </c>
      <c r="E98" s="460" t="str">
        <f ca="1">IFERROR(IF(INDIRECT(CONCATENATE($B$53,D$1,MATCH($F$28,INDIRECT(CONCATENATE($B$53,E$1,$B98,35,":",E$1,$B98,74)),0)+34))="-",E171,INDIRECT(CONCATENATE($B$53,D$1,MATCH($F$28,INDIRECT(CONCATENATE($B$53,E$1,$B98,35,":",E$1,$B98,74)),0)+34))),E171)</f>
        <v>STOWELL Callum</v>
      </c>
      <c r="F98" s="460" t="str">
        <f t="shared" ref="F98" ca="1" si="98">IFERROR(IF(INDIRECT(CONCATENATE($B$53,F$1,MATCH($D$28,INDIRECT(CONCATENATE($B$53,G$1,$B98,35,":",G$1,$B98,74)),0)+34))="-",F171,INDIRECT(CONCATENATE($B$53,F$1,MATCH($D$28,INDIRECT(CONCATENATE($B$53,G$1,$B98,35,":",G$1,$B98,74)),0)+34))),F171)</f>
        <v>REILLY Arthur</v>
      </c>
      <c r="G98" s="460" t="str">
        <f t="shared" ref="G98" ca="1" si="99">IFERROR(IF(INDIRECT(CONCATENATE($B$53,F$1,MATCH($F$28,INDIRECT(CONCATENATE($B$53,G$1,$B98,35,":",G$1,$B98,74)),0)+34))="-",G171,INDIRECT(CONCATENATE($B$53,F$1,MATCH($F$28,INDIRECT(CONCATENATE($B$53,G$1,$B98,35,":",G$1,$B98,74)),0)+34))),G171)</f>
        <v>WINGFIELD Tyler</v>
      </c>
      <c r="H98" s="460" t="str">
        <f t="shared" ref="H98" ca="1" si="100">IFERROR(IF(INDIRECT(CONCATENATE($B$53,H$1,MATCH($D$28,INDIRECT(CONCATENATE($B$53,I$1,$B98,35,":",I$1,$B98,74)),0)+34))="-",H171,INDIRECT(CONCATENATE($B$53,H$1,MATCH($D$28,INDIRECT(CONCATENATE($B$53,I$1,$B98,35,":",I$1,$B98,74)),0)+34))),H171)</f>
        <v>BASTOW Isaac</v>
      </c>
      <c r="I98" s="460" t="str">
        <f t="shared" ref="I98" ca="1" si="101">IFERROR(IF(INDIRECT(CONCATENATE($B$53,H$1,MATCH($F$28,INDIRECT(CONCATENATE($B$53,I$1,$B98,35,":",I$1,$B98,74)),0)+34))="-",I171,INDIRECT(CONCATENATE($B$53,H$1,MATCH($F$28,INDIRECT(CONCATENATE($B$53,I$1,$B98,35,":",I$1,$B98,74)),0)+34))),I171)</f>
        <v>PEARSON Adam</v>
      </c>
      <c r="J98" s="460" t="str">
        <f t="shared" ref="J98" ca="1" si="102">IFERROR(IF(INDIRECT(CONCATENATE($B$53,J$1,MATCH($D$28,INDIRECT(CONCATENATE($B$53,K$1,$B98,35,":",K$1,$B98,74)),0)+34))="-",J171,INDIRECT(CONCATENATE($B$53,J$1,MATCH($D$28,INDIRECT(CONCATENATE($B$53,K$1,$B98,35,":",K$1,$B98,74)),0)+34))),J171)</f>
        <v>O'HARE Christy</v>
      </c>
      <c r="K98" s="460" t="str">
        <f t="shared" ref="K98" ca="1" si="103">IFERROR(IF(INDIRECT(CONCATENATE($B$53,J$1,MATCH($F$28,INDIRECT(CONCATENATE($B$53,K$1,$B98,35,":",K$1,$B98,74)),0)+34))="-",K171,INDIRECT(CONCATENATE($B$53,J$1,MATCH($F$28,INDIRECT(CONCATENATE($B$53,K$1,$B98,35,":",K$1,$B98,74)),0)+34))),K171)</f>
        <v>MARRON Ethan</v>
      </c>
      <c r="L98" s="460" t="str">
        <f t="shared" ref="L98" ca="1" si="104">IFERROR(IF(INDIRECT(CONCATENATE($B$53,L$1,MATCH($D$28,INDIRECT(CONCATENATE($B$53,M$1,$B98,35,":",M$1,$B98,74)),0)+34))="-",L171,INDIRECT(CONCATENATE($B$53,L$1,MATCH($D$28,INDIRECT(CONCATENATE($B$53,M$1,$B98,35,":",M$1,$B98,74)),0)+34))),L171)</f>
        <v>-</v>
      </c>
      <c r="M98" s="460" t="str">
        <f t="shared" ref="M98" ca="1" si="105">IFERROR(IF(INDIRECT(CONCATENATE($B$53,L$1,MATCH($F$28,INDIRECT(CONCATENATE($B$53,M$1,$B98,35,":",M$1,$B98,74)),0)+34))="-",M171,INDIRECT(CONCATENATE($B$53,L$1,MATCH($F$28,INDIRECT(CONCATENATE($B$53,M$1,$B98,35,":",M$1,$B98,74)),0)+34))),M171)</f>
        <v>-</v>
      </c>
      <c r="N98" s="460" t="str">
        <f t="shared" ref="N98" ca="1" si="106">IFERROR(IF(INDIRECT(CONCATENATE($B$53,N$1,MATCH($D$28,INDIRECT(CONCATENATE($B$53,O$1,$B98,35,":",O$1,$B98,74)),0)+34))="-",N171,INDIRECT(CONCATENATE($B$53,N$1,MATCH($D$28,INDIRECT(CONCATENATE($B$53,O$1,$B98,35,":",O$1,$B98,74)),0)+34))),N171)</f>
        <v/>
      </c>
      <c r="O98" s="460" t="str">
        <f t="shared" ref="O98" ca="1" si="107">IFERROR(IF(INDIRECT(CONCATENATE($B$53,N$1,MATCH($F$28,INDIRECT(CONCATENATE($B$53,O$1,$B98,35,":",O$1,$B98,74)),0)+34))="-",O171,INDIRECT(CONCATENATE($B$53,N$1,MATCH($F$28,INDIRECT(CONCATENATE($B$53,O$1,$B98,35,":",O$1,$B98,74)),0)+34))),O171)</f>
        <v/>
      </c>
      <c r="P98" s="460" t="str">
        <f t="shared" ref="P98" ca="1" si="108">IFERROR(IF(INDIRECT(CONCATENATE($B$53,P$1,MATCH($D$28,INDIRECT(CONCATENATE($B$53,Q$1,$B98,35,":",Q$1,$B98,74)),0)+34))="-",P171,INDIRECT(CONCATENATE($B$53,P$1,MATCH($D$28,INDIRECT(CONCATENATE($B$53,Q$1,$B98,35,":",Q$1,$B98,74)),0)+34))),P171)</f>
        <v/>
      </c>
      <c r="Q98" s="460" t="str">
        <f t="shared" ref="Q98" ca="1" si="109">IFERROR(IF(INDIRECT(CONCATENATE($B$53,P$1,MATCH($F$28,INDIRECT(CONCATENATE($B$53,Q$1,$B98,35,":",Q$1,$B98,74)),0)+34))="-",Q171,INDIRECT(CONCATENATE($B$53,P$1,MATCH($F$28,INDIRECT(CONCATENATE($B$53,Q$1,$B98,35,":",Q$1,$B98,74)),0)+34))),Q171)</f>
        <v/>
      </c>
      <c r="R98" s="460" t="str">
        <f t="shared" ref="R98" ca="1" si="110">IFERROR(IF(INDIRECT(CONCATENATE($B$53,R$1,MATCH($D$28,INDIRECT(CONCATENATE($B$53,S$1,$B98,35,":",S$1,$B98,74)),0)+34))="-",R171,INDIRECT(CONCATENATE($B$53,R$1,MATCH($D$28,INDIRECT(CONCATENATE($B$53,S$1,$B98,35,":",S$1,$B98,74)),0)+34))),R171)</f>
        <v/>
      </c>
      <c r="S98" s="460" t="str">
        <f t="shared" ref="S98" ca="1" si="111">IFERROR(IF(INDIRECT(CONCATENATE($B$53,R$1,MATCH($F$28,INDIRECT(CONCATENATE($B$53,S$1,$B98,35,":",S$1,$B98,74)),0)+34))="-",S171,INDIRECT(CONCATENATE($B$53,R$1,MATCH($F$28,INDIRECT(CONCATENATE($B$53,S$1,$B98,35,":",S$1,$B98,74)),0)+34))),S171)</f>
        <v/>
      </c>
    </row>
    <row r="99" spans="1:19" x14ac:dyDescent="0.35">
      <c r="B99" s="83" t="s">
        <v>213</v>
      </c>
      <c r="C99" s="83" t="s">
        <v>529</v>
      </c>
      <c r="D99" s="460" t="str">
        <f ca="1">IFERROR(IF(INDIRECT(CONCATENATE($B$53,D$1,MATCH($H$28,INDIRECT(CONCATENATE($B$53,E$1,$B99,35,":",E$1,$B99,74)),0)+34))="-",D172,INDIRECT(CONCATENATE($B$53,D$1,MATCH($H$28,INDIRECT(CONCATENATE($B$53,E$1,$B99,35,":",E$1,$B99,74)),0)+34))),D172)</f>
        <v>LOWE Seth</v>
      </c>
      <c r="E99" s="460" t="str">
        <f ca="1">IFERROR(IF(INDIRECT(CONCATENATE($B$53,D$1,MATCH($J$28,INDIRECT(CONCATENATE($B$53,E$1,$B99,35,":",E$1,$B99,74)),0)+34))="-",E172,INDIRECT(CONCATENATE($B$53,D$1,MATCH($J$28,INDIRECT(CONCATENATE($B$53,E$1,$B99,35,":",E$1,$B99,74)),0)+34))),E172)</f>
        <v>GASKIN Nathanael</v>
      </c>
      <c r="F99" s="460" t="str">
        <f t="shared" ref="F99" ca="1" si="112">IFERROR(IF(INDIRECT(CONCATENATE($B$53,F$1,MATCH($H$28,INDIRECT(CONCATENATE($B$53,G$1,$B99,35,":",G$1,$B99,74)),0)+34))="-",F172,INDIRECT(CONCATENATE($B$53,F$1,MATCH($H$28,INDIRECT(CONCATENATE($B$53,G$1,$B99,35,":",G$1,$B99,74)),0)+34))),F172)</f>
        <v>MAY Rudi</v>
      </c>
      <c r="G99" s="460" t="str">
        <f t="shared" ref="G99" ca="1" si="113">IFERROR(IF(INDIRECT(CONCATENATE($B$53,F$1,MATCH($J$28,INDIRECT(CONCATENATE($B$53,G$1,$B99,35,":",G$1,$B99,74)),0)+34))="-",G172,INDIRECT(CONCATENATE($B$53,F$1,MATCH($J$28,INDIRECT(CONCATENATE($B$53,G$1,$B99,35,":",G$1,$B99,74)),0)+34))),G172)</f>
        <v>CONNELLY George</v>
      </c>
      <c r="H99" s="460" t="str">
        <f t="shared" ref="H99" ca="1" si="114">IFERROR(IF(INDIRECT(CONCATENATE($B$53,H$1,MATCH($H$28,INDIRECT(CONCATENATE($B$53,I$1,$B99,35,":",I$1,$B99,74)),0)+34))="-",H172,INDIRECT(CONCATENATE($B$53,H$1,MATCH($H$28,INDIRECT(CONCATENATE($B$53,I$1,$B99,35,":",I$1,$B99,74)),0)+34))),H172)</f>
        <v>HICKLING William</v>
      </c>
      <c r="I99" s="460" t="str">
        <f t="shared" ref="I99" ca="1" si="115">IFERROR(IF(INDIRECT(CONCATENATE($B$53,H$1,MATCH($J$28,INDIRECT(CONCATENATE($B$53,I$1,$B99,35,":",I$1,$B99,74)),0)+34))="-",I172,INDIRECT(CONCATENATE($B$53,H$1,MATCH($J$28,INDIRECT(CONCATENATE($B$53,I$1,$B99,35,":",I$1,$B99,74)),0)+34))),I172)</f>
        <v>MARSHALL Syd</v>
      </c>
      <c r="J99" s="460" t="str">
        <f t="shared" ref="J99" ca="1" si="116">IFERROR(IF(INDIRECT(CONCATENATE($B$53,J$1,MATCH($H$28,INDIRECT(CONCATENATE($B$53,K$1,$B99,35,":",K$1,$B99,74)),0)+34))="-",J172,INDIRECT(CONCATENATE($B$53,J$1,MATCH($H$28,INDIRECT(CONCATENATE($B$53,K$1,$B99,35,":",K$1,$B99,74)),0)+34))),J172)</f>
        <v>HONEYMAN Leo</v>
      </c>
      <c r="K99" s="460" t="str">
        <f t="shared" ref="K99" ca="1" si="117">IFERROR(IF(INDIRECT(CONCATENATE($B$53,J$1,MATCH($J$28,INDIRECT(CONCATENATE($B$53,K$1,$B99,35,":",K$1,$B99,74)),0)+34))="-",K172,INDIRECT(CONCATENATE($B$53,J$1,MATCH($J$28,INDIRECT(CONCATENATE($B$53,K$1,$B99,35,":",K$1,$B99,74)),0)+34))),K172)</f>
        <v>MAYNARD Finley</v>
      </c>
      <c r="L99" s="460" t="str">
        <f t="shared" ref="L99" ca="1" si="118">IFERROR(IF(INDIRECT(CONCATENATE($B$53,L$1,MATCH($H$28,INDIRECT(CONCATENATE($B$53,M$1,$B99,35,":",M$1,$B99,74)),0)+34))="-",L172,INDIRECT(CONCATENATE($B$53,L$1,MATCH($H$28,INDIRECT(CONCATENATE($B$53,M$1,$B99,35,":",M$1,$B99,74)),0)+34))),L172)</f>
        <v>-</v>
      </c>
      <c r="M99" s="460" t="str">
        <f t="shared" ref="M99" ca="1" si="119">IFERROR(IF(INDIRECT(CONCATENATE($B$53,L$1,MATCH($J$28,INDIRECT(CONCATENATE($B$53,M$1,$B99,35,":",M$1,$B99,74)),0)+34))="-",M172,INDIRECT(CONCATENATE($B$53,L$1,MATCH($J$28,INDIRECT(CONCATENATE($B$53,M$1,$B99,35,":",M$1,$B99,74)),0)+34))),M172)</f>
        <v>-</v>
      </c>
      <c r="N99" s="460" t="str">
        <f t="shared" ref="N99" ca="1" si="120">IFERROR(IF(INDIRECT(CONCATENATE($B$53,N$1,MATCH($H$28,INDIRECT(CONCATENATE($B$53,O$1,$B99,35,":",O$1,$B99,74)),0)+34))="-",N172,INDIRECT(CONCATENATE($B$53,N$1,MATCH($H$28,INDIRECT(CONCATENATE($B$53,O$1,$B99,35,":",O$1,$B99,74)),0)+34))),N172)</f>
        <v/>
      </c>
      <c r="O99" s="460" t="str">
        <f t="shared" ref="O99" ca="1" si="121">IFERROR(IF(INDIRECT(CONCATENATE($B$53,N$1,MATCH($J$28,INDIRECT(CONCATENATE($B$53,O$1,$B99,35,":",O$1,$B99,74)),0)+34))="-",O172,INDIRECT(CONCATENATE($B$53,N$1,MATCH($J$28,INDIRECT(CONCATENATE($B$53,O$1,$B99,35,":",O$1,$B99,74)),0)+34))),O172)</f>
        <v/>
      </c>
      <c r="P99" s="460" t="str">
        <f t="shared" ref="P99" ca="1" si="122">IFERROR(IF(INDIRECT(CONCATENATE($B$53,P$1,MATCH($H$28,INDIRECT(CONCATENATE($B$53,Q$1,$B99,35,":",Q$1,$B99,74)),0)+34))="-",P172,INDIRECT(CONCATENATE($B$53,P$1,MATCH($H$28,INDIRECT(CONCATENATE($B$53,Q$1,$B99,35,":",Q$1,$B99,74)),0)+34))),P172)</f>
        <v/>
      </c>
      <c r="Q99" s="460" t="str">
        <f t="shared" ref="Q99" ca="1" si="123">IFERROR(IF(INDIRECT(CONCATENATE($B$53,P$1,MATCH($J$28,INDIRECT(CONCATENATE($B$53,Q$1,$B99,35,":",Q$1,$B99,74)),0)+34))="-",Q172,INDIRECT(CONCATENATE($B$53,P$1,MATCH($J$28,INDIRECT(CONCATENATE($B$53,Q$1,$B99,35,":",Q$1,$B99,74)),0)+34))),Q172)</f>
        <v/>
      </c>
      <c r="R99" s="460" t="str">
        <f t="shared" ref="R99" ca="1" si="124">IFERROR(IF(INDIRECT(CONCATENATE($B$53,R$1,MATCH($H$28,INDIRECT(CONCATENATE($B$53,S$1,$B99,35,":",S$1,$B99,74)),0)+34))="-",R172,INDIRECT(CONCATENATE($B$53,R$1,MATCH($H$28,INDIRECT(CONCATENATE($B$53,S$1,$B99,35,":",S$1,$B99,74)),0)+34))),R172)</f>
        <v/>
      </c>
      <c r="S99" s="460" t="str">
        <f t="shared" ref="S99" ca="1" si="125">IFERROR(IF(INDIRECT(CONCATENATE($B$53,R$1,MATCH($J$28,INDIRECT(CONCATENATE($B$53,S$1,$B99,35,":",S$1,$B99,74)),0)+34))="-",S172,INDIRECT(CONCATENATE($B$53,R$1,MATCH($J$28,INDIRECT(CONCATENATE($B$53,S$1,$B99,35,":",S$1,$B99,74)),0)+34))),S172)</f>
        <v/>
      </c>
    </row>
    <row r="100" spans="1:19" x14ac:dyDescent="0.35">
      <c r="B100" s="83" t="s">
        <v>214</v>
      </c>
      <c r="C100" s="83" t="s">
        <v>530</v>
      </c>
      <c r="D100" s="460"/>
      <c r="E100" s="460"/>
      <c r="F100" s="460"/>
      <c r="G100" s="460"/>
      <c r="H100" s="460"/>
      <c r="I100" s="460"/>
      <c r="J100" s="460"/>
      <c r="K100" s="460"/>
      <c r="L100" s="460"/>
      <c r="M100" s="460"/>
      <c r="N100" s="460"/>
      <c r="O100" s="460"/>
      <c r="P100" s="460"/>
      <c r="Q100" s="460"/>
      <c r="R100" s="460"/>
      <c r="S100" s="460"/>
    </row>
    <row r="101" spans="1:19" x14ac:dyDescent="0.35">
      <c r="B101" s="83" t="s">
        <v>214</v>
      </c>
      <c r="C101" s="83" t="s">
        <v>530</v>
      </c>
      <c r="D101" s="460"/>
      <c r="E101" s="460"/>
      <c r="F101" s="460"/>
      <c r="G101" s="460"/>
      <c r="H101" s="460"/>
      <c r="I101" s="460"/>
      <c r="J101" s="460"/>
      <c r="K101" s="460"/>
      <c r="L101" s="460"/>
      <c r="M101" s="460"/>
      <c r="N101" s="460"/>
      <c r="O101" s="460"/>
      <c r="P101" s="460"/>
      <c r="Q101" s="460"/>
      <c r="R101" s="460"/>
      <c r="S101" s="460"/>
    </row>
    <row r="102" spans="1:19" x14ac:dyDescent="0.35">
      <c r="A102" s="458" t="s">
        <v>900</v>
      </c>
      <c r="B102" s="459"/>
      <c r="C102" s="459"/>
      <c r="D102" s="459"/>
      <c r="E102" s="459"/>
      <c r="F102" s="459"/>
      <c r="G102" s="459"/>
      <c r="H102" s="459"/>
      <c r="I102" s="459"/>
      <c r="J102" s="459"/>
      <c r="K102" s="459"/>
      <c r="L102" s="459"/>
      <c r="M102" s="459"/>
      <c r="N102" s="459"/>
      <c r="O102" s="459"/>
      <c r="P102" s="459"/>
      <c r="Q102" s="459"/>
      <c r="R102" s="459"/>
      <c r="S102" s="459"/>
    </row>
    <row r="103" spans="1:19" x14ac:dyDescent="0.35">
      <c r="A103" s="83">
        <v>4</v>
      </c>
      <c r="B103" s="83" t="s">
        <v>333</v>
      </c>
      <c r="C103" s="83" t="s">
        <v>903</v>
      </c>
    </row>
    <row r="104" spans="1:19" x14ac:dyDescent="0.35">
      <c r="A104" s="434" t="s">
        <v>1900</v>
      </c>
      <c r="B104" s="83">
        <v>0</v>
      </c>
      <c r="C104" s="83" t="str">
        <f>C54</f>
        <v>75 / 100</v>
      </c>
      <c r="D104" s="83" t="str">
        <f>IFERROR(VLOOKUP($A104&amp;D$2&amp;$A103,downloads!$A:$D,3,FALSE),"")</f>
        <v>FOGDEN Ben</v>
      </c>
      <c r="E104" s="83" t="str">
        <f>IFERROR(VLOOKUP($A104&amp;D$2&amp;$A103,downloads!$A:$D,4,FALSE),"")</f>
        <v>COOPER Malachi</v>
      </c>
      <c r="F104" s="83" t="str">
        <f>IFERROR(VLOOKUP($A104&amp;F$2&amp;$A103,downloads!$A:$D,3,FALSE),"")</f>
        <v>WAINWRIGHT James</v>
      </c>
      <c r="G104" s="83" t="str">
        <f>IFERROR(VLOOKUP($A104&amp;F$2&amp;$A103,downloads!$A:$D,4,FALSE),"")</f>
        <v>-</v>
      </c>
      <c r="H104" s="83" t="str">
        <f>IFERROR(VLOOKUP($A104&amp;H$2&amp;$A103,downloads!$A:$D,3,FALSE),"")</f>
        <v>MEIGH William</v>
      </c>
      <c r="I104" s="83" t="str">
        <f>IFERROR(VLOOKUP($A104&amp;H$2&amp;$A103,downloads!$A:$D,4,FALSE),"")</f>
        <v>PYE George</v>
      </c>
      <c r="J104" s="83" t="str">
        <f>IFERROR(VLOOKUP($A104&amp;J$2&amp;$A103,downloads!$A:$D,3,FALSE),"")</f>
        <v>MAYNARD Tom</v>
      </c>
      <c r="K104" s="83" t="str">
        <f>IFERROR(VLOOKUP($A104&amp;J$2&amp;$A103,downloads!$A:$D,4,FALSE),"")</f>
        <v>OKEY Chieme</v>
      </c>
      <c r="L104" s="83">
        <f>IFERROR(VLOOKUP($A104&amp;L$2&amp;$A103,downloads!$A:$D,3,FALSE),"")</f>
        <v>0</v>
      </c>
      <c r="M104" s="83">
        <f>IFERROR(VLOOKUP($A104&amp;L$2&amp;$A103,downloads!$A:$D,4,FALSE),"")</f>
        <v>0</v>
      </c>
      <c r="N104" s="83" t="str">
        <f>IFERROR(VLOOKUP($A104&amp;N$2&amp;$A103,downloads!$A:$D,3,FALSE),"")</f>
        <v/>
      </c>
      <c r="O104" s="83" t="str">
        <f>IFERROR(VLOOKUP($A104&amp;N$2&amp;$A103,downloads!$A:$D,4,FALSE),"")</f>
        <v/>
      </c>
      <c r="P104" s="83" t="str">
        <f>IFERROR(VLOOKUP($A104&amp;P$2&amp;$A103,downloads!$A:$D,3,FALSE),"")</f>
        <v/>
      </c>
      <c r="Q104" s="83" t="str">
        <f>IFERROR(VLOOKUP($A104&amp;P$2&amp;$A103,downloads!$A:$D,4,FALSE),"")</f>
        <v/>
      </c>
      <c r="R104" s="83" t="str">
        <f>IFERROR(VLOOKUP($A104&amp;R$2&amp;$A103,downloads!$A:$D,3,FALSE),"")</f>
        <v/>
      </c>
      <c r="S104" s="83" t="str">
        <f>IFERROR(VLOOKUP($A104&amp;R$2&amp;$A103,downloads!$A:$D,4,FALSE),"")</f>
        <v/>
      </c>
    </row>
    <row r="105" spans="1:19" x14ac:dyDescent="0.35">
      <c r="A105" s="434" t="s">
        <v>1901</v>
      </c>
      <c r="B105" s="83">
        <v>1</v>
      </c>
      <c r="C105" s="83" t="str">
        <f t="shared" ref="C105:C126" si="126">C55</f>
        <v>75 / 100 NS</v>
      </c>
      <c r="D105" s="83" t="str">
        <f>IFERROR(VLOOKUP($A105&amp;D$2&amp;$A103,downloads!$A:$D,3,FALSE),"")</f>
        <v>MAZUREK Gracjan</v>
      </c>
      <c r="E105" s="83" t="str">
        <f>IFERROR(VLOOKUP($A105&amp;D$2&amp;$A103,downloads!$A:$D,4,FALSE),"")</f>
        <v>BAKER Joseph</v>
      </c>
      <c r="F105" s="83">
        <f>IFERROR(VLOOKUP($A105&amp;F$2&amp;$A103,downloads!$A:$D,3,FALSE),"")</f>
        <v>0</v>
      </c>
      <c r="G105" s="83">
        <f>IFERROR(VLOOKUP($A105&amp;F$2&amp;$A103,downloads!$A:$D,4,FALSE),"")</f>
        <v>0</v>
      </c>
      <c r="H105" s="83" t="str">
        <f>IFERROR(VLOOKUP($A105&amp;H$2&amp;$A103,downloads!$A:$D,3,FALSE),"")</f>
        <v>COOK Harry</v>
      </c>
      <c r="I105" s="83" t="str">
        <f>IFERROR(VLOOKUP($A105&amp;H$2&amp;$A103,downloads!$A:$D,4,FALSE),"")</f>
        <v>-</v>
      </c>
      <c r="J105" s="83" t="str">
        <f>IFERROR(VLOOKUP($A105&amp;J$2&amp;$A103,downloads!$A:$D,3,FALSE),"")</f>
        <v>BUTLER Jake</v>
      </c>
      <c r="K105" s="83" t="str">
        <f>IFERROR(VLOOKUP($A105&amp;J$2&amp;$A103,downloads!$A:$D,4,FALSE),"")</f>
        <v>CHINNERY Norton</v>
      </c>
      <c r="L105" s="83">
        <f>IFERROR(VLOOKUP($A105&amp;L$2&amp;$A103,downloads!$A:$D,3,FALSE),"")</f>
        <v>0</v>
      </c>
      <c r="M105" s="83">
        <f>IFERROR(VLOOKUP($A105&amp;L$2&amp;$A103,downloads!$A:$D,4,FALSE),"")</f>
        <v>0</v>
      </c>
      <c r="N105" s="83" t="str">
        <f>IFERROR(VLOOKUP($A105&amp;N$2&amp;$A103,downloads!$A:$D,3,FALSE),"")</f>
        <v/>
      </c>
      <c r="O105" s="83" t="str">
        <f>IFERROR(VLOOKUP($A105&amp;N$2&amp;$A103,downloads!$A:$D,4,FALSE),"")</f>
        <v/>
      </c>
      <c r="P105" s="83" t="str">
        <f>IFERROR(VLOOKUP($A105&amp;P$2&amp;$A103,downloads!$A:$D,3,FALSE),"")</f>
        <v/>
      </c>
      <c r="Q105" s="83" t="str">
        <f>IFERROR(VLOOKUP($A105&amp;P$2&amp;$A103,downloads!$A:$D,4,FALSE),"")</f>
        <v/>
      </c>
      <c r="R105" s="83" t="str">
        <f>IFERROR(VLOOKUP($A105&amp;R$2&amp;$A103,downloads!$A:$D,3,FALSE),"")</f>
        <v/>
      </c>
      <c r="S105" s="83" t="str">
        <f>IFERROR(VLOOKUP($A105&amp;R$2&amp;$A103,downloads!$A:$D,4,FALSE),"")</f>
        <v/>
      </c>
    </row>
    <row r="106" spans="1:19" x14ac:dyDescent="0.35">
      <c r="A106" s="434" t="s">
        <v>1902</v>
      </c>
      <c r="B106" s="83">
        <v>2</v>
      </c>
      <c r="C106" s="83" t="str">
        <f t="shared" si="126"/>
        <v>150 / 200</v>
      </c>
      <c r="D106" s="83" t="str">
        <f>IFERROR(VLOOKUP($A106&amp;D$2&amp;$A103,downloads!$A:$D,3,FALSE),"")</f>
        <v>FOGDEN Ben</v>
      </c>
      <c r="E106" s="83" t="str">
        <f>IFERROR(VLOOKUP($A106&amp;D$2&amp;$A103,downloads!$A:$D,4,FALSE),"")</f>
        <v>SAS Reuben</v>
      </c>
      <c r="F106" s="83" t="str">
        <f>IFERROR(VLOOKUP($A106&amp;F$2&amp;$A103,downloads!$A:$D,3,FALSE),"")</f>
        <v>OR KAM FAT Matteo</v>
      </c>
      <c r="G106" s="83" t="str">
        <f>IFERROR(VLOOKUP($A106&amp;F$2&amp;$A103,downloads!$A:$D,4,FALSE),"")</f>
        <v>BENTLEY Tom</v>
      </c>
      <c r="H106" s="83" t="str">
        <f>IFERROR(VLOOKUP($A106&amp;H$2&amp;$A103,downloads!$A:$D,3,FALSE),"")</f>
        <v>HOW Louis</v>
      </c>
      <c r="I106" s="83" t="str">
        <f>IFERROR(VLOOKUP($A106&amp;H$2&amp;$A103,downloads!$A:$D,4,FALSE),"")</f>
        <v>PYE George</v>
      </c>
      <c r="J106" s="83" t="str">
        <f>IFERROR(VLOOKUP($A106&amp;J$2&amp;$A103,downloads!$A:$D,3,FALSE),"")</f>
        <v>MAYNARD Tom</v>
      </c>
      <c r="K106" s="83" t="str">
        <f>IFERROR(VLOOKUP($A106&amp;J$2&amp;$A103,downloads!$A:$D,4,FALSE),"")</f>
        <v>CHINNERY Norton</v>
      </c>
      <c r="L106" s="83">
        <f>IFERROR(VLOOKUP($A106&amp;L$2&amp;$A103,downloads!$A:$D,3,FALSE),"")</f>
        <v>0</v>
      </c>
      <c r="M106" s="83">
        <f>IFERROR(VLOOKUP($A106&amp;L$2&amp;$A103,downloads!$A:$D,4,FALSE),"")</f>
        <v>0</v>
      </c>
      <c r="N106" s="83" t="str">
        <f>IFERROR(VLOOKUP($A106&amp;N$2&amp;$A103,downloads!$A:$D,3,FALSE),"")</f>
        <v/>
      </c>
      <c r="O106" s="83" t="str">
        <f>IFERROR(VLOOKUP($A106&amp;N$2&amp;$A103,downloads!$A:$D,4,FALSE),"")</f>
        <v/>
      </c>
      <c r="P106" s="83" t="str">
        <f>IFERROR(VLOOKUP($A106&amp;P$2&amp;$A103,downloads!$A:$D,3,FALSE),"")</f>
        <v/>
      </c>
      <c r="Q106" s="83" t="str">
        <f>IFERROR(VLOOKUP($A106&amp;P$2&amp;$A103,downloads!$A:$D,4,FALSE),"")</f>
        <v/>
      </c>
      <c r="R106" s="83" t="str">
        <f>IFERROR(VLOOKUP($A106&amp;R$2&amp;$A103,downloads!$A:$D,3,FALSE),"")</f>
        <v/>
      </c>
      <c r="S106" s="83" t="str">
        <f>IFERROR(VLOOKUP($A106&amp;R$2&amp;$A103,downloads!$A:$D,4,FALSE),"")</f>
        <v/>
      </c>
    </row>
    <row r="107" spans="1:19" x14ac:dyDescent="0.35">
      <c r="A107" s="434" t="s">
        <v>1903</v>
      </c>
      <c r="B107" s="83">
        <v>3</v>
      </c>
      <c r="C107" s="83" t="str">
        <f t="shared" si="126"/>
        <v>300 / 400</v>
      </c>
      <c r="D107" s="83" t="str">
        <f>IFERROR(VLOOKUP($A107&amp;D$2&amp;$A103,downloads!$A:$D,3,FALSE),"")</f>
        <v>MARRIOTT Thomas</v>
      </c>
      <c r="E107" s="83" t="str">
        <f>IFERROR(VLOOKUP($A107&amp;D$2&amp;$A103,downloads!$A:$D,4,FALSE),"")</f>
        <v>BAKER Joseph</v>
      </c>
      <c r="F107" s="83" t="str">
        <f>IFERROR(VLOOKUP($A107&amp;F$2&amp;$A103,downloads!$A:$D,3,FALSE),"")</f>
        <v>KRIEL PARR George</v>
      </c>
      <c r="G107" s="83" t="str">
        <f>IFERROR(VLOOKUP($A107&amp;F$2&amp;$A103,downloads!$A:$D,4,FALSE),"")</f>
        <v>-</v>
      </c>
      <c r="H107" s="83" t="str">
        <f>IFERROR(VLOOKUP($A107&amp;H$2&amp;$A103,downloads!$A:$D,3,FALSE),"")</f>
        <v>BRATLEY Jack</v>
      </c>
      <c r="I107" s="83" t="str">
        <f>IFERROR(VLOOKUP($A107&amp;H$2&amp;$A103,downloads!$A:$D,4,FALSE),"")</f>
        <v>BROOKS Rory</v>
      </c>
      <c r="J107" s="83" t="str">
        <f>IFERROR(VLOOKUP($A107&amp;J$2&amp;$A103,downloads!$A:$D,3,FALSE),"")</f>
        <v>FRENCH William</v>
      </c>
      <c r="K107" s="83" t="str">
        <f>IFERROR(VLOOKUP($A107&amp;J$2&amp;$A103,downloads!$A:$D,4,FALSE),"")</f>
        <v>KAYE Charlie</v>
      </c>
      <c r="L107" s="83" t="str">
        <f>IFERROR(VLOOKUP($A107&amp;L$2&amp;$A103,downloads!$A:$D,3,FALSE),"")</f>
        <v>OADES Matthew</v>
      </c>
      <c r="M107" s="83">
        <f>IFERROR(VLOOKUP($A107&amp;L$2&amp;$A103,downloads!$A:$D,4,FALSE),"")</f>
        <v>0</v>
      </c>
      <c r="N107" s="83" t="str">
        <f>IFERROR(VLOOKUP($A107&amp;N$2&amp;$A103,downloads!$A:$D,3,FALSE),"")</f>
        <v/>
      </c>
      <c r="O107" s="83" t="str">
        <f>IFERROR(VLOOKUP($A107&amp;N$2&amp;$A103,downloads!$A:$D,4,FALSE),"")</f>
        <v/>
      </c>
      <c r="P107" s="83" t="str">
        <f>IFERROR(VLOOKUP($A107&amp;P$2&amp;$A103,downloads!$A:$D,3,FALSE),"")</f>
        <v/>
      </c>
      <c r="Q107" s="83" t="str">
        <f>IFERROR(VLOOKUP($A107&amp;P$2&amp;$A103,downloads!$A:$D,4,FALSE),"")</f>
        <v/>
      </c>
      <c r="R107" s="83" t="str">
        <f>IFERROR(VLOOKUP($A107&amp;R$2&amp;$A103,downloads!$A:$D,3,FALSE),"")</f>
        <v/>
      </c>
      <c r="S107" s="83" t="str">
        <f>IFERROR(VLOOKUP($A107&amp;R$2&amp;$A103,downloads!$A:$D,4,FALSE),"")</f>
        <v/>
      </c>
    </row>
    <row r="108" spans="1:19" x14ac:dyDescent="0.35">
      <c r="A108" s="434" t="s">
        <v>1904</v>
      </c>
      <c r="B108" s="83">
        <v>4</v>
      </c>
      <c r="C108" s="83">
        <f t="shared" si="126"/>
        <v>800</v>
      </c>
      <c r="D108" s="83" t="str">
        <f>IFERROR(VLOOKUP($A108&amp;D$2&amp;$A103,downloads!$A:$D,3,FALSE),"")</f>
        <v>MARRIOTT Thomas</v>
      </c>
      <c r="E108" s="83" t="str">
        <f>IFERROR(VLOOKUP($A108&amp;D$2&amp;$A103,downloads!$A:$D,4,FALSE),"")</f>
        <v>MAZUREK Gracjan</v>
      </c>
      <c r="F108" s="83" t="str">
        <f>IFERROR(VLOOKUP($A108&amp;F$2&amp;$A103,downloads!$A:$D,3,FALSE),"")</f>
        <v>SCOTT Leni</v>
      </c>
      <c r="G108" s="83" t="str">
        <f>IFERROR(VLOOKUP($A108&amp;F$2&amp;$A103,downloads!$A:$D,4,FALSE),"")</f>
        <v>KRIEL PARR George</v>
      </c>
      <c r="H108" s="83" t="str">
        <f>IFERROR(VLOOKUP($A108&amp;H$2&amp;$A103,downloads!$A:$D,3,FALSE),"")</f>
        <v>HOW Louis</v>
      </c>
      <c r="I108" s="83" t="str">
        <f>IFERROR(VLOOKUP($A108&amp;H$2&amp;$A103,downloads!$A:$D,4,FALSE),"")</f>
        <v>HANLEY Edward</v>
      </c>
      <c r="J108" s="83" t="str">
        <f>IFERROR(VLOOKUP($A108&amp;J$2&amp;$A103,downloads!$A:$D,3,FALSE),"")</f>
        <v>BELL Callum</v>
      </c>
      <c r="K108" s="83" t="str">
        <f>IFERROR(VLOOKUP($A108&amp;J$2&amp;$A103,downloads!$A:$D,4,FALSE),"")</f>
        <v>-</v>
      </c>
      <c r="L108" s="83" t="str">
        <f>IFERROR(VLOOKUP($A108&amp;L$2&amp;$A103,downloads!$A:$D,3,FALSE),"")</f>
        <v>OADES Matthew</v>
      </c>
      <c r="M108" s="83">
        <f>IFERROR(VLOOKUP($A108&amp;L$2&amp;$A103,downloads!$A:$D,4,FALSE),"")</f>
        <v>0</v>
      </c>
      <c r="N108" s="83" t="str">
        <f>IFERROR(VLOOKUP($A108&amp;N$2&amp;$A103,downloads!$A:$D,3,FALSE),"")</f>
        <v/>
      </c>
      <c r="O108" s="83" t="str">
        <f>IFERROR(VLOOKUP($A108&amp;N$2&amp;$A103,downloads!$A:$D,4,FALSE),"")</f>
        <v/>
      </c>
      <c r="P108" s="83" t="str">
        <f>IFERROR(VLOOKUP($A108&amp;P$2&amp;$A103,downloads!$A:$D,3,FALSE),"")</f>
        <v/>
      </c>
      <c r="Q108" s="83" t="str">
        <f>IFERROR(VLOOKUP($A108&amp;P$2&amp;$A103,downloads!$A:$D,4,FALSE),"")</f>
        <v/>
      </c>
      <c r="R108" s="83" t="str">
        <f>IFERROR(VLOOKUP($A108&amp;R$2&amp;$A103,downloads!$A:$D,3,FALSE),"")</f>
        <v/>
      </c>
      <c r="S108" s="83" t="str">
        <f>IFERROR(VLOOKUP($A108&amp;R$2&amp;$A103,downloads!$A:$D,4,FALSE),"")</f>
        <v/>
      </c>
    </row>
    <row r="109" spans="1:19" x14ac:dyDescent="0.35">
      <c r="A109" s="434" t="s">
        <v>1905</v>
      </c>
      <c r="B109" s="83">
        <v>5</v>
      </c>
      <c r="C109" s="83" t="str">
        <f t="shared" si="126"/>
        <v>800 NS</v>
      </c>
      <c r="D109" s="83" t="str">
        <f>IFERROR(VLOOKUP($A109&amp;D$2&amp;$A103,downloads!$A:$D,3,FALSE),"")</f>
        <v>BAKER Joseph</v>
      </c>
      <c r="E109" s="83">
        <f>IFERROR(VLOOKUP($A109&amp;D$2&amp;$A103,downloads!$A:$D,4,FALSE),"")</f>
        <v>0</v>
      </c>
      <c r="F109" s="83">
        <f>IFERROR(VLOOKUP($A109&amp;F$2&amp;$A103,downloads!$A:$D,3,FALSE),"")</f>
        <v>0</v>
      </c>
      <c r="G109" s="83">
        <f>IFERROR(VLOOKUP($A109&amp;F$2&amp;$A103,downloads!$A:$D,4,FALSE),"")</f>
        <v>0</v>
      </c>
      <c r="H109" s="83" t="str">
        <f>IFERROR(VLOOKUP($A109&amp;H$2&amp;$A103,downloads!$A:$D,3,FALSE),"")</f>
        <v>-</v>
      </c>
      <c r="I109" s="83" t="str">
        <f>IFERROR(VLOOKUP($A109&amp;H$2&amp;$A103,downloads!$A:$D,4,FALSE),"")</f>
        <v>-</v>
      </c>
      <c r="J109" s="83" t="str">
        <f>IFERROR(VLOOKUP($A109&amp;J$2&amp;$A103,downloads!$A:$D,3,FALSE),"")</f>
        <v>-</v>
      </c>
      <c r="K109" s="83" t="str">
        <f>IFERROR(VLOOKUP($A109&amp;J$2&amp;$A103,downloads!$A:$D,4,FALSE),"")</f>
        <v>-</v>
      </c>
      <c r="L109" s="83">
        <f>IFERROR(VLOOKUP($A109&amp;L$2&amp;$A103,downloads!$A:$D,3,FALSE),"")</f>
        <v>0</v>
      </c>
      <c r="M109" s="83">
        <f>IFERROR(VLOOKUP($A109&amp;L$2&amp;$A103,downloads!$A:$D,4,FALSE),"")</f>
        <v>0</v>
      </c>
      <c r="N109" s="83" t="str">
        <f>IFERROR(VLOOKUP($A109&amp;N$2&amp;$A103,downloads!$A:$D,3,FALSE),"")</f>
        <v/>
      </c>
      <c r="O109" s="83" t="str">
        <f>IFERROR(VLOOKUP($A109&amp;N$2&amp;$A103,downloads!$A:$D,4,FALSE),"")</f>
        <v/>
      </c>
      <c r="P109" s="83" t="str">
        <f>IFERROR(VLOOKUP($A109&amp;P$2&amp;$A103,downloads!$A:$D,3,FALSE),"")</f>
        <v/>
      </c>
      <c r="Q109" s="83" t="str">
        <f>IFERROR(VLOOKUP($A109&amp;P$2&amp;$A103,downloads!$A:$D,4,FALSE),"")</f>
        <v/>
      </c>
      <c r="R109" s="83" t="str">
        <f>IFERROR(VLOOKUP($A109&amp;R$2&amp;$A103,downloads!$A:$D,3,FALSE),"")</f>
        <v/>
      </c>
      <c r="S109" s="83" t="str">
        <f>IFERROR(VLOOKUP($A109&amp;R$2&amp;$A103,downloads!$A:$D,4,FALSE),"")</f>
        <v/>
      </c>
    </row>
    <row r="110" spans="1:19" x14ac:dyDescent="0.35">
      <c r="A110" s="434" t="s">
        <v>1906</v>
      </c>
      <c r="B110" s="83">
        <v>6</v>
      </c>
      <c r="C110" s="83" t="str">
        <f t="shared" si="126"/>
        <v>1200 / 1500</v>
      </c>
      <c r="D110" s="83" t="str">
        <f>IFERROR(VLOOKUP($A110&amp;D$2&amp;$A103,downloads!$A:$D,3,FALSE),"")</f>
        <v>BETTNEY Thomas</v>
      </c>
      <c r="E110" s="83" t="str">
        <f>IFERROR(VLOOKUP($A110&amp;D$2&amp;$A103,downloads!$A:$D,4,FALSE),"")</f>
        <v>SAS Reuben</v>
      </c>
      <c r="F110" s="83" t="str">
        <f>IFERROR(VLOOKUP($A110&amp;F$2&amp;$A103,downloads!$A:$D,3,FALSE),"")</f>
        <v>COLLINI Joseph</v>
      </c>
      <c r="G110" s="83">
        <f>IFERROR(VLOOKUP($A110&amp;F$2&amp;$A103,downloads!$A:$D,4,FALSE),"")</f>
        <v>0</v>
      </c>
      <c r="H110" s="83" t="str">
        <f>IFERROR(VLOOKUP($A110&amp;H$2&amp;$A103,downloads!$A:$D,3,FALSE),"")</f>
        <v>BRATLEY Jack</v>
      </c>
      <c r="I110" s="83" t="str">
        <f>IFERROR(VLOOKUP($A110&amp;H$2&amp;$A103,downloads!$A:$D,4,FALSE),"")</f>
        <v>HENSON Isaac</v>
      </c>
      <c r="J110" s="83" t="str">
        <f>IFERROR(VLOOKUP($A110&amp;J$2&amp;$A103,downloads!$A:$D,3,FALSE),"")</f>
        <v>SAYERS James</v>
      </c>
      <c r="K110" s="83" t="str">
        <f>IFERROR(VLOOKUP($A110&amp;J$2&amp;$A103,downloads!$A:$D,4,FALSE),"")</f>
        <v>-</v>
      </c>
      <c r="L110" s="83">
        <f>IFERROR(VLOOKUP($A110&amp;L$2&amp;$A103,downloads!$A:$D,3,FALSE),"")</f>
        <v>0</v>
      </c>
      <c r="M110" s="83">
        <f>IFERROR(VLOOKUP($A110&amp;L$2&amp;$A103,downloads!$A:$D,4,FALSE),"")</f>
        <v>0</v>
      </c>
      <c r="N110" s="83" t="str">
        <f>IFERROR(VLOOKUP($A110&amp;N$2&amp;$A103,downloads!$A:$D,3,FALSE),"")</f>
        <v/>
      </c>
      <c r="O110" s="83" t="str">
        <f>IFERROR(VLOOKUP($A110&amp;N$2&amp;$A103,downloads!$A:$D,4,FALSE),"")</f>
        <v/>
      </c>
      <c r="P110" s="83" t="str">
        <f>IFERROR(VLOOKUP($A110&amp;P$2&amp;$A103,downloads!$A:$D,3,FALSE),"")</f>
        <v/>
      </c>
      <c r="Q110" s="83" t="str">
        <f>IFERROR(VLOOKUP($A110&amp;P$2&amp;$A103,downloads!$A:$D,4,FALSE),"")</f>
        <v/>
      </c>
      <c r="R110" s="83" t="str">
        <f>IFERROR(VLOOKUP($A110&amp;R$2&amp;$A103,downloads!$A:$D,3,FALSE),"")</f>
        <v/>
      </c>
      <c r="S110" s="83" t="str">
        <f>IFERROR(VLOOKUP($A110&amp;R$2&amp;$A103,downloads!$A:$D,4,FALSE),"")</f>
        <v/>
      </c>
    </row>
    <row r="111" spans="1:19" x14ac:dyDescent="0.35">
      <c r="A111" s="434" t="s">
        <v>1907</v>
      </c>
      <c r="B111" s="83">
        <v>7</v>
      </c>
      <c r="C111" s="83" t="str">
        <f t="shared" si="126"/>
        <v>Sprint Hurdles</v>
      </c>
      <c r="D111" s="83" t="str">
        <f>IFERROR(VLOOKUP($A111&amp;D$2&amp;$A103,downloads!$A:$D,3,FALSE),"")</f>
        <v>MARRIOTT Thomas</v>
      </c>
      <c r="E111" s="83" t="str">
        <f>IFERROR(VLOOKUP($A111&amp;D$2&amp;$A103,downloads!$A:$D,4,FALSE),"")</f>
        <v>FOOT James</v>
      </c>
      <c r="F111" s="83" t="str">
        <f>IFERROR(VLOOKUP($A111&amp;F$2&amp;$A103,downloads!$A:$D,3,FALSE),"")</f>
        <v>BENTLEY Tom</v>
      </c>
      <c r="G111" s="83" t="str">
        <f>IFERROR(VLOOKUP($A111&amp;F$2&amp;$A103,downloads!$A:$D,4,FALSE),"")</f>
        <v>SCOTT Leni</v>
      </c>
      <c r="H111" s="83" t="str">
        <f>IFERROR(VLOOKUP($A111&amp;H$2&amp;$A103,downloads!$A:$D,3,FALSE),"")</f>
        <v>HENSON Isaac</v>
      </c>
      <c r="I111" s="83" t="str">
        <f>IFERROR(VLOOKUP($A111&amp;H$2&amp;$A103,downloads!$A:$D,4,FALSE),"")</f>
        <v>LANSFORD Hollis</v>
      </c>
      <c r="J111" s="83" t="str">
        <f>IFERROR(VLOOKUP($A111&amp;J$2&amp;$A103,downloads!$A:$D,3,FALSE),"")</f>
        <v>-</v>
      </c>
      <c r="K111" s="83" t="str">
        <f>IFERROR(VLOOKUP($A111&amp;J$2&amp;$A103,downloads!$A:$D,4,FALSE),"")</f>
        <v>-</v>
      </c>
      <c r="L111" s="83">
        <f>IFERROR(VLOOKUP($A111&amp;L$2&amp;$A103,downloads!$A:$D,3,FALSE),"")</f>
        <v>0</v>
      </c>
      <c r="M111" s="83">
        <f>IFERROR(VLOOKUP($A111&amp;L$2&amp;$A103,downloads!$A:$D,4,FALSE),"")</f>
        <v>0</v>
      </c>
      <c r="N111" s="83" t="str">
        <f>IFERROR(VLOOKUP($A111&amp;N$2&amp;$A103,downloads!$A:$D,3,FALSE),"")</f>
        <v/>
      </c>
      <c r="O111" s="83" t="str">
        <f>IFERROR(VLOOKUP($A111&amp;N$2&amp;$A103,downloads!$A:$D,4,FALSE),"")</f>
        <v/>
      </c>
      <c r="P111" s="83" t="str">
        <f>IFERROR(VLOOKUP($A111&amp;P$2&amp;$A103,downloads!$A:$D,3,FALSE),"")</f>
        <v/>
      </c>
      <c r="Q111" s="83" t="str">
        <f>IFERROR(VLOOKUP($A111&amp;P$2&amp;$A103,downloads!$A:$D,4,FALSE),"")</f>
        <v/>
      </c>
      <c r="R111" s="83" t="str">
        <f>IFERROR(VLOOKUP($A111&amp;R$2&amp;$A103,downloads!$A:$D,3,FALSE),"")</f>
        <v/>
      </c>
      <c r="S111" s="83" t="str">
        <f>IFERROR(VLOOKUP($A111&amp;R$2&amp;$A103,downloads!$A:$D,4,FALSE),"")</f>
        <v/>
      </c>
    </row>
    <row r="112" spans="1:19" x14ac:dyDescent="0.35">
      <c r="A112" s="434" t="s">
        <v>1908</v>
      </c>
      <c r="B112" s="83">
        <v>8</v>
      </c>
      <c r="C112" s="83">
        <f t="shared" si="126"/>
        <v>3000</v>
      </c>
      <c r="D112" s="83">
        <f>IFERROR(VLOOKUP($A112&amp;D$2&amp;$A103,downloads!$A:$D,3,FALSE),"")</f>
        <v>0</v>
      </c>
      <c r="E112" s="83">
        <f>IFERROR(VLOOKUP($A112&amp;D$2&amp;$A103,downloads!$A:$D,4,FALSE),"")</f>
        <v>0</v>
      </c>
      <c r="F112" s="83">
        <f>IFERROR(VLOOKUP($A112&amp;F$2&amp;$A103,downloads!$A:$D,3,FALSE),"")</f>
        <v>0</v>
      </c>
      <c r="G112" s="83">
        <f>IFERROR(VLOOKUP($A112&amp;F$2&amp;$A103,downloads!$A:$D,4,FALSE),"")</f>
        <v>0</v>
      </c>
      <c r="H112" s="83">
        <f>IFERROR(VLOOKUP($A112&amp;H$2&amp;$A103,downloads!$A:$D,3,FALSE),"")</f>
        <v>0</v>
      </c>
      <c r="I112" s="83">
        <f>IFERROR(VLOOKUP($A112&amp;H$2&amp;$A103,downloads!$A:$D,4,FALSE),"")</f>
        <v>0</v>
      </c>
      <c r="J112" s="83">
        <f>IFERROR(VLOOKUP($A112&amp;J$2&amp;$A103,downloads!$A:$D,3,FALSE),"")</f>
        <v>0</v>
      </c>
      <c r="K112" s="83">
        <f>IFERROR(VLOOKUP($A112&amp;J$2&amp;$A103,downloads!$A:$D,4,FALSE),"")</f>
        <v>0</v>
      </c>
      <c r="L112" s="83">
        <f>IFERROR(VLOOKUP($A112&amp;L$2&amp;$A103,downloads!$A:$D,3,FALSE),"")</f>
        <v>0</v>
      </c>
      <c r="M112" s="83">
        <f>IFERROR(VLOOKUP($A112&amp;L$2&amp;$A103,downloads!$A:$D,4,FALSE),"")</f>
        <v>0</v>
      </c>
      <c r="N112" s="83" t="str">
        <f>IFERROR(VLOOKUP($A112&amp;N$2&amp;$A103,downloads!$A:$D,3,FALSE),"")</f>
        <v/>
      </c>
      <c r="O112" s="83" t="str">
        <f>IFERROR(VLOOKUP($A112&amp;N$2&amp;$A103,downloads!$A:$D,4,FALSE),"")</f>
        <v/>
      </c>
      <c r="P112" s="83" t="str">
        <f>IFERROR(VLOOKUP($A112&amp;P$2&amp;$A103,downloads!$A:$D,3,FALSE),"")</f>
        <v/>
      </c>
      <c r="Q112" s="83" t="str">
        <f>IFERROR(VLOOKUP($A112&amp;P$2&amp;$A103,downloads!$A:$D,4,FALSE),"")</f>
        <v/>
      </c>
      <c r="R112" s="83" t="str">
        <f>IFERROR(VLOOKUP($A112&amp;R$2&amp;$A103,downloads!$A:$D,3,FALSE),"")</f>
        <v/>
      </c>
      <c r="S112" s="83" t="str">
        <f>IFERROR(VLOOKUP($A112&amp;R$2&amp;$A103,downloads!$A:$D,4,FALSE),"")</f>
        <v/>
      </c>
    </row>
    <row r="113" spans="1:19" x14ac:dyDescent="0.35">
      <c r="A113" s="434" t="s">
        <v>1909</v>
      </c>
      <c r="B113" s="83">
        <v>9</v>
      </c>
      <c r="C113" s="83" t="str">
        <f t="shared" si="126"/>
        <v>Steeplechase</v>
      </c>
      <c r="D113" s="83">
        <f>IFERROR(VLOOKUP($A113&amp;D$2&amp;$A103,downloads!$A:$D,3,FALSE),"")</f>
        <v>0</v>
      </c>
      <c r="E113" s="83">
        <f>IFERROR(VLOOKUP($A113&amp;D$2&amp;$A103,downloads!$A:$D,4,FALSE),"")</f>
        <v>0</v>
      </c>
      <c r="F113" s="83">
        <f>IFERROR(VLOOKUP($A113&amp;F$2&amp;$A103,downloads!$A:$D,3,FALSE),"")</f>
        <v>0</v>
      </c>
      <c r="G113" s="83">
        <f>IFERROR(VLOOKUP($A113&amp;F$2&amp;$A103,downloads!$A:$D,4,FALSE),"")</f>
        <v>0</v>
      </c>
      <c r="H113" s="83">
        <f>IFERROR(VLOOKUP($A113&amp;H$2&amp;$A103,downloads!$A:$D,3,FALSE),"")</f>
        <v>0</v>
      </c>
      <c r="I113" s="83">
        <f>IFERROR(VLOOKUP($A113&amp;H$2&amp;$A103,downloads!$A:$D,4,FALSE),"")</f>
        <v>0</v>
      </c>
      <c r="J113" s="83">
        <f>IFERROR(VLOOKUP($A113&amp;J$2&amp;$A103,downloads!$A:$D,3,FALSE),"")</f>
        <v>0</v>
      </c>
      <c r="K113" s="83">
        <f>IFERROR(VLOOKUP($A113&amp;J$2&amp;$A103,downloads!$A:$D,4,FALSE),"")</f>
        <v>0</v>
      </c>
      <c r="L113" s="83">
        <f>IFERROR(VLOOKUP($A113&amp;L$2&amp;$A103,downloads!$A:$D,3,FALSE),"")</f>
        <v>0</v>
      </c>
      <c r="M113" s="83">
        <f>IFERROR(VLOOKUP($A113&amp;L$2&amp;$A103,downloads!$A:$D,4,FALSE),"")</f>
        <v>0</v>
      </c>
      <c r="N113" s="83" t="str">
        <f>IFERROR(VLOOKUP($A113&amp;N$2&amp;$A103,downloads!$A:$D,3,FALSE),"")</f>
        <v/>
      </c>
      <c r="O113" s="83" t="str">
        <f>IFERROR(VLOOKUP($A113&amp;N$2&amp;$A103,downloads!$A:$D,4,FALSE),"")</f>
        <v/>
      </c>
      <c r="P113" s="83" t="str">
        <f>IFERROR(VLOOKUP($A113&amp;P$2&amp;$A103,downloads!$A:$D,3,FALSE),"")</f>
        <v/>
      </c>
      <c r="Q113" s="83" t="str">
        <f>IFERROR(VLOOKUP($A113&amp;P$2&amp;$A103,downloads!$A:$D,4,FALSE),"")</f>
        <v/>
      </c>
      <c r="R113" s="83" t="str">
        <f>IFERROR(VLOOKUP($A113&amp;R$2&amp;$A103,downloads!$A:$D,3,FALSE),"")</f>
        <v/>
      </c>
      <c r="S113" s="83" t="str">
        <f>IFERROR(VLOOKUP($A113&amp;R$2&amp;$A103,downloads!$A:$D,4,FALSE),"")</f>
        <v/>
      </c>
    </row>
    <row r="114" spans="1:19" x14ac:dyDescent="0.35">
      <c r="A114" s="434" t="s">
        <v>1910</v>
      </c>
      <c r="B114" s="83">
        <v>10</v>
      </c>
      <c r="C114" s="83" t="str">
        <f t="shared" si="126"/>
        <v>Distance Hurdles</v>
      </c>
      <c r="D114" s="83">
        <f>IFERROR(VLOOKUP($A114&amp;D$2&amp;$A103,downloads!$A:$D,3,FALSE),"")</f>
        <v>0</v>
      </c>
      <c r="E114" s="83">
        <f>IFERROR(VLOOKUP($A114&amp;D$2&amp;$A103,downloads!$A:$D,4,FALSE),"")</f>
        <v>0</v>
      </c>
      <c r="F114" s="83">
        <f>IFERROR(VLOOKUP($A114&amp;F$2&amp;$A103,downloads!$A:$D,3,FALSE),"")</f>
        <v>0</v>
      </c>
      <c r="G114" s="83">
        <f>IFERROR(VLOOKUP($A114&amp;F$2&amp;$A103,downloads!$A:$D,4,FALSE),"")</f>
        <v>0</v>
      </c>
      <c r="H114" s="83">
        <f>IFERROR(VLOOKUP($A114&amp;H$2&amp;$A103,downloads!$A:$D,3,FALSE),"")</f>
        <v>0</v>
      </c>
      <c r="I114" s="83">
        <f>IFERROR(VLOOKUP($A114&amp;H$2&amp;$A103,downloads!$A:$D,4,FALSE),"")</f>
        <v>0</v>
      </c>
      <c r="J114" s="83">
        <f>IFERROR(VLOOKUP($A114&amp;J$2&amp;$A103,downloads!$A:$D,3,FALSE),"")</f>
        <v>0</v>
      </c>
      <c r="K114" s="83">
        <f>IFERROR(VLOOKUP($A114&amp;J$2&amp;$A103,downloads!$A:$D,4,FALSE),"")</f>
        <v>0</v>
      </c>
      <c r="L114" s="83">
        <f>IFERROR(VLOOKUP($A114&amp;L$2&amp;$A103,downloads!$A:$D,3,FALSE),"")</f>
        <v>0</v>
      </c>
      <c r="M114" s="83">
        <f>IFERROR(VLOOKUP($A114&amp;L$2&amp;$A103,downloads!$A:$D,4,FALSE),"")</f>
        <v>0</v>
      </c>
      <c r="N114" s="83" t="str">
        <f>IFERROR(VLOOKUP($A114&amp;N$2&amp;$A103,downloads!$A:$D,3,FALSE),"")</f>
        <v/>
      </c>
      <c r="O114" s="83" t="str">
        <f>IFERROR(VLOOKUP($A114&amp;N$2&amp;$A103,downloads!$A:$D,4,FALSE),"")</f>
        <v/>
      </c>
      <c r="P114" s="83" t="str">
        <f>IFERROR(VLOOKUP($A114&amp;P$2&amp;$A103,downloads!$A:$D,3,FALSE),"")</f>
        <v/>
      </c>
      <c r="Q114" s="83" t="str">
        <f>IFERROR(VLOOKUP($A114&amp;P$2&amp;$A103,downloads!$A:$D,4,FALSE),"")</f>
        <v/>
      </c>
      <c r="R114" s="83" t="str">
        <f>IFERROR(VLOOKUP($A114&amp;R$2&amp;$A103,downloads!$A:$D,3,FALSE),"")</f>
        <v/>
      </c>
      <c r="S114" s="83" t="str">
        <f>IFERROR(VLOOKUP($A114&amp;R$2&amp;$A103,downloads!$A:$D,4,FALSE),"")</f>
        <v/>
      </c>
    </row>
    <row r="115" spans="1:19" x14ac:dyDescent="0.35">
      <c r="A115" s="434" t="s">
        <v>1911</v>
      </c>
      <c r="B115" s="83">
        <v>11</v>
      </c>
      <c r="C115" s="83" t="str">
        <f t="shared" si="126"/>
        <v>Discus</v>
      </c>
      <c r="D115" s="83" t="str">
        <f>IFERROR(VLOOKUP($A115&amp;D$2&amp;$A103,downloads!$A:$D,3,FALSE),"")</f>
        <v>COOPER Malachi</v>
      </c>
      <c r="E115" s="83" t="str">
        <f>IFERROR(VLOOKUP($A115&amp;D$2&amp;$A103,downloads!$A:$D,4,FALSE),"")</f>
        <v>PEERS-WAIN Jacob</v>
      </c>
      <c r="F115" s="83" t="str">
        <f>IFERROR(VLOOKUP($A115&amp;F$2&amp;$A103,downloads!$A:$D,3,FALSE),"")</f>
        <v>WAINWRIGHT James</v>
      </c>
      <c r="G115" s="83" t="str">
        <f>IFERROR(VLOOKUP($A115&amp;F$2&amp;$A103,downloads!$A:$D,4,FALSE),"")</f>
        <v>KRIEL PARR George</v>
      </c>
      <c r="H115" s="83" t="str">
        <f>IFERROR(VLOOKUP($A115&amp;H$2&amp;$A103,downloads!$A:$D,3,FALSE),"")</f>
        <v>RHODES Ashton</v>
      </c>
      <c r="I115" s="83" t="str">
        <f>IFERROR(VLOOKUP($A115&amp;H$2&amp;$A103,downloads!$A:$D,4,FALSE),"")</f>
        <v>BROOKS Rory</v>
      </c>
      <c r="J115" s="83" t="str">
        <f>IFERROR(VLOOKUP($A115&amp;J$2&amp;$A103,downloads!$A:$D,3,FALSE),"")</f>
        <v>BELL Callum</v>
      </c>
      <c r="K115" s="83" t="str">
        <f>IFERROR(VLOOKUP($A115&amp;J$2&amp;$A103,downloads!$A:$D,4,FALSE),"")</f>
        <v>-</v>
      </c>
      <c r="L115" s="83" t="str">
        <f>IFERROR(VLOOKUP($A115&amp;L$2&amp;$A103,downloads!$A:$D,3,FALSE),"")</f>
        <v>COOK Edwin</v>
      </c>
      <c r="M115" s="83">
        <f>IFERROR(VLOOKUP($A115&amp;L$2&amp;$A103,downloads!$A:$D,4,FALSE),"")</f>
        <v>0</v>
      </c>
      <c r="N115" s="83" t="str">
        <f>IFERROR(VLOOKUP($A115&amp;N$2&amp;$A103,downloads!$A:$D,3,FALSE),"")</f>
        <v/>
      </c>
      <c r="O115" s="83" t="str">
        <f>IFERROR(VLOOKUP($A115&amp;N$2&amp;$A103,downloads!$A:$D,4,FALSE),"")</f>
        <v/>
      </c>
      <c r="P115" s="83" t="str">
        <f>IFERROR(VLOOKUP($A115&amp;P$2&amp;$A103,downloads!$A:$D,3,FALSE),"")</f>
        <v/>
      </c>
      <c r="Q115" s="83" t="str">
        <f>IFERROR(VLOOKUP($A115&amp;P$2&amp;$A103,downloads!$A:$D,4,FALSE),"")</f>
        <v/>
      </c>
      <c r="R115" s="83" t="str">
        <f>IFERROR(VLOOKUP($A115&amp;R$2&amp;$A103,downloads!$A:$D,3,FALSE),"")</f>
        <v/>
      </c>
      <c r="S115" s="83" t="str">
        <f>IFERROR(VLOOKUP($A115&amp;R$2&amp;$A103,downloads!$A:$D,4,FALSE),"")</f>
        <v/>
      </c>
    </row>
    <row r="116" spans="1:19" x14ac:dyDescent="0.35">
      <c r="A116" s="434" t="s">
        <v>1912</v>
      </c>
      <c r="B116" s="83">
        <v>12</v>
      </c>
      <c r="C116" s="83" t="str">
        <f t="shared" si="126"/>
        <v>Hammer</v>
      </c>
      <c r="D116" s="83" t="str">
        <f>IFERROR(VLOOKUP($A116&amp;D$2&amp;$A103,downloads!$A:$D,3,FALSE),"")</f>
        <v>PEERS-WAIN Jacob</v>
      </c>
      <c r="E116" s="83" t="str">
        <f>IFERROR(VLOOKUP($A116&amp;D$2&amp;$A103,downloads!$A:$D,4,FALSE),"")</f>
        <v>BETTNEY Thomas</v>
      </c>
      <c r="F116" s="83">
        <f>IFERROR(VLOOKUP($A116&amp;F$2&amp;$A103,downloads!$A:$D,3,FALSE),"")</f>
        <v>0</v>
      </c>
      <c r="G116" s="83">
        <f>IFERROR(VLOOKUP($A116&amp;F$2&amp;$A103,downloads!$A:$D,4,FALSE),"")</f>
        <v>0</v>
      </c>
      <c r="H116" s="83" t="str">
        <f>IFERROR(VLOOKUP($A116&amp;H$2&amp;$A103,downloads!$A:$D,3,FALSE),"")</f>
        <v>MEIGH William</v>
      </c>
      <c r="I116" s="83" t="str">
        <f>IFERROR(VLOOKUP($A116&amp;H$2&amp;$A103,downloads!$A:$D,4,FALSE),"")</f>
        <v>RUTTER Aaron</v>
      </c>
      <c r="J116" s="83" t="str">
        <f>IFERROR(VLOOKUP($A116&amp;J$2&amp;$A103,downloads!$A:$D,3,FALSE),"")</f>
        <v>BELL Callum</v>
      </c>
      <c r="K116" s="83" t="str">
        <f>IFERROR(VLOOKUP($A116&amp;J$2&amp;$A103,downloads!$A:$D,4,FALSE),"")</f>
        <v>-</v>
      </c>
      <c r="L116" s="83" t="str">
        <f>IFERROR(VLOOKUP($A116&amp;L$2&amp;$A103,downloads!$A:$D,3,FALSE),"")</f>
        <v>-</v>
      </c>
      <c r="M116" s="83">
        <f>IFERROR(VLOOKUP($A116&amp;L$2&amp;$A103,downloads!$A:$D,4,FALSE),"")</f>
        <v>0</v>
      </c>
      <c r="N116" s="83" t="str">
        <f>IFERROR(VLOOKUP($A116&amp;N$2&amp;$A103,downloads!$A:$D,3,FALSE),"")</f>
        <v/>
      </c>
      <c r="O116" s="83" t="str">
        <f>IFERROR(VLOOKUP($A116&amp;N$2&amp;$A103,downloads!$A:$D,4,FALSE),"")</f>
        <v/>
      </c>
      <c r="P116" s="83" t="str">
        <f>IFERROR(VLOOKUP($A116&amp;P$2&amp;$A103,downloads!$A:$D,3,FALSE),"")</f>
        <v/>
      </c>
      <c r="Q116" s="83" t="str">
        <f>IFERROR(VLOOKUP($A116&amp;P$2&amp;$A103,downloads!$A:$D,4,FALSE),"")</f>
        <v/>
      </c>
      <c r="R116" s="83" t="str">
        <f>IFERROR(VLOOKUP($A116&amp;R$2&amp;$A103,downloads!$A:$D,3,FALSE),"")</f>
        <v/>
      </c>
      <c r="S116" s="83" t="str">
        <f>IFERROR(VLOOKUP($A116&amp;R$2&amp;$A103,downloads!$A:$D,4,FALSE),"")</f>
        <v/>
      </c>
    </row>
    <row r="117" spans="1:19" x14ac:dyDescent="0.35">
      <c r="A117" s="434" t="s">
        <v>1913</v>
      </c>
      <c r="B117" s="83">
        <v>13</v>
      </c>
      <c r="C117" s="83" t="str">
        <f t="shared" si="126"/>
        <v>Javelin</v>
      </c>
      <c r="D117" s="83" t="str">
        <f>IFERROR(VLOOKUP($A117&amp;D$2&amp;$A103,downloads!$A:$D,3,FALSE),"")</f>
        <v>BETTNEY Thomas</v>
      </c>
      <c r="E117" s="83" t="str">
        <f>IFERROR(VLOOKUP($A117&amp;D$2&amp;$A103,downloads!$A:$D,4,FALSE),"")</f>
        <v>SAS Reuben</v>
      </c>
      <c r="F117" s="83" t="str">
        <f>IFERROR(VLOOKUP($A117&amp;F$2&amp;$A103,downloads!$A:$D,3,FALSE),"")</f>
        <v>COLLINI Joseph</v>
      </c>
      <c r="G117" s="83" t="str">
        <f>IFERROR(VLOOKUP($A117&amp;F$2&amp;$A103,downloads!$A:$D,4,FALSE),"")</f>
        <v>WAINWRIGHT James</v>
      </c>
      <c r="H117" s="83" t="str">
        <f>IFERROR(VLOOKUP($A117&amp;H$2&amp;$A103,downloads!$A:$D,3,FALSE),"")</f>
        <v>RHODES Ashton</v>
      </c>
      <c r="I117" s="83" t="str">
        <f>IFERROR(VLOOKUP($A117&amp;H$2&amp;$A103,downloads!$A:$D,4,FALSE),"")</f>
        <v>BROOKS Rory</v>
      </c>
      <c r="J117" s="83" t="str">
        <f>IFERROR(VLOOKUP($A117&amp;J$2&amp;$A103,downloads!$A:$D,3,FALSE),"")</f>
        <v>-</v>
      </c>
      <c r="K117" s="83" t="str">
        <f>IFERROR(VLOOKUP($A117&amp;J$2&amp;$A103,downloads!$A:$D,4,FALSE),"")</f>
        <v>-</v>
      </c>
      <c r="L117" s="83" t="str">
        <f>IFERROR(VLOOKUP($A117&amp;L$2&amp;$A103,downloads!$A:$D,3,FALSE),"")</f>
        <v>COOK Edwin</v>
      </c>
      <c r="M117" s="83" t="str">
        <f>IFERROR(VLOOKUP($A117&amp;L$2&amp;$A103,downloads!$A:$D,4,FALSE),"")</f>
        <v>OADES Matthew</v>
      </c>
      <c r="N117" s="83" t="str">
        <f>IFERROR(VLOOKUP($A117&amp;N$2&amp;$A103,downloads!$A:$D,3,FALSE),"")</f>
        <v/>
      </c>
      <c r="O117" s="83" t="str">
        <f>IFERROR(VLOOKUP($A117&amp;N$2&amp;$A103,downloads!$A:$D,4,FALSE),"")</f>
        <v/>
      </c>
      <c r="P117" s="83" t="str">
        <f>IFERROR(VLOOKUP($A117&amp;P$2&amp;$A103,downloads!$A:$D,3,FALSE),"")</f>
        <v/>
      </c>
      <c r="Q117" s="83" t="str">
        <f>IFERROR(VLOOKUP($A117&amp;P$2&amp;$A103,downloads!$A:$D,4,FALSE),"")</f>
        <v/>
      </c>
      <c r="R117" s="83" t="str">
        <f>IFERROR(VLOOKUP($A117&amp;R$2&amp;$A103,downloads!$A:$D,3,FALSE),"")</f>
        <v/>
      </c>
      <c r="S117" s="83" t="str">
        <f>IFERROR(VLOOKUP($A117&amp;R$2&amp;$A103,downloads!$A:$D,4,FALSE),"")</f>
        <v/>
      </c>
    </row>
    <row r="118" spans="1:19" x14ac:dyDescent="0.35">
      <c r="A118" s="434" t="s">
        <v>1914</v>
      </c>
      <c r="B118" s="83">
        <v>14</v>
      </c>
      <c r="C118" s="83" t="str">
        <f t="shared" si="126"/>
        <v>Shot</v>
      </c>
      <c r="D118" s="83" t="str">
        <f>IFERROR(VLOOKUP($A118&amp;D$2&amp;$A103,downloads!$A:$D,3,FALSE),"")</f>
        <v>COOPER Malachi</v>
      </c>
      <c r="E118" s="83" t="str">
        <f>IFERROR(VLOOKUP($A118&amp;D$2&amp;$A103,downloads!$A:$D,4,FALSE),"")</f>
        <v>MAZUREK Gracjan</v>
      </c>
      <c r="F118" s="83" t="str">
        <f>IFERROR(VLOOKUP($A118&amp;F$2&amp;$A103,downloads!$A:$D,3,FALSE),"")</f>
        <v>LANE William</v>
      </c>
      <c r="G118" s="83">
        <f>IFERROR(VLOOKUP($A118&amp;F$2&amp;$A103,downloads!$A:$D,4,FALSE),"")</f>
        <v>0</v>
      </c>
      <c r="H118" s="83" t="str">
        <f>IFERROR(VLOOKUP($A118&amp;H$2&amp;$A103,downloads!$A:$D,3,FALSE),"")</f>
        <v>MEIGH William</v>
      </c>
      <c r="I118" s="83" t="str">
        <f>IFERROR(VLOOKUP($A118&amp;H$2&amp;$A103,downloads!$A:$D,4,FALSE),"")</f>
        <v>RUTTER Aaron</v>
      </c>
      <c r="J118" s="83" t="str">
        <f>IFERROR(VLOOKUP($A118&amp;J$2&amp;$A103,downloads!$A:$D,3,FALSE),"")</f>
        <v>IBEH Terrell</v>
      </c>
      <c r="K118" s="83" t="str">
        <f>IFERROR(VLOOKUP($A118&amp;J$2&amp;$A103,downloads!$A:$D,4,FALSE),"")</f>
        <v>KAYE Charlie</v>
      </c>
      <c r="L118" s="83" t="str">
        <f>IFERROR(VLOOKUP($A118&amp;L$2&amp;$A103,downloads!$A:$D,3,FALSE),"")</f>
        <v>COOK Edwin</v>
      </c>
      <c r="M118" s="83" t="str">
        <f>IFERROR(VLOOKUP($A118&amp;L$2&amp;$A103,downloads!$A:$D,4,FALSE),"")</f>
        <v>OADES Matthew</v>
      </c>
      <c r="N118" s="83" t="str">
        <f>IFERROR(VLOOKUP($A118&amp;N$2&amp;$A103,downloads!$A:$D,3,FALSE),"")</f>
        <v/>
      </c>
      <c r="O118" s="83" t="str">
        <f>IFERROR(VLOOKUP($A118&amp;N$2&amp;$A103,downloads!$A:$D,4,FALSE),"")</f>
        <v/>
      </c>
      <c r="P118" s="83" t="str">
        <f>IFERROR(VLOOKUP($A118&amp;P$2&amp;$A103,downloads!$A:$D,3,FALSE),"")</f>
        <v/>
      </c>
      <c r="Q118" s="83" t="str">
        <f>IFERROR(VLOOKUP($A118&amp;P$2&amp;$A103,downloads!$A:$D,4,FALSE),"")</f>
        <v/>
      </c>
      <c r="R118" s="83" t="str">
        <f>IFERROR(VLOOKUP($A118&amp;R$2&amp;$A103,downloads!$A:$D,3,FALSE),"")</f>
        <v/>
      </c>
      <c r="S118" s="83" t="str">
        <f>IFERROR(VLOOKUP($A118&amp;R$2&amp;$A103,downloads!$A:$D,4,FALSE),"")</f>
        <v/>
      </c>
    </row>
    <row r="119" spans="1:19" x14ac:dyDescent="0.35">
      <c r="A119" s="434" t="s">
        <v>1915</v>
      </c>
      <c r="B119" s="83">
        <v>15</v>
      </c>
      <c r="C119" s="83" t="str">
        <f t="shared" si="126"/>
        <v>Long Jump</v>
      </c>
      <c r="D119" s="83" t="str">
        <f>IFERROR(VLOOKUP($A119&amp;D$2&amp;$A103,downloads!$A:$D,3,FALSE),"")</f>
        <v>FOGDEN Ben</v>
      </c>
      <c r="E119" s="83" t="str">
        <f>IFERROR(VLOOKUP($A119&amp;D$2&amp;$A103,downloads!$A:$D,4,FALSE),"")</f>
        <v>FOOT James</v>
      </c>
      <c r="F119" s="83" t="str">
        <f>IFERROR(VLOOKUP($A119&amp;F$2&amp;$A103,downloads!$A:$D,3,FALSE),"")</f>
        <v>BENTLEY Tom</v>
      </c>
      <c r="G119" s="83" t="str">
        <f>IFERROR(VLOOKUP($A119&amp;F$2&amp;$A103,downloads!$A:$D,4,FALSE),"")</f>
        <v>SCOTT Leni</v>
      </c>
      <c r="H119" s="83" t="str">
        <f>IFERROR(VLOOKUP($A119&amp;H$2&amp;$A103,downloads!$A:$D,3,FALSE),"")</f>
        <v>COOK Harry</v>
      </c>
      <c r="I119" s="83" t="str">
        <f>IFERROR(VLOOKUP($A119&amp;H$2&amp;$A103,downloads!$A:$D,4,FALSE),"")</f>
        <v>LANSFORD Hollis</v>
      </c>
      <c r="J119" s="83" t="str">
        <f>IFERROR(VLOOKUP($A119&amp;J$2&amp;$A103,downloads!$A:$D,3,FALSE),"")</f>
        <v>CHINNERY Norton</v>
      </c>
      <c r="K119" s="83" t="str">
        <f>IFERROR(VLOOKUP($A119&amp;J$2&amp;$A103,downloads!$A:$D,4,FALSE),"")</f>
        <v>IBEH Terrell</v>
      </c>
      <c r="L119" s="83">
        <f>IFERROR(VLOOKUP($A119&amp;L$2&amp;$A103,downloads!$A:$D,3,FALSE),"")</f>
        <v>0</v>
      </c>
      <c r="M119" s="83">
        <f>IFERROR(VLOOKUP($A119&amp;L$2&amp;$A103,downloads!$A:$D,4,FALSE),"")</f>
        <v>0</v>
      </c>
      <c r="N119" s="83" t="str">
        <f>IFERROR(VLOOKUP($A119&amp;N$2&amp;$A103,downloads!$A:$D,3,FALSE),"")</f>
        <v/>
      </c>
      <c r="O119" s="83" t="str">
        <f>IFERROR(VLOOKUP($A119&amp;N$2&amp;$A103,downloads!$A:$D,4,FALSE),"")</f>
        <v/>
      </c>
      <c r="P119" s="83" t="str">
        <f>IFERROR(VLOOKUP($A119&amp;P$2&amp;$A103,downloads!$A:$D,3,FALSE),"")</f>
        <v/>
      </c>
      <c r="Q119" s="83" t="str">
        <f>IFERROR(VLOOKUP($A119&amp;P$2&amp;$A103,downloads!$A:$D,4,FALSE),"")</f>
        <v/>
      </c>
      <c r="R119" s="83" t="str">
        <f>IFERROR(VLOOKUP($A119&amp;R$2&amp;$A103,downloads!$A:$D,3,FALSE),"")</f>
        <v/>
      </c>
      <c r="S119" s="83" t="str">
        <f>IFERROR(VLOOKUP($A119&amp;R$2&amp;$A103,downloads!$A:$D,4,FALSE),"")</f>
        <v/>
      </c>
    </row>
    <row r="120" spans="1:19" x14ac:dyDescent="0.35">
      <c r="A120" s="434" t="s">
        <v>1916</v>
      </c>
      <c r="B120" s="83">
        <v>16</v>
      </c>
      <c r="C120" s="83" t="str">
        <f t="shared" si="126"/>
        <v>Triple Jump</v>
      </c>
      <c r="D120" s="83">
        <f>IFERROR(VLOOKUP($A120&amp;D$2&amp;$A103,downloads!$A:$D,3,FALSE),"")</f>
        <v>0</v>
      </c>
      <c r="E120" s="83">
        <f>IFERROR(VLOOKUP($A120&amp;D$2&amp;$A103,downloads!$A:$D,4,FALSE),"")</f>
        <v>0</v>
      </c>
      <c r="F120" s="83">
        <f>IFERROR(VLOOKUP($A120&amp;F$2&amp;$A103,downloads!$A:$D,3,FALSE),"")</f>
        <v>0</v>
      </c>
      <c r="G120" s="83">
        <f>IFERROR(VLOOKUP($A120&amp;F$2&amp;$A103,downloads!$A:$D,4,FALSE),"")</f>
        <v>0</v>
      </c>
      <c r="H120" s="83">
        <f>IFERROR(VLOOKUP($A120&amp;H$2&amp;$A103,downloads!$A:$D,3,FALSE),"")</f>
        <v>0</v>
      </c>
      <c r="I120" s="83">
        <f>IFERROR(VLOOKUP($A120&amp;H$2&amp;$A103,downloads!$A:$D,4,FALSE),"")</f>
        <v>0</v>
      </c>
      <c r="J120" s="83">
        <f>IFERROR(VLOOKUP($A120&amp;J$2&amp;$A103,downloads!$A:$D,3,FALSE),"")</f>
        <v>0</v>
      </c>
      <c r="K120" s="83">
        <f>IFERROR(VLOOKUP($A120&amp;J$2&amp;$A103,downloads!$A:$D,4,FALSE),"")</f>
        <v>0</v>
      </c>
      <c r="L120" s="83">
        <f>IFERROR(VLOOKUP($A120&amp;L$2&amp;$A103,downloads!$A:$D,3,FALSE),"")</f>
        <v>0</v>
      </c>
      <c r="M120" s="83">
        <f>IFERROR(VLOOKUP($A120&amp;L$2&amp;$A103,downloads!$A:$D,4,FALSE),"")</f>
        <v>0</v>
      </c>
      <c r="N120" s="83" t="str">
        <f>IFERROR(VLOOKUP($A120&amp;N$2&amp;$A103,downloads!$A:$D,3,FALSE),"")</f>
        <v/>
      </c>
      <c r="O120" s="83" t="str">
        <f>IFERROR(VLOOKUP($A120&amp;N$2&amp;$A103,downloads!$A:$D,4,FALSE),"")</f>
        <v/>
      </c>
      <c r="P120" s="83" t="str">
        <f>IFERROR(VLOOKUP($A120&amp;P$2&amp;$A103,downloads!$A:$D,3,FALSE),"")</f>
        <v/>
      </c>
      <c r="Q120" s="83" t="str">
        <f>IFERROR(VLOOKUP($A120&amp;P$2&amp;$A103,downloads!$A:$D,4,FALSE),"")</f>
        <v/>
      </c>
      <c r="R120" s="83" t="str">
        <f>IFERROR(VLOOKUP($A120&amp;R$2&amp;$A103,downloads!$A:$D,3,FALSE),"")</f>
        <v/>
      </c>
      <c r="S120" s="83" t="str">
        <f>IFERROR(VLOOKUP($A120&amp;R$2&amp;$A103,downloads!$A:$D,4,FALSE),"")</f>
        <v/>
      </c>
    </row>
    <row r="121" spans="1:19" x14ac:dyDescent="0.35">
      <c r="A121" s="434" t="s">
        <v>1921</v>
      </c>
      <c r="B121" s="83">
        <v>17</v>
      </c>
      <c r="C121" s="83" t="str">
        <f t="shared" si="126"/>
        <v>High Jump</v>
      </c>
      <c r="D121" s="83" t="str">
        <f>IFERROR(VLOOKUP($A121&amp;D$2&amp;$A103,downloads!$A:$D,3,FALSE),"")</f>
        <v>PEERS-WAIN Jacob</v>
      </c>
      <c r="E121" s="83" t="str">
        <f>IFERROR(VLOOKUP($A121&amp;D$2&amp;$A103,downloads!$A:$D,4,FALSE),"")</f>
        <v>FOOT James</v>
      </c>
      <c r="F121" s="83" t="str">
        <f>IFERROR(VLOOKUP($A121&amp;F$2&amp;$A103,downloads!$A:$D,3,FALSE),"")</f>
        <v>LANE William</v>
      </c>
      <c r="G121" s="83">
        <f>IFERROR(VLOOKUP($A121&amp;F$2&amp;$A103,downloads!$A:$D,4,FALSE),"")</f>
        <v>0</v>
      </c>
      <c r="H121" s="83" t="str">
        <f>IFERROR(VLOOKUP($A121&amp;H$2&amp;$A103,downloads!$A:$D,3,FALSE),"")</f>
        <v>HENSON Isaac</v>
      </c>
      <c r="I121" s="83" t="str">
        <f>IFERROR(VLOOKUP($A121&amp;H$2&amp;$A103,downloads!$A:$D,4,FALSE),"")</f>
        <v>-</v>
      </c>
      <c r="J121" s="83" t="str">
        <f>IFERROR(VLOOKUP($A121&amp;J$2&amp;$A103,downloads!$A:$D,3,FALSE),"")</f>
        <v>-</v>
      </c>
      <c r="K121" s="83" t="str">
        <f>IFERROR(VLOOKUP($A121&amp;J$2&amp;$A103,downloads!$A:$D,4,FALSE),"")</f>
        <v>-</v>
      </c>
      <c r="L121" s="83">
        <f>IFERROR(VLOOKUP($A121&amp;L$2&amp;$A103,downloads!$A:$D,3,FALSE),"")</f>
        <v>0</v>
      </c>
      <c r="M121" s="83">
        <f>IFERROR(VLOOKUP($A121&amp;L$2&amp;$A103,downloads!$A:$D,4,FALSE),"")</f>
        <v>0</v>
      </c>
      <c r="N121" s="83" t="str">
        <f>IFERROR(VLOOKUP($A121&amp;N$2&amp;$A103,downloads!$A:$D,3,FALSE),"")</f>
        <v/>
      </c>
      <c r="O121" s="83" t="str">
        <f>IFERROR(VLOOKUP($A121&amp;N$2&amp;$A103,downloads!$A:$D,4,FALSE),"")</f>
        <v/>
      </c>
      <c r="P121" s="83" t="str">
        <f>IFERROR(VLOOKUP($A121&amp;P$2&amp;$A103,downloads!$A:$D,3,FALSE),"")</f>
        <v/>
      </c>
      <c r="Q121" s="83" t="str">
        <f>IFERROR(VLOOKUP($A121&amp;P$2&amp;$A103,downloads!$A:$D,4,FALSE),"")</f>
        <v/>
      </c>
      <c r="R121" s="83" t="str">
        <f>IFERROR(VLOOKUP($A121&amp;R$2&amp;$A103,downloads!$A:$D,3,FALSE),"")</f>
        <v/>
      </c>
      <c r="S121" s="83" t="str">
        <f>IFERROR(VLOOKUP($A121&amp;R$2&amp;$A103,downloads!$A:$D,4,FALSE),"")</f>
        <v/>
      </c>
    </row>
    <row r="122" spans="1:19" x14ac:dyDescent="0.35">
      <c r="A122" s="434" t="s">
        <v>1917</v>
      </c>
      <c r="B122" s="83">
        <v>18</v>
      </c>
      <c r="C122" s="83" t="str">
        <f t="shared" si="126"/>
        <v>Pole Vault</v>
      </c>
      <c r="D122" s="83">
        <f>IFERROR(VLOOKUP($A122&amp;D$2&amp;$A103,downloads!$A:$D,3,FALSE),"")</f>
        <v>0</v>
      </c>
      <c r="E122" s="83">
        <f>IFERROR(VLOOKUP($A122&amp;D$2&amp;$A103,downloads!$A:$D,4,FALSE),"")</f>
        <v>0</v>
      </c>
      <c r="F122" s="83" t="str">
        <f>IFERROR(VLOOKUP($A122&amp;F$2&amp;$A103,downloads!$A:$D,3,FALSE),"")</f>
        <v>LANE William</v>
      </c>
      <c r="G122" s="83">
        <f>IFERROR(VLOOKUP($A122&amp;F$2&amp;$A103,downloads!$A:$D,4,FALSE),"")</f>
        <v>0</v>
      </c>
      <c r="H122" s="83" t="str">
        <f>IFERROR(VLOOKUP($A122&amp;H$2&amp;$A103,downloads!$A:$D,3,FALSE),"")</f>
        <v>BOWSHER James</v>
      </c>
      <c r="I122" s="83" t="str">
        <f>IFERROR(VLOOKUP($A122&amp;H$2&amp;$A103,downloads!$A:$D,4,FALSE),"")</f>
        <v>-</v>
      </c>
      <c r="J122" s="83" t="str">
        <f>IFERROR(VLOOKUP($A122&amp;J$2&amp;$A103,downloads!$A:$D,3,FALSE),"")</f>
        <v>-</v>
      </c>
      <c r="K122" s="83" t="str">
        <f>IFERROR(VLOOKUP($A122&amp;J$2&amp;$A103,downloads!$A:$D,4,FALSE),"")</f>
        <v>-</v>
      </c>
      <c r="L122" s="83">
        <f>IFERROR(VLOOKUP($A122&amp;L$2&amp;$A103,downloads!$A:$D,3,FALSE),"")</f>
        <v>0</v>
      </c>
      <c r="M122" s="83" t="str">
        <f>IFERROR(VLOOKUP($A122&amp;L$2&amp;$A103,downloads!$A:$D,4,FALSE),"")</f>
        <v>-</v>
      </c>
      <c r="N122" s="83" t="str">
        <f>IFERROR(VLOOKUP($A122&amp;N$2&amp;$A103,downloads!$A:$D,3,FALSE),"")</f>
        <v/>
      </c>
      <c r="O122" s="83" t="str">
        <f>IFERROR(VLOOKUP($A122&amp;N$2&amp;$A103,downloads!$A:$D,4,FALSE),"")</f>
        <v/>
      </c>
      <c r="P122" s="83" t="str">
        <f>IFERROR(VLOOKUP($A122&amp;P$2&amp;$A103,downloads!$A:$D,3,FALSE),"")</f>
        <v/>
      </c>
      <c r="Q122" s="83" t="str">
        <f>IFERROR(VLOOKUP($A122&amp;P$2&amp;$A103,downloads!$A:$D,4,FALSE),"")</f>
        <v/>
      </c>
      <c r="R122" s="83" t="str">
        <f>IFERROR(VLOOKUP($A122&amp;R$2&amp;$A103,downloads!$A:$D,3,FALSE),"")</f>
        <v/>
      </c>
      <c r="S122" s="83" t="str">
        <f>IFERROR(VLOOKUP($A122&amp;R$2&amp;$A103,downloads!$A:$D,4,FALSE),"")</f>
        <v/>
      </c>
    </row>
    <row r="123" spans="1:19" x14ac:dyDescent="0.35">
      <c r="A123" s="434" t="s">
        <v>1918</v>
      </c>
      <c r="B123" s="83">
        <v>19</v>
      </c>
      <c r="C123" s="83" t="str">
        <f t="shared" si="126"/>
        <v>4x100 Relay</v>
      </c>
      <c r="D123" s="83" t="str">
        <f>IFERROR(VLOOKUP($A123&amp;D$2&amp;$A103,downloads!$A:$D,3,FALSE),"")</f>
        <v>COOPER Malachi</v>
      </c>
      <c r="E123" s="83" t="str">
        <f>IFERROR(VLOOKUP($A123&amp;D$2&amp;$A103,downloads!$A:$D,4,FALSE),"")</f>
        <v>MARRIOTT Thomas</v>
      </c>
      <c r="F123" s="83" t="str">
        <f>IFERROR(VLOOKUP($A123&amp;F$2&amp;$A103,downloads!$A:$D,3,FALSE),"")</f>
        <v>BENTLEY Tom</v>
      </c>
      <c r="G123" s="83" t="str">
        <f>IFERROR(VLOOKUP($A123&amp;F$2&amp;$A103,downloads!$A:$D,4,FALSE),"")</f>
        <v>KRIEL PARR George</v>
      </c>
      <c r="H123" s="83" t="str">
        <f>IFERROR(VLOOKUP($A123&amp;H$2&amp;$A103,downloads!$A:$D,3,FALSE),"")</f>
        <v>LANSFORD Hollis</v>
      </c>
      <c r="I123" s="83" t="str">
        <f>IFERROR(VLOOKUP($A123&amp;H$2&amp;$A103,downloads!$A:$D,4,FALSE),"")</f>
        <v>HOW Louis</v>
      </c>
      <c r="J123" s="83" t="str">
        <f>IFERROR(VLOOKUP($A123&amp;J$2&amp;$A103,downloads!$A:$D,3,FALSE),"")</f>
        <v>BUTLER Jake</v>
      </c>
      <c r="K123" s="83" t="str">
        <f>IFERROR(VLOOKUP($A123&amp;J$2&amp;$A103,downloads!$A:$D,4,FALSE),"")</f>
        <v>OKEY Chieme</v>
      </c>
      <c r="L123" s="83">
        <f>IFERROR(VLOOKUP($A123&amp;L$2&amp;$A103,downloads!$A:$D,3,FALSE),"")</f>
        <v>0</v>
      </c>
      <c r="M123" s="83">
        <f>IFERROR(VLOOKUP($A123&amp;L$2&amp;$A103,downloads!$A:$D,4,FALSE),"")</f>
        <v>0</v>
      </c>
      <c r="N123" s="83" t="str">
        <f>IFERROR(VLOOKUP($A123&amp;N$2&amp;$A103,downloads!$A:$D,3,FALSE),"")</f>
        <v/>
      </c>
      <c r="O123" s="83" t="str">
        <f>IFERROR(VLOOKUP($A123&amp;N$2&amp;$A103,downloads!$A:$D,4,FALSE),"")</f>
        <v/>
      </c>
      <c r="P123" s="83" t="str">
        <f>IFERROR(VLOOKUP($A123&amp;P$2&amp;$A103,downloads!$A:$D,3,FALSE),"")</f>
        <v/>
      </c>
      <c r="Q123" s="83" t="str">
        <f>IFERROR(VLOOKUP($A123&amp;P$2&amp;$A103,downloads!$A:$D,4,FALSE),"")</f>
        <v/>
      </c>
      <c r="R123" s="83" t="str">
        <f>IFERROR(VLOOKUP($A123&amp;R$2&amp;$A103,downloads!$A:$D,3,FALSE),"")</f>
        <v/>
      </c>
      <c r="S123" s="83" t="str">
        <f>IFERROR(VLOOKUP($A123&amp;R$2&amp;$A103,downloads!$A:$D,4,FALSE),"")</f>
        <v/>
      </c>
    </row>
    <row r="124" spans="1:19" x14ac:dyDescent="0.35">
      <c r="A124" s="434" t="s">
        <v>1919</v>
      </c>
      <c r="B124" s="83">
        <v>20</v>
      </c>
      <c r="C124" s="83" t="str">
        <f t="shared" si="126"/>
        <v>4x100 Relay</v>
      </c>
      <c r="D124" s="83" t="str">
        <f>IFERROR(VLOOKUP($A124&amp;D$2&amp;$A103,downloads!$A:$D,3,FALSE),"")</f>
        <v>SAS Reuben</v>
      </c>
      <c r="E124" s="83" t="str">
        <f>IFERROR(VLOOKUP($A124&amp;D$2&amp;$A103,downloads!$A:$D,4,FALSE),"")</f>
        <v>FOGDEN Ben</v>
      </c>
      <c r="F124" s="83" t="str">
        <f>IFERROR(VLOOKUP($A124&amp;F$2&amp;$A103,downloads!$A:$D,3,FALSE),"")</f>
        <v>WAINWRIGHT James</v>
      </c>
      <c r="G124" s="83" t="str">
        <f>IFERROR(VLOOKUP($A124&amp;F$2&amp;$A103,downloads!$A:$D,4,FALSE),"")</f>
        <v>OR KAM FAT Matteo</v>
      </c>
      <c r="H124" s="83" t="str">
        <f>IFERROR(VLOOKUP($A124&amp;H$2&amp;$A103,downloads!$A:$D,3,FALSE),"")</f>
        <v>PYE George</v>
      </c>
      <c r="I124" s="83" t="str">
        <f>IFERROR(VLOOKUP($A124&amp;H$2&amp;$A103,downloads!$A:$D,4,FALSE),"")</f>
        <v>MEIGH William</v>
      </c>
      <c r="J124" s="83" t="str">
        <f>IFERROR(VLOOKUP($A124&amp;J$2&amp;$A103,downloads!$A:$D,3,FALSE),"")</f>
        <v>CHINNERY Norton</v>
      </c>
      <c r="K124" s="83" t="str">
        <f>IFERROR(VLOOKUP($A124&amp;J$2&amp;$A103,downloads!$A:$D,4,FALSE),"")</f>
        <v>MAYNARD Tom</v>
      </c>
      <c r="L124" s="83">
        <f>IFERROR(VLOOKUP($A124&amp;L$2&amp;$A103,downloads!$A:$D,3,FALSE),"")</f>
        <v>0</v>
      </c>
      <c r="M124" s="83">
        <f>IFERROR(VLOOKUP($A124&amp;L$2&amp;$A103,downloads!$A:$D,4,FALSE),"")</f>
        <v>0</v>
      </c>
      <c r="N124" s="83" t="str">
        <f>IFERROR(VLOOKUP($A124&amp;N$2&amp;$A103,downloads!$A:$D,3,FALSE),"")</f>
        <v/>
      </c>
      <c r="O124" s="83" t="str">
        <f>IFERROR(VLOOKUP($A124&amp;N$2&amp;$A103,downloads!$A:$D,4,FALSE),"")</f>
        <v/>
      </c>
      <c r="P124" s="83" t="str">
        <f>IFERROR(VLOOKUP($A124&amp;P$2&amp;$A103,downloads!$A:$D,3,FALSE),"")</f>
        <v/>
      </c>
      <c r="Q124" s="83" t="str">
        <f>IFERROR(VLOOKUP($A124&amp;P$2&amp;$A103,downloads!$A:$D,4,FALSE),"")</f>
        <v/>
      </c>
      <c r="R124" s="83" t="str">
        <f>IFERROR(VLOOKUP($A124&amp;R$2&amp;$A103,downloads!$A:$D,3,FALSE),"")</f>
        <v/>
      </c>
      <c r="S124" s="83" t="str">
        <f>IFERROR(VLOOKUP($A124&amp;R$2&amp;$A103,downloads!$A:$D,4,FALSE),"")</f>
        <v/>
      </c>
    </row>
    <row r="125" spans="1:19" x14ac:dyDescent="0.35">
      <c r="A125" s="434" t="s">
        <v>1920</v>
      </c>
      <c r="B125" s="83">
        <v>21</v>
      </c>
      <c r="C125" s="83" t="str">
        <f t="shared" si="126"/>
        <v>4x400 (300)</v>
      </c>
      <c r="D125" s="83" t="str">
        <f>IFERROR(VLOOKUP($A125&amp;D$2&amp;$A103,downloads!$A:$D,3,FALSE),"")</f>
        <v>FOOT James</v>
      </c>
      <c r="E125" s="83" t="str">
        <f>IFERROR(VLOOKUP($A125&amp;D$2&amp;$A103,downloads!$A:$D,4,FALSE),"")</f>
        <v>BETTNEY Thomas</v>
      </c>
      <c r="F125" s="83">
        <f>IFERROR(VLOOKUP($A125&amp;F$2&amp;$A103,downloads!$A:$D,3,FALSE),"")</f>
        <v>0</v>
      </c>
      <c r="G125" s="83">
        <f>IFERROR(VLOOKUP($A125&amp;F$2&amp;$A103,downloads!$A:$D,4,FALSE),"")</f>
        <v>0</v>
      </c>
      <c r="H125" s="83" t="str">
        <f>IFERROR(VLOOKUP($A125&amp;H$2&amp;$A103,downloads!$A:$D,3,FALSE),"")</f>
        <v>HENSON Isaac</v>
      </c>
      <c r="I125" s="83" t="str">
        <f>IFERROR(VLOOKUP($A125&amp;H$2&amp;$A103,downloads!$A:$D,4,FALSE),"")</f>
        <v>BRATLEY Jack</v>
      </c>
      <c r="J125" s="83" t="str">
        <f>IFERROR(VLOOKUP($A125&amp;J$2&amp;$A103,downloads!$A:$D,3,FALSE),"")</f>
        <v>SAYERS James</v>
      </c>
      <c r="K125" s="83" t="str">
        <f>IFERROR(VLOOKUP($A125&amp;J$2&amp;$A103,downloads!$A:$D,4,FALSE),"")</f>
        <v>IBEH Terrell</v>
      </c>
      <c r="L125" s="83">
        <f>IFERROR(VLOOKUP($A125&amp;L$2&amp;$A103,downloads!$A:$D,3,FALSE),"")</f>
        <v>0</v>
      </c>
      <c r="M125" s="83">
        <f>IFERROR(VLOOKUP($A125&amp;L$2&amp;$A103,downloads!$A:$D,4,FALSE),"")</f>
        <v>0</v>
      </c>
      <c r="N125" s="83" t="str">
        <f>IFERROR(VLOOKUP($A125&amp;N$2&amp;$A103,downloads!$A:$D,3,FALSE),"")</f>
        <v/>
      </c>
      <c r="O125" s="83" t="str">
        <f>IFERROR(VLOOKUP($A125&amp;N$2&amp;$A103,downloads!$A:$D,4,FALSE),"")</f>
        <v/>
      </c>
      <c r="P125" s="83" t="str">
        <f>IFERROR(VLOOKUP($A125&amp;P$2&amp;$A103,downloads!$A:$D,3,FALSE),"")</f>
        <v/>
      </c>
      <c r="Q125" s="83" t="str">
        <f>IFERROR(VLOOKUP($A125&amp;P$2&amp;$A103,downloads!$A:$D,4,FALSE),"")</f>
        <v/>
      </c>
      <c r="R125" s="83" t="str">
        <f>IFERROR(VLOOKUP($A125&amp;R$2&amp;$A103,downloads!$A:$D,3,FALSE),"")</f>
        <v/>
      </c>
      <c r="S125" s="83" t="str">
        <f>IFERROR(VLOOKUP($A125&amp;R$2&amp;$A103,downloads!$A:$D,4,FALSE),"")</f>
        <v/>
      </c>
    </row>
    <row r="126" spans="1:19" x14ac:dyDescent="0.35">
      <c r="A126" s="434" t="s">
        <v>1922</v>
      </c>
      <c r="B126" s="83">
        <v>22</v>
      </c>
      <c r="C126" s="83" t="str">
        <f t="shared" si="126"/>
        <v>4x400 (300)</v>
      </c>
      <c r="D126" s="83" t="str">
        <f>IFERROR(VLOOKUP($A126&amp;D$2&amp;$A103,downloads!$A:$D,3,FALSE),"")</f>
        <v>PEERS-WAIN Jacob</v>
      </c>
      <c r="E126" s="83" t="str">
        <f>IFERROR(VLOOKUP($A126&amp;D$2&amp;$A103,downloads!$A:$D,4,FALSE),"")</f>
        <v>MAZUREK Gracjan</v>
      </c>
      <c r="F126" s="83">
        <f>IFERROR(VLOOKUP($A126&amp;F$2&amp;$A103,downloads!$A:$D,3,FALSE),"")</f>
        <v>0</v>
      </c>
      <c r="G126" s="83">
        <f>IFERROR(VLOOKUP($A126&amp;F$2&amp;$A103,downloads!$A:$D,4,FALSE),"")</f>
        <v>0</v>
      </c>
      <c r="H126" s="83" t="str">
        <f>IFERROR(VLOOKUP($A126&amp;H$2&amp;$A103,downloads!$A:$D,3,FALSE),"")</f>
        <v>HANLEY Edward</v>
      </c>
      <c r="I126" s="83" t="str">
        <f>IFERROR(VLOOKUP($A126&amp;H$2&amp;$A103,downloads!$A:$D,4,FALSE),"")</f>
        <v>BROOKS Rory</v>
      </c>
      <c r="J126" s="83" t="str">
        <f>IFERROR(VLOOKUP($A126&amp;J$2&amp;$A103,downloads!$A:$D,3,FALSE),"")</f>
        <v>KAYE Charlie</v>
      </c>
      <c r="K126" s="83" t="str">
        <f>IFERROR(VLOOKUP($A126&amp;J$2&amp;$A103,downloads!$A:$D,4,FALSE),"")</f>
        <v>FRENCH William</v>
      </c>
      <c r="L126" s="83">
        <f>IFERROR(VLOOKUP($A126&amp;L$2&amp;$A103,downloads!$A:$D,3,FALSE),"")</f>
        <v>0</v>
      </c>
      <c r="M126" s="83">
        <f>IFERROR(VLOOKUP($A126&amp;L$2&amp;$A103,downloads!$A:$D,4,FALSE),"")</f>
        <v>0</v>
      </c>
      <c r="N126" s="83" t="str">
        <f>IFERROR(VLOOKUP($A126&amp;N$2&amp;$A103,downloads!$A:$D,3,FALSE),"")</f>
        <v/>
      </c>
      <c r="O126" s="83" t="str">
        <f>IFERROR(VLOOKUP($A126&amp;N$2&amp;$A103,downloads!$A:$D,4,FALSE),"")</f>
        <v/>
      </c>
      <c r="P126" s="83" t="str">
        <f>IFERROR(VLOOKUP($A126&amp;P$2&amp;$A103,downloads!$A:$D,3,FALSE),"")</f>
        <v/>
      </c>
      <c r="Q126" s="83" t="str">
        <f>IFERROR(VLOOKUP($A126&amp;P$2&amp;$A103,downloads!$A:$D,4,FALSE),"")</f>
        <v/>
      </c>
      <c r="R126" s="83" t="str">
        <f>IFERROR(VLOOKUP($A126&amp;R$2&amp;$A103,downloads!$A:$D,3,FALSE),"")</f>
        <v/>
      </c>
      <c r="S126" s="83" t="str">
        <f>IFERROR(VLOOKUP($A126&amp;R$2&amp;$A103,downloads!$A:$D,4,FALSE),"")</f>
        <v/>
      </c>
    </row>
    <row r="127" spans="1:19" x14ac:dyDescent="0.35">
      <c r="A127" s="83">
        <v>40</v>
      </c>
      <c r="C127" s="83" t="s">
        <v>887</v>
      </c>
    </row>
    <row r="128" spans="1:19" x14ac:dyDescent="0.35">
      <c r="A128" s="434" t="s">
        <v>1900</v>
      </c>
      <c r="B128" s="83">
        <v>0</v>
      </c>
      <c r="C128" s="83" t="str">
        <f>C4</f>
        <v>75 / 100</v>
      </c>
      <c r="D128" s="83" t="str">
        <f>IFERROR(VLOOKUP($A128&amp;D$2&amp;$A127,downloads!$A:$D,3,FALSE),"")</f>
        <v>BRIDDON Missy</v>
      </c>
      <c r="E128" s="83" t="str">
        <f>IFERROR(VLOOKUP($A128&amp;D$2&amp;$A127,downloads!$A:$D,4,FALSE),"")</f>
        <v>BAINES Lily</v>
      </c>
      <c r="F128" s="83" t="str">
        <f>IFERROR(VLOOKUP($A128&amp;F$2&amp;$A127,downloads!$A:$D,3,FALSE),"")</f>
        <v>MYCROFT Tilly</v>
      </c>
      <c r="G128" s="83" t="str">
        <f>IFERROR(VLOOKUP($A128&amp;F$2&amp;$A127,downloads!$A:$D,4,FALSE),"")</f>
        <v>JELONKIEWICZ Viktoria</v>
      </c>
      <c r="H128" s="83" t="str">
        <f>IFERROR(VLOOKUP($A128&amp;H$2&amp;$A127,downloads!$A:$D,3,FALSE),"")</f>
        <v>BROOKS Carmen</v>
      </c>
      <c r="I128" s="83" t="str">
        <f>IFERROR(VLOOKUP($A128&amp;H$2&amp;$A127,downloads!$A:$D,4,FALSE),"")</f>
        <v>HICKLING Rosie</v>
      </c>
      <c r="J128" s="83" t="str">
        <f>IFERROR(VLOOKUP($A128&amp;J$2&amp;$A127,downloads!$A:$D,3,FALSE),"")</f>
        <v>WYATT Martha</v>
      </c>
      <c r="K128" s="83" t="str">
        <f>IFERROR(VLOOKUP($A128&amp;J$2&amp;$A127,downloads!$A:$D,4,FALSE),"")</f>
        <v>GILLIS Madelaine</v>
      </c>
      <c r="L128" s="83" t="str">
        <f>IFERROR(VLOOKUP($A128&amp;L$2&amp;$A127,downloads!$A:$D,3,FALSE),"")</f>
        <v>-</v>
      </c>
      <c r="M128" s="83">
        <f>IFERROR(VLOOKUP($A128&amp;L$2&amp;$A127,downloads!$A:$D,4,FALSE),"")</f>
        <v>0</v>
      </c>
      <c r="N128" s="83" t="str">
        <f>IFERROR(VLOOKUP($A128&amp;N$2&amp;$A127,downloads!$A:$D,3,FALSE),"")</f>
        <v/>
      </c>
      <c r="O128" s="83" t="str">
        <f>IFERROR(VLOOKUP($A128&amp;N$2&amp;$A127,downloads!$A:$D,4,FALSE),"")</f>
        <v/>
      </c>
      <c r="P128" s="83" t="str">
        <f>IFERROR(VLOOKUP($A128&amp;P$2&amp;$A127,downloads!$A:$D,3,FALSE),"")</f>
        <v/>
      </c>
      <c r="Q128" s="83" t="str">
        <f>IFERROR(VLOOKUP($A128&amp;P$2&amp;$A127,downloads!$A:$D,4,FALSE),"")</f>
        <v/>
      </c>
      <c r="R128" s="83" t="str">
        <f>IFERROR(VLOOKUP($A128&amp;R$2&amp;$A127,downloads!$A:$D,3,FALSE),"")</f>
        <v/>
      </c>
      <c r="S128" s="83" t="str">
        <f>IFERROR(VLOOKUP($A128&amp;R$2&amp;$A127,downloads!$A:$D,4,FALSE),"")</f>
        <v/>
      </c>
    </row>
    <row r="129" spans="1:19" x14ac:dyDescent="0.35">
      <c r="A129" s="434" t="s">
        <v>1901</v>
      </c>
      <c r="B129" s="83">
        <v>1</v>
      </c>
      <c r="C129" s="83" t="str">
        <f t="shared" ref="C129:C150" si="127">C5</f>
        <v>75 / 100 NS</v>
      </c>
      <c r="D129" s="83">
        <f>IFERROR(VLOOKUP($A129&amp;D$2&amp;$A127,downloads!$A:$D,3,FALSE),"")</f>
        <v>0</v>
      </c>
      <c r="E129" s="83">
        <f>IFERROR(VLOOKUP($A129&amp;D$2&amp;$A127,downloads!$A:$D,4,FALSE),"")</f>
        <v>0</v>
      </c>
      <c r="F129" s="83">
        <f>IFERROR(VLOOKUP($A129&amp;F$2&amp;$A127,downloads!$A:$D,3,FALSE),"")</f>
        <v>0</v>
      </c>
      <c r="G129" s="83">
        <f>IFERROR(VLOOKUP($A129&amp;F$2&amp;$A127,downloads!$A:$D,4,FALSE),"")</f>
        <v>0</v>
      </c>
      <c r="H129" s="83" t="str">
        <f>IFERROR(VLOOKUP($A129&amp;H$2&amp;$A127,downloads!$A:$D,3,FALSE),"")</f>
        <v>HASTIE Eve</v>
      </c>
      <c r="I129" s="83" t="str">
        <f>IFERROR(VLOOKUP($A129&amp;H$2&amp;$A127,downloads!$A:$D,4,FALSE),"")</f>
        <v>CROSBY Alice</v>
      </c>
      <c r="J129" s="83" t="str">
        <f>IFERROR(VLOOKUP($A129&amp;J$2&amp;$A127,downloads!$A:$D,3,FALSE),"")</f>
        <v>OKEY Busonma</v>
      </c>
      <c r="K129" s="83" t="str">
        <f>IFERROR(VLOOKUP($A129&amp;J$2&amp;$A127,downloads!$A:$D,4,FALSE),"")</f>
        <v>ROBSON Daisy</v>
      </c>
      <c r="L129" s="83">
        <f>IFERROR(VLOOKUP($A129&amp;L$2&amp;$A127,downloads!$A:$D,3,FALSE),"")</f>
        <v>0</v>
      </c>
      <c r="M129" s="83">
        <f>IFERROR(VLOOKUP($A129&amp;L$2&amp;$A127,downloads!$A:$D,4,FALSE),"")</f>
        <v>0</v>
      </c>
      <c r="N129" s="83" t="str">
        <f>IFERROR(VLOOKUP($A129&amp;N$2&amp;$A127,downloads!$A:$D,3,FALSE),"")</f>
        <v/>
      </c>
      <c r="O129" s="83" t="str">
        <f>IFERROR(VLOOKUP($A129&amp;N$2&amp;$A127,downloads!$A:$D,4,FALSE),"")</f>
        <v/>
      </c>
      <c r="P129" s="83" t="str">
        <f>IFERROR(VLOOKUP($A129&amp;P$2&amp;$A127,downloads!$A:$D,3,FALSE),"")</f>
        <v/>
      </c>
      <c r="Q129" s="83" t="str">
        <f>IFERROR(VLOOKUP($A129&amp;P$2&amp;$A127,downloads!$A:$D,4,FALSE),"")</f>
        <v/>
      </c>
      <c r="R129" s="83" t="str">
        <f>IFERROR(VLOOKUP($A129&amp;R$2&amp;$A127,downloads!$A:$D,3,FALSE),"")</f>
        <v/>
      </c>
      <c r="S129" s="83" t="str">
        <f>IFERROR(VLOOKUP($A129&amp;R$2&amp;$A127,downloads!$A:$D,4,FALSE),"")</f>
        <v/>
      </c>
    </row>
    <row r="130" spans="1:19" x14ac:dyDescent="0.35">
      <c r="A130" s="434" t="s">
        <v>1902</v>
      </c>
      <c r="B130" s="83">
        <v>2</v>
      </c>
      <c r="C130" s="83" t="str">
        <f t="shared" si="127"/>
        <v>150 / 200</v>
      </c>
      <c r="D130" s="83" t="str">
        <f>IFERROR(VLOOKUP($A130&amp;D$2&amp;$A127,downloads!$A:$D,3,FALSE),"")</f>
        <v>BRIDDON Missy</v>
      </c>
      <c r="E130" s="83" t="str">
        <f>IFERROR(VLOOKUP($A130&amp;D$2&amp;$A127,downloads!$A:$D,4,FALSE),"")</f>
        <v>ROGERS Emily</v>
      </c>
      <c r="F130" s="83" t="str">
        <f>IFERROR(VLOOKUP($A130&amp;F$2&amp;$A127,downloads!$A:$D,3,FALSE),"")</f>
        <v>ADEBAYO Daphney</v>
      </c>
      <c r="G130" s="83" t="str">
        <f>IFERROR(VLOOKUP($A130&amp;F$2&amp;$A127,downloads!$A:$D,4,FALSE),"")</f>
        <v>PADDON Olivia</v>
      </c>
      <c r="H130" s="83" t="str">
        <f>IFERROR(VLOOKUP($A130&amp;H$2&amp;$A127,downloads!$A:$D,3,FALSE),"")</f>
        <v>HOGG Frances</v>
      </c>
      <c r="I130" s="83" t="str">
        <f>IFERROR(VLOOKUP($A130&amp;H$2&amp;$A127,downloads!$A:$D,4,FALSE),"")</f>
        <v>HASTIE Eve</v>
      </c>
      <c r="J130" s="83" t="str">
        <f>IFERROR(VLOOKUP($A130&amp;J$2&amp;$A127,downloads!$A:$D,3,FALSE),"")</f>
        <v>PYE Naiomi</v>
      </c>
      <c r="K130" s="83" t="str">
        <f>IFERROR(VLOOKUP($A130&amp;J$2&amp;$A127,downloads!$A:$D,4,FALSE),"")</f>
        <v>PYE Leoni</v>
      </c>
      <c r="L130" s="83" t="str">
        <f>IFERROR(VLOOKUP($A130&amp;L$2&amp;$A127,downloads!$A:$D,3,FALSE),"")</f>
        <v>LINGARD Alice</v>
      </c>
      <c r="M130" s="83" t="str">
        <f>IFERROR(VLOOKUP($A130&amp;L$2&amp;$A127,downloads!$A:$D,4,FALSE),"")</f>
        <v>-</v>
      </c>
      <c r="N130" s="83" t="str">
        <f>IFERROR(VLOOKUP($A130&amp;N$2&amp;$A127,downloads!$A:$D,3,FALSE),"")</f>
        <v/>
      </c>
      <c r="O130" s="83" t="str">
        <f>IFERROR(VLOOKUP($A130&amp;N$2&amp;$A127,downloads!$A:$D,4,FALSE),"")</f>
        <v/>
      </c>
      <c r="P130" s="83" t="str">
        <f>IFERROR(VLOOKUP($A130&amp;P$2&amp;$A127,downloads!$A:$D,3,FALSE),"")</f>
        <v/>
      </c>
      <c r="Q130" s="83" t="str">
        <f>IFERROR(VLOOKUP($A130&amp;P$2&amp;$A127,downloads!$A:$D,4,FALSE),"")</f>
        <v/>
      </c>
      <c r="R130" s="83" t="str">
        <f>IFERROR(VLOOKUP($A130&amp;R$2&amp;$A127,downloads!$A:$D,3,FALSE),"")</f>
        <v/>
      </c>
      <c r="S130" s="83" t="str">
        <f>IFERROR(VLOOKUP($A130&amp;R$2&amp;$A127,downloads!$A:$D,4,FALSE),"")</f>
        <v/>
      </c>
    </row>
    <row r="131" spans="1:19" x14ac:dyDescent="0.35">
      <c r="A131" s="434" t="s">
        <v>1903</v>
      </c>
      <c r="B131" s="83">
        <v>3</v>
      </c>
      <c r="C131" s="83" t="str">
        <f t="shared" si="127"/>
        <v>300 / 400</v>
      </c>
      <c r="D131" s="83" t="str">
        <f>IFERROR(VLOOKUP($A131&amp;D$2&amp;$A127,downloads!$A:$D,3,FALSE),"")</f>
        <v>MOODY Hannah</v>
      </c>
      <c r="E131" s="83" t="str">
        <f>IFERROR(VLOOKUP($A131&amp;D$2&amp;$A127,downloads!$A:$D,4,FALSE),"")</f>
        <v>PROCTOR Alicia</v>
      </c>
      <c r="F131" s="83">
        <f>IFERROR(VLOOKUP($A131&amp;F$2&amp;$A127,downloads!$A:$D,3,FALSE),"")</f>
        <v>0</v>
      </c>
      <c r="G131" s="83">
        <f>IFERROR(VLOOKUP($A131&amp;F$2&amp;$A127,downloads!$A:$D,4,FALSE),"")</f>
        <v>0</v>
      </c>
      <c r="H131" s="83" t="str">
        <f>IFERROR(VLOOKUP($A131&amp;H$2&amp;$A127,downloads!$A:$D,3,FALSE),"")</f>
        <v>WALSH Tierney</v>
      </c>
      <c r="I131" s="83" t="str">
        <f>IFERROR(VLOOKUP($A131&amp;H$2&amp;$A127,downloads!$A:$D,4,FALSE),"")</f>
        <v>COURTNEY Libby</v>
      </c>
      <c r="J131" s="83" t="str">
        <f>IFERROR(VLOOKUP($A131&amp;J$2&amp;$A127,downloads!$A:$D,3,FALSE),"")</f>
        <v>GILLIS Madelaine</v>
      </c>
      <c r="K131" s="83" t="str">
        <f>IFERROR(VLOOKUP($A131&amp;J$2&amp;$A127,downloads!$A:$D,4,FALSE),"")</f>
        <v>PYE Leoni</v>
      </c>
      <c r="L131" s="83" t="str">
        <f>IFERROR(VLOOKUP($A131&amp;L$2&amp;$A127,downloads!$A:$D,3,FALSE),"")</f>
        <v>WRIGHT Lucy</v>
      </c>
      <c r="M131" s="83">
        <f>IFERROR(VLOOKUP($A131&amp;L$2&amp;$A127,downloads!$A:$D,4,FALSE),"")</f>
        <v>0</v>
      </c>
      <c r="N131" s="83" t="str">
        <f>IFERROR(VLOOKUP($A131&amp;N$2&amp;$A127,downloads!$A:$D,3,FALSE),"")</f>
        <v/>
      </c>
      <c r="O131" s="83" t="str">
        <f>IFERROR(VLOOKUP($A131&amp;N$2&amp;$A127,downloads!$A:$D,4,FALSE),"")</f>
        <v/>
      </c>
      <c r="P131" s="83" t="str">
        <f>IFERROR(VLOOKUP($A131&amp;P$2&amp;$A127,downloads!$A:$D,3,FALSE),"")</f>
        <v/>
      </c>
      <c r="Q131" s="83" t="str">
        <f>IFERROR(VLOOKUP($A131&amp;P$2&amp;$A127,downloads!$A:$D,4,FALSE),"")</f>
        <v/>
      </c>
      <c r="R131" s="83" t="str">
        <f>IFERROR(VLOOKUP($A131&amp;R$2&amp;$A127,downloads!$A:$D,3,FALSE),"")</f>
        <v/>
      </c>
      <c r="S131" s="83" t="str">
        <f>IFERROR(VLOOKUP($A131&amp;R$2&amp;$A127,downloads!$A:$D,4,FALSE),"")</f>
        <v/>
      </c>
    </row>
    <row r="132" spans="1:19" x14ac:dyDescent="0.35">
      <c r="A132" s="434" t="s">
        <v>1904</v>
      </c>
      <c r="B132" s="83">
        <v>4</v>
      </c>
      <c r="C132" s="83">
        <f t="shared" si="127"/>
        <v>800</v>
      </c>
      <c r="D132" s="83" t="str">
        <f>IFERROR(VLOOKUP($A132&amp;D$2&amp;$A127,downloads!$A:$D,3,FALSE),"")</f>
        <v>PROCTOR Alicia</v>
      </c>
      <c r="E132" s="83" t="str">
        <f>IFERROR(VLOOKUP($A132&amp;D$2&amp;$A127,downloads!$A:$D,4,FALSE),"")</f>
        <v>DUNKLEY Autum</v>
      </c>
      <c r="F132" s="83" t="str">
        <f>IFERROR(VLOOKUP($A132&amp;F$2&amp;$A127,downloads!$A:$D,3,FALSE),"")</f>
        <v>EVANS Rebecca</v>
      </c>
      <c r="G132" s="83" t="str">
        <f>IFERROR(VLOOKUP($A132&amp;F$2&amp;$A127,downloads!$A:$D,4,FALSE),"")</f>
        <v>FLINDERS Agnes</v>
      </c>
      <c r="H132" s="83" t="str">
        <f>IFERROR(VLOOKUP($A132&amp;H$2&amp;$A127,downloads!$A:$D,3,FALSE),"")</f>
        <v>WALSH Tierney</v>
      </c>
      <c r="I132" s="83" t="str">
        <f>IFERROR(VLOOKUP($A132&amp;H$2&amp;$A127,downloads!$A:$D,4,FALSE),"")</f>
        <v>HOGG Frances</v>
      </c>
      <c r="J132" s="83" t="str">
        <f>IFERROR(VLOOKUP($A132&amp;J$2&amp;$A127,downloads!$A:$D,3,FALSE),"")</f>
        <v>CREASEY Lois</v>
      </c>
      <c r="K132" s="83" t="str">
        <f>IFERROR(VLOOKUP($A132&amp;J$2&amp;$A127,downloads!$A:$D,4,FALSE),"")</f>
        <v>LILLIE Imogen</v>
      </c>
      <c r="L132" s="83" t="str">
        <f>IFERROR(VLOOKUP($A132&amp;L$2&amp;$A127,downloads!$A:$D,3,FALSE),"")</f>
        <v>WRIGHT Lucy</v>
      </c>
      <c r="M132" s="83" t="str">
        <f>IFERROR(VLOOKUP($A132&amp;L$2&amp;$A127,downloads!$A:$D,4,FALSE),"")</f>
        <v>BETTS Demi</v>
      </c>
      <c r="N132" s="83" t="str">
        <f>IFERROR(VLOOKUP($A132&amp;N$2&amp;$A127,downloads!$A:$D,3,FALSE),"")</f>
        <v/>
      </c>
      <c r="O132" s="83" t="str">
        <f>IFERROR(VLOOKUP($A132&amp;N$2&amp;$A127,downloads!$A:$D,4,FALSE),"")</f>
        <v/>
      </c>
      <c r="P132" s="83" t="str">
        <f>IFERROR(VLOOKUP($A132&amp;P$2&amp;$A127,downloads!$A:$D,3,FALSE),"")</f>
        <v/>
      </c>
      <c r="Q132" s="83" t="str">
        <f>IFERROR(VLOOKUP($A132&amp;P$2&amp;$A127,downloads!$A:$D,4,FALSE),"")</f>
        <v/>
      </c>
      <c r="R132" s="83" t="str">
        <f>IFERROR(VLOOKUP($A132&amp;R$2&amp;$A127,downloads!$A:$D,3,FALSE),"")</f>
        <v/>
      </c>
      <c r="S132" s="83" t="str">
        <f>IFERROR(VLOOKUP($A132&amp;R$2&amp;$A127,downloads!$A:$D,4,FALSE),"")</f>
        <v/>
      </c>
    </row>
    <row r="133" spans="1:19" x14ac:dyDescent="0.35">
      <c r="A133" s="434" t="s">
        <v>1905</v>
      </c>
      <c r="B133" s="83">
        <v>5</v>
      </c>
      <c r="C133" s="83" t="str">
        <f t="shared" si="127"/>
        <v>800 NS</v>
      </c>
      <c r="D133" s="83">
        <f>IFERROR(VLOOKUP($A133&amp;D$2&amp;$A127,downloads!$A:$D,3,FALSE),"")</f>
        <v>0</v>
      </c>
      <c r="E133" s="83">
        <f>IFERROR(VLOOKUP($A133&amp;D$2&amp;$A127,downloads!$A:$D,4,FALSE),"")</f>
        <v>0</v>
      </c>
      <c r="F133" s="83">
        <f>IFERROR(VLOOKUP($A133&amp;F$2&amp;$A127,downloads!$A:$D,3,FALSE),"")</f>
        <v>0</v>
      </c>
      <c r="G133" s="83">
        <f>IFERROR(VLOOKUP($A133&amp;F$2&amp;$A127,downloads!$A:$D,4,FALSE),"")</f>
        <v>0</v>
      </c>
      <c r="H133" s="83" t="str">
        <f>IFERROR(VLOOKUP($A133&amp;H$2&amp;$A127,downloads!$A:$D,3,FALSE),"")</f>
        <v>-</v>
      </c>
      <c r="I133" s="83" t="str">
        <f>IFERROR(VLOOKUP($A133&amp;H$2&amp;$A127,downloads!$A:$D,4,FALSE),"")</f>
        <v>-</v>
      </c>
      <c r="J133" s="83" t="str">
        <f>IFERROR(VLOOKUP($A133&amp;J$2&amp;$A127,downloads!$A:$D,3,FALSE),"")</f>
        <v>-</v>
      </c>
      <c r="K133" s="83" t="str">
        <f>IFERROR(VLOOKUP($A133&amp;J$2&amp;$A127,downloads!$A:$D,4,FALSE),"")</f>
        <v>-</v>
      </c>
      <c r="L133" s="83">
        <f>IFERROR(VLOOKUP($A133&amp;L$2&amp;$A127,downloads!$A:$D,3,FALSE),"")</f>
        <v>0</v>
      </c>
      <c r="M133" s="83">
        <f>IFERROR(VLOOKUP($A133&amp;L$2&amp;$A127,downloads!$A:$D,4,FALSE),"")</f>
        <v>0</v>
      </c>
      <c r="N133" s="83" t="str">
        <f>IFERROR(VLOOKUP($A133&amp;N$2&amp;$A127,downloads!$A:$D,3,FALSE),"")</f>
        <v/>
      </c>
      <c r="O133" s="83" t="str">
        <f>IFERROR(VLOOKUP($A133&amp;N$2&amp;$A127,downloads!$A:$D,4,FALSE),"")</f>
        <v/>
      </c>
      <c r="P133" s="83" t="str">
        <f>IFERROR(VLOOKUP($A133&amp;P$2&amp;$A127,downloads!$A:$D,3,FALSE),"")</f>
        <v/>
      </c>
      <c r="Q133" s="83" t="str">
        <f>IFERROR(VLOOKUP($A133&amp;P$2&amp;$A127,downloads!$A:$D,4,FALSE),"")</f>
        <v/>
      </c>
      <c r="R133" s="83" t="str">
        <f>IFERROR(VLOOKUP($A133&amp;R$2&amp;$A127,downloads!$A:$D,3,FALSE),"")</f>
        <v/>
      </c>
      <c r="S133" s="83" t="str">
        <f>IFERROR(VLOOKUP($A133&amp;R$2&amp;$A127,downloads!$A:$D,4,FALSE),"")</f>
        <v/>
      </c>
    </row>
    <row r="134" spans="1:19" x14ac:dyDescent="0.35">
      <c r="A134" s="434" t="s">
        <v>1906</v>
      </c>
      <c r="B134" s="83">
        <v>6</v>
      </c>
      <c r="C134" s="83" t="str">
        <f t="shared" si="127"/>
        <v>1200 / 1500</v>
      </c>
      <c r="D134" s="83" t="str">
        <f>IFERROR(VLOOKUP($A134&amp;D$2&amp;$A127,downloads!$A:$D,3,FALSE),"")</f>
        <v>KIRKWOOD Eva</v>
      </c>
      <c r="E134" s="83" t="str">
        <f>IFERROR(VLOOKUP($A134&amp;D$2&amp;$A127,downloads!$A:$D,4,FALSE),"")</f>
        <v>-</v>
      </c>
      <c r="F134" s="83">
        <f>IFERROR(VLOOKUP($A134&amp;F$2&amp;$A127,downloads!$A:$D,3,FALSE),"")</f>
        <v>0</v>
      </c>
      <c r="G134" s="83">
        <f>IFERROR(VLOOKUP($A134&amp;F$2&amp;$A127,downloads!$A:$D,4,FALSE),"")</f>
        <v>0</v>
      </c>
      <c r="H134" s="83" t="str">
        <f>IFERROR(VLOOKUP($A134&amp;H$2&amp;$A127,downloads!$A:$D,3,FALSE),"")</f>
        <v>GASKIN Lucy</v>
      </c>
      <c r="I134" s="83" t="str">
        <f>IFERROR(VLOOKUP($A134&amp;H$2&amp;$A127,downloads!$A:$D,4,FALSE),"")</f>
        <v>COURTNEY Libby</v>
      </c>
      <c r="J134" s="83" t="str">
        <f>IFERROR(VLOOKUP($A134&amp;J$2&amp;$A127,downloads!$A:$D,3,FALSE),"")</f>
        <v>MCNEILL Emma</v>
      </c>
      <c r="K134" s="83" t="str">
        <f>IFERROR(VLOOKUP($A134&amp;J$2&amp;$A127,downloads!$A:$D,4,FALSE),"")</f>
        <v>HILL Zoe</v>
      </c>
      <c r="L134" s="83" t="str">
        <f>IFERROR(VLOOKUP($A134&amp;L$2&amp;$A127,downloads!$A:$D,3,FALSE),"")</f>
        <v>VICKERS Cerys</v>
      </c>
      <c r="M134" s="83" t="str">
        <f>IFERROR(VLOOKUP($A134&amp;L$2&amp;$A127,downloads!$A:$D,4,FALSE),"")</f>
        <v>WHITTAKER Millie</v>
      </c>
      <c r="N134" s="83" t="str">
        <f>IFERROR(VLOOKUP($A134&amp;N$2&amp;$A127,downloads!$A:$D,3,FALSE),"")</f>
        <v/>
      </c>
      <c r="O134" s="83" t="str">
        <f>IFERROR(VLOOKUP($A134&amp;N$2&amp;$A127,downloads!$A:$D,4,FALSE),"")</f>
        <v/>
      </c>
      <c r="P134" s="83" t="str">
        <f>IFERROR(VLOOKUP($A134&amp;P$2&amp;$A127,downloads!$A:$D,3,FALSE),"")</f>
        <v/>
      </c>
      <c r="Q134" s="83" t="str">
        <f>IFERROR(VLOOKUP($A134&amp;P$2&amp;$A127,downloads!$A:$D,4,FALSE),"")</f>
        <v/>
      </c>
      <c r="R134" s="83" t="str">
        <f>IFERROR(VLOOKUP($A134&amp;R$2&amp;$A127,downloads!$A:$D,3,FALSE),"")</f>
        <v/>
      </c>
      <c r="S134" s="83" t="str">
        <f>IFERROR(VLOOKUP($A134&amp;R$2&amp;$A127,downloads!$A:$D,4,FALSE),"")</f>
        <v/>
      </c>
    </row>
    <row r="135" spans="1:19" x14ac:dyDescent="0.35">
      <c r="A135" s="434" t="s">
        <v>1907</v>
      </c>
      <c r="B135" s="83">
        <v>7</v>
      </c>
      <c r="C135" s="83" t="str">
        <f t="shared" si="127"/>
        <v>Sprint Hurdles</v>
      </c>
      <c r="D135" s="83" t="str">
        <f>IFERROR(VLOOKUP($A135&amp;D$2&amp;$A127,downloads!$A:$D,3,FALSE),"")</f>
        <v>LABAN Ella</v>
      </c>
      <c r="E135" s="83" t="str">
        <f>IFERROR(VLOOKUP($A135&amp;D$2&amp;$A127,downloads!$A:$D,4,FALSE),"")</f>
        <v>ROGERS Emily</v>
      </c>
      <c r="F135" s="83" t="str">
        <f>IFERROR(VLOOKUP($A135&amp;F$2&amp;$A127,downloads!$A:$D,3,FALSE),"")</f>
        <v>PADDON Freya</v>
      </c>
      <c r="G135" s="83" t="str">
        <f>IFERROR(VLOOKUP($A135&amp;F$2&amp;$A127,downloads!$A:$D,4,FALSE),"")</f>
        <v>PADDON Olivia</v>
      </c>
      <c r="H135" s="83" t="str">
        <f>IFERROR(VLOOKUP($A135&amp;H$2&amp;$A127,downloads!$A:$D,3,FALSE),"")</f>
        <v>MAUDE Charlotte</v>
      </c>
      <c r="I135" s="83" t="str">
        <f>IFERROR(VLOOKUP($A135&amp;H$2&amp;$A127,downloads!$A:$D,4,FALSE),"")</f>
        <v>CROSSAN Lily</v>
      </c>
      <c r="J135" s="83" t="str">
        <f>IFERROR(VLOOKUP($A135&amp;J$2&amp;$A127,downloads!$A:$D,3,FALSE),"")</f>
        <v>-</v>
      </c>
      <c r="K135" s="83" t="str">
        <f>IFERROR(VLOOKUP($A135&amp;J$2&amp;$A127,downloads!$A:$D,4,FALSE),"")</f>
        <v>-</v>
      </c>
      <c r="L135" s="83" t="str">
        <f>IFERROR(VLOOKUP($A135&amp;L$2&amp;$A127,downloads!$A:$D,3,FALSE),"")</f>
        <v>-</v>
      </c>
      <c r="M135" s="83">
        <f>IFERROR(VLOOKUP($A135&amp;L$2&amp;$A127,downloads!$A:$D,4,FALSE),"")</f>
        <v>0</v>
      </c>
      <c r="N135" s="83" t="str">
        <f>IFERROR(VLOOKUP($A135&amp;N$2&amp;$A127,downloads!$A:$D,3,FALSE),"")</f>
        <v/>
      </c>
      <c r="O135" s="83" t="str">
        <f>IFERROR(VLOOKUP($A135&amp;N$2&amp;$A127,downloads!$A:$D,4,FALSE),"")</f>
        <v/>
      </c>
      <c r="P135" s="83" t="str">
        <f>IFERROR(VLOOKUP($A135&amp;P$2&amp;$A127,downloads!$A:$D,3,FALSE),"")</f>
        <v/>
      </c>
      <c r="Q135" s="83" t="str">
        <f>IFERROR(VLOOKUP($A135&amp;P$2&amp;$A127,downloads!$A:$D,4,FALSE),"")</f>
        <v/>
      </c>
      <c r="R135" s="83" t="str">
        <f>IFERROR(VLOOKUP($A135&amp;R$2&amp;$A127,downloads!$A:$D,3,FALSE),"")</f>
        <v/>
      </c>
      <c r="S135" s="83" t="str">
        <f>IFERROR(VLOOKUP($A135&amp;R$2&amp;$A127,downloads!$A:$D,4,FALSE),"")</f>
        <v/>
      </c>
    </row>
    <row r="136" spans="1:19" x14ac:dyDescent="0.35">
      <c r="A136" s="434" t="s">
        <v>1908</v>
      </c>
      <c r="B136" s="83">
        <v>8</v>
      </c>
      <c r="C136" s="83">
        <f t="shared" si="127"/>
        <v>3000</v>
      </c>
      <c r="D136" s="83">
        <f>IFERROR(VLOOKUP($A136&amp;D$2&amp;$A127,downloads!$A:$D,3,FALSE),"")</f>
        <v>0</v>
      </c>
      <c r="E136" s="83">
        <f>IFERROR(VLOOKUP($A136&amp;D$2&amp;$A127,downloads!$A:$D,4,FALSE),"")</f>
        <v>0</v>
      </c>
      <c r="F136" s="83">
        <f>IFERROR(VLOOKUP($A136&amp;F$2&amp;$A127,downloads!$A:$D,3,FALSE),"")</f>
        <v>0</v>
      </c>
      <c r="G136" s="83">
        <f>IFERROR(VLOOKUP($A136&amp;F$2&amp;$A127,downloads!$A:$D,4,FALSE),"")</f>
        <v>0</v>
      </c>
      <c r="H136" s="83">
        <f>IFERROR(VLOOKUP($A136&amp;H$2&amp;$A127,downloads!$A:$D,3,FALSE),"")</f>
        <v>0</v>
      </c>
      <c r="I136" s="83">
        <f>IFERROR(VLOOKUP($A136&amp;H$2&amp;$A127,downloads!$A:$D,4,FALSE),"")</f>
        <v>0</v>
      </c>
      <c r="J136" s="83">
        <f>IFERROR(VLOOKUP($A136&amp;J$2&amp;$A127,downloads!$A:$D,3,FALSE),"")</f>
        <v>0</v>
      </c>
      <c r="K136" s="83">
        <f>IFERROR(VLOOKUP($A136&amp;J$2&amp;$A127,downloads!$A:$D,4,FALSE),"")</f>
        <v>0</v>
      </c>
      <c r="L136" s="83">
        <f>IFERROR(VLOOKUP($A136&amp;L$2&amp;$A127,downloads!$A:$D,3,FALSE),"")</f>
        <v>0</v>
      </c>
      <c r="M136" s="83">
        <f>IFERROR(VLOOKUP($A136&amp;L$2&amp;$A127,downloads!$A:$D,4,FALSE),"")</f>
        <v>0</v>
      </c>
      <c r="N136" s="83" t="str">
        <f>IFERROR(VLOOKUP($A136&amp;N$2&amp;$A127,downloads!$A:$D,3,FALSE),"")</f>
        <v/>
      </c>
      <c r="O136" s="83" t="str">
        <f>IFERROR(VLOOKUP($A136&amp;N$2&amp;$A127,downloads!$A:$D,4,FALSE),"")</f>
        <v/>
      </c>
      <c r="P136" s="83" t="str">
        <f>IFERROR(VLOOKUP($A136&amp;P$2&amp;$A127,downloads!$A:$D,3,FALSE),"")</f>
        <v/>
      </c>
      <c r="Q136" s="83" t="str">
        <f>IFERROR(VLOOKUP($A136&amp;P$2&amp;$A127,downloads!$A:$D,4,FALSE),"")</f>
        <v/>
      </c>
      <c r="R136" s="83" t="str">
        <f>IFERROR(VLOOKUP($A136&amp;R$2&amp;$A127,downloads!$A:$D,3,FALSE),"")</f>
        <v/>
      </c>
      <c r="S136" s="83" t="str">
        <f>IFERROR(VLOOKUP($A136&amp;R$2&amp;$A127,downloads!$A:$D,4,FALSE),"")</f>
        <v/>
      </c>
    </row>
    <row r="137" spans="1:19" x14ac:dyDescent="0.35">
      <c r="A137" s="434" t="s">
        <v>1909</v>
      </c>
      <c r="B137" s="83">
        <v>9</v>
      </c>
      <c r="C137" s="83" t="str">
        <f t="shared" si="127"/>
        <v>Steeplechase</v>
      </c>
      <c r="D137" s="83">
        <f>IFERROR(VLOOKUP($A137&amp;D$2&amp;$A127,downloads!$A:$D,3,FALSE),"")</f>
        <v>0</v>
      </c>
      <c r="E137" s="83">
        <f>IFERROR(VLOOKUP($A137&amp;D$2&amp;$A127,downloads!$A:$D,4,FALSE),"")</f>
        <v>0</v>
      </c>
      <c r="F137" s="83">
        <f>IFERROR(VLOOKUP($A137&amp;F$2&amp;$A127,downloads!$A:$D,3,FALSE),"")</f>
        <v>0</v>
      </c>
      <c r="G137" s="83">
        <f>IFERROR(VLOOKUP($A137&amp;F$2&amp;$A127,downloads!$A:$D,4,FALSE),"")</f>
        <v>0</v>
      </c>
      <c r="H137" s="83">
        <f>IFERROR(VLOOKUP($A137&amp;H$2&amp;$A127,downloads!$A:$D,3,FALSE),"")</f>
        <v>0</v>
      </c>
      <c r="I137" s="83">
        <f>IFERROR(VLOOKUP($A137&amp;H$2&amp;$A127,downloads!$A:$D,4,FALSE),"")</f>
        <v>0</v>
      </c>
      <c r="J137" s="83">
        <f>IFERROR(VLOOKUP($A137&amp;J$2&amp;$A127,downloads!$A:$D,3,FALSE),"")</f>
        <v>0</v>
      </c>
      <c r="K137" s="83">
        <f>IFERROR(VLOOKUP($A137&amp;J$2&amp;$A127,downloads!$A:$D,4,FALSE),"")</f>
        <v>0</v>
      </c>
      <c r="L137" s="83">
        <f>IFERROR(VLOOKUP($A137&amp;L$2&amp;$A127,downloads!$A:$D,3,FALSE),"")</f>
        <v>0</v>
      </c>
      <c r="M137" s="83">
        <f>IFERROR(VLOOKUP($A137&amp;L$2&amp;$A127,downloads!$A:$D,4,FALSE),"")</f>
        <v>0</v>
      </c>
      <c r="N137" s="83" t="str">
        <f>IFERROR(VLOOKUP($A137&amp;N$2&amp;$A127,downloads!$A:$D,3,FALSE),"")</f>
        <v/>
      </c>
      <c r="O137" s="83" t="str">
        <f>IFERROR(VLOOKUP($A137&amp;N$2&amp;$A127,downloads!$A:$D,4,FALSE),"")</f>
        <v/>
      </c>
      <c r="P137" s="83" t="str">
        <f>IFERROR(VLOOKUP($A137&amp;P$2&amp;$A127,downloads!$A:$D,3,FALSE),"")</f>
        <v/>
      </c>
      <c r="Q137" s="83" t="str">
        <f>IFERROR(VLOOKUP($A137&amp;P$2&amp;$A127,downloads!$A:$D,4,FALSE),"")</f>
        <v/>
      </c>
      <c r="R137" s="83" t="str">
        <f>IFERROR(VLOOKUP($A137&amp;R$2&amp;$A127,downloads!$A:$D,3,FALSE),"")</f>
        <v/>
      </c>
      <c r="S137" s="83" t="str">
        <f>IFERROR(VLOOKUP($A137&amp;R$2&amp;$A127,downloads!$A:$D,4,FALSE),"")</f>
        <v/>
      </c>
    </row>
    <row r="138" spans="1:19" x14ac:dyDescent="0.35">
      <c r="A138" s="434" t="s">
        <v>1910</v>
      </c>
      <c r="B138" s="83">
        <v>10</v>
      </c>
      <c r="C138" s="83" t="str">
        <f t="shared" si="127"/>
        <v>Distance Hurdles</v>
      </c>
      <c r="D138" s="83">
        <f>IFERROR(VLOOKUP($A138&amp;D$2&amp;$A127,downloads!$A:$D,3,FALSE),"")</f>
        <v>0</v>
      </c>
      <c r="E138" s="83">
        <f>IFERROR(VLOOKUP($A138&amp;D$2&amp;$A127,downloads!$A:$D,4,FALSE),"")</f>
        <v>0</v>
      </c>
      <c r="F138" s="83">
        <f>IFERROR(VLOOKUP($A138&amp;F$2&amp;$A127,downloads!$A:$D,3,FALSE),"")</f>
        <v>0</v>
      </c>
      <c r="G138" s="83">
        <f>IFERROR(VLOOKUP($A138&amp;F$2&amp;$A127,downloads!$A:$D,4,FALSE),"")</f>
        <v>0</v>
      </c>
      <c r="H138" s="83">
        <f>IFERROR(VLOOKUP($A138&amp;H$2&amp;$A127,downloads!$A:$D,3,FALSE),"")</f>
        <v>0</v>
      </c>
      <c r="I138" s="83">
        <f>IFERROR(VLOOKUP($A138&amp;H$2&amp;$A127,downloads!$A:$D,4,FALSE),"")</f>
        <v>0</v>
      </c>
      <c r="J138" s="83">
        <f>IFERROR(VLOOKUP($A138&amp;J$2&amp;$A127,downloads!$A:$D,3,FALSE),"")</f>
        <v>0</v>
      </c>
      <c r="K138" s="83">
        <f>IFERROR(VLOOKUP($A138&amp;J$2&amp;$A127,downloads!$A:$D,4,FALSE),"")</f>
        <v>0</v>
      </c>
      <c r="L138" s="83">
        <f>IFERROR(VLOOKUP($A138&amp;L$2&amp;$A127,downloads!$A:$D,3,FALSE),"")</f>
        <v>0</v>
      </c>
      <c r="M138" s="83">
        <f>IFERROR(VLOOKUP($A138&amp;L$2&amp;$A127,downloads!$A:$D,4,FALSE),"")</f>
        <v>0</v>
      </c>
      <c r="N138" s="83" t="str">
        <f>IFERROR(VLOOKUP($A138&amp;N$2&amp;$A127,downloads!$A:$D,3,FALSE),"")</f>
        <v/>
      </c>
      <c r="O138" s="83" t="str">
        <f>IFERROR(VLOOKUP($A138&amp;N$2&amp;$A127,downloads!$A:$D,4,FALSE),"")</f>
        <v/>
      </c>
      <c r="P138" s="83" t="str">
        <f>IFERROR(VLOOKUP($A138&amp;P$2&amp;$A127,downloads!$A:$D,3,FALSE),"")</f>
        <v/>
      </c>
      <c r="Q138" s="83" t="str">
        <f>IFERROR(VLOOKUP($A138&amp;P$2&amp;$A127,downloads!$A:$D,4,FALSE),"")</f>
        <v/>
      </c>
      <c r="R138" s="83" t="str">
        <f>IFERROR(VLOOKUP($A138&amp;R$2&amp;$A127,downloads!$A:$D,3,FALSE),"")</f>
        <v/>
      </c>
      <c r="S138" s="83" t="str">
        <f>IFERROR(VLOOKUP($A138&amp;R$2&amp;$A127,downloads!$A:$D,4,FALSE),"")</f>
        <v/>
      </c>
    </row>
    <row r="139" spans="1:19" x14ac:dyDescent="0.35">
      <c r="A139" s="434" t="s">
        <v>1911</v>
      </c>
      <c r="B139" s="83">
        <v>11</v>
      </c>
      <c r="C139" s="83" t="str">
        <f t="shared" si="127"/>
        <v>Discus</v>
      </c>
      <c r="D139" s="83" t="str">
        <f>IFERROR(VLOOKUP($A139&amp;D$2&amp;$A127,downloads!$A:$D,3,FALSE),"")</f>
        <v>LABAN Ella</v>
      </c>
      <c r="E139" s="83" t="str">
        <f>IFERROR(VLOOKUP($A139&amp;D$2&amp;$A127,downloads!$A:$D,4,FALSE),"")</f>
        <v>HIGHAM Ruby</v>
      </c>
      <c r="F139" s="83" t="str">
        <f>IFERROR(VLOOKUP($A139&amp;F$2&amp;$A127,downloads!$A:$D,3,FALSE),"")</f>
        <v>KYNOCH Ella</v>
      </c>
      <c r="G139" s="83" t="str">
        <f>IFERROR(VLOOKUP($A139&amp;F$2&amp;$A127,downloads!$A:$D,4,FALSE),"")</f>
        <v>JELONKIEWICZ Viktoria</v>
      </c>
      <c r="H139" s="83" t="str">
        <f>IFERROR(VLOOKUP($A139&amp;H$2&amp;$A127,downloads!$A:$D,3,FALSE),"")</f>
        <v>BROOKS Carmen</v>
      </c>
      <c r="I139" s="83" t="str">
        <f>IFERROR(VLOOKUP($A139&amp;H$2&amp;$A127,downloads!$A:$D,4,FALSE),"")</f>
        <v>LEE Isabel</v>
      </c>
      <c r="J139" s="83" t="str">
        <f>IFERROR(VLOOKUP($A139&amp;J$2&amp;$A127,downloads!$A:$D,3,FALSE),"")</f>
        <v>DORAN Bethany</v>
      </c>
      <c r="K139" s="83" t="str">
        <f>IFERROR(VLOOKUP($A139&amp;J$2&amp;$A127,downloads!$A:$D,4,FALSE),"")</f>
        <v>MANNION Grace</v>
      </c>
      <c r="L139" s="83" t="str">
        <f>IFERROR(VLOOKUP($A139&amp;L$2&amp;$A127,downloads!$A:$D,3,FALSE),"")</f>
        <v>THIRKETTLE Charlotte</v>
      </c>
      <c r="M139" s="83" t="str">
        <f>IFERROR(VLOOKUP($A139&amp;L$2&amp;$A127,downloads!$A:$D,4,FALSE),"")</f>
        <v>-</v>
      </c>
      <c r="N139" s="83" t="str">
        <f>IFERROR(VLOOKUP($A139&amp;N$2&amp;$A127,downloads!$A:$D,3,FALSE),"")</f>
        <v/>
      </c>
      <c r="O139" s="83" t="str">
        <f>IFERROR(VLOOKUP($A139&amp;N$2&amp;$A127,downloads!$A:$D,4,FALSE),"")</f>
        <v/>
      </c>
      <c r="P139" s="83" t="str">
        <f>IFERROR(VLOOKUP($A139&amp;P$2&amp;$A127,downloads!$A:$D,3,FALSE),"")</f>
        <v/>
      </c>
      <c r="Q139" s="83" t="str">
        <f>IFERROR(VLOOKUP($A139&amp;P$2&amp;$A127,downloads!$A:$D,4,FALSE),"")</f>
        <v/>
      </c>
      <c r="R139" s="83" t="str">
        <f>IFERROR(VLOOKUP($A139&amp;R$2&amp;$A127,downloads!$A:$D,3,FALSE),"")</f>
        <v/>
      </c>
      <c r="S139" s="83" t="str">
        <f>IFERROR(VLOOKUP($A139&amp;R$2&amp;$A127,downloads!$A:$D,4,FALSE),"")</f>
        <v/>
      </c>
    </row>
    <row r="140" spans="1:19" x14ac:dyDescent="0.35">
      <c r="A140" s="434" t="s">
        <v>1912</v>
      </c>
      <c r="B140" s="83">
        <v>12</v>
      </c>
      <c r="C140" s="83" t="str">
        <f t="shared" si="127"/>
        <v>Hammer</v>
      </c>
      <c r="D140" s="83" t="str">
        <f>IFERROR(VLOOKUP($A140&amp;D$2&amp;$A127,downloads!$A:$D,3,FALSE),"")</f>
        <v>LABAN Ella</v>
      </c>
      <c r="E140" s="83" t="str">
        <f>IFERROR(VLOOKUP($A140&amp;D$2&amp;$A127,downloads!$A:$D,4,FALSE),"")</f>
        <v>HIGHAM Ruby</v>
      </c>
      <c r="F140" s="83" t="str">
        <f>IFERROR(VLOOKUP($A140&amp;F$2&amp;$A127,downloads!$A:$D,3,FALSE),"")</f>
        <v>KYNOCH Ella</v>
      </c>
      <c r="G140" s="83" t="str">
        <f>IFERROR(VLOOKUP($A140&amp;F$2&amp;$A127,downloads!$A:$D,4,FALSE),"")</f>
        <v>PADDON Freya</v>
      </c>
      <c r="H140" s="83" t="str">
        <f>IFERROR(VLOOKUP($A140&amp;H$2&amp;$A127,downloads!$A:$D,3,FALSE),"")</f>
        <v>-</v>
      </c>
      <c r="I140" s="83" t="str">
        <f>IFERROR(VLOOKUP($A140&amp;H$2&amp;$A127,downloads!$A:$D,4,FALSE),"")</f>
        <v>-</v>
      </c>
      <c r="J140" s="83" t="str">
        <f>IFERROR(VLOOKUP($A140&amp;J$2&amp;$A127,downloads!$A:$D,3,FALSE),"")</f>
        <v>-</v>
      </c>
      <c r="K140" s="83" t="str">
        <f>IFERROR(VLOOKUP($A140&amp;J$2&amp;$A127,downloads!$A:$D,4,FALSE),"")</f>
        <v>-</v>
      </c>
      <c r="L140" s="83" t="str">
        <f>IFERROR(VLOOKUP($A140&amp;L$2&amp;$A127,downloads!$A:$D,3,FALSE),"")</f>
        <v>LOVE Katie</v>
      </c>
      <c r="M140" s="83" t="str">
        <f>IFERROR(VLOOKUP($A140&amp;L$2&amp;$A127,downloads!$A:$D,4,FALSE),"")</f>
        <v>BETTS Demi</v>
      </c>
      <c r="N140" s="83" t="str">
        <f>IFERROR(VLOOKUP($A140&amp;N$2&amp;$A127,downloads!$A:$D,3,FALSE),"")</f>
        <v/>
      </c>
      <c r="O140" s="83" t="str">
        <f>IFERROR(VLOOKUP($A140&amp;N$2&amp;$A127,downloads!$A:$D,4,FALSE),"")</f>
        <v/>
      </c>
      <c r="P140" s="83" t="str">
        <f>IFERROR(VLOOKUP($A140&amp;P$2&amp;$A127,downloads!$A:$D,3,FALSE),"")</f>
        <v/>
      </c>
      <c r="Q140" s="83" t="str">
        <f>IFERROR(VLOOKUP($A140&amp;P$2&amp;$A127,downloads!$A:$D,4,FALSE),"")</f>
        <v/>
      </c>
      <c r="R140" s="83" t="str">
        <f>IFERROR(VLOOKUP($A140&amp;R$2&amp;$A127,downloads!$A:$D,3,FALSE),"")</f>
        <v/>
      </c>
      <c r="S140" s="83" t="str">
        <f>IFERROR(VLOOKUP($A140&amp;R$2&amp;$A127,downloads!$A:$D,4,FALSE),"")</f>
        <v/>
      </c>
    </row>
    <row r="141" spans="1:19" x14ac:dyDescent="0.35">
      <c r="A141" s="434" t="s">
        <v>1913</v>
      </c>
      <c r="B141" s="83">
        <v>13</v>
      </c>
      <c r="C141" s="83" t="str">
        <f t="shared" si="127"/>
        <v>Javelin</v>
      </c>
      <c r="D141" s="83" t="str">
        <f>IFERROR(VLOOKUP($A141&amp;D$2&amp;$A127,downloads!$A:$D,3,FALSE),"")</f>
        <v>BAINES Lily</v>
      </c>
      <c r="E141" s="83" t="str">
        <f>IFERROR(VLOOKUP($A141&amp;D$2&amp;$A127,downloads!$A:$D,4,FALSE),"")</f>
        <v>KIRKWOOD Eva</v>
      </c>
      <c r="F141" s="83" t="str">
        <f>IFERROR(VLOOKUP($A141&amp;F$2&amp;$A127,downloads!$A:$D,3,FALSE),"")</f>
        <v>PADDON Freya</v>
      </c>
      <c r="G141" s="83" t="str">
        <f>IFERROR(VLOOKUP($A141&amp;F$2&amp;$A127,downloads!$A:$D,4,FALSE),"")</f>
        <v>PADDON Olivia</v>
      </c>
      <c r="H141" s="83" t="str">
        <f>IFERROR(VLOOKUP($A141&amp;H$2&amp;$A127,downloads!$A:$D,3,FALSE),"")</f>
        <v>CROSBY Alice</v>
      </c>
      <c r="I141" s="83" t="str">
        <f>IFERROR(VLOOKUP($A141&amp;H$2&amp;$A127,downloads!$A:$D,4,FALSE),"")</f>
        <v>HICKLING Rosie</v>
      </c>
      <c r="J141" s="83" t="str">
        <f>IFERROR(VLOOKUP($A141&amp;J$2&amp;$A127,downloads!$A:$D,3,FALSE),"")</f>
        <v>DORAN Bethany</v>
      </c>
      <c r="K141" s="83" t="str">
        <f>IFERROR(VLOOKUP($A141&amp;J$2&amp;$A127,downloads!$A:$D,4,FALSE),"")</f>
        <v>SULLOCK Amy</v>
      </c>
      <c r="L141" s="83" t="str">
        <f>IFERROR(VLOOKUP($A141&amp;L$2&amp;$A127,downloads!$A:$D,3,FALSE),"")</f>
        <v>BETTS Demi</v>
      </c>
      <c r="M141" s="83" t="str">
        <f>IFERROR(VLOOKUP($A141&amp;L$2&amp;$A127,downloads!$A:$D,4,FALSE),"")</f>
        <v>-</v>
      </c>
      <c r="N141" s="83" t="str">
        <f>IFERROR(VLOOKUP($A141&amp;N$2&amp;$A127,downloads!$A:$D,3,FALSE),"")</f>
        <v/>
      </c>
      <c r="O141" s="83" t="str">
        <f>IFERROR(VLOOKUP($A141&amp;N$2&amp;$A127,downloads!$A:$D,4,FALSE),"")</f>
        <v/>
      </c>
      <c r="P141" s="83" t="str">
        <f>IFERROR(VLOOKUP($A141&amp;P$2&amp;$A127,downloads!$A:$D,3,FALSE),"")</f>
        <v/>
      </c>
      <c r="Q141" s="83" t="str">
        <f>IFERROR(VLOOKUP($A141&amp;P$2&amp;$A127,downloads!$A:$D,4,FALSE),"")</f>
        <v/>
      </c>
      <c r="R141" s="83" t="str">
        <f>IFERROR(VLOOKUP($A141&amp;R$2&amp;$A127,downloads!$A:$D,3,FALSE),"")</f>
        <v/>
      </c>
      <c r="S141" s="83" t="str">
        <f>IFERROR(VLOOKUP($A141&amp;R$2&amp;$A127,downloads!$A:$D,4,FALSE),"")</f>
        <v/>
      </c>
    </row>
    <row r="142" spans="1:19" x14ac:dyDescent="0.35">
      <c r="A142" s="434" t="s">
        <v>1914</v>
      </c>
      <c r="B142" s="83">
        <v>14</v>
      </c>
      <c r="C142" s="83" t="str">
        <f t="shared" si="127"/>
        <v>Shot</v>
      </c>
      <c r="D142" s="83" t="str">
        <f>IFERROR(VLOOKUP($A142&amp;D$2&amp;$A127,downloads!$A:$D,3,FALSE),"")</f>
        <v>HIGHAM Ruby</v>
      </c>
      <c r="E142" s="83" t="str">
        <f>IFERROR(VLOOKUP($A142&amp;D$2&amp;$A127,downloads!$A:$D,4,FALSE),"")</f>
        <v>BAINES Lily</v>
      </c>
      <c r="F142" s="83" t="str">
        <f>IFERROR(VLOOKUP($A142&amp;F$2&amp;$A127,downloads!$A:$D,3,FALSE),"")</f>
        <v>ADEBAYO Daphney</v>
      </c>
      <c r="G142" s="83" t="str">
        <f>IFERROR(VLOOKUP($A142&amp;F$2&amp;$A127,downloads!$A:$D,4,FALSE),"")</f>
        <v>KYNOCH Ella</v>
      </c>
      <c r="H142" s="83" t="str">
        <f>IFERROR(VLOOKUP($A142&amp;H$2&amp;$A127,downloads!$A:$D,3,FALSE),"")</f>
        <v>BROOKS Carmen</v>
      </c>
      <c r="I142" s="83" t="str">
        <f>IFERROR(VLOOKUP($A142&amp;H$2&amp;$A127,downloads!$A:$D,4,FALSE),"")</f>
        <v>LEE Isabel</v>
      </c>
      <c r="J142" s="83" t="str">
        <f>IFERROR(VLOOKUP($A142&amp;J$2&amp;$A127,downloads!$A:$D,3,FALSE),"")</f>
        <v>DORAN Bethany</v>
      </c>
      <c r="K142" s="83" t="str">
        <f>IFERROR(VLOOKUP($A142&amp;J$2&amp;$A127,downloads!$A:$D,4,FALSE),"")</f>
        <v>-</v>
      </c>
      <c r="L142" s="83" t="str">
        <f>IFERROR(VLOOKUP($A142&amp;L$2&amp;$A127,downloads!$A:$D,3,FALSE),"")</f>
        <v>THIRKETTLE Charlotte</v>
      </c>
      <c r="M142" s="83" t="str">
        <f>IFERROR(VLOOKUP($A142&amp;L$2&amp;$A127,downloads!$A:$D,4,FALSE),"")</f>
        <v>VICKERS Cerys</v>
      </c>
      <c r="N142" s="83" t="str">
        <f>IFERROR(VLOOKUP($A142&amp;N$2&amp;$A127,downloads!$A:$D,3,FALSE),"")</f>
        <v/>
      </c>
      <c r="O142" s="83" t="str">
        <f>IFERROR(VLOOKUP($A142&amp;N$2&amp;$A127,downloads!$A:$D,4,FALSE),"")</f>
        <v/>
      </c>
      <c r="P142" s="83" t="str">
        <f>IFERROR(VLOOKUP($A142&amp;P$2&amp;$A127,downloads!$A:$D,3,FALSE),"")</f>
        <v/>
      </c>
      <c r="Q142" s="83" t="str">
        <f>IFERROR(VLOOKUP($A142&amp;P$2&amp;$A127,downloads!$A:$D,4,FALSE),"")</f>
        <v/>
      </c>
      <c r="R142" s="83" t="str">
        <f>IFERROR(VLOOKUP($A142&amp;R$2&amp;$A127,downloads!$A:$D,3,FALSE),"")</f>
        <v/>
      </c>
      <c r="S142" s="83" t="str">
        <f>IFERROR(VLOOKUP($A142&amp;R$2&amp;$A127,downloads!$A:$D,4,FALSE),"")</f>
        <v/>
      </c>
    </row>
    <row r="143" spans="1:19" x14ac:dyDescent="0.35">
      <c r="A143" s="434" t="s">
        <v>1915</v>
      </c>
      <c r="B143" s="83">
        <v>15</v>
      </c>
      <c r="C143" s="83" t="str">
        <f t="shared" si="127"/>
        <v>Long Jump</v>
      </c>
      <c r="D143" s="83" t="str">
        <f>IFERROR(VLOOKUP($A143&amp;D$2&amp;$A127,downloads!$A:$D,3,FALSE),"")</f>
        <v>BRIDDON Missy</v>
      </c>
      <c r="E143" s="83" t="str">
        <f>IFERROR(VLOOKUP($A143&amp;D$2&amp;$A127,downloads!$A:$D,4,FALSE),"")</f>
        <v>ROGERS Emily</v>
      </c>
      <c r="F143" s="83" t="str">
        <f>IFERROR(VLOOKUP($A143&amp;F$2&amp;$A127,downloads!$A:$D,3,FALSE),"")</f>
        <v>MYCROFT Tilly</v>
      </c>
      <c r="G143" s="83" t="str">
        <f>IFERROR(VLOOKUP($A143&amp;F$2&amp;$A127,downloads!$A:$D,4,FALSE),"")</f>
        <v>ADEBAYO Daphney</v>
      </c>
      <c r="H143" s="83" t="str">
        <f>IFERROR(VLOOKUP($A143&amp;H$2&amp;$A127,downloads!$A:$D,3,FALSE),"")</f>
        <v>HASTIE Eve</v>
      </c>
      <c r="I143" s="83" t="str">
        <f>IFERROR(VLOOKUP($A143&amp;H$2&amp;$A127,downloads!$A:$D,4,FALSE),"")</f>
        <v>MAUDE Charlotte</v>
      </c>
      <c r="J143" s="83" t="str">
        <f>IFERROR(VLOOKUP($A143&amp;J$2&amp;$A127,downloads!$A:$D,3,FALSE),"")</f>
        <v>PYE Naiomi</v>
      </c>
      <c r="K143" s="83" t="str">
        <f>IFERROR(VLOOKUP($A143&amp;J$2&amp;$A127,downloads!$A:$D,4,FALSE),"")</f>
        <v>MANNION Grace</v>
      </c>
      <c r="L143" s="83" t="str">
        <f>IFERROR(VLOOKUP($A143&amp;L$2&amp;$A127,downloads!$A:$D,3,FALSE),"")</f>
        <v>LINGARD Alice</v>
      </c>
      <c r="M143" s="83" t="str">
        <f>IFERROR(VLOOKUP($A143&amp;L$2&amp;$A127,downloads!$A:$D,4,FALSE),"")</f>
        <v>WHITTAKER Millie</v>
      </c>
      <c r="N143" s="83" t="str">
        <f>IFERROR(VLOOKUP($A143&amp;N$2&amp;$A127,downloads!$A:$D,3,FALSE),"")</f>
        <v/>
      </c>
      <c r="O143" s="83" t="str">
        <f>IFERROR(VLOOKUP($A143&amp;N$2&amp;$A127,downloads!$A:$D,4,FALSE),"")</f>
        <v/>
      </c>
      <c r="P143" s="83" t="str">
        <f>IFERROR(VLOOKUP($A143&amp;P$2&amp;$A127,downloads!$A:$D,3,FALSE),"")</f>
        <v/>
      </c>
      <c r="Q143" s="83" t="str">
        <f>IFERROR(VLOOKUP($A143&amp;P$2&amp;$A127,downloads!$A:$D,4,FALSE),"")</f>
        <v/>
      </c>
      <c r="R143" s="83" t="str">
        <f>IFERROR(VLOOKUP($A143&amp;R$2&amp;$A127,downloads!$A:$D,3,FALSE),"")</f>
        <v/>
      </c>
      <c r="S143" s="83" t="str">
        <f>IFERROR(VLOOKUP($A143&amp;R$2&amp;$A127,downloads!$A:$D,4,FALSE),"")</f>
        <v/>
      </c>
    </row>
    <row r="144" spans="1:19" x14ac:dyDescent="0.35">
      <c r="A144" s="434" t="s">
        <v>1916</v>
      </c>
      <c r="B144" s="83">
        <v>16</v>
      </c>
      <c r="C144" s="83" t="str">
        <f t="shared" si="127"/>
        <v>Triple Jump</v>
      </c>
      <c r="D144" s="83">
        <f>IFERROR(VLOOKUP($A144&amp;D$2&amp;$A127,downloads!$A:$D,3,FALSE),"")</f>
        <v>0</v>
      </c>
      <c r="E144" s="83">
        <f>IFERROR(VLOOKUP($A144&amp;D$2&amp;$A127,downloads!$A:$D,4,FALSE),"")</f>
        <v>0</v>
      </c>
      <c r="F144" s="83">
        <f>IFERROR(VLOOKUP($A144&amp;F$2&amp;$A127,downloads!$A:$D,3,FALSE),"")</f>
        <v>0</v>
      </c>
      <c r="G144" s="83">
        <f>IFERROR(VLOOKUP($A144&amp;F$2&amp;$A127,downloads!$A:$D,4,FALSE),"")</f>
        <v>0</v>
      </c>
      <c r="H144" s="83">
        <f>IFERROR(VLOOKUP($A144&amp;H$2&amp;$A127,downloads!$A:$D,3,FALSE),"")</f>
        <v>0</v>
      </c>
      <c r="I144" s="83">
        <f>IFERROR(VLOOKUP($A144&amp;H$2&amp;$A127,downloads!$A:$D,4,FALSE),"")</f>
        <v>0</v>
      </c>
      <c r="J144" s="83">
        <f>IFERROR(VLOOKUP($A144&amp;J$2&amp;$A127,downloads!$A:$D,3,FALSE),"")</f>
        <v>0</v>
      </c>
      <c r="K144" s="83">
        <f>IFERROR(VLOOKUP($A144&amp;J$2&amp;$A127,downloads!$A:$D,4,FALSE),"")</f>
        <v>0</v>
      </c>
      <c r="L144" s="83">
        <f>IFERROR(VLOOKUP($A144&amp;L$2&amp;$A127,downloads!$A:$D,3,FALSE),"")</f>
        <v>0</v>
      </c>
      <c r="M144" s="83">
        <f>IFERROR(VLOOKUP($A144&amp;L$2&amp;$A127,downloads!$A:$D,4,FALSE),"")</f>
        <v>0</v>
      </c>
      <c r="N144" s="83" t="str">
        <f>IFERROR(VLOOKUP($A144&amp;N$2&amp;$A127,downloads!$A:$D,3,FALSE),"")</f>
        <v/>
      </c>
      <c r="O144" s="83" t="str">
        <f>IFERROR(VLOOKUP($A144&amp;N$2&amp;$A127,downloads!$A:$D,4,FALSE),"")</f>
        <v/>
      </c>
      <c r="P144" s="83" t="str">
        <f>IFERROR(VLOOKUP($A144&amp;P$2&amp;$A127,downloads!$A:$D,3,FALSE),"")</f>
        <v/>
      </c>
      <c r="Q144" s="83" t="str">
        <f>IFERROR(VLOOKUP($A144&amp;P$2&amp;$A127,downloads!$A:$D,4,FALSE),"")</f>
        <v/>
      </c>
      <c r="R144" s="83" t="str">
        <f>IFERROR(VLOOKUP($A144&amp;R$2&amp;$A127,downloads!$A:$D,3,FALSE),"")</f>
        <v/>
      </c>
      <c r="S144" s="83" t="str">
        <f>IFERROR(VLOOKUP($A144&amp;R$2&amp;$A127,downloads!$A:$D,4,FALSE),"")</f>
        <v/>
      </c>
    </row>
    <row r="145" spans="1:19" x14ac:dyDescent="0.35">
      <c r="A145" s="434" t="s">
        <v>1921</v>
      </c>
      <c r="B145" s="83">
        <v>17</v>
      </c>
      <c r="C145" s="83" t="str">
        <f t="shared" si="127"/>
        <v>High Jump</v>
      </c>
      <c r="D145" s="83" t="str">
        <f>IFERROR(VLOOKUP($A145&amp;D$2&amp;$A127,downloads!$A:$D,3,FALSE),"")</f>
        <v>MOODY Hannah</v>
      </c>
      <c r="E145" s="83" t="str">
        <f>IFERROR(VLOOKUP($A145&amp;D$2&amp;$A127,downloads!$A:$D,4,FALSE),"")</f>
        <v>KIRKWOOD Eva</v>
      </c>
      <c r="F145" s="83" t="str">
        <f>IFERROR(VLOOKUP($A145&amp;F$2&amp;$A127,downloads!$A:$D,3,FALSE),"")</f>
        <v>WOODHOUSE Polly</v>
      </c>
      <c r="G145" s="83" t="str">
        <f>IFERROR(VLOOKUP($A145&amp;F$2&amp;$A127,downloads!$A:$D,4,FALSE),"")</f>
        <v>MYCROFT Tilly</v>
      </c>
      <c r="H145" s="83" t="str">
        <f>IFERROR(VLOOKUP($A145&amp;H$2&amp;$A127,downloads!$A:$D,3,FALSE),"")</f>
        <v>HOGG Frances</v>
      </c>
      <c r="I145" s="83" t="str">
        <f>IFERROR(VLOOKUP($A145&amp;H$2&amp;$A127,downloads!$A:$D,4,FALSE),"")</f>
        <v>TWEDDLE Bella</v>
      </c>
      <c r="J145" s="83" t="str">
        <f>IFERROR(VLOOKUP($A145&amp;J$2&amp;$A127,downloads!$A:$D,3,FALSE),"")</f>
        <v>MANNION Grace</v>
      </c>
      <c r="K145" s="83" t="str">
        <f>IFERROR(VLOOKUP($A145&amp;J$2&amp;$A127,downloads!$A:$D,4,FALSE),"")</f>
        <v>-</v>
      </c>
      <c r="L145" s="83">
        <f>IFERROR(VLOOKUP($A145&amp;L$2&amp;$A127,downloads!$A:$D,3,FALSE),"")</f>
        <v>0</v>
      </c>
      <c r="M145" s="83">
        <f>IFERROR(VLOOKUP($A145&amp;L$2&amp;$A127,downloads!$A:$D,4,FALSE),"")</f>
        <v>0</v>
      </c>
      <c r="N145" s="83" t="str">
        <f>IFERROR(VLOOKUP($A145&amp;N$2&amp;$A127,downloads!$A:$D,3,FALSE),"")</f>
        <v/>
      </c>
      <c r="O145" s="83" t="str">
        <f>IFERROR(VLOOKUP($A145&amp;N$2&amp;$A127,downloads!$A:$D,4,FALSE),"")</f>
        <v/>
      </c>
      <c r="P145" s="83" t="str">
        <f>IFERROR(VLOOKUP($A145&amp;P$2&amp;$A127,downloads!$A:$D,3,FALSE),"")</f>
        <v/>
      </c>
      <c r="Q145" s="83" t="str">
        <f>IFERROR(VLOOKUP($A145&amp;P$2&amp;$A127,downloads!$A:$D,4,FALSE),"")</f>
        <v/>
      </c>
      <c r="R145" s="83" t="str">
        <f>IFERROR(VLOOKUP($A145&amp;R$2&amp;$A127,downloads!$A:$D,3,FALSE),"")</f>
        <v/>
      </c>
      <c r="S145" s="83" t="str">
        <f>IFERROR(VLOOKUP($A145&amp;R$2&amp;$A127,downloads!$A:$D,4,FALSE),"")</f>
        <v/>
      </c>
    </row>
    <row r="146" spans="1:19" x14ac:dyDescent="0.35">
      <c r="A146" s="434" t="s">
        <v>1917</v>
      </c>
      <c r="B146" s="83">
        <v>18</v>
      </c>
      <c r="C146" s="83" t="str">
        <f t="shared" si="127"/>
        <v>Pole Vault</v>
      </c>
      <c r="D146" s="83" t="str">
        <f>IFERROR(VLOOKUP($A146&amp;D$2&amp;$A127,downloads!$A:$D,3,FALSE),"")</f>
        <v>MOODY Hannah</v>
      </c>
      <c r="E146" s="83" t="str">
        <f>IFERROR(VLOOKUP($A146&amp;D$2&amp;$A127,downloads!$A:$D,4,FALSE),"")</f>
        <v>PROCTOR Alicia</v>
      </c>
      <c r="F146" s="83">
        <f>IFERROR(VLOOKUP($A146&amp;F$2&amp;$A127,downloads!$A:$D,3,FALSE),"")</f>
        <v>0</v>
      </c>
      <c r="G146" s="83">
        <f>IFERROR(VLOOKUP($A146&amp;F$2&amp;$A127,downloads!$A:$D,4,FALSE),"")</f>
        <v>0</v>
      </c>
      <c r="H146" s="83" t="str">
        <f>IFERROR(VLOOKUP($A146&amp;H$2&amp;$A127,downloads!$A:$D,3,FALSE),"")</f>
        <v>CROSBY Alice</v>
      </c>
      <c r="I146" s="83" t="str">
        <f>IFERROR(VLOOKUP($A146&amp;H$2&amp;$A127,downloads!$A:$D,4,FALSE),"")</f>
        <v>LEE Isabel</v>
      </c>
      <c r="J146" s="83" t="str">
        <f>IFERROR(VLOOKUP($A146&amp;J$2&amp;$A127,downloads!$A:$D,3,FALSE),"")</f>
        <v>-</v>
      </c>
      <c r="K146" s="83" t="str">
        <f>IFERROR(VLOOKUP($A146&amp;J$2&amp;$A127,downloads!$A:$D,4,FALSE),"")</f>
        <v>-</v>
      </c>
      <c r="L146" s="83">
        <f>IFERROR(VLOOKUP($A146&amp;L$2&amp;$A127,downloads!$A:$D,3,FALSE),"")</f>
        <v>0</v>
      </c>
      <c r="M146" s="83">
        <f>IFERROR(VLOOKUP($A146&amp;L$2&amp;$A127,downloads!$A:$D,4,FALSE),"")</f>
        <v>0</v>
      </c>
      <c r="N146" s="83" t="str">
        <f>IFERROR(VLOOKUP($A146&amp;N$2&amp;$A127,downloads!$A:$D,3,FALSE),"")</f>
        <v/>
      </c>
      <c r="O146" s="83" t="str">
        <f>IFERROR(VLOOKUP($A146&amp;N$2&amp;$A127,downloads!$A:$D,4,FALSE),"")</f>
        <v/>
      </c>
      <c r="P146" s="83" t="str">
        <f>IFERROR(VLOOKUP($A146&amp;P$2&amp;$A127,downloads!$A:$D,3,FALSE),"")</f>
        <v/>
      </c>
      <c r="Q146" s="83" t="str">
        <f>IFERROR(VLOOKUP($A146&amp;P$2&amp;$A127,downloads!$A:$D,4,FALSE),"")</f>
        <v/>
      </c>
      <c r="R146" s="83" t="str">
        <f>IFERROR(VLOOKUP($A146&amp;R$2&amp;$A127,downloads!$A:$D,3,FALSE),"")</f>
        <v/>
      </c>
      <c r="S146" s="83" t="str">
        <f>IFERROR(VLOOKUP($A146&amp;R$2&amp;$A127,downloads!$A:$D,4,FALSE),"")</f>
        <v/>
      </c>
    </row>
    <row r="147" spans="1:19" x14ac:dyDescent="0.35">
      <c r="A147" s="434" t="s">
        <v>1918</v>
      </c>
      <c r="B147" s="83">
        <v>19</v>
      </c>
      <c r="C147" s="83" t="str">
        <f t="shared" si="127"/>
        <v>4x100 Relay</v>
      </c>
      <c r="D147" s="83" t="str">
        <f>IFERROR(VLOOKUP($A147&amp;D$2&amp;$A127,downloads!$A:$D,3,FALSE),"")</f>
        <v>BAINES Lily</v>
      </c>
      <c r="E147" s="83" t="str">
        <f>IFERROR(VLOOKUP($A147&amp;D$2&amp;$A127,downloads!$A:$D,4,FALSE),"")</f>
        <v>KIRKWOOD Eva</v>
      </c>
      <c r="F147" s="83" t="str">
        <f>IFERROR(VLOOKUP($A147&amp;F$2&amp;$A127,downloads!$A:$D,3,FALSE),"")</f>
        <v>PADDON Olivia</v>
      </c>
      <c r="G147" s="83" t="str">
        <f>IFERROR(VLOOKUP($A147&amp;F$2&amp;$A127,downloads!$A:$D,4,FALSE),"")</f>
        <v>PADDON Freya</v>
      </c>
      <c r="H147" s="83" t="str">
        <f>IFERROR(VLOOKUP($A147&amp;H$2&amp;$A127,downloads!$A:$D,3,FALSE),"")</f>
        <v>HOGG Frances</v>
      </c>
      <c r="I147" s="83" t="str">
        <f>IFERROR(VLOOKUP($A147&amp;H$2&amp;$A127,downloads!$A:$D,4,FALSE),"")</f>
        <v>MAUDE Charlotte</v>
      </c>
      <c r="J147" s="83" t="str">
        <f>IFERROR(VLOOKUP($A147&amp;J$2&amp;$A127,downloads!$A:$D,3,FALSE),"")</f>
        <v>OKEY Busonma</v>
      </c>
      <c r="K147" s="83" t="str">
        <f>IFERROR(VLOOKUP($A147&amp;J$2&amp;$A127,downloads!$A:$D,4,FALSE),"")</f>
        <v>ROBSON Daisy</v>
      </c>
      <c r="L147" s="83" t="str">
        <f>IFERROR(VLOOKUP($A147&amp;L$2&amp;$A127,downloads!$A:$D,3,FALSE),"")</f>
        <v>VICKERS Cerys</v>
      </c>
      <c r="M147" s="83" t="str">
        <f>IFERROR(VLOOKUP($A147&amp;L$2&amp;$A127,downloads!$A:$D,4,FALSE),"")</f>
        <v>WRIGHT Lucy</v>
      </c>
      <c r="N147" s="83" t="str">
        <f>IFERROR(VLOOKUP($A147&amp;N$2&amp;$A127,downloads!$A:$D,3,FALSE),"")</f>
        <v/>
      </c>
      <c r="O147" s="83" t="str">
        <f>IFERROR(VLOOKUP($A147&amp;N$2&amp;$A127,downloads!$A:$D,4,FALSE),"")</f>
        <v/>
      </c>
      <c r="P147" s="83" t="str">
        <f>IFERROR(VLOOKUP($A147&amp;P$2&amp;$A127,downloads!$A:$D,3,FALSE),"")</f>
        <v/>
      </c>
      <c r="Q147" s="83" t="str">
        <f>IFERROR(VLOOKUP($A147&amp;P$2&amp;$A127,downloads!$A:$D,4,FALSE),"")</f>
        <v/>
      </c>
      <c r="R147" s="83" t="str">
        <f>IFERROR(VLOOKUP($A147&amp;R$2&amp;$A127,downloads!$A:$D,3,FALSE),"")</f>
        <v/>
      </c>
      <c r="S147" s="83" t="str">
        <f>IFERROR(VLOOKUP($A147&amp;R$2&amp;$A127,downloads!$A:$D,4,FALSE),"")</f>
        <v/>
      </c>
    </row>
    <row r="148" spans="1:19" x14ac:dyDescent="0.35">
      <c r="A148" s="434" t="s">
        <v>1919</v>
      </c>
      <c r="B148" s="83">
        <v>20</v>
      </c>
      <c r="C148" s="83" t="str">
        <f t="shared" si="127"/>
        <v>4x100 Relay</v>
      </c>
      <c r="D148" s="83" t="str">
        <f>IFERROR(VLOOKUP($A148&amp;D$2&amp;$A127,downloads!$A:$D,3,FALSE),"")</f>
        <v>DUNKLEY Autum</v>
      </c>
      <c r="E148" s="83" t="str">
        <f>IFERROR(VLOOKUP($A148&amp;D$2&amp;$A127,downloads!$A:$D,4,FALSE),"")</f>
        <v>BRIDDON Missy</v>
      </c>
      <c r="F148" s="83" t="str">
        <f>IFERROR(VLOOKUP($A148&amp;F$2&amp;$A127,downloads!$A:$D,3,FALSE),"")</f>
        <v>ADEBAYO Daphney</v>
      </c>
      <c r="G148" s="83" t="str">
        <f>IFERROR(VLOOKUP($A148&amp;F$2&amp;$A127,downloads!$A:$D,4,FALSE),"")</f>
        <v>JELONKIEWICZ Viktoria</v>
      </c>
      <c r="H148" s="83" t="str">
        <f>IFERROR(VLOOKUP($A148&amp;H$2&amp;$A127,downloads!$A:$D,3,FALSE),"")</f>
        <v>HASTIE Eve</v>
      </c>
      <c r="I148" s="83" t="str">
        <f>IFERROR(VLOOKUP($A148&amp;H$2&amp;$A127,downloads!$A:$D,4,FALSE),"")</f>
        <v>HICKLING Rosie</v>
      </c>
      <c r="J148" s="83" t="str">
        <f>IFERROR(VLOOKUP($A148&amp;J$2&amp;$A127,downloads!$A:$D,3,FALSE),"")</f>
        <v>PYE Naiomi</v>
      </c>
      <c r="K148" s="83" t="str">
        <f>IFERROR(VLOOKUP($A148&amp;J$2&amp;$A127,downloads!$A:$D,4,FALSE),"")</f>
        <v>WYATT Martha</v>
      </c>
      <c r="L148" s="83" t="str">
        <f>IFERROR(VLOOKUP($A148&amp;L$2&amp;$A127,downloads!$A:$D,3,FALSE),"")</f>
        <v>WHITTAKER Millie</v>
      </c>
      <c r="M148" s="83" t="str">
        <f>IFERROR(VLOOKUP($A148&amp;L$2&amp;$A127,downloads!$A:$D,4,FALSE),"")</f>
        <v>BETTS Demi</v>
      </c>
      <c r="N148" s="83" t="str">
        <f>IFERROR(VLOOKUP($A148&amp;N$2&amp;$A127,downloads!$A:$D,3,FALSE),"")</f>
        <v/>
      </c>
      <c r="O148" s="83" t="str">
        <f>IFERROR(VLOOKUP($A148&amp;N$2&amp;$A127,downloads!$A:$D,4,FALSE),"")</f>
        <v/>
      </c>
      <c r="P148" s="83" t="str">
        <f>IFERROR(VLOOKUP($A148&amp;P$2&amp;$A127,downloads!$A:$D,3,FALSE),"")</f>
        <v/>
      </c>
      <c r="Q148" s="83" t="str">
        <f>IFERROR(VLOOKUP($A148&amp;P$2&amp;$A127,downloads!$A:$D,4,FALSE),"")</f>
        <v/>
      </c>
      <c r="R148" s="83" t="str">
        <f>IFERROR(VLOOKUP($A148&amp;R$2&amp;$A127,downloads!$A:$D,3,FALSE),"")</f>
        <v/>
      </c>
      <c r="S148" s="83" t="str">
        <f>IFERROR(VLOOKUP($A148&amp;R$2&amp;$A127,downloads!$A:$D,4,FALSE),"")</f>
        <v/>
      </c>
    </row>
    <row r="149" spans="1:19" x14ac:dyDescent="0.35">
      <c r="A149" s="434" t="s">
        <v>1920</v>
      </c>
      <c r="B149" s="83">
        <v>21</v>
      </c>
      <c r="C149" s="83" t="str">
        <f t="shared" si="127"/>
        <v>4x400 (300)</v>
      </c>
      <c r="D149" s="83" t="str">
        <f>IFERROR(VLOOKUP($A149&amp;D$2&amp;$A127,downloads!$A:$D,3,FALSE),"")</f>
        <v>LABAN Ella</v>
      </c>
      <c r="E149" s="83" t="str">
        <f>IFERROR(VLOOKUP($A149&amp;D$2&amp;$A127,downloads!$A:$D,4,FALSE),"")</f>
        <v>DUNKLEY Autum</v>
      </c>
      <c r="F149" s="83">
        <f>IFERROR(VLOOKUP($A149&amp;F$2&amp;$A127,downloads!$A:$D,3,FALSE),"")</f>
        <v>0</v>
      </c>
      <c r="G149" s="83">
        <f>IFERROR(VLOOKUP($A149&amp;F$2&amp;$A127,downloads!$A:$D,4,FALSE),"")</f>
        <v>0</v>
      </c>
      <c r="H149" s="83" t="str">
        <f>IFERROR(VLOOKUP($A149&amp;H$2&amp;$A127,downloads!$A:$D,3,FALSE),"")</f>
        <v>WALSH Tierney</v>
      </c>
      <c r="I149" s="83" t="str">
        <f>IFERROR(VLOOKUP($A149&amp;H$2&amp;$A127,downloads!$A:$D,4,FALSE),"")</f>
        <v>BROOKS Carmen</v>
      </c>
      <c r="J149" s="83" t="str">
        <f>IFERROR(VLOOKUP($A149&amp;J$2&amp;$A127,downloads!$A:$D,3,FALSE),"")</f>
        <v>MCNEILL Emma</v>
      </c>
      <c r="K149" s="83" t="str">
        <f>IFERROR(VLOOKUP($A149&amp;J$2&amp;$A127,downloads!$A:$D,4,FALSE),"")</f>
        <v>LILLIE Imogen</v>
      </c>
      <c r="L149" s="83">
        <f>IFERROR(VLOOKUP($A149&amp;L$2&amp;$A127,downloads!$A:$D,3,FALSE),"")</f>
        <v>0</v>
      </c>
      <c r="M149" s="83">
        <f>IFERROR(VLOOKUP($A149&amp;L$2&amp;$A127,downloads!$A:$D,4,FALSE),"")</f>
        <v>0</v>
      </c>
      <c r="N149" s="83" t="str">
        <f>IFERROR(VLOOKUP($A149&amp;N$2&amp;$A127,downloads!$A:$D,3,FALSE),"")</f>
        <v/>
      </c>
      <c r="O149" s="83" t="str">
        <f>IFERROR(VLOOKUP($A149&amp;N$2&amp;$A127,downloads!$A:$D,4,FALSE),"")</f>
        <v/>
      </c>
      <c r="P149" s="83" t="str">
        <f>IFERROR(VLOOKUP($A149&amp;P$2&amp;$A127,downloads!$A:$D,3,FALSE),"")</f>
        <v/>
      </c>
      <c r="Q149" s="83" t="str">
        <f>IFERROR(VLOOKUP($A149&amp;P$2&amp;$A127,downloads!$A:$D,4,FALSE),"")</f>
        <v/>
      </c>
      <c r="R149" s="83" t="str">
        <f>IFERROR(VLOOKUP($A149&amp;R$2&amp;$A127,downloads!$A:$D,3,FALSE),"")</f>
        <v/>
      </c>
      <c r="S149" s="83" t="str">
        <f>IFERROR(VLOOKUP($A149&amp;R$2&amp;$A127,downloads!$A:$D,4,FALSE),"")</f>
        <v/>
      </c>
    </row>
    <row r="150" spans="1:19" x14ac:dyDescent="0.35">
      <c r="A150" s="434" t="s">
        <v>1922</v>
      </c>
      <c r="B150" s="83">
        <v>22</v>
      </c>
      <c r="C150" s="83" t="str">
        <f t="shared" si="127"/>
        <v>4x400 (300)</v>
      </c>
      <c r="D150" s="83" t="str">
        <f>IFERROR(VLOOKUP($A150&amp;D$2&amp;$A127,downloads!$A:$D,3,FALSE),"")</f>
        <v>PROCTOR Alicia</v>
      </c>
      <c r="E150" s="83" t="str">
        <f>IFERROR(VLOOKUP($A150&amp;D$2&amp;$A127,downloads!$A:$D,4,FALSE),"")</f>
        <v>MOODY Hannah</v>
      </c>
      <c r="F150" s="83">
        <f>IFERROR(VLOOKUP($A150&amp;F$2&amp;$A127,downloads!$A:$D,3,FALSE),"")</f>
        <v>0</v>
      </c>
      <c r="G150" s="83">
        <f>IFERROR(VLOOKUP($A150&amp;F$2&amp;$A127,downloads!$A:$D,4,FALSE),"")</f>
        <v>0</v>
      </c>
      <c r="H150" s="83" t="str">
        <f>IFERROR(VLOOKUP($A150&amp;H$2&amp;$A127,downloads!$A:$D,3,FALSE),"")</f>
        <v>LEE Isabel</v>
      </c>
      <c r="I150" s="83" t="str">
        <f>IFERROR(VLOOKUP($A150&amp;H$2&amp;$A127,downloads!$A:$D,4,FALSE),"")</f>
        <v>TWEDDLE Bella</v>
      </c>
      <c r="J150" s="83" t="str">
        <f>IFERROR(VLOOKUP($A150&amp;J$2&amp;$A127,downloads!$A:$D,3,FALSE),"")</f>
        <v>PYE Leoni</v>
      </c>
      <c r="K150" s="83" t="str">
        <f>IFERROR(VLOOKUP($A150&amp;J$2&amp;$A127,downloads!$A:$D,4,FALSE),"")</f>
        <v>GILLIS Madelaine</v>
      </c>
      <c r="L150" s="83">
        <f>IFERROR(VLOOKUP($A150&amp;L$2&amp;$A127,downloads!$A:$D,3,FALSE),"")</f>
        <v>0</v>
      </c>
      <c r="M150" s="83">
        <f>IFERROR(VLOOKUP($A150&amp;L$2&amp;$A127,downloads!$A:$D,4,FALSE),"")</f>
        <v>0</v>
      </c>
      <c r="N150" s="83" t="str">
        <f>IFERROR(VLOOKUP($A150&amp;N$2&amp;$A127,downloads!$A:$D,3,FALSE),"")</f>
        <v/>
      </c>
      <c r="O150" s="83" t="str">
        <f>IFERROR(VLOOKUP($A150&amp;N$2&amp;$A127,downloads!$A:$D,4,FALSE),"")</f>
        <v/>
      </c>
      <c r="P150" s="83" t="str">
        <f>IFERROR(VLOOKUP($A150&amp;P$2&amp;$A127,downloads!$A:$D,3,FALSE),"")</f>
        <v/>
      </c>
      <c r="Q150" s="83" t="str">
        <f>IFERROR(VLOOKUP($A150&amp;P$2&amp;$A127,downloads!$A:$D,4,FALSE),"")</f>
        <v/>
      </c>
      <c r="R150" s="83" t="str">
        <f>IFERROR(VLOOKUP($A150&amp;R$2&amp;$A127,downloads!$A:$D,3,FALSE),"")</f>
        <v/>
      </c>
      <c r="S150" s="83" t="str">
        <f>IFERROR(VLOOKUP($A150&amp;R$2&amp;$A127,downloads!$A:$D,4,FALSE),"")</f>
        <v/>
      </c>
    </row>
    <row r="151" spans="1:19" x14ac:dyDescent="0.35">
      <c r="A151" s="83">
        <v>5</v>
      </c>
      <c r="C151" s="83" t="s">
        <v>888</v>
      </c>
    </row>
    <row r="152" spans="1:19" x14ac:dyDescent="0.35">
      <c r="A152" s="434" t="s">
        <v>1900</v>
      </c>
      <c r="B152" s="83">
        <v>0</v>
      </c>
      <c r="C152" s="83" t="str">
        <f>C79</f>
        <v>75 / 100</v>
      </c>
      <c r="D152" s="83" t="str">
        <f>IFERROR(VLOOKUP($A152&amp;D$2&amp;$A151,downloads!$A:$D,3,FALSE),"")</f>
        <v>GASKIN Nathanael</v>
      </c>
      <c r="E152" s="83" t="str">
        <f>IFERROR(VLOOKUP($A152&amp;D$2&amp;$A151,downloads!$A:$D,4,FALSE),"")</f>
        <v>DREW Matthew</v>
      </c>
      <c r="F152" s="83" t="str">
        <f>IFERROR(VLOOKUP($A152&amp;F$2&amp;$A151,downloads!$A:$D,3,FALSE),"")</f>
        <v>REILLY Arthur</v>
      </c>
      <c r="G152" s="83" t="str">
        <f>IFERROR(VLOOKUP($A152&amp;F$2&amp;$A151,downloads!$A:$D,4,FALSE),"")</f>
        <v>CONNELLY George</v>
      </c>
      <c r="H152" s="83" t="str">
        <f>IFERROR(VLOOKUP($A152&amp;H$2&amp;$A151,downloads!$A:$D,3,FALSE),"")</f>
        <v>PEARSON Adam</v>
      </c>
      <c r="I152" s="83" t="str">
        <f>IFERROR(VLOOKUP($A152&amp;H$2&amp;$A151,downloads!$A:$D,4,FALSE),"")</f>
        <v>HICKLING William</v>
      </c>
      <c r="J152" s="83" t="str">
        <f>IFERROR(VLOOKUP($A152&amp;J$2&amp;$A151,downloads!$A:$D,3,FALSE),"")</f>
        <v>MAYNARD Finley</v>
      </c>
      <c r="K152" s="83" t="str">
        <f>IFERROR(VLOOKUP($A152&amp;J$2&amp;$A151,downloads!$A:$D,4,FALSE),"")</f>
        <v>HONEYMAN Leo</v>
      </c>
      <c r="L152" s="83" t="str">
        <f>IFERROR(VLOOKUP($A152&amp;L$2&amp;$A151,downloads!$A:$D,3,FALSE),"")</f>
        <v>LANGTON Cody</v>
      </c>
      <c r="M152" s="83" t="str">
        <f>IFERROR(VLOOKUP($A152&amp;L$2&amp;$A151,downloads!$A:$D,4,FALSE),"")</f>
        <v>-</v>
      </c>
      <c r="N152" s="83" t="str">
        <f>IFERROR(VLOOKUP($A152&amp;N$2&amp;$A151,downloads!$A:$D,3,FALSE),"")</f>
        <v/>
      </c>
      <c r="O152" s="83" t="str">
        <f>IFERROR(VLOOKUP($A152&amp;N$2&amp;$A151,downloads!$A:$D,4,FALSE),"")</f>
        <v/>
      </c>
      <c r="P152" s="83" t="str">
        <f>IFERROR(VLOOKUP($A152&amp;P$2&amp;$A151,downloads!$A:$D,3,FALSE),"")</f>
        <v/>
      </c>
      <c r="Q152" s="83" t="str">
        <f>IFERROR(VLOOKUP($A152&amp;P$2&amp;$A151,downloads!$A:$D,4,FALSE),"")</f>
        <v/>
      </c>
      <c r="R152" s="83" t="str">
        <f>IFERROR(VLOOKUP($A152&amp;R$2&amp;$A151,downloads!$A:$D,3,FALSE),"")</f>
        <v/>
      </c>
      <c r="S152" s="83" t="str">
        <f>IFERROR(VLOOKUP($A152&amp;R$2&amp;$A151,downloads!$A:$D,4,FALSE),"")</f>
        <v/>
      </c>
    </row>
    <row r="153" spans="1:19" x14ac:dyDescent="0.35">
      <c r="A153" s="434" t="s">
        <v>1901</v>
      </c>
      <c r="B153" s="83">
        <v>1</v>
      </c>
      <c r="C153" s="83" t="str">
        <f t="shared" ref="C153:C174" si="128">C80</f>
        <v>75 / 100 NS</v>
      </c>
      <c r="D153" s="83">
        <f>IFERROR(VLOOKUP($A153&amp;D$2&amp;$A151,downloads!$A:$D,3,FALSE),"")</f>
        <v>0</v>
      </c>
      <c r="E153" s="83">
        <f>IFERROR(VLOOKUP($A153&amp;D$2&amp;$A151,downloads!$A:$D,4,FALSE),"")</f>
        <v>0</v>
      </c>
      <c r="F153" s="83" t="str">
        <f>IFERROR(VLOOKUP($A153&amp;F$2&amp;$A151,downloads!$A:$D,3,FALSE),"")</f>
        <v>WINGFIELD Tyler</v>
      </c>
      <c r="G153" s="83" t="str">
        <f>IFERROR(VLOOKUP($A153&amp;F$2&amp;$A151,downloads!$A:$D,4,FALSE),"")</f>
        <v>COCKINGS Matthew</v>
      </c>
      <c r="H153" s="83" t="str">
        <f>IFERROR(VLOOKUP($A153&amp;H$2&amp;$A151,downloads!$A:$D,3,FALSE),"")</f>
        <v>BASTOW Isaac</v>
      </c>
      <c r="I153" s="83" t="str">
        <f>IFERROR(VLOOKUP($A153&amp;H$2&amp;$A151,downloads!$A:$D,4,FALSE),"")</f>
        <v>WATSON Miles</v>
      </c>
      <c r="J153" s="83" t="str">
        <f>IFERROR(VLOOKUP($A153&amp;J$2&amp;$A151,downloads!$A:$D,3,FALSE),"")</f>
        <v>BAKER Edward</v>
      </c>
      <c r="K153" s="83" t="str">
        <f>IFERROR(VLOOKUP($A153&amp;J$2&amp;$A151,downloads!$A:$D,4,FALSE),"")</f>
        <v>-</v>
      </c>
      <c r="L153" s="83">
        <f>IFERROR(VLOOKUP($A153&amp;L$2&amp;$A151,downloads!$A:$D,3,FALSE),"")</f>
        <v>0</v>
      </c>
      <c r="M153" s="83">
        <f>IFERROR(VLOOKUP($A153&amp;L$2&amp;$A151,downloads!$A:$D,4,FALSE),"")</f>
        <v>0</v>
      </c>
      <c r="N153" s="83" t="str">
        <f>IFERROR(VLOOKUP($A153&amp;N$2&amp;$A151,downloads!$A:$D,3,FALSE),"")</f>
        <v/>
      </c>
      <c r="O153" s="83" t="str">
        <f>IFERROR(VLOOKUP($A153&amp;N$2&amp;$A151,downloads!$A:$D,4,FALSE),"")</f>
        <v/>
      </c>
      <c r="P153" s="83" t="str">
        <f>IFERROR(VLOOKUP($A153&amp;P$2&amp;$A151,downloads!$A:$D,3,FALSE),"")</f>
        <v/>
      </c>
      <c r="Q153" s="83" t="str">
        <f>IFERROR(VLOOKUP($A153&amp;P$2&amp;$A151,downloads!$A:$D,4,FALSE),"")</f>
        <v/>
      </c>
      <c r="R153" s="83" t="str">
        <f>IFERROR(VLOOKUP($A153&amp;R$2&amp;$A151,downloads!$A:$D,3,FALSE),"")</f>
        <v/>
      </c>
      <c r="S153" s="83" t="str">
        <f>IFERROR(VLOOKUP($A153&amp;R$2&amp;$A151,downloads!$A:$D,4,FALSE),"")</f>
        <v/>
      </c>
    </row>
    <row r="154" spans="1:19" x14ac:dyDescent="0.35">
      <c r="A154" s="434" t="s">
        <v>1902</v>
      </c>
      <c r="B154" s="83">
        <v>2</v>
      </c>
      <c r="C154" s="83" t="str">
        <f t="shared" si="128"/>
        <v>150 / 200</v>
      </c>
      <c r="D154" s="83" t="str">
        <f>IFERROR(VLOOKUP($A154&amp;D$2&amp;$A151,downloads!$A:$D,3,FALSE),"")</f>
        <v>GASKIN Nathanael</v>
      </c>
      <c r="E154" s="83" t="str">
        <f>IFERROR(VLOOKUP($A154&amp;D$2&amp;$A151,downloads!$A:$D,4,FALSE),"")</f>
        <v>LOWE Seth</v>
      </c>
      <c r="F154" s="83" t="str">
        <f>IFERROR(VLOOKUP($A154&amp;F$2&amp;$A151,downloads!$A:$D,3,FALSE),"")</f>
        <v>WINGFIELD Tyler</v>
      </c>
      <c r="G154" s="83" t="str">
        <f>IFERROR(VLOOKUP($A154&amp;F$2&amp;$A151,downloads!$A:$D,4,FALSE),"")</f>
        <v>MAY Rudi</v>
      </c>
      <c r="H154" s="83" t="str">
        <f>IFERROR(VLOOKUP($A154&amp;H$2&amp;$A151,downloads!$A:$D,3,FALSE),"")</f>
        <v>MARSHALL Syd</v>
      </c>
      <c r="I154" s="83" t="str">
        <f>IFERROR(VLOOKUP($A154&amp;H$2&amp;$A151,downloads!$A:$D,4,FALSE),"")</f>
        <v>BASTOW Isaac</v>
      </c>
      <c r="J154" s="83" t="str">
        <f>IFERROR(VLOOKUP($A154&amp;J$2&amp;$A151,downloads!$A:$D,3,FALSE),"")</f>
        <v>MAYNARD Finley</v>
      </c>
      <c r="K154" s="83" t="str">
        <f>IFERROR(VLOOKUP($A154&amp;J$2&amp;$A151,downloads!$A:$D,4,FALSE),"")</f>
        <v>HONEYMAN Leo</v>
      </c>
      <c r="L154" s="83" t="str">
        <f>IFERROR(VLOOKUP($A154&amp;L$2&amp;$A151,downloads!$A:$D,3,FALSE),"")</f>
        <v>LANGTON Cody</v>
      </c>
      <c r="M154" s="83" t="str">
        <f>IFERROR(VLOOKUP($A154&amp;L$2&amp;$A151,downloads!$A:$D,4,FALSE),"")</f>
        <v>-</v>
      </c>
      <c r="N154" s="83" t="str">
        <f>IFERROR(VLOOKUP($A154&amp;N$2&amp;$A151,downloads!$A:$D,3,FALSE),"")</f>
        <v/>
      </c>
      <c r="O154" s="83" t="str">
        <f>IFERROR(VLOOKUP($A154&amp;N$2&amp;$A151,downloads!$A:$D,4,FALSE),"")</f>
        <v/>
      </c>
      <c r="P154" s="83" t="str">
        <f>IFERROR(VLOOKUP($A154&amp;P$2&amp;$A151,downloads!$A:$D,3,FALSE),"")</f>
        <v/>
      </c>
      <c r="Q154" s="83" t="str">
        <f>IFERROR(VLOOKUP($A154&amp;P$2&amp;$A151,downloads!$A:$D,4,FALSE),"")</f>
        <v/>
      </c>
      <c r="R154" s="83" t="str">
        <f>IFERROR(VLOOKUP($A154&amp;R$2&amp;$A151,downloads!$A:$D,3,FALSE),"")</f>
        <v/>
      </c>
      <c r="S154" s="83" t="str">
        <f>IFERROR(VLOOKUP($A154&amp;R$2&amp;$A151,downloads!$A:$D,4,FALSE),"")</f>
        <v/>
      </c>
    </row>
    <row r="155" spans="1:19" x14ac:dyDescent="0.35">
      <c r="A155" s="434" t="s">
        <v>1903</v>
      </c>
      <c r="B155" s="83">
        <v>3</v>
      </c>
      <c r="C155" s="83" t="str">
        <f t="shared" si="128"/>
        <v>300 / 400</v>
      </c>
      <c r="D155" s="83">
        <f>IFERROR(VLOOKUP($A155&amp;D$2&amp;$A151,downloads!$A:$D,3,FALSE),"")</f>
        <v>0</v>
      </c>
      <c r="E155" s="83">
        <f>IFERROR(VLOOKUP($A155&amp;D$2&amp;$A151,downloads!$A:$D,4,FALSE),"")</f>
        <v>0</v>
      </c>
      <c r="F155" s="83">
        <f>IFERROR(VLOOKUP($A155&amp;F$2&amp;$A151,downloads!$A:$D,3,FALSE),"")</f>
        <v>0</v>
      </c>
      <c r="G155" s="83">
        <f>IFERROR(VLOOKUP($A155&amp;F$2&amp;$A151,downloads!$A:$D,4,FALSE),"")</f>
        <v>0</v>
      </c>
      <c r="H155" s="83">
        <f>IFERROR(VLOOKUP($A155&amp;H$2&amp;$A151,downloads!$A:$D,3,FALSE),"")</f>
        <v>0</v>
      </c>
      <c r="I155" s="83">
        <f>IFERROR(VLOOKUP($A155&amp;H$2&amp;$A151,downloads!$A:$D,4,FALSE),"")</f>
        <v>0</v>
      </c>
      <c r="J155" s="83">
        <f>IFERROR(VLOOKUP($A155&amp;J$2&amp;$A151,downloads!$A:$D,3,FALSE),"")</f>
        <v>0</v>
      </c>
      <c r="K155" s="83">
        <f>IFERROR(VLOOKUP($A155&amp;J$2&amp;$A151,downloads!$A:$D,4,FALSE),"")</f>
        <v>0</v>
      </c>
      <c r="L155" s="83">
        <f>IFERROR(VLOOKUP($A155&amp;L$2&amp;$A151,downloads!$A:$D,3,FALSE),"")</f>
        <v>0</v>
      </c>
      <c r="M155" s="83">
        <f>IFERROR(VLOOKUP($A155&amp;L$2&amp;$A151,downloads!$A:$D,4,FALSE),"")</f>
        <v>0</v>
      </c>
      <c r="N155" s="83" t="str">
        <f>IFERROR(VLOOKUP($A155&amp;N$2&amp;$A151,downloads!$A:$D,3,FALSE),"")</f>
        <v/>
      </c>
      <c r="O155" s="83" t="str">
        <f>IFERROR(VLOOKUP($A155&amp;N$2&amp;$A151,downloads!$A:$D,4,FALSE),"")</f>
        <v/>
      </c>
      <c r="P155" s="83" t="str">
        <f>IFERROR(VLOOKUP($A155&amp;P$2&amp;$A151,downloads!$A:$D,3,FALSE),"")</f>
        <v/>
      </c>
      <c r="Q155" s="83" t="str">
        <f>IFERROR(VLOOKUP($A155&amp;P$2&amp;$A151,downloads!$A:$D,4,FALSE),"")</f>
        <v/>
      </c>
      <c r="R155" s="83" t="str">
        <f>IFERROR(VLOOKUP($A155&amp;R$2&amp;$A151,downloads!$A:$D,3,FALSE),"")</f>
        <v/>
      </c>
      <c r="S155" s="83" t="str">
        <f>IFERROR(VLOOKUP($A155&amp;R$2&amp;$A151,downloads!$A:$D,4,FALSE),"")</f>
        <v/>
      </c>
    </row>
    <row r="156" spans="1:19" x14ac:dyDescent="0.35">
      <c r="A156" s="434" t="s">
        <v>1904</v>
      </c>
      <c r="B156" s="83">
        <v>4</v>
      </c>
      <c r="C156" s="83">
        <f t="shared" si="128"/>
        <v>800</v>
      </c>
      <c r="D156" s="83" t="str">
        <f>IFERROR(VLOOKUP($A156&amp;D$2&amp;$A151,downloads!$A:$D,3,FALSE),"")</f>
        <v>LOWE Seth</v>
      </c>
      <c r="E156" s="83" t="str">
        <f>IFERROR(VLOOKUP($A156&amp;D$2&amp;$A151,downloads!$A:$D,4,FALSE),"")</f>
        <v>STOWELL Callum</v>
      </c>
      <c r="F156" s="83" t="str">
        <f>IFERROR(VLOOKUP($A156&amp;F$2&amp;$A151,downloads!$A:$D,3,FALSE),"")</f>
        <v>PLATTS Will</v>
      </c>
      <c r="G156" s="83" t="str">
        <f>IFERROR(VLOOKUP($A156&amp;F$2&amp;$A151,downloads!$A:$D,4,FALSE),"")</f>
        <v>REED Elliot</v>
      </c>
      <c r="H156" s="83" t="str">
        <f>IFERROR(VLOOKUP($A156&amp;H$2&amp;$A151,downloads!$A:$D,3,FALSE),"")</f>
        <v>SANDWELL Joshua</v>
      </c>
      <c r="I156" s="83" t="str">
        <f>IFERROR(VLOOKUP($A156&amp;H$2&amp;$A151,downloads!$A:$D,4,FALSE),"")</f>
        <v>JONES Alex</v>
      </c>
      <c r="J156" s="83" t="str">
        <f>IFERROR(VLOOKUP($A156&amp;J$2&amp;$A151,downloads!$A:$D,3,FALSE),"")</f>
        <v>FRANCIS Stan</v>
      </c>
      <c r="K156" s="83" t="str">
        <f>IFERROR(VLOOKUP($A156&amp;J$2&amp;$A151,downloads!$A:$D,4,FALSE),"")</f>
        <v>CRAGGS George</v>
      </c>
      <c r="L156" s="83" t="str">
        <f>IFERROR(VLOOKUP($A156&amp;L$2&amp;$A151,downloads!$A:$D,3,FALSE),"")</f>
        <v>-</v>
      </c>
      <c r="M156" s="83">
        <f>IFERROR(VLOOKUP($A156&amp;L$2&amp;$A151,downloads!$A:$D,4,FALSE),"")</f>
        <v>0</v>
      </c>
      <c r="N156" s="83" t="str">
        <f>IFERROR(VLOOKUP($A156&amp;N$2&amp;$A151,downloads!$A:$D,3,FALSE),"")</f>
        <v/>
      </c>
      <c r="O156" s="83" t="str">
        <f>IFERROR(VLOOKUP($A156&amp;N$2&amp;$A151,downloads!$A:$D,4,FALSE),"")</f>
        <v/>
      </c>
      <c r="P156" s="83" t="str">
        <f>IFERROR(VLOOKUP($A156&amp;P$2&amp;$A151,downloads!$A:$D,3,FALSE),"")</f>
        <v/>
      </c>
      <c r="Q156" s="83" t="str">
        <f>IFERROR(VLOOKUP($A156&amp;P$2&amp;$A151,downloads!$A:$D,4,FALSE),"")</f>
        <v/>
      </c>
      <c r="R156" s="83" t="str">
        <f>IFERROR(VLOOKUP($A156&amp;R$2&amp;$A151,downloads!$A:$D,3,FALSE),"")</f>
        <v/>
      </c>
      <c r="S156" s="83" t="str">
        <f>IFERROR(VLOOKUP($A156&amp;R$2&amp;$A151,downloads!$A:$D,4,FALSE),"")</f>
        <v/>
      </c>
    </row>
    <row r="157" spans="1:19" x14ac:dyDescent="0.35">
      <c r="A157" s="434" t="s">
        <v>1905</v>
      </c>
      <c r="B157" s="83">
        <v>5</v>
      </c>
      <c r="C157" s="83" t="str">
        <f t="shared" si="128"/>
        <v>800 NS</v>
      </c>
      <c r="D157" s="83">
        <f>IFERROR(VLOOKUP($A157&amp;D$2&amp;$A151,downloads!$A:$D,3,FALSE),"")</f>
        <v>0</v>
      </c>
      <c r="E157" s="83">
        <f>IFERROR(VLOOKUP($A157&amp;D$2&amp;$A151,downloads!$A:$D,4,FALSE),"")</f>
        <v>0</v>
      </c>
      <c r="F157" s="83" t="str">
        <f>IFERROR(VLOOKUP($A157&amp;F$2&amp;$A151,downloads!$A:$D,3,FALSE),"")</f>
        <v>-</v>
      </c>
      <c r="G157" s="83">
        <f>IFERROR(VLOOKUP($A157&amp;F$2&amp;$A151,downloads!$A:$D,4,FALSE),"")</f>
        <v>0</v>
      </c>
      <c r="H157" s="83" t="str">
        <f>IFERROR(VLOOKUP($A157&amp;H$2&amp;$A151,downloads!$A:$D,3,FALSE),"")</f>
        <v>-</v>
      </c>
      <c r="I157" s="83" t="str">
        <f>IFERROR(VLOOKUP($A157&amp;H$2&amp;$A151,downloads!$A:$D,4,FALSE),"")</f>
        <v>-</v>
      </c>
      <c r="J157" s="83" t="str">
        <f>IFERROR(VLOOKUP($A157&amp;J$2&amp;$A151,downloads!$A:$D,3,FALSE),"")</f>
        <v>-</v>
      </c>
      <c r="K157" s="83" t="str">
        <f>IFERROR(VLOOKUP($A157&amp;J$2&amp;$A151,downloads!$A:$D,4,FALSE),"")</f>
        <v>-</v>
      </c>
      <c r="L157" s="83">
        <f>IFERROR(VLOOKUP($A157&amp;L$2&amp;$A151,downloads!$A:$D,3,FALSE),"")</f>
        <v>0</v>
      </c>
      <c r="M157" s="83">
        <f>IFERROR(VLOOKUP($A157&amp;L$2&amp;$A151,downloads!$A:$D,4,FALSE),"")</f>
        <v>0</v>
      </c>
      <c r="N157" s="83" t="str">
        <f>IFERROR(VLOOKUP($A157&amp;N$2&amp;$A151,downloads!$A:$D,3,FALSE),"")</f>
        <v/>
      </c>
      <c r="O157" s="83" t="str">
        <f>IFERROR(VLOOKUP($A157&amp;N$2&amp;$A151,downloads!$A:$D,4,FALSE),"")</f>
        <v/>
      </c>
      <c r="P157" s="83" t="str">
        <f>IFERROR(VLOOKUP($A157&amp;P$2&amp;$A151,downloads!$A:$D,3,FALSE),"")</f>
        <v/>
      </c>
      <c r="Q157" s="83" t="str">
        <f>IFERROR(VLOOKUP($A157&amp;P$2&amp;$A151,downloads!$A:$D,4,FALSE),"")</f>
        <v/>
      </c>
      <c r="R157" s="83" t="str">
        <f>IFERROR(VLOOKUP($A157&amp;R$2&amp;$A151,downloads!$A:$D,3,FALSE),"")</f>
        <v/>
      </c>
      <c r="S157" s="83" t="str">
        <f>IFERROR(VLOOKUP($A157&amp;R$2&amp;$A151,downloads!$A:$D,4,FALSE),"")</f>
        <v/>
      </c>
    </row>
    <row r="158" spans="1:19" x14ac:dyDescent="0.35">
      <c r="A158" s="434" t="s">
        <v>1906</v>
      </c>
      <c r="B158" s="83">
        <v>6</v>
      </c>
      <c r="C158" s="83" t="str">
        <f t="shared" si="128"/>
        <v>1200 / 1500</v>
      </c>
      <c r="D158" s="83">
        <f>IFERROR(VLOOKUP($A158&amp;D$2&amp;$A151,downloads!$A:$D,3,FALSE),"")</f>
        <v>0</v>
      </c>
      <c r="E158" s="83">
        <f>IFERROR(VLOOKUP($A158&amp;D$2&amp;$A151,downloads!$A:$D,4,FALSE),"")</f>
        <v>0</v>
      </c>
      <c r="F158" s="83" t="str">
        <f>IFERROR(VLOOKUP($A158&amp;F$2&amp;$A151,downloads!$A:$D,3,FALSE),"")</f>
        <v>TAYLOR George</v>
      </c>
      <c r="G158" s="83" t="str">
        <f>IFERROR(VLOOKUP($A158&amp;F$2&amp;$A151,downloads!$A:$D,4,FALSE),"")</f>
        <v>ENGLISH Elliott</v>
      </c>
      <c r="H158" s="83" t="str">
        <f>IFERROR(VLOOKUP($A158&amp;H$2&amp;$A151,downloads!$A:$D,3,FALSE),"")</f>
        <v>CHALK William</v>
      </c>
      <c r="I158" s="83" t="str">
        <f>IFERROR(VLOOKUP($A158&amp;H$2&amp;$A151,downloads!$A:$D,4,FALSE),"")</f>
        <v>WATSON Miles</v>
      </c>
      <c r="J158" s="83" t="str">
        <f>IFERROR(VLOOKUP($A158&amp;J$2&amp;$A151,downloads!$A:$D,3,FALSE),"")</f>
        <v>O'HARE Christy</v>
      </c>
      <c r="K158" s="83" t="str">
        <f>IFERROR(VLOOKUP($A158&amp;J$2&amp;$A151,downloads!$A:$D,4,FALSE),"")</f>
        <v>MARRON Ethan</v>
      </c>
      <c r="L158" s="83" t="str">
        <f>IFERROR(VLOOKUP($A158&amp;L$2&amp;$A151,downloads!$A:$D,3,FALSE),"")</f>
        <v>OADES James</v>
      </c>
      <c r="M158" s="83">
        <f>IFERROR(VLOOKUP($A158&amp;L$2&amp;$A151,downloads!$A:$D,4,FALSE),"")</f>
        <v>0</v>
      </c>
      <c r="N158" s="83" t="str">
        <f>IFERROR(VLOOKUP($A158&amp;N$2&amp;$A151,downloads!$A:$D,3,FALSE),"")</f>
        <v/>
      </c>
      <c r="O158" s="83" t="str">
        <f>IFERROR(VLOOKUP($A158&amp;N$2&amp;$A151,downloads!$A:$D,4,FALSE),"")</f>
        <v/>
      </c>
      <c r="P158" s="83" t="str">
        <f>IFERROR(VLOOKUP($A158&amp;P$2&amp;$A151,downloads!$A:$D,3,FALSE),"")</f>
        <v/>
      </c>
      <c r="Q158" s="83" t="str">
        <f>IFERROR(VLOOKUP($A158&amp;P$2&amp;$A151,downloads!$A:$D,4,FALSE),"")</f>
        <v/>
      </c>
      <c r="R158" s="83" t="str">
        <f>IFERROR(VLOOKUP($A158&amp;R$2&amp;$A151,downloads!$A:$D,3,FALSE),"")</f>
        <v/>
      </c>
      <c r="S158" s="83" t="str">
        <f>IFERROR(VLOOKUP($A158&amp;R$2&amp;$A151,downloads!$A:$D,4,FALSE),"")</f>
        <v/>
      </c>
    </row>
    <row r="159" spans="1:19" x14ac:dyDescent="0.35">
      <c r="A159" s="434" t="s">
        <v>1907</v>
      </c>
      <c r="B159" s="83">
        <v>7</v>
      </c>
      <c r="C159" s="83" t="str">
        <f t="shared" si="128"/>
        <v>Sprint Hurdles</v>
      </c>
      <c r="D159" s="83">
        <f>IFERROR(VLOOKUP($A159&amp;D$2&amp;$A151,downloads!$A:$D,3,FALSE),"")</f>
        <v>0</v>
      </c>
      <c r="E159" s="83">
        <f>IFERROR(VLOOKUP($A159&amp;D$2&amp;$A151,downloads!$A:$D,4,FALSE),"")</f>
        <v>0</v>
      </c>
      <c r="F159" s="83" t="str">
        <f>IFERROR(VLOOKUP($A159&amp;F$2&amp;$A151,downloads!$A:$D,3,FALSE),"")</f>
        <v>MAY Rudi</v>
      </c>
      <c r="G159" s="83" t="str">
        <f>IFERROR(VLOOKUP($A159&amp;F$2&amp;$A151,downloads!$A:$D,4,FALSE),"")</f>
        <v>REILLY Arthur</v>
      </c>
      <c r="H159" s="83" t="str">
        <f>IFERROR(VLOOKUP($A159&amp;H$2&amp;$A151,downloads!$A:$D,3,FALSE),"")</f>
        <v>HICKLING William</v>
      </c>
      <c r="I159" s="83" t="str">
        <f>IFERROR(VLOOKUP($A159&amp;H$2&amp;$A151,downloads!$A:$D,4,FALSE),"")</f>
        <v>JONES Alex</v>
      </c>
      <c r="J159" s="83" t="str">
        <f>IFERROR(VLOOKUP($A159&amp;J$2&amp;$A151,downloads!$A:$D,3,FALSE),"")</f>
        <v>BAKER Edward</v>
      </c>
      <c r="K159" s="83" t="str">
        <f>IFERROR(VLOOKUP($A159&amp;J$2&amp;$A151,downloads!$A:$D,4,FALSE),"")</f>
        <v>-</v>
      </c>
      <c r="L159" s="83">
        <f>IFERROR(VLOOKUP($A159&amp;L$2&amp;$A151,downloads!$A:$D,3,FALSE),"")</f>
        <v>0</v>
      </c>
      <c r="M159" s="83">
        <f>IFERROR(VLOOKUP($A159&amp;L$2&amp;$A151,downloads!$A:$D,4,FALSE),"")</f>
        <v>0</v>
      </c>
      <c r="N159" s="83" t="str">
        <f>IFERROR(VLOOKUP($A159&amp;N$2&amp;$A151,downloads!$A:$D,3,FALSE),"")</f>
        <v/>
      </c>
      <c r="O159" s="83" t="str">
        <f>IFERROR(VLOOKUP($A159&amp;N$2&amp;$A151,downloads!$A:$D,4,FALSE),"")</f>
        <v/>
      </c>
      <c r="P159" s="83" t="str">
        <f>IFERROR(VLOOKUP($A159&amp;P$2&amp;$A151,downloads!$A:$D,3,FALSE),"")</f>
        <v/>
      </c>
      <c r="Q159" s="83" t="str">
        <f>IFERROR(VLOOKUP($A159&amp;P$2&amp;$A151,downloads!$A:$D,4,FALSE),"")</f>
        <v/>
      </c>
      <c r="R159" s="83" t="str">
        <f>IFERROR(VLOOKUP($A159&amp;R$2&amp;$A151,downloads!$A:$D,3,FALSE),"")</f>
        <v/>
      </c>
      <c r="S159" s="83" t="str">
        <f>IFERROR(VLOOKUP($A159&amp;R$2&amp;$A151,downloads!$A:$D,4,FALSE),"")</f>
        <v/>
      </c>
    </row>
    <row r="160" spans="1:19" x14ac:dyDescent="0.35">
      <c r="A160" s="434" t="s">
        <v>1908</v>
      </c>
      <c r="B160" s="83">
        <v>8</v>
      </c>
      <c r="C160" s="83">
        <f t="shared" si="128"/>
        <v>3000</v>
      </c>
      <c r="D160" s="83">
        <f>IFERROR(VLOOKUP($A160&amp;D$2&amp;$A151,downloads!$A:$D,3,FALSE),"")</f>
        <v>0</v>
      </c>
      <c r="E160" s="83">
        <f>IFERROR(VLOOKUP($A160&amp;D$2&amp;$A151,downloads!$A:$D,4,FALSE),"")</f>
        <v>0</v>
      </c>
      <c r="F160" s="83">
        <f>IFERROR(VLOOKUP($A160&amp;F$2&amp;$A151,downloads!$A:$D,3,FALSE),"")</f>
        <v>0</v>
      </c>
      <c r="G160" s="83">
        <f>IFERROR(VLOOKUP($A160&amp;F$2&amp;$A151,downloads!$A:$D,4,FALSE),"")</f>
        <v>0</v>
      </c>
      <c r="H160" s="83">
        <f>IFERROR(VLOOKUP($A160&amp;H$2&amp;$A151,downloads!$A:$D,3,FALSE),"")</f>
        <v>0</v>
      </c>
      <c r="I160" s="83">
        <f>IFERROR(VLOOKUP($A160&amp;H$2&amp;$A151,downloads!$A:$D,4,FALSE),"")</f>
        <v>0</v>
      </c>
      <c r="J160" s="83">
        <f>IFERROR(VLOOKUP($A160&amp;J$2&amp;$A151,downloads!$A:$D,3,FALSE),"")</f>
        <v>0</v>
      </c>
      <c r="K160" s="83">
        <f>IFERROR(VLOOKUP($A160&amp;J$2&amp;$A151,downloads!$A:$D,4,FALSE),"")</f>
        <v>0</v>
      </c>
      <c r="L160" s="83">
        <f>IFERROR(VLOOKUP($A160&amp;L$2&amp;$A151,downloads!$A:$D,3,FALSE),"")</f>
        <v>0</v>
      </c>
      <c r="M160" s="83">
        <f>IFERROR(VLOOKUP($A160&amp;L$2&amp;$A151,downloads!$A:$D,4,FALSE),"")</f>
        <v>0</v>
      </c>
      <c r="N160" s="83" t="str">
        <f>IFERROR(VLOOKUP($A160&amp;N$2&amp;$A151,downloads!$A:$D,3,FALSE),"")</f>
        <v/>
      </c>
      <c r="O160" s="83" t="str">
        <f>IFERROR(VLOOKUP($A160&amp;N$2&amp;$A151,downloads!$A:$D,4,FALSE),"")</f>
        <v/>
      </c>
      <c r="P160" s="83" t="str">
        <f>IFERROR(VLOOKUP($A160&amp;P$2&amp;$A151,downloads!$A:$D,3,FALSE),"")</f>
        <v/>
      </c>
      <c r="Q160" s="83" t="str">
        <f>IFERROR(VLOOKUP($A160&amp;P$2&amp;$A151,downloads!$A:$D,4,FALSE),"")</f>
        <v/>
      </c>
      <c r="R160" s="83" t="str">
        <f>IFERROR(VLOOKUP($A160&amp;R$2&amp;$A151,downloads!$A:$D,3,FALSE),"")</f>
        <v/>
      </c>
      <c r="S160" s="83" t="str">
        <f>IFERROR(VLOOKUP($A160&amp;R$2&amp;$A151,downloads!$A:$D,4,FALSE),"")</f>
        <v/>
      </c>
    </row>
    <row r="161" spans="1:19" x14ac:dyDescent="0.35">
      <c r="A161" s="434" t="s">
        <v>1909</v>
      </c>
      <c r="B161" s="83">
        <v>9</v>
      </c>
      <c r="C161" s="83" t="str">
        <f t="shared" si="128"/>
        <v>Steeplechase</v>
      </c>
      <c r="D161" s="83">
        <f>IFERROR(VLOOKUP($A161&amp;D$2&amp;$A151,downloads!$A:$D,3,FALSE),"")</f>
        <v>0</v>
      </c>
      <c r="E161" s="83">
        <f>IFERROR(VLOOKUP($A161&amp;D$2&amp;$A151,downloads!$A:$D,4,FALSE),"")</f>
        <v>0</v>
      </c>
      <c r="F161" s="83">
        <f>IFERROR(VLOOKUP($A161&amp;F$2&amp;$A151,downloads!$A:$D,3,FALSE),"")</f>
        <v>0</v>
      </c>
      <c r="G161" s="83">
        <f>IFERROR(VLOOKUP($A161&amp;F$2&amp;$A151,downloads!$A:$D,4,FALSE),"")</f>
        <v>0</v>
      </c>
      <c r="H161" s="83">
        <f>IFERROR(VLOOKUP($A161&amp;H$2&amp;$A151,downloads!$A:$D,3,FALSE),"")</f>
        <v>0</v>
      </c>
      <c r="I161" s="83">
        <f>IFERROR(VLOOKUP($A161&amp;H$2&amp;$A151,downloads!$A:$D,4,FALSE),"")</f>
        <v>0</v>
      </c>
      <c r="J161" s="83">
        <f>IFERROR(VLOOKUP($A161&amp;J$2&amp;$A151,downloads!$A:$D,3,FALSE),"")</f>
        <v>0</v>
      </c>
      <c r="K161" s="83">
        <f>IFERROR(VLOOKUP($A161&amp;J$2&amp;$A151,downloads!$A:$D,4,FALSE),"")</f>
        <v>0</v>
      </c>
      <c r="L161" s="83">
        <f>IFERROR(VLOOKUP($A161&amp;L$2&amp;$A151,downloads!$A:$D,3,FALSE),"")</f>
        <v>0</v>
      </c>
      <c r="M161" s="83">
        <f>IFERROR(VLOOKUP($A161&amp;L$2&amp;$A151,downloads!$A:$D,4,FALSE),"")</f>
        <v>0</v>
      </c>
      <c r="N161" s="83" t="str">
        <f>IFERROR(VLOOKUP($A161&amp;N$2&amp;$A151,downloads!$A:$D,3,FALSE),"")</f>
        <v/>
      </c>
      <c r="O161" s="83" t="str">
        <f>IFERROR(VLOOKUP($A161&amp;N$2&amp;$A151,downloads!$A:$D,4,FALSE),"")</f>
        <v/>
      </c>
      <c r="P161" s="83" t="str">
        <f>IFERROR(VLOOKUP($A161&amp;P$2&amp;$A151,downloads!$A:$D,3,FALSE),"")</f>
        <v/>
      </c>
      <c r="Q161" s="83" t="str">
        <f>IFERROR(VLOOKUP($A161&amp;P$2&amp;$A151,downloads!$A:$D,4,FALSE),"")</f>
        <v/>
      </c>
      <c r="R161" s="83" t="str">
        <f>IFERROR(VLOOKUP($A161&amp;R$2&amp;$A151,downloads!$A:$D,3,FALSE),"")</f>
        <v/>
      </c>
      <c r="S161" s="83" t="str">
        <f>IFERROR(VLOOKUP($A161&amp;R$2&amp;$A151,downloads!$A:$D,4,FALSE),"")</f>
        <v/>
      </c>
    </row>
    <row r="162" spans="1:19" x14ac:dyDescent="0.35">
      <c r="A162" s="434" t="s">
        <v>1910</v>
      </c>
      <c r="B162" s="83">
        <v>10</v>
      </c>
      <c r="C162" s="83" t="str">
        <f t="shared" si="128"/>
        <v>Distance Hurdles</v>
      </c>
      <c r="D162" s="83">
        <f>IFERROR(VLOOKUP($A162&amp;D$2&amp;$A151,downloads!$A:$D,3,FALSE),"")</f>
        <v>0</v>
      </c>
      <c r="E162" s="83">
        <f>IFERROR(VLOOKUP($A162&amp;D$2&amp;$A151,downloads!$A:$D,4,FALSE),"")</f>
        <v>0</v>
      </c>
      <c r="F162" s="83">
        <f>IFERROR(VLOOKUP($A162&amp;F$2&amp;$A151,downloads!$A:$D,3,FALSE),"")</f>
        <v>0</v>
      </c>
      <c r="G162" s="83">
        <f>IFERROR(VLOOKUP($A162&amp;F$2&amp;$A151,downloads!$A:$D,4,FALSE),"")</f>
        <v>0</v>
      </c>
      <c r="H162" s="83">
        <f>IFERROR(VLOOKUP($A162&amp;H$2&amp;$A151,downloads!$A:$D,3,FALSE),"")</f>
        <v>0</v>
      </c>
      <c r="I162" s="83">
        <f>IFERROR(VLOOKUP($A162&amp;H$2&amp;$A151,downloads!$A:$D,4,FALSE),"")</f>
        <v>0</v>
      </c>
      <c r="J162" s="83">
        <f>IFERROR(VLOOKUP($A162&amp;J$2&amp;$A151,downloads!$A:$D,3,FALSE),"")</f>
        <v>0</v>
      </c>
      <c r="K162" s="83">
        <f>IFERROR(VLOOKUP($A162&amp;J$2&amp;$A151,downloads!$A:$D,4,FALSE),"")</f>
        <v>0</v>
      </c>
      <c r="L162" s="83">
        <f>IFERROR(VLOOKUP($A162&amp;L$2&amp;$A151,downloads!$A:$D,3,FALSE),"")</f>
        <v>0</v>
      </c>
      <c r="M162" s="83">
        <f>IFERROR(VLOOKUP($A162&amp;L$2&amp;$A151,downloads!$A:$D,4,FALSE),"")</f>
        <v>0</v>
      </c>
      <c r="N162" s="83" t="str">
        <f>IFERROR(VLOOKUP($A162&amp;N$2&amp;$A151,downloads!$A:$D,3,FALSE),"")</f>
        <v/>
      </c>
      <c r="O162" s="83" t="str">
        <f>IFERROR(VLOOKUP($A162&amp;N$2&amp;$A151,downloads!$A:$D,4,FALSE),"")</f>
        <v/>
      </c>
      <c r="P162" s="83" t="str">
        <f>IFERROR(VLOOKUP($A162&amp;P$2&amp;$A151,downloads!$A:$D,3,FALSE),"")</f>
        <v/>
      </c>
      <c r="Q162" s="83" t="str">
        <f>IFERROR(VLOOKUP($A162&amp;P$2&amp;$A151,downloads!$A:$D,4,FALSE),"")</f>
        <v/>
      </c>
      <c r="R162" s="83" t="str">
        <f>IFERROR(VLOOKUP($A162&amp;R$2&amp;$A151,downloads!$A:$D,3,FALSE),"")</f>
        <v/>
      </c>
      <c r="S162" s="83" t="str">
        <f>IFERROR(VLOOKUP($A162&amp;R$2&amp;$A151,downloads!$A:$D,4,FALSE),"")</f>
        <v/>
      </c>
    </row>
    <row r="163" spans="1:19" x14ac:dyDescent="0.35">
      <c r="A163" s="434" t="s">
        <v>1911</v>
      </c>
      <c r="B163" s="83">
        <v>11</v>
      </c>
      <c r="C163" s="83" t="str">
        <f t="shared" si="128"/>
        <v>Discus</v>
      </c>
      <c r="D163" s="83">
        <f>IFERROR(VLOOKUP($A163&amp;D$2&amp;$A151,downloads!$A:$D,3,FALSE),"")</f>
        <v>0</v>
      </c>
      <c r="E163" s="83">
        <f>IFERROR(VLOOKUP($A163&amp;D$2&amp;$A151,downloads!$A:$D,4,FALSE),"")</f>
        <v>0</v>
      </c>
      <c r="F163" s="83">
        <f>IFERROR(VLOOKUP($A163&amp;F$2&amp;$A151,downloads!$A:$D,3,FALSE),"")</f>
        <v>0</v>
      </c>
      <c r="G163" s="83">
        <f>IFERROR(VLOOKUP($A163&amp;F$2&amp;$A151,downloads!$A:$D,4,FALSE),"")</f>
        <v>0</v>
      </c>
      <c r="H163" s="83">
        <f>IFERROR(VLOOKUP($A163&amp;H$2&amp;$A151,downloads!$A:$D,3,FALSE),"")</f>
        <v>0</v>
      </c>
      <c r="I163" s="83">
        <f>IFERROR(VLOOKUP($A163&amp;H$2&amp;$A151,downloads!$A:$D,4,FALSE),"")</f>
        <v>0</v>
      </c>
      <c r="J163" s="83">
        <f>IFERROR(VLOOKUP($A163&amp;J$2&amp;$A151,downloads!$A:$D,3,FALSE),"")</f>
        <v>0</v>
      </c>
      <c r="K163" s="83">
        <f>IFERROR(VLOOKUP($A163&amp;J$2&amp;$A151,downloads!$A:$D,4,FALSE),"")</f>
        <v>0</v>
      </c>
      <c r="L163" s="83">
        <f>IFERROR(VLOOKUP($A163&amp;L$2&amp;$A151,downloads!$A:$D,3,FALSE),"")</f>
        <v>0</v>
      </c>
      <c r="M163" s="83">
        <f>IFERROR(VLOOKUP($A163&amp;L$2&amp;$A151,downloads!$A:$D,4,FALSE),"")</f>
        <v>0</v>
      </c>
      <c r="N163" s="83" t="str">
        <f>IFERROR(VLOOKUP($A163&amp;N$2&amp;$A151,downloads!$A:$D,3,FALSE),"")</f>
        <v/>
      </c>
      <c r="O163" s="83" t="str">
        <f>IFERROR(VLOOKUP($A163&amp;N$2&amp;$A151,downloads!$A:$D,4,FALSE),"")</f>
        <v/>
      </c>
      <c r="P163" s="83" t="str">
        <f>IFERROR(VLOOKUP($A163&amp;P$2&amp;$A151,downloads!$A:$D,3,FALSE),"")</f>
        <v/>
      </c>
      <c r="Q163" s="83" t="str">
        <f>IFERROR(VLOOKUP($A163&amp;P$2&amp;$A151,downloads!$A:$D,4,FALSE),"")</f>
        <v/>
      </c>
      <c r="R163" s="83" t="str">
        <f>IFERROR(VLOOKUP($A163&amp;R$2&amp;$A151,downloads!$A:$D,3,FALSE),"")</f>
        <v/>
      </c>
      <c r="S163" s="83" t="str">
        <f>IFERROR(VLOOKUP($A163&amp;R$2&amp;$A151,downloads!$A:$D,4,FALSE),"")</f>
        <v/>
      </c>
    </row>
    <row r="164" spans="1:19" x14ac:dyDescent="0.35">
      <c r="A164" s="434" t="s">
        <v>1912</v>
      </c>
      <c r="B164" s="83">
        <v>12</v>
      </c>
      <c r="C164" s="83" t="str">
        <f t="shared" si="128"/>
        <v>Hammer</v>
      </c>
      <c r="D164" s="83">
        <f>IFERROR(VLOOKUP($A164&amp;D$2&amp;$A151,downloads!$A:$D,3,FALSE),"")</f>
        <v>0</v>
      </c>
      <c r="E164" s="83">
        <f>IFERROR(VLOOKUP($A164&amp;D$2&amp;$A151,downloads!$A:$D,4,FALSE),"")</f>
        <v>0</v>
      </c>
      <c r="F164" s="83">
        <f>IFERROR(VLOOKUP($A164&amp;F$2&amp;$A151,downloads!$A:$D,3,FALSE),"")</f>
        <v>0</v>
      </c>
      <c r="G164" s="83">
        <f>IFERROR(VLOOKUP($A164&amp;F$2&amp;$A151,downloads!$A:$D,4,FALSE),"")</f>
        <v>0</v>
      </c>
      <c r="H164" s="83">
        <f>IFERROR(VLOOKUP($A164&amp;H$2&amp;$A151,downloads!$A:$D,3,FALSE),"")</f>
        <v>0</v>
      </c>
      <c r="I164" s="83">
        <f>IFERROR(VLOOKUP($A164&amp;H$2&amp;$A151,downloads!$A:$D,4,FALSE),"")</f>
        <v>0</v>
      </c>
      <c r="J164" s="83">
        <f>IFERROR(VLOOKUP($A164&amp;J$2&amp;$A151,downloads!$A:$D,3,FALSE),"")</f>
        <v>0</v>
      </c>
      <c r="K164" s="83">
        <f>IFERROR(VLOOKUP($A164&amp;J$2&amp;$A151,downloads!$A:$D,4,FALSE),"")</f>
        <v>0</v>
      </c>
      <c r="L164" s="83">
        <f>IFERROR(VLOOKUP($A164&amp;L$2&amp;$A151,downloads!$A:$D,3,FALSE),"")</f>
        <v>0</v>
      </c>
      <c r="M164" s="83">
        <f>IFERROR(VLOOKUP($A164&amp;L$2&amp;$A151,downloads!$A:$D,4,FALSE),"")</f>
        <v>0</v>
      </c>
      <c r="N164" s="83" t="str">
        <f>IFERROR(VLOOKUP($A164&amp;N$2&amp;$A151,downloads!$A:$D,3,FALSE),"")</f>
        <v/>
      </c>
      <c r="O164" s="83" t="str">
        <f>IFERROR(VLOOKUP($A164&amp;N$2&amp;$A151,downloads!$A:$D,4,FALSE),"")</f>
        <v/>
      </c>
      <c r="P164" s="83" t="str">
        <f>IFERROR(VLOOKUP($A164&amp;P$2&amp;$A151,downloads!$A:$D,3,FALSE),"")</f>
        <v/>
      </c>
      <c r="Q164" s="83" t="str">
        <f>IFERROR(VLOOKUP($A164&amp;P$2&amp;$A151,downloads!$A:$D,4,FALSE),"")</f>
        <v/>
      </c>
      <c r="R164" s="83" t="str">
        <f>IFERROR(VLOOKUP($A164&amp;R$2&amp;$A151,downloads!$A:$D,3,FALSE),"")</f>
        <v/>
      </c>
      <c r="S164" s="83" t="str">
        <f>IFERROR(VLOOKUP($A164&amp;R$2&amp;$A151,downloads!$A:$D,4,FALSE),"")</f>
        <v/>
      </c>
    </row>
    <row r="165" spans="1:19" x14ac:dyDescent="0.35">
      <c r="A165" s="434" t="s">
        <v>1913</v>
      </c>
      <c r="B165" s="83">
        <v>13</v>
      </c>
      <c r="C165" s="83" t="str">
        <f t="shared" si="128"/>
        <v>Javelin</v>
      </c>
      <c r="D165" s="83" t="str">
        <f>IFERROR(VLOOKUP($A165&amp;D$2&amp;$A151,downloads!$A:$D,3,FALSE),"")</f>
        <v>STOWELL Callum</v>
      </c>
      <c r="E165" s="83">
        <f>IFERROR(VLOOKUP($A165&amp;D$2&amp;$A151,downloads!$A:$D,4,FALSE),"")</f>
        <v>0</v>
      </c>
      <c r="F165" s="83" t="str">
        <f>IFERROR(VLOOKUP($A165&amp;F$2&amp;$A151,downloads!$A:$D,3,FALSE),"")</f>
        <v>HENNESSEY Thomas</v>
      </c>
      <c r="G165" s="83" t="str">
        <f>IFERROR(VLOOKUP($A165&amp;F$2&amp;$A151,downloads!$A:$D,4,FALSE),"")</f>
        <v>COCKINGS Matthew</v>
      </c>
      <c r="H165" s="83" t="str">
        <f>IFERROR(VLOOKUP($A165&amp;H$2&amp;$A151,downloads!$A:$D,3,FALSE),"")</f>
        <v>RUTTER Lewis</v>
      </c>
      <c r="I165" s="83" t="str">
        <f>IFERROR(VLOOKUP($A165&amp;H$2&amp;$A151,downloads!$A:$D,4,FALSE),"")</f>
        <v>ROTHWELL Noah</v>
      </c>
      <c r="J165" s="83" t="str">
        <f>IFERROR(VLOOKUP($A165&amp;J$2&amp;$A151,downloads!$A:$D,3,FALSE),"")</f>
        <v>MAYNARD Finley</v>
      </c>
      <c r="K165" s="83" t="str">
        <f>IFERROR(VLOOKUP($A165&amp;J$2&amp;$A151,downloads!$A:$D,4,FALSE),"")</f>
        <v>-</v>
      </c>
      <c r="L165" s="83" t="str">
        <f>IFERROR(VLOOKUP($A165&amp;L$2&amp;$A151,downloads!$A:$D,3,FALSE),"")</f>
        <v>COOK Alexander</v>
      </c>
      <c r="M165" s="83" t="str">
        <f>IFERROR(VLOOKUP($A165&amp;L$2&amp;$A151,downloads!$A:$D,4,FALSE),"")</f>
        <v>PELL Nathan</v>
      </c>
      <c r="N165" s="83" t="str">
        <f>IFERROR(VLOOKUP($A165&amp;N$2&amp;$A151,downloads!$A:$D,3,FALSE),"")</f>
        <v/>
      </c>
      <c r="O165" s="83" t="str">
        <f>IFERROR(VLOOKUP($A165&amp;N$2&amp;$A151,downloads!$A:$D,4,FALSE),"")</f>
        <v/>
      </c>
      <c r="P165" s="83" t="str">
        <f>IFERROR(VLOOKUP($A165&amp;P$2&amp;$A151,downloads!$A:$D,3,FALSE),"")</f>
        <v/>
      </c>
      <c r="Q165" s="83" t="str">
        <f>IFERROR(VLOOKUP($A165&amp;P$2&amp;$A151,downloads!$A:$D,4,FALSE),"")</f>
        <v/>
      </c>
      <c r="R165" s="83" t="str">
        <f>IFERROR(VLOOKUP($A165&amp;R$2&amp;$A151,downloads!$A:$D,3,FALSE),"")</f>
        <v/>
      </c>
      <c r="S165" s="83" t="str">
        <f>IFERROR(VLOOKUP($A165&amp;R$2&amp;$A151,downloads!$A:$D,4,FALSE),"")</f>
        <v/>
      </c>
    </row>
    <row r="166" spans="1:19" x14ac:dyDescent="0.35">
      <c r="A166" s="434" t="s">
        <v>1914</v>
      </c>
      <c r="B166" s="83">
        <v>14</v>
      </c>
      <c r="C166" s="83" t="str">
        <f t="shared" si="128"/>
        <v>Shot</v>
      </c>
      <c r="D166" s="83" t="str">
        <f>IFERROR(VLOOKUP($A166&amp;D$2&amp;$A151,downloads!$A:$D,3,FALSE),"")</f>
        <v>STOWELL Callum</v>
      </c>
      <c r="E166" s="83" t="str">
        <f>IFERROR(VLOOKUP($A166&amp;D$2&amp;$A151,downloads!$A:$D,4,FALSE),"")</f>
        <v>DREW Matthew</v>
      </c>
      <c r="F166" s="83" t="str">
        <f>IFERROR(VLOOKUP($A166&amp;F$2&amp;$A151,downloads!$A:$D,3,FALSE),"")</f>
        <v>HENNESSEY Thomas</v>
      </c>
      <c r="G166" s="83" t="str">
        <f>IFERROR(VLOOKUP($A166&amp;F$2&amp;$A151,downloads!$A:$D,4,FALSE),"")</f>
        <v>COCKINGS Matthew</v>
      </c>
      <c r="H166" s="83" t="str">
        <f>IFERROR(VLOOKUP($A166&amp;H$2&amp;$A151,downloads!$A:$D,3,FALSE),"")</f>
        <v>WALSH Lincoln</v>
      </c>
      <c r="I166" s="83" t="str">
        <f>IFERROR(VLOOKUP($A166&amp;H$2&amp;$A151,downloads!$A:$D,4,FALSE),"")</f>
        <v>ROTHWELL Noah</v>
      </c>
      <c r="J166" s="83" t="str">
        <f>IFERROR(VLOOKUP($A166&amp;J$2&amp;$A151,downloads!$A:$D,3,FALSE),"")</f>
        <v>FRANCIS Stan</v>
      </c>
      <c r="K166" s="83" t="str">
        <f>IFERROR(VLOOKUP($A166&amp;J$2&amp;$A151,downloads!$A:$D,4,FALSE),"")</f>
        <v>-</v>
      </c>
      <c r="L166" s="83" t="str">
        <f>IFERROR(VLOOKUP($A166&amp;L$2&amp;$A151,downloads!$A:$D,3,FALSE),"")</f>
        <v>COOK Alexander</v>
      </c>
      <c r="M166" s="83" t="str">
        <f>IFERROR(VLOOKUP($A166&amp;L$2&amp;$A151,downloads!$A:$D,4,FALSE),"")</f>
        <v>PELL Nathan</v>
      </c>
      <c r="N166" s="83" t="str">
        <f>IFERROR(VLOOKUP($A166&amp;N$2&amp;$A151,downloads!$A:$D,3,FALSE),"")</f>
        <v/>
      </c>
      <c r="O166" s="83" t="str">
        <f>IFERROR(VLOOKUP($A166&amp;N$2&amp;$A151,downloads!$A:$D,4,FALSE),"")</f>
        <v/>
      </c>
      <c r="P166" s="83" t="str">
        <f>IFERROR(VLOOKUP($A166&amp;P$2&amp;$A151,downloads!$A:$D,3,FALSE),"")</f>
        <v/>
      </c>
      <c r="Q166" s="83" t="str">
        <f>IFERROR(VLOOKUP($A166&amp;P$2&amp;$A151,downloads!$A:$D,4,FALSE),"")</f>
        <v/>
      </c>
      <c r="R166" s="83" t="str">
        <f>IFERROR(VLOOKUP($A166&amp;R$2&amp;$A151,downloads!$A:$D,3,FALSE),"")</f>
        <v/>
      </c>
      <c r="S166" s="83" t="str">
        <f>IFERROR(VLOOKUP($A166&amp;R$2&amp;$A151,downloads!$A:$D,4,FALSE),"")</f>
        <v/>
      </c>
    </row>
    <row r="167" spans="1:19" x14ac:dyDescent="0.35">
      <c r="A167" s="434" t="s">
        <v>1915</v>
      </c>
      <c r="B167" s="83">
        <v>15</v>
      </c>
      <c r="C167" s="83" t="str">
        <f t="shared" si="128"/>
        <v>Long Jump</v>
      </c>
      <c r="D167" s="83" t="str">
        <f>IFERROR(VLOOKUP($A167&amp;D$2&amp;$A151,downloads!$A:$D,3,FALSE),"")</f>
        <v>GASKIN Nathanael</v>
      </c>
      <c r="E167" s="83" t="str">
        <f>IFERROR(VLOOKUP($A167&amp;D$2&amp;$A151,downloads!$A:$D,4,FALSE),"")</f>
        <v>DREW Matthew</v>
      </c>
      <c r="F167" s="83" t="str">
        <f>IFERROR(VLOOKUP($A167&amp;F$2&amp;$A151,downloads!$A:$D,3,FALSE),"")</f>
        <v>CONNELLY George</v>
      </c>
      <c r="G167" s="83" t="str">
        <f>IFERROR(VLOOKUP($A167&amp;F$2&amp;$A151,downloads!$A:$D,4,FALSE),"")</f>
        <v>REILLY Arthur</v>
      </c>
      <c r="H167" s="83" t="str">
        <f>IFERROR(VLOOKUP($A167&amp;H$2&amp;$A151,downloads!$A:$D,3,FALSE),"")</f>
        <v>MARSHALL Syd</v>
      </c>
      <c r="I167" s="83" t="str">
        <f>IFERROR(VLOOKUP($A167&amp;H$2&amp;$A151,downloads!$A:$D,4,FALSE),"")</f>
        <v>PEARSON Adam</v>
      </c>
      <c r="J167" s="83" t="str">
        <f>IFERROR(VLOOKUP($A167&amp;J$2&amp;$A151,downloads!$A:$D,3,FALSE),"")</f>
        <v>BAKER Edward</v>
      </c>
      <c r="K167" s="83" t="str">
        <f>IFERROR(VLOOKUP($A167&amp;J$2&amp;$A151,downloads!$A:$D,4,FALSE),"")</f>
        <v>CRAGGS George</v>
      </c>
      <c r="L167" s="83" t="str">
        <f>IFERROR(VLOOKUP($A167&amp;L$2&amp;$A151,downloads!$A:$D,3,FALSE),"")</f>
        <v>LANGTON Cody</v>
      </c>
      <c r="M167" s="83" t="str">
        <f>IFERROR(VLOOKUP($A167&amp;L$2&amp;$A151,downloads!$A:$D,4,FALSE),"")</f>
        <v>-</v>
      </c>
      <c r="N167" s="83" t="str">
        <f>IFERROR(VLOOKUP($A167&amp;N$2&amp;$A151,downloads!$A:$D,3,FALSE),"")</f>
        <v/>
      </c>
      <c r="O167" s="83" t="str">
        <f>IFERROR(VLOOKUP($A167&amp;N$2&amp;$A151,downloads!$A:$D,4,FALSE),"")</f>
        <v/>
      </c>
      <c r="P167" s="83" t="str">
        <f>IFERROR(VLOOKUP($A167&amp;P$2&amp;$A151,downloads!$A:$D,3,FALSE),"")</f>
        <v/>
      </c>
      <c r="Q167" s="83" t="str">
        <f>IFERROR(VLOOKUP($A167&amp;P$2&amp;$A151,downloads!$A:$D,4,FALSE),"")</f>
        <v/>
      </c>
      <c r="R167" s="83" t="str">
        <f>IFERROR(VLOOKUP($A167&amp;R$2&amp;$A151,downloads!$A:$D,3,FALSE),"")</f>
        <v/>
      </c>
      <c r="S167" s="83" t="str">
        <f>IFERROR(VLOOKUP($A167&amp;R$2&amp;$A151,downloads!$A:$D,4,FALSE),"")</f>
        <v/>
      </c>
    </row>
    <row r="168" spans="1:19" x14ac:dyDescent="0.35">
      <c r="A168" s="434" t="s">
        <v>1916</v>
      </c>
      <c r="B168" s="83">
        <v>16</v>
      </c>
      <c r="C168" s="83" t="str">
        <f t="shared" si="128"/>
        <v>Triple Jump</v>
      </c>
      <c r="D168" s="83">
        <f>IFERROR(VLOOKUP($A168&amp;D$2&amp;$A151,downloads!$A:$D,3,FALSE),"")</f>
        <v>0</v>
      </c>
      <c r="E168" s="83">
        <f>IFERROR(VLOOKUP($A168&amp;D$2&amp;$A151,downloads!$A:$D,4,FALSE),"")</f>
        <v>0</v>
      </c>
      <c r="F168" s="83">
        <f>IFERROR(VLOOKUP($A168&amp;F$2&amp;$A151,downloads!$A:$D,3,FALSE),"")</f>
        <v>0</v>
      </c>
      <c r="G168" s="83">
        <f>IFERROR(VLOOKUP($A168&amp;F$2&amp;$A151,downloads!$A:$D,4,FALSE),"")</f>
        <v>0</v>
      </c>
      <c r="H168" s="83">
        <f>IFERROR(VLOOKUP($A168&amp;H$2&amp;$A151,downloads!$A:$D,3,FALSE),"")</f>
        <v>0</v>
      </c>
      <c r="I168" s="83">
        <f>IFERROR(VLOOKUP($A168&amp;H$2&amp;$A151,downloads!$A:$D,4,FALSE),"")</f>
        <v>0</v>
      </c>
      <c r="J168" s="83">
        <f>IFERROR(VLOOKUP($A168&amp;J$2&amp;$A151,downloads!$A:$D,3,FALSE),"")</f>
        <v>0</v>
      </c>
      <c r="K168" s="83">
        <f>IFERROR(VLOOKUP($A168&amp;J$2&amp;$A151,downloads!$A:$D,4,FALSE),"")</f>
        <v>0</v>
      </c>
      <c r="L168" s="83">
        <f>IFERROR(VLOOKUP($A168&amp;L$2&amp;$A151,downloads!$A:$D,3,FALSE),"")</f>
        <v>0</v>
      </c>
      <c r="M168" s="83">
        <f>IFERROR(VLOOKUP($A168&amp;L$2&amp;$A151,downloads!$A:$D,4,FALSE),"")</f>
        <v>0</v>
      </c>
      <c r="N168" s="83" t="str">
        <f>IFERROR(VLOOKUP($A168&amp;N$2&amp;$A151,downloads!$A:$D,3,FALSE),"")</f>
        <v/>
      </c>
      <c r="O168" s="83" t="str">
        <f>IFERROR(VLOOKUP($A168&amp;N$2&amp;$A151,downloads!$A:$D,4,FALSE),"")</f>
        <v/>
      </c>
      <c r="P168" s="83" t="str">
        <f>IFERROR(VLOOKUP($A168&amp;P$2&amp;$A151,downloads!$A:$D,3,FALSE),"")</f>
        <v/>
      </c>
      <c r="Q168" s="83" t="str">
        <f>IFERROR(VLOOKUP($A168&amp;P$2&amp;$A151,downloads!$A:$D,4,FALSE),"")</f>
        <v/>
      </c>
      <c r="R168" s="83" t="str">
        <f>IFERROR(VLOOKUP($A168&amp;R$2&amp;$A151,downloads!$A:$D,3,FALSE),"")</f>
        <v/>
      </c>
      <c r="S168" s="83" t="str">
        <f>IFERROR(VLOOKUP($A168&amp;R$2&amp;$A151,downloads!$A:$D,4,FALSE),"")</f>
        <v/>
      </c>
    </row>
    <row r="169" spans="1:19" x14ac:dyDescent="0.35">
      <c r="A169" s="434" t="s">
        <v>1921</v>
      </c>
      <c r="B169" s="83">
        <v>17</v>
      </c>
      <c r="C169" s="83" t="str">
        <f t="shared" si="128"/>
        <v>High Jump</v>
      </c>
      <c r="D169" s="83" t="str">
        <f>IFERROR(VLOOKUP($A169&amp;D$2&amp;$A151,downloads!$A:$D,3,FALSE),"")</f>
        <v>LOWE Seth</v>
      </c>
      <c r="E169" s="83">
        <f>IFERROR(VLOOKUP($A169&amp;D$2&amp;$A151,downloads!$A:$D,4,FALSE),"")</f>
        <v>0</v>
      </c>
      <c r="F169" s="83" t="str">
        <f>IFERROR(VLOOKUP($A169&amp;F$2&amp;$A151,downloads!$A:$D,3,FALSE),"")</f>
        <v>MAY Rudi</v>
      </c>
      <c r="G169" s="83" t="str">
        <f>IFERROR(VLOOKUP($A169&amp;F$2&amp;$A151,downloads!$A:$D,4,FALSE),"")</f>
        <v>COCKINGS Matthew</v>
      </c>
      <c r="H169" s="83" t="str">
        <f>IFERROR(VLOOKUP($A169&amp;H$2&amp;$A151,downloads!$A:$D,3,FALSE),"")</f>
        <v>BASTOW Isaac</v>
      </c>
      <c r="I169" s="83" t="str">
        <f>IFERROR(VLOOKUP($A169&amp;H$2&amp;$A151,downloads!$A:$D,4,FALSE),"")</f>
        <v>JONES Alex</v>
      </c>
      <c r="J169" s="83" t="str">
        <f>IFERROR(VLOOKUP($A169&amp;J$2&amp;$A151,downloads!$A:$D,3,FALSE),"")</f>
        <v>-</v>
      </c>
      <c r="K169" s="83" t="str">
        <f>IFERROR(VLOOKUP($A169&amp;J$2&amp;$A151,downloads!$A:$D,4,FALSE),"")</f>
        <v>-</v>
      </c>
      <c r="L169" s="83" t="str">
        <f>IFERROR(VLOOKUP($A169&amp;L$2&amp;$A151,downloads!$A:$D,3,FALSE),"")</f>
        <v>OADES James</v>
      </c>
      <c r="M169" s="83" t="str">
        <f>IFERROR(VLOOKUP($A169&amp;L$2&amp;$A151,downloads!$A:$D,4,FALSE),"")</f>
        <v>-</v>
      </c>
      <c r="N169" s="83" t="str">
        <f>IFERROR(VLOOKUP($A169&amp;N$2&amp;$A151,downloads!$A:$D,3,FALSE),"")</f>
        <v/>
      </c>
      <c r="O169" s="83" t="str">
        <f>IFERROR(VLOOKUP($A169&amp;N$2&amp;$A151,downloads!$A:$D,4,FALSE),"")</f>
        <v/>
      </c>
      <c r="P169" s="83" t="str">
        <f>IFERROR(VLOOKUP($A169&amp;P$2&amp;$A151,downloads!$A:$D,3,FALSE),"")</f>
        <v/>
      </c>
      <c r="Q169" s="83" t="str">
        <f>IFERROR(VLOOKUP($A169&amp;P$2&amp;$A151,downloads!$A:$D,4,FALSE),"")</f>
        <v/>
      </c>
      <c r="R169" s="83" t="str">
        <f>IFERROR(VLOOKUP($A169&amp;R$2&amp;$A151,downloads!$A:$D,3,FALSE),"")</f>
        <v/>
      </c>
      <c r="S169" s="83" t="str">
        <f>IFERROR(VLOOKUP($A169&amp;R$2&amp;$A151,downloads!$A:$D,4,FALSE),"")</f>
        <v/>
      </c>
    </row>
    <row r="170" spans="1:19" x14ac:dyDescent="0.35">
      <c r="A170" s="434" t="s">
        <v>1917</v>
      </c>
      <c r="B170" s="83">
        <v>18</v>
      </c>
      <c r="C170" s="83" t="str">
        <f t="shared" si="128"/>
        <v>Pole Vault</v>
      </c>
      <c r="D170" s="83">
        <f>IFERROR(VLOOKUP($A170&amp;D$2&amp;$A151,downloads!$A:$D,3,FALSE),"")</f>
        <v>0</v>
      </c>
      <c r="E170" s="83">
        <f>IFERROR(VLOOKUP($A170&amp;D$2&amp;$A151,downloads!$A:$D,4,FALSE),"")</f>
        <v>0</v>
      </c>
      <c r="F170" s="83">
        <f>IFERROR(VLOOKUP($A170&amp;F$2&amp;$A151,downloads!$A:$D,3,FALSE),"")</f>
        <v>0</v>
      </c>
      <c r="G170" s="83">
        <f>IFERROR(VLOOKUP($A170&amp;F$2&amp;$A151,downloads!$A:$D,4,FALSE),"")</f>
        <v>0</v>
      </c>
      <c r="H170" s="83">
        <f>IFERROR(VLOOKUP($A170&amp;H$2&amp;$A151,downloads!$A:$D,3,FALSE),"")</f>
        <v>0</v>
      </c>
      <c r="I170" s="83">
        <f>IFERROR(VLOOKUP($A170&amp;H$2&amp;$A151,downloads!$A:$D,4,FALSE),"")</f>
        <v>0</v>
      </c>
      <c r="J170" s="83">
        <f>IFERROR(VLOOKUP($A170&amp;J$2&amp;$A151,downloads!$A:$D,3,FALSE),"")</f>
        <v>0</v>
      </c>
      <c r="K170" s="83">
        <f>IFERROR(VLOOKUP($A170&amp;J$2&amp;$A151,downloads!$A:$D,4,FALSE),"")</f>
        <v>0</v>
      </c>
      <c r="L170" s="83">
        <f>IFERROR(VLOOKUP($A170&amp;L$2&amp;$A151,downloads!$A:$D,3,FALSE),"")</f>
        <v>0</v>
      </c>
      <c r="M170" s="83">
        <f>IFERROR(VLOOKUP($A170&amp;L$2&amp;$A151,downloads!$A:$D,4,FALSE),"")</f>
        <v>0</v>
      </c>
      <c r="N170" s="83" t="str">
        <f>IFERROR(VLOOKUP($A170&amp;N$2&amp;$A151,downloads!$A:$D,3,FALSE),"")</f>
        <v/>
      </c>
      <c r="O170" s="83" t="str">
        <f>IFERROR(VLOOKUP($A170&amp;N$2&amp;$A151,downloads!$A:$D,4,FALSE),"")</f>
        <v/>
      </c>
      <c r="P170" s="83" t="str">
        <f>IFERROR(VLOOKUP($A170&amp;P$2&amp;$A151,downloads!$A:$D,3,FALSE),"")</f>
        <v/>
      </c>
      <c r="Q170" s="83" t="str">
        <f>IFERROR(VLOOKUP($A170&amp;P$2&amp;$A151,downloads!$A:$D,4,FALSE),"")</f>
        <v/>
      </c>
      <c r="R170" s="83" t="str">
        <f>IFERROR(VLOOKUP($A170&amp;R$2&amp;$A151,downloads!$A:$D,3,FALSE),"")</f>
        <v/>
      </c>
      <c r="S170" s="83" t="str">
        <f>IFERROR(VLOOKUP($A170&amp;R$2&amp;$A151,downloads!$A:$D,4,FALSE),"")</f>
        <v/>
      </c>
    </row>
    <row r="171" spans="1:19" x14ac:dyDescent="0.35">
      <c r="A171" s="434" t="s">
        <v>1918</v>
      </c>
      <c r="B171" s="83">
        <v>19</v>
      </c>
      <c r="C171" s="83" t="str">
        <f t="shared" si="128"/>
        <v>4x100 Relay</v>
      </c>
      <c r="D171" s="83" t="str">
        <f>IFERROR(VLOOKUP($A171&amp;D$2&amp;$A151,downloads!$A:$D,3,FALSE),"")</f>
        <v>DREW Matthew</v>
      </c>
      <c r="E171" s="83" t="str">
        <f>IFERROR(VLOOKUP($A171&amp;D$2&amp;$A151,downloads!$A:$D,4,FALSE),"")</f>
        <v>STOWELL Callum</v>
      </c>
      <c r="F171" s="83" t="str">
        <f>IFERROR(VLOOKUP($A171&amp;F$2&amp;$A151,downloads!$A:$D,3,FALSE),"")</f>
        <v>REILLY Arthur</v>
      </c>
      <c r="G171" s="83" t="str">
        <f>IFERROR(VLOOKUP($A171&amp;F$2&amp;$A151,downloads!$A:$D,4,FALSE),"")</f>
        <v>WINGFIELD Tyler</v>
      </c>
      <c r="H171" s="83" t="str">
        <f>IFERROR(VLOOKUP($A171&amp;H$2&amp;$A151,downloads!$A:$D,3,FALSE),"")</f>
        <v>BASTOW Isaac</v>
      </c>
      <c r="I171" s="83" t="str">
        <f>IFERROR(VLOOKUP($A171&amp;H$2&amp;$A151,downloads!$A:$D,4,FALSE),"")</f>
        <v>PEARSON Adam</v>
      </c>
      <c r="J171" s="83" t="str">
        <f>IFERROR(VLOOKUP($A171&amp;J$2&amp;$A151,downloads!$A:$D,3,FALSE),"")</f>
        <v>O'HARE Christy</v>
      </c>
      <c r="K171" s="83" t="str">
        <f>IFERROR(VLOOKUP($A171&amp;J$2&amp;$A151,downloads!$A:$D,4,FALSE),"")</f>
        <v>MARRON Ethan</v>
      </c>
      <c r="L171" s="83" t="str">
        <f>IFERROR(VLOOKUP($A171&amp;L$2&amp;$A151,downloads!$A:$D,3,FALSE),"")</f>
        <v>-</v>
      </c>
      <c r="M171" s="83" t="str">
        <f>IFERROR(VLOOKUP($A171&amp;L$2&amp;$A151,downloads!$A:$D,4,FALSE),"")</f>
        <v>-</v>
      </c>
      <c r="N171" s="83" t="str">
        <f>IFERROR(VLOOKUP($A171&amp;N$2&amp;$A151,downloads!$A:$D,3,FALSE),"")</f>
        <v/>
      </c>
      <c r="O171" s="83" t="str">
        <f>IFERROR(VLOOKUP($A171&amp;N$2&amp;$A151,downloads!$A:$D,4,FALSE),"")</f>
        <v/>
      </c>
      <c r="P171" s="83" t="str">
        <f>IFERROR(VLOOKUP($A171&amp;P$2&amp;$A151,downloads!$A:$D,3,FALSE),"")</f>
        <v/>
      </c>
      <c r="Q171" s="83" t="str">
        <f>IFERROR(VLOOKUP($A171&amp;P$2&amp;$A151,downloads!$A:$D,4,FALSE),"")</f>
        <v/>
      </c>
      <c r="R171" s="83" t="str">
        <f>IFERROR(VLOOKUP($A171&amp;R$2&amp;$A151,downloads!$A:$D,3,FALSE),"")</f>
        <v/>
      </c>
      <c r="S171" s="83" t="str">
        <f>IFERROR(VLOOKUP($A171&amp;R$2&amp;$A151,downloads!$A:$D,4,FALSE),"")</f>
        <v/>
      </c>
    </row>
    <row r="172" spans="1:19" x14ac:dyDescent="0.35">
      <c r="A172" s="434" t="s">
        <v>1919</v>
      </c>
      <c r="B172" s="83">
        <v>20</v>
      </c>
      <c r="C172" s="83" t="str">
        <f t="shared" si="128"/>
        <v>4x100 Relay</v>
      </c>
      <c r="D172" s="83" t="str">
        <f>IFERROR(VLOOKUP($A172&amp;D$2&amp;$A151,downloads!$A:$D,3,FALSE),"")</f>
        <v>LOWE Seth</v>
      </c>
      <c r="E172" s="83" t="str">
        <f>IFERROR(VLOOKUP($A172&amp;D$2&amp;$A151,downloads!$A:$D,4,FALSE),"")</f>
        <v>GASKIN Nathanael</v>
      </c>
      <c r="F172" s="83" t="str">
        <f>IFERROR(VLOOKUP($A172&amp;F$2&amp;$A151,downloads!$A:$D,3,FALSE),"")</f>
        <v>MAY Rudi</v>
      </c>
      <c r="G172" s="83" t="str">
        <f>IFERROR(VLOOKUP($A172&amp;F$2&amp;$A151,downloads!$A:$D,4,FALSE),"")</f>
        <v>CONNELLY George</v>
      </c>
      <c r="H172" s="83" t="str">
        <f>IFERROR(VLOOKUP($A172&amp;H$2&amp;$A151,downloads!$A:$D,3,FALSE),"")</f>
        <v>HICKLING William</v>
      </c>
      <c r="I172" s="83" t="str">
        <f>IFERROR(VLOOKUP($A172&amp;H$2&amp;$A151,downloads!$A:$D,4,FALSE),"")</f>
        <v>MARSHALL Syd</v>
      </c>
      <c r="J172" s="83" t="str">
        <f>IFERROR(VLOOKUP($A172&amp;J$2&amp;$A151,downloads!$A:$D,3,FALSE),"")</f>
        <v>HONEYMAN Leo</v>
      </c>
      <c r="K172" s="83" t="str">
        <f>IFERROR(VLOOKUP($A172&amp;J$2&amp;$A151,downloads!$A:$D,4,FALSE),"")</f>
        <v>MAYNARD Finley</v>
      </c>
      <c r="L172" s="83" t="str">
        <f>IFERROR(VLOOKUP($A172&amp;L$2&amp;$A151,downloads!$A:$D,3,FALSE),"")</f>
        <v>-</v>
      </c>
      <c r="M172" s="83" t="str">
        <f>IFERROR(VLOOKUP($A172&amp;L$2&amp;$A151,downloads!$A:$D,4,FALSE),"")</f>
        <v>-</v>
      </c>
      <c r="N172" s="83" t="str">
        <f>IFERROR(VLOOKUP($A172&amp;N$2&amp;$A151,downloads!$A:$D,3,FALSE),"")</f>
        <v/>
      </c>
      <c r="O172" s="83" t="str">
        <f>IFERROR(VLOOKUP($A172&amp;N$2&amp;$A151,downloads!$A:$D,4,FALSE),"")</f>
        <v/>
      </c>
      <c r="P172" s="83" t="str">
        <f>IFERROR(VLOOKUP($A172&amp;P$2&amp;$A151,downloads!$A:$D,3,FALSE),"")</f>
        <v/>
      </c>
      <c r="Q172" s="83" t="str">
        <f>IFERROR(VLOOKUP($A172&amp;P$2&amp;$A151,downloads!$A:$D,4,FALSE),"")</f>
        <v/>
      </c>
      <c r="R172" s="83" t="str">
        <f>IFERROR(VLOOKUP($A172&amp;R$2&amp;$A151,downloads!$A:$D,3,FALSE),"")</f>
        <v/>
      </c>
      <c r="S172" s="83" t="str">
        <f>IFERROR(VLOOKUP($A172&amp;R$2&amp;$A151,downloads!$A:$D,4,FALSE),"")</f>
        <v/>
      </c>
    </row>
    <row r="173" spans="1:19" x14ac:dyDescent="0.35">
      <c r="A173" s="434" t="s">
        <v>1920</v>
      </c>
      <c r="B173" s="83">
        <v>21</v>
      </c>
      <c r="C173" s="83" t="str">
        <f t="shared" si="128"/>
        <v>4x400 (300)</v>
      </c>
      <c r="D173" s="83">
        <f>IFERROR(VLOOKUP($A173&amp;D$2&amp;$A151,downloads!$A:$D,3,FALSE),"")</f>
        <v>0</v>
      </c>
      <c r="E173" s="83">
        <f>IFERROR(VLOOKUP($A173&amp;D$2&amp;$A151,downloads!$A:$D,4,FALSE),"")</f>
        <v>0</v>
      </c>
      <c r="F173" s="83">
        <f>IFERROR(VLOOKUP($A173&amp;F$2&amp;$A151,downloads!$A:$D,3,FALSE),"")</f>
        <v>0</v>
      </c>
      <c r="G173" s="83">
        <f>IFERROR(VLOOKUP($A173&amp;F$2&amp;$A151,downloads!$A:$D,4,FALSE),"")</f>
        <v>0</v>
      </c>
      <c r="H173" s="83">
        <f>IFERROR(VLOOKUP($A173&amp;H$2&amp;$A151,downloads!$A:$D,3,FALSE),"")</f>
        <v>0</v>
      </c>
      <c r="I173" s="83">
        <f>IFERROR(VLOOKUP($A173&amp;H$2&amp;$A151,downloads!$A:$D,4,FALSE),"")</f>
        <v>0</v>
      </c>
      <c r="J173" s="83">
        <f>IFERROR(VLOOKUP($A173&amp;J$2&amp;$A151,downloads!$A:$D,3,FALSE),"")</f>
        <v>0</v>
      </c>
      <c r="K173" s="83">
        <f>IFERROR(VLOOKUP($A173&amp;J$2&amp;$A151,downloads!$A:$D,4,FALSE),"")</f>
        <v>0</v>
      </c>
      <c r="L173" s="83">
        <f>IFERROR(VLOOKUP($A173&amp;L$2&amp;$A151,downloads!$A:$D,3,FALSE),"")</f>
        <v>0</v>
      </c>
      <c r="M173" s="83">
        <f>IFERROR(VLOOKUP($A173&amp;L$2&amp;$A151,downloads!$A:$D,4,FALSE),"")</f>
        <v>0</v>
      </c>
      <c r="N173" s="83" t="str">
        <f>IFERROR(VLOOKUP($A173&amp;N$2&amp;$A151,downloads!$A:$D,3,FALSE),"")</f>
        <v/>
      </c>
      <c r="O173" s="83" t="str">
        <f>IFERROR(VLOOKUP($A173&amp;N$2&amp;$A151,downloads!$A:$D,4,FALSE),"")</f>
        <v/>
      </c>
      <c r="P173" s="83" t="str">
        <f>IFERROR(VLOOKUP($A173&amp;P$2&amp;$A151,downloads!$A:$D,3,FALSE),"")</f>
        <v/>
      </c>
      <c r="Q173" s="83" t="str">
        <f>IFERROR(VLOOKUP($A173&amp;P$2&amp;$A151,downloads!$A:$D,4,FALSE),"")</f>
        <v/>
      </c>
      <c r="R173" s="83" t="str">
        <f>IFERROR(VLOOKUP($A173&amp;R$2&amp;$A151,downloads!$A:$D,3,FALSE),"")</f>
        <v/>
      </c>
      <c r="S173" s="83" t="str">
        <f>IFERROR(VLOOKUP($A173&amp;R$2&amp;$A151,downloads!$A:$D,4,FALSE),"")</f>
        <v/>
      </c>
    </row>
    <row r="174" spans="1:19" x14ac:dyDescent="0.35">
      <c r="A174" s="434" t="s">
        <v>1922</v>
      </c>
      <c r="B174" s="83">
        <v>22</v>
      </c>
      <c r="C174" s="83" t="str">
        <f t="shared" si="128"/>
        <v>4x400 (300)</v>
      </c>
      <c r="D174" s="83">
        <f>IFERROR(VLOOKUP($A174&amp;D$2&amp;$A151,downloads!$A:$D,3,FALSE),"")</f>
        <v>0</v>
      </c>
      <c r="E174" s="83">
        <f>IFERROR(VLOOKUP($A174&amp;D$2&amp;$A151,downloads!$A:$D,4,FALSE),"")</f>
        <v>0</v>
      </c>
      <c r="F174" s="83">
        <f>IFERROR(VLOOKUP($A174&amp;F$2&amp;$A151,downloads!$A:$D,3,FALSE),"")</f>
        <v>0</v>
      </c>
      <c r="G174" s="83">
        <f>IFERROR(VLOOKUP($A174&amp;F$2&amp;$A151,downloads!$A:$D,4,FALSE),"")</f>
        <v>0</v>
      </c>
      <c r="H174" s="83">
        <f>IFERROR(VLOOKUP($A174&amp;H$2&amp;$A151,downloads!$A:$D,3,FALSE),"")</f>
        <v>0</v>
      </c>
      <c r="I174" s="83">
        <f>IFERROR(VLOOKUP($A174&amp;H$2&amp;$A151,downloads!$A:$D,4,FALSE),"")</f>
        <v>0</v>
      </c>
      <c r="J174" s="83">
        <f>IFERROR(VLOOKUP($A174&amp;J$2&amp;$A151,downloads!$A:$D,3,FALSE),"")</f>
        <v>0</v>
      </c>
      <c r="K174" s="83">
        <f>IFERROR(VLOOKUP($A174&amp;J$2&amp;$A151,downloads!$A:$D,4,FALSE),"")</f>
        <v>0</v>
      </c>
      <c r="L174" s="83">
        <f>IFERROR(VLOOKUP($A174&amp;L$2&amp;$A151,downloads!$A:$D,3,FALSE),"")</f>
        <v>0</v>
      </c>
      <c r="M174" s="83">
        <f>IFERROR(VLOOKUP($A174&amp;L$2&amp;$A151,downloads!$A:$D,4,FALSE),"")</f>
        <v>0</v>
      </c>
      <c r="N174" s="83" t="str">
        <f>IFERROR(VLOOKUP($A174&amp;N$2&amp;$A151,downloads!$A:$D,3,FALSE),"")</f>
        <v/>
      </c>
      <c r="O174" s="83" t="str">
        <f>IFERROR(VLOOKUP($A174&amp;N$2&amp;$A151,downloads!$A:$D,4,FALSE),"")</f>
        <v/>
      </c>
      <c r="P174" s="83" t="str">
        <f>IFERROR(VLOOKUP($A174&amp;P$2&amp;$A151,downloads!$A:$D,3,FALSE),"")</f>
        <v/>
      </c>
      <c r="Q174" s="83" t="str">
        <f>IFERROR(VLOOKUP($A174&amp;P$2&amp;$A151,downloads!$A:$D,4,FALSE),"")</f>
        <v/>
      </c>
      <c r="R174" s="83" t="str">
        <f>IFERROR(VLOOKUP($A174&amp;R$2&amp;$A151,downloads!$A:$D,3,FALSE),"")</f>
        <v/>
      </c>
      <c r="S174" s="83" t="str">
        <f>IFERROR(VLOOKUP($A174&amp;R$2&amp;$A151,downloads!$A:$D,4,FALSE),"")</f>
        <v/>
      </c>
    </row>
    <row r="175" spans="1:19" x14ac:dyDescent="0.35">
      <c r="A175" s="83">
        <v>50</v>
      </c>
      <c r="C175" s="83" t="s">
        <v>889</v>
      </c>
    </row>
    <row r="176" spans="1:19" x14ac:dyDescent="0.35">
      <c r="A176" s="434" t="s">
        <v>1900</v>
      </c>
      <c r="B176" s="83">
        <v>0</v>
      </c>
      <c r="C176" s="83" t="str">
        <f>C29</f>
        <v>75 / 100</v>
      </c>
      <c r="D176" s="83" t="str">
        <f>IFERROR(VLOOKUP($A176&amp;D$2&amp;$A175,downloads!$A:$D,3,FALSE),"")</f>
        <v>HUMPHREYS Melissa</v>
      </c>
      <c r="E176" s="83" t="str">
        <f>IFERROR(VLOOKUP($A176&amp;D$2&amp;$A175,downloads!$A:$D,4,FALSE),"")</f>
        <v>PELL Gracie</v>
      </c>
      <c r="F176" s="83" t="str">
        <f>IFERROR(VLOOKUP($A176&amp;F$2&amp;$A175,downloads!$A:$D,3,FALSE),"")</f>
        <v>HARTLEY Eleanor</v>
      </c>
      <c r="G176" s="83" t="str">
        <f>IFERROR(VLOOKUP($A176&amp;F$2&amp;$A175,downloads!$A:$D,4,FALSE),"")</f>
        <v>ROBERTS Eve</v>
      </c>
      <c r="H176" s="83" t="str">
        <f>IFERROR(VLOOKUP($A176&amp;H$2&amp;$A175,downloads!$A:$D,3,FALSE),"")</f>
        <v>MAUDE Emily</v>
      </c>
      <c r="I176" s="83" t="str">
        <f>IFERROR(VLOOKUP($A176&amp;H$2&amp;$A175,downloads!$A:$D,4,FALSE),"")</f>
        <v>SIGSWORTH Martha</v>
      </c>
      <c r="J176" s="83" t="str">
        <f>IFERROR(VLOOKUP($A176&amp;J$2&amp;$A175,downloads!$A:$D,3,FALSE),"")</f>
        <v>WILMOT Amy</v>
      </c>
      <c r="K176" s="83" t="str">
        <f>IFERROR(VLOOKUP($A176&amp;J$2&amp;$A175,downloads!$A:$D,4,FALSE),"")</f>
        <v>SULLOCK Beth</v>
      </c>
      <c r="L176" s="83" t="str">
        <f>IFERROR(VLOOKUP($A176&amp;L$2&amp;$A175,downloads!$A:$D,3,FALSE),"")</f>
        <v>STOW Libby</v>
      </c>
      <c r="M176" s="83" t="str">
        <f>IFERROR(VLOOKUP($A176&amp;L$2&amp;$A175,downloads!$A:$D,4,FALSE),"")</f>
        <v>ABDI Zulekha</v>
      </c>
      <c r="N176" s="83" t="str">
        <f>IFERROR(VLOOKUP($A176&amp;N$2&amp;$A175,downloads!$A:$D,3,FALSE),"")</f>
        <v/>
      </c>
      <c r="O176" s="83" t="str">
        <f>IFERROR(VLOOKUP($A176&amp;N$2&amp;$A175,downloads!$A:$D,4,FALSE),"")</f>
        <v/>
      </c>
      <c r="P176" s="83" t="str">
        <f>IFERROR(VLOOKUP($A176&amp;P$2&amp;$A175,downloads!$A:$D,3,FALSE),"")</f>
        <v/>
      </c>
      <c r="Q176" s="83" t="str">
        <f>IFERROR(VLOOKUP($A176&amp;P$2&amp;$A175,downloads!$A:$D,4,FALSE),"")</f>
        <v/>
      </c>
      <c r="R176" s="83" t="str">
        <f>IFERROR(VLOOKUP($A176&amp;R$2&amp;$A175,downloads!$A:$D,3,FALSE),"")</f>
        <v/>
      </c>
      <c r="S176" s="83" t="str">
        <f>IFERROR(VLOOKUP($A176&amp;R$2&amp;$A175,downloads!$A:$D,4,FALSE),"")</f>
        <v/>
      </c>
    </row>
    <row r="177" spans="1:19" x14ac:dyDescent="0.35">
      <c r="A177" s="434" t="s">
        <v>1901</v>
      </c>
      <c r="B177" s="83">
        <v>1</v>
      </c>
      <c r="C177" s="83" t="str">
        <f t="shared" ref="C177:C198" si="129">C30</f>
        <v>75 / 100 NS</v>
      </c>
      <c r="D177" s="83" t="str">
        <f>IFERROR(VLOOKUP($A177&amp;D$2&amp;$A175,downloads!$A:$D,3,FALSE),"")</f>
        <v>HELPS Macy</v>
      </c>
      <c r="E177" s="83" t="str">
        <f>IFERROR(VLOOKUP($A177&amp;D$2&amp;$A175,downloads!$A:$D,4,FALSE),"")</f>
        <v>HAILEY Faye</v>
      </c>
      <c r="F177" s="83" t="str">
        <f>IFERROR(VLOOKUP($A177&amp;F$2&amp;$A175,downloads!$A:$D,3,FALSE),"")</f>
        <v>BERRY Heather</v>
      </c>
      <c r="G177" s="83" t="str">
        <f>IFERROR(VLOOKUP($A177&amp;F$2&amp;$A175,downloads!$A:$D,4,FALSE),"")</f>
        <v>GRAY Molly</v>
      </c>
      <c r="H177" s="83" t="str">
        <f>IFERROR(VLOOKUP($A177&amp;H$2&amp;$A175,downloads!$A:$D,3,FALSE),"")</f>
        <v>BROOKS Laura</v>
      </c>
      <c r="I177" s="83" t="str">
        <f>IFERROR(VLOOKUP($A177&amp;H$2&amp;$A175,downloads!$A:$D,4,FALSE),"")</f>
        <v>POUNDER Esme</v>
      </c>
      <c r="J177" s="83" t="str">
        <f>IFERROR(VLOOKUP($A177&amp;J$2&amp;$A175,downloads!$A:$D,3,FALSE),"")</f>
        <v>OKEY Gift</v>
      </c>
      <c r="K177" s="83" t="str">
        <f>IFERROR(VLOOKUP($A177&amp;J$2&amp;$A175,downloads!$A:$D,4,FALSE),"")</f>
        <v>-</v>
      </c>
      <c r="L177" s="83">
        <f>IFERROR(VLOOKUP($A177&amp;L$2&amp;$A175,downloads!$A:$D,3,FALSE),"")</f>
        <v>0</v>
      </c>
      <c r="M177" s="83">
        <f>IFERROR(VLOOKUP($A177&amp;L$2&amp;$A175,downloads!$A:$D,4,FALSE),"")</f>
        <v>0</v>
      </c>
      <c r="N177" s="83" t="str">
        <f>IFERROR(VLOOKUP($A177&amp;N$2&amp;$A175,downloads!$A:$D,3,FALSE),"")</f>
        <v/>
      </c>
      <c r="O177" s="83" t="str">
        <f>IFERROR(VLOOKUP($A177&amp;N$2&amp;$A175,downloads!$A:$D,4,FALSE),"")</f>
        <v/>
      </c>
      <c r="P177" s="83" t="str">
        <f>IFERROR(VLOOKUP($A177&amp;P$2&amp;$A175,downloads!$A:$D,3,FALSE),"")</f>
        <v/>
      </c>
      <c r="Q177" s="83" t="str">
        <f>IFERROR(VLOOKUP($A177&amp;P$2&amp;$A175,downloads!$A:$D,4,FALSE),"")</f>
        <v/>
      </c>
      <c r="R177" s="83" t="str">
        <f>IFERROR(VLOOKUP($A177&amp;R$2&amp;$A175,downloads!$A:$D,3,FALSE),"")</f>
        <v/>
      </c>
      <c r="S177" s="83" t="str">
        <f>IFERROR(VLOOKUP($A177&amp;R$2&amp;$A175,downloads!$A:$D,4,FALSE),"")</f>
        <v/>
      </c>
    </row>
    <row r="178" spans="1:19" x14ac:dyDescent="0.35">
      <c r="A178" s="434" t="s">
        <v>1902</v>
      </c>
      <c r="B178" s="83">
        <v>2</v>
      </c>
      <c r="C178" s="83" t="str">
        <f t="shared" si="129"/>
        <v>150 / 200</v>
      </c>
      <c r="D178" s="83" t="str">
        <f>IFERROR(VLOOKUP($A178&amp;D$2&amp;$A175,downloads!$A:$D,3,FALSE),"")</f>
        <v>GRIFFIN Lydia</v>
      </c>
      <c r="E178" s="83" t="str">
        <f>IFERROR(VLOOKUP($A178&amp;D$2&amp;$A175,downloads!$A:$D,4,FALSE),"")</f>
        <v>SAS Evelyn</v>
      </c>
      <c r="F178" s="83" t="str">
        <f>IFERROR(VLOOKUP($A178&amp;F$2&amp;$A175,downloads!$A:$D,3,FALSE),"")</f>
        <v>GROVE Abigail</v>
      </c>
      <c r="G178" s="83" t="str">
        <f>IFERROR(VLOOKUP($A178&amp;F$2&amp;$A175,downloads!$A:$D,4,FALSE),"")</f>
        <v>HARTLEY Eleanor</v>
      </c>
      <c r="H178" s="83" t="str">
        <f>IFERROR(VLOOKUP($A178&amp;H$2&amp;$A175,downloads!$A:$D,3,FALSE),"")</f>
        <v>MARSHALL Nancy</v>
      </c>
      <c r="I178" s="83" t="str">
        <f>IFERROR(VLOOKUP($A178&amp;H$2&amp;$A175,downloads!$A:$D,4,FALSE),"")</f>
        <v>BIRCH Louisa</v>
      </c>
      <c r="J178" s="83" t="str">
        <f>IFERROR(VLOOKUP($A178&amp;J$2&amp;$A175,downloads!$A:$D,3,FALSE),"")</f>
        <v>SULLOCK Beth</v>
      </c>
      <c r="K178" s="83" t="str">
        <f>IFERROR(VLOOKUP($A178&amp;J$2&amp;$A175,downloads!$A:$D,4,FALSE),"")</f>
        <v>SEDGWICK Emma</v>
      </c>
      <c r="L178" s="83" t="str">
        <f>IFERROR(VLOOKUP($A178&amp;L$2&amp;$A175,downloads!$A:$D,3,FALSE),"")</f>
        <v>LINGARD Beatrice</v>
      </c>
      <c r="M178" s="83" t="str">
        <f>IFERROR(VLOOKUP($A178&amp;L$2&amp;$A175,downloads!$A:$D,4,FALSE),"")</f>
        <v>HAYES Zara</v>
      </c>
      <c r="N178" s="83" t="str">
        <f>IFERROR(VLOOKUP($A178&amp;N$2&amp;$A175,downloads!$A:$D,3,FALSE),"")</f>
        <v/>
      </c>
      <c r="O178" s="83" t="str">
        <f>IFERROR(VLOOKUP($A178&amp;N$2&amp;$A175,downloads!$A:$D,4,FALSE),"")</f>
        <v/>
      </c>
      <c r="P178" s="83" t="str">
        <f>IFERROR(VLOOKUP($A178&amp;P$2&amp;$A175,downloads!$A:$D,3,FALSE),"")</f>
        <v/>
      </c>
      <c r="Q178" s="83" t="str">
        <f>IFERROR(VLOOKUP($A178&amp;P$2&amp;$A175,downloads!$A:$D,4,FALSE),"")</f>
        <v/>
      </c>
      <c r="R178" s="83" t="str">
        <f>IFERROR(VLOOKUP($A178&amp;R$2&amp;$A175,downloads!$A:$D,3,FALSE),"")</f>
        <v/>
      </c>
      <c r="S178" s="83" t="str">
        <f>IFERROR(VLOOKUP($A178&amp;R$2&amp;$A175,downloads!$A:$D,4,FALSE),"")</f>
        <v/>
      </c>
    </row>
    <row r="179" spans="1:19" x14ac:dyDescent="0.35">
      <c r="A179" s="434" t="s">
        <v>1903</v>
      </c>
      <c r="B179" s="83">
        <v>3</v>
      </c>
      <c r="C179" s="83" t="str">
        <f t="shared" si="129"/>
        <v>300 / 400</v>
      </c>
      <c r="D179" s="83">
        <f>IFERROR(VLOOKUP($A179&amp;D$2&amp;$A175,downloads!$A:$D,3,FALSE),"")</f>
        <v>0</v>
      </c>
      <c r="E179" s="83">
        <f>IFERROR(VLOOKUP($A179&amp;D$2&amp;$A175,downloads!$A:$D,4,FALSE),"")</f>
        <v>0</v>
      </c>
      <c r="F179" s="83">
        <f>IFERROR(VLOOKUP($A179&amp;F$2&amp;$A175,downloads!$A:$D,3,FALSE),"")</f>
        <v>0</v>
      </c>
      <c r="G179" s="83">
        <f>IFERROR(VLOOKUP($A179&amp;F$2&amp;$A175,downloads!$A:$D,4,FALSE),"")</f>
        <v>0</v>
      </c>
      <c r="H179" s="83">
        <f>IFERROR(VLOOKUP($A179&amp;H$2&amp;$A175,downloads!$A:$D,3,FALSE),"")</f>
        <v>0</v>
      </c>
      <c r="I179" s="83">
        <f>IFERROR(VLOOKUP($A179&amp;H$2&amp;$A175,downloads!$A:$D,4,FALSE),"")</f>
        <v>0</v>
      </c>
      <c r="J179" s="83">
        <f>IFERROR(VLOOKUP($A179&amp;J$2&amp;$A175,downloads!$A:$D,3,FALSE),"")</f>
        <v>0</v>
      </c>
      <c r="K179" s="83">
        <f>IFERROR(VLOOKUP($A179&amp;J$2&amp;$A175,downloads!$A:$D,4,FALSE),"")</f>
        <v>0</v>
      </c>
      <c r="L179" s="83">
        <f>IFERROR(VLOOKUP($A179&amp;L$2&amp;$A175,downloads!$A:$D,3,FALSE),"")</f>
        <v>0</v>
      </c>
      <c r="M179" s="83">
        <f>IFERROR(VLOOKUP($A179&amp;L$2&amp;$A175,downloads!$A:$D,4,FALSE),"")</f>
        <v>0</v>
      </c>
      <c r="N179" s="83" t="str">
        <f>IFERROR(VLOOKUP($A179&amp;N$2&amp;$A175,downloads!$A:$D,3,FALSE),"")</f>
        <v/>
      </c>
      <c r="O179" s="83" t="str">
        <f>IFERROR(VLOOKUP($A179&amp;N$2&amp;$A175,downloads!$A:$D,4,FALSE),"")</f>
        <v/>
      </c>
      <c r="P179" s="83" t="str">
        <f>IFERROR(VLOOKUP($A179&amp;P$2&amp;$A175,downloads!$A:$D,3,FALSE),"")</f>
        <v/>
      </c>
      <c r="Q179" s="83" t="str">
        <f>IFERROR(VLOOKUP($A179&amp;P$2&amp;$A175,downloads!$A:$D,4,FALSE),"")</f>
        <v/>
      </c>
      <c r="R179" s="83" t="str">
        <f>IFERROR(VLOOKUP($A179&amp;R$2&amp;$A175,downloads!$A:$D,3,FALSE),"")</f>
        <v/>
      </c>
      <c r="S179" s="83" t="str">
        <f>IFERROR(VLOOKUP($A179&amp;R$2&amp;$A175,downloads!$A:$D,4,FALSE),"")</f>
        <v/>
      </c>
    </row>
    <row r="180" spans="1:19" x14ac:dyDescent="0.35">
      <c r="A180" s="434" t="s">
        <v>1904</v>
      </c>
      <c r="B180" s="83">
        <v>4</v>
      </c>
      <c r="C180" s="83">
        <f t="shared" si="129"/>
        <v>800</v>
      </c>
      <c r="D180" s="83" t="str">
        <f>IFERROR(VLOOKUP($A180&amp;D$2&amp;$A175,downloads!$A:$D,3,FALSE),"")</f>
        <v>STANILAND Charlotte</v>
      </c>
      <c r="E180" s="83" t="str">
        <f>IFERROR(VLOOKUP($A180&amp;D$2&amp;$A175,downloads!$A:$D,4,FALSE),"")</f>
        <v>PELL Gracie</v>
      </c>
      <c r="F180" s="83" t="str">
        <f>IFERROR(VLOOKUP($A180&amp;F$2&amp;$A175,downloads!$A:$D,3,FALSE),"")</f>
        <v>SCOTT Violet</v>
      </c>
      <c r="G180" s="83" t="str">
        <f>IFERROR(VLOOKUP($A180&amp;F$2&amp;$A175,downloads!$A:$D,4,FALSE),"")</f>
        <v>BERRY Heather</v>
      </c>
      <c r="H180" s="83" t="str">
        <f>IFERROR(VLOOKUP($A180&amp;H$2&amp;$A175,downloads!$A:$D,3,FALSE),"")</f>
        <v>SIGSWORTH Martha</v>
      </c>
      <c r="I180" s="83" t="str">
        <f>IFERROR(VLOOKUP($A180&amp;H$2&amp;$A175,downloads!$A:$D,4,FALSE),"")</f>
        <v>BROOKS Laura</v>
      </c>
      <c r="J180" s="83" t="str">
        <f>IFERROR(VLOOKUP($A180&amp;J$2&amp;$A175,downloads!$A:$D,3,FALSE),"")</f>
        <v>LILLIE Freya</v>
      </c>
      <c r="K180" s="83" t="str">
        <f>IFERROR(VLOOKUP($A180&amp;J$2&amp;$A175,downloads!$A:$D,4,FALSE),"")</f>
        <v>-</v>
      </c>
      <c r="L180" s="83" t="str">
        <f>IFERROR(VLOOKUP($A180&amp;L$2&amp;$A175,downloads!$A:$D,3,FALSE),"")</f>
        <v>ABDI Zulekha</v>
      </c>
      <c r="M180" s="83">
        <f>IFERROR(VLOOKUP($A180&amp;L$2&amp;$A175,downloads!$A:$D,4,FALSE),"")</f>
        <v>0</v>
      </c>
      <c r="N180" s="83" t="str">
        <f>IFERROR(VLOOKUP($A180&amp;N$2&amp;$A175,downloads!$A:$D,3,FALSE),"")</f>
        <v/>
      </c>
      <c r="O180" s="83" t="str">
        <f>IFERROR(VLOOKUP($A180&amp;N$2&amp;$A175,downloads!$A:$D,4,FALSE),"")</f>
        <v/>
      </c>
      <c r="P180" s="83" t="str">
        <f>IFERROR(VLOOKUP($A180&amp;P$2&amp;$A175,downloads!$A:$D,3,FALSE),"")</f>
        <v/>
      </c>
      <c r="Q180" s="83" t="str">
        <f>IFERROR(VLOOKUP($A180&amp;P$2&amp;$A175,downloads!$A:$D,4,FALSE),"")</f>
        <v/>
      </c>
      <c r="R180" s="83" t="str">
        <f>IFERROR(VLOOKUP($A180&amp;R$2&amp;$A175,downloads!$A:$D,3,FALSE),"")</f>
        <v/>
      </c>
      <c r="S180" s="83" t="str">
        <f>IFERROR(VLOOKUP($A180&amp;R$2&amp;$A175,downloads!$A:$D,4,FALSE),"")</f>
        <v/>
      </c>
    </row>
    <row r="181" spans="1:19" x14ac:dyDescent="0.35">
      <c r="A181" s="434" t="s">
        <v>1905</v>
      </c>
      <c r="B181" s="83">
        <v>5</v>
      </c>
      <c r="C181" s="83" t="str">
        <f t="shared" si="129"/>
        <v>800 NS</v>
      </c>
      <c r="D181" s="83">
        <f>IFERROR(VLOOKUP($A181&amp;D$2&amp;$A175,downloads!$A:$D,3,FALSE),"")</f>
        <v>0</v>
      </c>
      <c r="E181" s="83">
        <f>IFERROR(VLOOKUP($A181&amp;D$2&amp;$A175,downloads!$A:$D,4,FALSE),"")</f>
        <v>0</v>
      </c>
      <c r="F181" s="83" t="str">
        <f>IFERROR(VLOOKUP($A181&amp;F$2&amp;$A175,downloads!$A:$D,3,FALSE),"")</f>
        <v>-</v>
      </c>
      <c r="G181" s="83">
        <f>IFERROR(VLOOKUP($A181&amp;F$2&amp;$A175,downloads!$A:$D,4,FALSE),"")</f>
        <v>0</v>
      </c>
      <c r="H181" s="83" t="str">
        <f>IFERROR(VLOOKUP($A181&amp;H$2&amp;$A175,downloads!$A:$D,3,FALSE),"")</f>
        <v>GREEN-HEMMINGS Grace</v>
      </c>
      <c r="I181" s="83" t="str">
        <f>IFERROR(VLOOKUP($A181&amp;H$2&amp;$A175,downloads!$A:$D,4,FALSE),"")</f>
        <v>BIRCH Louisa</v>
      </c>
      <c r="J181" s="83" t="str">
        <f>IFERROR(VLOOKUP($A181&amp;J$2&amp;$A175,downloads!$A:$D,3,FALSE),"")</f>
        <v>-</v>
      </c>
      <c r="K181" s="83" t="str">
        <f>IFERROR(VLOOKUP($A181&amp;J$2&amp;$A175,downloads!$A:$D,4,FALSE),"")</f>
        <v>-</v>
      </c>
      <c r="L181" s="83">
        <f>IFERROR(VLOOKUP($A181&amp;L$2&amp;$A175,downloads!$A:$D,3,FALSE),"")</f>
        <v>0</v>
      </c>
      <c r="M181" s="83">
        <f>IFERROR(VLOOKUP($A181&amp;L$2&amp;$A175,downloads!$A:$D,4,FALSE),"")</f>
        <v>0</v>
      </c>
      <c r="N181" s="83" t="str">
        <f>IFERROR(VLOOKUP($A181&amp;N$2&amp;$A175,downloads!$A:$D,3,FALSE),"")</f>
        <v/>
      </c>
      <c r="O181" s="83" t="str">
        <f>IFERROR(VLOOKUP($A181&amp;N$2&amp;$A175,downloads!$A:$D,4,FALSE),"")</f>
        <v/>
      </c>
      <c r="P181" s="83" t="str">
        <f>IFERROR(VLOOKUP($A181&amp;P$2&amp;$A175,downloads!$A:$D,3,FALSE),"")</f>
        <v/>
      </c>
      <c r="Q181" s="83" t="str">
        <f>IFERROR(VLOOKUP($A181&amp;P$2&amp;$A175,downloads!$A:$D,4,FALSE),"")</f>
        <v/>
      </c>
      <c r="R181" s="83" t="str">
        <f>IFERROR(VLOOKUP($A181&amp;R$2&amp;$A175,downloads!$A:$D,3,FALSE),"")</f>
        <v/>
      </c>
      <c r="S181" s="83" t="str">
        <f>IFERROR(VLOOKUP($A181&amp;R$2&amp;$A175,downloads!$A:$D,4,FALSE),"")</f>
        <v/>
      </c>
    </row>
    <row r="182" spans="1:19" x14ac:dyDescent="0.35">
      <c r="A182" s="434" t="s">
        <v>1906</v>
      </c>
      <c r="B182" s="83">
        <v>6</v>
      </c>
      <c r="C182" s="83" t="str">
        <f t="shared" si="129"/>
        <v>1200 / 1500</v>
      </c>
      <c r="D182" s="83" t="str">
        <f>IFERROR(VLOOKUP($A182&amp;D$2&amp;$A175,downloads!$A:$D,3,FALSE),"")</f>
        <v>GRIFFIN Lydia</v>
      </c>
      <c r="E182" s="83" t="str">
        <f>IFERROR(VLOOKUP($A182&amp;D$2&amp;$A175,downloads!$A:$D,4,FALSE),"")</f>
        <v>HELPS Macy</v>
      </c>
      <c r="F182" s="83">
        <f>IFERROR(VLOOKUP($A182&amp;F$2&amp;$A175,downloads!$A:$D,3,FALSE),"")</f>
        <v>0</v>
      </c>
      <c r="G182" s="83">
        <f>IFERROR(VLOOKUP($A182&amp;F$2&amp;$A175,downloads!$A:$D,4,FALSE),"")</f>
        <v>0</v>
      </c>
      <c r="H182" s="83" t="str">
        <f>IFERROR(VLOOKUP($A182&amp;H$2&amp;$A175,downloads!$A:$D,3,FALSE),"")</f>
        <v>LANGAN Lottie</v>
      </c>
      <c r="I182" s="83" t="str">
        <f>IFERROR(VLOOKUP($A182&amp;H$2&amp;$A175,downloads!$A:$D,4,FALSE),"")</f>
        <v>KENNEDY Amy</v>
      </c>
      <c r="J182" s="83" t="str">
        <f>IFERROR(VLOOKUP($A182&amp;J$2&amp;$A175,downloads!$A:$D,3,FALSE),"")</f>
        <v>PETTIT Grace</v>
      </c>
      <c r="K182" s="83" t="str">
        <f>IFERROR(VLOOKUP($A182&amp;J$2&amp;$A175,downloads!$A:$D,4,FALSE),"")</f>
        <v>-</v>
      </c>
      <c r="L182" s="83" t="str">
        <f>IFERROR(VLOOKUP($A182&amp;L$2&amp;$A175,downloads!$A:$D,3,FALSE),"")</f>
        <v>CRESSEY Evie</v>
      </c>
      <c r="M182" s="83">
        <f>IFERROR(VLOOKUP($A182&amp;L$2&amp;$A175,downloads!$A:$D,4,FALSE),"")</f>
        <v>0</v>
      </c>
      <c r="N182" s="83" t="str">
        <f>IFERROR(VLOOKUP($A182&amp;N$2&amp;$A175,downloads!$A:$D,3,FALSE),"")</f>
        <v/>
      </c>
      <c r="O182" s="83" t="str">
        <f>IFERROR(VLOOKUP($A182&amp;N$2&amp;$A175,downloads!$A:$D,4,FALSE),"")</f>
        <v/>
      </c>
      <c r="P182" s="83" t="str">
        <f>IFERROR(VLOOKUP($A182&amp;P$2&amp;$A175,downloads!$A:$D,3,FALSE),"")</f>
        <v/>
      </c>
      <c r="Q182" s="83" t="str">
        <f>IFERROR(VLOOKUP($A182&amp;P$2&amp;$A175,downloads!$A:$D,4,FALSE),"")</f>
        <v/>
      </c>
      <c r="R182" s="83" t="str">
        <f>IFERROR(VLOOKUP($A182&amp;R$2&amp;$A175,downloads!$A:$D,3,FALSE),"")</f>
        <v/>
      </c>
      <c r="S182" s="83" t="str">
        <f>IFERROR(VLOOKUP($A182&amp;R$2&amp;$A175,downloads!$A:$D,4,FALSE),"")</f>
        <v/>
      </c>
    </row>
    <row r="183" spans="1:19" x14ac:dyDescent="0.35">
      <c r="A183" s="434" t="s">
        <v>1907</v>
      </c>
      <c r="B183" s="83">
        <v>7</v>
      </c>
      <c r="C183" s="83" t="str">
        <f t="shared" si="129"/>
        <v>Sprint Hurdles</v>
      </c>
      <c r="D183" s="83" t="str">
        <f>IFERROR(VLOOKUP($A183&amp;D$2&amp;$A175,downloads!$A:$D,3,FALSE),"")</f>
        <v>STANILAND Charlotte</v>
      </c>
      <c r="E183" s="83" t="str">
        <f>IFERROR(VLOOKUP($A183&amp;D$2&amp;$A175,downloads!$A:$D,4,FALSE),"")</f>
        <v>HALL Lottie</v>
      </c>
      <c r="F183" s="83" t="str">
        <f>IFERROR(VLOOKUP($A183&amp;F$2&amp;$A175,downloads!$A:$D,3,FALSE),"")</f>
        <v>COOPER Amy</v>
      </c>
      <c r="G183" s="83" t="str">
        <f>IFERROR(VLOOKUP($A183&amp;F$2&amp;$A175,downloads!$A:$D,4,FALSE),"")</f>
        <v>GROVE Abigail</v>
      </c>
      <c r="H183" s="83" t="str">
        <f>IFERROR(VLOOKUP($A183&amp;H$2&amp;$A175,downloads!$A:$D,3,FALSE),"")</f>
        <v>POUNDER Esme</v>
      </c>
      <c r="I183" s="83" t="str">
        <f>IFERROR(VLOOKUP($A183&amp;H$2&amp;$A175,downloads!$A:$D,4,FALSE),"")</f>
        <v>GREEN-HEMMINGS Grace</v>
      </c>
      <c r="J183" s="83" t="str">
        <f>IFERROR(VLOOKUP($A183&amp;J$2&amp;$A175,downloads!$A:$D,3,FALSE),"")</f>
        <v>SEDGWICK Emma</v>
      </c>
      <c r="K183" s="83" t="str">
        <f>IFERROR(VLOOKUP($A183&amp;J$2&amp;$A175,downloads!$A:$D,4,FALSE),"")</f>
        <v>-</v>
      </c>
      <c r="L183" s="83">
        <f>IFERROR(VLOOKUP($A183&amp;L$2&amp;$A175,downloads!$A:$D,3,FALSE),"")</f>
        <v>0</v>
      </c>
      <c r="M183" s="83">
        <f>IFERROR(VLOOKUP($A183&amp;L$2&amp;$A175,downloads!$A:$D,4,FALSE),"")</f>
        <v>0</v>
      </c>
      <c r="N183" s="83" t="str">
        <f>IFERROR(VLOOKUP($A183&amp;N$2&amp;$A175,downloads!$A:$D,3,FALSE),"")</f>
        <v/>
      </c>
      <c r="O183" s="83" t="str">
        <f>IFERROR(VLOOKUP($A183&amp;N$2&amp;$A175,downloads!$A:$D,4,FALSE),"")</f>
        <v/>
      </c>
      <c r="P183" s="83" t="str">
        <f>IFERROR(VLOOKUP($A183&amp;P$2&amp;$A175,downloads!$A:$D,3,FALSE),"")</f>
        <v/>
      </c>
      <c r="Q183" s="83" t="str">
        <f>IFERROR(VLOOKUP($A183&amp;P$2&amp;$A175,downloads!$A:$D,4,FALSE),"")</f>
        <v/>
      </c>
      <c r="R183" s="83" t="str">
        <f>IFERROR(VLOOKUP($A183&amp;R$2&amp;$A175,downloads!$A:$D,3,FALSE),"")</f>
        <v/>
      </c>
      <c r="S183" s="83" t="str">
        <f>IFERROR(VLOOKUP($A183&amp;R$2&amp;$A175,downloads!$A:$D,4,FALSE),"")</f>
        <v/>
      </c>
    </row>
    <row r="184" spans="1:19" x14ac:dyDescent="0.35">
      <c r="A184" s="434" t="s">
        <v>1908</v>
      </c>
      <c r="B184" s="83">
        <v>8</v>
      </c>
      <c r="C184" s="83">
        <f t="shared" si="129"/>
        <v>3000</v>
      </c>
      <c r="D184" s="83">
        <f>IFERROR(VLOOKUP($A184&amp;D$2&amp;$A175,downloads!$A:$D,3,FALSE),"")</f>
        <v>0</v>
      </c>
      <c r="E184" s="83">
        <f>IFERROR(VLOOKUP($A184&amp;D$2&amp;$A175,downloads!$A:$D,4,FALSE),"")</f>
        <v>0</v>
      </c>
      <c r="F184" s="83">
        <f>IFERROR(VLOOKUP($A184&amp;F$2&amp;$A175,downloads!$A:$D,3,FALSE),"")</f>
        <v>0</v>
      </c>
      <c r="G184" s="83">
        <f>IFERROR(VLOOKUP($A184&amp;F$2&amp;$A175,downloads!$A:$D,4,FALSE),"")</f>
        <v>0</v>
      </c>
      <c r="H184" s="83">
        <f>IFERROR(VLOOKUP($A184&amp;H$2&amp;$A175,downloads!$A:$D,3,FALSE),"")</f>
        <v>0</v>
      </c>
      <c r="I184" s="83">
        <f>IFERROR(VLOOKUP($A184&amp;H$2&amp;$A175,downloads!$A:$D,4,FALSE),"")</f>
        <v>0</v>
      </c>
      <c r="J184" s="83">
        <f>IFERROR(VLOOKUP($A184&amp;J$2&amp;$A175,downloads!$A:$D,3,FALSE),"")</f>
        <v>0</v>
      </c>
      <c r="K184" s="83">
        <f>IFERROR(VLOOKUP($A184&amp;J$2&amp;$A175,downloads!$A:$D,4,FALSE),"")</f>
        <v>0</v>
      </c>
      <c r="L184" s="83">
        <f>IFERROR(VLOOKUP($A184&amp;L$2&amp;$A175,downloads!$A:$D,3,FALSE),"")</f>
        <v>0</v>
      </c>
      <c r="M184" s="83">
        <f>IFERROR(VLOOKUP($A184&amp;L$2&amp;$A175,downloads!$A:$D,4,FALSE),"")</f>
        <v>0</v>
      </c>
      <c r="N184" s="83" t="str">
        <f>IFERROR(VLOOKUP($A184&amp;N$2&amp;$A175,downloads!$A:$D,3,FALSE),"")</f>
        <v/>
      </c>
      <c r="O184" s="83" t="str">
        <f>IFERROR(VLOOKUP($A184&amp;N$2&amp;$A175,downloads!$A:$D,4,FALSE),"")</f>
        <v/>
      </c>
      <c r="P184" s="83" t="str">
        <f>IFERROR(VLOOKUP($A184&amp;P$2&amp;$A175,downloads!$A:$D,3,FALSE),"")</f>
        <v/>
      </c>
      <c r="Q184" s="83" t="str">
        <f>IFERROR(VLOOKUP($A184&amp;P$2&amp;$A175,downloads!$A:$D,4,FALSE),"")</f>
        <v/>
      </c>
      <c r="R184" s="83" t="str">
        <f>IFERROR(VLOOKUP($A184&amp;R$2&amp;$A175,downloads!$A:$D,3,FALSE),"")</f>
        <v/>
      </c>
      <c r="S184" s="83" t="str">
        <f>IFERROR(VLOOKUP($A184&amp;R$2&amp;$A175,downloads!$A:$D,4,FALSE),"")</f>
        <v/>
      </c>
    </row>
    <row r="185" spans="1:19" x14ac:dyDescent="0.35">
      <c r="A185" s="434" t="s">
        <v>1909</v>
      </c>
      <c r="B185" s="83">
        <v>9</v>
      </c>
      <c r="C185" s="83" t="str">
        <f t="shared" si="129"/>
        <v>Steeplechase</v>
      </c>
      <c r="D185" s="83">
        <f>IFERROR(VLOOKUP($A185&amp;D$2&amp;$A175,downloads!$A:$D,3,FALSE),"")</f>
        <v>0</v>
      </c>
      <c r="E185" s="83">
        <f>IFERROR(VLOOKUP($A185&amp;D$2&amp;$A175,downloads!$A:$D,4,FALSE),"")</f>
        <v>0</v>
      </c>
      <c r="F185" s="83">
        <f>IFERROR(VLOOKUP($A185&amp;F$2&amp;$A175,downloads!$A:$D,3,FALSE),"")</f>
        <v>0</v>
      </c>
      <c r="G185" s="83">
        <f>IFERROR(VLOOKUP($A185&amp;F$2&amp;$A175,downloads!$A:$D,4,FALSE),"")</f>
        <v>0</v>
      </c>
      <c r="H185" s="83">
        <f>IFERROR(VLOOKUP($A185&amp;H$2&amp;$A175,downloads!$A:$D,3,FALSE),"")</f>
        <v>0</v>
      </c>
      <c r="I185" s="83">
        <f>IFERROR(VLOOKUP($A185&amp;H$2&amp;$A175,downloads!$A:$D,4,FALSE),"")</f>
        <v>0</v>
      </c>
      <c r="J185" s="83">
        <f>IFERROR(VLOOKUP($A185&amp;J$2&amp;$A175,downloads!$A:$D,3,FALSE),"")</f>
        <v>0</v>
      </c>
      <c r="K185" s="83">
        <f>IFERROR(VLOOKUP($A185&amp;J$2&amp;$A175,downloads!$A:$D,4,FALSE),"")</f>
        <v>0</v>
      </c>
      <c r="L185" s="83">
        <f>IFERROR(VLOOKUP($A185&amp;L$2&amp;$A175,downloads!$A:$D,3,FALSE),"")</f>
        <v>0</v>
      </c>
      <c r="M185" s="83">
        <f>IFERROR(VLOOKUP($A185&amp;L$2&amp;$A175,downloads!$A:$D,4,FALSE),"")</f>
        <v>0</v>
      </c>
      <c r="N185" s="83" t="str">
        <f>IFERROR(VLOOKUP($A185&amp;N$2&amp;$A175,downloads!$A:$D,3,FALSE),"")</f>
        <v/>
      </c>
      <c r="O185" s="83" t="str">
        <f>IFERROR(VLOOKUP($A185&amp;N$2&amp;$A175,downloads!$A:$D,4,FALSE),"")</f>
        <v/>
      </c>
      <c r="P185" s="83" t="str">
        <f>IFERROR(VLOOKUP($A185&amp;P$2&amp;$A175,downloads!$A:$D,3,FALSE),"")</f>
        <v/>
      </c>
      <c r="Q185" s="83" t="str">
        <f>IFERROR(VLOOKUP($A185&amp;P$2&amp;$A175,downloads!$A:$D,4,FALSE),"")</f>
        <v/>
      </c>
      <c r="R185" s="83" t="str">
        <f>IFERROR(VLOOKUP($A185&amp;R$2&amp;$A175,downloads!$A:$D,3,FALSE),"")</f>
        <v/>
      </c>
      <c r="S185" s="83" t="str">
        <f>IFERROR(VLOOKUP($A185&amp;R$2&amp;$A175,downloads!$A:$D,4,FALSE),"")</f>
        <v/>
      </c>
    </row>
    <row r="186" spans="1:19" x14ac:dyDescent="0.35">
      <c r="A186" s="434" t="s">
        <v>1910</v>
      </c>
      <c r="B186" s="83">
        <v>10</v>
      </c>
      <c r="C186" s="83" t="str">
        <f t="shared" si="129"/>
        <v>Distance Hurdles</v>
      </c>
      <c r="D186" s="83">
        <f>IFERROR(VLOOKUP($A186&amp;D$2&amp;$A175,downloads!$A:$D,3,FALSE),"")</f>
        <v>0</v>
      </c>
      <c r="E186" s="83">
        <f>IFERROR(VLOOKUP($A186&amp;D$2&amp;$A175,downloads!$A:$D,4,FALSE),"")</f>
        <v>0</v>
      </c>
      <c r="F186" s="83">
        <f>IFERROR(VLOOKUP($A186&amp;F$2&amp;$A175,downloads!$A:$D,3,FALSE),"")</f>
        <v>0</v>
      </c>
      <c r="G186" s="83">
        <f>IFERROR(VLOOKUP($A186&amp;F$2&amp;$A175,downloads!$A:$D,4,FALSE),"")</f>
        <v>0</v>
      </c>
      <c r="H186" s="83">
        <f>IFERROR(VLOOKUP($A186&amp;H$2&amp;$A175,downloads!$A:$D,3,FALSE),"")</f>
        <v>0</v>
      </c>
      <c r="I186" s="83">
        <f>IFERROR(VLOOKUP($A186&amp;H$2&amp;$A175,downloads!$A:$D,4,FALSE),"")</f>
        <v>0</v>
      </c>
      <c r="J186" s="83">
        <f>IFERROR(VLOOKUP($A186&amp;J$2&amp;$A175,downloads!$A:$D,3,FALSE),"")</f>
        <v>0</v>
      </c>
      <c r="K186" s="83">
        <f>IFERROR(VLOOKUP($A186&amp;J$2&amp;$A175,downloads!$A:$D,4,FALSE),"")</f>
        <v>0</v>
      </c>
      <c r="L186" s="83">
        <f>IFERROR(VLOOKUP($A186&amp;L$2&amp;$A175,downloads!$A:$D,3,FALSE),"")</f>
        <v>0</v>
      </c>
      <c r="M186" s="83">
        <f>IFERROR(VLOOKUP($A186&amp;L$2&amp;$A175,downloads!$A:$D,4,FALSE),"")</f>
        <v>0</v>
      </c>
      <c r="N186" s="83" t="str">
        <f>IFERROR(VLOOKUP($A186&amp;N$2&amp;$A175,downloads!$A:$D,3,FALSE),"")</f>
        <v/>
      </c>
      <c r="O186" s="83" t="str">
        <f>IFERROR(VLOOKUP($A186&amp;N$2&amp;$A175,downloads!$A:$D,4,FALSE),"")</f>
        <v/>
      </c>
      <c r="P186" s="83" t="str">
        <f>IFERROR(VLOOKUP($A186&amp;P$2&amp;$A175,downloads!$A:$D,3,FALSE),"")</f>
        <v/>
      </c>
      <c r="Q186" s="83" t="str">
        <f>IFERROR(VLOOKUP($A186&amp;P$2&amp;$A175,downloads!$A:$D,4,FALSE),"")</f>
        <v/>
      </c>
      <c r="R186" s="83" t="str">
        <f>IFERROR(VLOOKUP($A186&amp;R$2&amp;$A175,downloads!$A:$D,3,FALSE),"")</f>
        <v/>
      </c>
      <c r="S186" s="83" t="str">
        <f>IFERROR(VLOOKUP($A186&amp;R$2&amp;$A175,downloads!$A:$D,4,FALSE),"")</f>
        <v/>
      </c>
    </row>
    <row r="187" spans="1:19" x14ac:dyDescent="0.35">
      <c r="A187" s="434" t="s">
        <v>1911</v>
      </c>
      <c r="B187" s="83">
        <v>11</v>
      </c>
      <c r="C187" s="83" t="str">
        <f t="shared" si="129"/>
        <v>Discus</v>
      </c>
      <c r="D187" s="83">
        <f>IFERROR(VLOOKUP($A187&amp;D$2&amp;$A175,downloads!$A:$D,3,FALSE),"")</f>
        <v>0</v>
      </c>
      <c r="E187" s="83">
        <f>IFERROR(VLOOKUP($A187&amp;D$2&amp;$A175,downloads!$A:$D,4,FALSE),"")</f>
        <v>0</v>
      </c>
      <c r="F187" s="83">
        <f>IFERROR(VLOOKUP($A187&amp;F$2&amp;$A175,downloads!$A:$D,3,FALSE),"")</f>
        <v>0</v>
      </c>
      <c r="G187" s="83">
        <f>IFERROR(VLOOKUP($A187&amp;F$2&amp;$A175,downloads!$A:$D,4,FALSE),"")</f>
        <v>0</v>
      </c>
      <c r="H187" s="83">
        <f>IFERROR(VLOOKUP($A187&amp;H$2&amp;$A175,downloads!$A:$D,3,FALSE),"")</f>
        <v>0</v>
      </c>
      <c r="I187" s="83">
        <f>IFERROR(VLOOKUP($A187&amp;H$2&amp;$A175,downloads!$A:$D,4,FALSE),"")</f>
        <v>0</v>
      </c>
      <c r="J187" s="83">
        <f>IFERROR(VLOOKUP($A187&amp;J$2&amp;$A175,downloads!$A:$D,3,FALSE),"")</f>
        <v>0</v>
      </c>
      <c r="K187" s="83">
        <f>IFERROR(VLOOKUP($A187&amp;J$2&amp;$A175,downloads!$A:$D,4,FALSE),"")</f>
        <v>0</v>
      </c>
      <c r="L187" s="83">
        <f>IFERROR(VLOOKUP($A187&amp;L$2&amp;$A175,downloads!$A:$D,3,FALSE),"")</f>
        <v>0</v>
      </c>
      <c r="M187" s="83">
        <f>IFERROR(VLOOKUP($A187&amp;L$2&amp;$A175,downloads!$A:$D,4,FALSE),"")</f>
        <v>0</v>
      </c>
      <c r="N187" s="83" t="str">
        <f>IFERROR(VLOOKUP($A187&amp;N$2&amp;$A175,downloads!$A:$D,3,FALSE),"")</f>
        <v/>
      </c>
      <c r="O187" s="83" t="str">
        <f>IFERROR(VLOOKUP($A187&amp;N$2&amp;$A175,downloads!$A:$D,4,FALSE),"")</f>
        <v/>
      </c>
      <c r="P187" s="83" t="str">
        <f>IFERROR(VLOOKUP($A187&amp;P$2&amp;$A175,downloads!$A:$D,3,FALSE),"")</f>
        <v/>
      </c>
      <c r="Q187" s="83" t="str">
        <f>IFERROR(VLOOKUP($A187&amp;P$2&amp;$A175,downloads!$A:$D,4,FALSE),"")</f>
        <v/>
      </c>
      <c r="R187" s="83" t="str">
        <f>IFERROR(VLOOKUP($A187&amp;R$2&amp;$A175,downloads!$A:$D,3,FALSE),"")</f>
        <v/>
      </c>
      <c r="S187" s="83" t="str">
        <f>IFERROR(VLOOKUP($A187&amp;R$2&amp;$A175,downloads!$A:$D,4,FALSE),"")</f>
        <v/>
      </c>
    </row>
    <row r="188" spans="1:19" x14ac:dyDescent="0.35">
      <c r="A188" s="434" t="s">
        <v>1912</v>
      </c>
      <c r="B188" s="83">
        <v>12</v>
      </c>
      <c r="C188" s="83" t="str">
        <f t="shared" si="129"/>
        <v>Hammer</v>
      </c>
      <c r="D188" s="83">
        <f>IFERROR(VLOOKUP($A188&amp;D$2&amp;$A175,downloads!$A:$D,3,FALSE),"")</f>
        <v>0</v>
      </c>
      <c r="E188" s="83">
        <f>IFERROR(VLOOKUP($A188&amp;D$2&amp;$A175,downloads!$A:$D,4,FALSE),"")</f>
        <v>0</v>
      </c>
      <c r="F188" s="83">
        <f>IFERROR(VLOOKUP($A188&amp;F$2&amp;$A175,downloads!$A:$D,3,FALSE),"")</f>
        <v>0</v>
      </c>
      <c r="G188" s="83">
        <f>IFERROR(VLOOKUP($A188&amp;F$2&amp;$A175,downloads!$A:$D,4,FALSE),"")</f>
        <v>0</v>
      </c>
      <c r="H188" s="83">
        <f>IFERROR(VLOOKUP($A188&amp;H$2&amp;$A175,downloads!$A:$D,3,FALSE),"")</f>
        <v>0</v>
      </c>
      <c r="I188" s="83">
        <f>IFERROR(VLOOKUP($A188&amp;H$2&amp;$A175,downloads!$A:$D,4,FALSE),"")</f>
        <v>0</v>
      </c>
      <c r="J188" s="83">
        <f>IFERROR(VLOOKUP($A188&amp;J$2&amp;$A175,downloads!$A:$D,3,FALSE),"")</f>
        <v>0</v>
      </c>
      <c r="K188" s="83">
        <f>IFERROR(VLOOKUP($A188&amp;J$2&amp;$A175,downloads!$A:$D,4,FALSE),"")</f>
        <v>0</v>
      </c>
      <c r="L188" s="83">
        <f>IFERROR(VLOOKUP($A188&amp;L$2&amp;$A175,downloads!$A:$D,3,FALSE),"")</f>
        <v>0</v>
      </c>
      <c r="M188" s="83">
        <f>IFERROR(VLOOKUP($A188&amp;L$2&amp;$A175,downloads!$A:$D,4,FALSE),"")</f>
        <v>0</v>
      </c>
      <c r="N188" s="83" t="str">
        <f>IFERROR(VLOOKUP($A188&amp;N$2&amp;$A175,downloads!$A:$D,3,FALSE),"")</f>
        <v/>
      </c>
      <c r="O188" s="83" t="str">
        <f>IFERROR(VLOOKUP($A188&amp;N$2&amp;$A175,downloads!$A:$D,4,FALSE),"")</f>
        <v/>
      </c>
      <c r="P188" s="83" t="str">
        <f>IFERROR(VLOOKUP($A188&amp;P$2&amp;$A175,downloads!$A:$D,3,FALSE),"")</f>
        <v/>
      </c>
      <c r="Q188" s="83" t="str">
        <f>IFERROR(VLOOKUP($A188&amp;P$2&amp;$A175,downloads!$A:$D,4,FALSE),"")</f>
        <v/>
      </c>
      <c r="R188" s="83" t="str">
        <f>IFERROR(VLOOKUP($A188&amp;R$2&amp;$A175,downloads!$A:$D,3,FALSE),"")</f>
        <v/>
      </c>
      <c r="S188" s="83" t="str">
        <f>IFERROR(VLOOKUP($A188&amp;R$2&amp;$A175,downloads!$A:$D,4,FALSE),"")</f>
        <v/>
      </c>
    </row>
    <row r="189" spans="1:19" x14ac:dyDescent="0.35">
      <c r="A189" s="434" t="s">
        <v>1913</v>
      </c>
      <c r="B189" s="83">
        <v>13</v>
      </c>
      <c r="C189" s="83" t="str">
        <f t="shared" si="129"/>
        <v>Javelin</v>
      </c>
      <c r="D189" s="83" t="str">
        <f>IFERROR(VLOOKUP($A189&amp;D$2&amp;$A175,downloads!$A:$D,3,FALSE),"")</f>
        <v>FELLOWS Isabelle</v>
      </c>
      <c r="E189" s="83" t="str">
        <f>IFERROR(VLOOKUP($A189&amp;D$2&amp;$A175,downloads!$A:$D,4,FALSE),"")</f>
        <v>HALL Lottie</v>
      </c>
      <c r="F189" s="83" t="str">
        <f>IFERROR(VLOOKUP($A189&amp;F$2&amp;$A175,downloads!$A:$D,3,FALSE),"")</f>
        <v>ROBERTS Eve</v>
      </c>
      <c r="G189" s="83" t="str">
        <f>IFERROR(VLOOKUP($A189&amp;F$2&amp;$A175,downloads!$A:$D,4,FALSE),"")</f>
        <v>GRAY Molly</v>
      </c>
      <c r="H189" s="83" t="str">
        <f>IFERROR(VLOOKUP($A189&amp;H$2&amp;$A175,downloads!$A:$D,3,FALSE),"")</f>
        <v>CLAGUE Kathryn</v>
      </c>
      <c r="I189" s="83" t="str">
        <f>IFERROR(VLOOKUP($A189&amp;H$2&amp;$A175,downloads!$A:$D,4,FALSE),"")</f>
        <v>WRIGHT Ella</v>
      </c>
      <c r="J189" s="83" t="str">
        <f>IFERROR(VLOOKUP($A189&amp;J$2&amp;$A175,downloads!$A:$D,3,FALSE),"")</f>
        <v>-</v>
      </c>
      <c r="K189" s="83" t="str">
        <f>IFERROR(VLOOKUP($A189&amp;J$2&amp;$A175,downloads!$A:$D,4,FALSE),"")</f>
        <v>-</v>
      </c>
      <c r="L189" s="83">
        <f>IFERROR(VLOOKUP($A189&amp;L$2&amp;$A175,downloads!$A:$D,3,FALSE),"")</f>
        <v>0</v>
      </c>
      <c r="M189" s="83">
        <f>IFERROR(VLOOKUP($A189&amp;L$2&amp;$A175,downloads!$A:$D,4,FALSE),"")</f>
        <v>0</v>
      </c>
      <c r="N189" s="83" t="str">
        <f>IFERROR(VLOOKUP($A189&amp;N$2&amp;$A175,downloads!$A:$D,3,FALSE),"")</f>
        <v/>
      </c>
      <c r="O189" s="83" t="str">
        <f>IFERROR(VLOOKUP($A189&amp;N$2&amp;$A175,downloads!$A:$D,4,FALSE),"")</f>
        <v/>
      </c>
      <c r="P189" s="83" t="str">
        <f>IFERROR(VLOOKUP($A189&amp;P$2&amp;$A175,downloads!$A:$D,3,FALSE),"")</f>
        <v/>
      </c>
      <c r="Q189" s="83" t="str">
        <f>IFERROR(VLOOKUP($A189&amp;P$2&amp;$A175,downloads!$A:$D,4,FALSE),"")</f>
        <v/>
      </c>
      <c r="R189" s="83" t="str">
        <f>IFERROR(VLOOKUP($A189&amp;R$2&amp;$A175,downloads!$A:$D,3,FALSE),"")</f>
        <v/>
      </c>
      <c r="S189" s="83" t="str">
        <f>IFERROR(VLOOKUP($A189&amp;R$2&amp;$A175,downloads!$A:$D,4,FALSE),"")</f>
        <v/>
      </c>
    </row>
    <row r="190" spans="1:19" x14ac:dyDescent="0.35">
      <c r="A190" s="434" t="s">
        <v>1914</v>
      </c>
      <c r="B190" s="83">
        <v>14</v>
      </c>
      <c r="C190" s="83" t="str">
        <f t="shared" si="129"/>
        <v>Shot</v>
      </c>
      <c r="D190" s="83" t="str">
        <f>IFERROR(VLOOKUP($A190&amp;D$2&amp;$A175,downloads!$A:$D,3,FALSE),"")</f>
        <v>FELLOWS Isabelle</v>
      </c>
      <c r="E190" s="83" t="str">
        <f>IFERROR(VLOOKUP($A190&amp;D$2&amp;$A175,downloads!$A:$D,4,FALSE),"")</f>
        <v>HALL Lottie</v>
      </c>
      <c r="F190" s="83" t="str">
        <f>IFERROR(VLOOKUP($A190&amp;F$2&amp;$A175,downloads!$A:$D,3,FALSE),"")</f>
        <v>BERRY Heather</v>
      </c>
      <c r="G190" s="83" t="str">
        <f>IFERROR(VLOOKUP($A190&amp;F$2&amp;$A175,downloads!$A:$D,4,FALSE),"")</f>
        <v>SCOTT Violet</v>
      </c>
      <c r="H190" s="83" t="str">
        <f>IFERROR(VLOOKUP($A190&amp;H$2&amp;$A175,downloads!$A:$D,3,FALSE),"")</f>
        <v>CLAGUE Kathryn</v>
      </c>
      <c r="I190" s="83" t="str">
        <f>IFERROR(VLOOKUP($A190&amp;H$2&amp;$A175,downloads!$A:$D,4,FALSE),"")</f>
        <v>WRIGHT Ella</v>
      </c>
      <c r="J190" s="83" t="str">
        <f>IFERROR(VLOOKUP($A190&amp;J$2&amp;$A175,downloads!$A:$D,3,FALSE),"")</f>
        <v>SEDGWICK Emma</v>
      </c>
      <c r="K190" s="83" t="str">
        <f>IFERROR(VLOOKUP($A190&amp;J$2&amp;$A175,downloads!$A:$D,4,FALSE),"")</f>
        <v>-</v>
      </c>
      <c r="L190" s="83" t="str">
        <f>IFERROR(VLOOKUP($A190&amp;L$2&amp;$A175,downloads!$A:$D,3,FALSE),"")</f>
        <v>HAYES Zara</v>
      </c>
      <c r="M190" s="83" t="str">
        <f>IFERROR(VLOOKUP($A190&amp;L$2&amp;$A175,downloads!$A:$D,4,FALSE),"")</f>
        <v>CRESSEY Evie</v>
      </c>
      <c r="N190" s="83" t="str">
        <f>IFERROR(VLOOKUP($A190&amp;N$2&amp;$A175,downloads!$A:$D,3,FALSE),"")</f>
        <v/>
      </c>
      <c r="O190" s="83" t="str">
        <f>IFERROR(VLOOKUP($A190&amp;N$2&amp;$A175,downloads!$A:$D,4,FALSE),"")</f>
        <v/>
      </c>
      <c r="P190" s="83" t="str">
        <f>IFERROR(VLOOKUP($A190&amp;P$2&amp;$A175,downloads!$A:$D,3,FALSE),"")</f>
        <v/>
      </c>
      <c r="Q190" s="83" t="str">
        <f>IFERROR(VLOOKUP($A190&amp;P$2&amp;$A175,downloads!$A:$D,4,FALSE),"")</f>
        <v/>
      </c>
      <c r="R190" s="83" t="str">
        <f>IFERROR(VLOOKUP($A190&amp;R$2&amp;$A175,downloads!$A:$D,3,FALSE),"")</f>
        <v/>
      </c>
      <c r="S190" s="83" t="str">
        <f>IFERROR(VLOOKUP($A190&amp;R$2&amp;$A175,downloads!$A:$D,4,FALSE),"")</f>
        <v/>
      </c>
    </row>
    <row r="191" spans="1:19" x14ac:dyDescent="0.35">
      <c r="A191" s="434" t="s">
        <v>1915</v>
      </c>
      <c r="B191" s="83">
        <v>15</v>
      </c>
      <c r="C191" s="83" t="str">
        <f t="shared" si="129"/>
        <v>Long Jump</v>
      </c>
      <c r="D191" s="83" t="str">
        <f>IFERROR(VLOOKUP($A191&amp;D$2&amp;$A175,downloads!$A:$D,3,FALSE),"")</f>
        <v>FELLOWS Isabelle</v>
      </c>
      <c r="E191" s="83" t="str">
        <f>IFERROR(VLOOKUP($A191&amp;D$2&amp;$A175,downloads!$A:$D,4,FALSE),"")</f>
        <v>HUMPHREYS Melissa</v>
      </c>
      <c r="F191" s="83" t="str">
        <f>IFERROR(VLOOKUP($A191&amp;F$2&amp;$A175,downloads!$A:$D,3,FALSE),"")</f>
        <v>COOPER Amy</v>
      </c>
      <c r="G191" s="83" t="str">
        <f>IFERROR(VLOOKUP($A191&amp;F$2&amp;$A175,downloads!$A:$D,4,FALSE),"")</f>
        <v>GROVE Abigail</v>
      </c>
      <c r="H191" s="83" t="str">
        <f>IFERROR(VLOOKUP($A191&amp;H$2&amp;$A175,downloads!$A:$D,3,FALSE),"")</f>
        <v>MAUDE Emily</v>
      </c>
      <c r="I191" s="83" t="str">
        <f>IFERROR(VLOOKUP($A191&amp;H$2&amp;$A175,downloads!$A:$D,4,FALSE),"")</f>
        <v>WRIGHT Ella</v>
      </c>
      <c r="J191" s="83" t="str">
        <f>IFERROR(VLOOKUP($A191&amp;J$2&amp;$A175,downloads!$A:$D,3,FALSE),"")</f>
        <v>WILMOT Amy</v>
      </c>
      <c r="K191" s="83" t="str">
        <f>IFERROR(VLOOKUP($A191&amp;J$2&amp;$A175,downloads!$A:$D,4,FALSE),"")</f>
        <v>SULLOCK Beth</v>
      </c>
      <c r="L191" s="83" t="str">
        <f>IFERROR(VLOOKUP($A191&amp;L$2&amp;$A175,downloads!$A:$D,3,FALSE),"")</f>
        <v>STOW Libby</v>
      </c>
      <c r="M191" s="83" t="str">
        <f>IFERROR(VLOOKUP($A191&amp;L$2&amp;$A175,downloads!$A:$D,4,FALSE),"")</f>
        <v>HAYES Zara</v>
      </c>
      <c r="N191" s="83" t="str">
        <f>IFERROR(VLOOKUP($A191&amp;N$2&amp;$A175,downloads!$A:$D,3,FALSE),"")</f>
        <v/>
      </c>
      <c r="O191" s="83" t="str">
        <f>IFERROR(VLOOKUP($A191&amp;N$2&amp;$A175,downloads!$A:$D,4,FALSE),"")</f>
        <v/>
      </c>
      <c r="P191" s="83" t="str">
        <f>IFERROR(VLOOKUP($A191&amp;P$2&amp;$A175,downloads!$A:$D,3,FALSE),"")</f>
        <v/>
      </c>
      <c r="Q191" s="83" t="str">
        <f>IFERROR(VLOOKUP($A191&amp;P$2&amp;$A175,downloads!$A:$D,4,FALSE),"")</f>
        <v/>
      </c>
      <c r="R191" s="83" t="str">
        <f>IFERROR(VLOOKUP($A191&amp;R$2&amp;$A175,downloads!$A:$D,3,FALSE),"")</f>
        <v/>
      </c>
      <c r="S191" s="83" t="str">
        <f>IFERROR(VLOOKUP($A191&amp;R$2&amp;$A175,downloads!$A:$D,4,FALSE),"")</f>
        <v/>
      </c>
    </row>
    <row r="192" spans="1:19" x14ac:dyDescent="0.35">
      <c r="A192" s="434" t="s">
        <v>1916</v>
      </c>
      <c r="B192" s="83">
        <v>16</v>
      </c>
      <c r="C192" s="83" t="str">
        <f t="shared" si="129"/>
        <v>Triple Jump</v>
      </c>
      <c r="D192" s="83">
        <f>IFERROR(VLOOKUP($A192&amp;D$2&amp;$A175,downloads!$A:$D,3,FALSE),"")</f>
        <v>0</v>
      </c>
      <c r="E192" s="83">
        <f>IFERROR(VLOOKUP($A192&amp;D$2&amp;$A175,downloads!$A:$D,4,FALSE),"")</f>
        <v>0</v>
      </c>
      <c r="F192" s="83">
        <f>IFERROR(VLOOKUP($A192&amp;F$2&amp;$A175,downloads!$A:$D,3,FALSE),"")</f>
        <v>0</v>
      </c>
      <c r="G192" s="83">
        <f>IFERROR(VLOOKUP($A192&amp;F$2&amp;$A175,downloads!$A:$D,4,FALSE),"")</f>
        <v>0</v>
      </c>
      <c r="H192" s="83">
        <f>IFERROR(VLOOKUP($A192&amp;H$2&amp;$A175,downloads!$A:$D,3,FALSE),"")</f>
        <v>0</v>
      </c>
      <c r="I192" s="83">
        <f>IFERROR(VLOOKUP($A192&amp;H$2&amp;$A175,downloads!$A:$D,4,FALSE),"")</f>
        <v>0</v>
      </c>
      <c r="J192" s="83">
        <f>IFERROR(VLOOKUP($A192&amp;J$2&amp;$A175,downloads!$A:$D,3,FALSE),"")</f>
        <v>0</v>
      </c>
      <c r="K192" s="83">
        <f>IFERROR(VLOOKUP($A192&amp;J$2&amp;$A175,downloads!$A:$D,4,FALSE),"")</f>
        <v>0</v>
      </c>
      <c r="L192" s="83">
        <f>IFERROR(VLOOKUP($A192&amp;L$2&amp;$A175,downloads!$A:$D,3,FALSE),"")</f>
        <v>0</v>
      </c>
      <c r="M192" s="83">
        <f>IFERROR(VLOOKUP($A192&amp;L$2&amp;$A175,downloads!$A:$D,4,FALSE),"")</f>
        <v>0</v>
      </c>
      <c r="N192" s="83" t="str">
        <f>IFERROR(VLOOKUP($A192&amp;N$2&amp;$A175,downloads!$A:$D,3,FALSE),"")</f>
        <v/>
      </c>
      <c r="O192" s="83" t="str">
        <f>IFERROR(VLOOKUP($A192&amp;N$2&amp;$A175,downloads!$A:$D,4,FALSE),"")</f>
        <v/>
      </c>
      <c r="P192" s="83" t="str">
        <f>IFERROR(VLOOKUP($A192&amp;P$2&amp;$A175,downloads!$A:$D,3,FALSE),"")</f>
        <v/>
      </c>
      <c r="Q192" s="83" t="str">
        <f>IFERROR(VLOOKUP($A192&amp;P$2&amp;$A175,downloads!$A:$D,4,FALSE),"")</f>
        <v/>
      </c>
      <c r="R192" s="83" t="str">
        <f>IFERROR(VLOOKUP($A192&amp;R$2&amp;$A175,downloads!$A:$D,3,FALSE),"")</f>
        <v/>
      </c>
      <c r="S192" s="83" t="str">
        <f>IFERROR(VLOOKUP($A192&amp;R$2&amp;$A175,downloads!$A:$D,4,FALSE),"")</f>
        <v/>
      </c>
    </row>
    <row r="193" spans="1:19" x14ac:dyDescent="0.35">
      <c r="A193" s="434" t="s">
        <v>1921</v>
      </c>
      <c r="B193" s="83">
        <v>17</v>
      </c>
      <c r="C193" s="83" t="str">
        <f t="shared" si="129"/>
        <v>High Jump</v>
      </c>
      <c r="D193" s="83" t="str">
        <f>IFERROR(VLOOKUP($A193&amp;D$2&amp;$A175,downloads!$A:$D,3,FALSE),"")</f>
        <v>HUMPHREYS Melissa</v>
      </c>
      <c r="E193" s="83" t="str">
        <f>IFERROR(VLOOKUP($A193&amp;D$2&amp;$A175,downloads!$A:$D,4,FALSE),"")</f>
        <v>STANILAND Charlotte</v>
      </c>
      <c r="F193" s="83" t="str">
        <f>IFERROR(VLOOKUP($A193&amp;F$2&amp;$A175,downloads!$A:$D,3,FALSE),"")</f>
        <v>ROBERTS Eve</v>
      </c>
      <c r="G193" s="83" t="str">
        <f>IFERROR(VLOOKUP($A193&amp;F$2&amp;$A175,downloads!$A:$D,4,FALSE),"")</f>
        <v>HARTLEY Eleanor</v>
      </c>
      <c r="H193" s="83" t="str">
        <f>IFERROR(VLOOKUP($A193&amp;H$2&amp;$A175,downloads!$A:$D,3,FALSE),"")</f>
        <v>CLAGUE Kathryn</v>
      </c>
      <c r="I193" s="83" t="str">
        <f>IFERROR(VLOOKUP($A193&amp;H$2&amp;$A175,downloads!$A:$D,4,FALSE),"")</f>
        <v>POUNDER Esme</v>
      </c>
      <c r="J193" s="83" t="str">
        <f>IFERROR(VLOOKUP($A193&amp;J$2&amp;$A175,downloads!$A:$D,3,FALSE),"")</f>
        <v>-</v>
      </c>
      <c r="K193" s="83" t="str">
        <f>IFERROR(VLOOKUP($A193&amp;J$2&amp;$A175,downloads!$A:$D,4,FALSE),"")</f>
        <v>-</v>
      </c>
      <c r="L193" s="83" t="str">
        <f>IFERROR(VLOOKUP($A193&amp;L$2&amp;$A175,downloads!$A:$D,3,FALSE),"")</f>
        <v>-</v>
      </c>
      <c r="M193" s="83">
        <f>IFERROR(VLOOKUP($A193&amp;L$2&amp;$A175,downloads!$A:$D,4,FALSE),"")</f>
        <v>0</v>
      </c>
      <c r="N193" s="83" t="str">
        <f>IFERROR(VLOOKUP($A193&amp;N$2&amp;$A175,downloads!$A:$D,3,FALSE),"")</f>
        <v/>
      </c>
      <c r="O193" s="83" t="str">
        <f>IFERROR(VLOOKUP($A193&amp;N$2&amp;$A175,downloads!$A:$D,4,FALSE),"")</f>
        <v/>
      </c>
      <c r="P193" s="83" t="str">
        <f>IFERROR(VLOOKUP($A193&amp;P$2&amp;$A175,downloads!$A:$D,3,FALSE),"")</f>
        <v/>
      </c>
      <c r="Q193" s="83" t="str">
        <f>IFERROR(VLOOKUP($A193&amp;P$2&amp;$A175,downloads!$A:$D,4,FALSE),"")</f>
        <v/>
      </c>
      <c r="R193" s="83" t="str">
        <f>IFERROR(VLOOKUP($A193&amp;R$2&amp;$A175,downloads!$A:$D,3,FALSE),"")</f>
        <v/>
      </c>
      <c r="S193" s="83" t="str">
        <f>IFERROR(VLOOKUP($A193&amp;R$2&amp;$A175,downloads!$A:$D,4,FALSE),"")</f>
        <v/>
      </c>
    </row>
    <row r="194" spans="1:19" x14ac:dyDescent="0.35">
      <c r="A194" s="434" t="s">
        <v>1917</v>
      </c>
      <c r="B194" s="83">
        <v>18</v>
      </c>
      <c r="C194" s="83" t="str">
        <f t="shared" si="129"/>
        <v>Pole Vault</v>
      </c>
      <c r="D194" s="83">
        <f>IFERROR(VLOOKUP($A194&amp;D$2&amp;$A175,downloads!$A:$D,3,FALSE),"")</f>
        <v>0</v>
      </c>
      <c r="E194" s="83">
        <f>IFERROR(VLOOKUP($A194&amp;D$2&amp;$A175,downloads!$A:$D,4,FALSE),"")</f>
        <v>0</v>
      </c>
      <c r="F194" s="83">
        <f>IFERROR(VLOOKUP($A194&amp;F$2&amp;$A175,downloads!$A:$D,3,FALSE),"")</f>
        <v>0</v>
      </c>
      <c r="G194" s="83">
        <f>IFERROR(VLOOKUP($A194&amp;F$2&amp;$A175,downloads!$A:$D,4,FALSE),"")</f>
        <v>0</v>
      </c>
      <c r="H194" s="83">
        <f>IFERROR(VLOOKUP($A194&amp;H$2&amp;$A175,downloads!$A:$D,3,FALSE),"")</f>
        <v>0</v>
      </c>
      <c r="I194" s="83">
        <f>IFERROR(VLOOKUP($A194&amp;H$2&amp;$A175,downloads!$A:$D,4,FALSE),"")</f>
        <v>0</v>
      </c>
      <c r="J194" s="83">
        <f>IFERROR(VLOOKUP($A194&amp;J$2&amp;$A175,downloads!$A:$D,3,FALSE),"")</f>
        <v>0</v>
      </c>
      <c r="K194" s="83">
        <f>IFERROR(VLOOKUP($A194&amp;J$2&amp;$A175,downloads!$A:$D,4,FALSE),"")</f>
        <v>0</v>
      </c>
      <c r="L194" s="83">
        <f>IFERROR(VLOOKUP($A194&amp;L$2&amp;$A175,downloads!$A:$D,3,FALSE),"")</f>
        <v>0</v>
      </c>
      <c r="M194" s="83">
        <f>IFERROR(VLOOKUP($A194&amp;L$2&amp;$A175,downloads!$A:$D,4,FALSE),"")</f>
        <v>0</v>
      </c>
      <c r="N194" s="83" t="str">
        <f>IFERROR(VLOOKUP($A194&amp;N$2&amp;$A175,downloads!$A:$D,3,FALSE),"")</f>
        <v/>
      </c>
      <c r="O194" s="83" t="str">
        <f>IFERROR(VLOOKUP($A194&amp;N$2&amp;$A175,downloads!$A:$D,4,FALSE),"")</f>
        <v/>
      </c>
      <c r="P194" s="83" t="str">
        <f>IFERROR(VLOOKUP($A194&amp;P$2&amp;$A175,downloads!$A:$D,3,FALSE),"")</f>
        <v/>
      </c>
      <c r="Q194" s="83" t="str">
        <f>IFERROR(VLOOKUP($A194&amp;P$2&amp;$A175,downloads!$A:$D,4,FALSE),"")</f>
        <v/>
      </c>
      <c r="R194" s="83" t="str">
        <f>IFERROR(VLOOKUP($A194&amp;R$2&amp;$A175,downloads!$A:$D,3,FALSE),"")</f>
        <v/>
      </c>
      <c r="S194" s="83" t="str">
        <f>IFERROR(VLOOKUP($A194&amp;R$2&amp;$A175,downloads!$A:$D,4,FALSE),"")</f>
        <v/>
      </c>
    </row>
    <row r="195" spans="1:19" x14ac:dyDescent="0.35">
      <c r="A195" s="434" t="s">
        <v>1918</v>
      </c>
      <c r="B195" s="83">
        <v>19</v>
      </c>
      <c r="C195" s="83" t="str">
        <f t="shared" si="129"/>
        <v>4x100 Relay</v>
      </c>
      <c r="D195" s="83" t="str">
        <f>IFERROR(VLOOKUP($A195&amp;D$2&amp;$A175,downloads!$A:$D,3,FALSE),"")</f>
        <v>HAILEY Faye</v>
      </c>
      <c r="E195" s="83" t="str">
        <f>IFERROR(VLOOKUP($A195&amp;D$2&amp;$A175,downloads!$A:$D,4,FALSE),"")</f>
        <v>GRIFFIN Lydia</v>
      </c>
      <c r="F195" s="83" t="str">
        <f>IFERROR(VLOOKUP($A195&amp;F$2&amp;$A175,downloads!$A:$D,3,FALSE),"")</f>
        <v>GROVE Abigail</v>
      </c>
      <c r="G195" s="83" t="str">
        <f>IFERROR(VLOOKUP($A195&amp;F$2&amp;$A175,downloads!$A:$D,4,FALSE),"")</f>
        <v>GRAY Molly</v>
      </c>
      <c r="H195" s="83" t="str">
        <f>IFERROR(VLOOKUP($A195&amp;H$2&amp;$A175,downloads!$A:$D,3,FALSE),"")</f>
        <v>POUNDER Esme</v>
      </c>
      <c r="I195" s="83" t="str">
        <f>IFERROR(VLOOKUP($A195&amp;H$2&amp;$A175,downloads!$A:$D,4,FALSE),"")</f>
        <v>MAUDE Emily</v>
      </c>
      <c r="J195" s="83" t="str">
        <f>IFERROR(VLOOKUP($A195&amp;J$2&amp;$A175,downloads!$A:$D,3,FALSE),"")</f>
        <v>LILLIE Freya</v>
      </c>
      <c r="K195" s="83" t="str">
        <f>IFERROR(VLOOKUP($A195&amp;J$2&amp;$A175,downloads!$A:$D,4,FALSE),"")</f>
        <v>SEDGWICK Emma</v>
      </c>
      <c r="L195" s="83">
        <f>IFERROR(VLOOKUP($A195&amp;L$2&amp;$A175,downloads!$A:$D,3,FALSE),"")</f>
        <v>0</v>
      </c>
      <c r="M195" s="83">
        <f>IFERROR(VLOOKUP($A195&amp;L$2&amp;$A175,downloads!$A:$D,4,FALSE),"")</f>
        <v>0</v>
      </c>
      <c r="N195" s="83" t="str">
        <f>IFERROR(VLOOKUP($A195&amp;N$2&amp;$A175,downloads!$A:$D,3,FALSE),"")</f>
        <v/>
      </c>
      <c r="O195" s="83" t="str">
        <f>IFERROR(VLOOKUP($A195&amp;N$2&amp;$A175,downloads!$A:$D,4,FALSE),"")</f>
        <v/>
      </c>
      <c r="P195" s="83" t="str">
        <f>IFERROR(VLOOKUP($A195&amp;P$2&amp;$A175,downloads!$A:$D,3,FALSE),"")</f>
        <v/>
      </c>
      <c r="Q195" s="83" t="str">
        <f>IFERROR(VLOOKUP($A195&amp;P$2&amp;$A175,downloads!$A:$D,4,FALSE),"")</f>
        <v/>
      </c>
      <c r="R195" s="83" t="str">
        <f>IFERROR(VLOOKUP($A195&amp;R$2&amp;$A175,downloads!$A:$D,3,FALSE),"")</f>
        <v/>
      </c>
      <c r="S195" s="83" t="str">
        <f>IFERROR(VLOOKUP($A195&amp;R$2&amp;$A175,downloads!$A:$D,4,FALSE),"")</f>
        <v/>
      </c>
    </row>
    <row r="196" spans="1:19" x14ac:dyDescent="0.35">
      <c r="A196" s="434" t="s">
        <v>1919</v>
      </c>
      <c r="B196" s="83">
        <v>20</v>
      </c>
      <c r="C196" s="83" t="str">
        <f t="shared" si="129"/>
        <v>4x100 Relay</v>
      </c>
      <c r="D196" s="83" t="str">
        <f>IFERROR(VLOOKUP($A196&amp;D$2&amp;$A175,downloads!$A:$D,3,FALSE),"")</f>
        <v>PELL Gracie</v>
      </c>
      <c r="E196" s="83" t="str">
        <f>IFERROR(VLOOKUP($A196&amp;D$2&amp;$A175,downloads!$A:$D,4,FALSE),"")</f>
        <v>SAS Evelyn</v>
      </c>
      <c r="F196" s="83" t="str">
        <f>IFERROR(VLOOKUP($A196&amp;F$2&amp;$A175,downloads!$A:$D,3,FALSE),"")</f>
        <v>ROBERTS Eve</v>
      </c>
      <c r="G196" s="83" t="str">
        <f>IFERROR(VLOOKUP($A196&amp;F$2&amp;$A175,downloads!$A:$D,4,FALSE),"")</f>
        <v>SCOTT Violet</v>
      </c>
      <c r="H196" s="83" t="str">
        <f>IFERROR(VLOOKUP($A196&amp;H$2&amp;$A175,downloads!$A:$D,3,FALSE),"")</f>
        <v>GREEN-HEMMINGS Grace</v>
      </c>
      <c r="I196" s="83" t="str">
        <f>IFERROR(VLOOKUP($A196&amp;H$2&amp;$A175,downloads!$A:$D,4,FALSE),"")</f>
        <v>MARSHALL Nancy</v>
      </c>
      <c r="J196" s="83" t="str">
        <f>IFERROR(VLOOKUP($A196&amp;J$2&amp;$A175,downloads!$A:$D,3,FALSE),"")</f>
        <v>SULLOCK Beth</v>
      </c>
      <c r="K196" s="83" t="str">
        <f>IFERROR(VLOOKUP($A196&amp;J$2&amp;$A175,downloads!$A:$D,4,FALSE),"")</f>
        <v>WILMOT Amy</v>
      </c>
      <c r="L196" s="83">
        <f>IFERROR(VLOOKUP($A196&amp;L$2&amp;$A175,downloads!$A:$D,3,FALSE),"")</f>
        <v>0</v>
      </c>
      <c r="M196" s="83">
        <f>IFERROR(VLOOKUP($A196&amp;L$2&amp;$A175,downloads!$A:$D,4,FALSE),"")</f>
        <v>0</v>
      </c>
      <c r="N196" s="83" t="str">
        <f>IFERROR(VLOOKUP($A196&amp;N$2&amp;$A175,downloads!$A:$D,3,FALSE),"")</f>
        <v/>
      </c>
      <c r="O196" s="83" t="str">
        <f>IFERROR(VLOOKUP($A196&amp;N$2&amp;$A175,downloads!$A:$D,4,FALSE),"")</f>
        <v/>
      </c>
      <c r="P196" s="83" t="str">
        <f>IFERROR(VLOOKUP($A196&amp;P$2&amp;$A175,downloads!$A:$D,3,FALSE),"")</f>
        <v/>
      </c>
      <c r="Q196" s="83" t="str">
        <f>IFERROR(VLOOKUP($A196&amp;P$2&amp;$A175,downloads!$A:$D,4,FALSE),"")</f>
        <v/>
      </c>
      <c r="R196" s="83" t="str">
        <f>IFERROR(VLOOKUP($A196&amp;R$2&amp;$A175,downloads!$A:$D,3,FALSE),"")</f>
        <v/>
      </c>
      <c r="S196" s="83" t="str">
        <f>IFERROR(VLOOKUP($A196&amp;R$2&amp;$A175,downloads!$A:$D,4,FALSE),"")</f>
        <v/>
      </c>
    </row>
    <row r="197" spans="1:19" x14ac:dyDescent="0.35">
      <c r="A197" s="434" t="s">
        <v>1920</v>
      </c>
      <c r="B197" s="83">
        <v>21</v>
      </c>
      <c r="C197" s="83" t="str">
        <f t="shared" si="129"/>
        <v>4x400 (300)</v>
      </c>
      <c r="D197" s="83">
        <f>IFERROR(VLOOKUP($A197&amp;D$2&amp;$A175,downloads!$A:$D,3,FALSE),"")</f>
        <v>0</v>
      </c>
      <c r="E197" s="83">
        <f>IFERROR(VLOOKUP($A197&amp;D$2&amp;$A175,downloads!$A:$D,4,FALSE),"")</f>
        <v>0</v>
      </c>
      <c r="F197" s="83">
        <f>IFERROR(VLOOKUP($A197&amp;F$2&amp;$A175,downloads!$A:$D,3,FALSE),"")</f>
        <v>0</v>
      </c>
      <c r="G197" s="83">
        <f>IFERROR(VLOOKUP($A197&amp;F$2&amp;$A175,downloads!$A:$D,4,FALSE),"")</f>
        <v>0</v>
      </c>
      <c r="H197" s="83">
        <f>IFERROR(VLOOKUP($A197&amp;H$2&amp;$A175,downloads!$A:$D,3,FALSE),"")</f>
        <v>0</v>
      </c>
      <c r="I197" s="83">
        <f>IFERROR(VLOOKUP($A197&amp;H$2&amp;$A175,downloads!$A:$D,4,FALSE),"")</f>
        <v>0</v>
      </c>
      <c r="J197" s="83">
        <f>IFERROR(VLOOKUP($A197&amp;J$2&amp;$A175,downloads!$A:$D,3,FALSE),"")</f>
        <v>0</v>
      </c>
      <c r="K197" s="83">
        <f>IFERROR(VLOOKUP($A197&amp;J$2&amp;$A175,downloads!$A:$D,4,FALSE),"")</f>
        <v>0</v>
      </c>
      <c r="L197" s="83">
        <f>IFERROR(VLOOKUP($A197&amp;L$2&amp;$A175,downloads!$A:$D,3,FALSE),"")</f>
        <v>0</v>
      </c>
      <c r="M197" s="83">
        <f>IFERROR(VLOOKUP($A197&amp;L$2&amp;$A175,downloads!$A:$D,4,FALSE),"")</f>
        <v>0</v>
      </c>
      <c r="N197" s="83" t="str">
        <f>IFERROR(VLOOKUP($A197&amp;N$2&amp;$A175,downloads!$A:$D,3,FALSE),"")</f>
        <v/>
      </c>
      <c r="O197" s="83" t="str">
        <f>IFERROR(VLOOKUP($A197&amp;N$2&amp;$A175,downloads!$A:$D,4,FALSE),"")</f>
        <v/>
      </c>
      <c r="P197" s="83" t="str">
        <f>IFERROR(VLOOKUP($A197&amp;P$2&amp;$A175,downloads!$A:$D,3,FALSE),"")</f>
        <v/>
      </c>
      <c r="Q197" s="83" t="str">
        <f>IFERROR(VLOOKUP($A197&amp;P$2&amp;$A175,downloads!$A:$D,4,FALSE),"")</f>
        <v/>
      </c>
      <c r="R197" s="83" t="str">
        <f>IFERROR(VLOOKUP($A197&amp;R$2&amp;$A175,downloads!$A:$D,3,FALSE),"")</f>
        <v/>
      </c>
      <c r="S197" s="83" t="str">
        <f>IFERROR(VLOOKUP($A197&amp;R$2&amp;$A175,downloads!$A:$D,4,FALSE),"")</f>
        <v/>
      </c>
    </row>
    <row r="198" spans="1:19" x14ac:dyDescent="0.35">
      <c r="A198" s="434" t="s">
        <v>1922</v>
      </c>
      <c r="B198" s="83">
        <v>22</v>
      </c>
      <c r="C198" s="83" t="str">
        <f t="shared" si="129"/>
        <v>4x400 (300)</v>
      </c>
      <c r="D198" s="83">
        <f>IFERROR(VLOOKUP($A198&amp;D$2&amp;$A175,downloads!$A:$D,3,FALSE),"")</f>
        <v>0</v>
      </c>
      <c r="E198" s="83">
        <f>IFERROR(VLOOKUP($A198&amp;D$2&amp;$A175,downloads!$A:$D,4,FALSE),"")</f>
        <v>0</v>
      </c>
      <c r="F198" s="83">
        <f>IFERROR(VLOOKUP($A198&amp;F$2&amp;$A175,downloads!$A:$D,3,FALSE),"")</f>
        <v>0</v>
      </c>
      <c r="G198" s="83">
        <f>IFERROR(VLOOKUP($A198&amp;F$2&amp;$A175,downloads!$A:$D,4,FALSE),"")</f>
        <v>0</v>
      </c>
      <c r="H198" s="83">
        <f>IFERROR(VLOOKUP($A198&amp;H$2&amp;$A175,downloads!$A:$D,3,FALSE),"")</f>
        <v>0</v>
      </c>
      <c r="I198" s="83">
        <f>IFERROR(VLOOKUP($A198&amp;H$2&amp;$A175,downloads!$A:$D,4,FALSE),"")</f>
        <v>0</v>
      </c>
      <c r="J198" s="83">
        <f>IFERROR(VLOOKUP($A198&amp;J$2&amp;$A175,downloads!$A:$D,3,FALSE),"")</f>
        <v>0</v>
      </c>
      <c r="K198" s="83">
        <f>IFERROR(VLOOKUP($A198&amp;J$2&amp;$A175,downloads!$A:$D,4,FALSE),"")</f>
        <v>0</v>
      </c>
      <c r="L198" s="83">
        <f>IFERROR(VLOOKUP($A198&amp;L$2&amp;$A175,downloads!$A:$D,3,FALSE),"")</f>
        <v>0</v>
      </c>
      <c r="M198" s="83">
        <f>IFERROR(VLOOKUP($A198&amp;L$2&amp;$A175,downloads!$A:$D,4,FALSE),"")</f>
        <v>0</v>
      </c>
      <c r="N198" s="83" t="str">
        <f>IFERROR(VLOOKUP($A198&amp;N$2&amp;$A175,downloads!$A:$D,3,FALSE),"")</f>
        <v/>
      </c>
      <c r="O198" s="83" t="str">
        <f>IFERROR(VLOOKUP($A198&amp;N$2&amp;$A175,downloads!$A:$D,4,FALSE),"")</f>
        <v/>
      </c>
      <c r="P198" s="83" t="str">
        <f>IFERROR(VLOOKUP($A198&amp;P$2&amp;$A175,downloads!$A:$D,3,FALSE),"")</f>
        <v/>
      </c>
      <c r="Q198" s="83" t="str">
        <f>IFERROR(VLOOKUP($A198&amp;P$2&amp;$A175,downloads!$A:$D,4,FALSE),"")</f>
        <v/>
      </c>
      <c r="R198" s="83" t="str">
        <f>IFERROR(VLOOKUP($A198&amp;R$2&amp;$A175,downloads!$A:$D,3,FALSE),"")</f>
        <v/>
      </c>
      <c r="S198" s="83" t="str">
        <f>IFERROR(VLOOKUP($A198&amp;R$2&amp;$A175,downloads!$A:$D,4,FALSE),"")</f>
        <v/>
      </c>
    </row>
  </sheetData>
  <sheetProtection algorithmName="SHA-512" hashValue="eDphYh3IaN31bCc0Tt3sSiSbT2Kft/tP6p9yqvt+fhbKEVjZEU2NLNE/5LEGSsqgWR8B3kM/LEbGOquqhC152Q==" saltValue="gwfoY9zBWP1K+kJgdSvdBA==" spinCount="100000" sheet="1" objects="1" scenarios="1" formatCells="0" formatColumns="0" formatRows="0" sort="0" autoFilter="0"/>
  <printOptions headings="1" gridLines="1"/>
  <pageMargins left="0.31496062992125984" right="0.31496062992125984" top="0.55118110236220474" bottom="0.55118110236220474"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tabColor rgb="FFFFFF00"/>
  </sheetPr>
  <dimension ref="A1:AB352"/>
  <sheetViews>
    <sheetView showZeros="0" topLeftCell="B1" zoomScaleNormal="100" workbookViewId="0">
      <pane ySplit="1" topLeftCell="A122" activePane="bottomLeft" state="frozen"/>
      <selection activeCell="T1" sqref="T1:W1048576"/>
      <selection pane="bottomLeft" activeCell="B45" sqref="A45:XFD57"/>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67"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67" customWidth="1"/>
    <col min="14" max="14" width="4" style="121" customWidth="1"/>
    <col min="15" max="17" width="8.86328125" style="64"/>
    <col min="18" max="18" width="0" style="64" hidden="1" customWidth="1"/>
    <col min="19" max="19" width="8.86328125" style="64"/>
    <col min="20" max="21" width="0" style="64" hidden="1" customWidth="1"/>
    <col min="22" max="23" width="0" style="422" hidden="1" customWidth="1"/>
    <col min="24" max="28" width="8.86328125" style="422"/>
    <col min="29" max="16384" width="8.86328125" style="64"/>
  </cols>
  <sheetData>
    <row r="1" spans="1:26" ht="45" customHeight="1" x14ac:dyDescent="0.35">
      <c r="A1" s="201" t="s">
        <v>784</v>
      </c>
      <c r="B1" s="288" t="str">
        <f>Dashboard!E1</f>
        <v>LOWER NORTH East 1 @ Doncaster</v>
      </c>
      <c r="G1" s="198"/>
      <c r="I1" s="64"/>
      <c r="J1" s="64"/>
      <c r="K1" s="202"/>
      <c r="L1" s="497">
        <f>Dashboard!E2</f>
        <v>43582</v>
      </c>
      <c r="M1" s="497"/>
      <c r="N1" s="200"/>
      <c r="P1" s="82"/>
      <c r="Q1" s="70"/>
      <c r="R1" s="82">
        <f ca="1">SUM(R2:R300)</f>
        <v>10</v>
      </c>
    </row>
    <row r="2" spans="1:26" x14ac:dyDescent="0.35">
      <c r="A2" s="66" t="s">
        <v>42</v>
      </c>
      <c r="B2" s="115" t="str">
        <f ca="1">IFERROR(INDIRECT(CONCATENATE("Track1!B",A3)),"")</f>
        <v>100m U13 Boys A</v>
      </c>
      <c r="E2" s="89" t="s">
        <v>259</v>
      </c>
      <c r="F2" s="400">
        <f ca="1">IFERROR(INDIRECT(CONCATENATE("Track1!f",A3)),"")</f>
        <v>0</v>
      </c>
      <c r="G2" s="121" t="str">
        <f ca="1">IFERROR(INDIRECT(CONCATENATE("Track1!g",A3)),"")</f>
        <v/>
      </c>
      <c r="I2" s="115" t="str">
        <f ca="1">IFERROR(INDIRECT(CONCATENATE("Track1!I",A3)),"")</f>
        <v>100m U13 Boys B</v>
      </c>
      <c r="L2" s="89" t="s">
        <v>259</v>
      </c>
      <c r="M2" s="299">
        <f ca="1">IFERROR(INDIRECT(CONCATENATE("Track1!M",A3)),"")</f>
        <v>0</v>
      </c>
    </row>
    <row r="3" spans="1:26" x14ac:dyDescent="0.35">
      <c r="A3" s="66">
        <f>IFERROR(MATCH(A2,Track1!A:A,0),"")</f>
        <v>101</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149"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149" t="str">
        <f ca="1">IFERROR(INDIRECT(CONCATENATE("Track1!M",A3+1)),"")</f>
        <v>Perf</v>
      </c>
      <c r="N3" s="218" t="str">
        <f ca="1">IFERROR(INDIRECT(CONCATENATE("Track1!N",A3+1)),"")</f>
        <v>AAA</v>
      </c>
    </row>
    <row r="4" spans="1:26" x14ac:dyDescent="0.35">
      <c r="B4" s="66">
        <f ca="1">IFERROR(INDIRECT(CONCATENATE("Track1!B",A3+2)),"")</f>
        <v>1</v>
      </c>
      <c r="C4" s="66">
        <f ca="1">IFERROR(INDIRECT(CONCATENATE("Track1!C",A3+2)),"")</f>
        <v>3</v>
      </c>
      <c r="D4" s="89" t="str">
        <f ca="1">IFERROR(INDIRECT(CONCATENATE("Track1!D",A3+2)),"")</f>
        <v>PEARSON Adam</v>
      </c>
      <c r="E4" s="89" t="str">
        <f ca="1">IFERROR(INDIRECT(CONCATENATE("Track1!E",A3+2)),"")</f>
        <v>York</v>
      </c>
      <c r="F4" s="65">
        <f ca="1">IFERROR(INDIRECT(CONCATENATE("Track1!F",A3+2)),"")</f>
        <v>14</v>
      </c>
      <c r="G4" s="121" t="str">
        <f ca="1">IFERROR(INDIRECT(CONCATENATE("Track1!G",A3+2)),"")</f>
        <v/>
      </c>
      <c r="H4" s="66"/>
      <c r="I4" s="66">
        <f ca="1">IFERROR(INDIRECT(CONCATENATE("Track1!I",A3+2)),"")</f>
        <v>1</v>
      </c>
      <c r="J4" s="66">
        <f ca="1">IFERROR(INDIRECT(CONCATENATE("Track1!J",A3+2)),"")</f>
        <v>22</v>
      </c>
      <c r="K4" s="89" t="str">
        <f ca="1">IFERROR(INDIRECT(CONCATENATE("Track1!K",A3+2)),"")</f>
        <v>CONNELLY George</v>
      </c>
      <c r="L4" s="89" t="str">
        <f ca="1">IFERROR(INDIRECT(CONCATENATE("Track1!L",A3+2)),"")</f>
        <v>Sheff+D</v>
      </c>
      <c r="M4" s="65">
        <f ca="1">IFERROR(INDIRECT(CONCATENATE("Track1!M",A3+2)),"")</f>
        <v>14.3</v>
      </c>
      <c r="N4" s="121" t="str">
        <f ca="1">IFERROR(INDIRECT(CONCATENATE("Track1!N",A3+2)),"")</f>
        <v/>
      </c>
      <c r="R4" s="219">
        <f ca="1">IFERROR(INDIRECT(CONCATENATE("Track1!r",A3+2)),"")</f>
        <v>1</v>
      </c>
      <c r="T4" s="64">
        <f ca="1">IF(OR(D4=0,D4="",D4="Athlete"),"",COUNTIF($D$4:$D$352,D4))</f>
        <v>2</v>
      </c>
      <c r="U4" s="64">
        <f ca="1">IF(OR(K4=0,K4="",K4="Athlete"),"",COUNTIF($D$4:$D$352,K4))</f>
        <v>2</v>
      </c>
      <c r="V4" s="422">
        <f ca="1">IF(OR(D4=0,D4="",D4="Athlete"),"",COUNTIF($D$4:$D4,D4))</f>
        <v>1</v>
      </c>
      <c r="W4" s="422" t="str">
        <f ca="1">IF(OR(D4=0,D4="",D4="Athlete"),"",E4)</f>
        <v>York</v>
      </c>
      <c r="Z4" s="422" t="str">
        <f ca="1">IF(OR(G4=0,G4="",G4="Athlete"),"",H4)</f>
        <v/>
      </c>
    </row>
    <row r="5" spans="1:26" x14ac:dyDescent="0.35">
      <c r="B5" s="66">
        <f ca="1">IFERROR(INDIRECT(CONCATENATE("Track1!B",A3+3)),"")</f>
        <v>2</v>
      </c>
      <c r="C5" s="66">
        <f ca="1">IFERROR(INDIRECT(CONCATENATE("Track1!C",A3+3)),"")</f>
        <v>4</v>
      </c>
      <c r="D5" s="89" t="str">
        <f ca="1">IFERROR(INDIRECT(CONCATENATE("Track1!D",A3+3)),"")</f>
        <v>MAYNARD Finley</v>
      </c>
      <c r="E5" s="89" t="str">
        <f ca="1">IFERROR(INDIRECT(CONCATENATE("Track1!E",A3+3)),"")</f>
        <v>M'bro</v>
      </c>
      <c r="F5" s="65">
        <f ca="1">IFERROR(INDIRECT(CONCATENATE("Track1!F",A3+3)),"")</f>
        <v>14</v>
      </c>
      <c r="G5" s="121" t="str">
        <f ca="1">IFERROR(INDIRECT(CONCATENATE("Track1!G",A3+3)),"")</f>
        <v/>
      </c>
      <c r="H5" s="66"/>
      <c r="I5" s="66">
        <f ca="1">IFERROR(INDIRECT(CONCATENATE("Track1!I",A3+3)),"")</f>
        <v>2</v>
      </c>
      <c r="J5" s="66">
        <f ca="1">IFERROR(INDIRECT(CONCATENATE("Track1!J",A3+3)),"")</f>
        <v>33</v>
      </c>
      <c r="K5" s="89" t="str">
        <f ca="1">IFERROR(INDIRECT(CONCATENATE("Track1!K",A3+3)),"")</f>
        <v>HICKLING William</v>
      </c>
      <c r="L5" s="89" t="str">
        <f ca="1">IFERROR(INDIRECT(CONCATENATE("Track1!L",A3+3)),"")</f>
        <v>York</v>
      </c>
      <c r="M5" s="65">
        <f ca="1">IFERROR(INDIRECT(CONCATENATE("Track1!M",A3+3)),"")</f>
        <v>14.6</v>
      </c>
      <c r="N5" s="121" t="str">
        <f ca="1">IFERROR(INDIRECT(CONCATENATE("Track1!N",A3+3)),"")</f>
        <v/>
      </c>
      <c r="T5" s="64">
        <f t="shared" ref="T5:T68" ca="1" si="0">IF(OR(D5=0,D5="",D5="Athlete"),"",COUNTIF($D$4:$D$352,D5))</f>
        <v>3</v>
      </c>
      <c r="U5" s="64">
        <f t="shared" ref="U5:U68" ca="1" si="1">IF(OR(K5=0,K5="",K5="Athlete"),"",COUNTIF($D$4:$D$352,K5))</f>
        <v>2</v>
      </c>
      <c r="V5" s="422">
        <f ca="1">IF(OR(D5=0,D5="",D5="Athlete"),"",COUNTIF($D$4:$D5,D5))</f>
        <v>1</v>
      </c>
      <c r="W5" s="422" t="str">
        <f t="shared" ref="W5:W68" ca="1" si="2">IF(OR(D5=0,D5="",D5="Athlete"),"",E5)</f>
        <v>M'bro</v>
      </c>
      <c r="Z5" s="422" t="str">
        <f t="shared" ref="Z5:Z68" ca="1" si="3">IF(OR(G5=0,G5="",G5="Athlete"),"",H5)</f>
        <v/>
      </c>
    </row>
    <row r="6" spans="1:26" x14ac:dyDescent="0.35">
      <c r="B6" s="66">
        <f ca="1">IFERROR(INDIRECT(CONCATENATE("Track1!B",A3+4)),"")</f>
        <v>3</v>
      </c>
      <c r="C6" s="66">
        <f ca="1">IFERROR(INDIRECT(CONCATENATE("Track1!C",A3+4)),"")</f>
        <v>2</v>
      </c>
      <c r="D6" s="89" t="str">
        <f ca="1">IFERROR(INDIRECT(CONCATENATE("Track1!D",A3+4)),"")</f>
        <v>REILLY Arthur</v>
      </c>
      <c r="E6" s="89" t="str">
        <f ca="1">IFERROR(INDIRECT(CONCATENATE("Track1!E",A3+4)),"")</f>
        <v>Sheff+D</v>
      </c>
      <c r="F6" s="65">
        <f ca="1">IFERROR(INDIRECT(CONCATENATE("Track1!F",A3+4)),"")</f>
        <v>14.4</v>
      </c>
      <c r="G6" s="121" t="str">
        <f ca="1">IFERROR(INDIRECT(CONCATENATE("Track1!G",A3+4)),"")</f>
        <v/>
      </c>
      <c r="H6" s="66"/>
      <c r="I6" s="66">
        <f ca="1">IFERROR(INDIRECT(CONCATENATE("Track1!I",A3+4)),"")</f>
        <v>3</v>
      </c>
      <c r="J6" s="66">
        <f ca="1">IFERROR(INDIRECT(CONCATENATE("Track1!J",A3+4)),"")</f>
        <v>44</v>
      </c>
      <c r="K6" s="89" t="str">
        <f ca="1">IFERROR(INDIRECT(CONCATENATE("Track1!K",A3+4)),"")</f>
        <v>HONEYMAN Leo</v>
      </c>
      <c r="L6" s="89" t="str">
        <f ca="1">IFERROR(INDIRECT(CONCATENATE("Track1!L",A3+4)),"")</f>
        <v>M'bro</v>
      </c>
      <c r="M6" s="65">
        <f ca="1">IFERROR(INDIRECT(CONCATENATE("Track1!M",A3+4)),"")</f>
        <v>15.2</v>
      </c>
      <c r="N6" s="121" t="str">
        <f ca="1">IFERROR(INDIRECT(CONCATENATE("Track1!N",A3+4)),"")</f>
        <v/>
      </c>
      <c r="T6" s="64">
        <f t="shared" ca="1" si="0"/>
        <v>3</v>
      </c>
      <c r="U6" s="64">
        <f t="shared" ca="1" si="1"/>
        <v>2</v>
      </c>
      <c r="V6" s="422">
        <f ca="1">IF(OR(D6=0,D6="",D6="Athlete"),"",COUNTIF($D$4:$D6,D6))</f>
        <v>1</v>
      </c>
      <c r="W6" s="422" t="str">
        <f t="shared" ca="1" si="2"/>
        <v>Sheff+D</v>
      </c>
      <c r="Z6" s="422" t="str">
        <f t="shared" ca="1" si="3"/>
        <v/>
      </c>
    </row>
    <row r="7" spans="1:26" x14ac:dyDescent="0.35">
      <c r="B7" s="66">
        <f ca="1">IFERROR(INDIRECT(CONCATENATE("Track1!B",A3+5)),"")</f>
        <v>4</v>
      </c>
      <c r="C7" s="66">
        <f ca="1">IFERROR(INDIRECT(CONCATENATE("Track1!C",A3+5)),"")</f>
        <v>1</v>
      </c>
      <c r="D7" s="89" t="str">
        <f ca="1">IFERROR(INDIRECT(CONCATENATE("Track1!D",A3+5)),"")</f>
        <v>GASKIN Nathanael</v>
      </c>
      <c r="E7" s="89" t="str">
        <f ca="1">IFERROR(INDIRECT(CONCATENATE("Track1!E",A3+5)),"")</f>
        <v>C'field</v>
      </c>
      <c r="F7" s="65">
        <f ca="1">IFERROR(INDIRECT(CONCATENATE("Track1!F",A3+5)),"")</f>
        <v>15.2</v>
      </c>
      <c r="G7" s="121" t="str">
        <f ca="1">IFERROR(INDIRECT(CONCATENATE("Track1!G",A3+5)),"")</f>
        <v/>
      </c>
      <c r="H7" s="66"/>
      <c r="I7" s="66">
        <f ca="1">IFERROR(INDIRECT(CONCATENATE("Track1!I",A3+5)),"")</f>
        <v>4</v>
      </c>
      <c r="J7" s="66">
        <f ca="1">IFERROR(INDIRECT(CONCATENATE("Track1!J",A3+5)),"")</f>
        <v>11</v>
      </c>
      <c r="K7" s="89" t="str">
        <f ca="1">IFERROR(INDIRECT(CONCATENATE("Track1!K",A3+5)),"")</f>
        <v>DREW Matthew</v>
      </c>
      <c r="L7" s="89" t="str">
        <f ca="1">IFERROR(INDIRECT(CONCATENATE("Track1!L",A3+5)),"")</f>
        <v>C'field</v>
      </c>
      <c r="M7" s="65">
        <f ca="1">IFERROR(INDIRECT(CONCATENATE("Track1!M",A3+5)),"")</f>
        <v>16.399999999999999</v>
      </c>
      <c r="N7" s="121" t="str">
        <f ca="1">IFERROR(INDIRECT(CONCATENATE("Track1!N",A3+5)),"")</f>
        <v/>
      </c>
      <c r="T7" s="64">
        <f t="shared" ca="1" si="0"/>
        <v>3</v>
      </c>
      <c r="U7" s="64">
        <f t="shared" ca="1" si="1"/>
        <v>3</v>
      </c>
      <c r="V7" s="422">
        <f ca="1">IF(OR(D7=0,D7="",D7="Athlete"),"",COUNTIF($D$4:$D7,D7))</f>
        <v>1</v>
      </c>
      <c r="W7" s="422" t="str">
        <f t="shared" ca="1" si="2"/>
        <v>C'field</v>
      </c>
      <c r="Z7" s="422" t="str">
        <f t="shared" ca="1" si="3"/>
        <v/>
      </c>
    </row>
    <row r="8" spans="1:26" x14ac:dyDescent="0.35">
      <c r="B8" s="66">
        <f ca="1">IFERROR(INDIRECT(CONCATENATE("Track1!B",A3+6)),"")</f>
        <v>5</v>
      </c>
      <c r="C8" s="66">
        <f ca="1">IFERROR(INDIRECT(CONCATENATE("Track1!C",A3+6)),"")</f>
        <v>5</v>
      </c>
      <c r="D8" s="89" t="str">
        <f ca="1">IFERROR(INDIRECT(CONCATENATE("Track1!D",A3+6)),"")</f>
        <v>LANGTON Cody</v>
      </c>
      <c r="E8" s="89" t="str">
        <f ca="1">IFERROR(INDIRECT(CONCATENATE("Track1!E",A3+6)),"")</f>
        <v>Scun</v>
      </c>
      <c r="F8" s="65">
        <f ca="1">IFERROR(INDIRECT(CONCATENATE("Track1!F",A3+6)),"")</f>
        <v>15.7</v>
      </c>
      <c r="G8" s="121" t="str">
        <f ca="1">IFERROR(INDIRECT(CONCATENATE("Track1!G",A3+6)),"")</f>
        <v/>
      </c>
      <c r="H8" s="66"/>
      <c r="I8" s="66">
        <f ca="1">IFERROR(INDIRECT(CONCATENATE("Track1!I",A3+6)),"")</f>
        <v>5</v>
      </c>
      <c r="J8" s="66">
        <f ca="1">IFERROR(INDIRECT(CONCATENATE("Track1!J",A3+6)),"")</f>
        <v>0</v>
      </c>
      <c r="K8" s="89" t="str">
        <f ca="1">IFERROR(INDIRECT(CONCATENATE("Track1!K",A3+6)),"")</f>
        <v/>
      </c>
      <c r="L8" s="89" t="str">
        <f ca="1">IFERROR(INDIRECT(CONCATENATE("Track1!L",A3+6)),"")</f>
        <v/>
      </c>
      <c r="M8" s="65" t="str">
        <f ca="1">IFERROR(INDIRECT(CONCATENATE("Track1!M",A3+6)),"")</f>
        <v xml:space="preserve"> </v>
      </c>
      <c r="N8" s="121" t="str">
        <f ca="1">IFERROR(INDIRECT(CONCATENATE("Track1!N",A3+6)),"")</f>
        <v/>
      </c>
      <c r="T8" s="64">
        <f t="shared" ca="1" si="0"/>
        <v>3</v>
      </c>
      <c r="U8" s="64" t="str">
        <f t="shared" ca="1" si="1"/>
        <v/>
      </c>
      <c r="V8" s="422">
        <f ca="1">IF(OR(D8=0,D8="",D8="Athlete"),"",COUNTIF($D$4:$D8,D8))</f>
        <v>1</v>
      </c>
      <c r="W8" s="422" t="str">
        <f t="shared" ca="1" si="2"/>
        <v>Scun</v>
      </c>
      <c r="Z8" s="422" t="str">
        <f t="shared" ca="1" si="3"/>
        <v/>
      </c>
    </row>
    <row r="9" spans="1:26" x14ac:dyDescent="0.35">
      <c r="B9" s="66">
        <f ca="1">IFERROR(INDIRECT(CONCATENATE("Track1!B",A3+7)),"")</f>
        <v>6</v>
      </c>
      <c r="C9" s="66">
        <f ca="1">IFERROR(INDIRECT(CONCATENATE("Track1!C",A3+7)),"")</f>
        <v>0</v>
      </c>
      <c r="D9" s="89" t="str">
        <f ca="1">IFERROR(INDIRECT(CONCATENATE("Track1!D",A3+7)),"")</f>
        <v/>
      </c>
      <c r="E9" s="89" t="str">
        <f ca="1">IFERROR(INDIRECT(CONCATENATE("Track1!E",A3+7)),"")</f>
        <v/>
      </c>
      <c r="F9" s="65">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65">
        <f ca="1">IFERROR(INDIRECT(CONCATENATE("Track1!M",A3+7)),"")</f>
        <v>0</v>
      </c>
      <c r="N9" s="121" t="str">
        <f ca="1">IFERROR(INDIRECT(CONCATENATE("Track1!N",A3+7)),"")</f>
        <v/>
      </c>
      <c r="T9" s="64" t="str">
        <f t="shared" ca="1" si="0"/>
        <v/>
      </c>
      <c r="U9" s="64" t="str">
        <f t="shared" ca="1" si="1"/>
        <v/>
      </c>
      <c r="V9" s="422" t="str">
        <f ca="1">IF(OR(D9=0,D9="",D9="Athlete"),"",COUNTIF($D$4:$D9,D9))</f>
        <v/>
      </c>
      <c r="W9" s="422" t="str">
        <f t="shared" ca="1" si="2"/>
        <v/>
      </c>
      <c r="Z9" s="422" t="str">
        <f t="shared" ca="1" si="3"/>
        <v/>
      </c>
    </row>
    <row r="10" spans="1:26" x14ac:dyDescent="0.35">
      <c r="B10" s="66">
        <f ca="1">IFERROR(INDIRECT(CONCATENATE("Track1!B",A3+8)),"")</f>
        <v>7</v>
      </c>
      <c r="C10" s="66">
        <f ca="1">IFERROR(INDIRECT(CONCATENATE("Track1!C",A3+8)),"")</f>
        <v>0</v>
      </c>
      <c r="D10" s="89" t="str">
        <f ca="1">IFERROR(INDIRECT(CONCATENATE("Track1!D",A3+8)),"")</f>
        <v/>
      </c>
      <c r="E10" s="89" t="str">
        <f ca="1">IFERROR(INDIRECT(CONCATENATE("Track1!E",A3+8)),"")</f>
        <v/>
      </c>
      <c r="F10" s="65">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65">
        <f ca="1">IFERROR(INDIRECT(CONCATENATE("Track1!M",A3+8)),"")</f>
        <v>0</v>
      </c>
      <c r="N10" s="121" t="str">
        <f ca="1">IFERROR(INDIRECT(CONCATENATE("Track1!N",A3+8)),"")</f>
        <v/>
      </c>
      <c r="T10" s="64" t="str">
        <f t="shared" ca="1" si="0"/>
        <v/>
      </c>
      <c r="U10" s="64" t="str">
        <f t="shared" ca="1" si="1"/>
        <v/>
      </c>
      <c r="V10" s="422" t="str">
        <f ca="1">IF(OR(D10=0,D10="",D10="Athlete"),"",COUNTIF($D$4:$D10,D10))</f>
        <v/>
      </c>
      <c r="W10" s="422" t="str">
        <f t="shared" ca="1" si="2"/>
        <v/>
      </c>
      <c r="Z10" s="422" t="str">
        <f t="shared" ca="1" si="3"/>
        <v/>
      </c>
    </row>
    <row r="11" spans="1:26" x14ac:dyDescent="0.35">
      <c r="B11" s="66">
        <f ca="1">IFERROR(INDIRECT(CONCATENATE("Track1!B",A3+9)),"")</f>
        <v>8</v>
      </c>
      <c r="C11" s="66">
        <f ca="1">IFERROR(INDIRECT(CONCATENATE("Track1!C",A3+9)),"")</f>
        <v>0</v>
      </c>
      <c r="D11" s="89" t="str">
        <f ca="1">IFERROR(INDIRECT(CONCATENATE("Track1!D",A3+9)),"")</f>
        <v/>
      </c>
      <c r="E11" s="89" t="str">
        <f ca="1">IFERROR(INDIRECT(CONCATENATE("Track1!E",A3+9)),"")</f>
        <v/>
      </c>
      <c r="F11" s="65">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65">
        <f ca="1">IFERROR(INDIRECT(CONCATENATE("Track1!M",A3+9)),"")</f>
        <v>0</v>
      </c>
      <c r="N11" s="121" t="str">
        <f ca="1">IFERROR(INDIRECT(CONCATENATE("Track1!N",A3+9)),"")</f>
        <v/>
      </c>
      <c r="T11" s="64" t="str">
        <f t="shared" ca="1" si="0"/>
        <v/>
      </c>
      <c r="U11" s="64" t="str">
        <f t="shared" ca="1" si="1"/>
        <v/>
      </c>
      <c r="V11" s="422" t="str">
        <f ca="1">IF(OR(D11=0,D11="",D11="Athlete"),"",COUNTIF($D$4:$D11,D11))</f>
        <v/>
      </c>
      <c r="W11" s="422" t="str">
        <f t="shared" ca="1" si="2"/>
        <v/>
      </c>
      <c r="Z11" s="422" t="str">
        <f t="shared" ca="1" si="3"/>
        <v/>
      </c>
    </row>
    <row r="12" spans="1:26" x14ac:dyDescent="0.35">
      <c r="T12" s="64" t="str">
        <f t="shared" si="0"/>
        <v/>
      </c>
      <c r="U12" s="64" t="str">
        <f t="shared" si="1"/>
        <v/>
      </c>
      <c r="V12" s="422" t="str">
        <f>IF(OR(D12=0,D12="",D12="Athlete"),"",COUNTIF($D$4:$D12,D12))</f>
        <v/>
      </c>
      <c r="W12" s="422" t="str">
        <f t="shared" si="2"/>
        <v/>
      </c>
      <c r="Z12" s="422" t="str">
        <f t="shared" si="3"/>
        <v/>
      </c>
    </row>
    <row r="13" spans="1:26" x14ac:dyDescent="0.35">
      <c r="A13" s="66" t="s">
        <v>45</v>
      </c>
      <c r="B13" s="115" t="str">
        <f ca="1">IFERROR(INDIRECT(CONCATENATE("Track1!B",A14)),"")</f>
        <v>100m NS U13 Boys A</v>
      </c>
      <c r="E13" s="89" t="s">
        <v>259</v>
      </c>
      <c r="F13" s="400">
        <f ca="1">IFERROR(INDIRECT(CONCATENATE("Track1!f",A14)),"")</f>
        <v>0</v>
      </c>
      <c r="G13" s="121" t="str">
        <f ca="1">IFERROR(INDIRECT(CONCATENATE("Track1!g",A14)),"")</f>
        <v/>
      </c>
      <c r="I13" s="115" t="str">
        <f ca="1">IFERROR(INDIRECT(CONCATENATE("Track1!I",A14)),"")</f>
        <v>100m NS U13 Boys B</v>
      </c>
      <c r="L13" s="89" t="s">
        <v>259</v>
      </c>
      <c r="M13" s="299" t="str">
        <f ca="1">IFERROR(INDIRECT(CONCATENATE("Track1!M",A14)),"")</f>
        <v>NT</v>
      </c>
      <c r="T13" s="64" t="str">
        <f t="shared" si="0"/>
        <v/>
      </c>
      <c r="U13" s="64" t="str">
        <f t="shared" si="1"/>
        <v/>
      </c>
      <c r="V13" s="422" t="str">
        <f>IF(OR(D13=0,D13="",D13="Athlete"),"",COUNTIF($D$4:$D13,D13))</f>
        <v/>
      </c>
      <c r="W13" s="422" t="str">
        <f t="shared" si="2"/>
        <v/>
      </c>
      <c r="Z13" s="422" t="str">
        <f t="shared" ca="1" si="3"/>
        <v/>
      </c>
    </row>
    <row r="14" spans="1:26" x14ac:dyDescent="0.35">
      <c r="A14" s="66">
        <f>IFERROR(MATCH(A13,Track1!A:A,0),"")</f>
        <v>145</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149"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149" t="str">
        <f ca="1">IFERROR(INDIRECT(CONCATENATE("Track1!M",A14+1)),"")</f>
        <v>Perf</v>
      </c>
      <c r="N14" s="218" t="str">
        <f ca="1">IFERROR(INDIRECT(CONCATENATE("Track1!N",A14+1)),"")</f>
        <v>AAA</v>
      </c>
      <c r="T14" s="64" t="str">
        <f t="shared" ca="1" si="0"/>
        <v/>
      </c>
      <c r="U14" s="64" t="str">
        <f t="shared" ca="1" si="1"/>
        <v/>
      </c>
      <c r="V14" s="422" t="str">
        <f ca="1">IF(OR(D14=0,D14="",D14="Athlete"),"",COUNTIF($D$4:$D14,D14))</f>
        <v/>
      </c>
      <c r="W14" s="422" t="str">
        <f t="shared" ca="1" si="2"/>
        <v/>
      </c>
      <c r="Z14" s="422">
        <f t="shared" ca="1" si="3"/>
        <v>0</v>
      </c>
    </row>
    <row r="15" spans="1:26" x14ac:dyDescent="0.35">
      <c r="B15" s="66">
        <f ca="1">IFERROR(INDIRECT(CONCATENATE("Track1!B",A14+2)),"")</f>
        <v>1</v>
      </c>
      <c r="C15" s="66">
        <f ca="1">IFERROR(INDIRECT(CONCATENATE("Track1!C",A14+2)),"")</f>
        <v>0</v>
      </c>
      <c r="D15" s="89" t="str">
        <f ca="1">IFERROR(INDIRECT(CONCATENATE("Track1!D",A14+2)),"")</f>
        <v/>
      </c>
      <c r="E15" s="89" t="str">
        <f ca="1">IFERROR(INDIRECT(CONCATENATE("Track1!E",A14+2)),"")</f>
        <v/>
      </c>
      <c r="F15" s="65">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65">
        <f ca="1">IFERROR(INDIRECT(CONCATENATE("Track1!M",A14+2)),"")</f>
        <v>0</v>
      </c>
      <c r="N15" s="121" t="str">
        <f ca="1">IFERROR(INDIRECT(CONCATENATE("Track1!N",A14+2)),"")</f>
        <v/>
      </c>
      <c r="R15" s="219">
        <f ca="1">IFERROR(INDIRECT(CONCATENATE("Track1!r",A14+2)),"")</f>
        <v>0</v>
      </c>
      <c r="T15" s="64" t="str">
        <f t="shared" ca="1" si="0"/>
        <v/>
      </c>
      <c r="U15" s="64" t="str">
        <f t="shared" ca="1" si="1"/>
        <v/>
      </c>
      <c r="V15" s="422" t="str">
        <f ca="1">IF(OR(D15=0,D15="",D15="Athlete"),"",COUNTIF($D$4:$D15,D15))</f>
        <v/>
      </c>
      <c r="W15" s="422" t="str">
        <f t="shared" ca="1" si="2"/>
        <v/>
      </c>
      <c r="Z15" s="422" t="str">
        <f t="shared" ca="1" si="3"/>
        <v/>
      </c>
    </row>
    <row r="16" spans="1:26" x14ac:dyDescent="0.35">
      <c r="B16" s="66">
        <f ca="1">IFERROR(INDIRECT(CONCATENATE("Track1!B",A14+3)),"")</f>
        <v>2</v>
      </c>
      <c r="C16" s="66">
        <f ca="1">IFERROR(INDIRECT(CONCATENATE("Track1!C",A14+3)),"")</f>
        <v>0</v>
      </c>
      <c r="D16" s="89" t="str">
        <f ca="1">IFERROR(INDIRECT(CONCATENATE("Track1!D",A14+3)),"")</f>
        <v/>
      </c>
      <c r="E16" s="89" t="str">
        <f ca="1">IFERROR(INDIRECT(CONCATENATE("Track1!E",A14+3)),"")</f>
        <v/>
      </c>
      <c r="F16" s="65">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65">
        <f ca="1">IFERROR(INDIRECT(CONCATENATE("Track1!M",A14+3)),"")</f>
        <v>0</v>
      </c>
      <c r="N16" s="121" t="str">
        <f ca="1">IFERROR(INDIRECT(CONCATENATE("Track1!N",A14+3)),"")</f>
        <v/>
      </c>
      <c r="T16" s="64" t="str">
        <f t="shared" ca="1" si="0"/>
        <v/>
      </c>
      <c r="U16" s="64" t="str">
        <f t="shared" ca="1" si="1"/>
        <v/>
      </c>
      <c r="V16" s="422" t="str">
        <f ca="1">IF(OR(D16=0,D16="",D16="Athlete"),"",COUNTIF($D$4:$D16,D16))</f>
        <v/>
      </c>
      <c r="W16" s="422" t="str">
        <f t="shared" ca="1" si="2"/>
        <v/>
      </c>
      <c r="Z16" s="422" t="str">
        <f t="shared" ca="1" si="3"/>
        <v/>
      </c>
    </row>
    <row r="17" spans="1:26" x14ac:dyDescent="0.35">
      <c r="B17" s="66">
        <f ca="1">IFERROR(INDIRECT(CONCATENATE("Track1!B",A14+4)),"")</f>
        <v>3</v>
      </c>
      <c r="C17" s="66">
        <f ca="1">IFERROR(INDIRECT(CONCATENATE("Track1!C",A14+4)),"")</f>
        <v>0</v>
      </c>
      <c r="D17" s="89" t="str">
        <f ca="1">IFERROR(INDIRECT(CONCATENATE("Track1!D",A14+4)),"")</f>
        <v/>
      </c>
      <c r="E17" s="89" t="str">
        <f ca="1">IFERROR(INDIRECT(CONCATENATE("Track1!E",A14+4)),"")</f>
        <v/>
      </c>
      <c r="F17" s="65">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65">
        <f ca="1">IFERROR(INDIRECT(CONCATENATE("Track1!M",A14+4)),"")</f>
        <v>0</v>
      </c>
      <c r="N17" s="121" t="str">
        <f ca="1">IFERROR(INDIRECT(CONCATENATE("Track1!N",A14+4)),"")</f>
        <v/>
      </c>
      <c r="T17" s="64" t="str">
        <f t="shared" ca="1" si="0"/>
        <v/>
      </c>
      <c r="U17" s="64" t="str">
        <f t="shared" ca="1" si="1"/>
        <v/>
      </c>
      <c r="V17" s="422" t="str">
        <f ca="1">IF(OR(D17=0,D17="",D17="Athlete"),"",COUNTIF($D$4:$D17,D17))</f>
        <v/>
      </c>
      <c r="W17" s="422" t="str">
        <f t="shared" ca="1" si="2"/>
        <v/>
      </c>
      <c r="Z17" s="422" t="str">
        <f t="shared" ca="1" si="3"/>
        <v/>
      </c>
    </row>
    <row r="18" spans="1:26" x14ac:dyDescent="0.35">
      <c r="B18" s="66">
        <f ca="1">IFERROR(INDIRECT(CONCATENATE("Track1!B",A14+5)),"")</f>
        <v>4</v>
      </c>
      <c r="C18" s="66">
        <f ca="1">IFERROR(INDIRECT(CONCATENATE("Track1!C",A14+5)),"")</f>
        <v>0</v>
      </c>
      <c r="D18" s="89" t="str">
        <f ca="1">IFERROR(INDIRECT(CONCATENATE("Track1!D",A14+5)),"")</f>
        <v/>
      </c>
      <c r="E18" s="89" t="str">
        <f ca="1">IFERROR(INDIRECT(CONCATENATE("Track1!E",A14+5)),"")</f>
        <v/>
      </c>
      <c r="F18" s="65">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65">
        <f ca="1">IFERROR(INDIRECT(CONCATENATE("Track1!M",A14+5)),"")</f>
        <v>0</v>
      </c>
      <c r="N18" s="121" t="str">
        <f ca="1">IFERROR(INDIRECT(CONCATENATE("Track1!N",A14+5)),"")</f>
        <v/>
      </c>
      <c r="T18" s="64" t="str">
        <f t="shared" ca="1" si="0"/>
        <v/>
      </c>
      <c r="U18" s="64" t="str">
        <f t="shared" ca="1" si="1"/>
        <v/>
      </c>
      <c r="V18" s="422" t="str">
        <f ca="1">IF(OR(D18=0,D18="",D18="Athlete"),"",COUNTIF($D$4:$D18,D18))</f>
        <v/>
      </c>
      <c r="W18" s="422" t="str">
        <f t="shared" ca="1" si="2"/>
        <v/>
      </c>
      <c r="Z18" s="422" t="str">
        <f t="shared" ca="1" si="3"/>
        <v/>
      </c>
    </row>
    <row r="19" spans="1:26" x14ac:dyDescent="0.35">
      <c r="B19" s="66">
        <f ca="1">IFERROR(INDIRECT(CONCATENATE("Track1!B",A14+6)),"")</f>
        <v>5</v>
      </c>
      <c r="C19" s="66">
        <f ca="1">IFERROR(INDIRECT(CONCATENATE("Track1!C",A14+6)),"")</f>
        <v>0</v>
      </c>
      <c r="D19" s="89" t="str">
        <f ca="1">IFERROR(INDIRECT(CONCATENATE("Track1!D",A14+6)),"")</f>
        <v/>
      </c>
      <c r="E19" s="89" t="str">
        <f ca="1">IFERROR(INDIRECT(CONCATENATE("Track1!E",A14+6)),"")</f>
        <v/>
      </c>
      <c r="F19" s="65">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65">
        <f ca="1">IFERROR(INDIRECT(CONCATENATE("Track1!M",A14+6)),"")</f>
        <v>0</v>
      </c>
      <c r="N19" s="121" t="str">
        <f ca="1">IFERROR(INDIRECT(CONCATENATE("Track1!N",A14+6)),"")</f>
        <v/>
      </c>
      <c r="T19" s="64" t="str">
        <f t="shared" ca="1" si="0"/>
        <v/>
      </c>
      <c r="U19" s="64" t="str">
        <f t="shared" ca="1" si="1"/>
        <v/>
      </c>
      <c r="V19" s="422" t="str">
        <f ca="1">IF(OR(D19=0,D19="",D19="Athlete"),"",COUNTIF($D$4:$D19,D19))</f>
        <v/>
      </c>
      <c r="W19" s="422" t="str">
        <f t="shared" ca="1" si="2"/>
        <v/>
      </c>
      <c r="Z19" s="422" t="str">
        <f t="shared" ca="1" si="3"/>
        <v/>
      </c>
    </row>
    <row r="20" spans="1:26" x14ac:dyDescent="0.35">
      <c r="B20" s="66">
        <f ca="1">IFERROR(INDIRECT(CONCATENATE("Track1!B",A14+7)),"")</f>
        <v>6</v>
      </c>
      <c r="C20" s="66">
        <f ca="1">IFERROR(INDIRECT(CONCATENATE("Track1!C",A14+7)),"")</f>
        <v>0</v>
      </c>
      <c r="D20" s="89" t="str">
        <f ca="1">IFERROR(INDIRECT(CONCATENATE("Track1!D",A14+7)),"")</f>
        <v/>
      </c>
      <c r="E20" s="89" t="str">
        <f ca="1">IFERROR(INDIRECT(CONCATENATE("Track1!E",A14+7)),"")</f>
        <v/>
      </c>
      <c r="F20" s="65">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65">
        <f ca="1">IFERROR(INDIRECT(CONCATENATE("Track1!M",A14+7)),"")</f>
        <v>0</v>
      </c>
      <c r="N20" s="121" t="str">
        <f ca="1">IFERROR(INDIRECT(CONCATENATE("Track1!N",A14+7)),"")</f>
        <v/>
      </c>
      <c r="T20" s="64" t="str">
        <f t="shared" ca="1" si="0"/>
        <v/>
      </c>
      <c r="U20" s="64" t="str">
        <f t="shared" ca="1" si="1"/>
        <v/>
      </c>
      <c r="V20" s="422" t="str">
        <f ca="1">IF(OR(D20=0,D20="",D20="Athlete"),"",COUNTIF($D$4:$D20,D20))</f>
        <v/>
      </c>
      <c r="W20" s="422" t="str">
        <f t="shared" ca="1" si="2"/>
        <v/>
      </c>
      <c r="Z20" s="422" t="str">
        <f t="shared" ca="1" si="3"/>
        <v/>
      </c>
    </row>
    <row r="21" spans="1:26" x14ac:dyDescent="0.35">
      <c r="B21" s="66">
        <f ca="1">IFERROR(INDIRECT(CONCATENATE("Track1!B",A14+8)),"")</f>
        <v>7</v>
      </c>
      <c r="C21" s="66">
        <f ca="1">IFERROR(INDIRECT(CONCATENATE("Track1!C",A14+8)),"")</f>
        <v>0</v>
      </c>
      <c r="D21" s="89" t="str">
        <f ca="1">IFERROR(INDIRECT(CONCATENATE("Track1!D",A14+8)),"")</f>
        <v/>
      </c>
      <c r="E21" s="89" t="str">
        <f ca="1">IFERROR(INDIRECT(CONCATENATE("Track1!E",A14+8)),"")</f>
        <v/>
      </c>
      <c r="F21" s="65">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65">
        <f ca="1">IFERROR(INDIRECT(CONCATENATE("Track1!M",A14+8)),"")</f>
        <v>0</v>
      </c>
      <c r="N21" s="121" t="str">
        <f ca="1">IFERROR(INDIRECT(CONCATENATE("Track1!N",A14+8)),"")</f>
        <v/>
      </c>
      <c r="T21" s="64" t="str">
        <f t="shared" ca="1" si="0"/>
        <v/>
      </c>
      <c r="U21" s="64" t="str">
        <f t="shared" ca="1" si="1"/>
        <v/>
      </c>
      <c r="V21" s="422" t="str">
        <f ca="1">IF(OR(D21=0,D21="",D21="Athlete"),"",COUNTIF($D$4:$D21,D21))</f>
        <v/>
      </c>
      <c r="W21" s="422" t="str">
        <f t="shared" ca="1" si="2"/>
        <v/>
      </c>
      <c r="Z21" s="422" t="str">
        <f t="shared" ca="1" si="3"/>
        <v/>
      </c>
    </row>
    <row r="22" spans="1:26" x14ac:dyDescent="0.35">
      <c r="B22" s="66">
        <f ca="1">IFERROR(INDIRECT(CONCATENATE("Track1!B",A14+9)),"")</f>
        <v>8</v>
      </c>
      <c r="C22" s="66">
        <f ca="1">IFERROR(INDIRECT(CONCATENATE("Track1!C",A14+9)),"")</f>
        <v>0</v>
      </c>
      <c r="D22" s="89" t="str">
        <f ca="1">IFERROR(INDIRECT(CONCATENATE("Track1!D",A14+9)),"")</f>
        <v/>
      </c>
      <c r="E22" s="89" t="str">
        <f ca="1">IFERROR(INDIRECT(CONCATENATE("Track1!E",A14+9)),"")</f>
        <v/>
      </c>
      <c r="F22" s="65">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65">
        <f ca="1">IFERROR(INDIRECT(CONCATENATE("Track1!M",A14+9)),"")</f>
        <v>0</v>
      </c>
      <c r="N22" s="121" t="str">
        <f ca="1">IFERROR(INDIRECT(CONCATENATE("Track1!N",A14+9)),"")</f>
        <v/>
      </c>
      <c r="T22" s="64" t="str">
        <f t="shared" ca="1" si="0"/>
        <v/>
      </c>
      <c r="U22" s="64" t="str">
        <f t="shared" ca="1" si="1"/>
        <v/>
      </c>
      <c r="V22" s="422" t="str">
        <f ca="1">IF(OR(D22=0,D22="",D22="Athlete"),"",COUNTIF($D$4:$D22,D22))</f>
        <v/>
      </c>
      <c r="W22" s="422" t="str">
        <f t="shared" ca="1" si="2"/>
        <v/>
      </c>
      <c r="Z22" s="422" t="str">
        <f t="shared" ca="1" si="3"/>
        <v/>
      </c>
    </row>
    <row r="23" spans="1:26" x14ac:dyDescent="0.35">
      <c r="T23" s="64" t="str">
        <f t="shared" si="0"/>
        <v/>
      </c>
      <c r="U23" s="64" t="str">
        <f t="shared" si="1"/>
        <v/>
      </c>
      <c r="V23" s="422" t="str">
        <f>IF(OR(D23=0,D23="",D23="Athlete"),"",COUNTIF($D$4:$D23,D23))</f>
        <v/>
      </c>
      <c r="W23" s="422" t="str">
        <f t="shared" si="2"/>
        <v/>
      </c>
      <c r="Z23" s="422" t="str">
        <f t="shared" si="3"/>
        <v/>
      </c>
    </row>
    <row r="24" spans="1:26" x14ac:dyDescent="0.35">
      <c r="A24" s="66" t="s">
        <v>37</v>
      </c>
      <c r="B24" s="115" t="str">
        <f ca="1">IFERROR(INDIRECT(CONCATENATE("Track1!B",A25)),"")</f>
        <v>200m U13 Boys A</v>
      </c>
      <c r="E24" s="89" t="s">
        <v>259</v>
      </c>
      <c r="F24" s="400">
        <f ca="1">IFERROR(INDIRECT(CONCATENATE("Track1!f",A25)),"")</f>
        <v>0</v>
      </c>
      <c r="G24" s="121" t="str">
        <f ca="1">IFERROR(INDIRECT(CONCATENATE("Track1!g",A25)),"")</f>
        <v/>
      </c>
      <c r="I24" s="115" t="str">
        <f ca="1">IFERROR(INDIRECT(CONCATENATE("Track1!I",A25)),"")</f>
        <v>200m U13 Boys B</v>
      </c>
      <c r="L24" s="89" t="s">
        <v>259</v>
      </c>
      <c r="M24" s="299">
        <f ca="1">IFERROR(INDIRECT(CONCATENATE("Track1!M",A25)),"")</f>
        <v>0</v>
      </c>
      <c r="T24" s="64" t="str">
        <f t="shared" si="0"/>
        <v/>
      </c>
      <c r="U24" s="64" t="str">
        <f t="shared" si="1"/>
        <v/>
      </c>
      <c r="V24" s="422" t="str">
        <f>IF(OR(D24=0,D24="",D24="Athlete"),"",COUNTIF($D$4:$D24,D24))</f>
        <v/>
      </c>
      <c r="W24" s="422" t="str">
        <f t="shared" si="2"/>
        <v/>
      </c>
      <c r="Z24" s="422" t="str">
        <f t="shared" ca="1" si="3"/>
        <v/>
      </c>
    </row>
    <row r="25" spans="1:26" x14ac:dyDescent="0.35">
      <c r="A25" s="66">
        <f>IFERROR(MATCH(A24,Track1!A:A,0),"")</f>
        <v>57</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149"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149" t="str">
        <f ca="1">IFERROR(INDIRECT(CONCATENATE("Track1!M",A25+1)),"")</f>
        <v>Perf</v>
      </c>
      <c r="N25" s="218" t="str">
        <f ca="1">IFERROR(INDIRECT(CONCATENATE("Track1!N",A25+1)),"")</f>
        <v>AAA</v>
      </c>
      <c r="T25" s="64" t="str">
        <f t="shared" ca="1" si="0"/>
        <v/>
      </c>
      <c r="U25" s="64" t="str">
        <f t="shared" ca="1" si="1"/>
        <v/>
      </c>
      <c r="V25" s="422" t="str">
        <f ca="1">IF(OR(D25=0,D25="",D25="Athlete"),"",COUNTIF($D$4:$D25,D25))</f>
        <v/>
      </c>
      <c r="W25" s="422" t="str">
        <f t="shared" ca="1" si="2"/>
        <v/>
      </c>
      <c r="Z25" s="422">
        <f t="shared" ca="1" si="3"/>
        <v>0</v>
      </c>
    </row>
    <row r="26" spans="1:26" x14ac:dyDescent="0.35">
      <c r="B26" s="66">
        <f ca="1">IFERROR(INDIRECT(CONCATENATE("Track1!B",A25+2)),"")</f>
        <v>1</v>
      </c>
      <c r="C26" s="66">
        <f ca="1">IFERROR(INDIRECT(CONCATENATE("Track1!C",A25+2)),"")</f>
        <v>4</v>
      </c>
      <c r="D26" s="89" t="str">
        <f ca="1">IFERROR(INDIRECT(CONCATENATE("Track1!D",A25+2)),"")</f>
        <v>MAYNARD Finley</v>
      </c>
      <c r="E26" s="89" t="str">
        <f ca="1">IFERROR(INDIRECT(CONCATENATE("Track1!E",A25+2)),"")</f>
        <v>M'bro</v>
      </c>
      <c r="F26" s="65">
        <f ca="1">IFERROR(INDIRECT(CONCATENATE("Track1!F",A25+2)),"")</f>
        <v>28.4</v>
      </c>
      <c r="G26" s="121">
        <f ca="1">IFERROR(INDIRECT(CONCATENATE("Track1!G",A25+2)),"")</f>
        <v>4</v>
      </c>
      <c r="H26" s="66"/>
      <c r="I26" s="66">
        <f ca="1">IFERROR(INDIRECT(CONCATENATE("Track1!I",A25+2)),"")</f>
        <v>1</v>
      </c>
      <c r="J26" s="66">
        <f ca="1">IFERROR(INDIRECT(CONCATENATE("Track1!J",A25+2)),"")</f>
        <v>33</v>
      </c>
      <c r="K26" s="89" t="str">
        <f ca="1">IFERROR(INDIRECT(CONCATENATE("Track1!K",A25+2)),"")</f>
        <v>BASTOW Isaac</v>
      </c>
      <c r="L26" s="89" t="str">
        <f ca="1">IFERROR(INDIRECT(CONCATENATE("Track1!L",A25+2)),"")</f>
        <v>York</v>
      </c>
      <c r="M26" s="65">
        <f ca="1">IFERROR(INDIRECT(CONCATENATE("Track1!M",A25+2)),"")</f>
        <v>29.6</v>
      </c>
      <c r="N26" s="121" t="str">
        <f ca="1">IFERROR(INDIRECT(CONCATENATE("Track1!N",A25+2)),"")</f>
        <v/>
      </c>
      <c r="R26" s="219">
        <f ca="1">IFERROR(INDIRECT(CONCATENATE("Track1!r",A25+2)),"")</f>
        <v>1</v>
      </c>
      <c r="T26" s="64">
        <f t="shared" ca="1" si="0"/>
        <v>3</v>
      </c>
      <c r="U26" s="64">
        <f t="shared" ca="1" si="1"/>
        <v>2</v>
      </c>
      <c r="V26" s="422">
        <f ca="1">IF(OR(D26=0,D26="",D26="Athlete"),"",COUNTIF($D$4:$D26,D26))</f>
        <v>2</v>
      </c>
      <c r="W26" s="422" t="str">
        <f t="shared" ca="1" si="2"/>
        <v>M'bro</v>
      </c>
      <c r="Z26" s="422">
        <f t="shared" ca="1" si="3"/>
        <v>0</v>
      </c>
    </row>
    <row r="27" spans="1:26" x14ac:dyDescent="0.35">
      <c r="B27" s="66">
        <f ca="1">IFERROR(INDIRECT(CONCATENATE("Track1!B",A25+3)),"")</f>
        <v>2</v>
      </c>
      <c r="C27" s="66">
        <f ca="1">IFERROR(INDIRECT(CONCATENATE("Track1!C",A25+3)),"")</f>
        <v>3</v>
      </c>
      <c r="D27" s="89" t="str">
        <f ca="1">IFERROR(INDIRECT(CONCATENATE("Track1!D",A25+3)),"")</f>
        <v>MARSHALL Syd</v>
      </c>
      <c r="E27" s="89" t="str">
        <f ca="1">IFERROR(INDIRECT(CONCATENATE("Track1!E",A25+3)),"")</f>
        <v>York</v>
      </c>
      <c r="F27" s="65">
        <f ca="1">IFERROR(INDIRECT(CONCATENATE("Track1!F",A25+3)),"")</f>
        <v>29</v>
      </c>
      <c r="G27" s="121">
        <f ca="1">IFERROR(INDIRECT(CONCATENATE("Track1!G",A25+3)),"")</f>
        <v>4</v>
      </c>
      <c r="H27" s="66"/>
      <c r="I27" s="66">
        <f ca="1">IFERROR(INDIRECT(CONCATENATE("Track1!I",A25+3)),"")</f>
        <v>2</v>
      </c>
      <c r="J27" s="66">
        <f ca="1">IFERROR(INDIRECT(CONCATENATE("Track1!J",A25+3)),"")</f>
        <v>11</v>
      </c>
      <c r="K27" s="89" t="str">
        <f ca="1">IFERROR(INDIRECT(CONCATENATE("Track1!K",A25+3)),"")</f>
        <v>LOWE Seth</v>
      </c>
      <c r="L27" s="89" t="str">
        <f ca="1">IFERROR(INDIRECT(CONCATENATE("Track1!L",A25+3)),"")</f>
        <v>C'field</v>
      </c>
      <c r="M27" s="65">
        <f ca="1">IFERROR(INDIRECT(CONCATENATE("Track1!M",A25+3)),"")</f>
        <v>29.9</v>
      </c>
      <c r="N27" s="121" t="str">
        <f ca="1">IFERROR(INDIRECT(CONCATENATE("Track1!N",A25+3)),"")</f>
        <v/>
      </c>
      <c r="T27" s="64">
        <f t="shared" ca="1" si="0"/>
        <v>2</v>
      </c>
      <c r="U27" s="64">
        <f t="shared" ca="1" si="1"/>
        <v>3</v>
      </c>
      <c r="V27" s="422">
        <f ca="1">IF(OR(D27=0,D27="",D27="Athlete"),"",COUNTIF($D$4:$D27,D27))</f>
        <v>1</v>
      </c>
      <c r="W27" s="422" t="str">
        <f t="shared" ca="1" si="2"/>
        <v>York</v>
      </c>
      <c r="Z27" s="422">
        <f t="shared" ca="1" si="3"/>
        <v>0</v>
      </c>
    </row>
    <row r="28" spans="1:26" x14ac:dyDescent="0.35">
      <c r="B28" s="66">
        <f ca="1">IFERROR(INDIRECT(CONCATENATE("Track1!B",A25+4)),"")</f>
        <v>3</v>
      </c>
      <c r="C28" s="66">
        <f ca="1">IFERROR(INDIRECT(CONCATENATE("Track1!C",A25+4)),"")</f>
        <v>1</v>
      </c>
      <c r="D28" s="89" t="str">
        <f ca="1">IFERROR(INDIRECT(CONCATENATE("Track1!D",A25+4)),"")</f>
        <v>GASKIN Nathanael</v>
      </c>
      <c r="E28" s="89" t="str">
        <f ca="1">IFERROR(INDIRECT(CONCATENATE("Track1!E",A25+4)),"")</f>
        <v>C'field</v>
      </c>
      <c r="F28" s="65">
        <f ca="1">IFERROR(INDIRECT(CONCATENATE("Track1!F",A25+4)),"")</f>
        <v>30</v>
      </c>
      <c r="G28" s="121" t="str">
        <f ca="1">IFERROR(INDIRECT(CONCATENATE("Track1!G",A25+4)),"")</f>
        <v/>
      </c>
      <c r="H28" s="66"/>
      <c r="I28" s="66">
        <f ca="1">IFERROR(INDIRECT(CONCATENATE("Track1!I",A25+4)),"")</f>
        <v>3</v>
      </c>
      <c r="J28" s="66">
        <f ca="1">IFERROR(INDIRECT(CONCATENATE("Track1!J",A25+4)),"")</f>
        <v>22</v>
      </c>
      <c r="K28" s="89" t="str">
        <f ca="1">IFERROR(INDIRECT(CONCATENATE("Track1!K",A25+4)),"")</f>
        <v>MAY Rudi</v>
      </c>
      <c r="L28" s="89" t="str">
        <f ca="1">IFERROR(INDIRECT(CONCATENATE("Track1!L",A25+4)),"")</f>
        <v>Sheff+D</v>
      </c>
      <c r="M28" s="65">
        <f ca="1">IFERROR(INDIRECT(CONCATENATE("Track1!M",A25+4)),"")</f>
        <v>30.6</v>
      </c>
      <c r="N28" s="121" t="str">
        <f ca="1">IFERROR(INDIRECT(CONCATENATE("Track1!N",A25+4)),"")</f>
        <v/>
      </c>
      <c r="T28" s="64">
        <f t="shared" ca="1" si="0"/>
        <v>3</v>
      </c>
      <c r="U28" s="64">
        <f t="shared" ca="1" si="1"/>
        <v>3</v>
      </c>
      <c r="V28" s="422">
        <f ca="1">IF(OR(D28=0,D28="",D28="Athlete"),"",COUNTIF($D$4:$D28,D28))</f>
        <v>2</v>
      </c>
      <c r="W28" s="422" t="str">
        <f t="shared" ca="1" si="2"/>
        <v>C'field</v>
      </c>
      <c r="Z28" s="422" t="str">
        <f t="shared" ca="1" si="3"/>
        <v/>
      </c>
    </row>
    <row r="29" spans="1:26" x14ac:dyDescent="0.35">
      <c r="B29" s="66">
        <f ca="1">IFERROR(INDIRECT(CONCATENATE("Track1!B",A25+5)),"")</f>
        <v>4</v>
      </c>
      <c r="C29" s="66">
        <f ca="1">IFERROR(INDIRECT(CONCATENATE("Track1!C",A25+5)),"")</f>
        <v>2</v>
      </c>
      <c r="D29" s="89" t="str">
        <f ca="1">IFERROR(INDIRECT(CONCATENATE("Track1!D",A25+5)),"")</f>
        <v>WINGFIELD Tyler</v>
      </c>
      <c r="E29" s="89" t="str">
        <f ca="1">IFERROR(INDIRECT(CONCATENATE("Track1!E",A25+5)),"")</f>
        <v>Sheff+D</v>
      </c>
      <c r="F29" s="65">
        <f ca="1">IFERROR(INDIRECT(CONCATENATE("Track1!F",A25+5)),"")</f>
        <v>30.1</v>
      </c>
      <c r="G29" s="121" t="str">
        <f ca="1">IFERROR(INDIRECT(CONCATENATE("Track1!G",A25+5)),"")</f>
        <v/>
      </c>
      <c r="H29" s="66"/>
      <c r="I29" s="66">
        <f ca="1">IFERROR(INDIRECT(CONCATENATE("Track1!I",A25+5)),"")</f>
        <v>4</v>
      </c>
      <c r="J29" s="66">
        <f ca="1">IFERROR(INDIRECT(CONCATENATE("Track1!J",A25+5)),"")</f>
        <v>44</v>
      </c>
      <c r="K29" s="89" t="str">
        <f ca="1">IFERROR(INDIRECT(CONCATENATE("Track1!K",A25+5)),"")</f>
        <v>HONEYMAN Leo</v>
      </c>
      <c r="L29" s="89" t="str">
        <f ca="1">IFERROR(INDIRECT(CONCATENATE("Track1!L",A25+5)),"")</f>
        <v>M'bro</v>
      </c>
      <c r="M29" s="65">
        <f ca="1">IFERROR(INDIRECT(CONCATENATE("Track1!M",A25+5)),"")</f>
        <v>31.6</v>
      </c>
      <c r="N29" s="121" t="str">
        <f ca="1">IFERROR(INDIRECT(CONCATENATE("Track1!N",A25+5)),"")</f>
        <v/>
      </c>
      <c r="T29" s="64">
        <f t="shared" ca="1" si="0"/>
        <v>1</v>
      </c>
      <c r="U29" s="64">
        <f t="shared" ca="1" si="1"/>
        <v>2</v>
      </c>
      <c r="V29" s="422">
        <f ca="1">IF(OR(D29=0,D29="",D29="Athlete"),"",COUNTIF($D$4:$D29,D29))</f>
        <v>1</v>
      </c>
      <c r="W29" s="422" t="str">
        <f t="shared" ca="1" si="2"/>
        <v>Sheff+D</v>
      </c>
      <c r="Z29" s="422" t="str">
        <f t="shared" ca="1" si="3"/>
        <v/>
      </c>
    </row>
    <row r="30" spans="1:26" x14ac:dyDescent="0.35">
      <c r="B30" s="66">
        <f ca="1">IFERROR(INDIRECT(CONCATENATE("Track1!B",A25+6)),"")</f>
        <v>5</v>
      </c>
      <c r="C30" s="66">
        <f ca="1">IFERROR(INDIRECT(CONCATENATE("Track1!C",A25+6)),"")</f>
        <v>5</v>
      </c>
      <c r="D30" s="89" t="str">
        <f ca="1">IFERROR(INDIRECT(CONCATENATE("Track1!D",A25+6)),"")</f>
        <v>LANGTON Cody</v>
      </c>
      <c r="E30" s="89" t="str">
        <f ca="1">IFERROR(INDIRECT(CONCATENATE("Track1!E",A25+6)),"")</f>
        <v>Scun</v>
      </c>
      <c r="F30" s="65">
        <f ca="1">IFERROR(INDIRECT(CONCATENATE("Track1!F",A25+6)),"")</f>
        <v>30.4</v>
      </c>
      <c r="G30" s="121" t="str">
        <f ca="1">IFERROR(INDIRECT(CONCATENATE("Track1!G",A25+6)),"")</f>
        <v/>
      </c>
      <c r="H30" s="66"/>
      <c r="I30" s="66">
        <f ca="1">IFERROR(INDIRECT(CONCATENATE("Track1!I",A25+6)),"")</f>
        <v>5</v>
      </c>
      <c r="J30" s="66">
        <f ca="1">IFERROR(INDIRECT(CONCATENATE("Track1!J",A25+6)),"")</f>
        <v>0</v>
      </c>
      <c r="K30" s="89" t="str">
        <f ca="1">IFERROR(INDIRECT(CONCATENATE("Track1!K",A25+6)),"")</f>
        <v/>
      </c>
      <c r="L30" s="89" t="str">
        <f ca="1">IFERROR(INDIRECT(CONCATENATE("Track1!L",A25+6)),"")</f>
        <v/>
      </c>
      <c r="M30" s="65">
        <f ca="1">IFERROR(INDIRECT(CONCATENATE("Track1!M",A25+6)),"")</f>
        <v>0</v>
      </c>
      <c r="N30" s="121" t="str">
        <f ca="1">IFERROR(INDIRECT(CONCATENATE("Track1!N",A25+6)),"")</f>
        <v/>
      </c>
      <c r="T30" s="64">
        <f t="shared" ca="1" si="0"/>
        <v>3</v>
      </c>
      <c r="U30" s="64" t="str">
        <f t="shared" ca="1" si="1"/>
        <v/>
      </c>
      <c r="V30" s="422">
        <f ca="1">IF(OR(D30=0,D30="",D30="Athlete"),"",COUNTIF($D$4:$D30,D30))</f>
        <v>2</v>
      </c>
      <c r="W30" s="422" t="str">
        <f t="shared" ca="1" si="2"/>
        <v>Scun</v>
      </c>
      <c r="Z30" s="422" t="str">
        <f t="shared" ca="1" si="3"/>
        <v/>
      </c>
    </row>
    <row r="31" spans="1:26" x14ac:dyDescent="0.35">
      <c r="B31" s="66">
        <f ca="1">IFERROR(INDIRECT(CONCATENATE("Track1!B",A25+7)),"")</f>
        <v>6</v>
      </c>
      <c r="C31" s="66">
        <f ca="1">IFERROR(INDIRECT(CONCATENATE("Track1!C",A25+7)),"")</f>
        <v>0</v>
      </c>
      <c r="D31" s="89" t="str">
        <f ca="1">IFERROR(INDIRECT(CONCATENATE("Track1!D",A25+7)),"")</f>
        <v/>
      </c>
      <c r="E31" s="89" t="str">
        <f ca="1">IFERROR(INDIRECT(CONCATENATE("Track1!E",A25+7)),"")</f>
        <v/>
      </c>
      <c r="F31" s="65">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65">
        <f ca="1">IFERROR(INDIRECT(CONCATENATE("Track1!M",A25+7)),"")</f>
        <v>0</v>
      </c>
      <c r="N31" s="121" t="str">
        <f ca="1">IFERROR(INDIRECT(CONCATENATE("Track1!N",A25+7)),"")</f>
        <v/>
      </c>
      <c r="T31" s="64" t="str">
        <f t="shared" ca="1" si="0"/>
        <v/>
      </c>
      <c r="U31" s="64" t="str">
        <f t="shared" ca="1" si="1"/>
        <v/>
      </c>
      <c r="V31" s="422" t="str">
        <f ca="1">IF(OR(D31=0,D31="",D31="Athlete"),"",COUNTIF($D$4:$D31,D31))</f>
        <v/>
      </c>
      <c r="W31" s="422" t="str">
        <f t="shared" ca="1" si="2"/>
        <v/>
      </c>
      <c r="Z31" s="422" t="str">
        <f t="shared" ca="1" si="3"/>
        <v/>
      </c>
    </row>
    <row r="32" spans="1:26" x14ac:dyDescent="0.35">
      <c r="B32" s="66">
        <f ca="1">IFERROR(INDIRECT(CONCATENATE("Track1!B",A25+8)),"")</f>
        <v>7</v>
      </c>
      <c r="C32" s="66">
        <f ca="1">IFERROR(INDIRECT(CONCATENATE("Track1!C",A25+8)),"")</f>
        <v>0</v>
      </c>
      <c r="D32" s="89" t="str">
        <f ca="1">IFERROR(INDIRECT(CONCATENATE("Track1!D",A25+8)),"")</f>
        <v/>
      </c>
      <c r="E32" s="89" t="str">
        <f ca="1">IFERROR(INDIRECT(CONCATENATE("Track1!E",A25+8)),"")</f>
        <v/>
      </c>
      <c r="F32" s="65">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65">
        <f ca="1">IFERROR(INDIRECT(CONCATENATE("Track1!M",A25+8)),"")</f>
        <v>0</v>
      </c>
      <c r="N32" s="121" t="str">
        <f ca="1">IFERROR(INDIRECT(CONCATENATE("Track1!N",A25+8)),"")</f>
        <v/>
      </c>
      <c r="T32" s="64" t="str">
        <f t="shared" ca="1" si="0"/>
        <v/>
      </c>
      <c r="U32" s="64" t="str">
        <f t="shared" ca="1" si="1"/>
        <v/>
      </c>
      <c r="V32" s="422" t="str">
        <f ca="1">IF(OR(D32=0,D32="",D32="Athlete"),"",COUNTIF($D$4:$D32,D32))</f>
        <v/>
      </c>
      <c r="W32" s="422" t="str">
        <f t="shared" ca="1" si="2"/>
        <v/>
      </c>
      <c r="Z32" s="422" t="str">
        <f t="shared" ca="1" si="3"/>
        <v/>
      </c>
    </row>
    <row r="33" spans="1:26" x14ac:dyDescent="0.35">
      <c r="B33" s="66">
        <f ca="1">IFERROR(INDIRECT(CONCATENATE("Track1!B",A25+9)),"")</f>
        <v>8</v>
      </c>
      <c r="C33" s="66">
        <f ca="1">IFERROR(INDIRECT(CONCATENATE("Track1!C",A25+9)),"")</f>
        <v>0</v>
      </c>
      <c r="D33" s="89" t="str">
        <f ca="1">IFERROR(INDIRECT(CONCATENATE("Track1!D",A25+9)),"")</f>
        <v/>
      </c>
      <c r="E33" s="89" t="str">
        <f ca="1">IFERROR(INDIRECT(CONCATENATE("Track1!E",A25+9)),"")</f>
        <v/>
      </c>
      <c r="F33" s="65">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65">
        <f ca="1">IFERROR(INDIRECT(CONCATENATE("Track1!M",A25+9)),"")</f>
        <v>0</v>
      </c>
      <c r="N33" s="121" t="str">
        <f ca="1">IFERROR(INDIRECT(CONCATENATE("Track1!N",A25+9)),"")</f>
        <v/>
      </c>
      <c r="T33" s="64" t="str">
        <f t="shared" ca="1" si="0"/>
        <v/>
      </c>
      <c r="U33" s="64" t="str">
        <f t="shared" ca="1" si="1"/>
        <v/>
      </c>
      <c r="V33" s="422" t="str">
        <f ca="1">IF(OR(D33=0,D33="",D33="Athlete"),"",COUNTIF($D$4:$D33,D33))</f>
        <v/>
      </c>
      <c r="W33" s="422" t="str">
        <f t="shared" ca="1" si="2"/>
        <v/>
      </c>
      <c r="Z33" s="422" t="str">
        <f t="shared" ca="1" si="3"/>
        <v/>
      </c>
    </row>
    <row r="34" spans="1:26" x14ac:dyDescent="0.35">
      <c r="T34" s="64" t="str">
        <f t="shared" si="0"/>
        <v/>
      </c>
      <c r="U34" s="64" t="str">
        <f t="shared" si="1"/>
        <v/>
      </c>
      <c r="V34" s="422" t="str">
        <f>IF(OR(D34=0,D34="",D34="Athlete"),"",COUNTIF($D$4:$D34,D34))</f>
        <v/>
      </c>
      <c r="W34" s="422" t="str">
        <f t="shared" si="2"/>
        <v/>
      </c>
      <c r="Z34" s="422" t="str">
        <f t="shared" si="3"/>
        <v/>
      </c>
    </row>
    <row r="35" spans="1:26" x14ac:dyDescent="0.35">
      <c r="A35" s="66" t="s">
        <v>507</v>
      </c>
      <c r="B35" s="115" t="str">
        <f ca="1">IFERROR(INDIRECT(CONCATENATE("Track1!B",A36)),"")</f>
        <v>800m U13 Boys A</v>
      </c>
      <c r="F35" s="401">
        <f ca="1">IFERROR(INDIRECT(CONCATENATE("Track1!f",A36)),"")</f>
        <v>0</v>
      </c>
      <c r="G35" s="121" t="str">
        <f ca="1">IFERROR(INDIRECT(CONCATENATE("Track1!g",A36)),"")</f>
        <v/>
      </c>
      <c r="I35" s="115" t="str">
        <f ca="1">IFERROR(INDIRECT(CONCATENATE("Track1!I",A36)),"")</f>
        <v>800m U13 Boys B</v>
      </c>
      <c r="T35" s="64" t="str">
        <f t="shared" si="0"/>
        <v/>
      </c>
      <c r="U35" s="64" t="str">
        <f t="shared" si="1"/>
        <v/>
      </c>
      <c r="V35" s="422" t="str">
        <f>IF(OR(D35=0,D35="",D35="Athlete"),"",COUNTIF($D$4:$D35,D35))</f>
        <v/>
      </c>
      <c r="W35" s="422" t="str">
        <f t="shared" si="2"/>
        <v/>
      </c>
      <c r="Z35" s="422" t="str">
        <f t="shared" ca="1" si="3"/>
        <v/>
      </c>
    </row>
    <row r="36" spans="1:26" x14ac:dyDescent="0.35">
      <c r="A36" s="66">
        <f>IFERROR(MATCH(A35,Track1!A:A,0),"")</f>
        <v>211</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149"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149" t="str">
        <f ca="1">IFERROR(INDIRECT(CONCATENATE("Track1!M",A36+1)),"")</f>
        <v>Perf</v>
      </c>
      <c r="N36" s="218" t="str">
        <f ca="1">IFERROR(INDIRECT(CONCATENATE("Track1!N",A36+1)),"")</f>
        <v>AAA</v>
      </c>
      <c r="T36" s="64" t="str">
        <f t="shared" ca="1" si="0"/>
        <v/>
      </c>
      <c r="U36" s="64" t="str">
        <f t="shared" ca="1" si="1"/>
        <v/>
      </c>
      <c r="V36" s="422" t="str">
        <f ca="1">IF(OR(D36=0,D36="",D36="Athlete"),"",COUNTIF($D$4:$D36,D36))</f>
        <v/>
      </c>
      <c r="W36" s="422" t="str">
        <f t="shared" ca="1" si="2"/>
        <v/>
      </c>
      <c r="Z36" s="422">
        <f t="shared" ca="1" si="3"/>
        <v>0</v>
      </c>
    </row>
    <row r="37" spans="1:26" x14ac:dyDescent="0.35">
      <c r="B37" s="66">
        <f ca="1">IFERROR(INDIRECT(CONCATENATE("Track1!B",A36+2)),"")</f>
        <v>1</v>
      </c>
      <c r="C37" s="66">
        <f ca="1">IFERROR(INDIRECT(CONCATENATE("Track1!C",A36+2)),"")</f>
        <v>2</v>
      </c>
      <c r="D37" s="89" t="str">
        <f ca="1">IFERROR(INDIRECT(CONCATENATE("Track1!D",A36+2)),"")</f>
        <v>PLATTS Will</v>
      </c>
      <c r="E37" s="89" t="str">
        <f ca="1">IFERROR(INDIRECT(CONCATENATE("Track1!E",A36+2)),"")</f>
        <v>Sheff+D</v>
      </c>
      <c r="F37" s="109">
        <f ca="1">IFERROR(INDIRECT(CONCATENATE("Track1!T",A36+2)),"")</f>
        <v>1.7685185185185182E-3</v>
      </c>
      <c r="G37" s="121">
        <f ca="1">IFERROR(INDIRECT(CONCATENATE("Track1!G",A36+2)),"")</f>
        <v>4</v>
      </c>
      <c r="H37" s="66"/>
      <c r="I37" s="66">
        <f ca="1">IFERROR(INDIRECT(CONCATENATE("Track1!I",A36+2)),"")</f>
        <v>1</v>
      </c>
      <c r="J37" s="66">
        <f ca="1">IFERROR(INDIRECT(CONCATENATE("Track1!J",A36+2)),"")</f>
        <v>22</v>
      </c>
      <c r="K37" s="89" t="str">
        <f ca="1">IFERROR(INDIRECT(CONCATENATE("Track1!K",A36+2)),"")</f>
        <v>REED Elliot</v>
      </c>
      <c r="L37" s="89" t="str">
        <f ca="1">IFERROR(INDIRECT(CONCATENATE("Track1!L",A36+2)),"")</f>
        <v>Sheff+D</v>
      </c>
      <c r="M37" s="109">
        <f ca="1">IFERROR(INDIRECT(CONCATENATE("Track1!U",A36+2)),"")</f>
        <v>1.9039351851851852E-3</v>
      </c>
      <c r="N37" s="121" t="str">
        <f ca="1">IFERROR(INDIRECT(CONCATENATE("Track1!N",A36+2)),"")</f>
        <v/>
      </c>
      <c r="R37" s="219">
        <f ca="1">IFERROR(INDIRECT(CONCATENATE("Track1!r",A36+2)),"")</f>
        <v>1</v>
      </c>
      <c r="T37" s="64">
        <f t="shared" ca="1" si="0"/>
        <v>1</v>
      </c>
      <c r="U37" s="64">
        <f t="shared" ca="1" si="1"/>
        <v>1</v>
      </c>
      <c r="V37" s="422">
        <f ca="1">IF(OR(D37=0,D37="",D37="Athlete"),"",COUNTIF($D$4:$D37,D37))</f>
        <v>1</v>
      </c>
      <c r="W37" s="422" t="str">
        <f t="shared" ca="1" si="2"/>
        <v>Sheff+D</v>
      </c>
      <c r="Z37" s="422">
        <f t="shared" ca="1" si="3"/>
        <v>0</v>
      </c>
    </row>
    <row r="38" spans="1:26" x14ac:dyDescent="0.35">
      <c r="B38" s="66">
        <f ca="1">IFERROR(INDIRECT(CONCATENATE("Track1!B",A36+3)),"")</f>
        <v>2</v>
      </c>
      <c r="C38" s="66">
        <f ca="1">IFERROR(INDIRECT(CONCATENATE("Track1!C",A36+3)),"")</f>
        <v>44</v>
      </c>
      <c r="D38" s="89" t="str">
        <f ca="1">IFERROR(INDIRECT(CONCATENATE("Track1!D",A36+3)),"")</f>
        <v>CRAGGS George</v>
      </c>
      <c r="E38" s="89" t="str">
        <f ca="1">IFERROR(INDIRECT(CONCATENATE("Track1!E",A36+3)),"")</f>
        <v>M'bro</v>
      </c>
      <c r="F38" s="109">
        <f ca="1">IFERROR(INDIRECT(CONCATENATE("Track1!T",A36+3)),"")</f>
        <v>1.8229166666666667E-3</v>
      </c>
      <c r="G38" s="121" t="str">
        <f ca="1">IFERROR(INDIRECT(CONCATENATE("Track1!G",A36+3)),"")</f>
        <v/>
      </c>
      <c r="H38" s="66"/>
      <c r="I38" s="66">
        <f ca="1">IFERROR(INDIRECT(CONCATENATE("Track1!I",A36+3)),"")</f>
        <v>2</v>
      </c>
      <c r="J38" s="66">
        <f ca="1">IFERROR(INDIRECT(CONCATENATE("Track1!J",A36+3)),"")</f>
        <v>33</v>
      </c>
      <c r="K38" s="89" t="str">
        <f ca="1">IFERROR(INDIRECT(CONCATENATE("Track1!K",A36+3)),"")</f>
        <v>JONES Alex</v>
      </c>
      <c r="L38" s="89" t="str">
        <f ca="1">IFERROR(INDIRECT(CONCATENATE("Track1!L",A36+3)),"")</f>
        <v>York</v>
      </c>
      <c r="M38" s="109">
        <f ca="1">IFERROR(INDIRECT(CONCATENATE("Track1!U",A36+3)),"")</f>
        <v>1.953703703703704E-3</v>
      </c>
      <c r="N38" s="121" t="str">
        <f ca="1">IFERROR(INDIRECT(CONCATENATE("Track1!N",A36+3)),"")</f>
        <v/>
      </c>
      <c r="T38" s="64">
        <f t="shared" ca="1" si="0"/>
        <v>2</v>
      </c>
      <c r="U38" s="64">
        <f t="shared" ca="1" si="1"/>
        <v>3</v>
      </c>
      <c r="V38" s="422">
        <f ca="1">IF(OR(D38=0,D38="",D38="Athlete"),"",COUNTIF($D$4:$D38,D38))</f>
        <v>1</v>
      </c>
      <c r="W38" s="422" t="str">
        <f t="shared" ca="1" si="2"/>
        <v>M'bro</v>
      </c>
      <c r="Z38" s="422" t="str">
        <f t="shared" ca="1" si="3"/>
        <v/>
      </c>
    </row>
    <row r="39" spans="1:26" x14ac:dyDescent="0.35">
      <c r="B39" s="66">
        <f ca="1">IFERROR(INDIRECT(CONCATENATE("Track1!B",A36+4)),"")</f>
        <v>3</v>
      </c>
      <c r="C39" s="66">
        <f ca="1">IFERROR(INDIRECT(CONCATENATE("Track1!C",A36+4)),"")</f>
        <v>3</v>
      </c>
      <c r="D39" s="89" t="str">
        <f ca="1">IFERROR(INDIRECT(CONCATENATE("Track1!D",A36+4)),"")</f>
        <v>SANDWELL Joshua</v>
      </c>
      <c r="E39" s="89" t="str">
        <f ca="1">IFERROR(INDIRECT(CONCATENATE("Track1!E",A36+4)),"")</f>
        <v>York</v>
      </c>
      <c r="F39" s="109">
        <f ca="1">IFERROR(INDIRECT(CONCATENATE("Track1!T",A36+4)),"")</f>
        <v>1.8749999999999999E-3</v>
      </c>
      <c r="G39" s="121" t="str">
        <f ca="1">IFERROR(INDIRECT(CONCATENATE("Track1!G",A36+4)),"")</f>
        <v/>
      </c>
      <c r="H39" s="66"/>
      <c r="I39" s="66">
        <f ca="1">IFERROR(INDIRECT(CONCATENATE("Track1!I",A36+4)),"")</f>
        <v>3</v>
      </c>
      <c r="J39" s="66">
        <f ca="1">IFERROR(INDIRECT(CONCATENATE("Track1!J",A36+4)),"")</f>
        <v>4</v>
      </c>
      <c r="K39" s="89" t="str">
        <f ca="1">IFERROR(INDIRECT(CONCATENATE("Track1!K",A36+4)),"")</f>
        <v>FRANCIS Stan</v>
      </c>
      <c r="L39" s="89" t="str">
        <f ca="1">IFERROR(INDIRECT(CONCATENATE("Track1!L",A36+4)),"")</f>
        <v>M'bro</v>
      </c>
      <c r="M39" s="109">
        <f ca="1">IFERROR(INDIRECT(CONCATENATE("Track1!U",A36+4)),"")</f>
        <v>1.9965277777777776E-3</v>
      </c>
      <c r="N39" s="121" t="str">
        <f ca="1">IFERROR(INDIRECT(CONCATENATE("Track1!N",A36+4)),"")</f>
        <v/>
      </c>
      <c r="T39" s="64">
        <f t="shared" ca="1" si="0"/>
        <v>1</v>
      </c>
      <c r="U39" s="64">
        <f t="shared" ca="1" si="1"/>
        <v>2</v>
      </c>
      <c r="V39" s="422">
        <f ca="1">IF(OR(D39=0,D39="",D39="Athlete"),"",COUNTIF($D$4:$D39,D39))</f>
        <v>1</v>
      </c>
      <c r="W39" s="422" t="str">
        <f t="shared" ca="1" si="2"/>
        <v>York</v>
      </c>
      <c r="Z39" s="422" t="str">
        <f t="shared" ca="1" si="3"/>
        <v/>
      </c>
    </row>
    <row r="40" spans="1:26" x14ac:dyDescent="0.35">
      <c r="B40" s="66">
        <f ca="1">IFERROR(INDIRECT(CONCATENATE("Track1!B",A36+5)),"")</f>
        <v>4</v>
      </c>
      <c r="C40" s="66">
        <f ca="1">IFERROR(INDIRECT(CONCATENATE("Track1!C",A36+5)),"")</f>
        <v>1</v>
      </c>
      <c r="D40" s="89" t="str">
        <f ca="1">IFERROR(INDIRECT(CONCATENATE("Track1!D",A36+5)),"")</f>
        <v>LOWE Seth</v>
      </c>
      <c r="E40" s="89" t="str">
        <f ca="1">IFERROR(INDIRECT(CONCATENATE("Track1!E",A36+5)),"")</f>
        <v>C'field</v>
      </c>
      <c r="F40" s="109">
        <f ca="1">IFERROR(INDIRECT(CONCATENATE("Track1!T",A36+5)),"")</f>
        <v>1.8888888888888887E-3</v>
      </c>
      <c r="G40" s="121" t="str">
        <f ca="1">IFERROR(INDIRECT(CONCATENATE("Track1!G",A36+5)),"")</f>
        <v/>
      </c>
      <c r="H40" s="66"/>
      <c r="I40" s="66">
        <f ca="1">IFERROR(INDIRECT(CONCATENATE("Track1!I",A36+5)),"")</f>
        <v>4</v>
      </c>
      <c r="J40" s="66">
        <f ca="1">IFERROR(INDIRECT(CONCATENATE("Track1!J",A36+5)),"")</f>
        <v>11</v>
      </c>
      <c r="K40" s="89" t="str">
        <f ca="1">IFERROR(INDIRECT(CONCATENATE("Track1!K",A36+5)),"")</f>
        <v>STOWELL Callum</v>
      </c>
      <c r="L40" s="89" t="str">
        <f ca="1">IFERROR(INDIRECT(CONCATENATE("Track1!L",A36+5)),"")</f>
        <v>C'field</v>
      </c>
      <c r="M40" s="109">
        <f ca="1">IFERROR(INDIRECT(CONCATENATE("Track1!U",A36+5)),"")</f>
        <v>2.138888888888889E-3</v>
      </c>
      <c r="N40" s="121" t="str">
        <f ca="1">IFERROR(INDIRECT(CONCATENATE("Track1!N",A36+5)),"")</f>
        <v/>
      </c>
      <c r="T40" s="64">
        <f t="shared" ca="1" si="0"/>
        <v>3</v>
      </c>
      <c r="U40" s="64">
        <f t="shared" ca="1" si="1"/>
        <v>3</v>
      </c>
      <c r="V40" s="422">
        <f ca="1">IF(OR(D40=0,D40="",D40="Athlete"),"",COUNTIF($D$4:$D40,D40))</f>
        <v>1</v>
      </c>
      <c r="W40" s="422" t="str">
        <f t="shared" ca="1" si="2"/>
        <v>C'field</v>
      </c>
      <c r="Z40" s="422" t="str">
        <f t="shared" ca="1" si="3"/>
        <v/>
      </c>
    </row>
    <row r="41" spans="1:26" x14ac:dyDescent="0.35">
      <c r="B41" s="66">
        <f ca="1">IFERROR(INDIRECT(CONCATENATE("Track1!B",A36+6)),"")</f>
        <v>5</v>
      </c>
      <c r="C41" s="66">
        <f ca="1">IFERROR(INDIRECT(CONCATENATE("Track1!C",A36+6)),"")</f>
        <v>0</v>
      </c>
      <c r="D41" s="89" t="str">
        <f ca="1">IFERROR(INDIRECT(CONCATENATE("Track1!D",A36+6)),"")</f>
        <v/>
      </c>
      <c r="E41" s="89" t="str">
        <f ca="1">IFERROR(INDIRECT(CONCATENATE("Track1!E",A36+6)),"")</f>
        <v/>
      </c>
      <c r="F41" s="109">
        <f ca="1">IFERROR(INDIRECT(CONCATENATE("Track1!T",A36+6)),"")</f>
        <v>0</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109">
        <f ca="1">IFERROR(INDIRECT(CONCATENATE("Track1!U",A36+6)),"")</f>
        <v>0</v>
      </c>
      <c r="N41" s="121" t="str">
        <f ca="1">IFERROR(INDIRECT(CONCATENATE("Track1!N",A36+6)),"")</f>
        <v/>
      </c>
      <c r="T41" s="64" t="str">
        <f t="shared" ca="1" si="0"/>
        <v/>
      </c>
      <c r="U41" s="64" t="str">
        <f t="shared" ca="1" si="1"/>
        <v/>
      </c>
      <c r="V41" s="422" t="str">
        <f ca="1">IF(OR(D41=0,D41="",D41="Athlete"),"",COUNTIF($D$4:$D41,D41))</f>
        <v/>
      </c>
      <c r="W41" s="422" t="str">
        <f t="shared" ca="1" si="2"/>
        <v/>
      </c>
      <c r="Z41" s="422" t="str">
        <f t="shared" ca="1" si="3"/>
        <v/>
      </c>
    </row>
    <row r="42" spans="1:26" x14ac:dyDescent="0.35">
      <c r="B42" s="66">
        <f ca="1">IFERROR(INDIRECT(CONCATENATE("Track1!B",A36+7)),"")</f>
        <v>6</v>
      </c>
      <c r="C42" s="66">
        <f ca="1">IFERROR(INDIRECT(CONCATENATE("Track1!C",A36+7)),"")</f>
        <v>0</v>
      </c>
      <c r="D42" s="89" t="str">
        <f ca="1">IFERROR(INDIRECT(CONCATENATE("Track1!D",A36+7)),"")</f>
        <v/>
      </c>
      <c r="E42" s="89" t="str">
        <f ca="1">IFERROR(INDIRECT(CONCATENATE("Track1!E",A36+7)),"")</f>
        <v/>
      </c>
      <c r="F42" s="109">
        <f ca="1">IFERROR(INDIRECT(CONCATENATE("Track1!T",A36+7)),"")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109">
        <f ca="1">IFERROR(INDIRECT(CONCATENATE("Track1!U",A36+7)),"")</f>
        <v>0</v>
      </c>
      <c r="N42" s="121" t="str">
        <f ca="1">IFERROR(INDIRECT(CONCATENATE("Track1!N",A36+7)),"")</f>
        <v/>
      </c>
      <c r="T42" s="64" t="str">
        <f t="shared" ca="1" si="0"/>
        <v/>
      </c>
      <c r="U42" s="64" t="str">
        <f t="shared" ca="1" si="1"/>
        <v/>
      </c>
      <c r="V42" s="422" t="str">
        <f ca="1">IF(OR(D42=0,D42="",D42="Athlete"),"",COUNTIF($D$4:$D42,D42))</f>
        <v/>
      </c>
      <c r="W42" s="422" t="str">
        <f t="shared" ca="1" si="2"/>
        <v/>
      </c>
      <c r="Z42" s="422" t="str">
        <f t="shared" ca="1" si="3"/>
        <v/>
      </c>
    </row>
    <row r="43" spans="1:26" x14ac:dyDescent="0.35">
      <c r="B43" s="66">
        <f ca="1">IFERROR(INDIRECT(CONCATENATE("Track1!B",A36+8)),"")</f>
        <v>7</v>
      </c>
      <c r="C43" s="66">
        <f ca="1">IFERROR(INDIRECT(CONCATENATE("Track1!C",A36+8)),"")</f>
        <v>0</v>
      </c>
      <c r="D43" s="89" t="str">
        <f ca="1">IFERROR(INDIRECT(CONCATENATE("Track1!D",A36+8)),"")</f>
        <v/>
      </c>
      <c r="E43" s="89" t="str">
        <f ca="1">IFERROR(INDIRECT(CONCATENATE("Track1!E",A36+8)),"")</f>
        <v/>
      </c>
      <c r="F43" s="109">
        <f ca="1">IFERROR(INDIRECT(CONCATENATE("Track1!T",A36+8)),"")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109">
        <f ca="1">IFERROR(INDIRECT(CONCATENATE("Track1!U",A36+8)),"")</f>
        <v>0</v>
      </c>
      <c r="N43" s="121" t="str">
        <f ca="1">IFERROR(INDIRECT(CONCATENATE("Track1!N",A36+8)),"")</f>
        <v/>
      </c>
      <c r="T43" s="64" t="str">
        <f t="shared" ca="1" si="0"/>
        <v/>
      </c>
      <c r="U43" s="64" t="str">
        <f t="shared" ca="1" si="1"/>
        <v/>
      </c>
      <c r="V43" s="422" t="str">
        <f ca="1">IF(OR(D43=0,D43="",D43="Athlete"),"",COUNTIF($D$4:$D43,D43))</f>
        <v/>
      </c>
      <c r="W43" s="422" t="str">
        <f t="shared" ca="1" si="2"/>
        <v/>
      </c>
      <c r="Z43" s="422" t="str">
        <f t="shared" ca="1" si="3"/>
        <v/>
      </c>
    </row>
    <row r="44" spans="1:26" x14ac:dyDescent="0.35">
      <c r="B44" s="66">
        <f ca="1">IFERROR(INDIRECT(CONCATENATE("Track1!B",A36+9)),"")</f>
        <v>8</v>
      </c>
      <c r="C44" s="66">
        <f ca="1">IFERROR(INDIRECT(CONCATENATE("Track1!C",A36+9)),"")</f>
        <v>0</v>
      </c>
      <c r="D44" s="89" t="str">
        <f ca="1">IFERROR(INDIRECT(CONCATENATE("Track1!D",A36+9)),"")</f>
        <v/>
      </c>
      <c r="E44" s="89" t="str">
        <f ca="1">IFERROR(INDIRECT(CONCATENATE("Track1!E",A36+9)),"")</f>
        <v/>
      </c>
      <c r="F44" s="109">
        <f ca="1">IFERROR(INDIRECT(CONCATENATE("Track1!T",A36+9)),"")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109">
        <f ca="1">IFERROR(INDIRECT(CONCATENATE("Track1!U",A36+9)),"")</f>
        <v>0</v>
      </c>
      <c r="N44" s="121" t="str">
        <f ca="1">IFERROR(INDIRECT(CONCATENATE("Track1!N",A36+9)),"")</f>
        <v/>
      </c>
      <c r="T44" s="64" t="str">
        <f t="shared" ca="1" si="0"/>
        <v/>
      </c>
      <c r="U44" s="64" t="str">
        <f t="shared" ca="1" si="1"/>
        <v/>
      </c>
      <c r="V44" s="422" t="str">
        <f ca="1">IF(OR(D44=0,D44="",D44="Athlete"),"",COUNTIF($D$4:$D44,D44))</f>
        <v/>
      </c>
      <c r="W44" s="422" t="str">
        <f t="shared" ca="1" si="2"/>
        <v/>
      </c>
      <c r="Z44" s="422" t="str">
        <f t="shared" ca="1" si="3"/>
        <v/>
      </c>
    </row>
    <row r="45" spans="1:26" x14ac:dyDescent="0.35">
      <c r="T45" s="64" t="str">
        <f t="shared" si="0"/>
        <v/>
      </c>
      <c r="U45" s="64" t="str">
        <f t="shared" si="1"/>
        <v/>
      </c>
      <c r="V45" s="422" t="str">
        <f>IF(OR(D45=0,D45="",D45="Athlete"),"",COUNTIF($D$4:$D45,D45))</f>
        <v/>
      </c>
      <c r="W45" s="422" t="str">
        <f t="shared" si="2"/>
        <v/>
      </c>
      <c r="Z45" s="422" t="str">
        <f t="shared" si="3"/>
        <v/>
      </c>
    </row>
    <row r="46" spans="1:26" x14ac:dyDescent="0.35">
      <c r="A46" s="66" t="s">
        <v>511</v>
      </c>
      <c r="B46" s="115" t="str">
        <f ca="1">IFERROR(INDIRECT(CONCATENATE("Track1!B",A47)),"")</f>
        <v>800m NS U13 Boys A</v>
      </c>
      <c r="F46" s="401">
        <f ca="1">IFERROR(INDIRECT(CONCATENATE("Track1!f",A47)),"")</f>
        <v>0</v>
      </c>
      <c r="G46" s="121" t="str">
        <f ca="1">IFERROR(INDIRECT(CONCATENATE("Track1!g",A47)),"")</f>
        <v/>
      </c>
      <c r="I46" s="115" t="str">
        <f ca="1">IFERROR(INDIRECT(CONCATENATE("Track1!I",A47)),"")</f>
        <v>800m NS U13 Boys B</v>
      </c>
      <c r="T46" s="64" t="str">
        <f t="shared" si="0"/>
        <v/>
      </c>
      <c r="U46" s="64" t="str">
        <f t="shared" si="1"/>
        <v/>
      </c>
      <c r="V46" s="422" t="str">
        <f>IF(OR(D46=0,D46="",D46="Athlete"),"",COUNTIF($D$4:$D46,D46))</f>
        <v/>
      </c>
      <c r="W46" s="422" t="str">
        <f t="shared" si="2"/>
        <v/>
      </c>
      <c r="Z46" s="422" t="str">
        <f t="shared" ca="1" si="3"/>
        <v/>
      </c>
    </row>
    <row r="47" spans="1:26" x14ac:dyDescent="0.35">
      <c r="A47" s="66">
        <f>IFERROR(MATCH(A46,Track1!A:A,0),"")</f>
        <v>255</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149"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149" t="str">
        <f ca="1">IFERROR(INDIRECT(CONCATENATE("Track1!M",A47+1)),"")</f>
        <v>Perf</v>
      </c>
      <c r="N47" s="218" t="str">
        <f ca="1">IFERROR(INDIRECT(CONCATENATE("Track1!N",A47+1)),"")</f>
        <v>AAA</v>
      </c>
      <c r="T47" s="64" t="str">
        <f t="shared" ca="1" si="0"/>
        <v/>
      </c>
      <c r="U47" s="64" t="str">
        <f t="shared" ca="1" si="1"/>
        <v/>
      </c>
      <c r="V47" s="422" t="str">
        <f ca="1">IF(OR(D47=0,D47="",D47="Athlete"),"",COUNTIF($D$4:$D47,D47))</f>
        <v/>
      </c>
      <c r="W47" s="422" t="str">
        <f t="shared" ca="1" si="2"/>
        <v/>
      </c>
      <c r="Z47" s="422">
        <f t="shared" ca="1" si="3"/>
        <v>0</v>
      </c>
    </row>
    <row r="48" spans="1:26" x14ac:dyDescent="0.35">
      <c r="B48" s="66">
        <f ca="1">IFERROR(INDIRECT(CONCATENATE("Track1!B",A47+2)),"")</f>
        <v>1</v>
      </c>
      <c r="C48" s="66">
        <f ca="1">IFERROR(INDIRECT(CONCATENATE("Track1!C",A47+2)),"")</f>
        <v>0</v>
      </c>
      <c r="D48" s="89" t="str">
        <f ca="1">IFERROR(INDIRECT(CONCATENATE("Track1!D",A47+2)),"")</f>
        <v/>
      </c>
      <c r="E48" s="89" t="str">
        <f ca="1">IFERROR(INDIRECT(CONCATENATE("Track1!E",A47+2)),"")</f>
        <v/>
      </c>
      <c r="F48" s="109">
        <f ca="1">IFERROR(INDIRECT(CONCATENATE("Track1!T",A47+2)),"")</f>
        <v>0</v>
      </c>
      <c r="G48" s="121" t="str">
        <f ca="1">IFERROR(INDIRECT(CONCATENATE("Track1!G",A47+2)),"")</f>
        <v/>
      </c>
      <c r="H48" s="66"/>
      <c r="I48" s="66">
        <f ca="1">IFERROR(INDIRECT(CONCATENATE("Track1!I",A47+2)),"")</f>
        <v>1</v>
      </c>
      <c r="J48" s="66">
        <f ca="1">IFERROR(INDIRECT(CONCATENATE("Track1!J",A47+2)),"")</f>
        <v>0</v>
      </c>
      <c r="K48" s="89" t="str">
        <f ca="1">IFERROR(INDIRECT(CONCATENATE("Track1!K",A47+2)),"")</f>
        <v/>
      </c>
      <c r="L48" s="89" t="str">
        <f ca="1">IFERROR(INDIRECT(CONCATENATE("Track1!L",A47+2)),"")</f>
        <v/>
      </c>
      <c r="M48" s="109">
        <f ca="1">IFERROR(INDIRECT(CONCATENATE("Track1!U",A47+2)),"")</f>
        <v>0</v>
      </c>
      <c r="N48" s="121" t="str">
        <f ca="1">IFERROR(INDIRECT(CONCATENATE("Track1!N",A47+2)),"")</f>
        <v/>
      </c>
      <c r="R48" s="219">
        <f ca="1">IFERROR(INDIRECT(CONCATENATE("Track1!r",A47+2)),"")</f>
        <v>0</v>
      </c>
      <c r="T48" s="64" t="str">
        <f t="shared" ca="1" si="0"/>
        <v/>
      </c>
      <c r="U48" s="64" t="str">
        <f t="shared" ca="1" si="1"/>
        <v/>
      </c>
      <c r="V48" s="422" t="str">
        <f ca="1">IF(OR(D48=0,D48="",D48="Athlete"),"",COUNTIF($D$4:$D48,D48))</f>
        <v/>
      </c>
      <c r="W48" s="422" t="str">
        <f t="shared" ca="1" si="2"/>
        <v/>
      </c>
      <c r="Z48" s="422" t="str">
        <f t="shared" ca="1" si="3"/>
        <v/>
      </c>
    </row>
    <row r="49" spans="1:26" x14ac:dyDescent="0.35">
      <c r="B49" s="66">
        <f ca="1">IFERROR(INDIRECT(CONCATENATE("Track1!B",A47+3)),"")</f>
        <v>2</v>
      </c>
      <c r="C49" s="66">
        <f ca="1">IFERROR(INDIRECT(CONCATENATE("Track1!C",A47+3)),"")</f>
        <v>0</v>
      </c>
      <c r="D49" s="89" t="str">
        <f ca="1">IFERROR(INDIRECT(CONCATENATE("Track1!D",A47+3)),"")</f>
        <v/>
      </c>
      <c r="E49" s="89" t="str">
        <f ca="1">IFERROR(INDIRECT(CONCATENATE("Track1!E",A47+3)),"")</f>
        <v/>
      </c>
      <c r="F49" s="109">
        <f ca="1">IFERROR(INDIRECT(CONCATENATE("Track1!T",A47+3)),"")</f>
        <v>0</v>
      </c>
      <c r="G49" s="121" t="str">
        <f ca="1">IFERROR(INDIRECT(CONCATENATE("Track1!G",A47+3)),"")</f>
        <v/>
      </c>
      <c r="H49" s="66"/>
      <c r="I49" s="66">
        <f ca="1">IFERROR(INDIRECT(CONCATENATE("Track1!I",A47+3)),"")</f>
        <v>2</v>
      </c>
      <c r="J49" s="66">
        <f ca="1">IFERROR(INDIRECT(CONCATENATE("Track1!J",A47+3)),"")</f>
        <v>0</v>
      </c>
      <c r="K49" s="89" t="str">
        <f ca="1">IFERROR(INDIRECT(CONCATENATE("Track1!K",A47+3)),"")</f>
        <v/>
      </c>
      <c r="L49" s="89" t="str">
        <f ca="1">IFERROR(INDIRECT(CONCATENATE("Track1!L",A47+3)),"")</f>
        <v/>
      </c>
      <c r="M49" s="109">
        <f ca="1">IFERROR(INDIRECT(CONCATENATE("Track1!U",A47+3)),"")</f>
        <v>0</v>
      </c>
      <c r="N49" s="121" t="str">
        <f ca="1">IFERROR(INDIRECT(CONCATENATE("Track1!N",A47+3)),"")</f>
        <v/>
      </c>
      <c r="T49" s="64" t="str">
        <f t="shared" ca="1" si="0"/>
        <v/>
      </c>
      <c r="U49" s="64" t="str">
        <f t="shared" ca="1" si="1"/>
        <v/>
      </c>
      <c r="V49" s="422" t="str">
        <f ca="1">IF(OR(D49=0,D49="",D49="Athlete"),"",COUNTIF($D$4:$D49,D49))</f>
        <v/>
      </c>
      <c r="W49" s="422" t="str">
        <f t="shared" ca="1" si="2"/>
        <v/>
      </c>
      <c r="Z49" s="422" t="str">
        <f t="shared" ca="1" si="3"/>
        <v/>
      </c>
    </row>
    <row r="50" spans="1:26" x14ac:dyDescent="0.35">
      <c r="B50" s="66">
        <f ca="1">IFERROR(INDIRECT(CONCATENATE("Track1!B",A47+4)),"")</f>
        <v>3</v>
      </c>
      <c r="C50" s="66">
        <f ca="1">IFERROR(INDIRECT(CONCATENATE("Track1!C",A47+4)),"")</f>
        <v>0</v>
      </c>
      <c r="D50" s="89" t="str">
        <f ca="1">IFERROR(INDIRECT(CONCATENATE("Track1!D",A47+4)),"")</f>
        <v/>
      </c>
      <c r="E50" s="89" t="str">
        <f ca="1">IFERROR(INDIRECT(CONCATENATE("Track1!E",A47+4)),"")</f>
        <v/>
      </c>
      <c r="F50" s="109">
        <f ca="1">IFERROR(INDIRECT(CONCATENATE("Track1!T",A47+4)),"")</f>
        <v>0</v>
      </c>
      <c r="G50" s="121" t="str">
        <f ca="1">IFERROR(INDIRECT(CONCATENATE("Track1!G",A47+4)),"")</f>
        <v/>
      </c>
      <c r="H50" s="66"/>
      <c r="I50" s="66">
        <f ca="1">IFERROR(INDIRECT(CONCATENATE("Track1!I",A47+4)),"")</f>
        <v>3</v>
      </c>
      <c r="J50" s="66">
        <f ca="1">IFERROR(INDIRECT(CONCATENATE("Track1!J",A47+4)),"")</f>
        <v>0</v>
      </c>
      <c r="K50" s="89" t="str">
        <f ca="1">IFERROR(INDIRECT(CONCATENATE("Track1!K",A47+4)),"")</f>
        <v/>
      </c>
      <c r="L50" s="89" t="str">
        <f ca="1">IFERROR(INDIRECT(CONCATENATE("Track1!L",A47+4)),"")</f>
        <v/>
      </c>
      <c r="M50" s="109">
        <f ca="1">IFERROR(INDIRECT(CONCATENATE("Track1!U",A47+4)),"")</f>
        <v>0</v>
      </c>
      <c r="N50" s="121" t="str">
        <f ca="1">IFERROR(INDIRECT(CONCATENATE("Track1!N",A47+4)),"")</f>
        <v/>
      </c>
      <c r="T50" s="64" t="str">
        <f t="shared" ca="1" si="0"/>
        <v/>
      </c>
      <c r="U50" s="64" t="str">
        <f t="shared" ca="1" si="1"/>
        <v/>
      </c>
      <c r="V50" s="422" t="str">
        <f ca="1">IF(OR(D50=0,D50="",D50="Athlete"),"",COUNTIF($D$4:$D50,D50))</f>
        <v/>
      </c>
      <c r="W50" s="422" t="str">
        <f t="shared" ca="1" si="2"/>
        <v/>
      </c>
      <c r="Z50" s="422" t="str">
        <f t="shared" ca="1" si="3"/>
        <v/>
      </c>
    </row>
    <row r="51" spans="1:26" x14ac:dyDescent="0.35">
      <c r="B51" s="66">
        <f ca="1">IFERROR(INDIRECT(CONCATENATE("Track1!B",A47+5)),"")</f>
        <v>4</v>
      </c>
      <c r="C51" s="66">
        <f ca="1">IFERROR(INDIRECT(CONCATENATE("Track1!C",A47+5)),"")</f>
        <v>0</v>
      </c>
      <c r="D51" s="89" t="str">
        <f ca="1">IFERROR(INDIRECT(CONCATENATE("Track1!D",A47+5)),"")</f>
        <v/>
      </c>
      <c r="E51" s="89" t="str">
        <f ca="1">IFERROR(INDIRECT(CONCATENATE("Track1!E",A47+5)),"")</f>
        <v/>
      </c>
      <c r="F51" s="109">
        <f ca="1">IFERROR(INDIRECT(CONCATENATE("Track1!T",A47+5)),"")</f>
        <v>0</v>
      </c>
      <c r="G51" s="121" t="str">
        <f ca="1">IFERROR(INDIRECT(CONCATENATE("Track1!G",A47+5)),"")</f>
        <v/>
      </c>
      <c r="H51" s="66"/>
      <c r="I51" s="66">
        <f ca="1">IFERROR(INDIRECT(CONCATENATE("Track1!I",A47+5)),"")</f>
        <v>4</v>
      </c>
      <c r="J51" s="66">
        <f ca="1">IFERROR(INDIRECT(CONCATENATE("Track1!J",A47+5)),"")</f>
        <v>0</v>
      </c>
      <c r="K51" s="89" t="str">
        <f ca="1">IFERROR(INDIRECT(CONCATENATE("Track1!K",A47+5)),"")</f>
        <v/>
      </c>
      <c r="L51" s="89" t="str">
        <f ca="1">IFERROR(INDIRECT(CONCATENATE("Track1!L",A47+5)),"")</f>
        <v/>
      </c>
      <c r="M51" s="109">
        <f ca="1">IFERROR(INDIRECT(CONCATENATE("Track1!U",A47+5)),"")</f>
        <v>0</v>
      </c>
      <c r="N51" s="121" t="str">
        <f ca="1">IFERROR(INDIRECT(CONCATENATE("Track1!N",A47+5)),"")</f>
        <v/>
      </c>
      <c r="T51" s="64" t="str">
        <f t="shared" ca="1" si="0"/>
        <v/>
      </c>
      <c r="U51" s="64" t="str">
        <f t="shared" ca="1" si="1"/>
        <v/>
      </c>
      <c r="V51" s="422" t="str">
        <f ca="1">IF(OR(D51=0,D51="",D51="Athlete"),"",COUNTIF($D$4:$D51,D51))</f>
        <v/>
      </c>
      <c r="W51" s="422" t="str">
        <f t="shared" ca="1" si="2"/>
        <v/>
      </c>
      <c r="Z51" s="422" t="str">
        <f t="shared" ca="1" si="3"/>
        <v/>
      </c>
    </row>
    <row r="52" spans="1:26" x14ac:dyDescent="0.35">
      <c r="B52" s="66">
        <f ca="1">IFERROR(INDIRECT(CONCATENATE("Track1!B",A47+6)),"")</f>
        <v>5</v>
      </c>
      <c r="C52" s="66">
        <f ca="1">IFERROR(INDIRECT(CONCATENATE("Track1!C",A47+6)),"")</f>
        <v>0</v>
      </c>
      <c r="D52" s="89" t="str">
        <f ca="1">IFERROR(INDIRECT(CONCATENATE("Track1!D",A47+6)),"")</f>
        <v/>
      </c>
      <c r="E52" s="89" t="str">
        <f ca="1">IFERROR(INDIRECT(CONCATENATE("Track1!E",A47+6)),"")</f>
        <v/>
      </c>
      <c r="F52" s="109">
        <f ca="1">IFERROR(INDIRECT(CONCATENATE("Track1!T",A47+6)),"")</f>
        <v>0</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109">
        <f ca="1">IFERROR(INDIRECT(CONCATENATE("Track1!U",A47+6)),"")</f>
        <v>0</v>
      </c>
      <c r="N52" s="121" t="str">
        <f ca="1">IFERROR(INDIRECT(CONCATENATE("Track1!N",A47+6)),"")</f>
        <v/>
      </c>
      <c r="T52" s="64" t="str">
        <f t="shared" ca="1" si="0"/>
        <v/>
      </c>
      <c r="U52" s="64" t="str">
        <f t="shared" ca="1" si="1"/>
        <v/>
      </c>
      <c r="V52" s="422" t="str">
        <f ca="1">IF(OR(D52=0,D52="",D52="Athlete"),"",COUNTIF($D$4:$D52,D52))</f>
        <v/>
      </c>
      <c r="W52" s="422" t="str">
        <f t="shared" ca="1" si="2"/>
        <v/>
      </c>
      <c r="Z52" s="422" t="str">
        <f t="shared" ca="1" si="3"/>
        <v/>
      </c>
    </row>
    <row r="53" spans="1:26" x14ac:dyDescent="0.35">
      <c r="B53" s="66">
        <f ca="1">IFERROR(INDIRECT(CONCATENATE("Track1!B",A47+7)),"")</f>
        <v>6</v>
      </c>
      <c r="C53" s="66">
        <f ca="1">IFERROR(INDIRECT(CONCATENATE("Track1!C",A47+7)),"")</f>
        <v>0</v>
      </c>
      <c r="D53" s="89" t="str">
        <f ca="1">IFERROR(INDIRECT(CONCATENATE("Track1!D",A47+7)),"")</f>
        <v/>
      </c>
      <c r="E53" s="89" t="str">
        <f ca="1">IFERROR(INDIRECT(CONCATENATE("Track1!E",A47+7)),"")</f>
        <v/>
      </c>
      <c r="F53" s="109">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109">
        <f ca="1">IFERROR(INDIRECT(CONCATENATE("Track1!U",A47+7)),"")</f>
        <v>0</v>
      </c>
      <c r="N53" s="121" t="str">
        <f ca="1">IFERROR(INDIRECT(CONCATENATE("Track1!N",A47+7)),"")</f>
        <v/>
      </c>
      <c r="T53" s="64" t="str">
        <f t="shared" ca="1" si="0"/>
        <v/>
      </c>
      <c r="U53" s="64" t="str">
        <f t="shared" ca="1" si="1"/>
        <v/>
      </c>
      <c r="V53" s="422" t="str">
        <f ca="1">IF(OR(D53=0,D53="",D53="Athlete"),"",COUNTIF($D$4:$D53,D53))</f>
        <v/>
      </c>
      <c r="W53" s="422" t="str">
        <f t="shared" ca="1" si="2"/>
        <v/>
      </c>
      <c r="Z53" s="422" t="str">
        <f t="shared" ca="1" si="3"/>
        <v/>
      </c>
    </row>
    <row r="54" spans="1:26" x14ac:dyDescent="0.35">
      <c r="B54" s="66">
        <f ca="1">IFERROR(INDIRECT(CONCATENATE("Track1!B",A47+8)),"")</f>
        <v>7</v>
      </c>
      <c r="C54" s="66">
        <f ca="1">IFERROR(INDIRECT(CONCATENATE("Track1!C",A47+8)),"")</f>
        <v>0</v>
      </c>
      <c r="D54" s="89" t="str">
        <f ca="1">IFERROR(INDIRECT(CONCATENATE("Track1!D",A47+8)),"")</f>
        <v/>
      </c>
      <c r="E54" s="89" t="str">
        <f ca="1">IFERROR(INDIRECT(CONCATENATE("Track1!E",A47+8)),"")</f>
        <v/>
      </c>
      <c r="F54" s="109">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109">
        <f ca="1">IFERROR(INDIRECT(CONCATENATE("Track1!U",A47+8)),"")</f>
        <v>0</v>
      </c>
      <c r="N54" s="121" t="str">
        <f ca="1">IFERROR(INDIRECT(CONCATENATE("Track1!N",A47+8)),"")</f>
        <v/>
      </c>
      <c r="T54" s="64" t="str">
        <f t="shared" ca="1" si="0"/>
        <v/>
      </c>
      <c r="U54" s="64" t="str">
        <f t="shared" ca="1" si="1"/>
        <v/>
      </c>
      <c r="V54" s="422" t="str">
        <f ca="1">IF(OR(D54=0,D54="",D54="Athlete"),"",COUNTIF($D$4:$D54,D54))</f>
        <v/>
      </c>
      <c r="W54" s="422" t="str">
        <f t="shared" ca="1" si="2"/>
        <v/>
      </c>
      <c r="Z54" s="422" t="str">
        <f t="shared" ca="1" si="3"/>
        <v/>
      </c>
    </row>
    <row r="55" spans="1:26" x14ac:dyDescent="0.35">
      <c r="B55" s="66">
        <f ca="1">IFERROR(INDIRECT(CONCATENATE("Track1!B",A47+9)),"")</f>
        <v>8</v>
      </c>
      <c r="C55" s="66">
        <f ca="1">IFERROR(INDIRECT(CONCATENATE("Track1!C",A47+9)),"")</f>
        <v>0</v>
      </c>
      <c r="D55" s="89" t="str">
        <f ca="1">IFERROR(INDIRECT(CONCATENATE("Track1!D",A47+9)),"")</f>
        <v/>
      </c>
      <c r="E55" s="89" t="str">
        <f ca="1">IFERROR(INDIRECT(CONCATENATE("Track1!E",A47+9)),"")</f>
        <v/>
      </c>
      <c r="F55" s="109">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109">
        <f ca="1">IFERROR(INDIRECT(CONCATENATE("Track1!U",A47+9)),"")</f>
        <v>0</v>
      </c>
      <c r="N55" s="121" t="str">
        <f ca="1">IFERROR(INDIRECT(CONCATENATE("Track1!N",A47+9)),"")</f>
        <v/>
      </c>
      <c r="T55" s="64" t="str">
        <f t="shared" ca="1" si="0"/>
        <v/>
      </c>
      <c r="U55" s="64" t="str">
        <f t="shared" ca="1" si="1"/>
        <v/>
      </c>
      <c r="V55" s="422" t="str">
        <f ca="1">IF(OR(D55=0,D55="",D55="Athlete"),"",COUNTIF($D$4:$D55,D55))</f>
        <v/>
      </c>
      <c r="W55" s="422" t="str">
        <f t="shared" ca="1" si="2"/>
        <v/>
      </c>
      <c r="Z55" s="422" t="str">
        <f t="shared" ca="1" si="3"/>
        <v/>
      </c>
    </row>
    <row r="56" spans="1:26" x14ac:dyDescent="0.35">
      <c r="T56" s="64" t="str">
        <f t="shared" si="0"/>
        <v/>
      </c>
      <c r="U56" s="64" t="str">
        <f t="shared" si="1"/>
        <v/>
      </c>
      <c r="V56" s="422" t="str">
        <f>IF(OR(D56=0,D56="",D56="Athlete"),"",COUNTIF($D$4:$D56,D56))</f>
        <v/>
      </c>
      <c r="W56" s="422" t="str">
        <f t="shared" si="2"/>
        <v/>
      </c>
      <c r="Z56" s="422" t="str">
        <f t="shared" si="3"/>
        <v/>
      </c>
    </row>
    <row r="57" spans="1:26" x14ac:dyDescent="0.35">
      <c r="A57" s="66" t="s">
        <v>310</v>
      </c>
      <c r="B57" s="115" t="str">
        <f ca="1">IFERROR(INDIRECT(CONCATENATE("Track2!B",A58)),"")</f>
        <v>1500m U13 Boys A</v>
      </c>
      <c r="G57" s="121">
        <f ca="1">IFERROR(INDIRECT(CONCATENATE("Track2!g",A58)),"")</f>
        <v>0</v>
      </c>
      <c r="I57" s="115" t="str">
        <f ca="1">IFERROR(INDIRECT(CONCATENATE("Track2!I",A58)),"")</f>
        <v>1500m U13 Boys B</v>
      </c>
      <c r="T57" s="64" t="str">
        <f t="shared" si="0"/>
        <v/>
      </c>
      <c r="U57" s="64" t="str">
        <f t="shared" si="1"/>
        <v/>
      </c>
      <c r="V57" s="422" t="str">
        <f>IF(OR(D57=0,D57="",D57="Athlete"),"",COUNTIF($D$4:$D57,D57))</f>
        <v/>
      </c>
      <c r="W57" s="422" t="str">
        <f t="shared" si="2"/>
        <v/>
      </c>
      <c r="Z57" s="422" t="str">
        <f t="shared" ca="1" si="3"/>
        <v/>
      </c>
    </row>
    <row r="58" spans="1:26" x14ac:dyDescent="0.35">
      <c r="A58" s="66">
        <f>IFERROR(MATCH(A57,Track2!A:A,0),"")</f>
        <v>13</v>
      </c>
      <c r="B58" s="45" t="str">
        <f ca="1">IFERROR(INDIRECT(CONCATENATE("Track2!B",A58+1)),"")</f>
        <v>Posn</v>
      </c>
      <c r="C58" s="45" t="str">
        <f ca="1">IFERROR(INDIRECT(CONCATENATE("Track2!C",A58+1)),"")</f>
        <v>No.</v>
      </c>
      <c r="D58" s="182" t="str">
        <f ca="1">IFERROR(INDIRECT(CONCATENATE("Track2!D",A58+1)),"")</f>
        <v>Athlete</v>
      </c>
      <c r="E58" s="182" t="str">
        <f ca="1">IFERROR(INDIRECT(CONCATENATE("Track2!E",A58+1)),"")</f>
        <v>Club</v>
      </c>
      <c r="F58" s="149" t="str">
        <f ca="1">IFERROR(INDIRECT(CONCATENATE("Track2!F",A58+1)),"")</f>
        <v>Perf</v>
      </c>
      <c r="G58" s="218" t="str">
        <f ca="1">IFERROR(INDIRECT(CONCATENATE("Track2!G",A58+1)),"")</f>
        <v>AAA</v>
      </c>
      <c r="H58" s="45"/>
      <c r="I58" s="45" t="str">
        <f ca="1">IFERROR(INDIRECT(CONCATENATE("Track2!I",A58+1)),"")</f>
        <v>Posn</v>
      </c>
      <c r="J58" s="45" t="str">
        <f ca="1">IFERROR(INDIRECT(CONCATENATE("Track2!J",A58+1)),"")</f>
        <v>No.</v>
      </c>
      <c r="K58" s="182" t="str">
        <f ca="1">IFERROR(INDIRECT(CONCATENATE("Track2!K",A58+1)),"")</f>
        <v>Athlete</v>
      </c>
      <c r="L58" s="182" t="str">
        <f ca="1">IFERROR(INDIRECT(CONCATENATE("Track2!L",A58+1)),"")</f>
        <v>Club</v>
      </c>
      <c r="M58" s="149" t="str">
        <f ca="1">IFERROR(INDIRECT(CONCATENATE("Track2!M",A58+1)),"")</f>
        <v>Perf</v>
      </c>
      <c r="N58" s="218" t="str">
        <f ca="1">IFERROR(INDIRECT(CONCATENATE("Track2!N",A58+1)),"")</f>
        <v>AAA</v>
      </c>
      <c r="T58" s="64" t="str">
        <f t="shared" ca="1" si="0"/>
        <v/>
      </c>
      <c r="U58" s="64" t="str">
        <f t="shared" ca="1" si="1"/>
        <v/>
      </c>
      <c r="V58" s="422" t="str">
        <f ca="1">IF(OR(D58=0,D58="",D58="Athlete"),"",COUNTIF($D$4:$D58,D58))</f>
        <v/>
      </c>
      <c r="W58" s="422" t="str">
        <f t="shared" ca="1" si="2"/>
        <v/>
      </c>
      <c r="Z58" s="422">
        <f t="shared" ca="1" si="3"/>
        <v>0</v>
      </c>
    </row>
    <row r="59" spans="1:26" x14ac:dyDescent="0.35">
      <c r="B59" s="66">
        <f ca="1">IFERROR(INDIRECT(CONCATENATE("Track2!B",A58+2)),"")</f>
        <v>1</v>
      </c>
      <c r="C59" s="66">
        <f ca="1">IFERROR(INDIRECT(CONCATENATE("Track2!C",A58+2)),"")</f>
        <v>4</v>
      </c>
      <c r="D59" s="89" t="str">
        <f ca="1">IFERROR(INDIRECT(CONCATENATE("Track2!D",A58+2)),"")</f>
        <v>O'HARE Christy</v>
      </c>
      <c r="E59" s="89" t="str">
        <f ca="1">IFERROR(INDIRECT(CONCATENATE("Track2!E",A58+2)),"")</f>
        <v>M'bro</v>
      </c>
      <c r="F59" s="109">
        <f ca="1">IFERROR(INDIRECT(CONCATENATE("Track2!F",A58+2)),"")</f>
        <v>3.4664351851851852E-3</v>
      </c>
      <c r="G59" s="121" t="str">
        <f ca="1">IFERROR(INDIRECT(CONCATENATE("Track2!G",A58+2)),"")</f>
        <v/>
      </c>
      <c r="H59" s="66"/>
      <c r="I59" s="66">
        <f ca="1">IFERROR(INDIRECT(CONCATENATE("Track2!I",A58+2)),"")</f>
        <v>1</v>
      </c>
      <c r="J59" s="66">
        <f ca="1">IFERROR(INDIRECT(CONCATENATE("Track2!J",A58+2)),"")</f>
        <v>44</v>
      </c>
      <c r="K59" s="89" t="str">
        <f ca="1">IFERROR(INDIRECT(CONCATENATE("Track2!K",A58+2)),"")</f>
        <v>MARRON Ethan</v>
      </c>
      <c r="L59" s="89" t="str">
        <f ca="1">IFERROR(INDIRECT(CONCATENATE("Track2!L",A58+2)),"")</f>
        <v>M'bro</v>
      </c>
      <c r="M59" s="109">
        <f ca="1">IFERROR(INDIRECT(CONCATENATE("Track2!M",A58+2)),"")</f>
        <v>3.7465277777777774E-3</v>
      </c>
      <c r="N59" s="121" t="str">
        <f ca="1">IFERROR(INDIRECT(CONCATENATE("Track2!N",A58+2)),"")</f>
        <v/>
      </c>
      <c r="R59" s="219">
        <f ca="1">IFERROR(INDIRECT(CONCATENATE("Track2!r",A58+2)),"")</f>
        <v>1</v>
      </c>
      <c r="T59" s="64">
        <f t="shared" ca="1" si="0"/>
        <v>1</v>
      </c>
      <c r="U59" s="64">
        <f t="shared" ca="1" si="1"/>
        <v>1</v>
      </c>
      <c r="V59" s="422">
        <f ca="1">IF(OR(D59=0,D59="",D59="Athlete"),"",COUNTIF($D$4:$D59,D59))</f>
        <v>1</v>
      </c>
      <c r="W59" s="422" t="str">
        <f t="shared" ca="1" si="2"/>
        <v>M'bro</v>
      </c>
      <c r="Z59" s="422" t="str">
        <f t="shared" ca="1" si="3"/>
        <v/>
      </c>
    </row>
    <row r="60" spans="1:26" x14ac:dyDescent="0.35">
      <c r="B60" s="66">
        <f ca="1">IFERROR(INDIRECT(CONCATENATE("Track2!B",A58+3)),"")</f>
        <v>2</v>
      </c>
      <c r="C60" s="66">
        <f ca="1">IFERROR(INDIRECT(CONCATENATE("Track2!C",A58+3)),"")</f>
        <v>2</v>
      </c>
      <c r="D60" s="89" t="str">
        <f ca="1">IFERROR(INDIRECT(CONCATENATE("Track2!D",A58+3)),"")</f>
        <v>TAYLOR George</v>
      </c>
      <c r="E60" s="89" t="str">
        <f ca="1">IFERROR(INDIRECT(CONCATENATE("Track2!E",A58+3)),"")</f>
        <v>Sheff+D</v>
      </c>
      <c r="F60" s="109">
        <f ca="1">IFERROR(INDIRECT(CONCATENATE("Track2!F",A58+3)),"")</f>
        <v>3.8229166666666667E-3</v>
      </c>
      <c r="G60" s="121" t="str">
        <f ca="1">IFERROR(INDIRECT(CONCATENATE("Track2!G",A58+3)),"")</f>
        <v/>
      </c>
      <c r="H60" s="66"/>
      <c r="I60" s="66">
        <f ca="1">IFERROR(INDIRECT(CONCATENATE("Track2!I",A58+3)),"")</f>
        <v>2</v>
      </c>
      <c r="J60" s="66">
        <f ca="1">IFERROR(INDIRECT(CONCATENATE("Track2!J",A58+3)),"")</f>
        <v>33</v>
      </c>
      <c r="K60" s="89" t="str">
        <f ca="1">IFERROR(INDIRECT(CONCATENATE("Track2!K",A58+3)),"")</f>
        <v>WATSON Miles</v>
      </c>
      <c r="L60" s="89" t="str">
        <f ca="1">IFERROR(INDIRECT(CONCATENATE("Track2!L",A58+3)),"")</f>
        <v>York</v>
      </c>
      <c r="M60" s="109">
        <f ca="1">IFERROR(INDIRECT(CONCATENATE("Track2!M",A58+3)),"")</f>
        <v>4.0185185185185194E-3</v>
      </c>
      <c r="N60" s="121" t="str">
        <f ca="1">IFERROR(INDIRECT(CONCATENATE("Track2!N",A58+3)),"")</f>
        <v/>
      </c>
      <c r="T60" s="64">
        <f t="shared" ca="1" si="0"/>
        <v>1</v>
      </c>
      <c r="U60" s="64">
        <f t="shared" ca="1" si="1"/>
        <v>1</v>
      </c>
      <c r="V60" s="422">
        <f ca="1">IF(OR(D60=0,D60="",D60="Athlete"),"",COUNTIF($D$4:$D60,D60))</f>
        <v>1</v>
      </c>
      <c r="W60" s="422" t="str">
        <f t="shared" ca="1" si="2"/>
        <v>Sheff+D</v>
      </c>
      <c r="Z60" s="422" t="str">
        <f t="shared" ca="1" si="3"/>
        <v/>
      </c>
    </row>
    <row r="61" spans="1:26" x14ac:dyDescent="0.35">
      <c r="B61" s="66">
        <f ca="1">IFERROR(INDIRECT(CONCATENATE("Track2!B",A58+4)),"")</f>
        <v>3</v>
      </c>
      <c r="C61" s="66">
        <f ca="1">IFERROR(INDIRECT(CONCATENATE("Track2!C",A58+4)),"")</f>
        <v>3</v>
      </c>
      <c r="D61" s="89" t="str">
        <f ca="1">IFERROR(INDIRECT(CONCATENATE("Track2!D",A58+4)),"")</f>
        <v>CHALK William</v>
      </c>
      <c r="E61" s="89" t="str">
        <f ca="1">IFERROR(INDIRECT(CONCATENATE("Track2!E",A58+4)),"")</f>
        <v>York</v>
      </c>
      <c r="F61" s="109">
        <f ca="1">IFERROR(INDIRECT(CONCATENATE("Track2!F",A58+4)),"")</f>
        <v>3.9027777777777776E-3</v>
      </c>
      <c r="G61" s="121" t="str">
        <f ca="1">IFERROR(INDIRECT(CONCATENATE("Track2!G",A58+4)),"")</f>
        <v/>
      </c>
      <c r="H61" s="66"/>
      <c r="I61" s="66">
        <f ca="1">IFERROR(INDIRECT(CONCATENATE("Track2!I",A58+4)),"")</f>
        <v>3</v>
      </c>
      <c r="J61" s="66">
        <f ca="1">IFERROR(INDIRECT(CONCATENATE("Track2!J",A58+4)),"")</f>
        <v>22</v>
      </c>
      <c r="K61" s="89" t="str">
        <f ca="1">IFERROR(INDIRECT(CONCATENATE("Track2!K",A58+4)),"")</f>
        <v>ENGLISH Elliott</v>
      </c>
      <c r="L61" s="89" t="str">
        <f ca="1">IFERROR(INDIRECT(CONCATENATE("Track2!L",A58+4)),"")</f>
        <v>Sheff+D</v>
      </c>
      <c r="M61" s="109">
        <f ca="1">IFERROR(INDIRECT(CONCATENATE("Track2!M",A58+4)),"")</f>
        <v>4.1481481481481482E-3</v>
      </c>
      <c r="N61" s="121" t="str">
        <f ca="1">IFERROR(INDIRECT(CONCATENATE("Track2!N",A58+4)),"")</f>
        <v/>
      </c>
      <c r="T61" s="64">
        <f t="shared" ca="1" si="0"/>
        <v>1</v>
      </c>
      <c r="U61" s="64">
        <f t="shared" ca="1" si="1"/>
        <v>1</v>
      </c>
      <c r="V61" s="422">
        <f ca="1">IF(OR(D61=0,D61="",D61="Athlete"),"",COUNTIF($D$4:$D61,D61))</f>
        <v>1</v>
      </c>
      <c r="W61" s="422" t="str">
        <f t="shared" ca="1" si="2"/>
        <v>York</v>
      </c>
      <c r="Z61" s="422" t="str">
        <f t="shared" ca="1" si="3"/>
        <v/>
      </c>
    </row>
    <row r="62" spans="1:26" x14ac:dyDescent="0.35">
      <c r="B62" s="66" t="str">
        <f ca="1">IFERROR(INDIRECT(CONCATENATE("Track2!B",A58+5)),"")</f>
        <v>4=</v>
      </c>
      <c r="C62" s="66">
        <f ca="1">IFERROR(INDIRECT(CONCATENATE("Track2!C",A58+5)),"")</f>
        <v>5</v>
      </c>
      <c r="D62" s="89" t="str">
        <f ca="1">IFERROR(INDIRECT(CONCATENATE("Track2!D",A58+5)),"")</f>
        <v>OADES James</v>
      </c>
      <c r="E62" s="89" t="str">
        <f ca="1">IFERROR(INDIRECT(CONCATENATE("Track2!E",A58+5)),"")</f>
        <v>Scun</v>
      </c>
      <c r="F62" s="109">
        <f ca="1">IFERROR(INDIRECT(CONCATENATE("Track2!F",A58+5)),"")</f>
        <v>4.0381944444444441E-3</v>
      </c>
      <c r="G62" s="121" t="str">
        <f ca="1">IFERROR(INDIRECT(CONCATENATE("Track2!G",A58+5)),"")</f>
        <v/>
      </c>
      <c r="H62" s="66"/>
      <c r="I62" s="66">
        <f ca="1">IFERROR(INDIRECT(CONCATENATE("Track2!I",A58+5)),"")</f>
        <v>4</v>
      </c>
      <c r="J62" s="66" t="str">
        <f ca="1">IFERROR(INDIRECT(CONCATENATE("Track2!J",A58+5)),"")</f>
        <v/>
      </c>
      <c r="K62" s="89" t="str">
        <f ca="1">IFERROR(INDIRECT(CONCATENATE("Track2!K",A58+5)),"")</f>
        <v/>
      </c>
      <c r="L62" s="89" t="str">
        <f ca="1">IFERROR(INDIRECT(CONCATENATE("Track2!L",A58+5)),"")</f>
        <v/>
      </c>
      <c r="M62" s="109" t="str">
        <f ca="1">IFERROR(INDIRECT(CONCATENATE("Track2!M",A58+5)),"")</f>
        <v/>
      </c>
      <c r="N62" s="121" t="str">
        <f ca="1">IFERROR(INDIRECT(CONCATENATE("Track2!N",A58+5)),"")</f>
        <v/>
      </c>
      <c r="T62" s="64">
        <f t="shared" ca="1" si="0"/>
        <v>2</v>
      </c>
      <c r="U62" s="64" t="str">
        <f t="shared" ca="1" si="1"/>
        <v/>
      </c>
      <c r="V62" s="422">
        <f ca="1">IF(OR(D62=0,D62="",D62="Athlete"),"",COUNTIF($D$4:$D62,D62))</f>
        <v>1</v>
      </c>
      <c r="W62" s="422" t="str">
        <f t="shared" ca="1" si="2"/>
        <v>Scun</v>
      </c>
      <c r="Z62" s="422" t="str">
        <f t="shared" ca="1" si="3"/>
        <v/>
      </c>
    </row>
    <row r="63" spans="1:26" x14ac:dyDescent="0.35">
      <c r="B63" s="66" t="str">
        <f ca="1">IFERROR(INDIRECT(CONCATENATE("Track2!B",A58+6)),"")</f>
        <v>4=</v>
      </c>
      <c r="C63" s="66" t="str">
        <f ca="1">IFERROR(INDIRECT(CONCATENATE("Track2!C",A58+6)),"")</f>
        <v/>
      </c>
      <c r="D63" s="89" t="str">
        <f ca="1">IFERROR(INDIRECT(CONCATENATE("Track2!D",A58+6)),"")</f>
        <v/>
      </c>
      <c r="E63" s="89" t="str">
        <f ca="1">IFERROR(INDIRECT(CONCATENATE("Track2!E",A58+6)),"")</f>
        <v/>
      </c>
      <c r="F63" s="109" t="str">
        <f ca="1">IFERROR(INDIRECT(CONCATENATE("Track2!F",A58+6)),"")</f>
        <v/>
      </c>
      <c r="G63" s="121" t="str">
        <f ca="1">IFERROR(INDIRECT(CONCATENATE("Track2!G",A58+6)),"")</f>
        <v/>
      </c>
      <c r="H63" s="66"/>
      <c r="I63" s="66">
        <f ca="1">IFERROR(INDIRECT(CONCATENATE("Track2!I",A58+6)),"")</f>
        <v>5</v>
      </c>
      <c r="J63" s="66" t="str">
        <f ca="1">IFERROR(INDIRECT(CONCATENATE("Track2!J",A58+6)),"")</f>
        <v/>
      </c>
      <c r="K63" s="89" t="str">
        <f ca="1">IFERROR(INDIRECT(CONCATENATE("Track2!K",A58+6)),"")</f>
        <v/>
      </c>
      <c r="L63" s="89" t="str">
        <f ca="1">IFERROR(INDIRECT(CONCATENATE("Track2!L",A58+6)),"")</f>
        <v/>
      </c>
      <c r="M63" s="109" t="str">
        <f ca="1">IFERROR(INDIRECT(CONCATENATE("Track2!M",A58+6)),"")</f>
        <v/>
      </c>
      <c r="N63" s="121" t="str">
        <f ca="1">IFERROR(INDIRECT(CONCATENATE("Track2!N",A58+6)),"")</f>
        <v/>
      </c>
      <c r="T63" s="64" t="str">
        <f t="shared" ca="1" si="0"/>
        <v/>
      </c>
      <c r="U63" s="64" t="str">
        <f t="shared" ca="1" si="1"/>
        <v/>
      </c>
      <c r="V63" s="422" t="str">
        <f ca="1">IF(OR(D63=0,D63="",D63="Athlete"),"",COUNTIF($D$4:$D63,D63))</f>
        <v/>
      </c>
      <c r="W63" s="422" t="str">
        <f t="shared" ca="1" si="2"/>
        <v/>
      </c>
      <c r="Z63" s="422" t="str">
        <f t="shared" ca="1" si="3"/>
        <v/>
      </c>
    </row>
    <row r="64" spans="1:26" x14ac:dyDescent="0.35">
      <c r="B64" s="66">
        <f ca="1">IFERROR(INDIRECT(CONCATENATE("Track2!B",A58+7)),"")</f>
        <v>6</v>
      </c>
      <c r="C64" s="66" t="str">
        <f ca="1">IFERROR(INDIRECT(CONCATENATE("Track2!C",A58+7)),"")</f>
        <v/>
      </c>
      <c r="D64" s="89" t="str">
        <f ca="1">IFERROR(INDIRECT(CONCATENATE("Track2!D",A58+7)),"")</f>
        <v/>
      </c>
      <c r="E64" s="89" t="str">
        <f ca="1">IFERROR(INDIRECT(CONCATENATE("Track2!E",A58+7)),"")</f>
        <v/>
      </c>
      <c r="F64" s="109" t="str">
        <f ca="1">IFERROR(INDIRECT(CONCATENATE("Track2!F",A58+7)),"")</f>
        <v/>
      </c>
      <c r="G64" s="121" t="str">
        <f ca="1">IFERROR(INDIRECT(CONCATENATE("Track2!G",A58+7)),"")</f>
        <v/>
      </c>
      <c r="H64" s="66"/>
      <c r="I64" s="66">
        <f ca="1">IFERROR(INDIRECT(CONCATENATE("Track2!I",A58+7)),"")</f>
        <v>6</v>
      </c>
      <c r="J64" s="66" t="str">
        <f ca="1">IFERROR(INDIRECT(CONCATENATE("Track2!J",A58+7)),"")</f>
        <v/>
      </c>
      <c r="K64" s="89" t="str">
        <f ca="1">IFERROR(INDIRECT(CONCATENATE("Track2!K",A58+7)),"")</f>
        <v/>
      </c>
      <c r="L64" s="89" t="str">
        <f ca="1">IFERROR(INDIRECT(CONCATENATE("Track2!L",A58+7)),"")</f>
        <v/>
      </c>
      <c r="M64" s="109" t="str">
        <f ca="1">IFERROR(INDIRECT(CONCATENATE("Track2!M",A58+7)),"")</f>
        <v/>
      </c>
      <c r="N64" s="121" t="str">
        <f ca="1">IFERROR(INDIRECT(CONCATENATE("Track2!N",A58+7)),"")</f>
        <v/>
      </c>
      <c r="T64" s="64" t="str">
        <f t="shared" ca="1" si="0"/>
        <v/>
      </c>
      <c r="U64" s="64" t="str">
        <f t="shared" ca="1" si="1"/>
        <v/>
      </c>
      <c r="V64" s="422" t="str">
        <f ca="1">IF(OR(D64=0,D64="",D64="Athlete"),"",COUNTIF($D$4:$D64,D64))</f>
        <v/>
      </c>
      <c r="W64" s="422" t="str">
        <f t="shared" ca="1" si="2"/>
        <v/>
      </c>
      <c r="Z64" s="422" t="str">
        <f t="shared" ca="1" si="3"/>
        <v/>
      </c>
    </row>
    <row r="65" spans="1:26" x14ac:dyDescent="0.35">
      <c r="B65" s="66">
        <f ca="1">IFERROR(INDIRECT(CONCATENATE("Track2!B",A58+8)),"")</f>
        <v>7</v>
      </c>
      <c r="C65" s="66" t="str">
        <f ca="1">IFERROR(INDIRECT(CONCATENATE("Track2!C",A58+8)),"")</f>
        <v/>
      </c>
      <c r="D65" s="89" t="str">
        <f ca="1">IFERROR(INDIRECT(CONCATENATE("Track2!D",A58+8)),"")</f>
        <v/>
      </c>
      <c r="E65" s="89" t="str">
        <f ca="1">IFERROR(INDIRECT(CONCATENATE("Track2!E",A58+8)),"")</f>
        <v/>
      </c>
      <c r="F65" s="109" t="str">
        <f ca="1">IFERROR(INDIRECT(CONCATENATE("Track2!F",A58+8)),"")</f>
        <v/>
      </c>
      <c r="G65" s="121" t="str">
        <f ca="1">IFERROR(INDIRECT(CONCATENATE("Track2!G",A58+8)),"")</f>
        <v/>
      </c>
      <c r="H65" s="66"/>
      <c r="I65" s="66">
        <f ca="1">IFERROR(INDIRECT(CONCATENATE("Track2!I",A58+8)),"")</f>
        <v>7</v>
      </c>
      <c r="J65" s="66" t="str">
        <f ca="1">IFERROR(INDIRECT(CONCATENATE("Track2!J",A58+8)),"")</f>
        <v/>
      </c>
      <c r="K65" s="89" t="str">
        <f ca="1">IFERROR(INDIRECT(CONCATENATE("Track2!K",A58+8)),"")</f>
        <v/>
      </c>
      <c r="L65" s="89" t="str">
        <f ca="1">IFERROR(INDIRECT(CONCATENATE("Track2!L",A58+8)),"")</f>
        <v/>
      </c>
      <c r="M65" s="109" t="str">
        <f ca="1">IFERROR(INDIRECT(CONCATENATE("Track2!M",A58+8)),"")</f>
        <v/>
      </c>
      <c r="N65" s="121" t="str">
        <f ca="1">IFERROR(INDIRECT(CONCATENATE("Track2!N",A58+8)),"")</f>
        <v/>
      </c>
      <c r="T65" s="64" t="str">
        <f t="shared" ca="1" si="0"/>
        <v/>
      </c>
      <c r="U65" s="64" t="str">
        <f t="shared" ca="1" si="1"/>
        <v/>
      </c>
      <c r="V65" s="422" t="str">
        <f ca="1">IF(OR(D65=0,D65="",D65="Athlete"),"",COUNTIF($D$4:$D65,D65))</f>
        <v/>
      </c>
      <c r="W65" s="422" t="str">
        <f t="shared" ca="1" si="2"/>
        <v/>
      </c>
      <c r="Z65" s="422" t="str">
        <f t="shared" ca="1" si="3"/>
        <v/>
      </c>
    </row>
    <row r="66" spans="1:26" x14ac:dyDescent="0.35">
      <c r="B66" s="66">
        <f ca="1">IFERROR(INDIRECT(CONCATENATE("Track2!B",A58+9)),"")</f>
        <v>8</v>
      </c>
      <c r="C66" s="66" t="str">
        <f ca="1">IFERROR(INDIRECT(CONCATENATE("Track2!C",A58+9)),"")</f>
        <v/>
      </c>
      <c r="D66" s="89" t="str">
        <f ca="1">IFERROR(INDIRECT(CONCATENATE("Track2!D",A58+9)),"")</f>
        <v/>
      </c>
      <c r="E66" s="89" t="str">
        <f ca="1">IFERROR(INDIRECT(CONCATENATE("Track2!E",A58+9)),"")</f>
        <v/>
      </c>
      <c r="F66" s="109" t="str">
        <f ca="1">IFERROR(INDIRECT(CONCATENATE("Track2!F",A58+9)),"")</f>
        <v/>
      </c>
      <c r="G66" s="121" t="str">
        <f ca="1">IFERROR(INDIRECT(CONCATENATE("Track2!G",A58+9)),"")</f>
        <v/>
      </c>
      <c r="H66" s="66"/>
      <c r="I66" s="66">
        <f ca="1">IFERROR(INDIRECT(CONCATENATE("Track2!I",A58+9)),"")</f>
        <v>8</v>
      </c>
      <c r="J66" s="66" t="str">
        <f ca="1">IFERROR(INDIRECT(CONCATENATE("Track2!J",A58+9)),"")</f>
        <v/>
      </c>
      <c r="K66" s="89" t="str">
        <f ca="1">IFERROR(INDIRECT(CONCATENATE("Track2!K",A58+9)),"")</f>
        <v/>
      </c>
      <c r="L66" s="89" t="str">
        <f ca="1">IFERROR(INDIRECT(CONCATENATE("Track2!L",A58+9)),"")</f>
        <v/>
      </c>
      <c r="M66" s="109" t="str">
        <f ca="1">IFERROR(INDIRECT(CONCATENATE("Track2!M",A58+9)),"")</f>
        <v/>
      </c>
      <c r="N66" s="121" t="str">
        <f ca="1">IFERROR(INDIRECT(CONCATENATE("Track2!N",A58+9)),"")</f>
        <v/>
      </c>
      <c r="T66" s="64" t="str">
        <f t="shared" ca="1" si="0"/>
        <v/>
      </c>
      <c r="U66" s="64" t="str">
        <f t="shared" ca="1" si="1"/>
        <v/>
      </c>
      <c r="V66" s="422" t="str">
        <f ca="1">IF(OR(D66=0,D66="",D66="Athlete"),"",COUNTIF($D$4:$D66,D66))</f>
        <v/>
      </c>
      <c r="W66" s="422" t="str">
        <f t="shared" ca="1" si="2"/>
        <v/>
      </c>
      <c r="Z66" s="422" t="str">
        <f t="shared" ca="1" si="3"/>
        <v/>
      </c>
    </row>
    <row r="67" spans="1:26" x14ac:dyDescent="0.35">
      <c r="T67" s="64" t="str">
        <f t="shared" si="0"/>
        <v/>
      </c>
      <c r="U67" s="64" t="str">
        <f t="shared" si="1"/>
        <v/>
      </c>
      <c r="V67" s="422" t="str">
        <f>IF(OR(D67=0,D67="",D67="Athlete"),"",COUNTIF($D$4:$D67,D67))</f>
        <v/>
      </c>
      <c r="W67" s="422" t="str">
        <f t="shared" si="2"/>
        <v/>
      </c>
      <c r="Z67" s="422" t="str">
        <f t="shared" si="3"/>
        <v/>
      </c>
    </row>
    <row r="68" spans="1:26" x14ac:dyDescent="0.35">
      <c r="A68" s="66" t="s">
        <v>33</v>
      </c>
      <c r="B68" s="115" t="str">
        <f ca="1">IFERROR(INDIRECT(CONCATENATE("Track1!B",A69)),"")</f>
        <v>75m Hurdles U13 Boys A</v>
      </c>
      <c r="E68" s="89" t="s">
        <v>259</v>
      </c>
      <c r="F68" s="400">
        <f ca="1">IFERROR(INDIRECT(CONCATENATE("Track1!f",A69)),"")</f>
        <v>0</v>
      </c>
      <c r="G68" s="121" t="str">
        <f ca="1">IFERROR(INDIRECT(CONCATENATE("Track1!g",A69)),"")</f>
        <v/>
      </c>
      <c r="I68" s="115" t="str">
        <f ca="1">IFERROR(INDIRECT(CONCATENATE("Track1!I",A69)),"")</f>
        <v>75m Hurdles U13 Boys B</v>
      </c>
      <c r="L68" s="89" t="s">
        <v>259</v>
      </c>
      <c r="M68" s="299">
        <f ca="1">IFERROR(INDIRECT(CONCATENATE("Track1!M",A69)),"")</f>
        <v>0</v>
      </c>
      <c r="T68" s="64" t="str">
        <f t="shared" si="0"/>
        <v/>
      </c>
      <c r="U68" s="64" t="str">
        <f t="shared" si="1"/>
        <v/>
      </c>
      <c r="V68" s="422" t="str">
        <f>IF(OR(D68=0,D68="",D68="Athlete"),"",COUNTIF($D$4:$D68,D68))</f>
        <v/>
      </c>
      <c r="W68" s="422" t="str">
        <f t="shared" si="2"/>
        <v/>
      </c>
      <c r="Z68" s="422" t="str">
        <f t="shared" ca="1" si="3"/>
        <v/>
      </c>
    </row>
    <row r="69" spans="1:26" x14ac:dyDescent="0.35">
      <c r="A69" s="66">
        <f>IFERROR(MATCH(A68,Track1!A:A,0),"")</f>
        <v>13</v>
      </c>
      <c r="B69" s="45" t="str">
        <f ca="1">IFERROR(INDIRECT(CONCATENATE("Track1!B",A69+1)),"")</f>
        <v>Posn</v>
      </c>
      <c r="C69" s="45" t="str">
        <f ca="1">IFERROR(INDIRECT(CONCATENATE("Track1!C",A69+1)),"")</f>
        <v>No.</v>
      </c>
      <c r="D69" s="182" t="str">
        <f ca="1">IFERROR(INDIRECT(CONCATENATE("Track1!D",A69+1)),"")</f>
        <v>Athlete</v>
      </c>
      <c r="E69" s="182" t="str">
        <f ca="1">IFERROR(INDIRECT(CONCATENATE("Track1!E",A69+1)),"")</f>
        <v>Club</v>
      </c>
      <c r="F69" s="149" t="str">
        <f ca="1">IFERROR(INDIRECT(CONCATENATE("Track1!F",A69+1)),"")</f>
        <v>Perf</v>
      </c>
      <c r="G69" s="218" t="str">
        <f ca="1">IFERROR(INDIRECT(CONCATENATE("Track1!G",A69+1)),"")</f>
        <v>AAA</v>
      </c>
      <c r="H69" s="45"/>
      <c r="I69" s="45" t="str">
        <f ca="1">IFERROR(INDIRECT(CONCATENATE("Track1!I",A69+1)),"")</f>
        <v>Posn</v>
      </c>
      <c r="J69" s="45" t="str">
        <f ca="1">IFERROR(INDIRECT(CONCATENATE("Track1!J",A69+1)),"")</f>
        <v>No.</v>
      </c>
      <c r="K69" s="182" t="str">
        <f ca="1">IFERROR(INDIRECT(CONCATENATE("Track1!K",A69+1)),"")</f>
        <v>Athlete</v>
      </c>
      <c r="L69" s="182" t="str">
        <f ca="1">IFERROR(INDIRECT(CONCATENATE("Track1!L",A69+1)),"")</f>
        <v>Club</v>
      </c>
      <c r="M69" s="149" t="str">
        <f ca="1">IFERROR(INDIRECT(CONCATENATE("Track1!M",A69+1)),"")</f>
        <v>Perf</v>
      </c>
      <c r="N69" s="218" t="str">
        <f ca="1">IFERROR(INDIRECT(CONCATENATE("Track1!N",A69+1)),"")</f>
        <v>AAA</v>
      </c>
      <c r="T69" s="64" t="str">
        <f t="shared" ref="T69:T123" ca="1" si="4">IF(OR(D69=0,D69="",D69="Athlete"),"",COUNTIF($D$4:$D$352,D69))</f>
        <v/>
      </c>
      <c r="U69" s="64" t="str">
        <f t="shared" ref="U69:U132" ca="1" si="5">IF(OR(K69=0,K69="",K69="Athlete"),"",COUNTIF($D$4:$D$352,K69))</f>
        <v/>
      </c>
      <c r="V69" s="422" t="str">
        <f ca="1">IF(OR(D69=0,D69="",D69="Athlete"),"",COUNTIF($D$4:$D69,D69))</f>
        <v/>
      </c>
      <c r="W69" s="422" t="str">
        <f t="shared" ref="W69:W123" ca="1" si="6">IF(OR(D69=0,D69="",D69="Athlete"),"",E69)</f>
        <v/>
      </c>
      <c r="Z69" s="422">
        <f t="shared" ref="Z69:Z132" ca="1" si="7">IF(OR(G69=0,G69="",G69="Athlete"),"",H69)</f>
        <v>0</v>
      </c>
    </row>
    <row r="70" spans="1:26" x14ac:dyDescent="0.35">
      <c r="B70" s="66">
        <f ca="1">IFERROR(INDIRECT(CONCATENATE("Track1!B",A69+2)),"")</f>
        <v>1</v>
      </c>
      <c r="C70" s="66">
        <f ca="1">IFERROR(INDIRECT(CONCATENATE("Track1!C",A69+2)),"")</f>
        <v>2</v>
      </c>
      <c r="D70" s="89" t="str">
        <f ca="1">IFERROR(INDIRECT(CONCATENATE("Track1!D",A69+2)),"")</f>
        <v>MAY Rudi</v>
      </c>
      <c r="E70" s="89" t="str">
        <f ca="1">IFERROR(INDIRECT(CONCATENATE("Track1!E",A69+2)),"")</f>
        <v>Sheff+D</v>
      </c>
      <c r="F70" s="65">
        <f ca="1">IFERROR(INDIRECT(CONCATENATE("Track1!F",A69+2)),"")</f>
        <v>13.5</v>
      </c>
      <c r="G70" s="121" t="str">
        <f ca="1">IFERROR(INDIRECT(CONCATENATE("Track1!G",A69+2)),"")</f>
        <v/>
      </c>
      <c r="H70" s="66"/>
      <c r="I70" s="66">
        <f ca="1">IFERROR(INDIRECT(CONCATENATE("Track1!I",A69+2)),"")</f>
        <v>1</v>
      </c>
      <c r="J70" s="66">
        <f ca="1">IFERROR(INDIRECT(CONCATENATE("Track1!J",A69+2)),"")</f>
        <v>22</v>
      </c>
      <c r="K70" s="89" t="str">
        <f ca="1">IFERROR(INDIRECT(CONCATENATE("Track1!K",A69+2)),"")</f>
        <v>REILLY Arthur</v>
      </c>
      <c r="L70" s="89" t="str">
        <f ca="1">IFERROR(INDIRECT(CONCATENATE("Track1!L",A69+2)),"")</f>
        <v>Sheff+D</v>
      </c>
      <c r="M70" s="65">
        <f ca="1">IFERROR(INDIRECT(CONCATENATE("Track1!M",A69+2)),"")</f>
        <v>13.6</v>
      </c>
      <c r="N70" s="121">
        <f ca="1">IFERROR(INDIRECT(CONCATENATE("Track1!N",A69+2)),"")</f>
        <v>3</v>
      </c>
      <c r="R70" s="219">
        <f ca="1">IFERROR(INDIRECT(CONCATENATE("Track1!r",A69+2)),"")</f>
        <v>1</v>
      </c>
      <c r="T70" s="64">
        <f t="shared" ca="1" si="4"/>
        <v>3</v>
      </c>
      <c r="U70" s="64">
        <f t="shared" ca="1" si="5"/>
        <v>3</v>
      </c>
      <c r="V70" s="422">
        <f ca="1">IF(OR(D70=0,D70="",D70="Athlete"),"",COUNTIF($D$4:$D70,D70))</f>
        <v>1</v>
      </c>
      <c r="W70" s="422" t="str">
        <f t="shared" ca="1" si="6"/>
        <v>Sheff+D</v>
      </c>
      <c r="Z70" s="422" t="str">
        <f t="shared" ca="1" si="7"/>
        <v/>
      </c>
    </row>
    <row r="71" spans="1:26" x14ac:dyDescent="0.35">
      <c r="B71" s="66">
        <f ca="1">IFERROR(INDIRECT(CONCATENATE("Track1!B",A69+3)),"")</f>
        <v>2</v>
      </c>
      <c r="C71" s="66">
        <f ca="1">IFERROR(INDIRECT(CONCATENATE("Track1!C",A69+3)),"")</f>
        <v>3</v>
      </c>
      <c r="D71" s="89" t="str">
        <f ca="1">IFERROR(INDIRECT(CONCATENATE("Track1!D",A69+3)),"")</f>
        <v>HICKLING William</v>
      </c>
      <c r="E71" s="89" t="str">
        <f ca="1">IFERROR(INDIRECT(CONCATENATE("Track1!E",A69+3)),"")</f>
        <v>York</v>
      </c>
      <c r="F71" s="65">
        <f ca="1">IFERROR(INDIRECT(CONCATENATE("Track1!F",A69+3)),"")</f>
        <v>15.2</v>
      </c>
      <c r="G71" s="121" t="str">
        <f ca="1">IFERROR(INDIRECT(CONCATENATE("Track1!G",A69+3)),"")</f>
        <v/>
      </c>
      <c r="H71" s="66"/>
      <c r="I71" s="66">
        <f ca="1">IFERROR(INDIRECT(CONCATENATE("Track1!I",A69+3)),"")</f>
        <v>2</v>
      </c>
      <c r="J71" s="66">
        <f ca="1">IFERROR(INDIRECT(CONCATENATE("Track1!J",A69+3)),"")</f>
        <v>33</v>
      </c>
      <c r="K71" s="89" t="str">
        <f ca="1">IFERROR(INDIRECT(CONCATENATE("Track1!K",A69+3)),"")</f>
        <v>JONES Alex</v>
      </c>
      <c r="L71" s="89" t="str">
        <f ca="1">IFERROR(INDIRECT(CONCATENATE("Track1!L",A69+3)),"")</f>
        <v>York</v>
      </c>
      <c r="M71" s="65">
        <f ca="1">IFERROR(INDIRECT(CONCATENATE("Track1!M",A69+3)),"")</f>
        <v>17.2</v>
      </c>
      <c r="N71" s="121" t="str">
        <f ca="1">IFERROR(INDIRECT(CONCATENATE("Track1!N",A69+3)),"")</f>
        <v/>
      </c>
      <c r="T71" s="64">
        <f t="shared" ca="1" si="4"/>
        <v>2</v>
      </c>
      <c r="U71" s="64">
        <f t="shared" ca="1" si="5"/>
        <v>3</v>
      </c>
      <c r="V71" s="422">
        <f ca="1">IF(OR(D71=0,D71="",D71="Athlete"),"",COUNTIF($D$4:$D71,D71))</f>
        <v>1</v>
      </c>
      <c r="W71" s="422" t="str">
        <f t="shared" ca="1" si="6"/>
        <v>York</v>
      </c>
      <c r="Z71" s="422" t="str">
        <f t="shared" ca="1" si="7"/>
        <v/>
      </c>
    </row>
    <row r="72" spans="1:26" x14ac:dyDescent="0.35">
      <c r="B72" s="66">
        <f ca="1">IFERROR(INDIRECT(CONCATENATE("Track1!B",A69+4)),"")</f>
        <v>3</v>
      </c>
      <c r="C72" s="66">
        <f ca="1">IFERROR(INDIRECT(CONCATENATE("Track1!C",A69+4)),"")</f>
        <v>4</v>
      </c>
      <c r="D72" s="89" t="str">
        <f ca="1">IFERROR(INDIRECT(CONCATENATE("Track1!D",A69+4)),"")</f>
        <v>BAKER Edward</v>
      </c>
      <c r="E72" s="89" t="str">
        <f ca="1">IFERROR(INDIRECT(CONCATENATE("Track1!E",A69+4)),"")</f>
        <v>M'bro</v>
      </c>
      <c r="F72" s="65">
        <f ca="1">IFERROR(INDIRECT(CONCATENATE("Track1!F",A69+4)),"")</f>
        <v>16.2</v>
      </c>
      <c r="G72" s="121" t="str">
        <f ca="1">IFERROR(INDIRECT(CONCATENATE("Track1!G",A69+4)),"")</f>
        <v/>
      </c>
      <c r="H72" s="66"/>
      <c r="I72" s="66">
        <f ca="1">IFERROR(INDIRECT(CONCATENATE("Track1!I",A69+4)),"")</f>
        <v>3</v>
      </c>
      <c r="J72" s="66">
        <f ca="1">IFERROR(INDIRECT(CONCATENATE("Track1!J",A69+4)),"")</f>
        <v>0</v>
      </c>
      <c r="K72" s="89" t="str">
        <f ca="1">IFERROR(INDIRECT(CONCATENATE("Track1!K",A69+4)),"")</f>
        <v/>
      </c>
      <c r="L72" s="89" t="str">
        <f ca="1">IFERROR(INDIRECT(CONCATENATE("Track1!L",A69+4)),"")</f>
        <v/>
      </c>
      <c r="M72" s="65">
        <f ca="1">IFERROR(INDIRECT(CONCATENATE("Track1!M",A69+4)),"")</f>
        <v>0</v>
      </c>
      <c r="N72" s="121" t="str">
        <f ca="1">IFERROR(INDIRECT(CONCATENATE("Track1!N",A69+4)),"")</f>
        <v/>
      </c>
      <c r="T72" s="64">
        <f t="shared" ca="1" si="4"/>
        <v>2</v>
      </c>
      <c r="U72" s="64" t="str">
        <f t="shared" ca="1" si="5"/>
        <v/>
      </c>
      <c r="V72" s="422">
        <f ca="1">IF(OR(D72=0,D72="",D72="Athlete"),"",COUNTIF($D$4:$D72,D72))</f>
        <v>1</v>
      </c>
      <c r="W72" s="422" t="str">
        <f t="shared" ca="1" si="6"/>
        <v>M'bro</v>
      </c>
      <c r="Z72" s="422" t="str">
        <f t="shared" ca="1" si="7"/>
        <v/>
      </c>
    </row>
    <row r="73" spans="1:26" x14ac:dyDescent="0.35">
      <c r="B73" s="66">
        <f ca="1">IFERROR(INDIRECT(CONCATENATE("Track1!B",A69+5)),"")</f>
        <v>4</v>
      </c>
      <c r="C73" s="66">
        <f ca="1">IFERROR(INDIRECT(CONCATENATE("Track1!C",A69+5)),"")</f>
        <v>0</v>
      </c>
      <c r="D73" s="89" t="str">
        <f ca="1">IFERROR(INDIRECT(CONCATENATE("Track1!D",A69+5)),"")</f>
        <v/>
      </c>
      <c r="E73" s="89" t="str">
        <f ca="1">IFERROR(INDIRECT(CONCATENATE("Track1!E",A69+5)),"")</f>
        <v/>
      </c>
      <c r="F73" s="65">
        <f ca="1">IFERROR(INDIRECT(CONCATENATE("Track1!F",A69+5)),"")</f>
        <v>0</v>
      </c>
      <c r="G73" s="121" t="str">
        <f ca="1">IFERROR(INDIRECT(CONCATENATE("Track1!G",A69+5)),"")</f>
        <v/>
      </c>
      <c r="H73" s="66"/>
      <c r="I73" s="66">
        <f ca="1">IFERROR(INDIRECT(CONCATENATE("Track1!I",A69+5)),"")</f>
        <v>4</v>
      </c>
      <c r="J73" s="66">
        <f ca="1">IFERROR(INDIRECT(CONCATENATE("Track1!J",A69+5)),"")</f>
        <v>0</v>
      </c>
      <c r="K73" s="89" t="str">
        <f ca="1">IFERROR(INDIRECT(CONCATENATE("Track1!K",A69+5)),"")</f>
        <v/>
      </c>
      <c r="L73" s="89" t="str">
        <f ca="1">IFERROR(INDIRECT(CONCATENATE("Track1!L",A69+5)),"")</f>
        <v/>
      </c>
      <c r="M73" s="65">
        <f ca="1">IFERROR(INDIRECT(CONCATENATE("Track1!M",A69+5)),"")</f>
        <v>0</v>
      </c>
      <c r="N73" s="121" t="str">
        <f ca="1">IFERROR(INDIRECT(CONCATENATE("Track1!N",A69+5)),"")</f>
        <v/>
      </c>
      <c r="T73" s="64" t="str">
        <f t="shared" ca="1" si="4"/>
        <v/>
      </c>
      <c r="U73" s="64" t="str">
        <f t="shared" ca="1" si="5"/>
        <v/>
      </c>
      <c r="V73" s="422" t="str">
        <f ca="1">IF(OR(D73=0,D73="",D73="Athlete"),"",COUNTIF($D$4:$D73,D73))</f>
        <v/>
      </c>
      <c r="W73" s="422" t="str">
        <f t="shared" ca="1" si="6"/>
        <v/>
      </c>
      <c r="Z73" s="422" t="str">
        <f t="shared" ca="1" si="7"/>
        <v/>
      </c>
    </row>
    <row r="74" spans="1:26" x14ac:dyDescent="0.35">
      <c r="B74" s="66">
        <f ca="1">IFERROR(INDIRECT(CONCATENATE("Track1!B",A69+6)),"")</f>
        <v>5</v>
      </c>
      <c r="C74" s="66">
        <f ca="1">IFERROR(INDIRECT(CONCATENATE("Track1!C",A69+6)),"")</f>
        <v>0</v>
      </c>
      <c r="D74" s="89" t="str">
        <f ca="1">IFERROR(INDIRECT(CONCATENATE("Track1!D",A69+6)),"")</f>
        <v/>
      </c>
      <c r="E74" s="89" t="str">
        <f ca="1">IFERROR(INDIRECT(CONCATENATE("Track1!E",A69+6)),"")</f>
        <v/>
      </c>
      <c r="F74" s="65">
        <f ca="1">IFERROR(INDIRECT(CONCATENATE("Track1!F",A69+6)),"")</f>
        <v>0</v>
      </c>
      <c r="G74" s="121" t="str">
        <f ca="1">IFERROR(INDIRECT(CONCATENATE("Track1!G",A69+6)),"")</f>
        <v/>
      </c>
      <c r="H74" s="66"/>
      <c r="I74" s="66">
        <f ca="1">IFERROR(INDIRECT(CONCATENATE("Track1!I",A69+6)),"")</f>
        <v>5</v>
      </c>
      <c r="J74" s="66">
        <f ca="1">IFERROR(INDIRECT(CONCATENATE("Track1!J",A69+6)),"")</f>
        <v>0</v>
      </c>
      <c r="K74" s="89" t="str">
        <f ca="1">IFERROR(INDIRECT(CONCATENATE("Track1!K",A69+6)),"")</f>
        <v/>
      </c>
      <c r="L74" s="89" t="str">
        <f ca="1">IFERROR(INDIRECT(CONCATENATE("Track1!L",A69+6)),"")</f>
        <v/>
      </c>
      <c r="M74" s="65">
        <f ca="1">IFERROR(INDIRECT(CONCATENATE("Track1!M",A69+6)),"")</f>
        <v>0</v>
      </c>
      <c r="N74" s="121" t="str">
        <f ca="1">IFERROR(INDIRECT(CONCATENATE("Track1!N",A69+6)),"")</f>
        <v/>
      </c>
      <c r="T74" s="64" t="str">
        <f t="shared" ca="1" si="4"/>
        <v/>
      </c>
      <c r="U74" s="64" t="str">
        <f t="shared" ca="1" si="5"/>
        <v/>
      </c>
      <c r="V74" s="422" t="str">
        <f ca="1">IF(OR(D74=0,D74="",D74="Athlete"),"",COUNTIF($D$4:$D74,D74))</f>
        <v/>
      </c>
      <c r="W74" s="422" t="str">
        <f t="shared" ca="1" si="6"/>
        <v/>
      </c>
      <c r="Z74" s="422" t="str">
        <f t="shared" ca="1" si="7"/>
        <v/>
      </c>
    </row>
    <row r="75" spans="1:26" x14ac:dyDescent="0.35">
      <c r="B75" s="66">
        <f ca="1">IFERROR(INDIRECT(CONCATENATE("Track1!B",A69+7)),"")</f>
        <v>6</v>
      </c>
      <c r="C75" s="66">
        <f ca="1">IFERROR(INDIRECT(CONCATENATE("Track1!C",A69+7)),"")</f>
        <v>0</v>
      </c>
      <c r="D75" s="89" t="str">
        <f ca="1">IFERROR(INDIRECT(CONCATENATE("Track1!D",A69+7)),"")</f>
        <v/>
      </c>
      <c r="E75" s="89" t="str">
        <f ca="1">IFERROR(INDIRECT(CONCATENATE("Track1!E",A69+7)),"")</f>
        <v/>
      </c>
      <c r="F75" s="65">
        <f ca="1">IFERROR(INDIRECT(CONCATENATE("Track1!F",A69+7)),"")</f>
        <v>0</v>
      </c>
      <c r="G75" s="121" t="str">
        <f ca="1">IFERROR(INDIRECT(CONCATENATE("Track1!G",A69+7)),"")</f>
        <v/>
      </c>
      <c r="H75" s="66"/>
      <c r="I75" s="66">
        <f ca="1">IFERROR(INDIRECT(CONCATENATE("Track1!I",A69+7)),"")</f>
        <v>6</v>
      </c>
      <c r="J75" s="66">
        <f ca="1">IFERROR(INDIRECT(CONCATENATE("Track1!J",A69+7)),"")</f>
        <v>0</v>
      </c>
      <c r="K75" s="89" t="str">
        <f ca="1">IFERROR(INDIRECT(CONCATENATE("Track1!K",A69+7)),"")</f>
        <v/>
      </c>
      <c r="L75" s="89" t="str">
        <f ca="1">IFERROR(INDIRECT(CONCATENATE("Track1!L",A69+7)),"")</f>
        <v/>
      </c>
      <c r="M75" s="65">
        <f ca="1">IFERROR(INDIRECT(CONCATENATE("Track1!M",A69+7)),"")</f>
        <v>0</v>
      </c>
      <c r="N75" s="121" t="str">
        <f ca="1">IFERROR(INDIRECT(CONCATENATE("Track1!N",A69+7)),"")</f>
        <v/>
      </c>
      <c r="T75" s="64" t="str">
        <f t="shared" ca="1" si="4"/>
        <v/>
      </c>
      <c r="U75" s="64" t="str">
        <f t="shared" ca="1" si="5"/>
        <v/>
      </c>
      <c r="V75" s="422" t="str">
        <f ca="1">IF(OR(D75=0,D75="",D75="Athlete"),"",COUNTIF($D$4:$D75,D75))</f>
        <v/>
      </c>
      <c r="W75" s="422" t="str">
        <f t="shared" ca="1" si="6"/>
        <v/>
      </c>
      <c r="Z75" s="422" t="str">
        <f t="shared" ca="1" si="7"/>
        <v/>
      </c>
    </row>
    <row r="76" spans="1:26" x14ac:dyDescent="0.35">
      <c r="B76" s="66">
        <f ca="1">IFERROR(INDIRECT(CONCATENATE("Track1!B",A69+8)),"")</f>
        <v>7</v>
      </c>
      <c r="C76" s="66">
        <f ca="1">IFERROR(INDIRECT(CONCATENATE("Track1!C",A69+8)),"")</f>
        <v>0</v>
      </c>
      <c r="D76" s="89" t="str">
        <f ca="1">IFERROR(INDIRECT(CONCATENATE("Track1!D",A69+8)),"")</f>
        <v/>
      </c>
      <c r="E76" s="89" t="str">
        <f ca="1">IFERROR(INDIRECT(CONCATENATE("Track1!E",A69+8)),"")</f>
        <v/>
      </c>
      <c r="F76" s="65">
        <f ca="1">IFERROR(INDIRECT(CONCATENATE("Track1!F",A69+8)),"")</f>
        <v>0</v>
      </c>
      <c r="G76" s="121" t="str">
        <f ca="1">IFERROR(INDIRECT(CONCATENATE("Track1!G",A69+8)),"")</f>
        <v/>
      </c>
      <c r="H76" s="66"/>
      <c r="I76" s="66">
        <f ca="1">IFERROR(INDIRECT(CONCATENATE("Track1!I",A69+8)),"")</f>
        <v>7</v>
      </c>
      <c r="J76" s="66">
        <f ca="1">IFERROR(INDIRECT(CONCATENATE("Track1!J",A69+8)),"")</f>
        <v>0</v>
      </c>
      <c r="K76" s="89" t="str">
        <f ca="1">IFERROR(INDIRECT(CONCATENATE("Track1!K",A69+8)),"")</f>
        <v/>
      </c>
      <c r="L76" s="89" t="str">
        <f ca="1">IFERROR(INDIRECT(CONCATENATE("Track1!L",A69+8)),"")</f>
        <v/>
      </c>
      <c r="M76" s="65">
        <f ca="1">IFERROR(INDIRECT(CONCATENATE("Track1!M",A69+8)),"")</f>
        <v>0</v>
      </c>
      <c r="N76" s="121" t="str">
        <f ca="1">IFERROR(INDIRECT(CONCATENATE("Track1!N",A69+8)),"")</f>
        <v/>
      </c>
      <c r="T76" s="64" t="str">
        <f t="shared" ca="1" si="4"/>
        <v/>
      </c>
      <c r="U76" s="64" t="str">
        <f t="shared" ca="1" si="5"/>
        <v/>
      </c>
      <c r="V76" s="422" t="str">
        <f ca="1">IF(OR(D76=0,D76="",D76="Athlete"),"",COUNTIF($D$4:$D76,D76))</f>
        <v/>
      </c>
      <c r="W76" s="422" t="str">
        <f t="shared" ca="1" si="6"/>
        <v/>
      </c>
      <c r="Z76" s="422" t="str">
        <f t="shared" ca="1" si="7"/>
        <v/>
      </c>
    </row>
    <row r="77" spans="1:26" x14ac:dyDescent="0.35">
      <c r="B77" s="66">
        <f ca="1">IFERROR(INDIRECT(CONCATENATE("Track1!B",A69+9)),"")</f>
        <v>8</v>
      </c>
      <c r="C77" s="66">
        <f ca="1">IFERROR(INDIRECT(CONCATENATE("Track1!C",A69+9)),"")</f>
        <v>0</v>
      </c>
      <c r="D77" s="89" t="str">
        <f ca="1">IFERROR(INDIRECT(CONCATENATE("Track1!D",A69+9)),"")</f>
        <v/>
      </c>
      <c r="E77" s="89" t="str">
        <f ca="1">IFERROR(INDIRECT(CONCATENATE("Track1!E",A69+9)),"")</f>
        <v/>
      </c>
      <c r="F77" s="65">
        <f ca="1">IFERROR(INDIRECT(CONCATENATE("Track1!F",A69+9)),"")</f>
        <v>0</v>
      </c>
      <c r="G77" s="121" t="str">
        <f ca="1">IFERROR(INDIRECT(CONCATENATE("Track1!G",A69+9)),"")</f>
        <v/>
      </c>
      <c r="H77" s="66"/>
      <c r="I77" s="66">
        <f ca="1">IFERROR(INDIRECT(CONCATENATE("Track1!I",A69+9)),"")</f>
        <v>8</v>
      </c>
      <c r="J77" s="66">
        <f ca="1">IFERROR(INDIRECT(CONCATENATE("Track1!J",A69+9)),"")</f>
        <v>0</v>
      </c>
      <c r="K77" s="89" t="str">
        <f ca="1">IFERROR(INDIRECT(CONCATENATE("Track1!K",A69+9)),"")</f>
        <v/>
      </c>
      <c r="L77" s="89" t="str">
        <f ca="1">IFERROR(INDIRECT(CONCATENATE("Track1!L",A69+9)),"")</f>
        <v/>
      </c>
      <c r="M77" s="65">
        <f ca="1">IFERROR(INDIRECT(CONCATENATE("Track1!M",A69+9)),"")</f>
        <v>0</v>
      </c>
      <c r="N77" s="121" t="str">
        <f ca="1">IFERROR(INDIRECT(CONCATENATE("Track1!N",A69+9)),"")</f>
        <v/>
      </c>
      <c r="T77" s="64" t="str">
        <f t="shared" ca="1" si="4"/>
        <v/>
      </c>
      <c r="U77" s="64" t="str">
        <f t="shared" ca="1" si="5"/>
        <v/>
      </c>
      <c r="V77" s="422" t="str">
        <f ca="1">IF(OR(D77=0,D77="",D77="Athlete"),"",COUNTIF($D$4:$D77,D77))</f>
        <v/>
      </c>
      <c r="W77" s="422" t="str">
        <f t="shared" ca="1" si="6"/>
        <v/>
      </c>
      <c r="Z77" s="422" t="str">
        <f t="shared" ca="1" si="7"/>
        <v/>
      </c>
    </row>
    <row r="78" spans="1:26" x14ac:dyDescent="0.35">
      <c r="T78" s="64" t="str">
        <f t="shared" si="4"/>
        <v/>
      </c>
      <c r="U78" s="64" t="str">
        <f t="shared" si="5"/>
        <v/>
      </c>
      <c r="V78" s="422" t="str">
        <f>IF(OR(D78=0,D78="",D78="Athlete"),"",COUNTIF($D$4:$D78,D78))</f>
        <v/>
      </c>
      <c r="W78" s="422" t="str">
        <f t="shared" si="6"/>
        <v/>
      </c>
      <c r="Z78" s="422" t="str">
        <f t="shared" si="7"/>
        <v/>
      </c>
    </row>
    <row r="79" spans="1:26" x14ac:dyDescent="0.35">
      <c r="A79" s="402" t="s">
        <v>297</v>
      </c>
      <c r="B79" s="115" t="str">
        <f ca="1">IFERROR(INDIRECT(CONCATENATE("Field!B",A80)),"")</f>
        <v>Long Jump U13 Boys A</v>
      </c>
      <c r="F79" s="65"/>
      <c r="G79" s="403" t="str">
        <f ca="1">IFERROR(INDIRECT(CONCATENATE("Field!g",A80)),"")</f>
        <v/>
      </c>
      <c r="I79" s="115" t="str">
        <f ca="1">IFERROR(INDIRECT(CONCATENATE("Field!I",A80)),"")</f>
        <v>Long Jump U13 Boys B</v>
      </c>
      <c r="T79" s="64" t="str">
        <f t="shared" si="4"/>
        <v/>
      </c>
      <c r="U79" s="64" t="str">
        <f t="shared" si="5"/>
        <v/>
      </c>
      <c r="V79" s="422" t="str">
        <f>IF(OR(D79=0,D79="",D79="Athlete"),"",COUNTIF($D$4:$D79,D79))</f>
        <v/>
      </c>
      <c r="W79" s="422" t="str">
        <f t="shared" si="6"/>
        <v/>
      </c>
      <c r="Z79" s="422" t="str">
        <f t="shared" ca="1" si="7"/>
        <v/>
      </c>
    </row>
    <row r="80" spans="1:26" x14ac:dyDescent="0.35">
      <c r="A80" s="66">
        <f>IFERROR(MATCH(A79,Field!A:A,0),"")</f>
        <v>134</v>
      </c>
      <c r="B80" s="45" t="str">
        <f ca="1">IFERROR(INDIRECT(CONCATENATE("Field!B",A80+1)),"")</f>
        <v>Posn</v>
      </c>
      <c r="C80" s="45" t="str">
        <f ca="1">IFERROR(INDIRECT(CONCATENATE("Field!C",A80+1)),"")</f>
        <v>Bib</v>
      </c>
      <c r="D80" s="182" t="str">
        <f ca="1">IFERROR(INDIRECT(CONCATENATE("Field!D",A80+1)),"")</f>
        <v>Athlete</v>
      </c>
      <c r="E80" s="182" t="str">
        <f ca="1">IFERROR(INDIRECT(CONCATENATE("Field!E",A80+1)),"")</f>
        <v>Club</v>
      </c>
      <c r="F80" s="149" t="str">
        <f ca="1">IFERROR(INDIRECT(CONCATENATE("Field!F",A80+1)),"")</f>
        <v>Perf</v>
      </c>
      <c r="G80" s="218" t="str">
        <f ca="1">IFERROR(INDIRECT(CONCATENATE("Field!G",A80+1)),"")</f>
        <v>AAA</v>
      </c>
      <c r="H80" s="45"/>
      <c r="I80" s="45" t="str">
        <f ca="1">IFERROR(INDIRECT(CONCATENATE("Field!I",A80+1)),"")</f>
        <v>Posn</v>
      </c>
      <c r="J80" s="45" t="str">
        <f ca="1">IFERROR(INDIRECT(CONCATENATE("Field!J",A80+1)),"")</f>
        <v>Bib</v>
      </c>
      <c r="K80" s="182" t="str">
        <f ca="1">IFERROR(INDIRECT(CONCATENATE("Field!K",A80+1)),"")</f>
        <v>Athlete</v>
      </c>
      <c r="L80" s="182" t="str">
        <f ca="1">IFERROR(INDIRECT(CONCATENATE("Field!L",A80+1)),"")</f>
        <v>Club</v>
      </c>
      <c r="M80" s="149" t="str">
        <f ca="1">IFERROR(INDIRECT(CONCATENATE("Field!M",A80+1)),"")</f>
        <v>Perf</v>
      </c>
      <c r="N80" s="218" t="str">
        <f ca="1">IFERROR(INDIRECT(CONCATENATE("Field!N",A80+1)),"")</f>
        <v>AAA</v>
      </c>
      <c r="T80" s="64" t="str">
        <f t="shared" ca="1" si="4"/>
        <v/>
      </c>
      <c r="U80" s="64" t="str">
        <f t="shared" ca="1" si="5"/>
        <v/>
      </c>
      <c r="V80" s="422" t="str">
        <f ca="1">IF(OR(D80=0,D80="",D80="Athlete"),"",COUNTIF($D$4:$D80,D80))</f>
        <v/>
      </c>
      <c r="W80" s="422" t="str">
        <f t="shared" ca="1" si="6"/>
        <v/>
      </c>
      <c r="Z80" s="422">
        <f t="shared" ca="1" si="7"/>
        <v>0</v>
      </c>
    </row>
    <row r="81" spans="1:26" x14ac:dyDescent="0.35">
      <c r="A81" s="66" t="str">
        <f>"_"&amp;A79</f>
        <v>_LFW01</v>
      </c>
      <c r="B81" s="66">
        <f ca="1">IFERROR(INDIRECT(CONCATENATE("Field!B",A80+2)),"")</f>
        <v>1</v>
      </c>
      <c r="C81" s="66">
        <f ca="1">IFERROR(INDIRECT(CONCATENATE("Field!C",A80+2)),"")</f>
        <v>33</v>
      </c>
      <c r="D81" s="89" t="str">
        <f ca="1">IFERROR(INDIRECT(CONCATENATE("Field!D",A80+2)),"")</f>
        <v>PEARSON Adam</v>
      </c>
      <c r="E81" s="89" t="str">
        <f ca="1">IFERROR(INDIRECT(CONCATENATE("Field!E",A80+2)),"")</f>
        <v>York</v>
      </c>
      <c r="F81" s="149" t="str">
        <f ca="1">IFERROR(TEXT(INDIRECT(CONCATENATE("Field!F",A80+2)),"#.#0")&amp;" "&amp;VLOOKUP(C81,INDIRECT($A81),5,FALSE),"")</f>
        <v xml:space="preserve">4.68 </v>
      </c>
      <c r="G81" s="121">
        <f ca="1">IFERROR(INDIRECT(CONCATENATE("Field!G",A80+2)),"")</f>
        <v>2</v>
      </c>
      <c r="H81" s="66"/>
      <c r="I81" s="66">
        <f ca="1">IFERROR(INDIRECT(CONCATENATE("Field!I",A80+2)),"")</f>
        <v>1</v>
      </c>
      <c r="J81" s="66">
        <f ca="1">IFERROR(INDIRECT(CONCATENATE("Field!J",A80+2)),"")</f>
        <v>2</v>
      </c>
      <c r="K81" s="89" t="str">
        <f ca="1">IFERROR(INDIRECT(CONCATENATE("Field!K",A80+2)),"")</f>
        <v>CONNELLY George</v>
      </c>
      <c r="L81" s="89" t="str">
        <f ca="1">IFERROR(INDIRECT(CONCATENATE("Field!L",A80+2)),"")</f>
        <v>Sheff+D</v>
      </c>
      <c r="M81" s="149" t="str">
        <f ca="1">IFERROR(TEXT(INDIRECT(CONCATENATE("Field!m",A80+2)),"#.#0")&amp;" "&amp;VLOOKUP(J81,INDIRECT($A81),5,FALSE),"")</f>
        <v xml:space="preserve">4.22 </v>
      </c>
      <c r="N81" s="121">
        <f ca="1">IFERROR(INDIRECT(CONCATENATE("Field!N",A80+2)),"")</f>
        <v>4</v>
      </c>
      <c r="R81" s="219">
        <f ca="1">IFERROR(INDIRECT(CONCATENATE("Field!r",A80+2)),"")</f>
        <v>1</v>
      </c>
      <c r="T81" s="64">
        <f t="shared" ca="1" si="4"/>
        <v>2</v>
      </c>
      <c r="U81" s="64">
        <f t="shared" ca="1" si="5"/>
        <v>2</v>
      </c>
      <c r="V81" s="422">
        <f ca="1">IF(OR(D81=0,D81="",D81="Athlete"),"",COUNTIF($D$4:$D81,D81))</f>
        <v>2</v>
      </c>
      <c r="W81" s="422" t="str">
        <f t="shared" ca="1" si="6"/>
        <v>York</v>
      </c>
      <c r="Z81" s="422">
        <f t="shared" ca="1" si="7"/>
        <v>0</v>
      </c>
    </row>
    <row r="82" spans="1:26" x14ac:dyDescent="0.35">
      <c r="B82" s="66">
        <f ca="1">IFERROR(INDIRECT(CONCATENATE("Field!B",A80+3)),"")</f>
        <v>2</v>
      </c>
      <c r="C82" s="66">
        <f ca="1">IFERROR(INDIRECT(CONCATENATE("Field!C",A80+3)),"")</f>
        <v>22</v>
      </c>
      <c r="D82" s="89" t="str">
        <f ca="1">IFERROR(INDIRECT(CONCATENATE("Field!D",A80+3)),"")</f>
        <v>REILLY Arthur</v>
      </c>
      <c r="E82" s="89" t="str">
        <f ca="1">IFERROR(INDIRECT(CONCATENATE("Field!E",A80+3)),"")</f>
        <v>Sheff+D</v>
      </c>
      <c r="F82" s="149" t="str">
        <f ca="1">IFERROR(TEXT(INDIRECT(CONCATENATE("Field!F",A80+3)),"#.#0")&amp;" "&amp;VLOOKUP(C82,INDIRECT($A81),5,FALSE),"")</f>
        <v xml:space="preserve">4.28 </v>
      </c>
      <c r="G82" s="121">
        <f ca="1">IFERROR(INDIRECT(CONCATENATE("Field!G",A80+3)),"")</f>
        <v>4</v>
      </c>
      <c r="H82" s="66"/>
      <c r="I82" s="66">
        <f ca="1">IFERROR(INDIRECT(CONCATENATE("Field!I",A80+3)),"")</f>
        <v>2</v>
      </c>
      <c r="J82" s="66">
        <f ca="1">IFERROR(INDIRECT(CONCATENATE("Field!J",A80+3)),"")</f>
        <v>3</v>
      </c>
      <c r="K82" s="89" t="str">
        <f ca="1">IFERROR(INDIRECT(CONCATENATE("Field!K",A80+3)),"")</f>
        <v>MARSHALL Syd</v>
      </c>
      <c r="L82" s="89" t="str">
        <f ca="1">IFERROR(INDIRECT(CONCATENATE("Field!L",A80+3)),"")</f>
        <v>York</v>
      </c>
      <c r="M82" s="149" t="str">
        <f ca="1">IFERROR(TEXT(INDIRECT(CONCATENATE("Field!m",A80+3)),"#.#0")&amp;" "&amp;VLOOKUP(J82,INDIRECT($A81),5,FALSE),"")</f>
        <v xml:space="preserve">3.86 </v>
      </c>
      <c r="N82" s="121" t="str">
        <f ca="1">IFERROR(INDIRECT(CONCATENATE("Field!N",A80+3)),"")</f>
        <v/>
      </c>
      <c r="T82" s="64">
        <f t="shared" ca="1" si="4"/>
        <v>3</v>
      </c>
      <c r="U82" s="64">
        <f t="shared" ca="1" si="5"/>
        <v>2</v>
      </c>
      <c r="V82" s="422">
        <f ca="1">IF(OR(D82=0,D82="",D82="Athlete"),"",COUNTIF($D$4:$D82,D82))</f>
        <v>2</v>
      </c>
      <c r="W82" s="422" t="str">
        <f t="shared" ca="1" si="6"/>
        <v>Sheff+D</v>
      </c>
      <c r="Z82" s="422">
        <f t="shared" ca="1" si="7"/>
        <v>0</v>
      </c>
    </row>
    <row r="83" spans="1:26" x14ac:dyDescent="0.35">
      <c r="B83" s="66">
        <f ca="1">IFERROR(INDIRECT(CONCATENATE("Field!B",A80+4)),"")</f>
        <v>3</v>
      </c>
      <c r="C83" s="66">
        <f ca="1">IFERROR(INDIRECT(CONCATENATE("Field!C",A80+4)),"")</f>
        <v>44</v>
      </c>
      <c r="D83" s="89" t="str">
        <f ca="1">IFERROR(INDIRECT(CONCATENATE("Field!D",A80+4)),"")</f>
        <v>CRAGGS George</v>
      </c>
      <c r="E83" s="89" t="str">
        <f ca="1">IFERROR(INDIRECT(CONCATENATE("Field!E",A80+4)),"")</f>
        <v>M'bro</v>
      </c>
      <c r="F83" s="149" t="str">
        <f ca="1">IFERROR(TEXT(INDIRECT(CONCATENATE("Field!F",A80+4)),"#.#0")&amp;" "&amp;VLOOKUP(C83,INDIRECT($A81),5,FALSE),"")</f>
        <v xml:space="preserve">3.82 </v>
      </c>
      <c r="G83" s="121" t="str">
        <f ca="1">IFERROR(INDIRECT(CONCATENATE("Field!G",A80+4)),"")</f>
        <v/>
      </c>
      <c r="H83" s="66"/>
      <c r="I83" s="66">
        <f ca="1">IFERROR(INDIRECT(CONCATENATE("Field!I",A80+4)),"")</f>
        <v>3</v>
      </c>
      <c r="J83" s="66">
        <f ca="1">IFERROR(INDIRECT(CONCATENATE("Field!J",A80+4)),"")</f>
        <v>4</v>
      </c>
      <c r="K83" s="89" t="str">
        <f ca="1">IFERROR(INDIRECT(CONCATENATE("Field!K",A80+4)),"")</f>
        <v>BAKER Edward</v>
      </c>
      <c r="L83" s="89" t="str">
        <f ca="1">IFERROR(INDIRECT(CONCATENATE("Field!L",A80+4)),"")</f>
        <v>M'bro</v>
      </c>
      <c r="M83" s="149" t="str">
        <f ca="1">IFERROR(TEXT(INDIRECT(CONCATENATE("Field!m",A80+4)),"#.#0")&amp;" "&amp;VLOOKUP(J83,INDIRECT($A81),5,FALSE),"")</f>
        <v xml:space="preserve">3.19 </v>
      </c>
      <c r="N83" s="121" t="str">
        <f ca="1">IFERROR(INDIRECT(CONCATENATE("Field!N",A80+4)),"")</f>
        <v/>
      </c>
      <c r="T83" s="64">
        <f t="shared" ca="1" si="4"/>
        <v>2</v>
      </c>
      <c r="U83" s="64">
        <f t="shared" ca="1" si="5"/>
        <v>2</v>
      </c>
      <c r="V83" s="422">
        <f ca="1">IF(OR(D83=0,D83="",D83="Athlete"),"",COUNTIF($D$4:$D83,D83))</f>
        <v>2</v>
      </c>
      <c r="W83" s="422" t="str">
        <f t="shared" ca="1" si="6"/>
        <v>M'bro</v>
      </c>
      <c r="Z83" s="422" t="str">
        <f t="shared" ca="1" si="7"/>
        <v/>
      </c>
    </row>
    <row r="84" spans="1:26" x14ac:dyDescent="0.35">
      <c r="B84" s="66">
        <f ca="1">IFERROR(INDIRECT(CONCATENATE("Field!B",A80+5)),"")</f>
        <v>4</v>
      </c>
      <c r="C84" s="66">
        <f ca="1">IFERROR(INDIRECT(CONCATENATE("Field!C",A80+5)),"")</f>
        <v>1</v>
      </c>
      <c r="D84" s="89" t="str">
        <f ca="1">IFERROR(INDIRECT(CONCATENATE("Field!D",A80+5)),"")</f>
        <v>GASKIN Nathanael</v>
      </c>
      <c r="E84" s="89" t="str">
        <f ca="1">IFERROR(INDIRECT(CONCATENATE("Field!E",A80+5)),"")</f>
        <v>C'field</v>
      </c>
      <c r="F84" s="149" t="str">
        <f ca="1">IFERROR(TEXT(INDIRECT(CONCATENATE("Field!F",A80+5)),"#.#0")&amp;" "&amp;VLOOKUP(C84,INDIRECT($A81),5,FALSE),"")</f>
        <v xml:space="preserve">3.81 </v>
      </c>
      <c r="G84" s="121" t="str">
        <f ca="1">IFERROR(INDIRECT(CONCATENATE("Field!G",A80+5)),"")</f>
        <v/>
      </c>
      <c r="H84" s="66"/>
      <c r="I84" s="66">
        <f ca="1">IFERROR(INDIRECT(CONCATENATE("Field!I",A80+5)),"")</f>
        <v>4</v>
      </c>
      <c r="J84" s="66">
        <f ca="1">IFERROR(INDIRECT(CONCATENATE("Field!J",A80+5)),"")</f>
        <v>11</v>
      </c>
      <c r="K84" s="89" t="str">
        <f ca="1">IFERROR(INDIRECT(CONCATENATE("Field!K",A80+5)),"")</f>
        <v>DREW Matthew</v>
      </c>
      <c r="L84" s="89" t="str">
        <f ca="1">IFERROR(INDIRECT(CONCATENATE("Field!L",A80+5)),"")</f>
        <v>C'field</v>
      </c>
      <c r="M84" s="149" t="str">
        <f ca="1">IFERROR(TEXT(INDIRECT(CONCATENATE("Field!m",A80+5)),"#.#0")&amp;" "&amp;VLOOKUP(J84,INDIRECT($A81),5,FALSE),"")</f>
        <v xml:space="preserve">2.72 </v>
      </c>
      <c r="N84" s="121" t="str">
        <f ca="1">IFERROR(INDIRECT(CONCATENATE("Field!N",A80+5)),"")</f>
        <v/>
      </c>
      <c r="T84" s="64">
        <f t="shared" ca="1" si="4"/>
        <v>3</v>
      </c>
      <c r="U84" s="64">
        <f t="shared" ca="1" si="5"/>
        <v>3</v>
      </c>
      <c r="V84" s="422">
        <f ca="1">IF(OR(D84=0,D84="",D84="Athlete"),"",COUNTIF($D$4:$D84,D84))</f>
        <v>3</v>
      </c>
      <c r="W84" s="422" t="str">
        <f t="shared" ca="1" si="6"/>
        <v>C'field</v>
      </c>
      <c r="Z84" s="422" t="str">
        <f t="shared" ca="1" si="7"/>
        <v/>
      </c>
    </row>
    <row r="85" spans="1:26" x14ac:dyDescent="0.35">
      <c r="B85" s="66">
        <f ca="1">IFERROR(INDIRECT(CONCATENATE("Field!B",A80+6)),"")</f>
        <v>5</v>
      </c>
      <c r="C85" s="66">
        <f ca="1">IFERROR(INDIRECT(CONCATENATE("Field!C",A80+6)),"")</f>
        <v>5</v>
      </c>
      <c r="D85" s="89" t="str">
        <f ca="1">IFERROR(INDIRECT(CONCATENATE("Field!D",A80+6)),"")</f>
        <v>LANGTON Cody</v>
      </c>
      <c r="E85" s="89" t="str">
        <f ca="1">IFERROR(INDIRECT(CONCATENATE("Field!E",A80+6)),"")</f>
        <v>Scun</v>
      </c>
      <c r="F85" s="149" t="str">
        <f ca="1">IFERROR(TEXT(INDIRECT(CONCATENATE("Field!F",A80+6)),"#.#0")&amp;" "&amp;VLOOKUP(C85,INDIRECT($A81),5,FALSE),"")</f>
        <v xml:space="preserve">3.27 </v>
      </c>
      <c r="G85" s="121" t="str">
        <f ca="1">IFERROR(INDIRECT(CONCATENATE("Field!G",A80+6)),"")</f>
        <v/>
      </c>
      <c r="H85" s="66"/>
      <c r="I85" s="66">
        <f ca="1">IFERROR(INDIRECT(CONCATENATE("Field!I",A80+6)),"")</f>
        <v>5</v>
      </c>
      <c r="J85" s="66" t="str">
        <f ca="1">IFERROR(INDIRECT(CONCATENATE("Field!J",A80+6)),"")</f>
        <v/>
      </c>
      <c r="K85" s="89" t="str">
        <f ca="1">IFERROR(INDIRECT(CONCATENATE("Field!K",A80+6)),"")</f>
        <v/>
      </c>
      <c r="L85" s="89" t="str">
        <f ca="1">IFERROR(INDIRECT(CONCATENATE("Field!L",A80+6)),"")</f>
        <v/>
      </c>
      <c r="M85" s="149" t="str">
        <f ca="1">IFERROR(TEXT(INDIRECT(CONCATENATE("Field!m",A80+6)),"#.#0")&amp;" "&amp;VLOOKUP(J85,INDIRECT($A81),5,FALSE),"")</f>
        <v/>
      </c>
      <c r="N85" s="121" t="str">
        <f ca="1">IFERROR(INDIRECT(CONCATENATE("Field!N",A80+6)),"")</f>
        <v/>
      </c>
      <c r="T85" s="64">
        <f t="shared" ca="1" si="4"/>
        <v>3</v>
      </c>
      <c r="U85" s="64" t="str">
        <f t="shared" ca="1" si="5"/>
        <v/>
      </c>
      <c r="V85" s="422">
        <f ca="1">IF(OR(D85=0,D85="",D85="Athlete"),"",COUNTIF($D$4:$D85,D85))</f>
        <v>3</v>
      </c>
      <c r="W85" s="422" t="str">
        <f t="shared" ca="1" si="6"/>
        <v>Scun</v>
      </c>
      <c r="Z85" s="422" t="str">
        <f t="shared" ca="1" si="7"/>
        <v/>
      </c>
    </row>
    <row r="86" spans="1:26" x14ac:dyDescent="0.35">
      <c r="B86" s="66">
        <f ca="1">IFERROR(INDIRECT(CONCATENATE("Field!B",A80+7)),"")</f>
        <v>6</v>
      </c>
      <c r="C86" s="66" t="str">
        <f ca="1">IFERROR(INDIRECT(CONCATENATE("Field!C",A80+7)),"")</f>
        <v/>
      </c>
      <c r="D86" s="89" t="str">
        <f ca="1">IFERROR(INDIRECT(CONCATENATE("Field!D",A80+7)),"")</f>
        <v/>
      </c>
      <c r="E86" s="89" t="str">
        <f ca="1">IFERROR(INDIRECT(CONCATENATE("Field!E",A80+7)),"")</f>
        <v/>
      </c>
      <c r="F86" s="149" t="str">
        <f ca="1">IFERROR(TEXT(INDIRECT(CONCATENATE("Field!F",A80+7)),"#.#0")&amp;" "&amp;VLOOKUP(C86,INDIRECT($A81),5,FALSE),"")</f>
        <v/>
      </c>
      <c r="G86" s="121" t="str">
        <f ca="1">IFERROR(INDIRECT(CONCATENATE("Field!G",A80+7)),"")</f>
        <v/>
      </c>
      <c r="H86" s="66"/>
      <c r="I86" s="66">
        <f ca="1">IFERROR(INDIRECT(CONCATENATE("Field!I",A80+7)),"")</f>
        <v>6</v>
      </c>
      <c r="J86" s="66" t="str">
        <f ca="1">IFERROR(INDIRECT(CONCATENATE("Field!J",A80+7)),"")</f>
        <v/>
      </c>
      <c r="K86" s="89" t="str">
        <f ca="1">IFERROR(INDIRECT(CONCATENATE("Field!K",A80+7)),"")</f>
        <v/>
      </c>
      <c r="L86" s="89" t="str">
        <f ca="1">IFERROR(INDIRECT(CONCATENATE("Field!L",A80+7)),"")</f>
        <v/>
      </c>
      <c r="M86" s="149" t="str">
        <f ca="1">IFERROR(TEXT(INDIRECT(CONCATENATE("Field!m",A80+7)),"#.#0")&amp;" "&amp;VLOOKUP(J86,INDIRECT($A81),5,FALSE),"")</f>
        <v/>
      </c>
      <c r="N86" s="121" t="str">
        <f ca="1">IFERROR(INDIRECT(CONCATENATE("Field!N",A80+7)),"")</f>
        <v/>
      </c>
      <c r="T86" s="64" t="str">
        <f t="shared" ca="1" si="4"/>
        <v/>
      </c>
      <c r="U86" s="64" t="str">
        <f t="shared" ca="1" si="5"/>
        <v/>
      </c>
      <c r="V86" s="422" t="str">
        <f ca="1">IF(OR(D86=0,D86="",D86="Athlete"),"",COUNTIF($D$4:$D86,D86))</f>
        <v/>
      </c>
      <c r="W86" s="422" t="str">
        <f t="shared" ca="1" si="6"/>
        <v/>
      </c>
      <c r="Z86" s="422" t="str">
        <f t="shared" ca="1" si="7"/>
        <v/>
      </c>
    </row>
    <row r="87" spans="1:26" x14ac:dyDescent="0.35">
      <c r="B87" s="66">
        <f ca="1">IFERROR(INDIRECT(CONCATENATE("Field!B",A80+8)),"")</f>
        <v>7</v>
      </c>
      <c r="C87" s="66" t="str">
        <f ca="1">IFERROR(INDIRECT(CONCATENATE("Field!C",A80+8)),"")</f>
        <v/>
      </c>
      <c r="D87" s="89" t="str">
        <f ca="1">IFERROR(INDIRECT(CONCATENATE("Field!D",A80+8)),"")</f>
        <v/>
      </c>
      <c r="E87" s="89" t="str">
        <f ca="1">IFERROR(INDIRECT(CONCATENATE("Field!E",A80+8)),"")</f>
        <v/>
      </c>
      <c r="F87" s="149" t="str">
        <f ca="1">IFERROR(TEXT(INDIRECT(CONCATENATE("Field!F",A80+8)),"#.#0")&amp;" "&amp;VLOOKUP(C87,INDIRECT($A81),5,FALSE),"")</f>
        <v/>
      </c>
      <c r="G87" s="121" t="str">
        <f ca="1">IFERROR(INDIRECT(CONCATENATE("Field!G",A80+8)),"")</f>
        <v/>
      </c>
      <c r="H87" s="66"/>
      <c r="I87" s="66">
        <f ca="1">IFERROR(INDIRECT(CONCATENATE("Field!I",A80+8)),"")</f>
        <v>7</v>
      </c>
      <c r="J87" s="66" t="str">
        <f ca="1">IFERROR(INDIRECT(CONCATENATE("Field!J",A80+8)),"")</f>
        <v/>
      </c>
      <c r="K87" s="89" t="str">
        <f ca="1">IFERROR(INDIRECT(CONCATENATE("Field!K",A80+8)),"")</f>
        <v/>
      </c>
      <c r="L87" s="89" t="str">
        <f ca="1">IFERROR(INDIRECT(CONCATENATE("Field!L",A80+8)),"")</f>
        <v/>
      </c>
      <c r="M87" s="149" t="str">
        <f ca="1">IFERROR(TEXT(INDIRECT(CONCATENATE("Field!m",A80+8)),"#.#0")&amp;" "&amp;VLOOKUP(J87,INDIRECT($A81),5,FALSE),"")</f>
        <v/>
      </c>
      <c r="N87" s="121" t="str">
        <f ca="1">IFERROR(INDIRECT(CONCATENATE("Field!N",A80+8)),"")</f>
        <v/>
      </c>
      <c r="T87" s="64" t="str">
        <f t="shared" ca="1" si="4"/>
        <v/>
      </c>
      <c r="U87" s="64" t="str">
        <f t="shared" ca="1" si="5"/>
        <v/>
      </c>
      <c r="V87" s="422" t="str">
        <f ca="1">IF(OR(D87=0,D87="",D87="Athlete"),"",COUNTIF($D$4:$D87,D87))</f>
        <v/>
      </c>
      <c r="W87" s="422" t="str">
        <f t="shared" ca="1" si="6"/>
        <v/>
      </c>
      <c r="Z87" s="422" t="str">
        <f t="shared" ca="1" si="7"/>
        <v/>
      </c>
    </row>
    <row r="88" spans="1:26" x14ac:dyDescent="0.35">
      <c r="B88" s="66">
        <f ca="1">IFERROR(INDIRECT(CONCATENATE("Field!B",A80+9)),"")</f>
        <v>8</v>
      </c>
      <c r="C88" s="66" t="str">
        <f ca="1">IFERROR(INDIRECT(CONCATENATE("Field!C",A80+9)),"")</f>
        <v/>
      </c>
      <c r="D88" s="89" t="str">
        <f ca="1">IFERROR(INDIRECT(CONCATENATE("Field!D",A80+9)),"")</f>
        <v/>
      </c>
      <c r="E88" s="89" t="str">
        <f ca="1">IFERROR(INDIRECT(CONCATENATE("Field!E",A80+9)),"")</f>
        <v/>
      </c>
      <c r="F88" s="149" t="str">
        <f ca="1">IFERROR(TEXT(INDIRECT(CONCATENATE("Field!F",A80+9)),"#.#0")&amp;" "&amp;VLOOKUP(C88,INDIRECT($A81),5,FALSE),"")</f>
        <v/>
      </c>
      <c r="G88" s="121" t="str">
        <f ca="1">IFERROR(INDIRECT(CONCATENATE("Field!G",A80+9)),"")</f>
        <v/>
      </c>
      <c r="H88" s="66"/>
      <c r="I88" s="66">
        <f ca="1">IFERROR(INDIRECT(CONCATENATE("Field!I",A80+9)),"")</f>
        <v>8</v>
      </c>
      <c r="J88" s="66" t="str">
        <f ca="1">IFERROR(INDIRECT(CONCATENATE("Field!J",A80+9)),"")</f>
        <v/>
      </c>
      <c r="K88" s="89" t="str">
        <f ca="1">IFERROR(INDIRECT(CONCATENATE("Field!K",A80+9)),"")</f>
        <v/>
      </c>
      <c r="L88" s="89" t="str">
        <f ca="1">IFERROR(INDIRECT(CONCATENATE("Field!L",A80+9)),"")</f>
        <v/>
      </c>
      <c r="M88" s="149" t="str">
        <f ca="1">IFERROR(TEXT(INDIRECT(CONCATENATE("Field!m",A80+9)),"#.#0")&amp;" "&amp;VLOOKUP(J88,INDIRECT($A81),5,FALSE),"")</f>
        <v/>
      </c>
      <c r="N88" s="121" t="str">
        <f ca="1">IFERROR(INDIRECT(CONCATENATE("Field!N",A80+9)),"")</f>
        <v/>
      </c>
      <c r="T88" s="64" t="str">
        <f t="shared" ca="1" si="4"/>
        <v/>
      </c>
      <c r="U88" s="64" t="str">
        <f t="shared" ca="1" si="5"/>
        <v/>
      </c>
      <c r="V88" s="422" t="str">
        <f ca="1">IF(OR(D88=0,D88="",D88="Athlete"),"",COUNTIF($D$4:$D88,D88))</f>
        <v/>
      </c>
      <c r="W88" s="422" t="str">
        <f t="shared" ca="1" si="6"/>
        <v/>
      </c>
      <c r="Z88" s="422" t="str">
        <f t="shared" ca="1" si="7"/>
        <v/>
      </c>
    </row>
    <row r="89" spans="1:26" x14ac:dyDescent="0.35">
      <c r="T89" s="64" t="str">
        <f t="shared" si="4"/>
        <v/>
      </c>
      <c r="U89" s="64" t="str">
        <f t="shared" si="5"/>
        <v/>
      </c>
      <c r="V89" s="422" t="str">
        <f>IF(OR(D89=0,D89="",D89="Athlete"),"",COUNTIF($D$4:$D89,D89))</f>
        <v/>
      </c>
      <c r="W89" s="422" t="str">
        <f t="shared" si="6"/>
        <v/>
      </c>
      <c r="Z89" s="422" t="str">
        <f t="shared" si="7"/>
        <v/>
      </c>
    </row>
    <row r="90" spans="1:26" x14ac:dyDescent="0.35">
      <c r="A90" s="66" t="s">
        <v>234</v>
      </c>
      <c r="B90" s="115" t="str">
        <f ca="1">IFERROR(INDIRECT(CONCATENATE("Field!B",A91)),"")</f>
        <v>High Jump U13 Boys A</v>
      </c>
      <c r="G90" s="121" t="str">
        <f ca="1">IFERROR(INDIRECT(CONCATENATE("Field!g",A91)),"")</f>
        <v/>
      </c>
      <c r="I90" s="115" t="str">
        <f ca="1">IFERROR(INDIRECT(CONCATENATE("Field!I",A91)),"")</f>
        <v>High Jump U13 Boys B</v>
      </c>
      <c r="T90" s="64" t="str">
        <f t="shared" si="4"/>
        <v/>
      </c>
      <c r="U90" s="64" t="str">
        <f t="shared" si="5"/>
        <v/>
      </c>
      <c r="V90" s="422" t="str">
        <f>IF(OR(D90=0,D90="",D90="Athlete"),"",COUNTIF($D$4:$D90,D90))</f>
        <v/>
      </c>
      <c r="W90" s="422" t="str">
        <f t="shared" si="6"/>
        <v/>
      </c>
      <c r="Z90" s="422" t="str">
        <f t="shared" ca="1" si="7"/>
        <v/>
      </c>
    </row>
    <row r="91" spans="1:26" x14ac:dyDescent="0.35">
      <c r="A91" s="66">
        <f>IFERROR(MATCH(A90,Field!A:A,0),"")</f>
        <v>189</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c r="T91" s="64" t="str">
        <f t="shared" ca="1" si="4"/>
        <v/>
      </c>
      <c r="U91" s="64" t="str">
        <f t="shared" ca="1" si="5"/>
        <v/>
      </c>
      <c r="V91" s="422" t="str">
        <f ca="1">IF(OR(D91=0,D91="",D91="Athlete"),"",COUNTIF($D$4:$D91,D91))</f>
        <v/>
      </c>
      <c r="W91" s="422" t="str">
        <f t="shared" ca="1" si="6"/>
        <v/>
      </c>
      <c r="Z91" s="422">
        <f t="shared" ca="1" si="7"/>
        <v>0</v>
      </c>
    </row>
    <row r="92" spans="1:26" x14ac:dyDescent="0.35">
      <c r="B92" s="66" t="str">
        <f ca="1">IFERROR(INDIRECT(CONCATENATE("Field!B",A91+2)),"")</f>
        <v>1=</v>
      </c>
      <c r="C92" s="66">
        <f ca="1">IFERROR(INDIRECT(CONCATENATE("Field!C",A91+2)),"")</f>
        <v>2</v>
      </c>
      <c r="D92" s="89" t="str">
        <f ca="1">IFERROR(INDIRECT(CONCATENATE("Field!D",A91+2)),"")</f>
        <v>MAY Rudi</v>
      </c>
      <c r="E92" s="89" t="str">
        <f ca="1">IFERROR(INDIRECT(CONCATENATE("Field!E",A91+2)),"")</f>
        <v>Sheff+D</v>
      </c>
      <c r="F92" s="65">
        <f ca="1">IFERROR(INDIRECT(CONCATENATE("Field!F",A91+2)),"")</f>
        <v>1.2</v>
      </c>
      <c r="G92" s="121" t="str">
        <f ca="1">IFERROR(INDIRECT(CONCATENATE("Field!G",A91+2)),"")</f>
        <v/>
      </c>
      <c r="H92" s="66"/>
      <c r="I92" s="66">
        <f ca="1">IFERROR(INDIRECT(CONCATENATE("Field!I",A91+2)),"")</f>
        <v>1</v>
      </c>
      <c r="J92" s="66">
        <f ca="1">IFERROR(INDIRECT(CONCATENATE("Field!J",A91+2)),"")</f>
        <v>22</v>
      </c>
      <c r="K92" s="89" t="str">
        <f ca="1">IFERROR(INDIRECT(CONCATENATE("Field!K",A91+2)),"")</f>
        <v>COCKINGS Matthew</v>
      </c>
      <c r="L92" s="89" t="str">
        <f ca="1">IFERROR(INDIRECT(CONCATENATE("Field!L",A91+2)),"")</f>
        <v>Sheff+D</v>
      </c>
      <c r="M92" s="65">
        <f ca="1">IFERROR(INDIRECT(CONCATENATE("Field!M",A91+2)),"")</f>
        <v>1.2</v>
      </c>
      <c r="N92" s="121" t="str">
        <f ca="1">IFERROR(INDIRECT(CONCATENATE("Field!N",A91+2)),"")</f>
        <v/>
      </c>
      <c r="R92" s="219">
        <f ca="1">IFERROR(INDIRECT(CONCATENATE("Field!r",A91+2)),"")</f>
        <v>1</v>
      </c>
      <c r="T92" s="64">
        <f t="shared" ca="1" si="4"/>
        <v>3</v>
      </c>
      <c r="U92" s="64">
        <f t="shared" ca="1" si="5"/>
        <v>3</v>
      </c>
      <c r="V92" s="422">
        <f ca="1">IF(OR(D92=0,D92="",D92="Athlete"),"",COUNTIF($D$4:$D92,D92))</f>
        <v>2</v>
      </c>
      <c r="W92" s="422" t="str">
        <f t="shared" ca="1" si="6"/>
        <v>Sheff+D</v>
      </c>
      <c r="Z92" s="422" t="str">
        <f t="shared" ca="1" si="7"/>
        <v/>
      </c>
    </row>
    <row r="93" spans="1:26" x14ac:dyDescent="0.35">
      <c r="B93" s="66" t="str">
        <f ca="1">IFERROR(INDIRECT(CONCATENATE("Field!B",A91+3)),"")</f>
        <v>1=</v>
      </c>
      <c r="C93" s="66">
        <f ca="1">IFERROR(INDIRECT(CONCATENATE("Field!C",A91+3)),"")</f>
        <v>3</v>
      </c>
      <c r="D93" s="89" t="str">
        <f ca="1">IFERROR(INDIRECT(CONCATENATE("Field!D",A91+3)),"")</f>
        <v>BASTOW Isaac</v>
      </c>
      <c r="E93" s="89" t="str">
        <f ca="1">IFERROR(INDIRECT(CONCATENATE("Field!E",A91+3)),"")</f>
        <v>York</v>
      </c>
      <c r="F93" s="65">
        <f ca="1">IFERROR(INDIRECT(CONCATENATE("Field!F",A91+3)),"")</f>
        <v>1.2</v>
      </c>
      <c r="G93" s="121" t="str">
        <f ca="1">IFERROR(INDIRECT(CONCATENATE("Field!G",A91+3)),"")</f>
        <v/>
      </c>
      <c r="H93" s="66"/>
      <c r="I93" s="66">
        <f ca="1">IFERROR(INDIRECT(CONCATENATE("Field!I",A91+3)),"")</f>
        <v>2</v>
      </c>
      <c r="J93" s="66">
        <f ca="1">IFERROR(INDIRECT(CONCATENATE("Field!J",A91+3)),"")</f>
        <v>33</v>
      </c>
      <c r="K93" s="89" t="str">
        <f ca="1">IFERROR(INDIRECT(CONCATENATE("Field!K",A91+3)),"")</f>
        <v>JONES Alex</v>
      </c>
      <c r="L93" s="89" t="str">
        <f ca="1">IFERROR(INDIRECT(CONCATENATE("Field!L",A91+3)),"")</f>
        <v>York</v>
      </c>
      <c r="M93" s="65">
        <f ca="1">IFERROR(INDIRECT(CONCATENATE("Field!M",A91+3)),"")</f>
        <v>1.05</v>
      </c>
      <c r="N93" s="121" t="str">
        <f ca="1">IFERROR(INDIRECT(CONCATENATE("Field!N",A91+3)),"")</f>
        <v/>
      </c>
      <c r="T93" s="64">
        <f t="shared" ca="1" si="4"/>
        <v>2</v>
      </c>
      <c r="U93" s="64">
        <f t="shared" ca="1" si="5"/>
        <v>3</v>
      </c>
      <c r="V93" s="422">
        <f ca="1">IF(OR(D93=0,D93="",D93="Athlete"),"",COUNTIF($D$4:$D93,D93))</f>
        <v>1</v>
      </c>
      <c r="W93" s="422" t="str">
        <f t="shared" ca="1" si="6"/>
        <v>York</v>
      </c>
      <c r="Z93" s="422" t="str">
        <f t="shared" ca="1" si="7"/>
        <v/>
      </c>
    </row>
    <row r="94" spans="1:26" x14ac:dyDescent="0.35">
      <c r="B94" s="66">
        <f ca="1">IFERROR(INDIRECT(CONCATENATE("Field!B",A91+4)),"")</f>
        <v>3</v>
      </c>
      <c r="C94" s="66">
        <f ca="1">IFERROR(INDIRECT(CONCATENATE("Field!C",A91+4)),"")</f>
        <v>1</v>
      </c>
      <c r="D94" s="89" t="str">
        <f ca="1">IFERROR(INDIRECT(CONCATENATE("Field!D",A91+4)),"")</f>
        <v>LOWE Seth</v>
      </c>
      <c r="E94" s="89" t="str">
        <f ca="1">IFERROR(INDIRECT(CONCATENATE("Field!E",A91+4)),"")</f>
        <v>C'field</v>
      </c>
      <c r="F94" s="65">
        <f ca="1">IFERROR(INDIRECT(CONCATENATE("Field!F",A91+4)),"")</f>
        <v>1.05</v>
      </c>
      <c r="G94" s="121" t="str">
        <f ca="1">IFERROR(INDIRECT(CONCATENATE("Field!G",A91+4)),"")</f>
        <v/>
      </c>
      <c r="H94" s="66"/>
      <c r="I94" s="66" t="str">
        <f ca="1">IFERROR(INDIRECT(CONCATENATE("Field!I",A91+4)),"")</f>
        <v/>
      </c>
      <c r="J94" s="66" t="str">
        <f ca="1">IFERROR(INDIRECT(CONCATENATE("Field!J",A91+4)),"")</f>
        <v/>
      </c>
      <c r="K94" s="89" t="str">
        <f ca="1">IFERROR(INDIRECT(CONCATENATE("Field!K",A91+4)),"")</f>
        <v/>
      </c>
      <c r="L94" s="89" t="str">
        <f ca="1">IFERROR(INDIRECT(CONCATENATE("Field!L",A91+4)),"")</f>
        <v/>
      </c>
      <c r="M94" s="65">
        <f ca="1">IFERROR(INDIRECT(CONCATENATE("Field!M",A91+4)),"")</f>
        <v>0</v>
      </c>
      <c r="N94" s="121" t="str">
        <f ca="1">IFERROR(INDIRECT(CONCATENATE("Field!N",A91+4)),"")</f>
        <v/>
      </c>
      <c r="T94" s="64">
        <f t="shared" ca="1" si="4"/>
        <v>3</v>
      </c>
      <c r="U94" s="64" t="str">
        <f t="shared" ca="1" si="5"/>
        <v/>
      </c>
      <c r="V94" s="422">
        <f ca="1">IF(OR(D94=0,D94="",D94="Athlete"),"",COUNTIF($D$4:$D94,D94))</f>
        <v>2</v>
      </c>
      <c r="W94" s="422" t="str">
        <f t="shared" ca="1" si="6"/>
        <v>C'field</v>
      </c>
      <c r="Z94" s="422" t="str">
        <f t="shared" ca="1" si="7"/>
        <v/>
      </c>
    </row>
    <row r="95" spans="1:26" x14ac:dyDescent="0.35">
      <c r="B95" s="66">
        <f ca="1">IFERROR(INDIRECT(CONCATENATE("Field!B",A91+5)),"")</f>
        <v>4</v>
      </c>
      <c r="C95" s="66">
        <f ca="1">IFERROR(INDIRECT(CONCATENATE("Field!C",A91+5)),"")</f>
        <v>5</v>
      </c>
      <c r="D95" s="89" t="str">
        <f ca="1">IFERROR(INDIRECT(CONCATENATE("Field!D",A91+5)),"")</f>
        <v>OADES James</v>
      </c>
      <c r="E95" s="89" t="str">
        <f ca="1">IFERROR(INDIRECT(CONCATENATE("Field!E",A91+5)),"")</f>
        <v>Scun</v>
      </c>
      <c r="F95" s="65" t="str">
        <f ca="1">IFERROR(INDIRECT(CONCATENATE("Field!F",A91+5)),"")</f>
        <v>X</v>
      </c>
      <c r="G95" s="121" t="str">
        <f ca="1">IFERROR(INDIRECT(CONCATENATE("Field!G",A91+5)),"")</f>
        <v/>
      </c>
      <c r="H95" s="66"/>
      <c r="I95" s="66" t="str">
        <f ca="1">IFERROR(INDIRECT(CONCATENATE("Field!I",A91+5)),"")</f>
        <v/>
      </c>
      <c r="J95" s="66" t="str">
        <f ca="1">IFERROR(INDIRECT(CONCATENATE("Field!J",A91+5)),"")</f>
        <v/>
      </c>
      <c r="K95" s="89" t="str">
        <f ca="1">IFERROR(INDIRECT(CONCATENATE("Field!K",A91+5)),"")</f>
        <v/>
      </c>
      <c r="L95" s="89" t="str">
        <f ca="1">IFERROR(INDIRECT(CONCATENATE("Field!L",A91+5)),"")</f>
        <v/>
      </c>
      <c r="M95" s="65">
        <f ca="1">IFERROR(INDIRECT(CONCATENATE("Field!M",A91+5)),"")</f>
        <v>0</v>
      </c>
      <c r="N95" s="121" t="str">
        <f ca="1">IFERROR(INDIRECT(CONCATENATE("Field!N",A91+5)),"")</f>
        <v/>
      </c>
      <c r="T95" s="64">
        <f t="shared" ca="1" si="4"/>
        <v>2</v>
      </c>
      <c r="U95" s="64" t="str">
        <f t="shared" ca="1" si="5"/>
        <v/>
      </c>
      <c r="V95" s="422">
        <f ca="1">IF(OR(D95=0,D95="",D95="Athlete"),"",COUNTIF($D$4:$D95,D95))</f>
        <v>2</v>
      </c>
      <c r="W95" s="422" t="str">
        <f t="shared" ca="1" si="6"/>
        <v>Scun</v>
      </c>
      <c r="Z95" s="422" t="str">
        <f t="shared" ca="1" si="7"/>
        <v/>
      </c>
    </row>
    <row r="96" spans="1:26" x14ac:dyDescent="0.35">
      <c r="B96" s="66" t="str">
        <f ca="1">IFERROR(INDIRECT(CONCATENATE("Field!B",A91+6)),"")</f>
        <v/>
      </c>
      <c r="C96" s="66" t="str">
        <f ca="1">IFERROR(INDIRECT(CONCATENATE("Field!C",A91+6)),"")</f>
        <v/>
      </c>
      <c r="D96" s="89" t="str">
        <f ca="1">IFERROR(INDIRECT(CONCATENATE("Field!D",A91+6)),"")</f>
        <v/>
      </c>
      <c r="E96" s="89" t="str">
        <f ca="1">IFERROR(INDIRECT(CONCATENATE("Field!E",A91+6)),"")</f>
        <v/>
      </c>
      <c r="F96" s="65">
        <f ca="1">IFERROR(INDIRECT(CONCATENATE("Field!F",A91+6)),"")</f>
        <v>0</v>
      </c>
      <c r="G96" s="121" t="str">
        <f ca="1">IFERROR(INDIRECT(CONCATENATE("Field!G",A91+6)),"")</f>
        <v/>
      </c>
      <c r="H96" s="66"/>
      <c r="I96" s="66" t="str">
        <f ca="1">IFERROR(INDIRECT(CONCATENATE("Field!I",A91+6)),"")</f>
        <v/>
      </c>
      <c r="J96" s="66" t="str">
        <f ca="1">IFERROR(INDIRECT(CONCATENATE("Field!J",A91+6)),"")</f>
        <v/>
      </c>
      <c r="K96" s="89" t="str">
        <f ca="1">IFERROR(INDIRECT(CONCATENATE("Field!K",A91+6)),"")</f>
        <v/>
      </c>
      <c r="L96" s="89" t="str">
        <f ca="1">IFERROR(INDIRECT(CONCATENATE("Field!L",A91+6)),"")</f>
        <v/>
      </c>
      <c r="M96" s="65">
        <f ca="1">IFERROR(INDIRECT(CONCATENATE("Field!M",A91+6)),"")</f>
        <v>0</v>
      </c>
      <c r="N96" s="121" t="str">
        <f ca="1">IFERROR(INDIRECT(CONCATENATE("Field!N",A91+6)),"")</f>
        <v/>
      </c>
      <c r="T96" s="64" t="str">
        <f t="shared" ca="1" si="4"/>
        <v/>
      </c>
      <c r="U96" s="64" t="str">
        <f t="shared" ca="1" si="5"/>
        <v/>
      </c>
      <c r="V96" s="422" t="str">
        <f ca="1">IF(OR(D96=0,D96="",D96="Athlete"),"",COUNTIF($D$4:$D96,D96))</f>
        <v/>
      </c>
      <c r="W96" s="422" t="str">
        <f t="shared" ca="1" si="6"/>
        <v/>
      </c>
      <c r="Z96" s="422" t="str">
        <f t="shared" ca="1" si="7"/>
        <v/>
      </c>
    </row>
    <row r="97" spans="1:26" x14ac:dyDescent="0.35">
      <c r="B97" s="66" t="str">
        <f ca="1">IFERROR(INDIRECT(CONCATENATE("Field!B",A91+7)),"")</f>
        <v/>
      </c>
      <c r="C97" s="66" t="str">
        <f ca="1">IFERROR(INDIRECT(CONCATENATE("Field!C",A91+7)),"")</f>
        <v/>
      </c>
      <c r="D97" s="89" t="str">
        <f ca="1">IFERROR(INDIRECT(CONCATENATE("Field!D",A91+7)),"")</f>
        <v/>
      </c>
      <c r="E97" s="89" t="str">
        <f ca="1">IFERROR(INDIRECT(CONCATENATE("Field!E",A91+7)),"")</f>
        <v/>
      </c>
      <c r="F97" s="65">
        <f ca="1">IFERROR(INDIRECT(CONCATENATE("Field!F",A91+7)),"")</f>
        <v>0</v>
      </c>
      <c r="G97" s="121" t="str">
        <f ca="1">IFERROR(INDIRECT(CONCATENATE("Field!G",A91+7)),"")</f>
        <v/>
      </c>
      <c r="H97" s="66"/>
      <c r="I97" s="66" t="str">
        <f ca="1">IFERROR(INDIRECT(CONCATENATE("Field!I",A91+7)),"")</f>
        <v/>
      </c>
      <c r="J97" s="66" t="str">
        <f ca="1">IFERROR(INDIRECT(CONCATENATE("Field!J",A91+7)),"")</f>
        <v/>
      </c>
      <c r="K97" s="89" t="str">
        <f ca="1">IFERROR(INDIRECT(CONCATENATE("Field!K",A91+7)),"")</f>
        <v/>
      </c>
      <c r="L97" s="89" t="str">
        <f ca="1">IFERROR(INDIRECT(CONCATENATE("Field!L",A91+7)),"")</f>
        <v/>
      </c>
      <c r="M97" s="65">
        <f ca="1">IFERROR(INDIRECT(CONCATENATE("Field!M",A91+7)),"")</f>
        <v>0</v>
      </c>
      <c r="N97" s="121" t="str">
        <f ca="1">IFERROR(INDIRECT(CONCATENATE("Field!N",A91+7)),"")</f>
        <v/>
      </c>
      <c r="T97" s="64" t="str">
        <f t="shared" ca="1" si="4"/>
        <v/>
      </c>
      <c r="U97" s="64" t="str">
        <f t="shared" ca="1" si="5"/>
        <v/>
      </c>
      <c r="V97" s="422" t="str">
        <f ca="1">IF(OR(D97=0,D97="",D97="Athlete"),"",COUNTIF($D$4:$D97,D97))</f>
        <v/>
      </c>
      <c r="W97" s="422" t="str">
        <f t="shared" ca="1" si="6"/>
        <v/>
      </c>
      <c r="Z97" s="422" t="str">
        <f t="shared" ca="1" si="7"/>
        <v/>
      </c>
    </row>
    <row r="98" spans="1:26" x14ac:dyDescent="0.35">
      <c r="B98" s="66" t="str">
        <f ca="1">IFERROR(INDIRECT(CONCATENATE("Field!B",A91+8)),"")</f>
        <v/>
      </c>
      <c r="C98" s="66" t="str">
        <f ca="1">IFERROR(INDIRECT(CONCATENATE("Field!C",A91+8)),"")</f>
        <v/>
      </c>
      <c r="D98" s="89" t="str">
        <f ca="1">IFERROR(INDIRECT(CONCATENATE("Field!D",A91+8)),"")</f>
        <v/>
      </c>
      <c r="E98" s="89" t="str">
        <f ca="1">IFERROR(INDIRECT(CONCATENATE("Field!E",A91+8)),"")</f>
        <v/>
      </c>
      <c r="F98" s="65">
        <f ca="1">IFERROR(INDIRECT(CONCATENATE("Field!F",A91+8)),"")</f>
        <v>0</v>
      </c>
      <c r="G98" s="121" t="str">
        <f ca="1">IFERROR(INDIRECT(CONCATENATE("Field!G",A91+8)),"")</f>
        <v/>
      </c>
      <c r="H98" s="66"/>
      <c r="I98" s="66" t="str">
        <f ca="1">IFERROR(INDIRECT(CONCATENATE("Field!I",A91+8)),"")</f>
        <v/>
      </c>
      <c r="J98" s="66" t="str">
        <f ca="1">IFERROR(INDIRECT(CONCATENATE("Field!J",A91+8)),"")</f>
        <v/>
      </c>
      <c r="K98" s="89" t="str">
        <f ca="1">IFERROR(INDIRECT(CONCATENATE("Field!K",A91+8)),"")</f>
        <v/>
      </c>
      <c r="L98" s="89" t="str">
        <f ca="1">IFERROR(INDIRECT(CONCATENATE("Field!L",A91+8)),"")</f>
        <v/>
      </c>
      <c r="M98" s="65">
        <f ca="1">IFERROR(INDIRECT(CONCATENATE("Field!M",A91+8)),"")</f>
        <v>0</v>
      </c>
      <c r="N98" s="121" t="str">
        <f ca="1">IFERROR(INDIRECT(CONCATENATE("Field!N",A91+8)),"")</f>
        <v/>
      </c>
      <c r="T98" s="64" t="str">
        <f t="shared" ca="1" si="4"/>
        <v/>
      </c>
      <c r="U98" s="64" t="str">
        <f t="shared" ca="1" si="5"/>
        <v/>
      </c>
      <c r="V98" s="422" t="str">
        <f ca="1">IF(OR(D98=0,D98="",D98="Athlete"),"",COUNTIF($D$4:$D98,D98))</f>
        <v/>
      </c>
      <c r="W98" s="422" t="str">
        <f t="shared" ca="1" si="6"/>
        <v/>
      </c>
      <c r="Z98" s="422" t="str">
        <f t="shared" ca="1" si="7"/>
        <v/>
      </c>
    </row>
    <row r="99" spans="1:26" x14ac:dyDescent="0.35">
      <c r="B99" s="66" t="str">
        <f ca="1">IFERROR(INDIRECT(CONCATENATE("Field!B",A91+9)),"")</f>
        <v/>
      </c>
      <c r="C99" s="66" t="str">
        <f ca="1">IFERROR(INDIRECT(CONCATENATE("Field!C",A91+9)),"")</f>
        <v/>
      </c>
      <c r="D99" s="89" t="str">
        <f ca="1">IFERROR(INDIRECT(CONCATENATE("Field!D",A91+9)),"")</f>
        <v/>
      </c>
      <c r="E99" s="89" t="str">
        <f ca="1">IFERROR(INDIRECT(CONCATENATE("Field!E",A91+9)),"")</f>
        <v/>
      </c>
      <c r="F99" s="65">
        <f ca="1">IFERROR(INDIRECT(CONCATENATE("Field!F",A91+9)),"")</f>
        <v>0</v>
      </c>
      <c r="G99" s="121" t="str">
        <f ca="1">IFERROR(INDIRECT(CONCATENATE("Field!G",A91+9)),"")</f>
        <v/>
      </c>
      <c r="H99" s="66"/>
      <c r="I99" s="66" t="str">
        <f ca="1">IFERROR(INDIRECT(CONCATENATE("Field!I",A91+9)),"")</f>
        <v/>
      </c>
      <c r="J99" s="66" t="str">
        <f ca="1">IFERROR(INDIRECT(CONCATENATE("Field!J",A91+9)),"")</f>
        <v/>
      </c>
      <c r="K99" s="89" t="str">
        <f ca="1">IFERROR(INDIRECT(CONCATENATE("Field!K",A91+9)),"")</f>
        <v/>
      </c>
      <c r="L99" s="89" t="str">
        <f ca="1">IFERROR(INDIRECT(CONCATENATE("Field!L",A91+9)),"")</f>
        <v/>
      </c>
      <c r="M99" s="65">
        <f ca="1">IFERROR(INDIRECT(CONCATENATE("Field!M",A91+9)),"")</f>
        <v>0</v>
      </c>
      <c r="N99" s="121" t="str">
        <f ca="1">IFERROR(INDIRECT(CONCATENATE("Field!N",A91+9)),"")</f>
        <v/>
      </c>
      <c r="T99" s="64" t="str">
        <f t="shared" ca="1" si="4"/>
        <v/>
      </c>
      <c r="U99" s="64" t="str">
        <f t="shared" ca="1" si="5"/>
        <v/>
      </c>
      <c r="V99" s="422" t="str">
        <f ca="1">IF(OR(D99=0,D99="",D99="Athlete"),"",COUNTIF($D$4:$D99,D99))</f>
        <v/>
      </c>
      <c r="W99" s="422" t="str">
        <f t="shared" ca="1" si="6"/>
        <v/>
      </c>
      <c r="Z99" s="422" t="str">
        <f t="shared" ca="1" si="7"/>
        <v/>
      </c>
    </row>
    <row r="100" spans="1:26" x14ac:dyDescent="0.35">
      <c r="T100" s="64" t="str">
        <f t="shared" si="4"/>
        <v/>
      </c>
      <c r="U100" s="64" t="str">
        <f t="shared" si="5"/>
        <v/>
      </c>
      <c r="V100" s="422" t="str">
        <f>IF(OR(D100=0,D100="",D100="Athlete"),"",COUNTIF($D$4:$D100,D100))</f>
        <v/>
      </c>
      <c r="W100" s="422" t="str">
        <f t="shared" si="6"/>
        <v/>
      </c>
      <c r="Z100" s="422" t="str">
        <f t="shared" si="7"/>
        <v/>
      </c>
    </row>
    <row r="101" spans="1:26" x14ac:dyDescent="0.35">
      <c r="A101" s="66" t="s">
        <v>245</v>
      </c>
      <c r="B101" s="115" t="str">
        <f ca="1">IFERROR(INDIRECT(CONCATENATE("Field!B",A102)),"")</f>
        <v>Shot U13 Boys A</v>
      </c>
      <c r="G101" s="121" t="str">
        <f ca="1">IFERROR(INDIRECT(CONCATENATE("Field!g",A102)),"")</f>
        <v/>
      </c>
      <c r="I101" s="115" t="str">
        <f ca="1">IFERROR(INDIRECT(CONCATENATE("Field!I",A102)),"")</f>
        <v>Shot U13 Boys B</v>
      </c>
      <c r="T101" s="64" t="str">
        <f t="shared" si="4"/>
        <v/>
      </c>
      <c r="U101" s="64" t="str">
        <f t="shared" si="5"/>
        <v/>
      </c>
      <c r="V101" s="422" t="str">
        <f>IF(OR(D101=0,D101="",D101="Athlete"),"",COUNTIF($D$4:$D101,D101))</f>
        <v/>
      </c>
      <c r="W101" s="422" t="str">
        <f t="shared" si="6"/>
        <v/>
      </c>
      <c r="Z101" s="422" t="str">
        <f t="shared" ca="1" si="7"/>
        <v/>
      </c>
    </row>
    <row r="102" spans="1:26" x14ac:dyDescent="0.35">
      <c r="A102" s="66">
        <f>IFERROR(MATCH(A101,Field!A:A,0),"")</f>
        <v>90</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c r="T102" s="64" t="str">
        <f t="shared" ca="1" si="4"/>
        <v/>
      </c>
      <c r="U102" s="64" t="str">
        <f t="shared" ca="1" si="5"/>
        <v/>
      </c>
      <c r="V102" s="422" t="str">
        <f ca="1">IF(OR(D102=0,D102="",D102="Athlete"),"",COUNTIF($D$4:$D102,D102))</f>
        <v/>
      </c>
      <c r="W102" s="422" t="str">
        <f t="shared" ca="1" si="6"/>
        <v/>
      </c>
      <c r="Z102" s="422">
        <f t="shared" ca="1" si="7"/>
        <v>0</v>
      </c>
    </row>
    <row r="103" spans="1:26" x14ac:dyDescent="0.35">
      <c r="B103" s="66">
        <f ca="1">IFERROR(INDIRECT(CONCATENATE("Field!B",A102+2)),"")</f>
        <v>1</v>
      </c>
      <c r="C103" s="66">
        <f ca="1">IFERROR(INDIRECT(CONCATENATE("Field!C",A102+2)),"")</f>
        <v>3</v>
      </c>
      <c r="D103" s="89" t="str">
        <f ca="1">IFERROR(INDIRECT(CONCATENATE("Field!D",A102+2)),"")</f>
        <v>WALSH Lincoln</v>
      </c>
      <c r="E103" s="89" t="str">
        <f ca="1">IFERROR(INDIRECT(CONCATENATE("Field!E",A102+2)),"")</f>
        <v>York</v>
      </c>
      <c r="F103" s="65">
        <f ca="1">IFERROR(INDIRECT(CONCATENATE("Field!F",A102+2)),"")</f>
        <v>8.49</v>
      </c>
      <c r="G103" s="121">
        <f ca="1">IFERROR(INDIRECT(CONCATENATE("Field!G",A102+2)),"")</f>
        <v>3</v>
      </c>
      <c r="H103" s="66"/>
      <c r="I103" s="66">
        <f ca="1">IFERROR(INDIRECT(CONCATENATE("Field!I",A102+2)),"")</f>
        <v>1</v>
      </c>
      <c r="J103" s="66">
        <f ca="1">IFERROR(INDIRECT(CONCATENATE("Field!J",A102+2)),"")</f>
        <v>33</v>
      </c>
      <c r="K103" s="89" t="str">
        <f ca="1">IFERROR(INDIRECT(CONCATENATE("Field!K",A102+2)),"")</f>
        <v>ROTHWELL Noah</v>
      </c>
      <c r="L103" s="89" t="str">
        <f ca="1">IFERROR(INDIRECT(CONCATENATE("Field!L",A102+2)),"")</f>
        <v>York</v>
      </c>
      <c r="M103" s="65">
        <f ca="1">IFERROR(INDIRECT(CONCATENATE("Field!M",A102+2)),"")</f>
        <v>6.14</v>
      </c>
      <c r="N103" s="121" t="str">
        <f ca="1">IFERROR(INDIRECT(CONCATENATE("Field!N",A102+2)),"")</f>
        <v/>
      </c>
      <c r="R103" s="219">
        <f ca="1">IFERROR(INDIRECT(CONCATENATE("Field!r",A102+2)),"")</f>
        <v>1</v>
      </c>
      <c r="T103" s="64">
        <f t="shared" ca="1" si="4"/>
        <v>1</v>
      </c>
      <c r="U103" s="64">
        <f t="shared" ca="1" si="5"/>
        <v>2</v>
      </c>
      <c r="V103" s="422">
        <f ca="1">IF(OR(D103=0,D103="",D103="Athlete"),"",COUNTIF($D$4:$D103,D103))</f>
        <v>1</v>
      </c>
      <c r="W103" s="422" t="str">
        <f t="shared" ca="1" si="6"/>
        <v>York</v>
      </c>
      <c r="Z103" s="422">
        <f t="shared" ca="1" si="7"/>
        <v>0</v>
      </c>
    </row>
    <row r="104" spans="1:26" x14ac:dyDescent="0.35">
      <c r="B104" s="66">
        <f ca="1">IFERROR(INDIRECT(CONCATENATE("Field!B",A102+3)),"")</f>
        <v>2</v>
      </c>
      <c r="C104" s="66">
        <f ca="1">IFERROR(INDIRECT(CONCATENATE("Field!C",A102+3)),"")</f>
        <v>4</v>
      </c>
      <c r="D104" s="89" t="str">
        <f ca="1">IFERROR(INDIRECT(CONCATENATE("Field!D",A102+3)),"")</f>
        <v>FRANCIS Stan</v>
      </c>
      <c r="E104" s="89" t="str">
        <f ca="1">IFERROR(INDIRECT(CONCATENATE("Field!E",A102+3)),"")</f>
        <v>M'bro</v>
      </c>
      <c r="F104" s="65">
        <f ca="1">IFERROR(INDIRECT(CONCATENATE("Field!F",A102+3)),"")</f>
        <v>6.45</v>
      </c>
      <c r="G104" s="121" t="str">
        <f ca="1">IFERROR(INDIRECT(CONCATENATE("Field!G",A102+3)),"")</f>
        <v/>
      </c>
      <c r="H104" s="66"/>
      <c r="I104" s="66">
        <f ca="1">IFERROR(INDIRECT(CONCATENATE("Field!I",A102+3)),"")</f>
        <v>2</v>
      </c>
      <c r="J104" s="66">
        <f ca="1">IFERROR(INDIRECT(CONCATENATE("Field!J",A102+3)),"")</f>
        <v>2</v>
      </c>
      <c r="K104" s="89" t="str">
        <f ca="1">IFERROR(INDIRECT(CONCATENATE("Field!K",A102+3)),"")</f>
        <v>HENNESSEY Thomas</v>
      </c>
      <c r="L104" s="89" t="str">
        <f ca="1">IFERROR(INDIRECT(CONCATENATE("Field!L",A102+3)),"")</f>
        <v>Sheff+D</v>
      </c>
      <c r="M104" s="65">
        <f ca="1">IFERROR(INDIRECT(CONCATENATE("Field!M",A102+3)),"")</f>
        <v>5.63</v>
      </c>
      <c r="N104" s="121" t="str">
        <f ca="1">IFERROR(INDIRECT(CONCATENATE("Field!N",A102+3)),"")</f>
        <v/>
      </c>
      <c r="T104" s="64">
        <f t="shared" ca="1" si="4"/>
        <v>2</v>
      </c>
      <c r="U104" s="64">
        <f t="shared" ca="1" si="5"/>
        <v>2</v>
      </c>
      <c r="V104" s="422">
        <f ca="1">IF(OR(D104=0,D104="",D104="Athlete"),"",COUNTIF($D$4:$D104,D104))</f>
        <v>1</v>
      </c>
      <c r="W104" s="422" t="str">
        <f t="shared" ca="1" si="6"/>
        <v>M'bro</v>
      </c>
      <c r="Z104" s="422" t="str">
        <f t="shared" ca="1" si="7"/>
        <v/>
      </c>
    </row>
    <row r="105" spans="1:26" x14ac:dyDescent="0.35">
      <c r="B105" s="66">
        <f ca="1">IFERROR(INDIRECT(CONCATENATE("Field!B",A102+4)),"")</f>
        <v>3</v>
      </c>
      <c r="C105" s="66">
        <f ca="1">IFERROR(INDIRECT(CONCATENATE("Field!C",A102+4)),"")</f>
        <v>1</v>
      </c>
      <c r="D105" s="89" t="str">
        <f ca="1">IFERROR(INDIRECT(CONCATENATE("Field!D",A102+4)),"")</f>
        <v>STOWELL Callum</v>
      </c>
      <c r="E105" s="89" t="str">
        <f ca="1">IFERROR(INDIRECT(CONCATENATE("Field!E",A102+4)),"")</f>
        <v>C'field</v>
      </c>
      <c r="F105" s="65">
        <f ca="1">IFERROR(INDIRECT(CONCATENATE("Field!F",A102+4)),"")</f>
        <v>5.71</v>
      </c>
      <c r="G105" s="121" t="str">
        <f ca="1">IFERROR(INDIRECT(CONCATENATE("Field!G",A102+4)),"")</f>
        <v/>
      </c>
      <c r="H105" s="66"/>
      <c r="I105" s="66">
        <f ca="1">IFERROR(INDIRECT(CONCATENATE("Field!I",A102+4)),"")</f>
        <v>3</v>
      </c>
      <c r="J105" s="66">
        <f ca="1">IFERROR(INDIRECT(CONCATENATE("Field!J",A102+4)),"")</f>
        <v>55</v>
      </c>
      <c r="K105" s="89" t="str">
        <f ca="1">IFERROR(INDIRECT(CONCATENATE("Field!K",A102+4)),"")</f>
        <v>PELL Nathan</v>
      </c>
      <c r="L105" s="89" t="str">
        <f ca="1">IFERROR(INDIRECT(CONCATENATE("Field!L",A102+4)),"")</f>
        <v>Scun</v>
      </c>
      <c r="M105" s="65">
        <f ca="1">IFERROR(INDIRECT(CONCATENATE("Field!M",A102+4)),"")</f>
        <v>4.32</v>
      </c>
      <c r="N105" s="121" t="str">
        <f ca="1">IFERROR(INDIRECT(CONCATENATE("Field!N",A102+4)),"")</f>
        <v/>
      </c>
      <c r="T105" s="64">
        <f t="shared" ca="1" si="4"/>
        <v>3</v>
      </c>
      <c r="U105" s="64">
        <f t="shared" ca="1" si="5"/>
        <v>2</v>
      </c>
      <c r="V105" s="422">
        <f ca="1">IF(OR(D105=0,D105="",D105="Athlete"),"",COUNTIF($D$4:$D105,D105))</f>
        <v>1</v>
      </c>
      <c r="W105" s="422" t="str">
        <f t="shared" ca="1" si="6"/>
        <v>C'field</v>
      </c>
      <c r="Z105" s="422" t="str">
        <f t="shared" ca="1" si="7"/>
        <v/>
      </c>
    </row>
    <row r="106" spans="1:26" x14ac:dyDescent="0.35">
      <c r="B106" s="66">
        <f ca="1">IFERROR(INDIRECT(CONCATENATE("Field!B",A102+5)),"")</f>
        <v>4</v>
      </c>
      <c r="C106" s="66">
        <f ca="1">IFERROR(INDIRECT(CONCATENATE("Field!C",A102+5)),"")</f>
        <v>22</v>
      </c>
      <c r="D106" s="89" t="str">
        <f ca="1">IFERROR(INDIRECT(CONCATENATE("Field!D",A102+5)),"")</f>
        <v>COCKINGS Matthew</v>
      </c>
      <c r="E106" s="89" t="str">
        <f ca="1">IFERROR(INDIRECT(CONCATENATE("Field!E",A102+5)),"")</f>
        <v>Sheff+D</v>
      </c>
      <c r="F106" s="65">
        <f ca="1">IFERROR(INDIRECT(CONCATENATE("Field!F",A102+5)),"")</f>
        <v>5.66</v>
      </c>
      <c r="G106" s="121" t="str">
        <f ca="1">IFERROR(INDIRECT(CONCATENATE("Field!G",A102+5)),"")</f>
        <v/>
      </c>
      <c r="H106" s="66"/>
      <c r="I106" s="66">
        <f ca="1">IFERROR(INDIRECT(CONCATENATE("Field!I",A102+5)),"")</f>
        <v>4</v>
      </c>
      <c r="J106" s="66">
        <f ca="1">IFERROR(INDIRECT(CONCATENATE("Field!J",A102+5)),"")</f>
        <v>11</v>
      </c>
      <c r="K106" s="89" t="str">
        <f ca="1">IFERROR(INDIRECT(CONCATENATE("Field!K",A102+5)),"")</f>
        <v>DREW Matthew</v>
      </c>
      <c r="L106" s="89" t="str">
        <f ca="1">IFERROR(INDIRECT(CONCATENATE("Field!L",A102+5)),"")</f>
        <v>C'field</v>
      </c>
      <c r="M106" s="65">
        <f ca="1">IFERROR(INDIRECT(CONCATENATE("Field!M",A102+5)),"")</f>
        <v>3.9</v>
      </c>
      <c r="N106" s="121" t="str">
        <f ca="1">IFERROR(INDIRECT(CONCATENATE("Field!N",A102+5)),"")</f>
        <v/>
      </c>
      <c r="T106" s="64">
        <f t="shared" ca="1" si="4"/>
        <v>3</v>
      </c>
      <c r="U106" s="64">
        <f t="shared" ca="1" si="5"/>
        <v>3</v>
      </c>
      <c r="V106" s="422">
        <f ca="1">IF(OR(D106=0,D106="",D106="Athlete"),"",COUNTIF($D$4:$D106,D106))</f>
        <v>1</v>
      </c>
      <c r="W106" s="422" t="str">
        <f t="shared" ca="1" si="6"/>
        <v>Sheff+D</v>
      </c>
      <c r="Z106" s="422" t="str">
        <f t="shared" ca="1" si="7"/>
        <v/>
      </c>
    </row>
    <row r="107" spans="1:26" x14ac:dyDescent="0.35">
      <c r="B107" s="66">
        <f ca="1">IFERROR(INDIRECT(CONCATENATE("Field!B",A102+6)),"")</f>
        <v>5</v>
      </c>
      <c r="C107" s="66">
        <f ca="1">IFERROR(INDIRECT(CONCATENATE("Field!C",A102+6)),"")</f>
        <v>5</v>
      </c>
      <c r="D107" s="89" t="str">
        <f ca="1">IFERROR(INDIRECT(CONCATENATE("Field!D",A102+6)),"")</f>
        <v>COOK Alexander</v>
      </c>
      <c r="E107" s="89" t="str">
        <f ca="1">IFERROR(INDIRECT(CONCATENATE("Field!E",A102+6)),"")</f>
        <v>Scun</v>
      </c>
      <c r="F107" s="65">
        <f ca="1">IFERROR(INDIRECT(CONCATENATE("Field!F",A102+6)),"")</f>
        <v>5.19</v>
      </c>
      <c r="G107" s="121" t="str">
        <f ca="1">IFERROR(INDIRECT(CONCATENATE("Field!G",A102+6)),"")</f>
        <v/>
      </c>
      <c r="H107" s="66"/>
      <c r="I107" s="66">
        <f ca="1">IFERROR(INDIRECT(CONCATENATE("Field!I",A102+6)),"")</f>
        <v>5</v>
      </c>
      <c r="J107" s="66" t="str">
        <f ca="1">IFERROR(INDIRECT(CONCATENATE("Field!J",A102+6)),"")</f>
        <v/>
      </c>
      <c r="K107" s="89" t="str">
        <f ca="1">IFERROR(INDIRECT(CONCATENATE("Field!K",A102+6)),"")</f>
        <v/>
      </c>
      <c r="L107" s="89" t="str">
        <f ca="1">IFERROR(INDIRECT(CONCATENATE("Field!L",A102+6)),"")</f>
        <v/>
      </c>
      <c r="M107" s="65" t="str">
        <f ca="1">IFERROR(INDIRECT(CONCATENATE("Field!M",A102+6)),"")</f>
        <v/>
      </c>
      <c r="N107" s="121" t="str">
        <f ca="1">IFERROR(INDIRECT(CONCATENATE("Field!N",A102+6)),"")</f>
        <v/>
      </c>
      <c r="T107" s="64">
        <f t="shared" ca="1" si="4"/>
        <v>2</v>
      </c>
      <c r="U107" s="64" t="str">
        <f t="shared" ca="1" si="5"/>
        <v/>
      </c>
      <c r="V107" s="422">
        <f ca="1">IF(OR(D107=0,D107="",D107="Athlete"),"",COUNTIF($D$4:$D107,D107))</f>
        <v>1</v>
      </c>
      <c r="W107" s="422" t="str">
        <f t="shared" ca="1" si="6"/>
        <v>Scun</v>
      </c>
      <c r="Z107" s="422" t="str">
        <f t="shared" ca="1" si="7"/>
        <v/>
      </c>
    </row>
    <row r="108" spans="1:26" x14ac:dyDescent="0.35">
      <c r="B108" s="66">
        <f ca="1">IFERROR(INDIRECT(CONCATENATE("Field!B",A102+7)),"")</f>
        <v>6</v>
      </c>
      <c r="C108" s="66" t="str">
        <f ca="1">IFERROR(INDIRECT(CONCATENATE("Field!C",A102+7)),"")</f>
        <v/>
      </c>
      <c r="D108" s="89" t="str">
        <f ca="1">IFERROR(INDIRECT(CONCATENATE("Field!D",A102+7)),"")</f>
        <v/>
      </c>
      <c r="E108" s="89" t="str">
        <f ca="1">IFERROR(INDIRECT(CONCATENATE("Field!E",A102+7)),"")</f>
        <v/>
      </c>
      <c r="F108" s="65" t="str">
        <f ca="1">IFERROR(INDIRECT(CONCATENATE("Field!F",A102+7)),"")</f>
        <v/>
      </c>
      <c r="G108" s="121" t="str">
        <f ca="1">IFERROR(INDIRECT(CONCATENATE("Field!G",A102+7)),"")</f>
        <v/>
      </c>
      <c r="H108" s="66"/>
      <c r="I108" s="66">
        <f ca="1">IFERROR(INDIRECT(CONCATENATE("Field!I",A102+7)),"")</f>
        <v>6</v>
      </c>
      <c r="J108" s="66" t="str">
        <f ca="1">IFERROR(INDIRECT(CONCATENATE("Field!J",A102+7)),"")</f>
        <v/>
      </c>
      <c r="K108" s="89" t="str">
        <f ca="1">IFERROR(INDIRECT(CONCATENATE("Field!K",A102+7)),"")</f>
        <v/>
      </c>
      <c r="L108" s="89" t="str">
        <f ca="1">IFERROR(INDIRECT(CONCATENATE("Field!L",A102+7)),"")</f>
        <v/>
      </c>
      <c r="M108" s="65" t="str">
        <f ca="1">IFERROR(INDIRECT(CONCATENATE("Field!M",A102+7)),"")</f>
        <v/>
      </c>
      <c r="N108" s="121" t="str">
        <f ca="1">IFERROR(INDIRECT(CONCATENATE("Field!N",A102+7)),"")</f>
        <v/>
      </c>
      <c r="T108" s="64" t="str">
        <f t="shared" ca="1" si="4"/>
        <v/>
      </c>
      <c r="U108" s="64" t="str">
        <f t="shared" ca="1" si="5"/>
        <v/>
      </c>
      <c r="V108" s="422" t="str">
        <f ca="1">IF(OR(D108=0,D108="",D108="Athlete"),"",COUNTIF($D$4:$D108,D108))</f>
        <v/>
      </c>
      <c r="W108" s="422" t="str">
        <f t="shared" ca="1" si="6"/>
        <v/>
      </c>
      <c r="Z108" s="422" t="str">
        <f t="shared" ca="1" si="7"/>
        <v/>
      </c>
    </row>
    <row r="109" spans="1:26" x14ac:dyDescent="0.35">
      <c r="B109" s="66">
        <f ca="1">IFERROR(INDIRECT(CONCATENATE("Field!B",A102+8)),"")</f>
        <v>7</v>
      </c>
      <c r="C109" s="66" t="str">
        <f ca="1">IFERROR(INDIRECT(CONCATENATE("Field!C",A102+8)),"")</f>
        <v/>
      </c>
      <c r="D109" s="89" t="str">
        <f ca="1">IFERROR(INDIRECT(CONCATENATE("Field!D",A102+8)),"")</f>
        <v/>
      </c>
      <c r="E109" s="89" t="str">
        <f ca="1">IFERROR(INDIRECT(CONCATENATE("Field!E",A102+8)),"")</f>
        <v/>
      </c>
      <c r="F109" s="65" t="str">
        <f ca="1">IFERROR(INDIRECT(CONCATENATE("Field!F",A102+8)),"")</f>
        <v/>
      </c>
      <c r="G109" s="121" t="str">
        <f ca="1">IFERROR(INDIRECT(CONCATENATE("Field!G",A102+8)),"")</f>
        <v/>
      </c>
      <c r="H109" s="66"/>
      <c r="I109" s="66">
        <f ca="1">IFERROR(INDIRECT(CONCATENATE("Field!I",A102+8)),"")</f>
        <v>7</v>
      </c>
      <c r="J109" s="66" t="str">
        <f ca="1">IFERROR(INDIRECT(CONCATENATE("Field!J",A102+8)),"")</f>
        <v/>
      </c>
      <c r="K109" s="89" t="str">
        <f ca="1">IFERROR(INDIRECT(CONCATENATE("Field!K",A102+8)),"")</f>
        <v/>
      </c>
      <c r="L109" s="89" t="str">
        <f ca="1">IFERROR(INDIRECT(CONCATENATE("Field!L",A102+8)),"")</f>
        <v/>
      </c>
      <c r="M109" s="65" t="str">
        <f ca="1">IFERROR(INDIRECT(CONCATENATE("Field!M",A102+8)),"")</f>
        <v/>
      </c>
      <c r="N109" s="121" t="str">
        <f ca="1">IFERROR(INDIRECT(CONCATENATE("Field!N",A102+8)),"")</f>
        <v/>
      </c>
      <c r="T109" s="64" t="str">
        <f t="shared" ca="1" si="4"/>
        <v/>
      </c>
      <c r="U109" s="64" t="str">
        <f t="shared" ca="1" si="5"/>
        <v/>
      </c>
      <c r="V109" s="422" t="str">
        <f ca="1">IF(OR(D109=0,D109="",D109="Athlete"),"",COUNTIF($D$4:$D109,D109))</f>
        <v/>
      </c>
      <c r="W109" s="422" t="str">
        <f t="shared" ca="1" si="6"/>
        <v/>
      </c>
      <c r="Z109" s="422" t="str">
        <f t="shared" ca="1" si="7"/>
        <v/>
      </c>
    </row>
    <row r="110" spans="1:26" x14ac:dyDescent="0.35">
      <c r="B110" s="66">
        <f ca="1">IFERROR(INDIRECT(CONCATENATE("Field!B",A102+9)),"")</f>
        <v>8</v>
      </c>
      <c r="C110" s="66" t="str">
        <f ca="1">IFERROR(INDIRECT(CONCATENATE("Field!C",A102+9)),"")</f>
        <v/>
      </c>
      <c r="D110" s="89" t="str">
        <f ca="1">IFERROR(INDIRECT(CONCATENATE("Field!D",A102+9)),"")</f>
        <v/>
      </c>
      <c r="E110" s="89" t="str">
        <f ca="1">IFERROR(INDIRECT(CONCATENATE("Field!E",A102+9)),"")</f>
        <v/>
      </c>
      <c r="F110" s="65" t="str">
        <f ca="1">IFERROR(INDIRECT(CONCATENATE("Field!F",A102+9)),"")</f>
        <v/>
      </c>
      <c r="G110" s="121" t="str">
        <f ca="1">IFERROR(INDIRECT(CONCATENATE("Field!G",A102+9)),"")</f>
        <v/>
      </c>
      <c r="H110" s="66"/>
      <c r="I110" s="66">
        <f ca="1">IFERROR(INDIRECT(CONCATENATE("Field!I",A102+9)),"")</f>
        <v>8</v>
      </c>
      <c r="J110" s="66" t="str">
        <f ca="1">IFERROR(INDIRECT(CONCATENATE("Field!J",A102+9)),"")</f>
        <v/>
      </c>
      <c r="K110" s="89" t="str">
        <f ca="1">IFERROR(INDIRECT(CONCATENATE("Field!K",A102+9)),"")</f>
        <v/>
      </c>
      <c r="L110" s="89" t="str">
        <f ca="1">IFERROR(INDIRECT(CONCATENATE("Field!L",A102+9)),"")</f>
        <v/>
      </c>
      <c r="M110" s="65" t="str">
        <f ca="1">IFERROR(INDIRECT(CONCATENATE("Field!M",A102+9)),"")</f>
        <v/>
      </c>
      <c r="N110" s="121" t="str">
        <f ca="1">IFERROR(INDIRECT(CONCATENATE("Field!N",A102+9)),"")</f>
        <v/>
      </c>
      <c r="T110" s="64" t="str">
        <f t="shared" ca="1" si="4"/>
        <v/>
      </c>
      <c r="U110" s="64" t="str">
        <f t="shared" ca="1" si="5"/>
        <v/>
      </c>
      <c r="V110" s="422" t="str">
        <f ca="1">IF(OR(D110=0,D110="",D110="Athlete"),"",COUNTIF($D$4:$D110,D110))</f>
        <v/>
      </c>
      <c r="W110" s="422" t="str">
        <f t="shared" ca="1" si="6"/>
        <v/>
      </c>
      <c r="Z110" s="422" t="str">
        <f t="shared" ca="1" si="7"/>
        <v/>
      </c>
    </row>
    <row r="111" spans="1:26" x14ac:dyDescent="0.35">
      <c r="T111" s="64" t="str">
        <f t="shared" si="4"/>
        <v/>
      </c>
      <c r="U111" s="64" t="str">
        <f t="shared" si="5"/>
        <v/>
      </c>
      <c r="V111" s="422" t="str">
        <f>IF(OR(D111=0,D111="",D111="Athlete"),"",COUNTIF($D$4:$D111,D111))</f>
        <v/>
      </c>
      <c r="W111" s="422" t="str">
        <f t="shared" si="6"/>
        <v/>
      </c>
      <c r="Z111" s="422" t="str">
        <f t="shared" si="7"/>
        <v/>
      </c>
    </row>
    <row r="112" spans="1:26" x14ac:dyDescent="0.35">
      <c r="A112" s="66" t="s">
        <v>246</v>
      </c>
      <c r="B112" s="115" t="str">
        <f ca="1">IFERROR(INDIRECT(CONCATENATE("Field!B",A113)),"")</f>
        <v>Javelin U13 Boys A</v>
      </c>
      <c r="G112" s="121" t="str">
        <f ca="1">IFERROR(INDIRECT(CONCATENATE("Field!g",A113)),"")</f>
        <v/>
      </c>
      <c r="I112" s="115" t="str">
        <f ca="1">IFERROR(INDIRECT(CONCATENATE("Field!I",A113)),"")</f>
        <v>Javelin U13 Boys B</v>
      </c>
      <c r="T112" s="64" t="str">
        <f t="shared" si="4"/>
        <v/>
      </c>
      <c r="U112" s="64" t="str">
        <f t="shared" si="5"/>
        <v/>
      </c>
      <c r="V112" s="422" t="str">
        <f>IF(OR(D112=0,D112="",D112="Athlete"),"",COUNTIF($D$4:$D112,D112))</f>
        <v/>
      </c>
      <c r="W112" s="422" t="str">
        <f t="shared" si="6"/>
        <v/>
      </c>
      <c r="Z112" s="422" t="str">
        <f t="shared" ca="1" si="7"/>
        <v/>
      </c>
    </row>
    <row r="113" spans="1:26" x14ac:dyDescent="0.35">
      <c r="A113" s="66">
        <f>IFERROR(MATCH(A112,Field!A:A,0),"")</f>
        <v>101</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c r="T113" s="64" t="str">
        <f t="shared" ca="1" si="4"/>
        <v/>
      </c>
      <c r="U113" s="64" t="str">
        <f t="shared" ca="1" si="5"/>
        <v/>
      </c>
      <c r="V113" s="422" t="str">
        <f ca="1">IF(OR(D113=0,D113="",D113="Athlete"),"",COUNTIF($D$4:$D113,D113))</f>
        <v/>
      </c>
      <c r="W113" s="422" t="str">
        <f t="shared" ca="1" si="6"/>
        <v/>
      </c>
      <c r="Z113" s="422">
        <f t="shared" ca="1" si="7"/>
        <v>0</v>
      </c>
    </row>
    <row r="114" spans="1:26" x14ac:dyDescent="0.35">
      <c r="B114" s="66">
        <f ca="1">IFERROR(INDIRECT(CONCATENATE("Field!B",A113+2)),"")</f>
        <v>1</v>
      </c>
      <c r="C114" s="66">
        <f ca="1">IFERROR(INDIRECT(CONCATENATE("Field!C",A113+2)),"")</f>
        <v>2</v>
      </c>
      <c r="D114" s="89" t="str">
        <f ca="1">IFERROR(INDIRECT(CONCATENATE("Field!D",A113+2)),"")</f>
        <v>HENNESSEY Thomas</v>
      </c>
      <c r="E114" s="89" t="str">
        <f ca="1">IFERROR(INDIRECT(CONCATENATE("Field!E",A113+2)),"")</f>
        <v>Sheff+D</v>
      </c>
      <c r="F114" s="65">
        <f ca="1">IFERROR(INDIRECT(CONCATENATE("Field!F",A113+2)),"")</f>
        <v>27.83</v>
      </c>
      <c r="G114" s="121">
        <f ca="1">IFERROR(INDIRECT(CONCATENATE("Field!G",A113+2)),"")</f>
        <v>3</v>
      </c>
      <c r="H114" s="66"/>
      <c r="I114" s="66">
        <f ca="1">IFERROR(INDIRECT(CONCATENATE("Field!I",A113+2)),"")</f>
        <v>1</v>
      </c>
      <c r="J114" s="66">
        <f ca="1">IFERROR(INDIRECT(CONCATENATE("Field!J",A113+2)),"")</f>
        <v>22</v>
      </c>
      <c r="K114" s="89" t="str">
        <f ca="1">IFERROR(INDIRECT(CONCATENATE("Field!K",A113+2)),"")</f>
        <v>COCKINGS Matthew</v>
      </c>
      <c r="L114" s="89" t="str">
        <f ca="1">IFERROR(INDIRECT(CONCATENATE("Field!L",A113+2)),"")</f>
        <v>Sheff+D</v>
      </c>
      <c r="M114" s="65">
        <f ca="1">IFERROR(INDIRECT(CONCATENATE("Field!M",A113+2)),"")</f>
        <v>16.329999999999998</v>
      </c>
      <c r="N114" s="121" t="str">
        <f ca="1">IFERROR(INDIRECT(CONCATENATE("Field!N",A113+2)),"")</f>
        <v/>
      </c>
      <c r="R114" s="219">
        <f ca="1">IFERROR(INDIRECT(CONCATENATE("Field!r",A113+2)),"")</f>
        <v>1</v>
      </c>
      <c r="T114" s="64">
        <f t="shared" ca="1" si="4"/>
        <v>2</v>
      </c>
      <c r="U114" s="64">
        <f t="shared" ca="1" si="5"/>
        <v>3</v>
      </c>
      <c r="V114" s="422">
        <f ca="1">IF(OR(D114=0,D114="",D114="Athlete"),"",COUNTIF($D$4:$D114,D114))</f>
        <v>1</v>
      </c>
      <c r="W114" s="422" t="str">
        <f t="shared" ca="1" si="6"/>
        <v>Sheff+D</v>
      </c>
      <c r="Z114" s="422">
        <f t="shared" ca="1" si="7"/>
        <v>0</v>
      </c>
    </row>
    <row r="115" spans="1:26" x14ac:dyDescent="0.35">
      <c r="B115" s="66">
        <f ca="1">IFERROR(INDIRECT(CONCATENATE("Field!B",A113+3)),"")</f>
        <v>2</v>
      </c>
      <c r="C115" s="66">
        <f ca="1">IFERROR(INDIRECT(CONCATENATE("Field!C",A113+3)),"")</f>
        <v>3</v>
      </c>
      <c r="D115" s="89" t="str">
        <f ca="1">IFERROR(INDIRECT(CONCATENATE("Field!D",A113+3)),"")</f>
        <v>RUTTER Lewis</v>
      </c>
      <c r="E115" s="89" t="str">
        <f ca="1">IFERROR(INDIRECT(CONCATENATE("Field!E",A113+3)),"")</f>
        <v>York</v>
      </c>
      <c r="F115" s="65">
        <f ca="1">IFERROR(INDIRECT(CONCATENATE("Field!F",A113+3)),"")</f>
        <v>18.79</v>
      </c>
      <c r="G115" s="121" t="str">
        <f ca="1">IFERROR(INDIRECT(CONCATENATE("Field!G",A113+3)),"")</f>
        <v/>
      </c>
      <c r="H115" s="66"/>
      <c r="I115" s="66">
        <f ca="1">IFERROR(INDIRECT(CONCATENATE("Field!I",A113+3)),"")</f>
        <v>2</v>
      </c>
      <c r="J115" s="66">
        <f ca="1">IFERROR(INDIRECT(CONCATENATE("Field!J",A113+3)),"")</f>
        <v>33</v>
      </c>
      <c r="K115" s="89" t="str">
        <f ca="1">IFERROR(INDIRECT(CONCATENATE("Field!K",A113+3)),"")</f>
        <v>ROTHWELL Noah</v>
      </c>
      <c r="L115" s="89" t="str">
        <f ca="1">IFERROR(INDIRECT(CONCATENATE("Field!L",A113+3)),"")</f>
        <v>York</v>
      </c>
      <c r="M115" s="65">
        <f ca="1">IFERROR(INDIRECT(CONCATENATE("Field!M",A113+3)),"")</f>
        <v>14.45</v>
      </c>
      <c r="N115" s="121" t="str">
        <f ca="1">IFERROR(INDIRECT(CONCATENATE("Field!N",A113+3)),"")</f>
        <v/>
      </c>
      <c r="T115" s="64">
        <f t="shared" ca="1" si="4"/>
        <v>1</v>
      </c>
      <c r="U115" s="64">
        <f t="shared" ca="1" si="5"/>
        <v>2</v>
      </c>
      <c r="V115" s="422">
        <f ca="1">IF(OR(D115=0,D115="",D115="Athlete"),"",COUNTIF($D$4:$D115,D115))</f>
        <v>1</v>
      </c>
      <c r="W115" s="422" t="str">
        <f t="shared" ca="1" si="6"/>
        <v>York</v>
      </c>
      <c r="Z115" s="422" t="str">
        <f t="shared" ca="1" si="7"/>
        <v/>
      </c>
    </row>
    <row r="116" spans="1:26" x14ac:dyDescent="0.35">
      <c r="B116" s="66">
        <f ca="1">IFERROR(INDIRECT(CONCATENATE("Field!B",A113+4)),"")</f>
        <v>3</v>
      </c>
      <c r="C116" s="66">
        <f ca="1">IFERROR(INDIRECT(CONCATENATE("Field!C",A113+4)),"")</f>
        <v>5</v>
      </c>
      <c r="D116" s="89" t="str">
        <f ca="1">IFERROR(INDIRECT(CONCATENATE("Field!D",A113+4)),"")</f>
        <v>COOK Alexander</v>
      </c>
      <c r="E116" s="89" t="str">
        <f ca="1">IFERROR(INDIRECT(CONCATENATE("Field!E",A113+4)),"")</f>
        <v>Scun</v>
      </c>
      <c r="F116" s="65">
        <f ca="1">IFERROR(INDIRECT(CONCATENATE("Field!F",A113+4)),"")</f>
        <v>16.600000000000001</v>
      </c>
      <c r="G116" s="121" t="str">
        <f ca="1">IFERROR(INDIRECT(CONCATENATE("Field!G",A113+4)),"")</f>
        <v/>
      </c>
      <c r="H116" s="66"/>
      <c r="I116" s="66">
        <f ca="1">IFERROR(INDIRECT(CONCATENATE("Field!I",A113+4)),"")</f>
        <v>3</v>
      </c>
      <c r="J116" s="66">
        <f ca="1">IFERROR(INDIRECT(CONCATENATE("Field!J",A113+4)),"")</f>
        <v>55</v>
      </c>
      <c r="K116" s="89" t="str">
        <f ca="1">IFERROR(INDIRECT(CONCATENATE("Field!K",A113+4)),"")</f>
        <v>PELL Nathan</v>
      </c>
      <c r="L116" s="89" t="str">
        <f ca="1">IFERROR(INDIRECT(CONCATENATE("Field!L",A113+4)),"")</f>
        <v>Scun</v>
      </c>
      <c r="M116" s="65">
        <f ca="1">IFERROR(INDIRECT(CONCATENATE("Field!M",A113+4)),"")</f>
        <v>11.57</v>
      </c>
      <c r="N116" s="121" t="str">
        <f ca="1">IFERROR(INDIRECT(CONCATENATE("Field!N",A113+4)),"")</f>
        <v/>
      </c>
      <c r="T116" s="64">
        <f t="shared" ca="1" si="4"/>
        <v>2</v>
      </c>
      <c r="U116" s="64">
        <f t="shared" ca="1" si="5"/>
        <v>2</v>
      </c>
      <c r="V116" s="422">
        <f ca="1">IF(OR(D116=0,D116="",D116="Athlete"),"",COUNTIF($D$4:$D116,D116))</f>
        <v>2</v>
      </c>
      <c r="W116" s="422" t="str">
        <f t="shared" ca="1" si="6"/>
        <v>Scun</v>
      </c>
      <c r="Z116" s="422" t="str">
        <f t="shared" ca="1" si="7"/>
        <v/>
      </c>
    </row>
    <row r="117" spans="1:26" x14ac:dyDescent="0.35">
      <c r="B117" s="66">
        <f ca="1">IFERROR(INDIRECT(CONCATENATE("Field!B",A113+5)),"")</f>
        <v>4</v>
      </c>
      <c r="C117" s="66">
        <f ca="1">IFERROR(INDIRECT(CONCATENATE("Field!C",A113+5)),"")</f>
        <v>4</v>
      </c>
      <c r="D117" s="89" t="str">
        <f ca="1">IFERROR(INDIRECT(CONCATENATE("Field!D",A113+5)),"")</f>
        <v>MAYNARD Finley</v>
      </c>
      <c r="E117" s="89" t="str">
        <f ca="1">IFERROR(INDIRECT(CONCATENATE("Field!E",A113+5)),"")</f>
        <v>M'bro</v>
      </c>
      <c r="F117" s="65">
        <f ca="1">IFERROR(INDIRECT(CONCATENATE("Field!F",A113+5)),"")</f>
        <v>14.05</v>
      </c>
      <c r="G117" s="121" t="str">
        <f ca="1">IFERROR(INDIRECT(CONCATENATE("Field!G",A113+5)),"")</f>
        <v/>
      </c>
      <c r="H117" s="66"/>
      <c r="I117" s="66">
        <f ca="1">IFERROR(INDIRECT(CONCATENATE("Field!I",A113+5)),"")</f>
        <v>4</v>
      </c>
      <c r="J117" s="66" t="str">
        <f ca="1">IFERROR(INDIRECT(CONCATENATE("Field!J",A113+5)),"")</f>
        <v/>
      </c>
      <c r="K117" s="89" t="str">
        <f ca="1">IFERROR(INDIRECT(CONCATENATE("Field!K",A113+5)),"")</f>
        <v/>
      </c>
      <c r="L117" s="89" t="str">
        <f ca="1">IFERROR(INDIRECT(CONCATENATE("Field!L",A113+5)),"")</f>
        <v/>
      </c>
      <c r="M117" s="65" t="str">
        <f ca="1">IFERROR(INDIRECT(CONCATENATE("Field!M",A113+5)),"")</f>
        <v/>
      </c>
      <c r="N117" s="121" t="str">
        <f ca="1">IFERROR(INDIRECT(CONCATENATE("Field!N",A113+5)),"")</f>
        <v/>
      </c>
      <c r="T117" s="64">
        <f t="shared" ca="1" si="4"/>
        <v>3</v>
      </c>
      <c r="U117" s="64" t="str">
        <f t="shared" ca="1" si="5"/>
        <v/>
      </c>
      <c r="V117" s="422">
        <f ca="1">IF(OR(D117=0,D117="",D117="Athlete"),"",COUNTIF($D$4:$D117,D117))</f>
        <v>3</v>
      </c>
      <c r="W117" s="422" t="str">
        <f t="shared" ca="1" si="6"/>
        <v>M'bro</v>
      </c>
      <c r="Z117" s="422" t="str">
        <f t="shared" ca="1" si="7"/>
        <v/>
      </c>
    </row>
    <row r="118" spans="1:26" x14ac:dyDescent="0.35">
      <c r="B118" s="66">
        <f ca="1">IFERROR(INDIRECT(CONCATENATE("Field!B",A113+6)),"")</f>
        <v>5</v>
      </c>
      <c r="C118" s="66">
        <f ca="1">IFERROR(INDIRECT(CONCATENATE("Field!C",A113+6)),"")</f>
        <v>1</v>
      </c>
      <c r="D118" s="89" t="str">
        <f ca="1">IFERROR(INDIRECT(CONCATENATE("Field!D",A113+6)),"")</f>
        <v>STOWELL Callum</v>
      </c>
      <c r="E118" s="89" t="str">
        <f ca="1">IFERROR(INDIRECT(CONCATENATE("Field!E",A113+6)),"")</f>
        <v>C'field</v>
      </c>
      <c r="F118" s="65">
        <f ca="1">IFERROR(INDIRECT(CONCATENATE("Field!F",A113+6)),"")</f>
        <v>12.32</v>
      </c>
      <c r="G118" s="121" t="str">
        <f ca="1">IFERROR(INDIRECT(CONCATENATE("Field!G",A113+6)),"")</f>
        <v/>
      </c>
      <c r="H118" s="66"/>
      <c r="I118" s="66">
        <f ca="1">IFERROR(INDIRECT(CONCATENATE("Field!I",A113+6)),"")</f>
        <v>5</v>
      </c>
      <c r="J118" s="66" t="str">
        <f ca="1">IFERROR(INDIRECT(CONCATENATE("Field!J",A113+6)),"")</f>
        <v/>
      </c>
      <c r="K118" s="89" t="str">
        <f ca="1">IFERROR(INDIRECT(CONCATENATE("Field!K",A113+6)),"")</f>
        <v/>
      </c>
      <c r="L118" s="89" t="str">
        <f ca="1">IFERROR(INDIRECT(CONCATENATE("Field!L",A113+6)),"")</f>
        <v/>
      </c>
      <c r="M118" s="65" t="str">
        <f ca="1">IFERROR(INDIRECT(CONCATENATE("Field!M",A113+6)),"")</f>
        <v/>
      </c>
      <c r="N118" s="121" t="str">
        <f ca="1">IFERROR(INDIRECT(CONCATENATE("Field!N",A113+6)),"")</f>
        <v/>
      </c>
      <c r="T118" s="64">
        <f t="shared" ca="1" si="4"/>
        <v>3</v>
      </c>
      <c r="U118" s="64" t="str">
        <f t="shared" ca="1" si="5"/>
        <v/>
      </c>
      <c r="V118" s="422">
        <f ca="1">IF(OR(D118=0,D118="",D118="Athlete"),"",COUNTIF($D$4:$D118,D118))</f>
        <v>2</v>
      </c>
      <c r="W118" s="422" t="str">
        <f t="shared" ca="1" si="6"/>
        <v>C'field</v>
      </c>
      <c r="Z118" s="422" t="str">
        <f t="shared" ca="1" si="7"/>
        <v/>
      </c>
    </row>
    <row r="119" spans="1:26" x14ac:dyDescent="0.35">
      <c r="B119" s="66">
        <f ca="1">IFERROR(INDIRECT(CONCATENATE("Field!B",A113+7)),"")</f>
        <v>6</v>
      </c>
      <c r="C119" s="66" t="str">
        <f ca="1">IFERROR(INDIRECT(CONCATENATE("Field!C",A113+7)),"")</f>
        <v/>
      </c>
      <c r="D119" s="89" t="str">
        <f ca="1">IFERROR(INDIRECT(CONCATENATE("Field!D",A113+7)),"")</f>
        <v/>
      </c>
      <c r="E119" s="89" t="str">
        <f ca="1">IFERROR(INDIRECT(CONCATENATE("Field!E",A113+7)),"")</f>
        <v/>
      </c>
      <c r="F119" s="65" t="str">
        <f ca="1">IFERROR(INDIRECT(CONCATENATE("Field!F",A113+7)),"")</f>
        <v/>
      </c>
      <c r="G119" s="121" t="str">
        <f ca="1">IFERROR(INDIRECT(CONCATENATE("Field!G",A113+7)),"")</f>
        <v/>
      </c>
      <c r="H119" s="66"/>
      <c r="I119" s="66">
        <f ca="1">IFERROR(INDIRECT(CONCATENATE("Field!I",A113+7)),"")</f>
        <v>6</v>
      </c>
      <c r="J119" s="66" t="str">
        <f ca="1">IFERROR(INDIRECT(CONCATENATE("Field!J",A113+7)),"")</f>
        <v/>
      </c>
      <c r="K119" s="89" t="str">
        <f ca="1">IFERROR(INDIRECT(CONCATENATE("Field!K",A113+7)),"")</f>
        <v/>
      </c>
      <c r="L119" s="89" t="str">
        <f ca="1">IFERROR(INDIRECT(CONCATENATE("Field!L",A113+7)),"")</f>
        <v/>
      </c>
      <c r="M119" s="65" t="str">
        <f ca="1">IFERROR(INDIRECT(CONCATENATE("Field!M",A113+7)),"")</f>
        <v/>
      </c>
      <c r="N119" s="121" t="str">
        <f ca="1">IFERROR(INDIRECT(CONCATENATE("Field!N",A113+7)),"")</f>
        <v/>
      </c>
      <c r="T119" s="64" t="str">
        <f t="shared" ca="1" si="4"/>
        <v/>
      </c>
      <c r="U119" s="64" t="str">
        <f t="shared" ca="1" si="5"/>
        <v/>
      </c>
      <c r="V119" s="422" t="str">
        <f ca="1">IF(OR(D119=0,D119="",D119="Athlete"),"",COUNTIF($D$4:$D119,D119))</f>
        <v/>
      </c>
      <c r="W119" s="422" t="str">
        <f t="shared" ca="1" si="6"/>
        <v/>
      </c>
      <c r="Z119" s="422" t="str">
        <f t="shared" ca="1" si="7"/>
        <v/>
      </c>
    </row>
    <row r="120" spans="1:26" x14ac:dyDescent="0.35">
      <c r="B120" s="66">
        <f ca="1">IFERROR(INDIRECT(CONCATENATE("Field!B",A113+8)),"")</f>
        <v>7</v>
      </c>
      <c r="C120" s="66" t="str">
        <f ca="1">IFERROR(INDIRECT(CONCATENATE("Field!C",A113+8)),"")</f>
        <v/>
      </c>
      <c r="D120" s="89" t="str">
        <f ca="1">IFERROR(INDIRECT(CONCATENATE("Field!D",A113+8)),"")</f>
        <v/>
      </c>
      <c r="E120" s="89" t="str">
        <f ca="1">IFERROR(INDIRECT(CONCATENATE("Field!E",A113+8)),"")</f>
        <v/>
      </c>
      <c r="F120" s="65" t="str">
        <f ca="1">IFERROR(INDIRECT(CONCATENATE("Field!F",A113+8)),"")</f>
        <v/>
      </c>
      <c r="G120" s="121" t="str">
        <f ca="1">IFERROR(INDIRECT(CONCATENATE("Field!G",A113+8)),"")</f>
        <v/>
      </c>
      <c r="H120" s="66"/>
      <c r="I120" s="66">
        <f ca="1">IFERROR(INDIRECT(CONCATENATE("Field!I",A113+8)),"")</f>
        <v>7</v>
      </c>
      <c r="J120" s="66" t="str">
        <f ca="1">IFERROR(INDIRECT(CONCATENATE("Field!J",A113+8)),"")</f>
        <v/>
      </c>
      <c r="K120" s="89" t="str">
        <f ca="1">IFERROR(INDIRECT(CONCATENATE("Field!K",A113+8)),"")</f>
        <v/>
      </c>
      <c r="L120" s="89" t="str">
        <f ca="1">IFERROR(INDIRECT(CONCATENATE("Field!L",A113+8)),"")</f>
        <v/>
      </c>
      <c r="M120" s="65" t="str">
        <f ca="1">IFERROR(INDIRECT(CONCATENATE("Field!M",A113+8)),"")</f>
        <v/>
      </c>
      <c r="N120" s="121" t="str">
        <f ca="1">IFERROR(INDIRECT(CONCATENATE("Field!N",A113+8)),"")</f>
        <v/>
      </c>
      <c r="T120" s="64" t="str">
        <f t="shared" ca="1" si="4"/>
        <v/>
      </c>
      <c r="U120" s="64" t="str">
        <f t="shared" ca="1" si="5"/>
        <v/>
      </c>
      <c r="V120" s="422" t="str">
        <f ca="1">IF(OR(D120=0,D120="",D120="Athlete"),"",COUNTIF($D$4:$D120,D120))</f>
        <v/>
      </c>
      <c r="W120" s="422" t="str">
        <f t="shared" ca="1" si="6"/>
        <v/>
      </c>
      <c r="Z120" s="422" t="str">
        <f t="shared" ca="1" si="7"/>
        <v/>
      </c>
    </row>
    <row r="121" spans="1:26" x14ac:dyDescent="0.35">
      <c r="B121" s="66">
        <f ca="1">IFERROR(INDIRECT(CONCATENATE("Field!B",A113+9)),"")</f>
        <v>8</v>
      </c>
      <c r="C121" s="66" t="str">
        <f ca="1">IFERROR(INDIRECT(CONCATENATE("Field!C",A113+9)),"")</f>
        <v/>
      </c>
      <c r="D121" s="89" t="str">
        <f ca="1">IFERROR(INDIRECT(CONCATENATE("Field!D",A113+9)),"")</f>
        <v/>
      </c>
      <c r="E121" s="89" t="str">
        <f ca="1">IFERROR(INDIRECT(CONCATENATE("Field!E",A113+9)),"")</f>
        <v/>
      </c>
      <c r="F121" s="65" t="str">
        <f ca="1">IFERROR(INDIRECT(CONCATENATE("Field!F",A113+9)),"")</f>
        <v/>
      </c>
      <c r="G121" s="121" t="str">
        <f ca="1">IFERROR(INDIRECT(CONCATENATE("Field!G",A113+9)),"")</f>
        <v/>
      </c>
      <c r="H121" s="66"/>
      <c r="I121" s="66">
        <f ca="1">IFERROR(INDIRECT(CONCATENATE("Field!I",A113+9)),"")</f>
        <v>8</v>
      </c>
      <c r="J121" s="66" t="str">
        <f ca="1">IFERROR(INDIRECT(CONCATENATE("Field!J",A113+9)),"")</f>
        <v/>
      </c>
      <c r="K121" s="89" t="str">
        <f ca="1">IFERROR(INDIRECT(CONCATENATE("Field!K",A113+9)),"")</f>
        <v/>
      </c>
      <c r="L121" s="89" t="str">
        <f ca="1">IFERROR(INDIRECT(CONCATENATE("Field!L",A113+9)),"")</f>
        <v/>
      </c>
      <c r="M121" s="65" t="str">
        <f ca="1">IFERROR(INDIRECT(CONCATENATE("Field!M",A113+9)),"")</f>
        <v/>
      </c>
      <c r="N121" s="121" t="str">
        <f ca="1">IFERROR(INDIRECT(CONCATENATE("Field!N",A113+9)),"")</f>
        <v/>
      </c>
      <c r="T121" s="64" t="str">
        <f t="shared" ca="1" si="4"/>
        <v/>
      </c>
      <c r="U121" s="64" t="str">
        <f t="shared" ca="1" si="5"/>
        <v/>
      </c>
      <c r="V121" s="422" t="str">
        <f ca="1">IF(OR(D121=0,D121="",D121="Athlete"),"",COUNTIF($D$4:$D121,D121))</f>
        <v/>
      </c>
      <c r="W121" s="422" t="str">
        <f t="shared" ca="1" si="6"/>
        <v/>
      </c>
      <c r="Z121" s="422" t="str">
        <f t="shared" ca="1" si="7"/>
        <v/>
      </c>
    </row>
    <row r="122" spans="1:26" x14ac:dyDescent="0.35">
      <c r="T122" s="64" t="str">
        <f t="shared" si="4"/>
        <v/>
      </c>
      <c r="U122" s="64" t="str">
        <f t="shared" si="5"/>
        <v/>
      </c>
      <c r="V122" s="422" t="str">
        <f>IF(OR(D122=0,D122="",D122="Athlete"),"",COUNTIF($D$4:$D122,D122))</f>
        <v/>
      </c>
      <c r="W122" s="422" t="str">
        <f t="shared" si="6"/>
        <v/>
      </c>
      <c r="Z122" s="422" t="str">
        <f t="shared" si="7"/>
        <v/>
      </c>
    </row>
    <row r="123" spans="1:26" x14ac:dyDescent="0.35">
      <c r="A123" s="66" t="s">
        <v>316</v>
      </c>
      <c r="B123" s="115" t="str">
        <f ca="1">IFERROR(INDIRECT(CONCATENATE("Relays!B",A124)),"")</f>
        <v xml:space="preserve"> 4 x 100m U13 Boys A</v>
      </c>
      <c r="M123" s="149" t="str">
        <f ca="1">IFERROR(INDIRECT(CONCATENATE("Relays!i",A124)),"")</f>
        <v/>
      </c>
      <c r="T123" s="64" t="str">
        <f t="shared" si="4"/>
        <v/>
      </c>
      <c r="U123" s="64" t="str">
        <f t="shared" si="5"/>
        <v/>
      </c>
      <c r="V123" s="422" t="str">
        <f>IF(OR(D123=0,D123="",D123="Athlete"),"",COUNTIF($D$4:$D123,D123))</f>
        <v/>
      </c>
      <c r="W123" s="422" t="str">
        <f t="shared" si="6"/>
        <v/>
      </c>
      <c r="Z123" s="422" t="str">
        <f t="shared" si="7"/>
        <v/>
      </c>
    </row>
    <row r="124" spans="1:26" x14ac:dyDescent="0.35">
      <c r="A124" s="66">
        <f>IFERROR(MATCH(A123,Relays!A:A,0),"")</f>
        <v>13</v>
      </c>
      <c r="B124" s="45" t="str">
        <f ca="1">IFERROR(INDIRECT(CONCATENATE("Relays!B",A124+1)),"")</f>
        <v>Posn</v>
      </c>
      <c r="C124" s="45" t="str">
        <f ca="1">IFERROR(INDIRECT(CONCATENATE("Relays!C",A124+1)),"")</f>
        <v>No.</v>
      </c>
      <c r="D124" s="182" t="s">
        <v>783</v>
      </c>
      <c r="G124" s="45"/>
      <c r="K124" s="45"/>
      <c r="L124" s="182" t="str">
        <f ca="1">IFERROR(INDIRECT(CONCATENATE("Relays!D",A124+1)),"")</f>
        <v>Club</v>
      </c>
      <c r="M124" s="149" t="str">
        <f ca="1">IFERROR(INDIRECT(CONCATENATE("Relays!i",A124+1)),"")</f>
        <v>Perf</v>
      </c>
      <c r="T124" s="64">
        <f t="shared" ref="T124:T132" ca="1" si="8">IF(OR(L124=0,L124="",L124="Athlete"),"",COUNTIF($D$4:$D$352,L124))</f>
        <v>0</v>
      </c>
      <c r="U124" s="64" t="str">
        <f t="shared" si="5"/>
        <v/>
      </c>
      <c r="V124" s="422">
        <f ca="1">IF(OR(L124=0,L124="",L124="Athlete"),"",COUNTIF($D$4:$D123,L124))</f>
        <v>0</v>
      </c>
      <c r="W124" s="422" t="str">
        <f t="shared" ref="W124:W132" ca="1" si="9">IF(OR(L124=0,L124="",L124="Athlete"),"",D124)</f>
        <v>Runners</v>
      </c>
      <c r="Z124" s="422" t="str">
        <f t="shared" si="7"/>
        <v/>
      </c>
    </row>
    <row r="125" spans="1:26" x14ac:dyDescent="0.35">
      <c r="B125" s="66">
        <f ca="1">IFERROR(INDIRECT(CONCATENATE("Relays!B",A124+2)),"")</f>
        <v>1</v>
      </c>
      <c r="C125" s="66">
        <f ca="1">IFERROR(INDIRECT(CONCATENATE("Relays!C",A124+2)),"")</f>
        <v>3</v>
      </c>
      <c r="D125" s="89" t="str">
        <f ca="1">IFERROR(IF(INDIRECT(CONCATENATE("Relays!e",A124+2))="","",INDIRECT(CONCATENATE("Relays!e",A124+2))&amp;", "&amp;INDIRECT(CONCATENATE("Relays!f",A124+2))&amp;", "&amp;INDIRECT(CONCATENATE("Relays!g",A124+2))&amp;", "&amp;INDIRECT(CONCATENATE("Relays!h",A124+2))),"")</f>
        <v>BASTOW Isaac, PEARSON Adam, HICKLING William, MARSHALL Syd</v>
      </c>
      <c r="G125" s="66"/>
      <c r="K125" s="66"/>
      <c r="L125" s="89" t="str">
        <f ca="1">IFERROR(INDIRECT(CONCATENATE("Relays!D",A124+2)),"")</f>
        <v>York</v>
      </c>
      <c r="M125" s="65">
        <f ca="1">IFERROR(INDIRECT(CONCATENATE("Relays!i",A124+2)),"")</f>
        <v>58.8</v>
      </c>
      <c r="R125" s="66">
        <f ca="1">IFERROR(INDIRECT(CONCATENATE("Relays!M",A124+2)),"")</f>
        <v>1</v>
      </c>
      <c r="T125" s="64">
        <f t="shared" ca="1" si="8"/>
        <v>0</v>
      </c>
      <c r="U125" s="64" t="str">
        <f t="shared" si="5"/>
        <v/>
      </c>
      <c r="V125" s="422">
        <f ca="1">IF(OR(L125=0,L125="",L125="Athlete"),"",COUNTIF($D$4:$D123,L125))</f>
        <v>0</v>
      </c>
      <c r="W125" s="422" t="str">
        <f t="shared" ca="1" si="9"/>
        <v>BASTOW Isaac, PEARSON Adam, HICKLING William, MARSHALL Syd</v>
      </c>
      <c r="Z125" s="422" t="str">
        <f t="shared" si="7"/>
        <v/>
      </c>
    </row>
    <row r="126" spans="1:26" x14ac:dyDescent="0.35">
      <c r="B126" s="66">
        <f ca="1">IFERROR(INDIRECT(CONCATENATE("Relays!B",A124+3)),"")</f>
        <v>2</v>
      </c>
      <c r="C126" s="66">
        <f ca="1">IFERROR(INDIRECT(CONCATENATE("Relays!C",A124+3)),"")</f>
        <v>2</v>
      </c>
      <c r="D126" s="89" t="str">
        <f ca="1">IFERROR(IF(INDIRECT(CONCATENATE("Relays!e",A124+3))="","",INDIRECT(CONCATENATE("Relays!e",A124+3))&amp;", "&amp;INDIRECT(CONCATENATE("Relays!f",A124+3))&amp;", "&amp;INDIRECT(CONCATENATE("Relays!g",A124+3))&amp;", "&amp;INDIRECT(CONCATENATE("Relays!h",A124+3))),"")</f>
        <v>REILLY Arthur, WINGFIELD Tyler, MAY Rudi, CONNELLY George</v>
      </c>
      <c r="G126" s="66"/>
      <c r="K126" s="66"/>
      <c r="L126" s="89" t="str">
        <f ca="1">IFERROR(INDIRECT(CONCATENATE("Relays!D",A124+3)),"")</f>
        <v>Sheff+D</v>
      </c>
      <c r="M126" s="65">
        <f ca="1">IFERROR(INDIRECT(CONCATENATE("Relays!i",A124+3)),"")</f>
        <v>59.8</v>
      </c>
      <c r="T126" s="64">
        <f t="shared" ca="1" si="8"/>
        <v>0</v>
      </c>
      <c r="U126" s="64" t="str">
        <f t="shared" si="5"/>
        <v/>
      </c>
      <c r="V126" s="422">
        <f ca="1">IF(OR(L126=0,L126="",L126="Athlete"),"",COUNTIF($D$4:$D123,L126))</f>
        <v>0</v>
      </c>
      <c r="W126" s="422" t="str">
        <f t="shared" ca="1" si="9"/>
        <v>REILLY Arthur, WINGFIELD Tyler, MAY Rudi, CONNELLY George</v>
      </c>
      <c r="Z126" s="422" t="str">
        <f t="shared" si="7"/>
        <v/>
      </c>
    </row>
    <row r="127" spans="1:26" x14ac:dyDescent="0.35">
      <c r="B127" s="66">
        <f ca="1">IFERROR(INDIRECT(CONCATENATE("Relays!B",A124+4)),"")</f>
        <v>3</v>
      </c>
      <c r="C127" s="66">
        <f ca="1">IFERROR(INDIRECT(CONCATENATE("Relays!C",A124+4)),"")</f>
        <v>4</v>
      </c>
      <c r="D127" s="89" t="str">
        <f ca="1">IFERROR(IF(INDIRECT(CONCATENATE("Relays!e",A124+4))="","",INDIRECT(CONCATENATE("Relays!e",A124+4))&amp;", "&amp;INDIRECT(CONCATENATE("Relays!f",A124+4))&amp;", "&amp;INDIRECT(CONCATENATE("Relays!g",A124+4))&amp;", "&amp;INDIRECT(CONCATENATE("Relays!h",A124+4))),"")</f>
        <v>O'HARE Christy, MARRON Ethan, HONEYMAN Leo, MAYNARD Finley</v>
      </c>
      <c r="G127" s="66"/>
      <c r="K127" s="66"/>
      <c r="L127" s="89" t="str">
        <f ca="1">IFERROR(INDIRECT(CONCATENATE("Relays!D",A124+4)),"")</f>
        <v>M'bro</v>
      </c>
      <c r="M127" s="65">
        <f ca="1">IFERROR(INDIRECT(CONCATENATE("Relays!i",A124+4)),"")</f>
        <v>60.4</v>
      </c>
      <c r="T127" s="64">
        <f t="shared" ca="1" si="8"/>
        <v>0</v>
      </c>
      <c r="U127" s="64" t="str">
        <f t="shared" si="5"/>
        <v/>
      </c>
      <c r="V127" s="422">
        <f ca="1">IF(OR(L127=0,L127="",L127="Athlete"),"",COUNTIF($D$4:$D123,L127))</f>
        <v>0</v>
      </c>
      <c r="W127" s="422" t="str">
        <f t="shared" ca="1" si="9"/>
        <v>O'HARE Christy, MARRON Ethan, HONEYMAN Leo, MAYNARD Finley</v>
      </c>
      <c r="Z127" s="422" t="str">
        <f t="shared" si="7"/>
        <v/>
      </c>
    </row>
    <row r="128" spans="1:26" x14ac:dyDescent="0.35">
      <c r="B128" s="66">
        <f ca="1">IFERROR(INDIRECT(CONCATENATE("Relays!B",A124+5)),"")</f>
        <v>4</v>
      </c>
      <c r="C128" s="66">
        <f ca="1">IFERROR(INDIRECT(CONCATENATE("Relays!C",A124+5)),"")</f>
        <v>1</v>
      </c>
      <c r="D128" s="89" t="str">
        <f ca="1">IFERROR(IF(INDIRECT(CONCATENATE("Relays!e",A124+5))="","",INDIRECT(CONCATENATE("Relays!e",A124+5))&amp;", "&amp;INDIRECT(CONCATENATE("Relays!f",A124+5))&amp;", "&amp;INDIRECT(CONCATENATE("Relays!g",A124+5))&amp;", "&amp;INDIRECT(CONCATENATE("Relays!h",A124+5))),"")</f>
        <v>DREW Matthew, STOWELL Callum, LOWE Seth, GASKIN Nathanael</v>
      </c>
      <c r="G128" s="66"/>
      <c r="K128" s="66"/>
      <c r="L128" s="89" t="str">
        <f ca="1">IFERROR(INDIRECT(CONCATENATE("Relays!D",A124+5)),"")</f>
        <v>C'field</v>
      </c>
      <c r="M128" s="65">
        <f ca="1">IFERROR(INDIRECT(CONCATENATE("Relays!i",A124+5)),"")</f>
        <v>62.9</v>
      </c>
      <c r="T128" s="64">
        <f t="shared" ca="1" si="8"/>
        <v>0</v>
      </c>
      <c r="U128" s="64" t="str">
        <f t="shared" si="5"/>
        <v/>
      </c>
      <c r="V128" s="422">
        <f ca="1">IF(OR(L128=0,L128="",L128="Athlete"),"",COUNTIF($D$4:$D123,L128))</f>
        <v>0</v>
      </c>
      <c r="W128" s="422" t="str">
        <f t="shared" ca="1" si="9"/>
        <v>DREW Matthew, STOWELL Callum, LOWE Seth, GASKIN Nathanael</v>
      </c>
      <c r="Z128" s="422" t="str">
        <f t="shared" si="7"/>
        <v/>
      </c>
    </row>
    <row r="129" spans="2:26" x14ac:dyDescent="0.35">
      <c r="B129" s="66">
        <f ca="1">IFERROR(INDIRECT(CONCATENATE("Relays!B",A124+6)),"")</f>
        <v>5</v>
      </c>
      <c r="C129" s="66">
        <f ca="1">IFERROR(INDIRECT(CONCATENATE("Relays!C",A124+6)),"")</f>
        <v>0</v>
      </c>
      <c r="D129" s="89" t="str">
        <f ca="1">IFERROR(IF(INDIRECT(CONCATENATE("Relays!e",A124+6))="","",INDIRECT(CONCATENATE("Relays!e",A124+6))&amp;", "&amp;INDIRECT(CONCATENATE("Relays!f",A124+6))&amp;", "&amp;INDIRECT(CONCATENATE("Relays!g",A124+6))&amp;", "&amp;INDIRECT(CONCATENATE("Relays!h",A124+6))),"")</f>
        <v/>
      </c>
      <c r="G129" s="66"/>
      <c r="K129" s="66"/>
      <c r="L129" s="89" t="str">
        <f ca="1">IFERROR(INDIRECT(CONCATENATE("Relays!D",A124+6)),"")</f>
        <v/>
      </c>
      <c r="M129" s="65">
        <f ca="1">IFERROR(INDIRECT(CONCATENATE("Relays!i",A124+6)),"")</f>
        <v>0</v>
      </c>
      <c r="T129" s="64" t="str">
        <f t="shared" ca="1" si="8"/>
        <v/>
      </c>
      <c r="U129" s="64" t="str">
        <f t="shared" si="5"/>
        <v/>
      </c>
      <c r="V129" s="422" t="str">
        <f ca="1">IF(OR(L129=0,L129="",L129="Athlete"),"",COUNTIF($D$4:$D123,L129))</f>
        <v/>
      </c>
      <c r="W129" s="422" t="str">
        <f t="shared" ca="1" si="9"/>
        <v/>
      </c>
      <c r="Z129" s="422" t="str">
        <f t="shared" si="7"/>
        <v/>
      </c>
    </row>
    <row r="130" spans="2:26" x14ac:dyDescent="0.35">
      <c r="B130" s="66">
        <f ca="1">IFERROR(INDIRECT(CONCATENATE("Relays!B",A124+7)),"")</f>
        <v>6</v>
      </c>
      <c r="C130" s="66">
        <f ca="1">IFERROR(INDIRECT(CONCATENATE("Relays!C",A124+7)),"")</f>
        <v>0</v>
      </c>
      <c r="D130" s="89" t="str">
        <f ca="1">IFERROR(IF(INDIRECT(CONCATENATE("Relays!e",A124+7))="","",INDIRECT(CONCATENATE("Relays!e",A124+7))&amp;", "&amp;INDIRECT(CONCATENATE("Relays!f",A124+7))&amp;", "&amp;INDIRECT(CONCATENATE("Relays!g",A124+7))&amp;", "&amp;INDIRECT(CONCATENATE("Relays!h",A124+7))),"")</f>
        <v/>
      </c>
      <c r="G130" s="66"/>
      <c r="K130" s="66"/>
      <c r="L130" s="89" t="str">
        <f ca="1">IFERROR(INDIRECT(CONCATENATE("Relays!D",A124+7)),"")</f>
        <v/>
      </c>
      <c r="M130" s="65">
        <f ca="1">IFERROR(INDIRECT(CONCATENATE("Relays!i",A124+7)),"")</f>
        <v>0</v>
      </c>
      <c r="T130" s="64" t="str">
        <f t="shared" ca="1" si="8"/>
        <v/>
      </c>
      <c r="U130" s="64" t="str">
        <f t="shared" si="5"/>
        <v/>
      </c>
      <c r="V130" s="422" t="str">
        <f ca="1">IF(OR(L130=0,L130="",L130="Athlete"),"",COUNTIF($D$4:$D123,L130))</f>
        <v/>
      </c>
      <c r="W130" s="422" t="str">
        <f t="shared" ca="1" si="9"/>
        <v/>
      </c>
      <c r="Z130" s="422" t="str">
        <f t="shared" si="7"/>
        <v/>
      </c>
    </row>
    <row r="131" spans="2:26" x14ac:dyDescent="0.35">
      <c r="B131" s="66">
        <f ca="1">IFERROR(INDIRECT(CONCATENATE("Relays!B",A124+8)),"")</f>
        <v>7</v>
      </c>
      <c r="C131" s="66">
        <f ca="1">IFERROR(INDIRECT(CONCATENATE("Relays!C",A124+8)),"")</f>
        <v>0</v>
      </c>
      <c r="D131" s="89" t="str">
        <f ca="1">IFERROR(IF(INDIRECT(CONCATENATE("Relays!e",A124+8))="","",INDIRECT(CONCATENATE("Relays!e",A124+8))&amp;", "&amp;INDIRECT(CONCATENATE("Relays!f",A124+8))&amp;", "&amp;INDIRECT(CONCATENATE("Relays!g",A124+8))&amp;", "&amp;INDIRECT(CONCATENATE("Relays!h",A124+8))),"")</f>
        <v/>
      </c>
      <c r="G131" s="66"/>
      <c r="K131" s="66"/>
      <c r="L131" s="89" t="str">
        <f ca="1">IFERROR(INDIRECT(CONCATENATE("Relays!D",A124+8)),"")</f>
        <v/>
      </c>
      <c r="M131" s="65">
        <f ca="1">IFERROR(INDIRECT(CONCATENATE("Relays!i",A124+8)),"")</f>
        <v>0</v>
      </c>
      <c r="T131" s="64" t="str">
        <f t="shared" ca="1" si="8"/>
        <v/>
      </c>
      <c r="U131" s="64" t="str">
        <f t="shared" si="5"/>
        <v/>
      </c>
      <c r="V131" s="422" t="str">
        <f ca="1">IF(OR(L131=0,L131="",L131="Athlete"),"",COUNTIF($D$4:$D123,L131))</f>
        <v/>
      </c>
      <c r="W131" s="422" t="str">
        <f t="shared" ca="1" si="9"/>
        <v/>
      </c>
      <c r="Z131" s="422" t="str">
        <f t="shared" si="7"/>
        <v/>
      </c>
    </row>
    <row r="132" spans="2:26" x14ac:dyDescent="0.35">
      <c r="B132" s="66">
        <f ca="1">IFERROR(INDIRECT(CONCATENATE("Relays!B",A124+9)),"")</f>
        <v>8</v>
      </c>
      <c r="C132" s="66">
        <f ca="1">IFERROR(INDIRECT(CONCATENATE("Relays!C",A124+9)),"")</f>
        <v>0</v>
      </c>
      <c r="D132" s="89" t="str">
        <f ca="1">IFERROR(IF(INDIRECT(CONCATENATE("Relays!e",A124+9))="","",INDIRECT(CONCATENATE("Relays!e",A124+9))&amp;", "&amp;INDIRECT(CONCATENATE("Relays!f",A124+9))&amp;", "&amp;INDIRECT(CONCATENATE("Relays!g",A124+9))&amp;", "&amp;INDIRECT(CONCATENATE("Relays!h",A124+9))),"")</f>
        <v/>
      </c>
      <c r="G132" s="66"/>
      <c r="K132" s="66"/>
      <c r="L132" s="89" t="str">
        <f ca="1">IFERROR(INDIRECT(CONCATENATE("Relays!D",A124+9)),"")</f>
        <v/>
      </c>
      <c r="M132" s="65">
        <f ca="1">IFERROR(INDIRECT(CONCATENATE("Relays!i",A124+9)),"")</f>
        <v>0</v>
      </c>
      <c r="T132" s="64" t="str">
        <f t="shared" ca="1" si="8"/>
        <v/>
      </c>
      <c r="U132" s="64" t="str">
        <f t="shared" si="5"/>
        <v/>
      </c>
      <c r="V132" s="422" t="str">
        <f ca="1">IF(OR(L132=0,L132="",L132="Athlete"),"",COUNTIF($D$4:$D132,L132))</f>
        <v/>
      </c>
      <c r="W132" s="422" t="str">
        <f t="shared" ca="1" si="9"/>
        <v/>
      </c>
      <c r="Z132" s="422" t="str">
        <f t="shared" si="7"/>
        <v/>
      </c>
    </row>
    <row r="133" spans="2:26" x14ac:dyDescent="0.35">
      <c r="T133" s="64" t="str">
        <f t="shared" ref="T133:T196" si="10">IF(OR(D133=0,D133="",D133="Athlete"),"",COUNTIF($D$4:$D$352,D133))</f>
        <v/>
      </c>
      <c r="U133" s="64" t="str">
        <f t="shared" ref="U133:U196" si="11">IF(OR(K133=0,K133="",K133="Athlete"),"",COUNTIF($D$4:$D$352,K133))</f>
        <v/>
      </c>
      <c r="V133" s="422" t="str">
        <f>IF(OR(D133=0,D133="",D133="Athlete"),"",COUNTIF($D$4:$D133,D133))</f>
        <v/>
      </c>
      <c r="W133" s="422" t="str">
        <f t="shared" ref="W133:W165" si="12">IF(OR(D133=0,D133="",D133="Athlete"),"",E133)</f>
        <v/>
      </c>
      <c r="Z133" s="422" t="str">
        <f t="shared" ref="Z133:Z165" si="13">IF(OR(G133=0,G133="",G133="Athlete"),"",H133)</f>
        <v/>
      </c>
    </row>
    <row r="134" spans="2:26" x14ac:dyDescent="0.35">
      <c r="T134" s="64" t="str">
        <f t="shared" si="10"/>
        <v/>
      </c>
      <c r="U134" s="64" t="str">
        <f t="shared" si="11"/>
        <v/>
      </c>
      <c r="V134" s="422" t="str">
        <f>IF(OR(D134=0,D134="",D134="Athlete"),"",COUNTIF($D$4:$D134,D134))</f>
        <v/>
      </c>
      <c r="W134" s="422" t="str">
        <f t="shared" si="12"/>
        <v/>
      </c>
      <c r="Z134" s="422" t="str">
        <f t="shared" si="13"/>
        <v/>
      </c>
    </row>
    <row r="135" spans="2:26" x14ac:dyDescent="0.35">
      <c r="T135" s="64" t="str">
        <f t="shared" si="10"/>
        <v/>
      </c>
      <c r="U135" s="64" t="str">
        <f t="shared" si="11"/>
        <v/>
      </c>
      <c r="V135" s="422" t="str">
        <f>IF(OR(D135=0,D135="",D135="Athlete"),"",COUNTIF($D$4:$D135,D135))</f>
        <v/>
      </c>
      <c r="W135" s="422" t="str">
        <f t="shared" si="12"/>
        <v/>
      </c>
      <c r="Z135" s="422" t="str">
        <f t="shared" si="13"/>
        <v/>
      </c>
    </row>
    <row r="136" spans="2:26" x14ac:dyDescent="0.35">
      <c r="T136" s="64" t="str">
        <f t="shared" si="10"/>
        <v/>
      </c>
      <c r="U136" s="64" t="str">
        <f t="shared" si="11"/>
        <v/>
      </c>
      <c r="V136" s="422" t="str">
        <f>IF(OR(D136=0,D136="",D136="Athlete"),"",COUNTIF($D$4:$D136,D136))</f>
        <v/>
      </c>
      <c r="W136" s="422" t="str">
        <f t="shared" si="12"/>
        <v/>
      </c>
      <c r="Z136" s="422" t="str">
        <f t="shared" si="13"/>
        <v/>
      </c>
    </row>
    <row r="137" spans="2:26" x14ac:dyDescent="0.35">
      <c r="T137" s="64" t="str">
        <f t="shared" si="10"/>
        <v/>
      </c>
      <c r="U137" s="64" t="str">
        <f t="shared" si="11"/>
        <v/>
      </c>
      <c r="V137" s="422" t="str">
        <f>IF(OR(D137=0,D137="",D137="Athlete"),"",COUNTIF($D$4:$D137,D137))</f>
        <v/>
      </c>
      <c r="W137" s="422" t="str">
        <f t="shared" si="12"/>
        <v/>
      </c>
      <c r="Z137" s="422" t="str">
        <f t="shared" si="13"/>
        <v/>
      </c>
    </row>
    <row r="138" spans="2:26" x14ac:dyDescent="0.35">
      <c r="T138" s="64" t="str">
        <f t="shared" si="10"/>
        <v/>
      </c>
      <c r="U138" s="64" t="str">
        <f t="shared" si="11"/>
        <v/>
      </c>
      <c r="V138" s="422" t="str">
        <f>IF(OR(D138=0,D138="",D138="Athlete"),"",COUNTIF($D$4:$D138,D138))</f>
        <v/>
      </c>
      <c r="W138" s="422" t="str">
        <f t="shared" si="12"/>
        <v/>
      </c>
      <c r="Z138" s="422" t="str">
        <f t="shared" si="13"/>
        <v/>
      </c>
    </row>
    <row r="139" spans="2:26" x14ac:dyDescent="0.35">
      <c r="T139" s="64" t="str">
        <f t="shared" si="10"/>
        <v/>
      </c>
      <c r="U139" s="64" t="str">
        <f t="shared" si="11"/>
        <v/>
      </c>
      <c r="V139" s="422" t="str">
        <f>IF(OR(D139=0,D139="",D139="Athlete"),"",COUNTIF($D$4:$D139,D139))</f>
        <v/>
      </c>
      <c r="W139" s="422" t="str">
        <f t="shared" si="12"/>
        <v/>
      </c>
      <c r="Z139" s="422" t="str">
        <f t="shared" si="13"/>
        <v/>
      </c>
    </row>
    <row r="140" spans="2:26" x14ac:dyDescent="0.35">
      <c r="T140" s="64" t="str">
        <f t="shared" si="10"/>
        <v/>
      </c>
      <c r="U140" s="64" t="str">
        <f t="shared" si="11"/>
        <v/>
      </c>
      <c r="V140" s="422" t="str">
        <f>IF(OR(D140=0,D140="",D140="Athlete"),"",COUNTIF($D$4:$D140,D140))</f>
        <v/>
      </c>
      <c r="W140" s="422" t="str">
        <f t="shared" si="12"/>
        <v/>
      </c>
      <c r="Z140" s="422" t="str">
        <f t="shared" si="13"/>
        <v/>
      </c>
    </row>
    <row r="141" spans="2:26" x14ac:dyDescent="0.35">
      <c r="T141" s="64" t="str">
        <f t="shared" si="10"/>
        <v/>
      </c>
      <c r="U141" s="64" t="str">
        <f t="shared" si="11"/>
        <v/>
      </c>
      <c r="V141" s="422" t="str">
        <f>IF(OR(D141=0,D141="",D141="Athlete"),"",COUNTIF($D$4:$D141,D141))</f>
        <v/>
      </c>
      <c r="W141" s="422" t="str">
        <f t="shared" si="12"/>
        <v/>
      </c>
      <c r="Z141" s="422" t="str">
        <f t="shared" si="13"/>
        <v/>
      </c>
    </row>
    <row r="142" spans="2:26" x14ac:dyDescent="0.35">
      <c r="T142" s="64" t="str">
        <f t="shared" si="10"/>
        <v/>
      </c>
      <c r="U142" s="64" t="str">
        <f t="shared" si="11"/>
        <v/>
      </c>
      <c r="V142" s="422" t="str">
        <f>IF(OR(D142=0,D142="",D142="Athlete"),"",COUNTIF($D$4:$D142,D142))</f>
        <v/>
      </c>
      <c r="W142" s="422" t="str">
        <f t="shared" si="12"/>
        <v/>
      </c>
      <c r="Z142" s="422" t="str">
        <f t="shared" si="13"/>
        <v/>
      </c>
    </row>
    <row r="143" spans="2:26" x14ac:dyDescent="0.35">
      <c r="T143" s="64" t="str">
        <f t="shared" si="10"/>
        <v/>
      </c>
      <c r="U143" s="64" t="str">
        <f t="shared" si="11"/>
        <v/>
      </c>
      <c r="V143" s="422" t="str">
        <f>IF(OR(D143=0,D143="",D143="Athlete"),"",COUNTIF($D$4:$D143,D143))</f>
        <v/>
      </c>
      <c r="W143" s="422" t="str">
        <f t="shared" si="12"/>
        <v/>
      </c>
      <c r="Z143" s="422" t="str">
        <f t="shared" si="13"/>
        <v/>
      </c>
    </row>
    <row r="144" spans="2:26" x14ac:dyDescent="0.35">
      <c r="T144" s="64" t="str">
        <f t="shared" si="10"/>
        <v/>
      </c>
      <c r="U144" s="64" t="str">
        <f t="shared" si="11"/>
        <v/>
      </c>
      <c r="V144" s="422" t="str">
        <f>IF(OR(D144=0,D144="",D144="Athlete"),"",COUNTIF($D$4:$D144,D144))</f>
        <v/>
      </c>
      <c r="W144" s="422" t="str">
        <f t="shared" si="12"/>
        <v/>
      </c>
      <c r="Z144" s="422" t="str">
        <f t="shared" si="13"/>
        <v/>
      </c>
    </row>
    <row r="145" spans="20:26" x14ac:dyDescent="0.35">
      <c r="T145" s="64" t="str">
        <f t="shared" si="10"/>
        <v/>
      </c>
      <c r="U145" s="64" t="str">
        <f t="shared" si="11"/>
        <v/>
      </c>
      <c r="V145" s="422" t="str">
        <f>IF(OR(D145=0,D145="",D145="Athlete"),"",COUNTIF($D$4:$D145,D145))</f>
        <v/>
      </c>
      <c r="W145" s="422" t="str">
        <f t="shared" si="12"/>
        <v/>
      </c>
      <c r="Z145" s="422" t="str">
        <f t="shared" si="13"/>
        <v/>
      </c>
    </row>
    <row r="146" spans="20:26" x14ac:dyDescent="0.35">
      <c r="T146" s="64" t="str">
        <f t="shared" si="10"/>
        <v/>
      </c>
      <c r="U146" s="64" t="str">
        <f t="shared" si="11"/>
        <v/>
      </c>
      <c r="V146" s="422" t="str">
        <f>IF(OR(D146=0,D146="",D146="Athlete"),"",COUNTIF($D$4:$D146,D146))</f>
        <v/>
      </c>
      <c r="W146" s="422" t="str">
        <f t="shared" si="12"/>
        <v/>
      </c>
      <c r="Z146" s="422" t="str">
        <f t="shared" si="13"/>
        <v/>
      </c>
    </row>
    <row r="147" spans="20:26" x14ac:dyDescent="0.35">
      <c r="T147" s="64" t="str">
        <f t="shared" si="10"/>
        <v/>
      </c>
      <c r="U147" s="64" t="str">
        <f t="shared" si="11"/>
        <v/>
      </c>
      <c r="V147" s="422" t="str">
        <f>IF(OR(D147=0,D147="",D147="Athlete"),"",COUNTIF($D$4:$D147,D147))</f>
        <v/>
      </c>
      <c r="W147" s="422" t="str">
        <f t="shared" si="12"/>
        <v/>
      </c>
      <c r="Z147" s="422" t="str">
        <f t="shared" si="13"/>
        <v/>
      </c>
    </row>
    <row r="148" spans="20:26" x14ac:dyDescent="0.35">
      <c r="T148" s="64" t="str">
        <f t="shared" si="10"/>
        <v/>
      </c>
      <c r="U148" s="64" t="str">
        <f t="shared" si="11"/>
        <v/>
      </c>
      <c r="V148" s="422" t="str">
        <f>IF(OR(D148=0,D148="",D148="Athlete"),"",COUNTIF($D$4:$D148,D148))</f>
        <v/>
      </c>
      <c r="W148" s="422" t="str">
        <f t="shared" si="12"/>
        <v/>
      </c>
      <c r="Z148" s="422" t="str">
        <f t="shared" si="13"/>
        <v/>
      </c>
    </row>
    <row r="149" spans="20:26" x14ac:dyDescent="0.35">
      <c r="T149" s="64" t="str">
        <f t="shared" si="10"/>
        <v/>
      </c>
      <c r="U149" s="64" t="str">
        <f t="shared" si="11"/>
        <v/>
      </c>
      <c r="V149" s="422" t="str">
        <f>IF(OR(D149=0,D149="",D149="Athlete"),"",COUNTIF($D$4:$D149,D149))</f>
        <v/>
      </c>
      <c r="W149" s="422" t="str">
        <f t="shared" si="12"/>
        <v/>
      </c>
      <c r="Z149" s="422" t="str">
        <f t="shared" si="13"/>
        <v/>
      </c>
    </row>
    <row r="150" spans="20:26" x14ac:dyDescent="0.35">
      <c r="T150" s="64" t="str">
        <f t="shared" si="10"/>
        <v/>
      </c>
      <c r="U150" s="64" t="str">
        <f t="shared" si="11"/>
        <v/>
      </c>
      <c r="V150" s="422" t="str">
        <f>IF(OR(D150=0,D150="",D150="Athlete"),"",COUNTIF($D$4:$D150,D150))</f>
        <v/>
      </c>
      <c r="W150" s="422" t="str">
        <f t="shared" si="12"/>
        <v/>
      </c>
      <c r="Z150" s="422" t="str">
        <f t="shared" si="13"/>
        <v/>
      </c>
    </row>
    <row r="151" spans="20:26" x14ac:dyDescent="0.35">
      <c r="T151" s="64" t="str">
        <f t="shared" si="10"/>
        <v/>
      </c>
      <c r="U151" s="64" t="str">
        <f t="shared" si="11"/>
        <v/>
      </c>
      <c r="V151" s="422" t="str">
        <f>IF(OR(D151=0,D151="",D151="Athlete"),"",COUNTIF($D$4:$D151,D151))</f>
        <v/>
      </c>
      <c r="W151" s="422" t="str">
        <f t="shared" si="12"/>
        <v/>
      </c>
      <c r="Z151" s="422" t="str">
        <f t="shared" si="13"/>
        <v/>
      </c>
    </row>
    <row r="152" spans="20:26" x14ac:dyDescent="0.35">
      <c r="T152" s="64" t="str">
        <f t="shared" si="10"/>
        <v/>
      </c>
      <c r="U152" s="64" t="str">
        <f t="shared" si="11"/>
        <v/>
      </c>
      <c r="V152" s="422" t="str">
        <f>IF(OR(D152=0,D152="",D152="Athlete"),"",COUNTIF($D$4:$D152,D152))</f>
        <v/>
      </c>
      <c r="W152" s="422" t="str">
        <f t="shared" si="12"/>
        <v/>
      </c>
      <c r="Z152" s="422" t="str">
        <f t="shared" si="13"/>
        <v/>
      </c>
    </row>
    <row r="153" spans="20:26" x14ac:dyDescent="0.35">
      <c r="T153" s="64" t="str">
        <f t="shared" si="10"/>
        <v/>
      </c>
      <c r="U153" s="64" t="str">
        <f t="shared" si="11"/>
        <v/>
      </c>
      <c r="V153" s="422" t="str">
        <f>IF(OR(D153=0,D153="",D153="Athlete"),"",COUNTIF($D$4:$D153,D153))</f>
        <v/>
      </c>
      <c r="W153" s="422" t="str">
        <f t="shared" si="12"/>
        <v/>
      </c>
      <c r="Z153" s="422" t="str">
        <f t="shared" si="13"/>
        <v/>
      </c>
    </row>
    <row r="154" spans="20:26" x14ac:dyDescent="0.35">
      <c r="T154" s="64" t="str">
        <f t="shared" si="10"/>
        <v/>
      </c>
      <c r="U154" s="64" t="str">
        <f t="shared" si="11"/>
        <v/>
      </c>
      <c r="V154" s="422" t="str">
        <f>IF(OR(D154=0,D154="",D154="Athlete"),"",COUNTIF($D$4:$D154,D154))</f>
        <v/>
      </c>
      <c r="W154" s="422" t="str">
        <f t="shared" si="12"/>
        <v/>
      </c>
      <c r="Z154" s="422" t="str">
        <f t="shared" si="13"/>
        <v/>
      </c>
    </row>
    <row r="155" spans="20:26" x14ac:dyDescent="0.35">
      <c r="T155" s="64" t="str">
        <f t="shared" si="10"/>
        <v/>
      </c>
      <c r="U155" s="64" t="str">
        <f t="shared" si="11"/>
        <v/>
      </c>
      <c r="V155" s="422" t="str">
        <f>IF(OR(D155=0,D155="",D155="Athlete"),"",COUNTIF($D$4:$D155,D155))</f>
        <v/>
      </c>
      <c r="W155" s="422" t="str">
        <f t="shared" si="12"/>
        <v/>
      </c>
      <c r="Z155" s="422" t="str">
        <f t="shared" si="13"/>
        <v/>
      </c>
    </row>
    <row r="156" spans="20:26" x14ac:dyDescent="0.35">
      <c r="T156" s="64" t="str">
        <f t="shared" si="10"/>
        <v/>
      </c>
      <c r="U156" s="64" t="str">
        <f t="shared" si="11"/>
        <v/>
      </c>
      <c r="V156" s="422" t="str">
        <f>IF(OR(D156=0,D156="",D156="Athlete"),"",COUNTIF($D$4:$D156,D156))</f>
        <v/>
      </c>
      <c r="W156" s="422" t="str">
        <f t="shared" si="12"/>
        <v/>
      </c>
      <c r="Z156" s="422" t="str">
        <f t="shared" si="13"/>
        <v/>
      </c>
    </row>
    <row r="157" spans="20:26" x14ac:dyDescent="0.35">
      <c r="T157" s="64" t="str">
        <f t="shared" si="10"/>
        <v/>
      </c>
      <c r="U157" s="64" t="str">
        <f t="shared" si="11"/>
        <v/>
      </c>
      <c r="V157" s="422" t="str">
        <f>IF(OR(D157=0,D157="",D157="Athlete"),"",COUNTIF($D$4:$D157,D157))</f>
        <v/>
      </c>
      <c r="W157" s="422" t="str">
        <f t="shared" si="12"/>
        <v/>
      </c>
      <c r="Z157" s="422" t="str">
        <f t="shared" si="13"/>
        <v/>
      </c>
    </row>
    <row r="158" spans="20:26" x14ac:dyDescent="0.35">
      <c r="T158" s="64" t="str">
        <f t="shared" si="10"/>
        <v/>
      </c>
      <c r="U158" s="64" t="str">
        <f t="shared" si="11"/>
        <v/>
      </c>
      <c r="V158" s="422" t="str">
        <f>IF(OR(D158=0,D158="",D158="Athlete"),"",COUNTIF($D$4:$D158,D158))</f>
        <v/>
      </c>
      <c r="W158" s="422" t="str">
        <f t="shared" si="12"/>
        <v/>
      </c>
      <c r="Z158" s="422" t="str">
        <f t="shared" si="13"/>
        <v/>
      </c>
    </row>
    <row r="159" spans="20:26" x14ac:dyDescent="0.35">
      <c r="T159" s="64" t="str">
        <f t="shared" si="10"/>
        <v/>
      </c>
      <c r="U159" s="64" t="str">
        <f t="shared" si="11"/>
        <v/>
      </c>
      <c r="V159" s="422" t="str">
        <f>IF(OR(D159=0,D159="",D159="Athlete"),"",COUNTIF($D$4:$D159,D159))</f>
        <v/>
      </c>
      <c r="W159" s="422" t="str">
        <f t="shared" si="12"/>
        <v/>
      </c>
      <c r="Z159" s="422" t="str">
        <f t="shared" si="13"/>
        <v/>
      </c>
    </row>
    <row r="160" spans="20:26" x14ac:dyDescent="0.35">
      <c r="T160" s="64" t="str">
        <f t="shared" si="10"/>
        <v/>
      </c>
      <c r="U160" s="64" t="str">
        <f t="shared" si="11"/>
        <v/>
      </c>
      <c r="V160" s="422" t="str">
        <f>IF(OR(D160=0,D160="",D160="Athlete"),"",COUNTIF($D$4:$D160,D160))</f>
        <v/>
      </c>
      <c r="W160" s="422" t="str">
        <f t="shared" si="12"/>
        <v/>
      </c>
      <c r="Z160" s="422" t="str">
        <f t="shared" si="13"/>
        <v/>
      </c>
    </row>
    <row r="161" spans="20:26" x14ac:dyDescent="0.35">
      <c r="T161" s="64" t="str">
        <f t="shared" si="10"/>
        <v/>
      </c>
      <c r="U161" s="64" t="str">
        <f t="shared" si="11"/>
        <v/>
      </c>
      <c r="V161" s="422" t="str">
        <f>IF(OR(D161=0,D161="",D161="Athlete"),"",COUNTIF($D$4:$D161,D161))</f>
        <v/>
      </c>
      <c r="W161" s="422" t="str">
        <f t="shared" si="12"/>
        <v/>
      </c>
      <c r="Z161" s="422" t="str">
        <f t="shared" si="13"/>
        <v/>
      </c>
    </row>
    <row r="162" spans="20:26" x14ac:dyDescent="0.35">
      <c r="T162" s="64" t="str">
        <f t="shared" si="10"/>
        <v/>
      </c>
      <c r="U162" s="64" t="str">
        <f t="shared" si="11"/>
        <v/>
      </c>
      <c r="V162" s="422" t="str">
        <f>IF(OR(D162=0,D162="",D162="Athlete"),"",COUNTIF($D$4:$D162,D162))</f>
        <v/>
      </c>
      <c r="W162" s="422" t="str">
        <f t="shared" si="12"/>
        <v/>
      </c>
      <c r="Z162" s="422" t="str">
        <f t="shared" si="13"/>
        <v/>
      </c>
    </row>
    <row r="163" spans="20:26" x14ac:dyDescent="0.35">
      <c r="T163" s="64" t="str">
        <f t="shared" si="10"/>
        <v/>
      </c>
      <c r="U163" s="64" t="str">
        <f t="shared" si="11"/>
        <v/>
      </c>
      <c r="V163" s="422" t="str">
        <f>IF(OR(D163=0,D163="",D163="Athlete"),"",COUNTIF($D$4:$D163,D163))</f>
        <v/>
      </c>
      <c r="W163" s="422" t="str">
        <f t="shared" si="12"/>
        <v/>
      </c>
      <c r="Z163" s="422" t="str">
        <f t="shared" si="13"/>
        <v/>
      </c>
    </row>
    <row r="164" spans="20:26" x14ac:dyDescent="0.35">
      <c r="T164" s="64" t="str">
        <f t="shared" si="10"/>
        <v/>
      </c>
      <c r="U164" s="64" t="str">
        <f t="shared" si="11"/>
        <v/>
      </c>
      <c r="V164" s="422" t="str">
        <f>IF(OR(D164=0,D164="",D164="Athlete"),"",COUNTIF($D$4:$D164,D164))</f>
        <v/>
      </c>
      <c r="W164" s="422" t="str">
        <f t="shared" si="12"/>
        <v/>
      </c>
      <c r="Z164" s="422" t="str">
        <f t="shared" si="13"/>
        <v/>
      </c>
    </row>
    <row r="165" spans="20:26" x14ac:dyDescent="0.35">
      <c r="T165" s="64" t="str">
        <f t="shared" si="10"/>
        <v/>
      </c>
      <c r="U165" s="64" t="str">
        <f t="shared" si="11"/>
        <v/>
      </c>
      <c r="V165" s="422" t="str">
        <f>IF(OR(D165=0,D165="",D165="Athlete"),"",COUNTIF($D$4:$D165,D165))</f>
        <v/>
      </c>
      <c r="W165" s="422" t="str">
        <f t="shared" si="12"/>
        <v/>
      </c>
      <c r="Z165" s="422" t="str">
        <f t="shared" si="13"/>
        <v/>
      </c>
    </row>
    <row r="166" spans="20:26" x14ac:dyDescent="0.35">
      <c r="T166" s="64" t="str">
        <f t="shared" si="10"/>
        <v/>
      </c>
      <c r="U166" s="64" t="str">
        <f t="shared" si="11"/>
        <v/>
      </c>
      <c r="V166" s="422" t="str">
        <f>IF(OR(D166=0,D166="",D166="Athlete"),"",COUNTIF($D$4:$D166,D166))</f>
        <v/>
      </c>
    </row>
    <row r="167" spans="20:26" x14ac:dyDescent="0.35">
      <c r="T167" s="64" t="str">
        <f t="shared" si="10"/>
        <v/>
      </c>
      <c r="U167" s="64" t="str">
        <f t="shared" si="11"/>
        <v/>
      </c>
      <c r="V167" s="422" t="str">
        <f>IF(OR(D167=0,D167="",D167="Athlete"),"",COUNTIF($D$4:$D167,D167))</f>
        <v/>
      </c>
    </row>
    <row r="168" spans="20:26" x14ac:dyDescent="0.35">
      <c r="T168" s="64" t="str">
        <f t="shared" si="10"/>
        <v/>
      </c>
      <c r="U168" s="64" t="str">
        <f t="shared" si="11"/>
        <v/>
      </c>
    </row>
    <row r="169" spans="20:26" x14ac:dyDescent="0.35">
      <c r="T169" s="64" t="str">
        <f t="shared" si="10"/>
        <v/>
      </c>
      <c r="U169" s="64" t="str">
        <f t="shared" si="11"/>
        <v/>
      </c>
    </row>
    <row r="170" spans="20:26" x14ac:dyDescent="0.35">
      <c r="T170" s="64" t="str">
        <f t="shared" si="10"/>
        <v/>
      </c>
      <c r="U170" s="64" t="str">
        <f t="shared" si="11"/>
        <v/>
      </c>
    </row>
    <row r="171" spans="20:26" x14ac:dyDescent="0.35">
      <c r="T171" s="64" t="str">
        <f t="shared" si="10"/>
        <v/>
      </c>
      <c r="U171" s="64" t="str">
        <f t="shared" si="11"/>
        <v/>
      </c>
    </row>
    <row r="172" spans="20:26" x14ac:dyDescent="0.35">
      <c r="T172" s="64" t="str">
        <f t="shared" si="10"/>
        <v/>
      </c>
      <c r="U172" s="64" t="str">
        <f t="shared" si="11"/>
        <v/>
      </c>
    </row>
    <row r="173" spans="20:26" x14ac:dyDescent="0.35">
      <c r="T173" s="64" t="str">
        <f t="shared" si="10"/>
        <v/>
      </c>
      <c r="U173" s="64" t="str">
        <f t="shared" si="11"/>
        <v/>
      </c>
    </row>
    <row r="174" spans="20:26" x14ac:dyDescent="0.35">
      <c r="T174" s="64" t="str">
        <f t="shared" si="10"/>
        <v/>
      </c>
      <c r="U174" s="64" t="str">
        <f t="shared" si="11"/>
        <v/>
      </c>
    </row>
    <row r="175" spans="20:26" x14ac:dyDescent="0.35">
      <c r="T175" s="64" t="str">
        <f t="shared" si="10"/>
        <v/>
      </c>
      <c r="U175" s="64" t="str">
        <f t="shared" si="11"/>
        <v/>
      </c>
    </row>
    <row r="176" spans="20:26" x14ac:dyDescent="0.35">
      <c r="T176" s="64" t="str">
        <f t="shared" si="10"/>
        <v/>
      </c>
      <c r="U176" s="64" t="str">
        <f t="shared" si="11"/>
        <v/>
      </c>
    </row>
    <row r="177" spans="4:22" x14ac:dyDescent="0.35">
      <c r="T177" s="64" t="str">
        <f t="shared" si="10"/>
        <v/>
      </c>
      <c r="U177" s="64" t="str">
        <f t="shared" si="11"/>
        <v/>
      </c>
    </row>
    <row r="178" spans="4:22" x14ac:dyDescent="0.35">
      <c r="T178" s="64" t="str">
        <f t="shared" si="10"/>
        <v/>
      </c>
      <c r="U178" s="64" t="str">
        <f t="shared" si="11"/>
        <v/>
      </c>
    </row>
    <row r="179" spans="4:22" x14ac:dyDescent="0.35">
      <c r="T179" s="64" t="str">
        <f t="shared" si="10"/>
        <v/>
      </c>
      <c r="U179" s="64" t="str">
        <f t="shared" si="11"/>
        <v/>
      </c>
    </row>
    <row r="180" spans="4:22" x14ac:dyDescent="0.35">
      <c r="T180" s="64" t="str">
        <f t="shared" si="10"/>
        <v/>
      </c>
      <c r="U180" s="64" t="str">
        <f t="shared" si="11"/>
        <v/>
      </c>
    </row>
    <row r="181" spans="4:22" x14ac:dyDescent="0.35">
      <c r="T181" s="64" t="str">
        <f t="shared" si="10"/>
        <v/>
      </c>
      <c r="U181" s="64" t="str">
        <f t="shared" si="11"/>
        <v/>
      </c>
    </row>
    <row r="182" spans="4:22" x14ac:dyDescent="0.35">
      <c r="T182" s="64" t="str">
        <f t="shared" si="10"/>
        <v/>
      </c>
      <c r="U182" s="64" t="str">
        <f t="shared" si="11"/>
        <v/>
      </c>
    </row>
    <row r="183" spans="4:22" x14ac:dyDescent="0.35">
      <c r="T183" s="64" t="str">
        <f t="shared" si="10"/>
        <v/>
      </c>
      <c r="U183" s="64" t="str">
        <f t="shared" si="11"/>
        <v/>
      </c>
    </row>
    <row r="184" spans="4:22" x14ac:dyDescent="0.35">
      <c r="T184" s="64" t="str">
        <f t="shared" si="10"/>
        <v/>
      </c>
      <c r="U184" s="64" t="str">
        <f t="shared" si="11"/>
        <v/>
      </c>
    </row>
    <row r="185" spans="4:22" x14ac:dyDescent="0.35">
      <c r="T185" s="64" t="str">
        <f t="shared" si="10"/>
        <v/>
      </c>
      <c r="U185" s="64" t="str">
        <f t="shared" si="11"/>
        <v/>
      </c>
    </row>
    <row r="186" spans="4:22" x14ac:dyDescent="0.35">
      <c r="T186" s="64" t="str">
        <f t="shared" si="10"/>
        <v/>
      </c>
      <c r="U186" s="64" t="str">
        <f t="shared" si="11"/>
        <v/>
      </c>
    </row>
    <row r="187" spans="4:22" x14ac:dyDescent="0.35">
      <c r="T187" s="64" t="str">
        <f t="shared" si="10"/>
        <v/>
      </c>
      <c r="U187" s="64" t="str">
        <f t="shared" si="11"/>
        <v/>
      </c>
    </row>
    <row r="188" spans="4:22" x14ac:dyDescent="0.35">
      <c r="T188" s="64" t="str">
        <f t="shared" si="10"/>
        <v/>
      </c>
      <c r="U188" s="64" t="str">
        <f t="shared" si="11"/>
        <v/>
      </c>
      <c r="V188" s="422" t="str">
        <f>IF(OR(D188=0,D188="",D188="Athlete"),"",COUNTIF($D$4:$D188,D188))</f>
        <v/>
      </c>
    </row>
    <row r="189" spans="4:22" x14ac:dyDescent="0.35">
      <c r="T189" s="64" t="str">
        <f t="shared" si="10"/>
        <v/>
      </c>
      <c r="U189" s="64" t="str">
        <f t="shared" si="11"/>
        <v/>
      </c>
      <c r="V189" s="422" t="str">
        <f>IF(OR(D189=0,D189="",D189="Athlete"),"",COUNTIF($D$4:$D189,D189))</f>
        <v/>
      </c>
    </row>
    <row r="190" spans="4:22" x14ac:dyDescent="0.35">
      <c r="T190" s="64" t="str">
        <f t="shared" si="10"/>
        <v/>
      </c>
      <c r="U190" s="64" t="str">
        <f t="shared" si="11"/>
        <v/>
      </c>
      <c r="V190" s="422" t="str">
        <f>IF(OR(D190=0,D190="",D190="Athlete"),"",COUNTIF($D$4:$D190,D190))</f>
        <v/>
      </c>
    </row>
    <row r="191" spans="4:22" hidden="1" x14ac:dyDescent="0.35">
      <c r="D191" s="89" t="str">
        <f ca="1">K4</f>
        <v>CONNELLY George</v>
      </c>
      <c r="E191" s="89" t="str">
        <f ca="1">L4</f>
        <v>Sheff+D</v>
      </c>
      <c r="T191" s="64">
        <f t="shared" ca="1" si="10"/>
        <v>2</v>
      </c>
      <c r="U191" s="64" t="str">
        <f t="shared" si="11"/>
        <v/>
      </c>
      <c r="V191" s="422">
        <f ca="1">IF(OR(D191=0,D191="",D191="Athlete"),"",COUNTIF($D$4:$D191,D191))</f>
        <v>1</v>
      </c>
    </row>
    <row r="192" spans="4:22" hidden="1" x14ac:dyDescent="0.35">
      <c r="D192" s="89" t="str">
        <f t="shared" ref="D192:E192" ca="1" si="14">K5</f>
        <v>HICKLING William</v>
      </c>
      <c r="E192" s="89" t="str">
        <f t="shared" ca="1" si="14"/>
        <v>York</v>
      </c>
      <c r="T192" s="64">
        <f t="shared" ca="1" si="10"/>
        <v>2</v>
      </c>
      <c r="U192" s="64" t="str">
        <f t="shared" si="11"/>
        <v/>
      </c>
      <c r="V192" s="422">
        <f ca="1">IF(OR(D192=0,D192="",D192="Athlete"),"",COUNTIF($D$4:$D192,D192))</f>
        <v>2</v>
      </c>
    </row>
    <row r="193" spans="4:22" hidden="1" x14ac:dyDescent="0.35">
      <c r="D193" s="89" t="str">
        <f t="shared" ref="D193:E193" ca="1" si="15">K6</f>
        <v>HONEYMAN Leo</v>
      </c>
      <c r="E193" s="89" t="str">
        <f t="shared" ca="1" si="15"/>
        <v>M'bro</v>
      </c>
      <c r="T193" s="64">
        <f t="shared" ca="1" si="10"/>
        <v>2</v>
      </c>
      <c r="U193" s="64" t="str">
        <f t="shared" si="11"/>
        <v/>
      </c>
      <c r="V193" s="422">
        <f ca="1">IF(OR(D193=0,D193="",D193="Athlete"),"",COUNTIF($D$4:$D193,D193))</f>
        <v>1</v>
      </c>
    </row>
    <row r="194" spans="4:22" hidden="1" x14ac:dyDescent="0.35">
      <c r="D194" s="89" t="str">
        <f t="shared" ref="D194:E194" ca="1" si="16">K7</f>
        <v>DREW Matthew</v>
      </c>
      <c r="E194" s="89" t="str">
        <f t="shared" ca="1" si="16"/>
        <v>C'field</v>
      </c>
      <c r="T194" s="64">
        <f t="shared" ca="1" si="10"/>
        <v>3</v>
      </c>
      <c r="U194" s="64" t="str">
        <f t="shared" si="11"/>
        <v/>
      </c>
      <c r="V194" s="422">
        <f ca="1">IF(OR(D194=0,D194="",D194="Athlete"),"",COUNTIF($D$4:$D194,D194))</f>
        <v>1</v>
      </c>
    </row>
    <row r="195" spans="4:22" hidden="1" x14ac:dyDescent="0.35">
      <c r="D195" s="89" t="str">
        <f t="shared" ref="D195:E195" ca="1" si="17">K8</f>
        <v/>
      </c>
      <c r="E195" s="89" t="str">
        <f t="shared" ca="1" si="17"/>
        <v/>
      </c>
      <c r="T195" s="64" t="str">
        <f t="shared" ca="1" si="10"/>
        <v/>
      </c>
      <c r="U195" s="64" t="str">
        <f t="shared" si="11"/>
        <v/>
      </c>
      <c r="V195" s="422" t="str">
        <f ca="1">IF(OR(D195=0,D195="",D195="Athlete"),"",COUNTIF($D$4:$D195,D195))</f>
        <v/>
      </c>
    </row>
    <row r="196" spans="4:22" hidden="1" x14ac:dyDescent="0.35">
      <c r="D196" s="89" t="str">
        <f t="shared" ref="D196:E196" ca="1" si="18">K9</f>
        <v/>
      </c>
      <c r="E196" s="89" t="str">
        <f t="shared" ca="1" si="18"/>
        <v/>
      </c>
      <c r="T196" s="64" t="str">
        <f t="shared" ca="1" si="10"/>
        <v/>
      </c>
      <c r="U196" s="64" t="str">
        <f t="shared" si="11"/>
        <v/>
      </c>
      <c r="V196" s="422" t="str">
        <f ca="1">IF(OR(D196=0,D196="",D196="Athlete"),"",COUNTIF($D$4:$D196,D196))</f>
        <v/>
      </c>
    </row>
    <row r="197" spans="4:22" hidden="1" x14ac:dyDescent="0.35">
      <c r="D197" s="89" t="str">
        <f t="shared" ref="D197:E197" ca="1" si="19">K10</f>
        <v/>
      </c>
      <c r="E197" s="89" t="str">
        <f t="shared" ca="1" si="19"/>
        <v/>
      </c>
      <c r="T197" s="64" t="str">
        <f t="shared" ref="T197:T260" ca="1" si="20">IF(OR(D197=0,D197="",D197="Athlete"),"",COUNTIF($D$4:$D$352,D197))</f>
        <v/>
      </c>
      <c r="U197" s="64" t="str">
        <f t="shared" ref="U197:U260" si="21">IF(OR(K197=0,K197="",K197="Athlete"),"",COUNTIF($D$4:$D$352,K197))</f>
        <v/>
      </c>
      <c r="V197" s="422" t="str">
        <f ca="1">IF(OR(D197=0,D197="",D197="Athlete"),"",COUNTIF($D$4:$D197,D197))</f>
        <v/>
      </c>
    </row>
    <row r="198" spans="4:22" hidden="1" x14ac:dyDescent="0.35">
      <c r="D198" s="89" t="str">
        <f t="shared" ref="D198:E198" ca="1" si="22">K11</f>
        <v/>
      </c>
      <c r="E198" s="89" t="str">
        <f t="shared" ca="1" si="22"/>
        <v/>
      </c>
      <c r="T198" s="64" t="str">
        <f t="shared" ca="1" si="20"/>
        <v/>
      </c>
      <c r="U198" s="64" t="str">
        <f t="shared" si="21"/>
        <v/>
      </c>
      <c r="V198" s="422" t="str">
        <f ca="1">IF(OR(D198=0,D198="",D198="Athlete"),"",COUNTIF($D$4:$D198,D198))</f>
        <v/>
      </c>
    </row>
    <row r="199" spans="4:22" hidden="1" x14ac:dyDescent="0.35">
      <c r="D199" s="89">
        <f t="shared" ref="D199:E199" si="23">K12</f>
        <v>0</v>
      </c>
      <c r="E199" s="89">
        <f t="shared" si="23"/>
        <v>0</v>
      </c>
      <c r="T199" s="64" t="str">
        <f t="shared" si="20"/>
        <v/>
      </c>
      <c r="U199" s="64" t="str">
        <f t="shared" si="21"/>
        <v/>
      </c>
      <c r="V199" s="422" t="str">
        <f>IF(OR(D199=0,D199="",D199="Athlete"),"",COUNTIF($D$4:$D199,D199))</f>
        <v/>
      </c>
    </row>
    <row r="200" spans="4:22" hidden="1" x14ac:dyDescent="0.35">
      <c r="D200" s="89">
        <f t="shared" ref="D200:E200" si="24">K13</f>
        <v>0</v>
      </c>
      <c r="E200" s="89" t="str">
        <f t="shared" si="24"/>
        <v>Wind</v>
      </c>
      <c r="T200" s="64" t="str">
        <f t="shared" si="20"/>
        <v/>
      </c>
      <c r="U200" s="64" t="str">
        <f t="shared" si="21"/>
        <v/>
      </c>
      <c r="V200" s="422" t="str">
        <f>IF(OR(D200=0,D200="",D200="Athlete"),"",COUNTIF($D$4:$D200,D200))</f>
        <v/>
      </c>
    </row>
    <row r="201" spans="4:22" hidden="1" x14ac:dyDescent="0.35">
      <c r="D201" s="89" t="str">
        <f t="shared" ref="D201:E201" ca="1" si="25">K14</f>
        <v>Athlete</v>
      </c>
      <c r="E201" s="89" t="str">
        <f t="shared" ca="1" si="25"/>
        <v>Club</v>
      </c>
      <c r="T201" s="64" t="str">
        <f t="shared" ca="1" si="20"/>
        <v/>
      </c>
      <c r="U201" s="64" t="str">
        <f t="shared" si="21"/>
        <v/>
      </c>
      <c r="V201" s="422" t="str">
        <f ca="1">IF(OR(D201=0,D201="",D201="Athlete"),"",COUNTIF($D$4:$D201,D201))</f>
        <v/>
      </c>
    </row>
    <row r="202" spans="4:22" hidden="1" x14ac:dyDescent="0.35">
      <c r="D202" s="89" t="str">
        <f t="shared" ref="D202:E202" ca="1" si="26">K15</f>
        <v/>
      </c>
      <c r="E202" s="89" t="str">
        <f t="shared" ca="1" si="26"/>
        <v/>
      </c>
      <c r="T202" s="64" t="str">
        <f t="shared" ca="1" si="20"/>
        <v/>
      </c>
      <c r="U202" s="64" t="str">
        <f t="shared" si="21"/>
        <v/>
      </c>
      <c r="V202" s="422" t="str">
        <f ca="1">IF(OR(D202=0,D202="",D202="Athlete"),"",COUNTIF($D$4:$D202,D202))</f>
        <v/>
      </c>
    </row>
    <row r="203" spans="4:22" hidden="1" x14ac:dyDescent="0.35">
      <c r="D203" s="89" t="str">
        <f t="shared" ref="D203:E203" ca="1" si="27">K16</f>
        <v/>
      </c>
      <c r="E203" s="89" t="str">
        <f t="shared" ca="1" si="27"/>
        <v/>
      </c>
      <c r="T203" s="64" t="str">
        <f t="shared" ca="1" si="20"/>
        <v/>
      </c>
      <c r="U203" s="64" t="str">
        <f t="shared" si="21"/>
        <v/>
      </c>
      <c r="V203" s="422" t="str">
        <f ca="1">IF(OR(D203=0,D203="",D203="Athlete"),"",COUNTIF($D$4:$D203,D203))</f>
        <v/>
      </c>
    </row>
    <row r="204" spans="4:22" hidden="1" x14ac:dyDescent="0.35">
      <c r="D204" s="89" t="str">
        <f t="shared" ref="D204:E204" ca="1" si="28">K17</f>
        <v/>
      </c>
      <c r="E204" s="89" t="str">
        <f t="shared" ca="1" si="28"/>
        <v/>
      </c>
      <c r="T204" s="64" t="str">
        <f t="shared" ca="1" si="20"/>
        <v/>
      </c>
      <c r="U204" s="64" t="str">
        <f t="shared" si="21"/>
        <v/>
      </c>
      <c r="V204" s="422" t="str">
        <f ca="1">IF(OR(D204=0,D204="",D204="Athlete"),"",COUNTIF($D$4:$D204,D204))</f>
        <v/>
      </c>
    </row>
    <row r="205" spans="4:22" hidden="1" x14ac:dyDescent="0.35">
      <c r="D205" s="89" t="str">
        <f t="shared" ref="D205:E205" ca="1" si="29">K18</f>
        <v/>
      </c>
      <c r="E205" s="89" t="str">
        <f t="shared" ca="1" si="29"/>
        <v/>
      </c>
      <c r="T205" s="64" t="str">
        <f t="shared" ca="1" si="20"/>
        <v/>
      </c>
      <c r="U205" s="64" t="str">
        <f t="shared" si="21"/>
        <v/>
      </c>
      <c r="V205" s="422" t="str">
        <f ca="1">IF(OR(D205=0,D205="",D205="Athlete"),"",COUNTIF($D$4:$D205,D205))</f>
        <v/>
      </c>
    </row>
    <row r="206" spans="4:22" hidden="1" x14ac:dyDescent="0.35">
      <c r="D206" s="89" t="str">
        <f t="shared" ref="D206:E206" ca="1" si="30">K19</f>
        <v/>
      </c>
      <c r="E206" s="89" t="str">
        <f t="shared" ca="1" si="30"/>
        <v/>
      </c>
      <c r="T206" s="64" t="str">
        <f t="shared" ca="1" si="20"/>
        <v/>
      </c>
      <c r="U206" s="64" t="str">
        <f t="shared" si="21"/>
        <v/>
      </c>
      <c r="V206" s="422" t="str">
        <f ca="1">IF(OR(D206=0,D206="",D206="Athlete"),"",COUNTIF($D$4:$D206,D206))</f>
        <v/>
      </c>
    </row>
    <row r="207" spans="4:22" hidden="1" x14ac:dyDescent="0.35">
      <c r="D207" s="89" t="str">
        <f t="shared" ref="D207:E207" ca="1" si="31">K20</f>
        <v/>
      </c>
      <c r="E207" s="89" t="str">
        <f t="shared" ca="1" si="31"/>
        <v/>
      </c>
      <c r="T207" s="64" t="str">
        <f t="shared" ca="1" si="20"/>
        <v/>
      </c>
      <c r="U207" s="64" t="str">
        <f t="shared" si="21"/>
        <v/>
      </c>
      <c r="V207" s="422" t="str">
        <f ca="1">IF(OR(D207=0,D207="",D207="Athlete"),"",COUNTIF($D$4:$D207,D207))</f>
        <v/>
      </c>
    </row>
    <row r="208" spans="4:22" hidden="1" x14ac:dyDescent="0.35">
      <c r="D208" s="89" t="str">
        <f t="shared" ref="D208:E208" ca="1" si="32">K21</f>
        <v/>
      </c>
      <c r="E208" s="89" t="str">
        <f t="shared" ca="1" si="32"/>
        <v/>
      </c>
      <c r="T208" s="64" t="str">
        <f t="shared" ca="1" si="20"/>
        <v/>
      </c>
      <c r="U208" s="64" t="str">
        <f t="shared" si="21"/>
        <v/>
      </c>
      <c r="V208" s="422" t="str">
        <f ca="1">IF(OR(D208=0,D208="",D208="Athlete"),"",COUNTIF($D$4:$D208,D208))</f>
        <v/>
      </c>
    </row>
    <row r="209" spans="4:22" hidden="1" x14ac:dyDescent="0.35">
      <c r="D209" s="89" t="str">
        <f t="shared" ref="D209:E209" ca="1" si="33">K22</f>
        <v/>
      </c>
      <c r="E209" s="89" t="str">
        <f t="shared" ca="1" si="33"/>
        <v/>
      </c>
      <c r="T209" s="64" t="str">
        <f t="shared" ca="1" si="20"/>
        <v/>
      </c>
      <c r="U209" s="64" t="str">
        <f t="shared" si="21"/>
        <v/>
      </c>
      <c r="V209" s="422" t="str">
        <f ca="1">IF(OR(D209=0,D209="",D209="Athlete"),"",COUNTIF($D$4:$D209,D209))</f>
        <v/>
      </c>
    </row>
    <row r="210" spans="4:22" hidden="1" x14ac:dyDescent="0.35">
      <c r="D210" s="89">
        <f t="shared" ref="D210:E210" si="34">K23</f>
        <v>0</v>
      </c>
      <c r="E210" s="89">
        <f t="shared" si="34"/>
        <v>0</v>
      </c>
      <c r="T210" s="64" t="str">
        <f t="shared" si="20"/>
        <v/>
      </c>
      <c r="U210" s="64" t="str">
        <f t="shared" si="21"/>
        <v/>
      </c>
      <c r="V210" s="422" t="str">
        <f>IF(OR(D210=0,D210="",D210="Athlete"),"",COUNTIF($D$4:$D210,D210))</f>
        <v/>
      </c>
    </row>
    <row r="211" spans="4:22" hidden="1" x14ac:dyDescent="0.35">
      <c r="D211" s="89">
        <f t="shared" ref="D211:E211" si="35">K24</f>
        <v>0</v>
      </c>
      <c r="E211" s="89" t="str">
        <f t="shared" si="35"/>
        <v>Wind</v>
      </c>
      <c r="T211" s="64" t="str">
        <f t="shared" si="20"/>
        <v/>
      </c>
      <c r="U211" s="64" t="str">
        <f t="shared" si="21"/>
        <v/>
      </c>
      <c r="V211" s="422" t="str">
        <f>IF(OR(D211=0,D211="",D211="Athlete"),"",COUNTIF($D$4:$D211,D211))</f>
        <v/>
      </c>
    </row>
    <row r="212" spans="4:22" hidden="1" x14ac:dyDescent="0.35">
      <c r="D212" s="89" t="str">
        <f t="shared" ref="D212:E212" ca="1" si="36">K25</f>
        <v>Athlete</v>
      </c>
      <c r="E212" s="89" t="str">
        <f t="shared" ca="1" si="36"/>
        <v>Club</v>
      </c>
      <c r="T212" s="64" t="str">
        <f t="shared" ca="1" si="20"/>
        <v/>
      </c>
      <c r="U212" s="64" t="str">
        <f t="shared" si="21"/>
        <v/>
      </c>
      <c r="V212" s="422" t="str">
        <f ca="1">IF(OR(D212=0,D212="",D212="Athlete"),"",COUNTIF($D$4:$D212,D212))</f>
        <v/>
      </c>
    </row>
    <row r="213" spans="4:22" hidden="1" x14ac:dyDescent="0.35">
      <c r="D213" s="89" t="str">
        <f t="shared" ref="D213:E213" ca="1" si="37">K26</f>
        <v>BASTOW Isaac</v>
      </c>
      <c r="E213" s="89" t="str">
        <f t="shared" ca="1" si="37"/>
        <v>York</v>
      </c>
      <c r="T213" s="64">
        <f t="shared" ca="1" si="20"/>
        <v>2</v>
      </c>
      <c r="U213" s="64" t="str">
        <f t="shared" si="21"/>
        <v/>
      </c>
      <c r="V213" s="422">
        <f ca="1">IF(OR(D213=0,D213="",D213="Athlete"),"",COUNTIF($D$4:$D213,D213))</f>
        <v>2</v>
      </c>
    </row>
    <row r="214" spans="4:22" hidden="1" x14ac:dyDescent="0.35">
      <c r="D214" s="89" t="str">
        <f t="shared" ref="D214:E214" ca="1" si="38">K27</f>
        <v>LOWE Seth</v>
      </c>
      <c r="E214" s="89" t="str">
        <f t="shared" ca="1" si="38"/>
        <v>C'field</v>
      </c>
      <c r="T214" s="64">
        <f t="shared" ca="1" si="20"/>
        <v>3</v>
      </c>
      <c r="U214" s="64" t="str">
        <f t="shared" si="21"/>
        <v/>
      </c>
      <c r="V214" s="422">
        <f ca="1">IF(OR(D214=0,D214="",D214="Athlete"),"",COUNTIF($D$4:$D214,D214))</f>
        <v>3</v>
      </c>
    </row>
    <row r="215" spans="4:22" hidden="1" x14ac:dyDescent="0.35">
      <c r="D215" s="89" t="str">
        <f t="shared" ref="D215:E215" ca="1" si="39">K28</f>
        <v>MAY Rudi</v>
      </c>
      <c r="E215" s="89" t="str">
        <f t="shared" ca="1" si="39"/>
        <v>Sheff+D</v>
      </c>
      <c r="T215" s="64">
        <f t="shared" ca="1" si="20"/>
        <v>3</v>
      </c>
      <c r="U215" s="64" t="str">
        <f t="shared" si="21"/>
        <v/>
      </c>
      <c r="V215" s="422">
        <f ca="1">IF(OR(D215=0,D215="",D215="Athlete"),"",COUNTIF($D$4:$D215,D215))</f>
        <v>3</v>
      </c>
    </row>
    <row r="216" spans="4:22" hidden="1" x14ac:dyDescent="0.35">
      <c r="D216" s="89" t="str">
        <f t="shared" ref="D216:E216" ca="1" si="40">K29</f>
        <v>HONEYMAN Leo</v>
      </c>
      <c r="E216" s="89" t="str">
        <f t="shared" ca="1" si="40"/>
        <v>M'bro</v>
      </c>
      <c r="T216" s="64">
        <f t="shared" ca="1" si="20"/>
        <v>2</v>
      </c>
      <c r="U216" s="64" t="str">
        <f t="shared" si="21"/>
        <v/>
      </c>
      <c r="V216" s="422">
        <f ca="1">IF(OR(D216=0,D216="",D216="Athlete"),"",COUNTIF($D$4:$D216,D216))</f>
        <v>2</v>
      </c>
    </row>
    <row r="217" spans="4:22" hidden="1" x14ac:dyDescent="0.35">
      <c r="D217" s="89" t="str">
        <f t="shared" ref="D217:E217" ca="1" si="41">K30</f>
        <v/>
      </c>
      <c r="E217" s="89" t="str">
        <f t="shared" ca="1" si="41"/>
        <v/>
      </c>
      <c r="T217" s="64" t="str">
        <f t="shared" ca="1" si="20"/>
        <v/>
      </c>
      <c r="U217" s="64" t="str">
        <f t="shared" si="21"/>
        <v/>
      </c>
      <c r="V217" s="422" t="str">
        <f ca="1">IF(OR(D217=0,D217="",D217="Athlete"),"",COUNTIF($D$4:$D217,D217))</f>
        <v/>
      </c>
    </row>
    <row r="218" spans="4:22" hidden="1" x14ac:dyDescent="0.35">
      <c r="D218" s="89" t="str">
        <f t="shared" ref="D218:E218" ca="1" si="42">K31</f>
        <v/>
      </c>
      <c r="E218" s="89" t="str">
        <f t="shared" ca="1" si="42"/>
        <v/>
      </c>
      <c r="T218" s="64" t="str">
        <f t="shared" ca="1" si="20"/>
        <v/>
      </c>
      <c r="U218" s="64" t="str">
        <f t="shared" si="21"/>
        <v/>
      </c>
      <c r="V218" s="422" t="str">
        <f ca="1">IF(OR(D218=0,D218="",D218="Athlete"),"",COUNTIF($D$4:$D218,D218))</f>
        <v/>
      </c>
    </row>
    <row r="219" spans="4:22" hidden="1" x14ac:dyDescent="0.35">
      <c r="D219" s="89" t="str">
        <f t="shared" ref="D219:E219" ca="1" si="43">K32</f>
        <v/>
      </c>
      <c r="E219" s="89" t="str">
        <f t="shared" ca="1" si="43"/>
        <v/>
      </c>
      <c r="T219" s="64" t="str">
        <f t="shared" ca="1" si="20"/>
        <v/>
      </c>
      <c r="U219" s="64" t="str">
        <f t="shared" si="21"/>
        <v/>
      </c>
      <c r="V219" s="422" t="str">
        <f ca="1">IF(OR(D219=0,D219="",D219="Athlete"),"",COUNTIF($D$4:$D219,D219))</f>
        <v/>
      </c>
    </row>
    <row r="220" spans="4:22" hidden="1" x14ac:dyDescent="0.35">
      <c r="D220" s="89" t="str">
        <f t="shared" ref="D220:E220" ca="1" si="44">K33</f>
        <v/>
      </c>
      <c r="E220" s="89" t="str">
        <f t="shared" ca="1" si="44"/>
        <v/>
      </c>
      <c r="T220" s="64" t="str">
        <f t="shared" ca="1" si="20"/>
        <v/>
      </c>
      <c r="U220" s="64" t="str">
        <f t="shared" si="21"/>
        <v/>
      </c>
      <c r="V220" s="422" t="str">
        <f ca="1">IF(OR(D220=0,D220="",D220="Athlete"),"",COUNTIF($D$4:$D220,D220))</f>
        <v/>
      </c>
    </row>
    <row r="221" spans="4:22" hidden="1" x14ac:dyDescent="0.35">
      <c r="D221" s="89">
        <f t="shared" ref="D221:E221" si="45">K34</f>
        <v>0</v>
      </c>
      <c r="E221" s="89">
        <f t="shared" si="45"/>
        <v>0</v>
      </c>
      <c r="T221" s="64" t="str">
        <f t="shared" si="20"/>
        <v/>
      </c>
      <c r="U221" s="64" t="str">
        <f t="shared" si="21"/>
        <v/>
      </c>
      <c r="V221" s="422" t="str">
        <f>IF(OR(D221=0,D221="",D221="Athlete"),"",COUNTIF($D$4:$D221,D221))</f>
        <v/>
      </c>
    </row>
    <row r="222" spans="4:22" hidden="1" x14ac:dyDescent="0.35">
      <c r="D222" s="89">
        <f t="shared" ref="D222:E222" si="46">K35</f>
        <v>0</v>
      </c>
      <c r="E222" s="89">
        <f t="shared" si="46"/>
        <v>0</v>
      </c>
      <c r="T222" s="64" t="str">
        <f t="shared" si="20"/>
        <v/>
      </c>
      <c r="U222" s="64" t="str">
        <f t="shared" si="21"/>
        <v/>
      </c>
      <c r="V222" s="422" t="str">
        <f>IF(OR(D222=0,D222="",D222="Athlete"),"",COUNTIF($D$4:$D222,D222))</f>
        <v/>
      </c>
    </row>
    <row r="223" spans="4:22" hidden="1" x14ac:dyDescent="0.35">
      <c r="D223" s="89" t="str">
        <f t="shared" ref="D223:E223" ca="1" si="47">K36</f>
        <v>Athlete</v>
      </c>
      <c r="E223" s="89" t="str">
        <f t="shared" ca="1" si="47"/>
        <v>Club</v>
      </c>
      <c r="T223" s="64" t="str">
        <f t="shared" ca="1" si="20"/>
        <v/>
      </c>
      <c r="U223" s="64" t="str">
        <f t="shared" si="21"/>
        <v/>
      </c>
      <c r="V223" s="422" t="str">
        <f ca="1">IF(OR(D223=0,D223="",D223="Athlete"),"",COUNTIF($D$4:$D223,D223))</f>
        <v/>
      </c>
    </row>
    <row r="224" spans="4:22" hidden="1" x14ac:dyDescent="0.35">
      <c r="D224" s="89" t="str">
        <f t="shared" ref="D224:E224" ca="1" si="48">K37</f>
        <v>REED Elliot</v>
      </c>
      <c r="E224" s="89" t="str">
        <f t="shared" ca="1" si="48"/>
        <v>Sheff+D</v>
      </c>
      <c r="T224" s="64">
        <f t="shared" ca="1" si="20"/>
        <v>1</v>
      </c>
      <c r="U224" s="64" t="str">
        <f t="shared" si="21"/>
        <v/>
      </c>
      <c r="V224" s="422">
        <f ca="1">IF(OR(D224=0,D224="",D224="Athlete"),"",COUNTIF($D$4:$D224,D224))</f>
        <v>1</v>
      </c>
    </row>
    <row r="225" spans="4:22" hidden="1" x14ac:dyDescent="0.35">
      <c r="D225" s="89" t="str">
        <f t="shared" ref="D225:E225" ca="1" si="49">K38</f>
        <v>JONES Alex</v>
      </c>
      <c r="E225" s="89" t="str">
        <f t="shared" ca="1" si="49"/>
        <v>York</v>
      </c>
      <c r="T225" s="64">
        <f t="shared" ca="1" si="20"/>
        <v>3</v>
      </c>
      <c r="U225" s="64" t="str">
        <f t="shared" si="21"/>
        <v/>
      </c>
      <c r="V225" s="422">
        <f ca="1">IF(OR(D225=0,D225="",D225="Athlete"),"",COUNTIF($D$4:$D225,D225))</f>
        <v>1</v>
      </c>
    </row>
    <row r="226" spans="4:22" hidden="1" x14ac:dyDescent="0.35">
      <c r="D226" s="89" t="str">
        <f t="shared" ref="D226:E226" ca="1" si="50">K39</f>
        <v>FRANCIS Stan</v>
      </c>
      <c r="E226" s="89" t="str">
        <f t="shared" ca="1" si="50"/>
        <v>M'bro</v>
      </c>
      <c r="T226" s="64">
        <f t="shared" ca="1" si="20"/>
        <v>2</v>
      </c>
      <c r="U226" s="64" t="str">
        <f t="shared" si="21"/>
        <v/>
      </c>
      <c r="V226" s="422">
        <f ca="1">IF(OR(D226=0,D226="",D226="Athlete"),"",COUNTIF($D$4:$D226,D226))</f>
        <v>2</v>
      </c>
    </row>
    <row r="227" spans="4:22" hidden="1" x14ac:dyDescent="0.35">
      <c r="D227" s="89" t="str">
        <f t="shared" ref="D227:E227" ca="1" si="51">K40</f>
        <v>STOWELL Callum</v>
      </c>
      <c r="E227" s="89" t="str">
        <f t="shared" ca="1" si="51"/>
        <v>C'field</v>
      </c>
      <c r="T227" s="64">
        <f t="shared" ca="1" si="20"/>
        <v>3</v>
      </c>
      <c r="U227" s="64" t="str">
        <f t="shared" si="21"/>
        <v/>
      </c>
      <c r="V227" s="422">
        <f ca="1">IF(OR(D227=0,D227="",D227="Athlete"),"",COUNTIF($D$4:$D227,D227))</f>
        <v>3</v>
      </c>
    </row>
    <row r="228" spans="4:22" hidden="1" x14ac:dyDescent="0.35">
      <c r="D228" s="89" t="str">
        <f t="shared" ref="D228:E228" ca="1" si="52">K41</f>
        <v/>
      </c>
      <c r="E228" s="89" t="str">
        <f t="shared" ca="1" si="52"/>
        <v/>
      </c>
      <c r="T228" s="64" t="str">
        <f t="shared" ca="1" si="20"/>
        <v/>
      </c>
      <c r="U228" s="64" t="str">
        <f t="shared" si="21"/>
        <v/>
      </c>
      <c r="V228" s="422" t="str">
        <f ca="1">IF(OR(D228=0,D228="",D228="Athlete"),"",COUNTIF($D$4:$D228,D228))</f>
        <v/>
      </c>
    </row>
    <row r="229" spans="4:22" hidden="1" x14ac:dyDescent="0.35">
      <c r="D229" s="89" t="str">
        <f t="shared" ref="D229:E229" ca="1" si="53">K42</f>
        <v/>
      </c>
      <c r="E229" s="89" t="str">
        <f t="shared" ca="1" si="53"/>
        <v/>
      </c>
      <c r="T229" s="64" t="str">
        <f t="shared" ca="1" si="20"/>
        <v/>
      </c>
      <c r="U229" s="64" t="str">
        <f t="shared" si="21"/>
        <v/>
      </c>
      <c r="V229" s="422" t="str">
        <f ca="1">IF(OR(D229=0,D229="",D229="Athlete"),"",COUNTIF($D$4:$D229,D229))</f>
        <v/>
      </c>
    </row>
    <row r="230" spans="4:22" hidden="1" x14ac:dyDescent="0.35">
      <c r="D230" s="89" t="str">
        <f t="shared" ref="D230:E230" ca="1" si="54">K43</f>
        <v/>
      </c>
      <c r="E230" s="89" t="str">
        <f t="shared" ca="1" si="54"/>
        <v/>
      </c>
      <c r="T230" s="64" t="str">
        <f t="shared" ca="1" si="20"/>
        <v/>
      </c>
      <c r="U230" s="64" t="str">
        <f t="shared" si="21"/>
        <v/>
      </c>
      <c r="V230" s="422" t="str">
        <f ca="1">IF(OR(D230=0,D230="",D230="Athlete"),"",COUNTIF($D$4:$D230,D230))</f>
        <v/>
      </c>
    </row>
    <row r="231" spans="4:22" hidden="1" x14ac:dyDescent="0.35">
      <c r="D231" s="89" t="str">
        <f t="shared" ref="D231:E231" ca="1" si="55">K44</f>
        <v/>
      </c>
      <c r="E231" s="89" t="str">
        <f t="shared" ca="1" si="55"/>
        <v/>
      </c>
      <c r="T231" s="64" t="str">
        <f t="shared" ca="1" si="20"/>
        <v/>
      </c>
      <c r="U231" s="64" t="str">
        <f t="shared" si="21"/>
        <v/>
      </c>
      <c r="V231" s="422" t="str">
        <f ca="1">IF(OR(D231=0,D231="",D231="Athlete"),"",COUNTIF($D$4:$D231,D231))</f>
        <v/>
      </c>
    </row>
    <row r="232" spans="4:22" hidden="1" x14ac:dyDescent="0.35">
      <c r="D232" s="89">
        <f t="shared" ref="D232:E232" si="56">K45</f>
        <v>0</v>
      </c>
      <c r="E232" s="89">
        <f t="shared" si="56"/>
        <v>0</v>
      </c>
      <c r="T232" s="64" t="str">
        <f t="shared" si="20"/>
        <v/>
      </c>
      <c r="U232" s="64" t="str">
        <f t="shared" si="21"/>
        <v/>
      </c>
      <c r="V232" s="422" t="str">
        <f>IF(OR(D232=0,D232="",D232="Athlete"),"",COUNTIF($D$4:$D232,D232))</f>
        <v/>
      </c>
    </row>
    <row r="233" spans="4:22" hidden="1" x14ac:dyDescent="0.35">
      <c r="D233" s="89">
        <f t="shared" ref="D233:E233" si="57">K46</f>
        <v>0</v>
      </c>
      <c r="E233" s="89">
        <f t="shared" si="57"/>
        <v>0</v>
      </c>
      <c r="T233" s="64" t="str">
        <f t="shared" si="20"/>
        <v/>
      </c>
      <c r="U233" s="64" t="str">
        <f t="shared" si="21"/>
        <v/>
      </c>
      <c r="V233" s="422" t="str">
        <f>IF(OR(D233=0,D233="",D233="Athlete"),"",COUNTIF($D$4:$D233,D233))</f>
        <v/>
      </c>
    </row>
    <row r="234" spans="4:22" hidden="1" x14ac:dyDescent="0.35">
      <c r="D234" s="89" t="str">
        <f t="shared" ref="D234:E234" ca="1" si="58">K47</f>
        <v>Athlete</v>
      </c>
      <c r="E234" s="89" t="str">
        <f t="shared" ca="1" si="58"/>
        <v>Club</v>
      </c>
      <c r="T234" s="64" t="str">
        <f t="shared" ca="1" si="20"/>
        <v/>
      </c>
      <c r="U234" s="64" t="str">
        <f t="shared" si="21"/>
        <v/>
      </c>
      <c r="V234" s="422" t="str">
        <f ca="1">IF(OR(D234=0,D234="",D234="Athlete"),"",COUNTIF($D$4:$D234,D234))</f>
        <v/>
      </c>
    </row>
    <row r="235" spans="4:22" hidden="1" x14ac:dyDescent="0.35">
      <c r="D235" s="89" t="str">
        <f t="shared" ref="D235:E235" ca="1" si="59">K48</f>
        <v/>
      </c>
      <c r="E235" s="89" t="str">
        <f t="shared" ca="1" si="59"/>
        <v/>
      </c>
      <c r="T235" s="64" t="str">
        <f t="shared" ca="1" si="20"/>
        <v/>
      </c>
      <c r="U235" s="64" t="str">
        <f t="shared" si="21"/>
        <v/>
      </c>
      <c r="V235" s="422" t="str">
        <f ca="1">IF(OR(D235=0,D235="",D235="Athlete"),"",COUNTIF($D$4:$D235,D235))</f>
        <v/>
      </c>
    </row>
    <row r="236" spans="4:22" hidden="1" x14ac:dyDescent="0.35">
      <c r="D236" s="89" t="str">
        <f t="shared" ref="D236:E236" ca="1" si="60">K49</f>
        <v/>
      </c>
      <c r="E236" s="89" t="str">
        <f t="shared" ca="1" si="60"/>
        <v/>
      </c>
      <c r="T236" s="64" t="str">
        <f t="shared" ca="1" si="20"/>
        <v/>
      </c>
      <c r="U236" s="64" t="str">
        <f t="shared" si="21"/>
        <v/>
      </c>
      <c r="V236" s="422" t="str">
        <f ca="1">IF(OR(D236=0,D236="",D236="Athlete"),"",COUNTIF($D$4:$D236,D236))</f>
        <v/>
      </c>
    </row>
    <row r="237" spans="4:22" hidden="1" x14ac:dyDescent="0.35">
      <c r="D237" s="89" t="str">
        <f t="shared" ref="D237:E237" ca="1" si="61">K50</f>
        <v/>
      </c>
      <c r="E237" s="89" t="str">
        <f t="shared" ca="1" si="61"/>
        <v/>
      </c>
      <c r="T237" s="64" t="str">
        <f t="shared" ca="1" si="20"/>
        <v/>
      </c>
      <c r="U237" s="64" t="str">
        <f t="shared" si="21"/>
        <v/>
      </c>
      <c r="V237" s="422" t="str">
        <f ca="1">IF(OR(D237=0,D237="",D237="Athlete"),"",COUNTIF($D$4:$D237,D237))</f>
        <v/>
      </c>
    </row>
    <row r="238" spans="4:22" hidden="1" x14ac:dyDescent="0.35">
      <c r="D238" s="89" t="str">
        <f t="shared" ref="D238:E238" ca="1" si="62">K51</f>
        <v/>
      </c>
      <c r="E238" s="89" t="str">
        <f t="shared" ca="1" si="62"/>
        <v/>
      </c>
      <c r="T238" s="64" t="str">
        <f t="shared" ca="1" si="20"/>
        <v/>
      </c>
      <c r="U238" s="64" t="str">
        <f t="shared" si="21"/>
        <v/>
      </c>
      <c r="V238" s="422" t="str">
        <f ca="1">IF(OR(D238=0,D238="",D238="Athlete"),"",COUNTIF($D$4:$D238,D238))</f>
        <v/>
      </c>
    </row>
    <row r="239" spans="4:22" hidden="1" x14ac:dyDescent="0.35">
      <c r="D239" s="89" t="str">
        <f t="shared" ref="D239:E239" ca="1" si="63">K52</f>
        <v/>
      </c>
      <c r="E239" s="89" t="str">
        <f t="shared" ca="1" si="63"/>
        <v/>
      </c>
      <c r="T239" s="64" t="str">
        <f t="shared" ca="1" si="20"/>
        <v/>
      </c>
      <c r="U239" s="64" t="str">
        <f t="shared" si="21"/>
        <v/>
      </c>
      <c r="V239" s="422" t="str">
        <f ca="1">IF(OR(D239=0,D239="",D239="Athlete"),"",COUNTIF($D$4:$D239,D239))</f>
        <v/>
      </c>
    </row>
    <row r="240" spans="4:22" hidden="1" x14ac:dyDescent="0.35">
      <c r="D240" s="89" t="str">
        <f t="shared" ref="D240:E240" ca="1" si="64">K53</f>
        <v/>
      </c>
      <c r="E240" s="89" t="str">
        <f t="shared" ca="1" si="64"/>
        <v/>
      </c>
      <c r="T240" s="64" t="str">
        <f t="shared" ca="1" si="20"/>
        <v/>
      </c>
      <c r="U240" s="64" t="str">
        <f t="shared" si="21"/>
        <v/>
      </c>
      <c r="V240" s="422" t="str">
        <f ca="1">IF(OR(D240=0,D240="",D240="Athlete"),"",COUNTIF($D$4:$D240,D240))</f>
        <v/>
      </c>
    </row>
    <row r="241" spans="4:22" hidden="1" x14ac:dyDescent="0.35">
      <c r="D241" s="89" t="str">
        <f t="shared" ref="D241:E241" ca="1" si="65">K54</f>
        <v/>
      </c>
      <c r="E241" s="89" t="str">
        <f t="shared" ca="1" si="65"/>
        <v/>
      </c>
      <c r="T241" s="64" t="str">
        <f t="shared" ca="1" si="20"/>
        <v/>
      </c>
      <c r="U241" s="64" t="str">
        <f t="shared" si="21"/>
        <v/>
      </c>
      <c r="V241" s="422" t="str">
        <f ca="1">IF(OR(D241=0,D241="",D241="Athlete"),"",COUNTIF($D$4:$D241,D241))</f>
        <v/>
      </c>
    </row>
    <row r="242" spans="4:22" hidden="1" x14ac:dyDescent="0.35">
      <c r="D242" s="89" t="str">
        <f t="shared" ref="D242:E242" ca="1" si="66">K55</f>
        <v/>
      </c>
      <c r="E242" s="89" t="str">
        <f t="shared" ca="1" si="66"/>
        <v/>
      </c>
      <c r="T242" s="64" t="str">
        <f t="shared" ca="1" si="20"/>
        <v/>
      </c>
      <c r="U242" s="64" t="str">
        <f t="shared" si="21"/>
        <v/>
      </c>
      <c r="V242" s="422" t="str">
        <f ca="1">IF(OR(D242=0,D242="",D242="Athlete"),"",COUNTIF($D$4:$D242,D242))</f>
        <v/>
      </c>
    </row>
    <row r="243" spans="4:22" hidden="1" x14ac:dyDescent="0.35">
      <c r="D243" s="89">
        <f t="shared" ref="D243:E243" si="67">K56</f>
        <v>0</v>
      </c>
      <c r="E243" s="89">
        <f t="shared" si="67"/>
        <v>0</v>
      </c>
      <c r="T243" s="64" t="str">
        <f t="shared" si="20"/>
        <v/>
      </c>
      <c r="U243" s="64" t="str">
        <f t="shared" si="21"/>
        <v/>
      </c>
      <c r="V243" s="422" t="str">
        <f>IF(OR(D243=0,D243="",D243="Athlete"),"",COUNTIF($D$4:$D243,D243))</f>
        <v/>
      </c>
    </row>
    <row r="244" spans="4:22" hidden="1" x14ac:dyDescent="0.35">
      <c r="D244" s="89">
        <f t="shared" ref="D244:E244" si="68">K57</f>
        <v>0</v>
      </c>
      <c r="E244" s="89">
        <f t="shared" si="68"/>
        <v>0</v>
      </c>
      <c r="T244" s="64" t="str">
        <f t="shared" si="20"/>
        <v/>
      </c>
      <c r="U244" s="64" t="str">
        <f t="shared" si="21"/>
        <v/>
      </c>
      <c r="V244" s="422" t="str">
        <f>IF(OR(D244=0,D244="",D244="Athlete"),"",COUNTIF($D$4:$D244,D244))</f>
        <v/>
      </c>
    </row>
    <row r="245" spans="4:22" hidden="1" x14ac:dyDescent="0.35">
      <c r="D245" s="89" t="str">
        <f t="shared" ref="D245:E245" ca="1" si="69">K58</f>
        <v>Athlete</v>
      </c>
      <c r="E245" s="89" t="str">
        <f t="shared" ca="1" si="69"/>
        <v>Club</v>
      </c>
      <c r="T245" s="64" t="str">
        <f t="shared" ca="1" si="20"/>
        <v/>
      </c>
      <c r="U245" s="64" t="str">
        <f t="shared" si="21"/>
        <v/>
      </c>
      <c r="V245" s="422" t="str">
        <f ca="1">IF(OR(D245=0,D245="",D245="Athlete"),"",COUNTIF($D$4:$D245,D245))</f>
        <v/>
      </c>
    </row>
    <row r="246" spans="4:22" hidden="1" x14ac:dyDescent="0.35">
      <c r="D246" s="89" t="str">
        <f t="shared" ref="D246:E246" ca="1" si="70">K59</f>
        <v>MARRON Ethan</v>
      </c>
      <c r="E246" s="89" t="str">
        <f t="shared" ca="1" si="70"/>
        <v>M'bro</v>
      </c>
      <c r="T246" s="64">
        <f t="shared" ca="1" si="20"/>
        <v>1</v>
      </c>
      <c r="U246" s="64" t="str">
        <f t="shared" si="21"/>
        <v/>
      </c>
      <c r="V246" s="422">
        <f ca="1">IF(OR(D246=0,D246="",D246="Athlete"),"",COUNTIF($D$4:$D246,D246))</f>
        <v>1</v>
      </c>
    </row>
    <row r="247" spans="4:22" hidden="1" x14ac:dyDescent="0.35">
      <c r="D247" s="89" t="str">
        <f t="shared" ref="D247:E247" ca="1" si="71">K60</f>
        <v>WATSON Miles</v>
      </c>
      <c r="E247" s="89" t="str">
        <f t="shared" ca="1" si="71"/>
        <v>York</v>
      </c>
      <c r="T247" s="64">
        <f t="shared" ca="1" si="20"/>
        <v>1</v>
      </c>
      <c r="U247" s="64" t="str">
        <f t="shared" si="21"/>
        <v/>
      </c>
      <c r="V247" s="422">
        <f ca="1">IF(OR(D247=0,D247="",D247="Athlete"),"",COUNTIF($D$4:$D247,D247))</f>
        <v>1</v>
      </c>
    </row>
    <row r="248" spans="4:22" hidden="1" x14ac:dyDescent="0.35">
      <c r="D248" s="89" t="str">
        <f t="shared" ref="D248:E248" ca="1" si="72">K61</f>
        <v>ENGLISH Elliott</v>
      </c>
      <c r="E248" s="89" t="str">
        <f t="shared" ca="1" si="72"/>
        <v>Sheff+D</v>
      </c>
      <c r="T248" s="64">
        <f t="shared" ca="1" si="20"/>
        <v>1</v>
      </c>
      <c r="U248" s="64" t="str">
        <f t="shared" si="21"/>
        <v/>
      </c>
      <c r="V248" s="422">
        <f ca="1">IF(OR(D248=0,D248="",D248="Athlete"),"",COUNTIF($D$4:$D248,D248))</f>
        <v>1</v>
      </c>
    </row>
    <row r="249" spans="4:22" hidden="1" x14ac:dyDescent="0.35">
      <c r="D249" s="89" t="str">
        <f t="shared" ref="D249:E249" ca="1" si="73">K62</f>
        <v/>
      </c>
      <c r="E249" s="89" t="str">
        <f t="shared" ca="1" si="73"/>
        <v/>
      </c>
      <c r="T249" s="64" t="str">
        <f t="shared" ca="1" si="20"/>
        <v/>
      </c>
      <c r="U249" s="64" t="str">
        <f t="shared" si="21"/>
        <v/>
      </c>
      <c r="V249" s="422" t="str">
        <f ca="1">IF(OR(D249=0,D249="",D249="Athlete"),"",COUNTIF($D$4:$D249,D249))</f>
        <v/>
      </c>
    </row>
    <row r="250" spans="4:22" hidden="1" x14ac:dyDescent="0.35">
      <c r="D250" s="89" t="str">
        <f t="shared" ref="D250:E250" ca="1" si="74">K63</f>
        <v/>
      </c>
      <c r="E250" s="89" t="str">
        <f t="shared" ca="1" si="74"/>
        <v/>
      </c>
      <c r="T250" s="64" t="str">
        <f t="shared" ca="1" si="20"/>
        <v/>
      </c>
      <c r="U250" s="64" t="str">
        <f t="shared" si="21"/>
        <v/>
      </c>
      <c r="V250" s="422" t="str">
        <f ca="1">IF(OR(D250=0,D250="",D250="Athlete"),"",COUNTIF($D$4:$D250,D250))</f>
        <v/>
      </c>
    </row>
    <row r="251" spans="4:22" hidden="1" x14ac:dyDescent="0.35">
      <c r="D251" s="89" t="str">
        <f t="shared" ref="D251:E251" ca="1" si="75">K64</f>
        <v/>
      </c>
      <c r="E251" s="89" t="str">
        <f t="shared" ca="1" si="75"/>
        <v/>
      </c>
      <c r="T251" s="64" t="str">
        <f t="shared" ca="1" si="20"/>
        <v/>
      </c>
      <c r="U251" s="64" t="str">
        <f t="shared" si="21"/>
        <v/>
      </c>
      <c r="V251" s="422" t="str">
        <f ca="1">IF(OR(D251=0,D251="",D251="Athlete"),"",COUNTIF($D$4:$D251,D251))</f>
        <v/>
      </c>
    </row>
    <row r="252" spans="4:22" hidden="1" x14ac:dyDescent="0.35">
      <c r="D252" s="89" t="str">
        <f t="shared" ref="D252:E252" ca="1" si="76">K65</f>
        <v/>
      </c>
      <c r="E252" s="89" t="str">
        <f t="shared" ca="1" si="76"/>
        <v/>
      </c>
      <c r="T252" s="64" t="str">
        <f t="shared" ca="1" si="20"/>
        <v/>
      </c>
      <c r="U252" s="64" t="str">
        <f t="shared" si="21"/>
        <v/>
      </c>
      <c r="V252" s="422" t="str">
        <f ca="1">IF(OR(D252=0,D252="",D252="Athlete"),"",COUNTIF($D$4:$D252,D252))</f>
        <v/>
      </c>
    </row>
    <row r="253" spans="4:22" hidden="1" x14ac:dyDescent="0.35">
      <c r="D253" s="89" t="str">
        <f t="shared" ref="D253:E253" ca="1" si="77">K66</f>
        <v/>
      </c>
      <c r="E253" s="89" t="str">
        <f t="shared" ca="1" si="77"/>
        <v/>
      </c>
      <c r="T253" s="64" t="str">
        <f t="shared" ca="1" si="20"/>
        <v/>
      </c>
      <c r="U253" s="64" t="str">
        <f t="shared" si="21"/>
        <v/>
      </c>
      <c r="V253" s="422" t="str">
        <f ca="1">IF(OR(D253=0,D253="",D253="Athlete"),"",COUNTIF($D$4:$D253,D253))</f>
        <v/>
      </c>
    </row>
    <row r="254" spans="4:22" hidden="1" x14ac:dyDescent="0.35">
      <c r="D254" s="89">
        <f t="shared" ref="D254:E254" si="78">K67</f>
        <v>0</v>
      </c>
      <c r="E254" s="89">
        <f t="shared" si="78"/>
        <v>0</v>
      </c>
      <c r="T254" s="64" t="str">
        <f t="shared" si="20"/>
        <v/>
      </c>
      <c r="U254" s="64" t="str">
        <f t="shared" si="21"/>
        <v/>
      </c>
      <c r="V254" s="422" t="str">
        <f>IF(OR(D254=0,D254="",D254="Athlete"),"",COUNTIF($D$4:$D254,D254))</f>
        <v/>
      </c>
    </row>
    <row r="255" spans="4:22" hidden="1" x14ac:dyDescent="0.35">
      <c r="D255" s="89">
        <f t="shared" ref="D255:E255" si="79">K68</f>
        <v>0</v>
      </c>
      <c r="E255" s="89" t="str">
        <f t="shared" si="79"/>
        <v>Wind</v>
      </c>
      <c r="T255" s="64" t="str">
        <f t="shared" si="20"/>
        <v/>
      </c>
      <c r="U255" s="64" t="str">
        <f t="shared" si="21"/>
        <v/>
      </c>
      <c r="V255" s="422" t="str">
        <f>IF(OR(D255=0,D255="",D255="Athlete"),"",COUNTIF($D$4:$D255,D255))</f>
        <v/>
      </c>
    </row>
    <row r="256" spans="4:22" hidden="1" x14ac:dyDescent="0.35">
      <c r="D256" s="89" t="str">
        <f t="shared" ref="D256:E256" ca="1" si="80">K69</f>
        <v>Athlete</v>
      </c>
      <c r="E256" s="89" t="str">
        <f t="shared" ca="1" si="80"/>
        <v>Club</v>
      </c>
      <c r="T256" s="64" t="str">
        <f t="shared" ca="1" si="20"/>
        <v/>
      </c>
      <c r="U256" s="64" t="str">
        <f t="shared" si="21"/>
        <v/>
      </c>
      <c r="V256" s="422" t="str">
        <f ca="1">IF(OR(D256=0,D256="",D256="Athlete"),"",COUNTIF($D$4:$D256,D256))</f>
        <v/>
      </c>
    </row>
    <row r="257" spans="4:22" hidden="1" x14ac:dyDescent="0.35">
      <c r="D257" s="89" t="str">
        <f t="shared" ref="D257:E257" ca="1" si="81">K70</f>
        <v>REILLY Arthur</v>
      </c>
      <c r="E257" s="89" t="str">
        <f t="shared" ca="1" si="81"/>
        <v>Sheff+D</v>
      </c>
      <c r="T257" s="64">
        <f t="shared" ca="1" si="20"/>
        <v>3</v>
      </c>
      <c r="U257" s="64" t="str">
        <f t="shared" si="21"/>
        <v/>
      </c>
      <c r="V257" s="422">
        <f ca="1">IF(OR(D257=0,D257="",D257="Athlete"),"",COUNTIF($D$4:$D257,D257))</f>
        <v>3</v>
      </c>
    </row>
    <row r="258" spans="4:22" hidden="1" x14ac:dyDescent="0.35">
      <c r="D258" s="89" t="str">
        <f t="shared" ref="D258:E258" ca="1" si="82">K71</f>
        <v>JONES Alex</v>
      </c>
      <c r="E258" s="89" t="str">
        <f t="shared" ca="1" si="82"/>
        <v>York</v>
      </c>
      <c r="T258" s="64">
        <f t="shared" ca="1" si="20"/>
        <v>3</v>
      </c>
      <c r="U258" s="64" t="str">
        <f t="shared" si="21"/>
        <v/>
      </c>
      <c r="V258" s="422">
        <f ca="1">IF(OR(D258=0,D258="",D258="Athlete"),"",COUNTIF($D$4:$D258,D258))</f>
        <v>2</v>
      </c>
    </row>
    <row r="259" spans="4:22" hidden="1" x14ac:dyDescent="0.35">
      <c r="D259" s="89" t="str">
        <f t="shared" ref="D259:E259" ca="1" si="83">K72</f>
        <v/>
      </c>
      <c r="E259" s="89" t="str">
        <f t="shared" ca="1" si="83"/>
        <v/>
      </c>
      <c r="T259" s="64" t="str">
        <f t="shared" ca="1" si="20"/>
        <v/>
      </c>
      <c r="U259" s="64" t="str">
        <f t="shared" si="21"/>
        <v/>
      </c>
      <c r="V259" s="422" t="str">
        <f ca="1">IF(OR(D259=0,D259="",D259="Athlete"),"",COUNTIF($D$4:$D259,D259))</f>
        <v/>
      </c>
    </row>
    <row r="260" spans="4:22" hidden="1" x14ac:dyDescent="0.35">
      <c r="D260" s="89" t="str">
        <f t="shared" ref="D260:E260" ca="1" si="84">K73</f>
        <v/>
      </c>
      <c r="E260" s="89" t="str">
        <f t="shared" ca="1" si="84"/>
        <v/>
      </c>
      <c r="T260" s="64" t="str">
        <f t="shared" ca="1" si="20"/>
        <v/>
      </c>
      <c r="U260" s="64" t="str">
        <f t="shared" si="21"/>
        <v/>
      </c>
      <c r="V260" s="422" t="str">
        <f ca="1">IF(OR(D260=0,D260="",D260="Athlete"),"",COUNTIF($D$4:$D260,D260))</f>
        <v/>
      </c>
    </row>
    <row r="261" spans="4:22" hidden="1" x14ac:dyDescent="0.35">
      <c r="D261" s="89" t="str">
        <f t="shared" ref="D261:E261" ca="1" si="85">K74</f>
        <v/>
      </c>
      <c r="E261" s="89" t="str">
        <f t="shared" ca="1" si="85"/>
        <v/>
      </c>
      <c r="T261" s="64" t="str">
        <f t="shared" ref="T261:T324" ca="1" si="86">IF(OR(D261=0,D261="",D261="Athlete"),"",COUNTIF($D$4:$D$352,D261))</f>
        <v/>
      </c>
      <c r="U261" s="64" t="str">
        <f t="shared" ref="U261:U324" si="87">IF(OR(K261=0,K261="",K261="Athlete"),"",COUNTIF($D$4:$D$352,K261))</f>
        <v/>
      </c>
      <c r="V261" s="422" t="str">
        <f ca="1">IF(OR(D261=0,D261="",D261="Athlete"),"",COUNTIF($D$4:$D261,D261))</f>
        <v/>
      </c>
    </row>
    <row r="262" spans="4:22" hidden="1" x14ac:dyDescent="0.35">
      <c r="D262" s="89" t="str">
        <f t="shared" ref="D262:E262" ca="1" si="88">K75</f>
        <v/>
      </c>
      <c r="E262" s="89" t="str">
        <f t="shared" ca="1" si="88"/>
        <v/>
      </c>
      <c r="T262" s="64" t="str">
        <f t="shared" ca="1" si="86"/>
        <v/>
      </c>
      <c r="U262" s="64" t="str">
        <f t="shared" si="87"/>
        <v/>
      </c>
      <c r="V262" s="422" t="str">
        <f ca="1">IF(OR(D262=0,D262="",D262="Athlete"),"",COUNTIF($D$4:$D262,D262))</f>
        <v/>
      </c>
    </row>
    <row r="263" spans="4:22" hidden="1" x14ac:dyDescent="0.35">
      <c r="D263" s="89" t="str">
        <f t="shared" ref="D263:E263" ca="1" si="89">K76</f>
        <v/>
      </c>
      <c r="E263" s="89" t="str">
        <f t="shared" ca="1" si="89"/>
        <v/>
      </c>
      <c r="T263" s="64" t="str">
        <f t="shared" ca="1" si="86"/>
        <v/>
      </c>
      <c r="U263" s="64" t="str">
        <f t="shared" si="87"/>
        <v/>
      </c>
      <c r="V263" s="422" t="str">
        <f ca="1">IF(OR(D263=0,D263="",D263="Athlete"),"",COUNTIF($D$4:$D263,D263))</f>
        <v/>
      </c>
    </row>
    <row r="264" spans="4:22" hidden="1" x14ac:dyDescent="0.35">
      <c r="D264" s="89" t="str">
        <f t="shared" ref="D264:E264" ca="1" si="90">K77</f>
        <v/>
      </c>
      <c r="E264" s="89" t="str">
        <f t="shared" ca="1" si="90"/>
        <v/>
      </c>
      <c r="T264" s="64" t="str">
        <f t="shared" ca="1" si="86"/>
        <v/>
      </c>
      <c r="U264" s="64" t="str">
        <f t="shared" si="87"/>
        <v/>
      </c>
      <c r="V264" s="422" t="str">
        <f ca="1">IF(OR(D264=0,D264="",D264="Athlete"),"",COUNTIF($D$4:$D264,D264))</f>
        <v/>
      </c>
    </row>
    <row r="265" spans="4:22" hidden="1" x14ac:dyDescent="0.35">
      <c r="D265" s="89">
        <f t="shared" ref="D265:E265" si="91">K78</f>
        <v>0</v>
      </c>
      <c r="E265" s="89">
        <f t="shared" si="91"/>
        <v>0</v>
      </c>
      <c r="T265" s="64" t="str">
        <f t="shared" si="86"/>
        <v/>
      </c>
      <c r="U265" s="64" t="str">
        <f t="shared" si="87"/>
        <v/>
      </c>
      <c r="V265" s="422" t="str">
        <f>IF(OR(D265=0,D265="",D265="Athlete"),"",COUNTIF($D$4:$D265,D265))</f>
        <v/>
      </c>
    </row>
    <row r="266" spans="4:22" hidden="1" x14ac:dyDescent="0.35">
      <c r="D266" s="89">
        <f t="shared" ref="D266:E266" si="92">K79</f>
        <v>0</v>
      </c>
      <c r="E266" s="89">
        <f t="shared" si="92"/>
        <v>0</v>
      </c>
      <c r="T266" s="64" t="str">
        <f t="shared" si="86"/>
        <v/>
      </c>
      <c r="U266" s="64" t="str">
        <f t="shared" si="87"/>
        <v/>
      </c>
      <c r="V266" s="422" t="str">
        <f>IF(OR(D266=0,D266="",D266="Athlete"),"",COUNTIF($D$4:$D266,D266))</f>
        <v/>
      </c>
    </row>
    <row r="267" spans="4:22" hidden="1" x14ac:dyDescent="0.35">
      <c r="D267" s="89" t="str">
        <f t="shared" ref="D267:E267" ca="1" si="93">K80</f>
        <v>Athlete</v>
      </c>
      <c r="E267" s="89" t="str">
        <f t="shared" ca="1" si="93"/>
        <v>Club</v>
      </c>
      <c r="T267" s="64" t="str">
        <f t="shared" ca="1" si="86"/>
        <v/>
      </c>
      <c r="U267" s="64" t="str">
        <f t="shared" si="87"/>
        <v/>
      </c>
      <c r="V267" s="422" t="str">
        <f ca="1">IF(OR(D267=0,D267="",D267="Athlete"),"",COUNTIF($D$4:$D267,D267))</f>
        <v/>
      </c>
    </row>
    <row r="268" spans="4:22" hidden="1" x14ac:dyDescent="0.35">
      <c r="D268" s="89" t="str">
        <f t="shared" ref="D268:E268" ca="1" si="94">K81</f>
        <v>CONNELLY George</v>
      </c>
      <c r="E268" s="89" t="str">
        <f t="shared" ca="1" si="94"/>
        <v>Sheff+D</v>
      </c>
      <c r="T268" s="64">
        <f t="shared" ca="1" si="86"/>
        <v>2</v>
      </c>
      <c r="U268" s="64" t="str">
        <f t="shared" si="87"/>
        <v/>
      </c>
      <c r="V268" s="422">
        <f ca="1">IF(OR(D268=0,D268="",D268="Athlete"),"",COUNTIF($D$4:$D268,D268))</f>
        <v>2</v>
      </c>
    </row>
    <row r="269" spans="4:22" hidden="1" x14ac:dyDescent="0.35">
      <c r="D269" s="89" t="str">
        <f t="shared" ref="D269:E269" ca="1" si="95">K82</f>
        <v>MARSHALL Syd</v>
      </c>
      <c r="E269" s="89" t="str">
        <f t="shared" ca="1" si="95"/>
        <v>York</v>
      </c>
      <c r="T269" s="64">
        <f t="shared" ca="1" si="86"/>
        <v>2</v>
      </c>
      <c r="U269" s="64" t="str">
        <f t="shared" si="87"/>
        <v/>
      </c>
      <c r="V269" s="422">
        <f ca="1">IF(OR(D269=0,D269="",D269="Athlete"),"",COUNTIF($D$4:$D269,D269))</f>
        <v>2</v>
      </c>
    </row>
    <row r="270" spans="4:22" hidden="1" x14ac:dyDescent="0.35">
      <c r="D270" s="89" t="str">
        <f t="shared" ref="D270:E270" ca="1" si="96">K83</f>
        <v>BAKER Edward</v>
      </c>
      <c r="E270" s="89" t="str">
        <f t="shared" ca="1" si="96"/>
        <v>M'bro</v>
      </c>
      <c r="T270" s="64">
        <f t="shared" ca="1" si="86"/>
        <v>2</v>
      </c>
      <c r="U270" s="64" t="str">
        <f t="shared" si="87"/>
        <v/>
      </c>
      <c r="V270" s="422">
        <f ca="1">IF(OR(D270=0,D270="",D270="Athlete"),"",COUNTIF($D$4:$D270,D270))</f>
        <v>2</v>
      </c>
    </row>
    <row r="271" spans="4:22" hidden="1" x14ac:dyDescent="0.35">
      <c r="D271" s="89" t="str">
        <f t="shared" ref="D271:E271" ca="1" si="97">K84</f>
        <v>DREW Matthew</v>
      </c>
      <c r="E271" s="89" t="str">
        <f t="shared" ca="1" si="97"/>
        <v>C'field</v>
      </c>
      <c r="T271" s="64">
        <f t="shared" ca="1" si="86"/>
        <v>3</v>
      </c>
      <c r="U271" s="64" t="str">
        <f t="shared" si="87"/>
        <v/>
      </c>
      <c r="V271" s="422">
        <f ca="1">IF(OR(D271=0,D271="",D271="Athlete"),"",COUNTIF($D$4:$D271,D271))</f>
        <v>2</v>
      </c>
    </row>
    <row r="272" spans="4:22" hidden="1" x14ac:dyDescent="0.35">
      <c r="D272" s="89" t="str">
        <f t="shared" ref="D272:E272" ca="1" si="98">K85</f>
        <v/>
      </c>
      <c r="E272" s="89" t="str">
        <f t="shared" ca="1" si="98"/>
        <v/>
      </c>
      <c r="T272" s="64" t="str">
        <f t="shared" ca="1" si="86"/>
        <v/>
      </c>
      <c r="U272" s="64" t="str">
        <f t="shared" si="87"/>
        <v/>
      </c>
      <c r="V272" s="422" t="str">
        <f ca="1">IF(OR(D272=0,D272="",D272="Athlete"),"",COUNTIF($D$4:$D272,D272))</f>
        <v/>
      </c>
    </row>
    <row r="273" spans="4:22" hidden="1" x14ac:dyDescent="0.35">
      <c r="D273" s="89" t="str">
        <f t="shared" ref="D273:E273" ca="1" si="99">K86</f>
        <v/>
      </c>
      <c r="E273" s="89" t="str">
        <f t="shared" ca="1" si="99"/>
        <v/>
      </c>
      <c r="T273" s="64" t="str">
        <f t="shared" ca="1" si="86"/>
        <v/>
      </c>
      <c r="U273" s="64" t="str">
        <f t="shared" si="87"/>
        <v/>
      </c>
      <c r="V273" s="422" t="str">
        <f ca="1">IF(OR(D273=0,D273="",D273="Athlete"),"",COUNTIF($D$4:$D273,D273))</f>
        <v/>
      </c>
    </row>
    <row r="274" spans="4:22" hidden="1" x14ac:dyDescent="0.35">
      <c r="D274" s="89" t="str">
        <f t="shared" ref="D274:E274" ca="1" si="100">K87</f>
        <v/>
      </c>
      <c r="E274" s="89" t="str">
        <f t="shared" ca="1" si="100"/>
        <v/>
      </c>
      <c r="T274" s="64" t="str">
        <f t="shared" ca="1" si="86"/>
        <v/>
      </c>
      <c r="U274" s="64" t="str">
        <f t="shared" si="87"/>
        <v/>
      </c>
      <c r="V274" s="422" t="str">
        <f ca="1">IF(OR(D274=0,D274="",D274="Athlete"),"",COUNTIF($D$4:$D274,D274))</f>
        <v/>
      </c>
    </row>
    <row r="275" spans="4:22" hidden="1" x14ac:dyDescent="0.35">
      <c r="D275" s="89" t="str">
        <f t="shared" ref="D275:E275" ca="1" si="101">K88</f>
        <v/>
      </c>
      <c r="E275" s="89" t="str">
        <f t="shared" ca="1" si="101"/>
        <v/>
      </c>
      <c r="T275" s="64" t="str">
        <f t="shared" ca="1" si="86"/>
        <v/>
      </c>
      <c r="U275" s="64" t="str">
        <f t="shared" si="87"/>
        <v/>
      </c>
      <c r="V275" s="422" t="str">
        <f ca="1">IF(OR(D275=0,D275="",D275="Athlete"),"",COUNTIF($D$4:$D275,D275))</f>
        <v/>
      </c>
    </row>
    <row r="276" spans="4:22" hidden="1" x14ac:dyDescent="0.35">
      <c r="D276" s="89">
        <f t="shared" ref="D276:E276" si="102">K89</f>
        <v>0</v>
      </c>
      <c r="E276" s="89">
        <f t="shared" si="102"/>
        <v>0</v>
      </c>
      <c r="T276" s="64" t="str">
        <f t="shared" si="86"/>
        <v/>
      </c>
      <c r="U276" s="64" t="str">
        <f t="shared" si="87"/>
        <v/>
      </c>
      <c r="V276" s="422" t="str">
        <f>IF(OR(D276=0,D276="",D276="Athlete"),"",COUNTIF($D$4:$D276,D276))</f>
        <v/>
      </c>
    </row>
    <row r="277" spans="4:22" hidden="1" x14ac:dyDescent="0.35">
      <c r="D277" s="89">
        <f t="shared" ref="D277:E277" si="103">K90</f>
        <v>0</v>
      </c>
      <c r="E277" s="89">
        <f t="shared" si="103"/>
        <v>0</v>
      </c>
      <c r="T277" s="64" t="str">
        <f t="shared" si="86"/>
        <v/>
      </c>
      <c r="U277" s="64" t="str">
        <f t="shared" si="87"/>
        <v/>
      </c>
      <c r="V277" s="422" t="str">
        <f>IF(OR(D277=0,D277="",D277="Athlete"),"",COUNTIF($D$4:$D277,D277))</f>
        <v/>
      </c>
    </row>
    <row r="278" spans="4:22" hidden="1" x14ac:dyDescent="0.35">
      <c r="D278" s="89" t="str">
        <f t="shared" ref="D278:E278" ca="1" si="104">K91</f>
        <v>Athlete</v>
      </c>
      <c r="E278" s="89" t="str">
        <f t="shared" ca="1" si="104"/>
        <v>Club</v>
      </c>
      <c r="T278" s="64" t="str">
        <f t="shared" ca="1" si="86"/>
        <v/>
      </c>
      <c r="U278" s="64" t="str">
        <f t="shared" si="87"/>
        <v/>
      </c>
      <c r="V278" s="422" t="str">
        <f ca="1">IF(OR(D278=0,D278="",D278="Athlete"),"",COUNTIF($D$4:$D278,D278))</f>
        <v/>
      </c>
    </row>
    <row r="279" spans="4:22" hidden="1" x14ac:dyDescent="0.35">
      <c r="D279" s="89" t="str">
        <f t="shared" ref="D279:E279" ca="1" si="105">K92</f>
        <v>COCKINGS Matthew</v>
      </c>
      <c r="E279" s="89" t="str">
        <f t="shared" ca="1" si="105"/>
        <v>Sheff+D</v>
      </c>
      <c r="T279" s="64">
        <f t="shared" ca="1" si="86"/>
        <v>3</v>
      </c>
      <c r="U279" s="64" t="str">
        <f t="shared" si="87"/>
        <v/>
      </c>
      <c r="V279" s="422">
        <f ca="1">IF(OR(D279=0,D279="",D279="Athlete"),"",COUNTIF($D$4:$D279,D279))</f>
        <v>2</v>
      </c>
    </row>
    <row r="280" spans="4:22" hidden="1" x14ac:dyDescent="0.35">
      <c r="D280" s="89" t="str">
        <f t="shared" ref="D280:E280" ca="1" si="106">K93</f>
        <v>JONES Alex</v>
      </c>
      <c r="E280" s="89" t="str">
        <f t="shared" ca="1" si="106"/>
        <v>York</v>
      </c>
      <c r="T280" s="64">
        <f t="shared" ca="1" si="86"/>
        <v>3</v>
      </c>
      <c r="U280" s="64" t="str">
        <f t="shared" si="87"/>
        <v/>
      </c>
      <c r="V280" s="422">
        <f ca="1">IF(OR(D280=0,D280="",D280="Athlete"),"",COUNTIF($D$4:$D280,D280))</f>
        <v>3</v>
      </c>
    </row>
    <row r="281" spans="4:22" hidden="1" x14ac:dyDescent="0.35">
      <c r="D281" s="89" t="str">
        <f t="shared" ref="D281:E281" ca="1" si="107">K94</f>
        <v/>
      </c>
      <c r="E281" s="89" t="str">
        <f t="shared" ca="1" si="107"/>
        <v/>
      </c>
      <c r="T281" s="64" t="str">
        <f t="shared" ca="1" si="86"/>
        <v/>
      </c>
      <c r="U281" s="64" t="str">
        <f t="shared" si="87"/>
        <v/>
      </c>
      <c r="V281" s="422" t="str">
        <f ca="1">IF(OR(D281=0,D281="",D281="Athlete"),"",COUNTIF($D$4:$D281,D281))</f>
        <v/>
      </c>
    </row>
    <row r="282" spans="4:22" hidden="1" x14ac:dyDescent="0.35">
      <c r="D282" s="89" t="str">
        <f t="shared" ref="D282:E282" ca="1" si="108">K95</f>
        <v/>
      </c>
      <c r="E282" s="89" t="str">
        <f t="shared" ca="1" si="108"/>
        <v/>
      </c>
      <c r="T282" s="64" t="str">
        <f t="shared" ca="1" si="86"/>
        <v/>
      </c>
      <c r="U282" s="64" t="str">
        <f t="shared" si="87"/>
        <v/>
      </c>
      <c r="V282" s="422" t="str">
        <f ca="1">IF(OR(D282=0,D282="",D282="Athlete"),"",COUNTIF($D$4:$D282,D282))</f>
        <v/>
      </c>
    </row>
    <row r="283" spans="4:22" hidden="1" x14ac:dyDescent="0.35">
      <c r="D283" s="89" t="str">
        <f t="shared" ref="D283:E283" ca="1" si="109">K96</f>
        <v/>
      </c>
      <c r="E283" s="89" t="str">
        <f t="shared" ca="1" si="109"/>
        <v/>
      </c>
      <c r="T283" s="64" t="str">
        <f t="shared" ca="1" si="86"/>
        <v/>
      </c>
      <c r="U283" s="64" t="str">
        <f t="shared" si="87"/>
        <v/>
      </c>
      <c r="V283" s="422" t="str">
        <f ca="1">IF(OR(D283=0,D283="",D283="Athlete"),"",COUNTIF($D$4:$D283,D283))</f>
        <v/>
      </c>
    </row>
    <row r="284" spans="4:22" hidden="1" x14ac:dyDescent="0.35">
      <c r="D284" s="89" t="str">
        <f t="shared" ref="D284:E284" ca="1" si="110">K97</f>
        <v/>
      </c>
      <c r="E284" s="89" t="str">
        <f t="shared" ca="1" si="110"/>
        <v/>
      </c>
      <c r="T284" s="64" t="str">
        <f t="shared" ca="1" si="86"/>
        <v/>
      </c>
      <c r="U284" s="64" t="str">
        <f t="shared" si="87"/>
        <v/>
      </c>
      <c r="V284" s="422" t="str">
        <f ca="1">IF(OR(D284=0,D284="",D284="Athlete"),"",COUNTIF($D$4:$D284,D284))</f>
        <v/>
      </c>
    </row>
    <row r="285" spans="4:22" hidden="1" x14ac:dyDescent="0.35">
      <c r="D285" s="89" t="str">
        <f t="shared" ref="D285:E285" ca="1" si="111">K98</f>
        <v/>
      </c>
      <c r="E285" s="89" t="str">
        <f t="shared" ca="1" si="111"/>
        <v/>
      </c>
      <c r="T285" s="64" t="str">
        <f t="shared" ca="1" si="86"/>
        <v/>
      </c>
      <c r="U285" s="64" t="str">
        <f t="shared" si="87"/>
        <v/>
      </c>
      <c r="V285" s="422" t="str">
        <f ca="1">IF(OR(D285=0,D285="",D285="Athlete"),"",COUNTIF($D$4:$D285,D285))</f>
        <v/>
      </c>
    </row>
    <row r="286" spans="4:22" hidden="1" x14ac:dyDescent="0.35">
      <c r="D286" s="89" t="str">
        <f t="shared" ref="D286:E286" ca="1" si="112">K99</f>
        <v/>
      </c>
      <c r="E286" s="89" t="str">
        <f t="shared" ca="1" si="112"/>
        <v/>
      </c>
      <c r="T286" s="64" t="str">
        <f t="shared" ca="1" si="86"/>
        <v/>
      </c>
      <c r="U286" s="64" t="str">
        <f t="shared" si="87"/>
        <v/>
      </c>
      <c r="V286" s="422" t="str">
        <f ca="1">IF(OR(D286=0,D286="",D286="Athlete"),"",COUNTIF($D$4:$D286,D286))</f>
        <v/>
      </c>
    </row>
    <row r="287" spans="4:22" hidden="1" x14ac:dyDescent="0.35">
      <c r="D287" s="89">
        <f t="shared" ref="D287:E287" si="113">K100</f>
        <v>0</v>
      </c>
      <c r="E287" s="89">
        <f t="shared" si="113"/>
        <v>0</v>
      </c>
      <c r="T287" s="64" t="str">
        <f t="shared" si="86"/>
        <v/>
      </c>
      <c r="U287" s="64" t="str">
        <f t="shared" si="87"/>
        <v/>
      </c>
      <c r="V287" s="422" t="str">
        <f>IF(OR(D287=0,D287="",D287="Athlete"),"",COUNTIF($D$4:$D287,D287))</f>
        <v/>
      </c>
    </row>
    <row r="288" spans="4:22" hidden="1" x14ac:dyDescent="0.35">
      <c r="D288" s="89">
        <f t="shared" ref="D288:E288" si="114">K101</f>
        <v>0</v>
      </c>
      <c r="E288" s="89">
        <f t="shared" si="114"/>
        <v>0</v>
      </c>
      <c r="T288" s="64" t="str">
        <f t="shared" si="86"/>
        <v/>
      </c>
      <c r="U288" s="64" t="str">
        <f t="shared" si="87"/>
        <v/>
      </c>
      <c r="V288" s="422" t="str">
        <f>IF(OR(D288=0,D288="",D288="Athlete"),"",COUNTIF($D$4:$D288,D288))</f>
        <v/>
      </c>
    </row>
    <row r="289" spans="4:22" hidden="1" x14ac:dyDescent="0.35">
      <c r="D289" s="89" t="str">
        <f t="shared" ref="D289:E289" ca="1" si="115">K102</f>
        <v>Athlete</v>
      </c>
      <c r="E289" s="89" t="str">
        <f t="shared" ca="1" si="115"/>
        <v>Club</v>
      </c>
      <c r="T289" s="64" t="str">
        <f t="shared" ca="1" si="86"/>
        <v/>
      </c>
      <c r="U289" s="64" t="str">
        <f t="shared" si="87"/>
        <v/>
      </c>
      <c r="V289" s="422" t="str">
        <f ca="1">IF(OR(D289=0,D289="",D289="Athlete"),"",COUNTIF($D$4:$D289,D289))</f>
        <v/>
      </c>
    </row>
    <row r="290" spans="4:22" hidden="1" x14ac:dyDescent="0.35">
      <c r="D290" s="89" t="str">
        <f t="shared" ref="D290:E290" ca="1" si="116">K103</f>
        <v>ROTHWELL Noah</v>
      </c>
      <c r="E290" s="89" t="str">
        <f t="shared" ca="1" si="116"/>
        <v>York</v>
      </c>
      <c r="T290" s="64">
        <f t="shared" ca="1" si="86"/>
        <v>2</v>
      </c>
      <c r="U290" s="64" t="str">
        <f t="shared" si="87"/>
        <v/>
      </c>
      <c r="V290" s="422">
        <f ca="1">IF(OR(D290=0,D290="",D290="Athlete"),"",COUNTIF($D$4:$D290,D290))</f>
        <v>1</v>
      </c>
    </row>
    <row r="291" spans="4:22" hidden="1" x14ac:dyDescent="0.35">
      <c r="D291" s="89" t="str">
        <f t="shared" ref="D291:E291" ca="1" si="117">K104</f>
        <v>HENNESSEY Thomas</v>
      </c>
      <c r="E291" s="89" t="str">
        <f t="shared" ca="1" si="117"/>
        <v>Sheff+D</v>
      </c>
      <c r="T291" s="64">
        <f t="shared" ca="1" si="86"/>
        <v>2</v>
      </c>
      <c r="U291" s="64" t="str">
        <f t="shared" si="87"/>
        <v/>
      </c>
      <c r="V291" s="422">
        <f ca="1">IF(OR(D291=0,D291="",D291="Athlete"),"",COUNTIF($D$4:$D291,D291))</f>
        <v>2</v>
      </c>
    </row>
    <row r="292" spans="4:22" hidden="1" x14ac:dyDescent="0.35">
      <c r="D292" s="89" t="str">
        <f t="shared" ref="D292:E292" ca="1" si="118">K105</f>
        <v>PELL Nathan</v>
      </c>
      <c r="E292" s="89" t="str">
        <f t="shared" ca="1" si="118"/>
        <v>Scun</v>
      </c>
      <c r="T292" s="64">
        <f t="shared" ca="1" si="86"/>
        <v>2</v>
      </c>
      <c r="U292" s="64" t="str">
        <f t="shared" si="87"/>
        <v/>
      </c>
      <c r="V292" s="422">
        <f ca="1">IF(OR(D292=0,D292="",D292="Athlete"),"",COUNTIF($D$4:$D292,D292))</f>
        <v>1</v>
      </c>
    </row>
    <row r="293" spans="4:22" hidden="1" x14ac:dyDescent="0.35">
      <c r="D293" s="89" t="str">
        <f t="shared" ref="D293:E293" ca="1" si="119">K106</f>
        <v>DREW Matthew</v>
      </c>
      <c r="E293" s="89" t="str">
        <f t="shared" ca="1" si="119"/>
        <v>C'field</v>
      </c>
      <c r="T293" s="64">
        <f t="shared" ca="1" si="86"/>
        <v>3</v>
      </c>
      <c r="U293" s="64" t="str">
        <f t="shared" si="87"/>
        <v/>
      </c>
      <c r="V293" s="422">
        <f ca="1">IF(OR(D293=0,D293="",D293="Athlete"),"",COUNTIF($D$4:$D293,D293))</f>
        <v>3</v>
      </c>
    </row>
    <row r="294" spans="4:22" hidden="1" x14ac:dyDescent="0.35">
      <c r="D294" s="89" t="str">
        <f t="shared" ref="D294:E294" ca="1" si="120">K107</f>
        <v/>
      </c>
      <c r="E294" s="89" t="str">
        <f t="shared" ca="1" si="120"/>
        <v/>
      </c>
      <c r="T294" s="64" t="str">
        <f t="shared" ca="1" si="86"/>
        <v/>
      </c>
      <c r="U294" s="64" t="str">
        <f t="shared" si="87"/>
        <v/>
      </c>
      <c r="V294" s="422" t="str">
        <f ca="1">IF(OR(D294=0,D294="",D294="Athlete"),"",COUNTIF($D$4:$D294,D294))</f>
        <v/>
      </c>
    </row>
    <row r="295" spans="4:22" hidden="1" x14ac:dyDescent="0.35">
      <c r="D295" s="89" t="str">
        <f t="shared" ref="D295:E295" ca="1" si="121">K108</f>
        <v/>
      </c>
      <c r="E295" s="89" t="str">
        <f t="shared" ca="1" si="121"/>
        <v/>
      </c>
      <c r="T295" s="64" t="str">
        <f t="shared" ca="1" si="86"/>
        <v/>
      </c>
      <c r="U295" s="64" t="str">
        <f t="shared" si="87"/>
        <v/>
      </c>
      <c r="V295" s="422" t="str">
        <f ca="1">IF(OR(D295=0,D295="",D295="Athlete"),"",COUNTIF($D$4:$D295,D295))</f>
        <v/>
      </c>
    </row>
    <row r="296" spans="4:22" hidden="1" x14ac:dyDescent="0.35">
      <c r="D296" s="89" t="str">
        <f t="shared" ref="D296:E296" ca="1" si="122">K109</f>
        <v/>
      </c>
      <c r="E296" s="89" t="str">
        <f t="shared" ca="1" si="122"/>
        <v/>
      </c>
      <c r="T296" s="64" t="str">
        <f t="shared" ca="1" si="86"/>
        <v/>
      </c>
      <c r="U296" s="64" t="str">
        <f t="shared" si="87"/>
        <v/>
      </c>
      <c r="V296" s="422" t="str">
        <f ca="1">IF(OR(D296=0,D296="",D296="Athlete"),"",COUNTIF($D$4:$D296,D296))</f>
        <v/>
      </c>
    </row>
    <row r="297" spans="4:22" hidden="1" x14ac:dyDescent="0.35">
      <c r="D297" s="89" t="str">
        <f t="shared" ref="D297:E297" ca="1" si="123">K110</f>
        <v/>
      </c>
      <c r="E297" s="89" t="str">
        <f t="shared" ca="1" si="123"/>
        <v/>
      </c>
      <c r="T297" s="64" t="str">
        <f t="shared" ca="1" si="86"/>
        <v/>
      </c>
      <c r="U297" s="64" t="str">
        <f t="shared" si="87"/>
        <v/>
      </c>
      <c r="V297" s="422" t="str">
        <f ca="1">IF(OR(D297=0,D297="",D297="Athlete"),"",COUNTIF($D$4:$D297,D297))</f>
        <v/>
      </c>
    </row>
    <row r="298" spans="4:22" hidden="1" x14ac:dyDescent="0.35">
      <c r="D298" s="89">
        <f t="shared" ref="D298:E298" si="124">K111</f>
        <v>0</v>
      </c>
      <c r="E298" s="89">
        <f t="shared" si="124"/>
        <v>0</v>
      </c>
      <c r="T298" s="64" t="str">
        <f t="shared" si="86"/>
        <v/>
      </c>
      <c r="U298" s="64" t="str">
        <f t="shared" si="87"/>
        <v/>
      </c>
      <c r="V298" s="422" t="str">
        <f>IF(OR(D298=0,D298="",D298="Athlete"),"",COUNTIF($D$4:$D298,D298))</f>
        <v/>
      </c>
    </row>
    <row r="299" spans="4:22" hidden="1" x14ac:dyDescent="0.35">
      <c r="D299" s="89">
        <f t="shared" ref="D299:E299" si="125">K112</f>
        <v>0</v>
      </c>
      <c r="E299" s="89">
        <f t="shared" si="125"/>
        <v>0</v>
      </c>
      <c r="T299" s="64" t="str">
        <f t="shared" si="86"/>
        <v/>
      </c>
      <c r="U299" s="64" t="str">
        <f t="shared" si="87"/>
        <v/>
      </c>
      <c r="V299" s="422" t="str">
        <f>IF(OR(D299=0,D299="",D299="Athlete"),"",COUNTIF($D$4:$D299,D299))</f>
        <v/>
      </c>
    </row>
    <row r="300" spans="4:22" hidden="1" x14ac:dyDescent="0.35">
      <c r="D300" s="89" t="str">
        <f t="shared" ref="D300:E300" ca="1" si="126">K113</f>
        <v>Athlete</v>
      </c>
      <c r="E300" s="89" t="str">
        <f t="shared" ca="1" si="126"/>
        <v>Club</v>
      </c>
      <c r="T300" s="64" t="str">
        <f t="shared" ca="1" si="86"/>
        <v/>
      </c>
      <c r="U300" s="64" t="str">
        <f t="shared" si="87"/>
        <v/>
      </c>
      <c r="V300" s="422" t="str">
        <f ca="1">IF(OR(D300=0,D300="",D300="Athlete"),"",COUNTIF($D$4:$D300,D300))</f>
        <v/>
      </c>
    </row>
    <row r="301" spans="4:22" hidden="1" x14ac:dyDescent="0.35">
      <c r="D301" s="89" t="str">
        <f t="shared" ref="D301:E301" ca="1" si="127">K114</f>
        <v>COCKINGS Matthew</v>
      </c>
      <c r="E301" s="89" t="str">
        <f t="shared" ca="1" si="127"/>
        <v>Sheff+D</v>
      </c>
      <c r="T301" s="64">
        <f t="shared" ca="1" si="86"/>
        <v>3</v>
      </c>
      <c r="U301" s="64" t="str">
        <f t="shared" si="87"/>
        <v/>
      </c>
      <c r="V301" s="422">
        <f ca="1">IF(OR(D301=0,D301="",D301="Athlete"),"",COUNTIF($D$4:$D301,D301))</f>
        <v>3</v>
      </c>
    </row>
    <row r="302" spans="4:22" hidden="1" x14ac:dyDescent="0.35">
      <c r="D302" s="89" t="str">
        <f t="shared" ref="D302:E302" ca="1" si="128">K115</f>
        <v>ROTHWELL Noah</v>
      </c>
      <c r="E302" s="89" t="str">
        <f t="shared" ca="1" si="128"/>
        <v>York</v>
      </c>
      <c r="T302" s="64">
        <f t="shared" ca="1" si="86"/>
        <v>2</v>
      </c>
      <c r="U302" s="64" t="str">
        <f t="shared" si="87"/>
        <v/>
      </c>
      <c r="V302" s="422">
        <f ca="1">IF(OR(D302=0,D302="",D302="Athlete"),"",COUNTIF($D$4:$D302,D302))</f>
        <v>2</v>
      </c>
    </row>
    <row r="303" spans="4:22" hidden="1" x14ac:dyDescent="0.35">
      <c r="D303" s="89" t="str">
        <f t="shared" ref="D303:E303" ca="1" si="129">K116</f>
        <v>PELL Nathan</v>
      </c>
      <c r="E303" s="89" t="str">
        <f t="shared" ca="1" si="129"/>
        <v>Scun</v>
      </c>
      <c r="T303" s="64">
        <f t="shared" ca="1" si="86"/>
        <v>2</v>
      </c>
      <c r="U303" s="64" t="str">
        <f t="shared" si="87"/>
        <v/>
      </c>
      <c r="V303" s="422">
        <f ca="1">IF(OR(D303=0,D303="",D303="Athlete"),"",COUNTIF($D$4:$D303,D303))</f>
        <v>2</v>
      </c>
    </row>
    <row r="304" spans="4:22" hidden="1" x14ac:dyDescent="0.35">
      <c r="D304" s="89" t="str">
        <f t="shared" ref="D304:E304" ca="1" si="130">K117</f>
        <v/>
      </c>
      <c r="E304" s="89" t="str">
        <f t="shared" ca="1" si="130"/>
        <v/>
      </c>
      <c r="T304" s="64" t="str">
        <f t="shared" ca="1" si="86"/>
        <v/>
      </c>
      <c r="U304" s="64" t="str">
        <f t="shared" si="87"/>
        <v/>
      </c>
      <c r="V304" s="422" t="str">
        <f ca="1">IF(OR(D304=0,D304="",D304="Athlete"),"",COUNTIF($D$4:$D304,D304))</f>
        <v/>
      </c>
    </row>
    <row r="305" spans="4:22" hidden="1" x14ac:dyDescent="0.35">
      <c r="D305" s="89" t="str">
        <f t="shared" ref="D305:E305" ca="1" si="131">K118</f>
        <v/>
      </c>
      <c r="E305" s="89" t="str">
        <f t="shared" ca="1" si="131"/>
        <v/>
      </c>
      <c r="T305" s="64" t="str">
        <f t="shared" ca="1" si="86"/>
        <v/>
      </c>
      <c r="U305" s="64" t="str">
        <f t="shared" si="87"/>
        <v/>
      </c>
      <c r="V305" s="422" t="str">
        <f ca="1">IF(OR(D305=0,D305="",D305="Athlete"),"",COUNTIF($D$4:$D305,D305))</f>
        <v/>
      </c>
    </row>
    <row r="306" spans="4:22" hidden="1" x14ac:dyDescent="0.35">
      <c r="D306" s="89" t="str">
        <f t="shared" ref="D306:E306" ca="1" si="132">K119</f>
        <v/>
      </c>
      <c r="E306" s="89" t="str">
        <f t="shared" ca="1" si="132"/>
        <v/>
      </c>
      <c r="T306" s="64" t="str">
        <f t="shared" ca="1" si="86"/>
        <v/>
      </c>
      <c r="U306" s="64" t="str">
        <f t="shared" si="87"/>
        <v/>
      </c>
      <c r="V306" s="422" t="str">
        <f ca="1">IF(OR(D306=0,D306="",D306="Athlete"),"",COUNTIF($D$4:$D306,D306))</f>
        <v/>
      </c>
    </row>
    <row r="307" spans="4:22" hidden="1" x14ac:dyDescent="0.35">
      <c r="D307" s="89" t="str">
        <f t="shared" ref="D307:E307" ca="1" si="133">K120</f>
        <v/>
      </c>
      <c r="E307" s="89" t="str">
        <f t="shared" ca="1" si="133"/>
        <v/>
      </c>
      <c r="T307" s="64" t="str">
        <f t="shared" ca="1" si="86"/>
        <v/>
      </c>
      <c r="U307" s="64" t="str">
        <f t="shared" si="87"/>
        <v/>
      </c>
      <c r="V307" s="422" t="str">
        <f ca="1">IF(OR(D307=0,D307="",D307="Athlete"),"",COUNTIF($D$4:$D307,D307))</f>
        <v/>
      </c>
    </row>
    <row r="308" spans="4:22" hidden="1" x14ac:dyDescent="0.35">
      <c r="D308" s="89" t="str">
        <f t="shared" ref="D308:E308" ca="1" si="134">K121</f>
        <v/>
      </c>
      <c r="E308" s="89" t="str">
        <f t="shared" ca="1" si="134"/>
        <v/>
      </c>
      <c r="T308" s="64" t="str">
        <f t="shared" ca="1" si="86"/>
        <v/>
      </c>
      <c r="U308" s="64" t="str">
        <f t="shared" si="87"/>
        <v/>
      </c>
      <c r="V308" s="422" t="str">
        <f ca="1">IF(OR(D308=0,D308="",D308="Athlete"),"",COUNTIF($D$4:$D308,D308))</f>
        <v/>
      </c>
    </row>
    <row r="309" spans="4:22" hidden="1" x14ac:dyDescent="0.35">
      <c r="D309" s="89">
        <f t="shared" ref="D309:E309" si="135">K122</f>
        <v>0</v>
      </c>
      <c r="E309" s="89">
        <f t="shared" si="135"/>
        <v>0</v>
      </c>
      <c r="T309" s="64" t="str">
        <f t="shared" si="86"/>
        <v/>
      </c>
      <c r="U309" s="64" t="str">
        <f t="shared" si="87"/>
        <v/>
      </c>
      <c r="V309" s="422" t="str">
        <f>IF(OR(D309=0,D309="",D309="Athlete"),"",COUNTIF($D$4:$D309,D309))</f>
        <v/>
      </c>
    </row>
    <row r="310" spans="4:22" hidden="1" x14ac:dyDescent="0.35">
      <c r="D310" s="89">
        <f t="shared" ref="D310:E310" si="136">K123</f>
        <v>0</v>
      </c>
      <c r="E310" s="89">
        <f t="shared" si="136"/>
        <v>0</v>
      </c>
      <c r="T310" s="64" t="str">
        <f t="shared" si="86"/>
        <v/>
      </c>
      <c r="U310" s="64" t="str">
        <f t="shared" si="87"/>
        <v/>
      </c>
      <c r="V310" s="422" t="str">
        <f>IF(OR(D310=0,D310="",D310="Athlete"),"",COUNTIF($D$4:$D310,D310))</f>
        <v/>
      </c>
    </row>
    <row r="311" spans="4:22" hidden="1" x14ac:dyDescent="0.35">
      <c r="D311" s="89">
        <f t="shared" ref="D311" si="137">K124</f>
        <v>0</v>
      </c>
      <c r="E311" s="89" t="e">
        <f>#REF!</f>
        <v>#REF!</v>
      </c>
      <c r="T311" s="64" t="str">
        <f t="shared" si="86"/>
        <v/>
      </c>
      <c r="U311" s="64" t="str">
        <f t="shared" si="87"/>
        <v/>
      </c>
      <c r="V311" s="422" t="str">
        <f>IF(OR(D311=0,D311="",D311="Athlete"),"",COUNTIF($D$4:$D311,D311))</f>
        <v/>
      </c>
    </row>
    <row r="312" spans="4:22" hidden="1" x14ac:dyDescent="0.35">
      <c r="D312" s="89">
        <f t="shared" ref="D312" si="138">K125</f>
        <v>0</v>
      </c>
      <c r="E312" s="89" t="e">
        <f>#REF!</f>
        <v>#REF!</v>
      </c>
      <c r="T312" s="64" t="str">
        <f t="shared" si="86"/>
        <v/>
      </c>
      <c r="U312" s="64" t="str">
        <f t="shared" si="87"/>
        <v/>
      </c>
      <c r="V312" s="422" t="str">
        <f>IF(OR(D312=0,D312="",D312="Athlete"),"",COUNTIF($D$4:$D312,D312))</f>
        <v/>
      </c>
    </row>
    <row r="313" spans="4:22" hidden="1" x14ac:dyDescent="0.35">
      <c r="D313" s="89">
        <f t="shared" ref="D313" si="139">K126</f>
        <v>0</v>
      </c>
      <c r="E313" s="89" t="e">
        <f>#REF!</f>
        <v>#REF!</v>
      </c>
      <c r="T313" s="64" t="str">
        <f t="shared" si="86"/>
        <v/>
      </c>
      <c r="U313" s="64" t="str">
        <f t="shared" si="87"/>
        <v/>
      </c>
      <c r="V313" s="422" t="str">
        <f>IF(OR(D313=0,D313="",D313="Athlete"),"",COUNTIF($D$4:$D313,D313))</f>
        <v/>
      </c>
    </row>
    <row r="314" spans="4:22" hidden="1" x14ac:dyDescent="0.35">
      <c r="D314" s="89">
        <f t="shared" ref="D314" si="140">K127</f>
        <v>0</v>
      </c>
      <c r="E314" s="89" t="e">
        <f>#REF!</f>
        <v>#REF!</v>
      </c>
      <c r="T314" s="64" t="str">
        <f t="shared" si="86"/>
        <v/>
      </c>
      <c r="U314" s="64" t="str">
        <f t="shared" si="87"/>
        <v/>
      </c>
      <c r="V314" s="422" t="str">
        <f>IF(OR(D314=0,D314="",D314="Athlete"),"",COUNTIF($D$4:$D314,D314))</f>
        <v/>
      </c>
    </row>
    <row r="315" spans="4:22" hidden="1" x14ac:dyDescent="0.35">
      <c r="D315" s="89">
        <f t="shared" ref="D315" si="141">K128</f>
        <v>0</v>
      </c>
      <c r="E315" s="89" t="e">
        <f>#REF!</f>
        <v>#REF!</v>
      </c>
      <c r="T315" s="64" t="str">
        <f t="shared" si="86"/>
        <v/>
      </c>
      <c r="U315" s="64" t="str">
        <f t="shared" si="87"/>
        <v/>
      </c>
      <c r="V315" s="422" t="str">
        <f>IF(OR(D315=0,D315="",D315="Athlete"),"",COUNTIF($D$4:$D315,D315))</f>
        <v/>
      </c>
    </row>
    <row r="316" spans="4:22" hidden="1" x14ac:dyDescent="0.35">
      <c r="D316" s="89">
        <f t="shared" ref="D316" si="142">K129</f>
        <v>0</v>
      </c>
      <c r="E316" s="89" t="e">
        <f>#REF!</f>
        <v>#REF!</v>
      </c>
      <c r="T316" s="64" t="str">
        <f t="shared" si="86"/>
        <v/>
      </c>
      <c r="U316" s="64" t="str">
        <f t="shared" si="87"/>
        <v/>
      </c>
      <c r="V316" s="422" t="str">
        <f>IF(OR(D316=0,D316="",D316="Athlete"),"",COUNTIF($D$4:$D316,D316))</f>
        <v/>
      </c>
    </row>
    <row r="317" spans="4:22" hidden="1" x14ac:dyDescent="0.35">
      <c r="D317" s="89">
        <f t="shared" ref="D317" si="143">K130</f>
        <v>0</v>
      </c>
      <c r="E317" s="89" t="e">
        <f>#REF!</f>
        <v>#REF!</v>
      </c>
      <c r="T317" s="64" t="str">
        <f t="shared" si="86"/>
        <v/>
      </c>
      <c r="U317" s="64" t="str">
        <f t="shared" si="87"/>
        <v/>
      </c>
      <c r="V317" s="422" t="str">
        <f>IF(OR(D317=0,D317="",D317="Athlete"),"",COUNTIF($D$4:$D317,D317))</f>
        <v/>
      </c>
    </row>
    <row r="318" spans="4:22" hidden="1" x14ac:dyDescent="0.35">
      <c r="D318" s="89">
        <f t="shared" ref="D318" si="144">K131</f>
        <v>0</v>
      </c>
      <c r="E318" s="89" t="e">
        <f>#REF!</f>
        <v>#REF!</v>
      </c>
      <c r="T318" s="64" t="str">
        <f t="shared" si="86"/>
        <v/>
      </c>
      <c r="U318" s="64" t="str">
        <f t="shared" si="87"/>
        <v/>
      </c>
      <c r="V318" s="422" t="str">
        <f>IF(OR(D318=0,D318="",D318="Athlete"),"",COUNTIF($D$4:$D318,D318))</f>
        <v/>
      </c>
    </row>
    <row r="319" spans="4:22" hidden="1" x14ac:dyDescent="0.35">
      <c r="D319" s="89">
        <f t="shared" ref="D319" si="145">K132</f>
        <v>0</v>
      </c>
      <c r="E319" s="89" t="e">
        <f>#REF!</f>
        <v>#REF!</v>
      </c>
      <c r="T319" s="64" t="str">
        <f t="shared" si="86"/>
        <v/>
      </c>
      <c r="U319" s="64" t="str">
        <f t="shared" si="87"/>
        <v/>
      </c>
      <c r="V319" s="422" t="str">
        <f>IF(OR(D319=0,D319="",D319="Athlete"),"",COUNTIF($D$4:$D319,D319))</f>
        <v/>
      </c>
    </row>
    <row r="320" spans="4:22" hidden="1" x14ac:dyDescent="0.35">
      <c r="D320" s="89">
        <f t="shared" ref="D320:E320" si="146">K133</f>
        <v>0</v>
      </c>
      <c r="E320" s="89">
        <f t="shared" si="146"/>
        <v>0</v>
      </c>
      <c r="T320" s="64" t="str">
        <f t="shared" si="86"/>
        <v/>
      </c>
      <c r="U320" s="64" t="str">
        <f t="shared" si="87"/>
        <v/>
      </c>
      <c r="V320" s="422" t="str">
        <f>IF(OR(D320=0,D320="",D320="Athlete"),"",COUNTIF($D$4:$D320,D320))</f>
        <v/>
      </c>
    </row>
    <row r="321" spans="4:22" hidden="1" x14ac:dyDescent="0.35">
      <c r="D321" s="89">
        <f t="shared" ref="D321:E321" si="147">K134</f>
        <v>0</v>
      </c>
      <c r="E321" s="89">
        <f t="shared" si="147"/>
        <v>0</v>
      </c>
      <c r="T321" s="64" t="str">
        <f t="shared" si="86"/>
        <v/>
      </c>
      <c r="U321" s="64" t="str">
        <f t="shared" si="87"/>
        <v/>
      </c>
      <c r="V321" s="422" t="str">
        <f>IF(OR(D321=0,D321="",D321="Athlete"),"",COUNTIF($D$4:$D321,D321))</f>
        <v/>
      </c>
    </row>
    <row r="322" spans="4:22" hidden="1" x14ac:dyDescent="0.35">
      <c r="D322" s="89">
        <f t="shared" ref="D322:E322" si="148">K135</f>
        <v>0</v>
      </c>
      <c r="E322" s="89">
        <f t="shared" si="148"/>
        <v>0</v>
      </c>
      <c r="T322" s="64" t="str">
        <f t="shared" si="86"/>
        <v/>
      </c>
      <c r="U322" s="64" t="str">
        <f t="shared" si="87"/>
        <v/>
      </c>
      <c r="V322" s="422" t="str">
        <f>IF(OR(D322=0,D322="",D322="Athlete"),"",COUNTIF($D$4:$D322,D322))</f>
        <v/>
      </c>
    </row>
    <row r="323" spans="4:22" hidden="1" x14ac:dyDescent="0.35">
      <c r="D323" s="89">
        <f t="shared" ref="D323:E323" si="149">K136</f>
        <v>0</v>
      </c>
      <c r="E323" s="89">
        <f t="shared" si="149"/>
        <v>0</v>
      </c>
      <c r="T323" s="64" t="str">
        <f t="shared" si="86"/>
        <v/>
      </c>
      <c r="U323" s="64" t="str">
        <f t="shared" si="87"/>
        <v/>
      </c>
      <c r="V323" s="422" t="str">
        <f>IF(OR(D323=0,D323="",D323="Athlete"),"",COUNTIF($D$4:$D323,D323))</f>
        <v/>
      </c>
    </row>
    <row r="324" spans="4:22" hidden="1" x14ac:dyDescent="0.35">
      <c r="D324" s="89">
        <f t="shared" ref="D324:E324" si="150">K137</f>
        <v>0</v>
      </c>
      <c r="E324" s="89">
        <f t="shared" si="150"/>
        <v>0</v>
      </c>
      <c r="T324" s="64" t="str">
        <f t="shared" si="86"/>
        <v/>
      </c>
      <c r="U324" s="64" t="str">
        <f t="shared" si="87"/>
        <v/>
      </c>
      <c r="V324" s="422" t="str">
        <f>IF(OR(D324=0,D324="",D324="Athlete"),"",COUNTIF($D$4:$D324,D324))</f>
        <v/>
      </c>
    </row>
    <row r="325" spans="4:22" hidden="1" x14ac:dyDescent="0.35">
      <c r="D325" s="89">
        <f t="shared" ref="D325:E325" si="151">K138</f>
        <v>0</v>
      </c>
      <c r="E325" s="89">
        <f t="shared" si="151"/>
        <v>0</v>
      </c>
      <c r="T325" s="64" t="str">
        <f t="shared" ref="T325:T352" si="152">IF(OR(D325=0,D325="",D325="Athlete"),"",COUNTIF($D$4:$D$352,D325))</f>
        <v/>
      </c>
      <c r="U325" s="64" t="str">
        <f t="shared" ref="U325:U352" si="153">IF(OR(K325=0,K325="",K325="Athlete"),"",COUNTIF($D$4:$D$352,K325))</f>
        <v/>
      </c>
      <c r="V325" s="422" t="str">
        <f>IF(OR(D325=0,D325="",D325="Athlete"),"",COUNTIF($D$4:$D325,D325))</f>
        <v/>
      </c>
    </row>
    <row r="326" spans="4:22" hidden="1" x14ac:dyDescent="0.35">
      <c r="D326" s="89">
        <f t="shared" ref="D326:E326" si="154">K139</f>
        <v>0</v>
      </c>
      <c r="E326" s="89">
        <f t="shared" si="154"/>
        <v>0</v>
      </c>
      <c r="T326" s="64" t="str">
        <f t="shared" si="152"/>
        <v/>
      </c>
      <c r="U326" s="64" t="str">
        <f t="shared" si="153"/>
        <v/>
      </c>
      <c r="V326" s="422" t="str">
        <f>IF(OR(D326=0,D326="",D326="Athlete"),"",COUNTIF($D$4:$D326,D326))</f>
        <v/>
      </c>
    </row>
    <row r="327" spans="4:22" hidden="1" x14ac:dyDescent="0.35">
      <c r="D327" s="89">
        <f t="shared" ref="D327:E327" si="155">K140</f>
        <v>0</v>
      </c>
      <c r="E327" s="89">
        <f t="shared" si="155"/>
        <v>0</v>
      </c>
      <c r="T327" s="64" t="str">
        <f t="shared" si="152"/>
        <v/>
      </c>
      <c r="U327" s="64" t="str">
        <f t="shared" si="153"/>
        <v/>
      </c>
      <c r="V327" s="422" t="str">
        <f>IF(OR(D327=0,D327="",D327="Athlete"),"",COUNTIF($D$4:$D327,D327))</f>
        <v/>
      </c>
    </row>
    <row r="328" spans="4:22" hidden="1" x14ac:dyDescent="0.35">
      <c r="D328" s="89">
        <f t="shared" ref="D328:E328" si="156">K141</f>
        <v>0</v>
      </c>
      <c r="E328" s="89">
        <f t="shared" si="156"/>
        <v>0</v>
      </c>
      <c r="T328" s="64" t="str">
        <f t="shared" si="152"/>
        <v/>
      </c>
      <c r="U328" s="64" t="str">
        <f t="shared" si="153"/>
        <v/>
      </c>
      <c r="V328" s="422" t="str">
        <f>IF(OR(D328=0,D328="",D328="Athlete"),"",COUNTIF($D$4:$D328,D328))</f>
        <v/>
      </c>
    </row>
    <row r="329" spans="4:22" hidden="1" x14ac:dyDescent="0.35">
      <c r="D329" s="89">
        <f t="shared" ref="D329:E329" si="157">K142</f>
        <v>0</v>
      </c>
      <c r="E329" s="89">
        <f t="shared" si="157"/>
        <v>0</v>
      </c>
      <c r="T329" s="64" t="str">
        <f t="shared" si="152"/>
        <v/>
      </c>
      <c r="U329" s="64" t="str">
        <f t="shared" si="153"/>
        <v/>
      </c>
      <c r="V329" s="422" t="str">
        <f>IF(OR(D329=0,D329="",D329="Athlete"),"",COUNTIF($D$4:$D329,D329))</f>
        <v/>
      </c>
    </row>
    <row r="330" spans="4:22" hidden="1" x14ac:dyDescent="0.35">
      <c r="D330" s="89">
        <f t="shared" ref="D330:E330" si="158">K143</f>
        <v>0</v>
      </c>
      <c r="E330" s="89">
        <f t="shared" si="158"/>
        <v>0</v>
      </c>
      <c r="T330" s="64" t="str">
        <f t="shared" si="152"/>
        <v/>
      </c>
      <c r="U330" s="64" t="str">
        <f t="shared" si="153"/>
        <v/>
      </c>
      <c r="V330" s="422" t="str">
        <f>IF(OR(D330=0,D330="",D330="Athlete"),"",COUNTIF($D$4:$D330,D330))</f>
        <v/>
      </c>
    </row>
    <row r="331" spans="4:22" hidden="1" x14ac:dyDescent="0.35">
      <c r="D331" s="89">
        <f t="shared" ref="D331:E331" si="159">K144</f>
        <v>0</v>
      </c>
      <c r="E331" s="89">
        <f t="shared" si="159"/>
        <v>0</v>
      </c>
      <c r="T331" s="64" t="str">
        <f t="shared" si="152"/>
        <v/>
      </c>
      <c r="U331" s="64" t="str">
        <f t="shared" si="153"/>
        <v/>
      </c>
      <c r="V331" s="422" t="str">
        <f>IF(OR(D331=0,D331="",D331="Athlete"),"",COUNTIF($D$4:$D331,D331))</f>
        <v/>
      </c>
    </row>
    <row r="332" spans="4:22" hidden="1" x14ac:dyDescent="0.35">
      <c r="D332" s="89">
        <f t="shared" ref="D332:E332" si="160">K145</f>
        <v>0</v>
      </c>
      <c r="E332" s="89">
        <f t="shared" si="160"/>
        <v>0</v>
      </c>
      <c r="T332" s="64" t="str">
        <f t="shared" si="152"/>
        <v/>
      </c>
      <c r="U332" s="64" t="str">
        <f t="shared" si="153"/>
        <v/>
      </c>
      <c r="V332" s="422" t="str">
        <f>IF(OR(D332=0,D332="",D332="Athlete"),"",COUNTIF($D$4:$D332,D332))</f>
        <v/>
      </c>
    </row>
    <row r="333" spans="4:22" hidden="1" x14ac:dyDescent="0.35">
      <c r="D333" s="89">
        <f t="shared" ref="D333:E333" si="161">K146</f>
        <v>0</v>
      </c>
      <c r="E333" s="89">
        <f t="shared" si="161"/>
        <v>0</v>
      </c>
      <c r="T333" s="64" t="str">
        <f t="shared" si="152"/>
        <v/>
      </c>
      <c r="U333" s="64" t="str">
        <f t="shared" si="153"/>
        <v/>
      </c>
      <c r="V333" s="422" t="str">
        <f>IF(OR(D333=0,D333="",D333="Athlete"),"",COUNTIF($D$4:$D333,D333))</f>
        <v/>
      </c>
    </row>
    <row r="334" spans="4:22" hidden="1" x14ac:dyDescent="0.35">
      <c r="D334" s="89">
        <f t="shared" ref="D334:E334" si="162">K147</f>
        <v>0</v>
      </c>
      <c r="E334" s="89">
        <f t="shared" si="162"/>
        <v>0</v>
      </c>
      <c r="T334" s="64" t="str">
        <f t="shared" si="152"/>
        <v/>
      </c>
      <c r="U334" s="64" t="str">
        <f t="shared" si="153"/>
        <v/>
      </c>
      <c r="V334" s="422" t="str">
        <f>IF(OR(D334=0,D334="",D334="Athlete"),"",COUNTIF($D$4:$D334,D334))</f>
        <v/>
      </c>
    </row>
    <row r="335" spans="4:22" hidden="1" x14ac:dyDescent="0.35">
      <c r="D335" s="89">
        <f t="shared" ref="D335:E335" si="163">K148</f>
        <v>0</v>
      </c>
      <c r="E335" s="89">
        <f t="shared" si="163"/>
        <v>0</v>
      </c>
      <c r="T335" s="64" t="str">
        <f t="shared" si="152"/>
        <v/>
      </c>
      <c r="U335" s="64" t="str">
        <f t="shared" si="153"/>
        <v/>
      </c>
      <c r="V335" s="422" t="str">
        <f>IF(OR(D335=0,D335="",D335="Athlete"),"",COUNTIF($D$4:$D335,D335))</f>
        <v/>
      </c>
    </row>
    <row r="336" spans="4:22" hidden="1" x14ac:dyDescent="0.35">
      <c r="D336" s="89">
        <f t="shared" ref="D336:E336" si="164">K149</f>
        <v>0</v>
      </c>
      <c r="E336" s="89">
        <f t="shared" si="164"/>
        <v>0</v>
      </c>
      <c r="T336" s="64" t="str">
        <f t="shared" si="152"/>
        <v/>
      </c>
      <c r="U336" s="64" t="str">
        <f t="shared" si="153"/>
        <v/>
      </c>
      <c r="V336" s="422" t="str">
        <f>IF(OR(D336=0,D336="",D336="Athlete"),"",COUNTIF($D$4:$D336,D336))</f>
        <v/>
      </c>
    </row>
    <row r="337" spans="4:22" hidden="1" x14ac:dyDescent="0.35">
      <c r="D337" s="89">
        <f t="shared" ref="D337:E337" si="165">K150</f>
        <v>0</v>
      </c>
      <c r="E337" s="89">
        <f t="shared" si="165"/>
        <v>0</v>
      </c>
      <c r="T337" s="64" t="str">
        <f t="shared" si="152"/>
        <v/>
      </c>
      <c r="U337" s="64" t="str">
        <f t="shared" si="153"/>
        <v/>
      </c>
      <c r="V337" s="422" t="str">
        <f>IF(OR(D337=0,D337="",D337="Athlete"),"",COUNTIF($D$4:$D337,D337))</f>
        <v/>
      </c>
    </row>
    <row r="338" spans="4:22" hidden="1" x14ac:dyDescent="0.35">
      <c r="D338" s="89">
        <f t="shared" ref="D338:E338" si="166">K151</f>
        <v>0</v>
      </c>
      <c r="E338" s="89">
        <f t="shared" si="166"/>
        <v>0</v>
      </c>
      <c r="T338" s="64" t="str">
        <f t="shared" si="152"/>
        <v/>
      </c>
      <c r="U338" s="64" t="str">
        <f t="shared" si="153"/>
        <v/>
      </c>
      <c r="V338" s="422" t="str">
        <f>IF(OR(D338=0,D338="",D338="Athlete"),"",COUNTIF($D$4:$D338,D338))</f>
        <v/>
      </c>
    </row>
    <row r="339" spans="4:22" hidden="1" x14ac:dyDescent="0.35">
      <c r="D339" s="89">
        <f t="shared" ref="D339:E339" si="167">K152</f>
        <v>0</v>
      </c>
      <c r="E339" s="89">
        <f t="shared" si="167"/>
        <v>0</v>
      </c>
      <c r="T339" s="64" t="str">
        <f t="shared" si="152"/>
        <v/>
      </c>
      <c r="U339" s="64" t="str">
        <f t="shared" si="153"/>
        <v/>
      </c>
      <c r="V339" s="422" t="str">
        <f>IF(OR(D339=0,D339="",D339="Athlete"),"",COUNTIF($D$4:$D339,D339))</f>
        <v/>
      </c>
    </row>
    <row r="340" spans="4:22" hidden="1" x14ac:dyDescent="0.35">
      <c r="D340" s="89">
        <f t="shared" ref="D340:E340" si="168">K153</f>
        <v>0</v>
      </c>
      <c r="E340" s="89">
        <f t="shared" si="168"/>
        <v>0</v>
      </c>
      <c r="T340" s="64" t="str">
        <f t="shared" si="152"/>
        <v/>
      </c>
      <c r="U340" s="64" t="str">
        <f t="shared" si="153"/>
        <v/>
      </c>
      <c r="V340" s="422" t="str">
        <f>IF(OR(D340=0,D340="",D340="Athlete"),"",COUNTIF($D$4:$D340,D340))</f>
        <v/>
      </c>
    </row>
    <row r="341" spans="4:22" hidden="1" x14ac:dyDescent="0.35">
      <c r="D341" s="89">
        <f t="shared" ref="D341:E341" si="169">K154</f>
        <v>0</v>
      </c>
      <c r="E341" s="89">
        <f t="shared" si="169"/>
        <v>0</v>
      </c>
      <c r="T341" s="64" t="str">
        <f t="shared" si="152"/>
        <v/>
      </c>
      <c r="U341" s="64" t="str">
        <f t="shared" si="153"/>
        <v/>
      </c>
      <c r="V341" s="422" t="str">
        <f>IF(OR(D341=0,D341="",D341="Athlete"),"",COUNTIF($D$4:$D341,D341))</f>
        <v/>
      </c>
    </row>
    <row r="342" spans="4:22" hidden="1" x14ac:dyDescent="0.35">
      <c r="D342" s="89">
        <f t="shared" ref="D342:E342" si="170">K155</f>
        <v>0</v>
      </c>
      <c r="E342" s="89">
        <f t="shared" si="170"/>
        <v>0</v>
      </c>
      <c r="T342" s="64" t="str">
        <f t="shared" si="152"/>
        <v/>
      </c>
      <c r="U342" s="64" t="str">
        <f t="shared" si="153"/>
        <v/>
      </c>
      <c r="V342" s="422" t="str">
        <f>IF(OR(D342=0,D342="",D342="Athlete"),"",COUNTIF($D$4:$D342,D342))</f>
        <v/>
      </c>
    </row>
    <row r="343" spans="4:22" hidden="1" x14ac:dyDescent="0.35">
      <c r="D343" s="89">
        <f t="shared" ref="D343:E343" si="171">K156</f>
        <v>0</v>
      </c>
      <c r="E343" s="89">
        <f t="shared" si="171"/>
        <v>0</v>
      </c>
      <c r="T343" s="64" t="str">
        <f t="shared" si="152"/>
        <v/>
      </c>
      <c r="U343" s="64" t="str">
        <f t="shared" si="153"/>
        <v/>
      </c>
      <c r="V343" s="422" t="str">
        <f>IF(OR(D343=0,D343="",D343="Athlete"),"",COUNTIF($D$4:$D343,D343))</f>
        <v/>
      </c>
    </row>
    <row r="344" spans="4:22" hidden="1" x14ac:dyDescent="0.35">
      <c r="D344" s="89">
        <f t="shared" ref="D344:E344" si="172">K157</f>
        <v>0</v>
      </c>
      <c r="E344" s="89">
        <f t="shared" si="172"/>
        <v>0</v>
      </c>
      <c r="T344" s="64" t="str">
        <f t="shared" si="152"/>
        <v/>
      </c>
      <c r="U344" s="64" t="str">
        <f t="shared" si="153"/>
        <v/>
      </c>
      <c r="V344" s="422" t="str">
        <f>IF(OR(D344=0,D344="",D344="Athlete"),"",COUNTIF($D$4:$D344,D344))</f>
        <v/>
      </c>
    </row>
    <row r="345" spans="4:22" hidden="1" x14ac:dyDescent="0.35">
      <c r="D345" s="89">
        <f t="shared" ref="D345:E345" si="173">K158</f>
        <v>0</v>
      </c>
      <c r="E345" s="89">
        <f t="shared" si="173"/>
        <v>0</v>
      </c>
      <c r="T345" s="64" t="str">
        <f t="shared" si="152"/>
        <v/>
      </c>
      <c r="U345" s="64" t="str">
        <f t="shared" si="153"/>
        <v/>
      </c>
      <c r="V345" s="422" t="str">
        <f>IF(OR(D345=0,D345="",D345="Athlete"),"",COUNTIF($D$4:$D345,D345))</f>
        <v/>
      </c>
    </row>
    <row r="346" spans="4:22" hidden="1" x14ac:dyDescent="0.35">
      <c r="D346" s="89">
        <f t="shared" ref="D346:E346" si="174">K159</f>
        <v>0</v>
      </c>
      <c r="E346" s="89">
        <f t="shared" si="174"/>
        <v>0</v>
      </c>
      <c r="T346" s="64" t="str">
        <f t="shared" si="152"/>
        <v/>
      </c>
      <c r="U346" s="64" t="str">
        <f t="shared" si="153"/>
        <v/>
      </c>
      <c r="V346" s="422" t="str">
        <f>IF(OR(D346=0,D346="",D346="Athlete"),"",COUNTIF($D$4:$D346,D346))</f>
        <v/>
      </c>
    </row>
    <row r="347" spans="4:22" hidden="1" x14ac:dyDescent="0.35">
      <c r="D347" s="89">
        <f t="shared" ref="D347:E347" si="175">K160</f>
        <v>0</v>
      </c>
      <c r="E347" s="89">
        <f t="shared" si="175"/>
        <v>0</v>
      </c>
      <c r="T347" s="64" t="str">
        <f t="shared" si="152"/>
        <v/>
      </c>
      <c r="U347" s="64" t="str">
        <f t="shared" si="153"/>
        <v/>
      </c>
      <c r="V347" s="422" t="str">
        <f>IF(OR(D347=0,D347="",D347="Athlete"),"",COUNTIF($D$4:$D347,D347))</f>
        <v/>
      </c>
    </row>
    <row r="348" spans="4:22" hidden="1" x14ac:dyDescent="0.35">
      <c r="D348" s="89">
        <f t="shared" ref="D348:E348" si="176">K161</f>
        <v>0</v>
      </c>
      <c r="E348" s="89">
        <f t="shared" si="176"/>
        <v>0</v>
      </c>
      <c r="T348" s="64" t="str">
        <f t="shared" si="152"/>
        <v/>
      </c>
      <c r="U348" s="64" t="str">
        <f t="shared" si="153"/>
        <v/>
      </c>
      <c r="V348" s="422" t="str">
        <f>IF(OR(D348=0,D348="",D348="Athlete"),"",COUNTIF($D$4:$D348,D348))</f>
        <v/>
      </c>
    </row>
    <row r="349" spans="4:22" hidden="1" x14ac:dyDescent="0.35">
      <c r="D349" s="89">
        <f t="shared" ref="D349:E349" si="177">K162</f>
        <v>0</v>
      </c>
      <c r="E349" s="89">
        <f t="shared" si="177"/>
        <v>0</v>
      </c>
      <c r="T349" s="64" t="str">
        <f t="shared" si="152"/>
        <v/>
      </c>
      <c r="U349" s="64" t="str">
        <f t="shared" si="153"/>
        <v/>
      </c>
      <c r="V349" s="422" t="str">
        <f>IF(OR(D349=0,D349="",D349="Athlete"),"",COUNTIF($D$4:$D349,D349))</f>
        <v/>
      </c>
    </row>
    <row r="350" spans="4:22" hidden="1" x14ac:dyDescent="0.35">
      <c r="D350" s="89">
        <f t="shared" ref="D350:E350" si="178">K163</f>
        <v>0</v>
      </c>
      <c r="E350" s="89">
        <f t="shared" si="178"/>
        <v>0</v>
      </c>
      <c r="T350" s="64" t="str">
        <f t="shared" si="152"/>
        <v/>
      </c>
      <c r="U350" s="64" t="str">
        <f t="shared" si="153"/>
        <v/>
      </c>
      <c r="V350" s="422" t="str">
        <f>IF(OR(D350=0,D350="",D350="Athlete"),"",COUNTIF($D$4:$D350,D350))</f>
        <v/>
      </c>
    </row>
    <row r="351" spans="4:22" hidden="1" x14ac:dyDescent="0.35">
      <c r="D351" s="89">
        <f t="shared" ref="D351:E351" si="179">K164</f>
        <v>0</v>
      </c>
      <c r="E351" s="89">
        <f t="shared" si="179"/>
        <v>0</v>
      </c>
      <c r="T351" s="64" t="str">
        <f t="shared" si="152"/>
        <v/>
      </c>
      <c r="U351" s="64" t="str">
        <f t="shared" si="153"/>
        <v/>
      </c>
      <c r="V351" s="422" t="str">
        <f>IF(OR(D351=0,D351="",D351="Athlete"),"",COUNTIF($D$4:$D351,D351))</f>
        <v/>
      </c>
    </row>
    <row r="352" spans="4:22" hidden="1" x14ac:dyDescent="0.35">
      <c r="D352" s="89">
        <f t="shared" ref="D352:E352" si="180">K165</f>
        <v>0</v>
      </c>
      <c r="E352" s="89">
        <f t="shared" si="180"/>
        <v>0</v>
      </c>
      <c r="T352" s="64" t="str">
        <f t="shared" si="152"/>
        <v/>
      </c>
      <c r="U352" s="64" t="str">
        <f t="shared" si="153"/>
        <v/>
      </c>
      <c r="V352" s="422" t="str">
        <f>IF(OR(D352=0,D352="",D352="Athlete"),"",COUNTIF($D$4:$D352,D352))</f>
        <v/>
      </c>
    </row>
  </sheetData>
  <sheetProtection algorithmName="SHA-512" hashValue="qhLDT7j76ohsEqyywhsYGKrVp5WAPD3RmWvVjuI+WMx6FHqVjHuXdu+79Htk9b4nZHgnWMhT+9FZCGTY18Qz9g==" saltValue="evyDPUpKCHGPP9um/NKafg=="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2" manualBreakCount="2">
    <brk id="45" min="1" max="13" man="1"/>
    <brk id="89" min="1" max="1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0">
    <tabColor rgb="FFFFFF00"/>
  </sheetPr>
  <dimension ref="A1:R132"/>
  <sheetViews>
    <sheetView showZeros="0" topLeftCell="B1" zoomScaleNormal="100" workbookViewId="0">
      <pane ySplit="1" topLeftCell="A114" activePane="bottomLeft" state="frozen"/>
      <selection activeCell="Q36" sqref="Q36"/>
      <selection pane="bottomLeft" activeCell="D137" sqref="D137"/>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300"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300" customWidth="1"/>
    <col min="14" max="14" width="4" style="121" customWidth="1"/>
    <col min="15" max="17" width="8.86328125" style="64"/>
    <col min="18" max="18" width="0" style="64" hidden="1" customWidth="1"/>
    <col min="19" max="16384" width="8.86328125" style="64"/>
  </cols>
  <sheetData>
    <row r="1" spans="1:18" ht="45" customHeight="1" x14ac:dyDescent="0.35">
      <c r="A1" s="201" t="s">
        <v>784</v>
      </c>
      <c r="B1" s="288" t="str">
        <f>Dashboard!E1</f>
        <v>LOWER NORTH East 1 @ Doncaster</v>
      </c>
      <c r="G1" s="198"/>
      <c r="I1" s="64"/>
      <c r="J1" s="64"/>
      <c r="K1" s="202"/>
      <c r="L1" s="499">
        <f>Dashboard!E2</f>
        <v>43582</v>
      </c>
      <c r="M1" s="500"/>
      <c r="N1" s="200"/>
      <c r="P1" s="82"/>
      <c r="Q1" s="70"/>
      <c r="R1" s="82">
        <f ca="1">SUM(R2:R300)</f>
        <v>10</v>
      </c>
    </row>
    <row r="2" spans="1:18" x14ac:dyDescent="0.35">
      <c r="A2" s="66" t="s">
        <v>40</v>
      </c>
      <c r="B2" s="115" t="str">
        <f ca="1">IFERROR(INDIRECT(CONCATENATE("Track1!B",A3)),"")</f>
        <v>75m U13 Girls A</v>
      </c>
      <c r="E2" s="89" t="s">
        <v>259</v>
      </c>
      <c r="F2" s="400">
        <f ca="1">IFERROR(INDIRECT(CONCATENATE("Track1!f",A3)),"")</f>
        <v>0</v>
      </c>
      <c r="G2" s="121" t="str">
        <f ca="1">IFERROR(INDIRECT(CONCATENATE("Track1!g",A3)),"")</f>
        <v/>
      </c>
      <c r="I2" s="115" t="str">
        <f ca="1">IFERROR(INDIRECT(CONCATENATE("Track1!I",A3)),"")</f>
        <v>75m U13 Girls B</v>
      </c>
      <c r="L2" s="89" t="s">
        <v>259</v>
      </c>
      <c r="M2" s="299">
        <f ca="1">IFERROR(INDIRECT(CONCATENATE("Track1!M",A3)),"")</f>
        <v>0</v>
      </c>
    </row>
    <row r="3" spans="1:18" x14ac:dyDescent="0.35">
      <c r="A3" s="66">
        <f>IFERROR(MATCH(A2,Track1!A:A,0),"")</f>
        <v>90</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301"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301" t="str">
        <f ca="1">IFERROR(INDIRECT(CONCATENATE("Track1!M",A3+1)),"")</f>
        <v>Perf</v>
      </c>
      <c r="N3" s="218" t="str">
        <f ca="1">IFERROR(INDIRECT(CONCATENATE("Track1!N",A3+1)),"")</f>
        <v>AAA</v>
      </c>
      <c r="O3" s="67"/>
    </row>
    <row r="4" spans="1:18" x14ac:dyDescent="0.35">
      <c r="B4" s="66">
        <f ca="1">IFERROR(INDIRECT(CONCATENATE("Track1!B",A3+2)),"")</f>
        <v>1</v>
      </c>
      <c r="C4" s="66">
        <f ca="1">IFERROR(INDIRECT(CONCATENATE("Track1!C",A3+2)),"")</f>
        <v>3</v>
      </c>
      <c r="D4" s="89" t="str">
        <f ca="1">IFERROR(INDIRECT(CONCATENATE("Track1!D",A3+2)),"")</f>
        <v>MAUDE Emily</v>
      </c>
      <c r="E4" s="89" t="str">
        <f ca="1">IFERROR(INDIRECT(CONCATENATE("Track1!E",A3+2)),"")</f>
        <v>York</v>
      </c>
      <c r="F4" s="299">
        <f ca="1">IFERROR(INDIRECT(CONCATENATE("Track1!F",A3+2)),"")</f>
        <v>10.3</v>
      </c>
      <c r="G4" s="121">
        <f ca="1">IFERROR(INDIRECT(CONCATENATE("Track1!G",A3+2)),"")</f>
        <v>1</v>
      </c>
      <c r="H4" s="66"/>
      <c r="I4" s="66">
        <f ca="1">IFERROR(INDIRECT(CONCATENATE("Track1!I",A3+2)),"")</f>
        <v>1</v>
      </c>
      <c r="J4" s="66">
        <f ca="1">IFERROR(INDIRECT(CONCATENATE("Track1!J",A3+2)),"")</f>
        <v>33</v>
      </c>
      <c r="K4" s="89" t="str">
        <f ca="1">IFERROR(INDIRECT(CONCATENATE("Track1!K",A3+2)),"")</f>
        <v>SIGSWORTH Martha</v>
      </c>
      <c r="L4" s="89" t="str">
        <f ca="1">IFERROR(INDIRECT(CONCATENATE("Track1!L",A3+2)),"")</f>
        <v>York</v>
      </c>
      <c r="M4" s="299">
        <f ca="1">IFERROR(INDIRECT(CONCATENATE("Track1!M",A3+2)),"")</f>
        <v>11.2</v>
      </c>
      <c r="N4" s="121">
        <f ca="1">IFERROR(INDIRECT(CONCATENATE("Track1!N",A3+2)),"")</f>
        <v>4</v>
      </c>
      <c r="R4" s="219">
        <f ca="1">IFERROR(INDIRECT(CONCATENATE("Track1!r",A3+2)),"")</f>
        <v>1</v>
      </c>
    </row>
    <row r="5" spans="1:18" x14ac:dyDescent="0.35">
      <c r="B5" s="66">
        <f ca="1">IFERROR(INDIRECT(CONCATENATE("Track1!B",A3+3)),"")</f>
        <v>2</v>
      </c>
      <c r="C5" s="66">
        <f ca="1">IFERROR(INDIRECT(CONCATENATE("Track1!C",A3+3)),"")</f>
        <v>4</v>
      </c>
      <c r="D5" s="89" t="str">
        <f ca="1">IFERROR(INDIRECT(CONCATENATE("Track1!D",A3+3)),"")</f>
        <v>WILMOT Amy</v>
      </c>
      <c r="E5" s="89" t="str">
        <f ca="1">IFERROR(INDIRECT(CONCATENATE("Track1!E",A3+3)),"")</f>
        <v>M'bro</v>
      </c>
      <c r="F5" s="299">
        <f ca="1">IFERROR(INDIRECT(CONCATENATE("Track1!F",A3+3)),"")</f>
        <v>10.7</v>
      </c>
      <c r="G5" s="121">
        <f ca="1">IFERROR(INDIRECT(CONCATENATE("Track1!G",A3+3)),"")</f>
        <v>3</v>
      </c>
      <c r="H5" s="66"/>
      <c r="I5" s="66">
        <f ca="1">IFERROR(INDIRECT(CONCATENATE("Track1!I",A3+3)),"")</f>
        <v>2</v>
      </c>
      <c r="J5" s="66">
        <f ca="1">IFERROR(INDIRECT(CONCATENATE("Track1!J",A3+3)),"")</f>
        <v>44</v>
      </c>
      <c r="K5" s="89" t="str">
        <f ca="1">IFERROR(INDIRECT(CONCATENATE("Track1!K",A3+3)),"")</f>
        <v>SULLOCK Beth</v>
      </c>
      <c r="L5" s="89" t="str">
        <f ca="1">IFERROR(INDIRECT(CONCATENATE("Track1!L",A3+3)),"")</f>
        <v>M'bro</v>
      </c>
      <c r="M5" s="299">
        <f ca="1">IFERROR(INDIRECT(CONCATENATE("Track1!M",A3+3)),"")</f>
        <v>11.2</v>
      </c>
      <c r="N5" s="121">
        <f ca="1">IFERROR(INDIRECT(CONCATENATE("Track1!N",A3+3)),"")</f>
        <v>4</v>
      </c>
    </row>
    <row r="6" spans="1:18" x14ac:dyDescent="0.35">
      <c r="B6" s="66">
        <f ca="1">IFERROR(INDIRECT(CONCATENATE("Track1!B",A3+4)),"")</f>
        <v>3</v>
      </c>
      <c r="C6" s="66">
        <f ca="1">IFERROR(INDIRECT(CONCATENATE("Track1!C",A3+4)),"")</f>
        <v>2</v>
      </c>
      <c r="D6" s="89" t="str">
        <f ca="1">IFERROR(INDIRECT(CONCATENATE("Track1!D",A3+4)),"")</f>
        <v>HARTLEY Eleanor</v>
      </c>
      <c r="E6" s="89" t="str">
        <f ca="1">IFERROR(INDIRECT(CONCATENATE("Track1!E",A3+4)),"")</f>
        <v>Sheff+D</v>
      </c>
      <c r="F6" s="299">
        <f ca="1">IFERROR(INDIRECT(CONCATENATE("Track1!F",A3+4)),"")</f>
        <v>10.9</v>
      </c>
      <c r="G6" s="121">
        <f ca="1">IFERROR(INDIRECT(CONCATENATE("Track1!G",A3+4)),"")</f>
        <v>3</v>
      </c>
      <c r="H6" s="66"/>
      <c r="I6" s="66">
        <f ca="1">IFERROR(INDIRECT(CONCATENATE("Track1!I",A3+4)),"")</f>
        <v>3</v>
      </c>
      <c r="J6" s="66">
        <f ca="1">IFERROR(INDIRECT(CONCATENATE("Track1!J",A3+4)),"")</f>
        <v>11</v>
      </c>
      <c r="K6" s="89" t="str">
        <f ca="1">IFERROR(INDIRECT(CONCATENATE("Track1!K",A3+4)),"")</f>
        <v>PELL Gracie</v>
      </c>
      <c r="L6" s="89" t="str">
        <f ca="1">IFERROR(INDIRECT(CONCATENATE("Track1!L",A3+4)),"")</f>
        <v>C'field</v>
      </c>
      <c r="M6" s="299">
        <f ca="1">IFERROR(INDIRECT(CONCATENATE("Track1!M",A3+4)),"")</f>
        <v>11.7</v>
      </c>
      <c r="N6" s="121" t="str">
        <f ca="1">IFERROR(INDIRECT(CONCATENATE("Track1!N",A3+4)),"")</f>
        <v/>
      </c>
    </row>
    <row r="7" spans="1:18" x14ac:dyDescent="0.35">
      <c r="B7" s="66">
        <f ca="1">IFERROR(INDIRECT(CONCATENATE("Track1!B",A3+5)),"")</f>
        <v>4</v>
      </c>
      <c r="C7" s="66">
        <f ca="1">IFERROR(INDIRECT(CONCATENATE("Track1!C",A3+5)),"")</f>
        <v>1</v>
      </c>
      <c r="D7" s="89" t="str">
        <f ca="1">IFERROR(INDIRECT(CONCATENATE("Track1!D",A3+5)),"")</f>
        <v>HUMPHREYS Melissa</v>
      </c>
      <c r="E7" s="89" t="str">
        <f ca="1">IFERROR(INDIRECT(CONCATENATE("Track1!E",A3+5)),"")</f>
        <v>C'field</v>
      </c>
      <c r="F7" s="299">
        <f ca="1">IFERROR(INDIRECT(CONCATENATE("Track1!F",A3+5)),"")</f>
        <v>11.2</v>
      </c>
      <c r="G7" s="121">
        <f ca="1">IFERROR(INDIRECT(CONCATENATE("Track1!G",A3+5)),"")</f>
        <v>4</v>
      </c>
      <c r="H7" s="66"/>
      <c r="I7" s="66">
        <f ca="1">IFERROR(INDIRECT(CONCATENATE("Track1!I",A3+5)),"")</f>
        <v>4</v>
      </c>
      <c r="J7" s="66">
        <f ca="1">IFERROR(INDIRECT(CONCATENATE("Track1!J",A3+5)),"")</f>
        <v>22</v>
      </c>
      <c r="K7" s="89" t="str">
        <f ca="1">IFERROR(INDIRECT(CONCATENATE("Track1!K",A3+5)),"")</f>
        <v>ROBERTS Eve</v>
      </c>
      <c r="L7" s="89" t="str">
        <f ca="1">IFERROR(INDIRECT(CONCATENATE("Track1!L",A3+5)),"")</f>
        <v>Sheff+D</v>
      </c>
      <c r="M7" s="299">
        <f ca="1">IFERROR(INDIRECT(CONCATENATE("Track1!M",A3+5)),"")</f>
        <v>11.7</v>
      </c>
      <c r="N7" s="121" t="str">
        <f ca="1">IFERROR(INDIRECT(CONCATENATE("Track1!N",A3+5)),"")</f>
        <v/>
      </c>
    </row>
    <row r="8" spans="1:18" x14ac:dyDescent="0.35">
      <c r="B8" s="66">
        <f ca="1">IFERROR(INDIRECT(CONCATENATE("Track1!B",A3+6)),"")</f>
        <v>5</v>
      </c>
      <c r="C8" s="66">
        <f ca="1">IFERROR(INDIRECT(CONCATENATE("Track1!C",A3+6)),"")</f>
        <v>5</v>
      </c>
      <c r="D8" s="89" t="str">
        <f ca="1">IFERROR(INDIRECT(CONCATENATE("Track1!D",A3+6)),"")</f>
        <v>STOW Libby</v>
      </c>
      <c r="E8" s="89" t="str">
        <f ca="1">IFERROR(INDIRECT(CONCATENATE("Track1!E",A3+6)),"")</f>
        <v>Scun</v>
      </c>
      <c r="F8" s="299">
        <f ca="1">IFERROR(INDIRECT(CONCATENATE("Track1!F",A3+6)),"")</f>
        <v>12.2</v>
      </c>
      <c r="G8" s="121" t="str">
        <f ca="1">IFERROR(INDIRECT(CONCATENATE("Track1!G",A3+6)),"")</f>
        <v/>
      </c>
      <c r="H8" s="66"/>
      <c r="I8" s="66">
        <f ca="1">IFERROR(INDIRECT(CONCATENATE("Track1!I",A3+6)),"")</f>
        <v>5</v>
      </c>
      <c r="J8" s="66">
        <f ca="1">IFERROR(INDIRECT(CONCATENATE("Track1!J",A3+6)),"")</f>
        <v>55</v>
      </c>
      <c r="K8" s="89" t="str">
        <f ca="1">IFERROR(INDIRECT(CONCATENATE("Track1!K",A3+6)),"")</f>
        <v>ABDI Zulekha</v>
      </c>
      <c r="L8" s="89" t="str">
        <f ca="1">IFERROR(INDIRECT(CONCATENATE("Track1!L",A3+6)),"")</f>
        <v>Scun</v>
      </c>
      <c r="M8" s="299">
        <f ca="1">IFERROR(INDIRECT(CONCATENATE("Track1!M",A3+6)),"")</f>
        <v>13.5</v>
      </c>
      <c r="N8" s="121" t="str">
        <f ca="1">IFERROR(INDIRECT(CONCATENATE("Track1!N",A3+6)),"")</f>
        <v/>
      </c>
    </row>
    <row r="9" spans="1:18" x14ac:dyDescent="0.35">
      <c r="B9" s="66">
        <f ca="1">IFERROR(INDIRECT(CONCATENATE("Track1!B",A3+7)),"")</f>
        <v>6</v>
      </c>
      <c r="C9" s="66">
        <f ca="1">IFERROR(INDIRECT(CONCATENATE("Track1!C",A3+7)),"")</f>
        <v>0</v>
      </c>
      <c r="D9" s="89" t="str">
        <f ca="1">IFERROR(INDIRECT(CONCATENATE("Track1!D",A3+7)),"")</f>
        <v/>
      </c>
      <c r="E9" s="89" t="str">
        <f ca="1">IFERROR(INDIRECT(CONCATENATE("Track1!E",A3+7)),"")</f>
        <v/>
      </c>
      <c r="F9" s="299">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299">
        <f ca="1">IFERROR(INDIRECT(CONCATENATE("Track1!M",A3+7)),"")</f>
        <v>0</v>
      </c>
      <c r="N9" s="121" t="str">
        <f ca="1">IFERROR(INDIRECT(CONCATENATE("Track1!N",A3+7)),"")</f>
        <v/>
      </c>
    </row>
    <row r="10" spans="1:18" x14ac:dyDescent="0.35">
      <c r="B10" s="66">
        <f ca="1">IFERROR(INDIRECT(CONCATENATE("Track1!B",A3+8)),"")</f>
        <v>7</v>
      </c>
      <c r="C10" s="66">
        <f ca="1">IFERROR(INDIRECT(CONCATENATE("Track1!C",A3+8)),"")</f>
        <v>0</v>
      </c>
      <c r="D10" s="89" t="str">
        <f ca="1">IFERROR(INDIRECT(CONCATENATE("Track1!D",A3+8)),"")</f>
        <v/>
      </c>
      <c r="E10" s="89" t="str">
        <f ca="1">IFERROR(INDIRECT(CONCATENATE("Track1!E",A3+8)),"")</f>
        <v/>
      </c>
      <c r="F10" s="299">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299">
        <f ca="1">IFERROR(INDIRECT(CONCATENATE("Track1!M",A3+8)),"")</f>
        <v>0</v>
      </c>
      <c r="N10" s="121" t="str">
        <f ca="1">IFERROR(INDIRECT(CONCATENATE("Track1!N",A3+8)),"")</f>
        <v/>
      </c>
    </row>
    <row r="11" spans="1:18" x14ac:dyDescent="0.35">
      <c r="B11" s="66">
        <f ca="1">IFERROR(INDIRECT(CONCATENATE("Track1!B",A3+9)),"")</f>
        <v>8</v>
      </c>
      <c r="C11" s="66">
        <f ca="1">IFERROR(INDIRECT(CONCATENATE("Track1!C",A3+9)),"")</f>
        <v>0</v>
      </c>
      <c r="D11" s="89" t="str">
        <f ca="1">IFERROR(INDIRECT(CONCATENATE("Track1!D",A3+9)),"")</f>
        <v/>
      </c>
      <c r="E11" s="89" t="str">
        <f ca="1">IFERROR(INDIRECT(CONCATENATE("Track1!E",A3+9)),"")</f>
        <v/>
      </c>
      <c r="F11" s="299">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299">
        <f ca="1">IFERROR(INDIRECT(CONCATENATE("Track1!M",A3+9)),"")</f>
        <v>0</v>
      </c>
      <c r="N11" s="121" t="str">
        <f ca="1">IFERROR(INDIRECT(CONCATENATE("Track1!N",A3+9)),"")</f>
        <v/>
      </c>
    </row>
    <row r="13" spans="1:18" x14ac:dyDescent="0.35">
      <c r="A13" s="66" t="s">
        <v>41</v>
      </c>
      <c r="B13" s="115" t="str">
        <f ca="1">IFERROR(INDIRECT(CONCATENATE("Track1!B",A14)),"")</f>
        <v>75m NS U13 Girls A</v>
      </c>
      <c r="E13" s="89" t="s">
        <v>259</v>
      </c>
      <c r="F13" s="400">
        <f ca="1">IFERROR(INDIRECT(CONCATENATE("Track1!f",A14)),"")</f>
        <v>0</v>
      </c>
      <c r="G13" s="121" t="str">
        <f ca="1">IFERROR(INDIRECT(CONCATENATE("Track1!g",A14)),"")</f>
        <v/>
      </c>
      <c r="I13" s="115" t="str">
        <f ca="1">IFERROR(INDIRECT(CONCATENATE("Track1!I",A14)),"")</f>
        <v>75m NS U13 Girls B</v>
      </c>
      <c r="L13" s="89" t="s">
        <v>259</v>
      </c>
      <c r="M13" s="299">
        <f ca="1">IFERROR(INDIRECT(CONCATENATE("Track1!M",A14)),"")</f>
        <v>0</v>
      </c>
    </row>
    <row r="14" spans="1:18" x14ac:dyDescent="0.35">
      <c r="A14" s="66">
        <f>IFERROR(MATCH(A13,Track1!A:A,0),"")</f>
        <v>134</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301"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301" t="str">
        <f ca="1">IFERROR(INDIRECT(CONCATENATE("Track1!M",A14+1)),"")</f>
        <v>Perf</v>
      </c>
      <c r="N14" s="218" t="str">
        <f ca="1">IFERROR(INDIRECT(CONCATENATE("Track1!N",A14+1)),"")</f>
        <v>AAA</v>
      </c>
    </row>
    <row r="15" spans="1:18" x14ac:dyDescent="0.35">
      <c r="B15" s="66">
        <f ca="1">IFERROR(INDIRECT(CONCATENATE("Track1!B",A14+2)),"")</f>
        <v>1</v>
      </c>
      <c r="C15" s="66">
        <f ca="1">IFERROR(INDIRECT(CONCATENATE("Track1!C",A14+2)),"")</f>
        <v>0</v>
      </c>
      <c r="D15" s="89" t="str">
        <f ca="1">IFERROR(INDIRECT(CONCATENATE("Track1!D",A14+2)),"")</f>
        <v/>
      </c>
      <c r="E15" s="89" t="str">
        <f ca="1">IFERROR(INDIRECT(CONCATENATE("Track1!E",A14+2)),"")</f>
        <v/>
      </c>
      <c r="F15" s="299">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299">
        <f ca="1">IFERROR(INDIRECT(CONCATENATE("Track1!M",A14+2)),"")</f>
        <v>0</v>
      </c>
      <c r="N15" s="121" t="str">
        <f ca="1">IFERROR(INDIRECT(CONCATENATE("Track1!N",A14+2)),"")</f>
        <v/>
      </c>
      <c r="R15" s="219">
        <f ca="1">IFERROR(INDIRECT(CONCATENATE("Track1!r",A14+2)),"")</f>
        <v>0</v>
      </c>
    </row>
    <row r="16" spans="1:18" x14ac:dyDescent="0.35">
      <c r="B16" s="66">
        <f ca="1">IFERROR(INDIRECT(CONCATENATE("Track1!B",A14+3)),"")</f>
        <v>2</v>
      </c>
      <c r="C16" s="66">
        <f ca="1">IFERROR(INDIRECT(CONCATENATE("Track1!C",A14+3)),"")</f>
        <v>0</v>
      </c>
      <c r="D16" s="89" t="str">
        <f ca="1">IFERROR(INDIRECT(CONCATENATE("Track1!D",A14+3)),"")</f>
        <v/>
      </c>
      <c r="E16" s="89" t="str">
        <f ca="1">IFERROR(INDIRECT(CONCATENATE("Track1!E",A14+3)),"")</f>
        <v/>
      </c>
      <c r="F16" s="299">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299">
        <f ca="1">IFERROR(INDIRECT(CONCATENATE("Track1!M",A14+3)),"")</f>
        <v>0</v>
      </c>
      <c r="N16" s="121" t="str">
        <f ca="1">IFERROR(INDIRECT(CONCATENATE("Track1!N",A14+3)),"")</f>
        <v/>
      </c>
    </row>
    <row r="17" spans="1:18" x14ac:dyDescent="0.35">
      <c r="B17" s="66">
        <f ca="1">IFERROR(INDIRECT(CONCATENATE("Track1!B",A14+4)),"")</f>
        <v>3</v>
      </c>
      <c r="C17" s="66">
        <f ca="1">IFERROR(INDIRECT(CONCATENATE("Track1!C",A14+4)),"")</f>
        <v>0</v>
      </c>
      <c r="D17" s="89" t="str">
        <f ca="1">IFERROR(INDIRECT(CONCATENATE("Track1!D",A14+4)),"")</f>
        <v/>
      </c>
      <c r="E17" s="89" t="str">
        <f ca="1">IFERROR(INDIRECT(CONCATENATE("Track1!E",A14+4)),"")</f>
        <v/>
      </c>
      <c r="F17" s="299">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299">
        <f ca="1">IFERROR(INDIRECT(CONCATENATE("Track1!M",A14+4)),"")</f>
        <v>0</v>
      </c>
      <c r="N17" s="121" t="str">
        <f ca="1">IFERROR(INDIRECT(CONCATENATE("Track1!N",A14+4)),"")</f>
        <v/>
      </c>
    </row>
    <row r="18" spans="1:18" x14ac:dyDescent="0.35">
      <c r="B18" s="66">
        <f ca="1">IFERROR(INDIRECT(CONCATENATE("Track1!B",A14+5)),"")</f>
        <v>4</v>
      </c>
      <c r="C18" s="66">
        <f ca="1">IFERROR(INDIRECT(CONCATENATE("Track1!C",A14+5)),"")</f>
        <v>0</v>
      </c>
      <c r="D18" s="89" t="str">
        <f ca="1">IFERROR(INDIRECT(CONCATENATE("Track1!D",A14+5)),"")</f>
        <v/>
      </c>
      <c r="E18" s="89" t="str">
        <f ca="1">IFERROR(INDIRECT(CONCATENATE("Track1!E",A14+5)),"")</f>
        <v/>
      </c>
      <c r="F18" s="299">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299">
        <f ca="1">IFERROR(INDIRECT(CONCATENATE("Track1!M",A14+5)),"")</f>
        <v>0</v>
      </c>
      <c r="N18" s="121" t="str">
        <f ca="1">IFERROR(INDIRECT(CONCATENATE("Track1!N",A14+5)),"")</f>
        <v/>
      </c>
    </row>
    <row r="19" spans="1:18" x14ac:dyDescent="0.35">
      <c r="B19" s="66">
        <f ca="1">IFERROR(INDIRECT(CONCATENATE("Track1!B",A14+6)),"")</f>
        <v>5</v>
      </c>
      <c r="C19" s="66">
        <f ca="1">IFERROR(INDIRECT(CONCATENATE("Track1!C",A14+6)),"")</f>
        <v>0</v>
      </c>
      <c r="D19" s="89" t="str">
        <f ca="1">IFERROR(INDIRECT(CONCATENATE("Track1!D",A14+6)),"")</f>
        <v/>
      </c>
      <c r="E19" s="89" t="str">
        <f ca="1">IFERROR(INDIRECT(CONCATENATE("Track1!E",A14+6)),"")</f>
        <v/>
      </c>
      <c r="F19" s="299">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299">
        <f ca="1">IFERROR(INDIRECT(CONCATENATE("Track1!M",A14+6)),"")</f>
        <v>0</v>
      </c>
      <c r="N19" s="121" t="str">
        <f ca="1">IFERROR(INDIRECT(CONCATENATE("Track1!N",A14+6)),"")</f>
        <v/>
      </c>
    </row>
    <row r="20" spans="1:18" x14ac:dyDescent="0.35">
      <c r="B20" s="66">
        <f ca="1">IFERROR(INDIRECT(CONCATENATE("Track1!B",A14+7)),"")</f>
        <v>6</v>
      </c>
      <c r="C20" s="66">
        <f ca="1">IFERROR(INDIRECT(CONCATENATE("Track1!C",A14+7)),"")</f>
        <v>0</v>
      </c>
      <c r="D20" s="89" t="str">
        <f ca="1">IFERROR(INDIRECT(CONCATENATE("Track1!D",A14+7)),"")</f>
        <v/>
      </c>
      <c r="E20" s="89" t="str">
        <f ca="1">IFERROR(INDIRECT(CONCATENATE("Track1!E",A14+7)),"")</f>
        <v/>
      </c>
      <c r="F20" s="299">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299">
        <f ca="1">IFERROR(INDIRECT(CONCATENATE("Track1!M",A14+7)),"")</f>
        <v>0</v>
      </c>
      <c r="N20" s="121" t="str">
        <f ca="1">IFERROR(INDIRECT(CONCATENATE("Track1!N",A14+7)),"")</f>
        <v/>
      </c>
    </row>
    <row r="21" spans="1:18" x14ac:dyDescent="0.35">
      <c r="B21" s="66">
        <f ca="1">IFERROR(INDIRECT(CONCATENATE("Track1!B",A14+8)),"")</f>
        <v>7</v>
      </c>
      <c r="C21" s="66">
        <f ca="1">IFERROR(INDIRECT(CONCATENATE("Track1!C",A14+8)),"")</f>
        <v>0</v>
      </c>
      <c r="D21" s="89" t="str">
        <f ca="1">IFERROR(INDIRECT(CONCATENATE("Track1!D",A14+8)),"")</f>
        <v/>
      </c>
      <c r="E21" s="89" t="str">
        <f ca="1">IFERROR(INDIRECT(CONCATENATE("Track1!E",A14+8)),"")</f>
        <v/>
      </c>
      <c r="F21" s="299">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299">
        <f ca="1">IFERROR(INDIRECT(CONCATENATE("Track1!M",A14+8)),"")</f>
        <v>0</v>
      </c>
      <c r="N21" s="121" t="str">
        <f ca="1">IFERROR(INDIRECT(CONCATENATE("Track1!N",A14+8)),"")</f>
        <v/>
      </c>
    </row>
    <row r="22" spans="1:18" x14ac:dyDescent="0.35">
      <c r="B22" s="66">
        <f ca="1">IFERROR(INDIRECT(CONCATENATE("Track1!B",A14+9)),"")</f>
        <v>8</v>
      </c>
      <c r="C22" s="66">
        <f ca="1">IFERROR(INDIRECT(CONCATENATE("Track1!C",A14+9)),"")</f>
        <v>0</v>
      </c>
      <c r="D22" s="89" t="str">
        <f ca="1">IFERROR(INDIRECT(CONCATENATE("Track1!D",A14+9)),"")</f>
        <v/>
      </c>
      <c r="E22" s="89" t="str">
        <f ca="1">IFERROR(INDIRECT(CONCATENATE("Track1!E",A14+9)),"")</f>
        <v/>
      </c>
      <c r="F22" s="299">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299">
        <f ca="1">IFERROR(INDIRECT(CONCATENATE("Track1!M",A14+9)),"")</f>
        <v>0</v>
      </c>
      <c r="N22" s="121" t="str">
        <f ca="1">IFERROR(INDIRECT(CONCATENATE("Track1!N",A14+9)),"")</f>
        <v/>
      </c>
    </row>
    <row r="24" spans="1:18" x14ac:dyDescent="0.35">
      <c r="A24" s="66" t="s">
        <v>36</v>
      </c>
      <c r="B24" s="115" t="str">
        <f ca="1">IFERROR(INDIRECT(CONCATENATE("Track1!B",A25)),"")</f>
        <v>150m U13 Girls A</v>
      </c>
      <c r="E24" s="89" t="s">
        <v>259</v>
      </c>
      <c r="F24" s="400">
        <f ca="1">IFERROR(INDIRECT(CONCATENATE("Track1!f",A25)),"")</f>
        <v>0</v>
      </c>
      <c r="G24" s="121" t="str">
        <f ca="1">IFERROR(INDIRECT(CONCATENATE("Track1!g",A25)),"")</f>
        <v/>
      </c>
      <c r="I24" s="115" t="str">
        <f ca="1">IFERROR(INDIRECT(CONCATENATE("Track1!I",A25)),"")</f>
        <v>150m U13 Girls B</v>
      </c>
      <c r="L24" s="89" t="s">
        <v>259</v>
      </c>
      <c r="M24" s="299">
        <f ca="1">IFERROR(INDIRECT(CONCATENATE("Track1!M",A25)),"")</f>
        <v>0</v>
      </c>
    </row>
    <row r="25" spans="1:18" x14ac:dyDescent="0.35">
      <c r="A25" s="66">
        <f>IFERROR(MATCH(A24,Track1!A:A,0),"")</f>
        <v>46</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301"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301" t="str">
        <f ca="1">IFERROR(INDIRECT(CONCATENATE("Track1!M",A25+1)),"")</f>
        <v>Perf</v>
      </c>
      <c r="N25" s="218" t="str">
        <f ca="1">IFERROR(INDIRECT(CONCATENATE("Track1!N",A25+1)),"")</f>
        <v>AAA</v>
      </c>
    </row>
    <row r="26" spans="1:18" x14ac:dyDescent="0.35">
      <c r="B26" s="66">
        <f ca="1">IFERROR(INDIRECT(CONCATENATE("Track1!B",A25+2)),"")</f>
        <v>1</v>
      </c>
      <c r="C26" s="66">
        <f ca="1">IFERROR(INDIRECT(CONCATENATE("Track1!C",A25+2)),"")</f>
        <v>2</v>
      </c>
      <c r="D26" s="89" t="str">
        <f ca="1">IFERROR(INDIRECT(CONCATENATE("Track1!D",A25+2)),"")</f>
        <v>GROVE Abigail</v>
      </c>
      <c r="E26" s="89" t="str">
        <f ca="1">IFERROR(INDIRECT(CONCATENATE("Track1!E",A25+2)),"")</f>
        <v>Sheff+D</v>
      </c>
      <c r="F26" s="299">
        <f ca="1">IFERROR(INDIRECT(CONCATENATE("Track1!F",A25+2)),"")</f>
        <v>21.4</v>
      </c>
      <c r="G26" s="121">
        <f ca="1">IFERROR(INDIRECT(CONCATENATE("Track1!G",A25+2)),"")</f>
        <v>3</v>
      </c>
      <c r="H26" s="66"/>
      <c r="I26" s="66">
        <f ca="1">IFERROR(INDIRECT(CONCATENATE("Track1!I",A25+2)),"")</f>
        <v>1</v>
      </c>
      <c r="J26" s="66">
        <f ca="1">IFERROR(INDIRECT(CONCATENATE("Track1!J",A25+2)),"")</f>
        <v>22</v>
      </c>
      <c r="K26" s="89" t="str">
        <f ca="1">IFERROR(INDIRECT(CONCATENATE("Track1!K",A25+2)),"")</f>
        <v>HARTLEY Eleanor</v>
      </c>
      <c r="L26" s="89" t="str">
        <f ca="1">IFERROR(INDIRECT(CONCATENATE("Track1!L",A25+2)),"")</f>
        <v>Sheff+D</v>
      </c>
      <c r="M26" s="299">
        <f ca="1">IFERROR(INDIRECT(CONCATENATE("Track1!M",A25+2)),"")</f>
        <v>22</v>
      </c>
      <c r="N26" s="121">
        <f ca="1">IFERROR(INDIRECT(CONCATENATE("Track1!N",A25+2)),"")</f>
        <v>4</v>
      </c>
      <c r="R26" s="219">
        <f ca="1">IFERROR(INDIRECT(CONCATENATE("Track1!r",A25+2)),"")</f>
        <v>1</v>
      </c>
    </row>
    <row r="27" spans="1:18" x14ac:dyDescent="0.35">
      <c r="B27" s="66">
        <f ca="1">IFERROR(INDIRECT(CONCATENATE("Track1!B",A25+3)),"")</f>
        <v>2</v>
      </c>
      <c r="C27" s="66">
        <f ca="1">IFERROR(INDIRECT(CONCATENATE("Track1!C",A25+3)),"")</f>
        <v>3</v>
      </c>
      <c r="D27" s="89" t="str">
        <f ca="1">IFERROR(INDIRECT(CONCATENATE("Track1!D",A25+3)),"")</f>
        <v>MARSHALL Nancy</v>
      </c>
      <c r="E27" s="89" t="str">
        <f ca="1">IFERROR(INDIRECT(CONCATENATE("Track1!E",A25+3)),"")</f>
        <v>York</v>
      </c>
      <c r="F27" s="299">
        <f ca="1">IFERROR(INDIRECT(CONCATENATE("Track1!F",A25+3)),"")</f>
        <v>21.5</v>
      </c>
      <c r="G27" s="121">
        <f ca="1">IFERROR(INDIRECT(CONCATENATE("Track1!G",A25+3)),"")</f>
        <v>3</v>
      </c>
      <c r="H27" s="66"/>
      <c r="I27" s="66">
        <f ca="1">IFERROR(INDIRECT(CONCATENATE("Track1!I",A25+3)),"")</f>
        <v>2</v>
      </c>
      <c r="J27" s="66">
        <f ca="1">IFERROR(INDIRECT(CONCATENATE("Track1!J",A25+3)),"")</f>
        <v>44</v>
      </c>
      <c r="K27" s="89" t="str">
        <f ca="1">IFERROR(INDIRECT(CONCATENATE("Track1!K",A25+3)),"")</f>
        <v>SEDGWICK Emma</v>
      </c>
      <c r="L27" s="89" t="str">
        <f ca="1">IFERROR(INDIRECT(CONCATENATE("Track1!L",A25+3)),"")</f>
        <v>M'bro</v>
      </c>
      <c r="M27" s="299">
        <f ca="1">IFERROR(INDIRECT(CONCATENATE("Track1!M",A25+3)),"")</f>
        <v>22</v>
      </c>
      <c r="N27" s="121">
        <f ca="1">IFERROR(INDIRECT(CONCATENATE("Track1!N",A25+3)),"")</f>
        <v>4</v>
      </c>
    </row>
    <row r="28" spans="1:18" x14ac:dyDescent="0.35">
      <c r="B28" s="66">
        <f ca="1">IFERROR(INDIRECT(CONCATENATE("Track1!B",A25+4)),"")</f>
        <v>3</v>
      </c>
      <c r="C28" s="66">
        <f ca="1">IFERROR(INDIRECT(CONCATENATE("Track1!C",A25+4)),"")</f>
        <v>4</v>
      </c>
      <c r="D28" s="89" t="str">
        <f ca="1">IFERROR(INDIRECT(CONCATENATE("Track1!D",A25+4)),"")</f>
        <v>SULLOCK Beth</v>
      </c>
      <c r="E28" s="89" t="str">
        <f ca="1">IFERROR(INDIRECT(CONCATENATE("Track1!E",A25+4)),"")</f>
        <v>M'bro</v>
      </c>
      <c r="F28" s="299">
        <f ca="1">IFERROR(INDIRECT(CONCATENATE("Track1!F",A25+4)),"")</f>
        <v>22.8</v>
      </c>
      <c r="G28" s="121" t="str">
        <f ca="1">IFERROR(INDIRECT(CONCATENATE("Track1!G",A25+4)),"")</f>
        <v/>
      </c>
      <c r="H28" s="66"/>
      <c r="I28" s="66">
        <f ca="1">IFERROR(INDIRECT(CONCATENATE("Track1!I",A25+4)),"")</f>
        <v>3</v>
      </c>
      <c r="J28" s="66">
        <f ca="1">IFERROR(INDIRECT(CONCATENATE("Track1!J",A25+4)),"")</f>
        <v>33</v>
      </c>
      <c r="K28" s="89" t="str">
        <f ca="1">IFERROR(INDIRECT(CONCATENATE("Track1!K",A25+4)),"")</f>
        <v>BIRCH Louisa</v>
      </c>
      <c r="L28" s="89" t="str">
        <f ca="1">IFERROR(INDIRECT(CONCATENATE("Track1!L",A25+4)),"")</f>
        <v>York</v>
      </c>
      <c r="M28" s="299">
        <f ca="1">IFERROR(INDIRECT(CONCATENATE("Track1!M",A25+4)),"")</f>
        <v>22.5</v>
      </c>
      <c r="N28" s="121" t="str">
        <f ca="1">IFERROR(INDIRECT(CONCATENATE("Track1!N",A25+4)),"")</f>
        <v/>
      </c>
    </row>
    <row r="29" spans="1:18" x14ac:dyDescent="0.35">
      <c r="B29" s="66">
        <f ca="1">IFERROR(INDIRECT(CONCATENATE("Track1!B",A25+5)),"")</f>
        <v>4</v>
      </c>
      <c r="C29" s="66">
        <f ca="1">IFERROR(INDIRECT(CONCATENATE("Track1!C",A25+5)),"")</f>
        <v>5</v>
      </c>
      <c r="D29" s="89" t="str">
        <f ca="1">IFERROR(INDIRECT(CONCATENATE("Track1!D",A25+5)),"")</f>
        <v>LINGARD Beatrice</v>
      </c>
      <c r="E29" s="89" t="str">
        <f ca="1">IFERROR(INDIRECT(CONCATENATE("Track1!E",A25+5)),"")</f>
        <v>Scun</v>
      </c>
      <c r="F29" s="299">
        <f ca="1">IFERROR(INDIRECT(CONCATENATE("Track1!F",A25+5)),"")</f>
        <v>23.4</v>
      </c>
      <c r="G29" s="121" t="str">
        <f ca="1">IFERROR(INDIRECT(CONCATENATE("Track1!G",A25+5)),"")</f>
        <v/>
      </c>
      <c r="H29" s="66"/>
      <c r="I29" s="66">
        <f ca="1">IFERROR(INDIRECT(CONCATENATE("Track1!I",A25+5)),"")</f>
        <v>4</v>
      </c>
      <c r="J29" s="66">
        <f ca="1">IFERROR(INDIRECT(CONCATENATE("Track1!J",A25+5)),"")</f>
        <v>11</v>
      </c>
      <c r="K29" s="89" t="str">
        <f ca="1">IFERROR(INDIRECT(CONCATENATE("Track1!K",A25+5)),"")</f>
        <v>SAS Evelyn</v>
      </c>
      <c r="L29" s="89" t="str">
        <f ca="1">IFERROR(INDIRECT(CONCATENATE("Track1!L",A25+5)),"")</f>
        <v>C'field</v>
      </c>
      <c r="M29" s="299">
        <f ca="1">IFERROR(INDIRECT(CONCATENATE("Track1!M",A25+5)),"")</f>
        <v>24.4</v>
      </c>
      <c r="N29" s="121" t="str">
        <f ca="1">IFERROR(INDIRECT(CONCATENATE("Track1!N",A25+5)),"")</f>
        <v/>
      </c>
    </row>
    <row r="30" spans="1:18" x14ac:dyDescent="0.35">
      <c r="B30" s="66">
        <f ca="1">IFERROR(INDIRECT(CONCATENATE("Track1!B",A25+6)),"")</f>
        <v>5</v>
      </c>
      <c r="C30" s="66">
        <f ca="1">IFERROR(INDIRECT(CONCATENATE("Track1!C",A25+6)),"")</f>
        <v>1</v>
      </c>
      <c r="D30" s="89" t="str">
        <f ca="1">IFERROR(INDIRECT(CONCATENATE("Track1!D",A25+6)),"")</f>
        <v>GRIFFIN Lydia</v>
      </c>
      <c r="E30" s="89" t="str">
        <f ca="1">IFERROR(INDIRECT(CONCATENATE("Track1!E",A25+6)),"")</f>
        <v>C'field</v>
      </c>
      <c r="F30" s="299">
        <f ca="1">IFERROR(INDIRECT(CONCATENATE("Track1!F",A25+6)),"")</f>
        <v>25.2</v>
      </c>
      <c r="G30" s="121" t="str">
        <f ca="1">IFERROR(INDIRECT(CONCATENATE("Track1!G",A25+6)),"")</f>
        <v/>
      </c>
      <c r="H30" s="66"/>
      <c r="I30" s="66">
        <f ca="1">IFERROR(INDIRECT(CONCATENATE("Track1!I",A25+6)),"")</f>
        <v>5</v>
      </c>
      <c r="J30" s="66">
        <f ca="1">IFERROR(INDIRECT(CONCATENATE("Track1!J",A25+6)),"")</f>
        <v>55</v>
      </c>
      <c r="K30" s="89" t="str">
        <f ca="1">IFERROR(INDIRECT(CONCATENATE("Track1!K",A25+6)),"")</f>
        <v>HAYES Zara</v>
      </c>
      <c r="L30" s="89" t="str">
        <f ca="1">IFERROR(INDIRECT(CONCATENATE("Track1!L",A25+6)),"")</f>
        <v>Scun</v>
      </c>
      <c r="M30" s="299">
        <f ca="1">IFERROR(INDIRECT(CONCATENATE("Track1!M",A25+6)),"")</f>
        <v>25.6</v>
      </c>
      <c r="N30" s="121" t="str">
        <f ca="1">IFERROR(INDIRECT(CONCATENATE("Track1!N",A25+6)),"")</f>
        <v/>
      </c>
    </row>
    <row r="31" spans="1:18" x14ac:dyDescent="0.35">
      <c r="B31" s="66">
        <f ca="1">IFERROR(INDIRECT(CONCATENATE("Track1!B",A25+7)),"")</f>
        <v>6</v>
      </c>
      <c r="C31" s="66">
        <f ca="1">IFERROR(INDIRECT(CONCATENATE("Track1!C",A25+7)),"")</f>
        <v>0</v>
      </c>
      <c r="D31" s="89" t="str">
        <f ca="1">IFERROR(INDIRECT(CONCATENATE("Track1!D",A25+7)),"")</f>
        <v/>
      </c>
      <c r="E31" s="89" t="str">
        <f ca="1">IFERROR(INDIRECT(CONCATENATE("Track1!E",A25+7)),"")</f>
        <v/>
      </c>
      <c r="F31" s="299">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299">
        <f ca="1">IFERROR(INDIRECT(CONCATENATE("Track1!M",A25+7)),"")</f>
        <v>0</v>
      </c>
      <c r="N31" s="121" t="str">
        <f ca="1">IFERROR(INDIRECT(CONCATENATE("Track1!N",A25+7)),"")</f>
        <v/>
      </c>
    </row>
    <row r="32" spans="1:18" x14ac:dyDescent="0.35">
      <c r="B32" s="66">
        <f ca="1">IFERROR(INDIRECT(CONCATENATE("Track1!B",A25+8)),"")</f>
        <v>7</v>
      </c>
      <c r="C32" s="66">
        <f ca="1">IFERROR(INDIRECT(CONCATENATE("Track1!C",A25+8)),"")</f>
        <v>0</v>
      </c>
      <c r="D32" s="89" t="str">
        <f ca="1">IFERROR(INDIRECT(CONCATENATE("Track1!D",A25+8)),"")</f>
        <v/>
      </c>
      <c r="E32" s="89" t="str">
        <f ca="1">IFERROR(INDIRECT(CONCATENATE("Track1!E",A25+8)),"")</f>
        <v/>
      </c>
      <c r="F32" s="299">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299">
        <f ca="1">IFERROR(INDIRECT(CONCATENATE("Track1!M",A25+8)),"")</f>
        <v>0</v>
      </c>
      <c r="N32" s="121" t="str">
        <f ca="1">IFERROR(INDIRECT(CONCATENATE("Track1!N",A25+8)),"")</f>
        <v/>
      </c>
    </row>
    <row r="33" spans="1:18" x14ac:dyDescent="0.35">
      <c r="B33" s="66">
        <f ca="1">IFERROR(INDIRECT(CONCATENATE("Track1!B",A25+9)),"")</f>
        <v>8</v>
      </c>
      <c r="C33" s="66">
        <f ca="1">IFERROR(INDIRECT(CONCATENATE("Track1!C",A25+9)),"")</f>
        <v>0</v>
      </c>
      <c r="D33" s="89" t="str">
        <f ca="1">IFERROR(INDIRECT(CONCATENATE("Track1!D",A25+9)),"")</f>
        <v/>
      </c>
      <c r="E33" s="89" t="str">
        <f ca="1">IFERROR(INDIRECT(CONCATENATE("Track1!E",A25+9)),"")</f>
        <v/>
      </c>
      <c r="F33" s="299">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299">
        <f ca="1">IFERROR(INDIRECT(CONCATENATE("Track1!M",A25+9)),"")</f>
        <v>0</v>
      </c>
      <c r="N33" s="121" t="str">
        <f ca="1">IFERROR(INDIRECT(CONCATENATE("Track1!N",A25+9)),"")</f>
        <v/>
      </c>
    </row>
    <row r="35" spans="1:18" x14ac:dyDescent="0.35">
      <c r="A35" s="66" t="s">
        <v>506</v>
      </c>
      <c r="B35" s="115" t="str">
        <f ca="1">IFERROR(INDIRECT(CONCATENATE("Track1!B",A36)),"")</f>
        <v>800m U13 Girls A</v>
      </c>
      <c r="F35" s="400">
        <f ca="1">IFERROR(INDIRECT(CONCATENATE("Track1!f",A36)),"")</f>
        <v>0</v>
      </c>
      <c r="G35" s="121" t="str">
        <f ca="1">IFERROR(INDIRECT(CONCATENATE("Track1!g",A36)),"")</f>
        <v/>
      </c>
      <c r="I35" s="115" t="str">
        <f ca="1">IFERROR(INDIRECT(CONCATENATE("Track1!I",A36)),"")</f>
        <v>800m U13 Girls B</v>
      </c>
    </row>
    <row r="36" spans="1:18" x14ac:dyDescent="0.35">
      <c r="A36" s="66">
        <f>IFERROR(MATCH(A35,Track1!A:A,0),"")</f>
        <v>200</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301"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301" t="str">
        <f ca="1">IFERROR(INDIRECT(CONCATENATE("Track1!M",A36+1)),"")</f>
        <v>Perf</v>
      </c>
      <c r="N36" s="218" t="str">
        <f ca="1">IFERROR(INDIRECT(CONCATENATE("Track1!N",A36+1)),"")</f>
        <v>AAA</v>
      </c>
    </row>
    <row r="37" spans="1:18" x14ac:dyDescent="0.35">
      <c r="B37" s="66">
        <f ca="1">IFERROR(INDIRECT(CONCATENATE("Track1!B",A36+2)),"")</f>
        <v>1</v>
      </c>
      <c r="C37" s="66">
        <f ca="1">IFERROR(INDIRECT(CONCATENATE("Track1!C",A36+2)),"")</f>
        <v>3</v>
      </c>
      <c r="D37" s="89" t="str">
        <f ca="1">IFERROR(INDIRECT(CONCATENATE("Track1!D",A36+2)),"")</f>
        <v>SIGSWORTH Martha</v>
      </c>
      <c r="E37" s="89" t="str">
        <f ca="1">IFERROR(INDIRECT(CONCATENATE("Track1!E",A36+2)),"")</f>
        <v>York</v>
      </c>
      <c r="F37" s="302">
        <f ca="1">IFERROR(INDIRECT(CONCATENATE("Track1!T",A36+2)),"")</f>
        <v>1.8923611111111112E-3</v>
      </c>
      <c r="G37" s="121" t="str">
        <f ca="1">IFERROR(INDIRECT(CONCATENATE("Track1!G",A36+2)),"")</f>
        <v/>
      </c>
      <c r="H37" s="66"/>
      <c r="I37" s="66">
        <f ca="1">IFERROR(INDIRECT(CONCATENATE("Track1!I",A36+2)),"")</f>
        <v>1</v>
      </c>
      <c r="J37" s="66">
        <f ca="1">IFERROR(INDIRECT(CONCATENATE("Track1!J",A36+2)),"")</f>
        <v>33</v>
      </c>
      <c r="K37" s="89" t="str">
        <f ca="1">IFERROR(INDIRECT(CONCATENATE("Track1!K",A36+2)),"")</f>
        <v>BROOKS Laura</v>
      </c>
      <c r="L37" s="89" t="str">
        <f ca="1">IFERROR(INDIRECT(CONCATENATE("Track1!L",A36+2)),"")</f>
        <v>York</v>
      </c>
      <c r="M37" s="302">
        <f ca="1">IFERROR(INDIRECT(CONCATENATE("Track1!U",A36+2)),"")</f>
        <v>1.9375000000000004E-3</v>
      </c>
      <c r="N37" s="121" t="str">
        <f ca="1">IFERROR(INDIRECT(CONCATENATE("Track1!N",A36+2)),"")</f>
        <v/>
      </c>
      <c r="R37" s="219">
        <f ca="1">IFERROR(INDIRECT(CONCATENATE("Track1!r",A36+2)),"")</f>
        <v>1</v>
      </c>
    </row>
    <row r="38" spans="1:18" x14ac:dyDescent="0.35">
      <c r="B38" s="66">
        <f ca="1">IFERROR(INDIRECT(CONCATENATE("Track1!B",A36+3)),"")</f>
        <v>2</v>
      </c>
      <c r="C38" s="66">
        <f ca="1">IFERROR(INDIRECT(CONCATENATE("Track1!C",A36+3)),"")</f>
        <v>4</v>
      </c>
      <c r="D38" s="89" t="str">
        <f ca="1">IFERROR(INDIRECT(CONCATENATE("Track1!D",A36+3)),"")</f>
        <v>LILLIE Freya</v>
      </c>
      <c r="E38" s="89" t="str">
        <f ca="1">IFERROR(INDIRECT(CONCATENATE("Track1!E",A36+3)),"")</f>
        <v>M'bro</v>
      </c>
      <c r="F38" s="302">
        <f ca="1">IFERROR(INDIRECT(CONCATENATE("Track1!T",A36+3)),"")</f>
        <v>1.9074074074074076E-3</v>
      </c>
      <c r="G38" s="121" t="str">
        <f ca="1">IFERROR(INDIRECT(CONCATENATE("Track1!G",A36+3)),"")</f>
        <v/>
      </c>
      <c r="H38" s="66"/>
      <c r="I38" s="66">
        <f ca="1">IFERROR(INDIRECT(CONCATENATE("Track1!I",A36+3)),"")</f>
        <v>2</v>
      </c>
      <c r="J38" s="66">
        <f ca="1">IFERROR(INDIRECT(CONCATENATE("Track1!J",A36+3)),"")</f>
        <v>11</v>
      </c>
      <c r="K38" s="89" t="str">
        <f ca="1">IFERROR(INDIRECT(CONCATENATE("Track1!K",A36+3)),"")</f>
        <v>PELL Gracie</v>
      </c>
      <c r="L38" s="89" t="str">
        <f ca="1">IFERROR(INDIRECT(CONCATENATE("Track1!L",A36+3)),"")</f>
        <v>C'field</v>
      </c>
      <c r="M38" s="302">
        <f ca="1">IFERROR(INDIRECT(CONCATENATE("Track1!U",A36+3)),"")</f>
        <v>2.0694444444444445E-3</v>
      </c>
      <c r="N38" s="121" t="str">
        <f ca="1">IFERROR(INDIRECT(CONCATENATE("Track1!N",A36+3)),"")</f>
        <v/>
      </c>
    </row>
    <row r="39" spans="1:18" x14ac:dyDescent="0.35">
      <c r="B39" s="66">
        <f ca="1">IFERROR(INDIRECT(CONCATENATE("Track1!B",A36+4)),"")</f>
        <v>3</v>
      </c>
      <c r="C39" s="66">
        <f ca="1">IFERROR(INDIRECT(CONCATENATE("Track1!C",A36+4)),"")</f>
        <v>1</v>
      </c>
      <c r="D39" s="89" t="str">
        <f ca="1">IFERROR(INDIRECT(CONCATENATE("Track1!D",A36+4)),"")</f>
        <v>STANILAND Charlotte</v>
      </c>
      <c r="E39" s="89" t="str">
        <f ca="1">IFERROR(INDIRECT(CONCATENATE("Track1!E",A36+4)),"")</f>
        <v>C'field</v>
      </c>
      <c r="F39" s="302">
        <f ca="1">IFERROR(INDIRECT(CONCATENATE("Track1!T",A36+4)),"")</f>
        <v>2.0219907407407409E-3</v>
      </c>
      <c r="G39" s="121" t="str">
        <f ca="1">IFERROR(INDIRECT(CONCATENATE("Track1!G",A36+4)),"")</f>
        <v/>
      </c>
      <c r="H39" s="66"/>
      <c r="I39" s="66">
        <f ca="1">IFERROR(INDIRECT(CONCATENATE("Track1!I",A36+4)),"")</f>
        <v>3</v>
      </c>
      <c r="J39" s="66">
        <f ca="1">IFERROR(INDIRECT(CONCATENATE("Track1!J",A36+4)),"")</f>
        <v>0</v>
      </c>
      <c r="K39" s="89" t="str">
        <f ca="1">IFERROR(INDIRECT(CONCATENATE("Track1!K",A36+4)),"")</f>
        <v/>
      </c>
      <c r="L39" s="89" t="str">
        <f ca="1">IFERROR(INDIRECT(CONCATENATE("Track1!L",A36+4)),"")</f>
        <v/>
      </c>
      <c r="M39" s="302">
        <f ca="1">IFERROR(INDIRECT(CONCATENATE("Track1!U",A36+4)),"")</f>
        <v>0</v>
      </c>
      <c r="N39" s="121" t="str">
        <f ca="1">IFERROR(INDIRECT(CONCATENATE("Track1!N",A36+4)),"")</f>
        <v/>
      </c>
    </row>
    <row r="40" spans="1:18" x14ac:dyDescent="0.35">
      <c r="B40" s="66">
        <f ca="1">IFERROR(INDIRECT(CONCATENATE("Track1!B",A36+5)),"")</f>
        <v>4</v>
      </c>
      <c r="C40" s="66">
        <f ca="1">IFERROR(INDIRECT(CONCATENATE("Track1!C",A36+5)),"")</f>
        <v>5</v>
      </c>
      <c r="D40" s="89" t="str">
        <f ca="1">IFERROR(INDIRECT(CONCATENATE("Track1!D",A36+5)),"")</f>
        <v>ABDI Zulekha</v>
      </c>
      <c r="E40" s="89" t="str">
        <f ca="1">IFERROR(INDIRECT(CONCATENATE("Track1!E",A36+5)),"")</f>
        <v>Scun</v>
      </c>
      <c r="F40" s="302">
        <f ca="1">IFERROR(INDIRECT(CONCATENATE("Track1!T",A36+5)),"")</f>
        <v>2.4664351851851852E-3</v>
      </c>
      <c r="G40" s="121" t="str">
        <f ca="1">IFERROR(INDIRECT(CONCATENATE("Track1!G",A36+5)),"")</f>
        <v/>
      </c>
      <c r="H40" s="66"/>
      <c r="I40" s="66">
        <f ca="1">IFERROR(INDIRECT(CONCATENATE("Track1!I",A36+5)),"")</f>
        <v>4</v>
      </c>
      <c r="J40" s="66">
        <f ca="1">IFERROR(INDIRECT(CONCATENATE("Track1!J",A36+5)),"")</f>
        <v>0</v>
      </c>
      <c r="K40" s="89" t="str">
        <f ca="1">IFERROR(INDIRECT(CONCATENATE("Track1!K",A36+5)),"")</f>
        <v/>
      </c>
      <c r="L40" s="89" t="str">
        <f ca="1">IFERROR(INDIRECT(CONCATENATE("Track1!L",A36+5)),"")</f>
        <v/>
      </c>
      <c r="M40" s="302">
        <f ca="1">IFERROR(INDIRECT(CONCATENATE("Track1!U",A36+5)),"")</f>
        <v>0</v>
      </c>
      <c r="N40" s="121" t="str">
        <f ca="1">IFERROR(INDIRECT(CONCATENATE("Track1!N",A36+5)),"")</f>
        <v/>
      </c>
    </row>
    <row r="41" spans="1:18" x14ac:dyDescent="0.35">
      <c r="B41" s="66">
        <f ca="1">IFERROR(INDIRECT(CONCATENATE("Track1!B",A36+6)),"")</f>
        <v>5</v>
      </c>
      <c r="C41" s="66">
        <f ca="1">IFERROR(INDIRECT(CONCATENATE("Track1!C",A36+6)),"")</f>
        <v>0</v>
      </c>
      <c r="D41" s="89" t="str">
        <f ca="1">IFERROR(INDIRECT(CONCATENATE("Track1!D",A36+6)),"")</f>
        <v/>
      </c>
      <c r="E41" s="89" t="str">
        <f ca="1">IFERROR(INDIRECT(CONCATENATE("Track1!E",A36+6)),"")</f>
        <v/>
      </c>
      <c r="F41" s="302">
        <f ca="1">IFERROR(INDIRECT(CONCATENATE("Track1!T",A36+6)),"")</f>
        <v>0</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302">
        <f ca="1">IFERROR(INDIRECT(CONCATENATE("Track1!U",A36+6)),"")</f>
        <v>0</v>
      </c>
      <c r="N41" s="121" t="str">
        <f ca="1">IFERROR(INDIRECT(CONCATENATE("Track1!N",A36+6)),"")</f>
        <v/>
      </c>
    </row>
    <row r="42" spans="1:18" x14ac:dyDescent="0.35">
      <c r="B42" s="66">
        <f ca="1">IFERROR(INDIRECT(CONCATENATE("Track1!B",A36+7)),"")</f>
        <v>6</v>
      </c>
      <c r="C42" s="66">
        <f ca="1">IFERROR(INDIRECT(CONCATENATE("Track1!C",A36+7)),"")</f>
        <v>0</v>
      </c>
      <c r="D42" s="89" t="str">
        <f ca="1">IFERROR(INDIRECT(CONCATENATE("Track1!D",A36+7)),"")</f>
        <v/>
      </c>
      <c r="E42" s="89" t="str">
        <f ca="1">IFERROR(INDIRECT(CONCATENATE("Track1!E",A36+7)),"")</f>
        <v/>
      </c>
      <c r="F42" s="302">
        <f ca="1">IFERROR(INDIRECT(CONCATENATE("Track1!T",A36+7)),"")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302">
        <f ca="1">IFERROR(INDIRECT(CONCATENATE("Track1!U",A36+7)),"")</f>
        <v>0</v>
      </c>
      <c r="N42" s="121" t="str">
        <f ca="1">IFERROR(INDIRECT(CONCATENATE("Track1!N",A36+7)),"")</f>
        <v/>
      </c>
    </row>
    <row r="43" spans="1:18" x14ac:dyDescent="0.35">
      <c r="B43" s="66">
        <f ca="1">IFERROR(INDIRECT(CONCATENATE("Track1!B",A36+8)),"")</f>
        <v>7</v>
      </c>
      <c r="C43" s="66">
        <f ca="1">IFERROR(INDIRECT(CONCATENATE("Track1!C",A36+8)),"")</f>
        <v>0</v>
      </c>
      <c r="D43" s="89" t="str">
        <f ca="1">IFERROR(INDIRECT(CONCATENATE("Track1!D",A36+8)),"")</f>
        <v/>
      </c>
      <c r="E43" s="89" t="str">
        <f ca="1">IFERROR(INDIRECT(CONCATENATE("Track1!E",A36+8)),"")</f>
        <v/>
      </c>
      <c r="F43" s="302">
        <f ca="1">IFERROR(INDIRECT(CONCATENATE("Track1!T",A36+8)),"")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302">
        <f ca="1">IFERROR(INDIRECT(CONCATENATE("Track1!U",A36+8)),"")</f>
        <v>0</v>
      </c>
      <c r="N43" s="121" t="str">
        <f ca="1">IFERROR(INDIRECT(CONCATENATE("Track1!N",A36+8)),"")</f>
        <v/>
      </c>
    </row>
    <row r="44" spans="1:18" x14ac:dyDescent="0.35">
      <c r="B44" s="66">
        <f ca="1">IFERROR(INDIRECT(CONCATENATE("Track1!B",A36+9)),"")</f>
        <v>8</v>
      </c>
      <c r="C44" s="66">
        <f ca="1">IFERROR(INDIRECT(CONCATENATE("Track1!C",A36+9)),"")</f>
        <v>0</v>
      </c>
      <c r="D44" s="89" t="str">
        <f ca="1">IFERROR(INDIRECT(CONCATENATE("Track1!D",A36+9)),"")</f>
        <v/>
      </c>
      <c r="E44" s="89" t="str">
        <f ca="1">IFERROR(INDIRECT(CONCATENATE("Track1!E",A36+9)),"")</f>
        <v/>
      </c>
      <c r="F44" s="302">
        <f ca="1">IFERROR(INDIRECT(CONCATENATE("Track1!T",A36+9)),"")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302">
        <f ca="1">IFERROR(INDIRECT(CONCATENATE("Track1!U",A36+9)),"")</f>
        <v>0</v>
      </c>
      <c r="N44" s="121" t="str">
        <f ca="1">IFERROR(INDIRECT(CONCATENATE("Track1!N",A36+9)),"")</f>
        <v/>
      </c>
    </row>
    <row r="46" spans="1:18" x14ac:dyDescent="0.35">
      <c r="A46" s="66" t="s">
        <v>510</v>
      </c>
      <c r="B46" s="115" t="str">
        <f ca="1">IFERROR(INDIRECT(CONCATENATE("Track1!B",A47)),"")</f>
        <v>800m NS U13 Girls A</v>
      </c>
      <c r="F46" s="400">
        <f ca="1">IFERROR(INDIRECT(CONCATENATE("Track1!f",A47)),"")</f>
        <v>0</v>
      </c>
      <c r="G46" s="121" t="str">
        <f ca="1">IFERROR(INDIRECT(CONCATENATE("Track1!g",A47)),"")</f>
        <v/>
      </c>
      <c r="I46" s="115" t="str">
        <f ca="1">IFERROR(INDIRECT(CONCATENATE("Track1!I",A47)),"")</f>
        <v>800m NS U13 Girls B</v>
      </c>
    </row>
    <row r="47" spans="1:18" x14ac:dyDescent="0.35">
      <c r="A47" s="66">
        <f>IFERROR(MATCH(A46,Track1!A:A,0),"")</f>
        <v>244</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301"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301" t="str">
        <f ca="1">IFERROR(INDIRECT(CONCATENATE("Track1!M",A47+1)),"")</f>
        <v>Perf</v>
      </c>
      <c r="N47" s="218" t="str">
        <f ca="1">IFERROR(INDIRECT(CONCATENATE("Track1!N",A47+1)),"")</f>
        <v>AAA</v>
      </c>
    </row>
    <row r="48" spans="1:18" x14ac:dyDescent="0.35">
      <c r="B48" s="66">
        <f ca="1">IFERROR(INDIRECT(CONCATENATE("Track1!B",A47+2)),"")</f>
        <v>1</v>
      </c>
      <c r="C48" s="66">
        <f ca="1">IFERROR(INDIRECT(CONCATENATE("Track1!C",A47+2)),"")</f>
        <v>0</v>
      </c>
      <c r="D48" s="89" t="str">
        <f ca="1">IFERROR(INDIRECT(CONCATENATE("Track1!D",A47+2)),"")</f>
        <v/>
      </c>
      <c r="E48" s="89" t="str">
        <f ca="1">IFERROR(INDIRECT(CONCATENATE("Track1!E",A47+2)),"")</f>
        <v/>
      </c>
      <c r="F48" s="302">
        <f ca="1">IFERROR(INDIRECT(CONCATENATE("Track1!T",A47+2)),"")</f>
        <v>0</v>
      </c>
      <c r="G48" s="121" t="str">
        <f ca="1">IFERROR(INDIRECT(CONCATENATE("Track1!G",A47+2)),"")</f>
        <v/>
      </c>
      <c r="H48" s="66"/>
      <c r="I48" s="66">
        <f ca="1">IFERROR(INDIRECT(CONCATENATE("Track1!I",A47+2)),"")</f>
        <v>1</v>
      </c>
      <c r="J48" s="66">
        <f ca="1">IFERROR(INDIRECT(CONCATENATE("Track1!J",A47+2)),"")</f>
        <v>0</v>
      </c>
      <c r="K48" s="89" t="str">
        <f ca="1">IFERROR(INDIRECT(CONCATENATE("Track1!K",A47+2)),"")</f>
        <v/>
      </c>
      <c r="L48" s="89" t="str">
        <f ca="1">IFERROR(INDIRECT(CONCATENATE("Track1!L",A47+2)),"")</f>
        <v/>
      </c>
      <c r="M48" s="302">
        <f ca="1">IFERROR(INDIRECT(CONCATENATE("Track1!U",A47+2)),"")</f>
        <v>0</v>
      </c>
      <c r="N48" s="121" t="str">
        <f ca="1">IFERROR(INDIRECT(CONCATENATE("Track1!N",A47+2)),"")</f>
        <v/>
      </c>
      <c r="R48" s="219">
        <f ca="1">IFERROR(INDIRECT(CONCATENATE("Track1!r",A47+2)),"")</f>
        <v>0</v>
      </c>
    </row>
    <row r="49" spans="1:18" x14ac:dyDescent="0.35">
      <c r="B49" s="66">
        <f ca="1">IFERROR(INDIRECT(CONCATENATE("Track1!B",A47+3)),"")</f>
        <v>2</v>
      </c>
      <c r="C49" s="66">
        <f ca="1">IFERROR(INDIRECT(CONCATENATE("Track1!C",A47+3)),"")</f>
        <v>0</v>
      </c>
      <c r="D49" s="89" t="str">
        <f ca="1">IFERROR(INDIRECT(CONCATENATE("Track1!D",A47+3)),"")</f>
        <v/>
      </c>
      <c r="E49" s="89" t="str">
        <f ca="1">IFERROR(INDIRECT(CONCATENATE("Track1!E",A47+3)),"")</f>
        <v/>
      </c>
      <c r="F49" s="302">
        <f ca="1">IFERROR(INDIRECT(CONCATENATE("Track1!T",A47+3)),"")</f>
        <v>0</v>
      </c>
      <c r="G49" s="121" t="str">
        <f ca="1">IFERROR(INDIRECT(CONCATENATE("Track1!G",A47+3)),"")</f>
        <v/>
      </c>
      <c r="H49" s="66"/>
      <c r="I49" s="66">
        <f ca="1">IFERROR(INDIRECT(CONCATENATE("Track1!I",A47+3)),"")</f>
        <v>2</v>
      </c>
      <c r="J49" s="66">
        <f ca="1">IFERROR(INDIRECT(CONCATENATE("Track1!J",A47+3)),"")</f>
        <v>0</v>
      </c>
      <c r="K49" s="89" t="str">
        <f ca="1">IFERROR(INDIRECT(CONCATENATE("Track1!K",A47+3)),"")</f>
        <v/>
      </c>
      <c r="L49" s="89" t="str">
        <f ca="1">IFERROR(INDIRECT(CONCATENATE("Track1!L",A47+3)),"")</f>
        <v/>
      </c>
      <c r="M49" s="302">
        <f ca="1">IFERROR(INDIRECT(CONCATENATE("Track1!U",A47+3)),"")</f>
        <v>0</v>
      </c>
      <c r="N49" s="121" t="str">
        <f ca="1">IFERROR(INDIRECT(CONCATENATE("Track1!N",A47+3)),"")</f>
        <v/>
      </c>
    </row>
    <row r="50" spans="1:18" x14ac:dyDescent="0.35">
      <c r="B50" s="66">
        <f ca="1">IFERROR(INDIRECT(CONCATENATE("Track1!B",A47+4)),"")</f>
        <v>3</v>
      </c>
      <c r="C50" s="66">
        <f ca="1">IFERROR(INDIRECT(CONCATENATE("Track1!C",A47+4)),"")</f>
        <v>0</v>
      </c>
      <c r="D50" s="89" t="str">
        <f ca="1">IFERROR(INDIRECT(CONCATENATE("Track1!D",A47+4)),"")</f>
        <v/>
      </c>
      <c r="E50" s="89" t="str">
        <f ca="1">IFERROR(INDIRECT(CONCATENATE("Track1!E",A47+4)),"")</f>
        <v/>
      </c>
      <c r="F50" s="302">
        <f ca="1">IFERROR(INDIRECT(CONCATENATE("Track1!T",A47+4)),"")</f>
        <v>0</v>
      </c>
      <c r="G50" s="121" t="str">
        <f ca="1">IFERROR(INDIRECT(CONCATENATE("Track1!G",A47+4)),"")</f>
        <v/>
      </c>
      <c r="H50" s="66"/>
      <c r="I50" s="66">
        <f ca="1">IFERROR(INDIRECT(CONCATENATE("Track1!I",A47+4)),"")</f>
        <v>3</v>
      </c>
      <c r="J50" s="66">
        <f ca="1">IFERROR(INDIRECT(CONCATENATE("Track1!J",A47+4)),"")</f>
        <v>0</v>
      </c>
      <c r="K50" s="89" t="str">
        <f ca="1">IFERROR(INDIRECT(CONCATENATE("Track1!K",A47+4)),"")</f>
        <v/>
      </c>
      <c r="L50" s="89" t="str">
        <f ca="1">IFERROR(INDIRECT(CONCATENATE("Track1!L",A47+4)),"")</f>
        <v/>
      </c>
      <c r="M50" s="302">
        <f ca="1">IFERROR(INDIRECT(CONCATENATE("Track1!U",A47+4)),"")</f>
        <v>0</v>
      </c>
      <c r="N50" s="121" t="str">
        <f ca="1">IFERROR(INDIRECT(CONCATENATE("Track1!N",A47+4)),"")</f>
        <v/>
      </c>
    </row>
    <row r="51" spans="1:18" x14ac:dyDescent="0.35">
      <c r="B51" s="66">
        <f ca="1">IFERROR(INDIRECT(CONCATENATE("Track1!B",A47+5)),"")</f>
        <v>4</v>
      </c>
      <c r="C51" s="66">
        <f ca="1">IFERROR(INDIRECT(CONCATENATE("Track1!C",A47+5)),"")</f>
        <v>0</v>
      </c>
      <c r="D51" s="89" t="str">
        <f ca="1">IFERROR(INDIRECT(CONCATENATE("Track1!D",A47+5)),"")</f>
        <v/>
      </c>
      <c r="E51" s="89" t="str">
        <f ca="1">IFERROR(INDIRECT(CONCATENATE("Track1!E",A47+5)),"")</f>
        <v/>
      </c>
      <c r="F51" s="302">
        <f ca="1">IFERROR(INDIRECT(CONCATENATE("Track1!T",A47+5)),"")</f>
        <v>0</v>
      </c>
      <c r="G51" s="121" t="str">
        <f ca="1">IFERROR(INDIRECT(CONCATENATE("Track1!G",A47+5)),"")</f>
        <v/>
      </c>
      <c r="H51" s="66"/>
      <c r="I51" s="66">
        <f ca="1">IFERROR(INDIRECT(CONCATENATE("Track1!I",A47+5)),"")</f>
        <v>4</v>
      </c>
      <c r="J51" s="66">
        <f ca="1">IFERROR(INDIRECT(CONCATENATE("Track1!J",A47+5)),"")</f>
        <v>0</v>
      </c>
      <c r="K51" s="89" t="str">
        <f ca="1">IFERROR(INDIRECT(CONCATENATE("Track1!K",A47+5)),"")</f>
        <v/>
      </c>
      <c r="L51" s="89" t="str">
        <f ca="1">IFERROR(INDIRECT(CONCATENATE("Track1!L",A47+5)),"")</f>
        <v/>
      </c>
      <c r="M51" s="302">
        <f ca="1">IFERROR(INDIRECT(CONCATENATE("Track1!U",A47+5)),"")</f>
        <v>0</v>
      </c>
      <c r="N51" s="121" t="str">
        <f ca="1">IFERROR(INDIRECT(CONCATENATE("Track1!N",A47+5)),"")</f>
        <v/>
      </c>
    </row>
    <row r="52" spans="1:18" x14ac:dyDescent="0.35">
      <c r="B52" s="66">
        <f ca="1">IFERROR(INDIRECT(CONCATENATE("Track1!B",A47+6)),"")</f>
        <v>5</v>
      </c>
      <c r="C52" s="66">
        <f ca="1">IFERROR(INDIRECT(CONCATENATE("Track1!C",A47+6)),"")</f>
        <v>0</v>
      </c>
      <c r="D52" s="89" t="str">
        <f ca="1">IFERROR(INDIRECT(CONCATENATE("Track1!D",A47+6)),"")</f>
        <v/>
      </c>
      <c r="E52" s="89" t="str">
        <f ca="1">IFERROR(INDIRECT(CONCATENATE("Track1!E",A47+6)),"")</f>
        <v/>
      </c>
      <c r="F52" s="302">
        <f ca="1">IFERROR(INDIRECT(CONCATENATE("Track1!T",A47+6)),"")</f>
        <v>0</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302">
        <f ca="1">IFERROR(INDIRECT(CONCATENATE("Track1!U",A47+6)),"")</f>
        <v>0</v>
      </c>
      <c r="N52" s="121" t="str">
        <f ca="1">IFERROR(INDIRECT(CONCATENATE("Track1!N",A47+6)),"")</f>
        <v/>
      </c>
    </row>
    <row r="53" spans="1:18" x14ac:dyDescent="0.35">
      <c r="B53" s="66">
        <f ca="1">IFERROR(INDIRECT(CONCATENATE("Track1!B",A47+7)),"")</f>
        <v>6</v>
      </c>
      <c r="C53" s="66">
        <f ca="1">IFERROR(INDIRECT(CONCATENATE("Track1!C",A47+7)),"")</f>
        <v>0</v>
      </c>
      <c r="D53" s="89" t="str">
        <f ca="1">IFERROR(INDIRECT(CONCATENATE("Track1!D",A47+7)),"")</f>
        <v/>
      </c>
      <c r="E53" s="89" t="str">
        <f ca="1">IFERROR(INDIRECT(CONCATENATE("Track1!E",A47+7)),"")</f>
        <v/>
      </c>
      <c r="F53" s="302">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302">
        <f ca="1">IFERROR(INDIRECT(CONCATENATE("Track1!U",A47+7)),"")</f>
        <v>0</v>
      </c>
      <c r="N53" s="121" t="str">
        <f ca="1">IFERROR(INDIRECT(CONCATENATE("Track1!N",A47+7)),"")</f>
        <v/>
      </c>
    </row>
    <row r="54" spans="1:18" x14ac:dyDescent="0.35">
      <c r="B54" s="66">
        <f ca="1">IFERROR(INDIRECT(CONCATENATE("Track1!B",A47+8)),"")</f>
        <v>7</v>
      </c>
      <c r="C54" s="66">
        <f ca="1">IFERROR(INDIRECT(CONCATENATE("Track1!C",A47+8)),"")</f>
        <v>0</v>
      </c>
      <c r="D54" s="89" t="str">
        <f ca="1">IFERROR(INDIRECT(CONCATENATE("Track1!D",A47+8)),"")</f>
        <v/>
      </c>
      <c r="E54" s="89" t="str">
        <f ca="1">IFERROR(INDIRECT(CONCATENATE("Track1!E",A47+8)),"")</f>
        <v/>
      </c>
      <c r="F54" s="302">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302">
        <f ca="1">IFERROR(INDIRECT(CONCATENATE("Track1!U",A47+8)),"")</f>
        <v>0</v>
      </c>
      <c r="N54" s="121" t="str">
        <f ca="1">IFERROR(INDIRECT(CONCATENATE("Track1!N",A47+8)),"")</f>
        <v/>
      </c>
    </row>
    <row r="55" spans="1:18" x14ac:dyDescent="0.35">
      <c r="B55" s="66">
        <f ca="1">IFERROR(INDIRECT(CONCATENATE("Track1!B",A47+9)),"")</f>
        <v>8</v>
      </c>
      <c r="C55" s="66">
        <f ca="1">IFERROR(INDIRECT(CONCATENATE("Track1!C",A47+9)),"")</f>
        <v>0</v>
      </c>
      <c r="D55" s="89" t="str">
        <f ca="1">IFERROR(INDIRECT(CONCATENATE("Track1!D",A47+9)),"")</f>
        <v/>
      </c>
      <c r="E55" s="89" t="str">
        <f ca="1">IFERROR(INDIRECT(CONCATENATE("Track1!E",A47+9)),"")</f>
        <v/>
      </c>
      <c r="F55" s="302">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302">
        <f ca="1">IFERROR(INDIRECT(CONCATENATE("Track1!U",A47+9)),"")</f>
        <v>0</v>
      </c>
      <c r="N55" s="121" t="str">
        <f ca="1">IFERROR(INDIRECT(CONCATENATE("Track1!N",A47+9)),"")</f>
        <v/>
      </c>
    </row>
    <row r="57" spans="1:18" x14ac:dyDescent="0.35">
      <c r="A57" s="66" t="s">
        <v>309</v>
      </c>
      <c r="B57" s="115" t="str">
        <f ca="1">IFERROR(INDIRECT(CONCATENATE("Track2!B",A58)),"")</f>
        <v>1200m U13 Girls A</v>
      </c>
      <c r="G57" s="121">
        <f ca="1">IFERROR(INDIRECT(CONCATENATE("Track2!g",A58)),"")</f>
        <v>0</v>
      </c>
      <c r="I57" s="115" t="str">
        <f ca="1">IFERROR(INDIRECT(CONCATENATE("Track2!I",A58)),"")</f>
        <v>1200m U13 Girls B</v>
      </c>
    </row>
    <row r="58" spans="1:18" x14ac:dyDescent="0.35">
      <c r="A58" s="66">
        <f>IFERROR(MATCH(A57,Track2!A:A,0),"")</f>
        <v>2</v>
      </c>
      <c r="B58" s="45" t="str">
        <f ca="1">IFERROR(INDIRECT(CONCATENATE("Track2!B",A58+1)),"")</f>
        <v>Posn</v>
      </c>
      <c r="C58" s="45" t="str">
        <f ca="1">IFERROR(INDIRECT(CONCATENATE("Track2!C",A58+1)),"")</f>
        <v>No.</v>
      </c>
      <c r="D58" s="182" t="str">
        <f ca="1">IFERROR(INDIRECT(CONCATENATE("Track2!D",A58+1)),"")</f>
        <v>Athlete</v>
      </c>
      <c r="E58" s="182" t="str">
        <f ca="1">IFERROR(INDIRECT(CONCATENATE("Track2!E",A58+1)),"")</f>
        <v>Club</v>
      </c>
      <c r="F58" s="301" t="str">
        <f ca="1">IFERROR(INDIRECT(CONCATENATE("Track2!F",A58+1)),"")</f>
        <v>Perf</v>
      </c>
      <c r="G58" s="218" t="str">
        <f ca="1">IFERROR(INDIRECT(CONCATENATE("Track2!G",A58+1)),"")</f>
        <v>AAA</v>
      </c>
      <c r="H58" s="45"/>
      <c r="I58" s="45" t="str">
        <f ca="1">IFERROR(INDIRECT(CONCATENATE("Track2!I",A58+1)),"")</f>
        <v>Posn</v>
      </c>
      <c r="J58" s="45" t="str">
        <f ca="1">IFERROR(INDIRECT(CONCATENATE("Track2!J",A58+1)),"")</f>
        <v>No.</v>
      </c>
      <c r="K58" s="182" t="str">
        <f ca="1">IFERROR(INDIRECT(CONCATENATE("Track2!K",A58+1)),"")</f>
        <v>Athlete</v>
      </c>
      <c r="L58" s="182" t="str">
        <f ca="1">IFERROR(INDIRECT(CONCATENATE("Track2!L",A58+1)),"")</f>
        <v>Club</v>
      </c>
      <c r="M58" s="301" t="str">
        <f ca="1">IFERROR(INDIRECT(CONCATENATE("Track2!M",A58+1)),"")</f>
        <v>Perf</v>
      </c>
      <c r="N58" s="218" t="str">
        <f ca="1">IFERROR(INDIRECT(CONCATENATE("Track2!N",A58+1)),"")</f>
        <v>AAA</v>
      </c>
    </row>
    <row r="59" spans="1:18" x14ac:dyDescent="0.35">
      <c r="B59" s="66">
        <f ca="1">IFERROR(INDIRECT(CONCATENATE("Track2!B",A58+2)),"")</f>
        <v>1</v>
      </c>
      <c r="C59" s="66">
        <f ca="1">IFERROR(INDIRECT(CONCATENATE("Track2!C",A58+2)),"")</f>
        <v>3</v>
      </c>
      <c r="D59" s="89" t="str">
        <f ca="1">IFERROR(INDIRECT(CONCATENATE("Track2!D",A58+2)),"")</f>
        <v>LANGAN Lottie</v>
      </c>
      <c r="E59" s="89" t="str">
        <f ca="1">IFERROR(INDIRECT(CONCATENATE("Track2!E",A58+2)),"")</f>
        <v>York</v>
      </c>
      <c r="F59" s="302">
        <f ca="1">IFERROR(INDIRECT(CONCATENATE("Track2!F",A58+2)),"")</f>
        <v>2.9884259259259265E-3</v>
      </c>
      <c r="G59" s="121" t="str">
        <f ca="1">IFERROR(INDIRECT(CONCATENATE("Track2!G",A58+2)),"")</f>
        <v/>
      </c>
      <c r="H59" s="66"/>
      <c r="I59" s="66">
        <f ca="1">IFERROR(INDIRECT(CONCATENATE("Track2!I",A58+2)),"")</f>
        <v>1</v>
      </c>
      <c r="J59" s="66">
        <f ca="1">IFERROR(INDIRECT(CONCATENATE("Track2!J",A58+2)),"")</f>
        <v>33</v>
      </c>
      <c r="K59" s="89" t="str">
        <f ca="1">IFERROR(INDIRECT(CONCATENATE("Track2!K",A58+2)),"")</f>
        <v>KENNEDY Amy</v>
      </c>
      <c r="L59" s="89" t="str">
        <f ca="1">IFERROR(INDIRECT(CONCATENATE("Track2!L",A58+2)),"")</f>
        <v>York</v>
      </c>
      <c r="M59" s="302">
        <f ca="1">IFERROR(INDIRECT(CONCATENATE("Track2!M",A58+2)),"")</f>
        <v>3.0185185185185185E-3</v>
      </c>
      <c r="N59" s="121">
        <f ca="1">IFERROR(INDIRECT(CONCATENATE("Track2!N",A58+2)),"")</f>
        <v>1</v>
      </c>
      <c r="R59" s="219">
        <f ca="1">IFERROR(INDIRECT(CONCATENATE("Track2!r",A58+2)),"")</f>
        <v>1</v>
      </c>
    </row>
    <row r="60" spans="1:18" x14ac:dyDescent="0.35">
      <c r="B60" s="66">
        <f ca="1">IFERROR(INDIRECT(CONCATENATE("Track2!B",A58+3)),"")</f>
        <v>2</v>
      </c>
      <c r="C60" s="66">
        <f ca="1">IFERROR(INDIRECT(CONCATENATE("Track2!C",A58+3)),"")</f>
        <v>4</v>
      </c>
      <c r="D60" s="89" t="str">
        <f ca="1">IFERROR(INDIRECT(CONCATENATE("Track2!D",A58+3)),"")</f>
        <v>PETTIT Grace</v>
      </c>
      <c r="E60" s="89" t="str">
        <f ca="1">IFERROR(INDIRECT(CONCATENATE("Track2!E",A58+3)),"")</f>
        <v>M'bro</v>
      </c>
      <c r="F60" s="302">
        <f ca="1">IFERROR(INDIRECT(CONCATENATE("Track2!F",A58+3)),"")</f>
        <v>3.1608796296296298E-3</v>
      </c>
      <c r="G60" s="121" t="str">
        <f ca="1">IFERROR(INDIRECT(CONCATENATE("Track2!G",A58+3)),"")</f>
        <v/>
      </c>
      <c r="H60" s="66"/>
      <c r="I60" s="66">
        <f ca="1">IFERROR(INDIRECT(CONCATENATE("Track2!I",A58+3)),"")</f>
        <v>2</v>
      </c>
      <c r="J60" s="66">
        <f ca="1">IFERROR(INDIRECT(CONCATENATE("Track2!J",A58+3)),"")</f>
        <v>1</v>
      </c>
      <c r="K60" s="89" t="str">
        <f ca="1">IFERROR(INDIRECT(CONCATENATE("Track2!K",A58+3)),"")</f>
        <v>GRIFFIN Lydia</v>
      </c>
      <c r="L60" s="89" t="str">
        <f ca="1">IFERROR(INDIRECT(CONCATENATE("Track2!L",A58+3)),"")</f>
        <v>C'field</v>
      </c>
      <c r="M60" s="302">
        <f ca="1">IFERROR(INDIRECT(CONCATENATE("Track2!M",A58+3)),"")</f>
        <v>3.34837962962963E-3</v>
      </c>
      <c r="N60" s="121">
        <f ca="1">IFERROR(INDIRECT(CONCATENATE("Track2!N",A58+3)),"")</f>
        <v>1</v>
      </c>
    </row>
    <row r="61" spans="1:18" x14ac:dyDescent="0.35">
      <c r="B61" s="66">
        <f ca="1">IFERROR(INDIRECT(CONCATENATE("Track2!B",A58+4)),"")</f>
        <v>3</v>
      </c>
      <c r="C61" s="66">
        <f ca="1">IFERROR(INDIRECT(CONCATENATE("Track2!C",A58+4)),"")</f>
        <v>11</v>
      </c>
      <c r="D61" s="89" t="str">
        <f ca="1">IFERROR(INDIRECT(CONCATENATE("Track2!D",A58+4)),"")</f>
        <v>HELPS Macy</v>
      </c>
      <c r="E61" s="89" t="str">
        <f ca="1">IFERROR(INDIRECT(CONCATENATE("Track2!E",A58+4)),"")</f>
        <v>C'field</v>
      </c>
      <c r="F61" s="302">
        <f ca="1">IFERROR(INDIRECT(CONCATENATE("Track2!F",A58+4)),"")</f>
        <v>3.2314814814814819E-3</v>
      </c>
      <c r="G61" s="121" t="str">
        <f ca="1">IFERROR(INDIRECT(CONCATENATE("Track2!G",A58+4)),"")</f>
        <v/>
      </c>
      <c r="H61" s="66"/>
      <c r="I61" s="66">
        <f ca="1">IFERROR(INDIRECT(CONCATENATE("Track2!I",A58+4)),"")</f>
        <v>3</v>
      </c>
      <c r="J61" s="66" t="str">
        <f ca="1">IFERROR(INDIRECT(CONCATENATE("Track2!J",A58+4)),"")</f>
        <v/>
      </c>
      <c r="K61" s="89" t="str">
        <f ca="1">IFERROR(INDIRECT(CONCATENATE("Track2!K",A58+4)),"")</f>
        <v/>
      </c>
      <c r="L61" s="89" t="str">
        <f ca="1">IFERROR(INDIRECT(CONCATENATE("Track2!L",A58+4)),"")</f>
        <v/>
      </c>
      <c r="M61" s="302" t="str">
        <f ca="1">IFERROR(INDIRECT(CONCATENATE("Track2!M",A58+4)),"")</f>
        <v/>
      </c>
      <c r="N61" s="121" t="str">
        <f ca="1">IFERROR(INDIRECT(CONCATENATE("Track2!N",A58+4)),"")</f>
        <v/>
      </c>
    </row>
    <row r="62" spans="1:18" x14ac:dyDescent="0.35">
      <c r="B62" s="66">
        <f ca="1">IFERROR(INDIRECT(CONCATENATE("Track2!B",A58+5)),"")</f>
        <v>4</v>
      </c>
      <c r="C62" s="66">
        <f ca="1">IFERROR(INDIRECT(CONCATENATE("Track2!C",A58+5)),"")</f>
        <v>5</v>
      </c>
      <c r="D62" s="89" t="str">
        <f ca="1">IFERROR(INDIRECT(CONCATENATE("Track2!D",A58+5)),"")</f>
        <v>CRESSEY Evie</v>
      </c>
      <c r="E62" s="89" t="str">
        <f ca="1">IFERROR(INDIRECT(CONCATENATE("Track2!E",A58+5)),"")</f>
        <v>Scun</v>
      </c>
      <c r="F62" s="302">
        <f ca="1">IFERROR(INDIRECT(CONCATENATE("Track2!F",A58+5)),"")</f>
        <v>3.4537037037037036E-3</v>
      </c>
      <c r="G62" s="121" t="str">
        <f ca="1">IFERROR(INDIRECT(CONCATENATE("Track2!G",A58+5)),"")</f>
        <v/>
      </c>
      <c r="H62" s="66"/>
      <c r="I62" s="66">
        <f ca="1">IFERROR(INDIRECT(CONCATENATE("Track2!I",A58+5)),"")</f>
        <v>4</v>
      </c>
      <c r="J62" s="66" t="str">
        <f ca="1">IFERROR(INDIRECT(CONCATENATE("Track2!J",A58+5)),"")</f>
        <v/>
      </c>
      <c r="K62" s="89" t="str">
        <f ca="1">IFERROR(INDIRECT(CONCATENATE("Track2!K",A58+5)),"")</f>
        <v/>
      </c>
      <c r="L62" s="89" t="str">
        <f ca="1">IFERROR(INDIRECT(CONCATENATE("Track2!L",A58+5)),"")</f>
        <v/>
      </c>
      <c r="M62" s="302" t="str">
        <f ca="1">IFERROR(INDIRECT(CONCATENATE("Track2!M",A58+5)),"")</f>
        <v/>
      </c>
      <c r="N62" s="121" t="str">
        <f ca="1">IFERROR(INDIRECT(CONCATENATE("Track2!N",A58+5)),"")</f>
        <v/>
      </c>
    </row>
    <row r="63" spans="1:18" x14ac:dyDescent="0.35">
      <c r="B63" s="66">
        <f ca="1">IFERROR(INDIRECT(CONCATENATE("Track2!B",A58+6)),"")</f>
        <v>5</v>
      </c>
      <c r="C63" s="66" t="str">
        <f ca="1">IFERROR(INDIRECT(CONCATENATE("Track2!C",A58+6)),"")</f>
        <v/>
      </c>
      <c r="D63" s="89" t="str">
        <f ca="1">IFERROR(INDIRECT(CONCATENATE("Track2!D",A58+6)),"")</f>
        <v/>
      </c>
      <c r="E63" s="89" t="str">
        <f ca="1">IFERROR(INDIRECT(CONCATENATE("Track2!E",A58+6)),"")</f>
        <v/>
      </c>
      <c r="F63" s="302" t="str">
        <f ca="1">IFERROR(INDIRECT(CONCATENATE("Track2!F",A58+6)),"")</f>
        <v/>
      </c>
      <c r="G63" s="121" t="str">
        <f ca="1">IFERROR(INDIRECT(CONCATENATE("Track2!G",A58+6)),"")</f>
        <v/>
      </c>
      <c r="H63" s="66"/>
      <c r="I63" s="66">
        <f ca="1">IFERROR(INDIRECT(CONCATENATE("Track2!I",A58+6)),"")</f>
        <v>5</v>
      </c>
      <c r="J63" s="66" t="str">
        <f ca="1">IFERROR(INDIRECT(CONCATENATE("Track2!J",A58+6)),"")</f>
        <v/>
      </c>
      <c r="K63" s="89" t="str">
        <f ca="1">IFERROR(INDIRECT(CONCATENATE("Track2!K",A58+6)),"")</f>
        <v/>
      </c>
      <c r="L63" s="89" t="str">
        <f ca="1">IFERROR(INDIRECT(CONCATENATE("Track2!L",A58+6)),"")</f>
        <v/>
      </c>
      <c r="M63" s="302" t="str">
        <f ca="1">IFERROR(INDIRECT(CONCATENATE("Track2!M",A58+6)),"")</f>
        <v/>
      </c>
      <c r="N63" s="121" t="str">
        <f ca="1">IFERROR(INDIRECT(CONCATENATE("Track2!N",A58+6)),"")</f>
        <v/>
      </c>
    </row>
    <row r="64" spans="1:18" x14ac:dyDescent="0.35">
      <c r="B64" s="66">
        <f ca="1">IFERROR(INDIRECT(CONCATENATE("Track2!B",A58+7)),"")</f>
        <v>6</v>
      </c>
      <c r="C64" s="66" t="str">
        <f ca="1">IFERROR(INDIRECT(CONCATENATE("Track2!C",A58+7)),"")</f>
        <v/>
      </c>
      <c r="D64" s="89" t="str">
        <f ca="1">IFERROR(INDIRECT(CONCATENATE("Track2!D",A58+7)),"")</f>
        <v/>
      </c>
      <c r="E64" s="89" t="str">
        <f ca="1">IFERROR(INDIRECT(CONCATENATE("Track2!E",A58+7)),"")</f>
        <v/>
      </c>
      <c r="F64" s="302" t="str">
        <f ca="1">IFERROR(INDIRECT(CONCATENATE("Track2!F",A58+7)),"")</f>
        <v/>
      </c>
      <c r="G64" s="121" t="str">
        <f ca="1">IFERROR(INDIRECT(CONCATENATE("Track2!G",A58+7)),"")</f>
        <v/>
      </c>
      <c r="H64" s="66"/>
      <c r="I64" s="66">
        <f ca="1">IFERROR(INDIRECT(CONCATENATE("Track2!I",A58+7)),"")</f>
        <v>6</v>
      </c>
      <c r="J64" s="66" t="str">
        <f ca="1">IFERROR(INDIRECT(CONCATENATE("Track2!J",A58+7)),"")</f>
        <v/>
      </c>
      <c r="K64" s="89" t="str">
        <f ca="1">IFERROR(INDIRECT(CONCATENATE("Track2!K",A58+7)),"")</f>
        <v/>
      </c>
      <c r="L64" s="89" t="str">
        <f ca="1">IFERROR(INDIRECT(CONCATENATE("Track2!L",A58+7)),"")</f>
        <v/>
      </c>
      <c r="M64" s="302" t="str">
        <f ca="1">IFERROR(INDIRECT(CONCATENATE("Track2!M",A58+7)),"")</f>
        <v/>
      </c>
      <c r="N64" s="121" t="str">
        <f ca="1">IFERROR(INDIRECT(CONCATENATE("Track2!N",A58+7)),"")</f>
        <v/>
      </c>
    </row>
    <row r="65" spans="1:18" x14ac:dyDescent="0.35">
      <c r="B65" s="66">
        <f ca="1">IFERROR(INDIRECT(CONCATENATE("Track2!B",A58+8)),"")</f>
        <v>7</v>
      </c>
      <c r="C65" s="66" t="str">
        <f ca="1">IFERROR(INDIRECT(CONCATENATE("Track2!C",A58+8)),"")</f>
        <v/>
      </c>
      <c r="D65" s="89" t="str">
        <f ca="1">IFERROR(INDIRECT(CONCATENATE("Track2!D",A58+8)),"")</f>
        <v/>
      </c>
      <c r="E65" s="89" t="str">
        <f ca="1">IFERROR(INDIRECT(CONCATENATE("Track2!E",A58+8)),"")</f>
        <v/>
      </c>
      <c r="F65" s="302" t="str">
        <f ca="1">IFERROR(INDIRECT(CONCATENATE("Track2!F",A58+8)),"")</f>
        <v/>
      </c>
      <c r="G65" s="121" t="str">
        <f ca="1">IFERROR(INDIRECT(CONCATENATE("Track2!G",A58+8)),"")</f>
        <v/>
      </c>
      <c r="H65" s="66"/>
      <c r="I65" s="66">
        <f ca="1">IFERROR(INDIRECT(CONCATENATE("Track2!I",A58+8)),"")</f>
        <v>7</v>
      </c>
      <c r="J65" s="66" t="str">
        <f ca="1">IFERROR(INDIRECT(CONCATENATE("Track2!J",A58+8)),"")</f>
        <v/>
      </c>
      <c r="K65" s="89" t="str">
        <f ca="1">IFERROR(INDIRECT(CONCATENATE("Track2!K",A58+8)),"")</f>
        <v/>
      </c>
      <c r="L65" s="89" t="str">
        <f ca="1">IFERROR(INDIRECT(CONCATENATE("Track2!L",A58+8)),"")</f>
        <v/>
      </c>
      <c r="M65" s="302" t="str">
        <f ca="1">IFERROR(INDIRECT(CONCATENATE("Track2!M",A58+8)),"")</f>
        <v/>
      </c>
      <c r="N65" s="121" t="str">
        <f ca="1">IFERROR(INDIRECT(CONCATENATE("Track2!N",A58+8)),"")</f>
        <v/>
      </c>
    </row>
    <row r="66" spans="1:18" x14ac:dyDescent="0.35">
      <c r="B66" s="66">
        <f ca="1">IFERROR(INDIRECT(CONCATENATE("Track2!B",A58+9)),"")</f>
        <v>8</v>
      </c>
      <c r="C66" s="66" t="str">
        <f ca="1">IFERROR(INDIRECT(CONCATENATE("Track2!C",A58+9)),"")</f>
        <v/>
      </c>
      <c r="D66" s="89" t="str">
        <f ca="1">IFERROR(INDIRECT(CONCATENATE("Track2!D",A58+9)),"")</f>
        <v/>
      </c>
      <c r="E66" s="89" t="str">
        <f ca="1">IFERROR(INDIRECT(CONCATENATE("Track2!E",A58+9)),"")</f>
        <v/>
      </c>
      <c r="F66" s="302" t="str">
        <f ca="1">IFERROR(INDIRECT(CONCATENATE("Track2!F",A58+9)),"")</f>
        <v/>
      </c>
      <c r="G66" s="121" t="str">
        <f ca="1">IFERROR(INDIRECT(CONCATENATE("Track2!G",A58+9)),"")</f>
        <v/>
      </c>
      <c r="H66" s="66"/>
      <c r="I66" s="66">
        <f ca="1">IFERROR(INDIRECT(CONCATENATE("Track2!I",A58+9)),"")</f>
        <v>8</v>
      </c>
      <c r="J66" s="66" t="str">
        <f ca="1">IFERROR(INDIRECT(CONCATENATE("Track2!J",A58+9)),"")</f>
        <v/>
      </c>
      <c r="K66" s="89" t="str">
        <f ca="1">IFERROR(INDIRECT(CONCATENATE("Track2!K",A58+9)),"")</f>
        <v/>
      </c>
      <c r="L66" s="89" t="str">
        <f ca="1">IFERROR(INDIRECT(CONCATENATE("Track2!L",A58+9)),"")</f>
        <v/>
      </c>
      <c r="M66" s="302" t="str">
        <f ca="1">IFERROR(INDIRECT(CONCATENATE("Track2!M",A58+9)),"")</f>
        <v/>
      </c>
      <c r="N66" s="121" t="str">
        <f ca="1">IFERROR(INDIRECT(CONCATENATE("Track2!N",A58+9)),"")</f>
        <v/>
      </c>
    </row>
    <row r="68" spans="1:18" x14ac:dyDescent="0.35">
      <c r="A68" s="66" t="s">
        <v>32</v>
      </c>
      <c r="B68" s="115" t="str">
        <f ca="1">IFERROR(INDIRECT(CONCATENATE("Track1!B",A69)),"")</f>
        <v>70m Hurdles U13 Girls A</v>
      </c>
      <c r="E68" s="89" t="s">
        <v>259</v>
      </c>
      <c r="F68" s="400">
        <f ca="1">IFERROR(INDIRECT(CONCATENATE("Track1!f",A69)),"")</f>
        <v>0</v>
      </c>
      <c r="G68" s="121" t="str">
        <f ca="1">IFERROR(INDIRECT(CONCATENATE("Track1!g",A69)),"")</f>
        <v/>
      </c>
      <c r="I68" s="115" t="str">
        <f ca="1">IFERROR(INDIRECT(CONCATENATE("Track1!I",A69)),"")</f>
        <v>70m Hurdles U13 Girls B</v>
      </c>
      <c r="L68" s="89" t="s">
        <v>259</v>
      </c>
      <c r="M68" s="299">
        <f ca="1">IFERROR(INDIRECT(CONCATENATE("Track1!M",A69)),"")</f>
        <v>0</v>
      </c>
    </row>
    <row r="69" spans="1:18" x14ac:dyDescent="0.35">
      <c r="A69" s="66">
        <f>IFERROR(MATCH(A68,Track1!A:A,0),"")</f>
        <v>2</v>
      </c>
      <c r="B69" s="45" t="str">
        <f ca="1">IFERROR(INDIRECT(CONCATENATE("Track1!B",A69+1)),"")</f>
        <v>Posn</v>
      </c>
      <c r="C69" s="45" t="str">
        <f ca="1">IFERROR(INDIRECT(CONCATENATE("Track1!C",A69+1)),"")</f>
        <v>No.</v>
      </c>
      <c r="D69" s="182" t="str">
        <f ca="1">IFERROR(INDIRECT(CONCATENATE("Track1!D",A69+1)),"")</f>
        <v>Athlete</v>
      </c>
      <c r="E69" s="182" t="str">
        <f ca="1">IFERROR(INDIRECT(CONCATENATE("Track1!E",A69+1)),"")</f>
        <v>Club</v>
      </c>
      <c r="F69" s="301" t="str">
        <f ca="1">IFERROR(INDIRECT(CONCATENATE("Track1!F",A69+1)),"")</f>
        <v>Perf</v>
      </c>
      <c r="G69" s="218" t="str">
        <f ca="1">IFERROR(INDIRECT(CONCATENATE("Track1!G",A69+1)),"")</f>
        <v>AAA</v>
      </c>
      <c r="H69" s="45"/>
      <c r="I69" s="45" t="str">
        <f ca="1">IFERROR(INDIRECT(CONCATENATE("Track1!I",A69+1)),"")</f>
        <v>Posn</v>
      </c>
      <c r="J69" s="45" t="str">
        <f ca="1">IFERROR(INDIRECT(CONCATENATE("Track1!J",A69+1)),"")</f>
        <v>No.</v>
      </c>
      <c r="K69" s="182" t="str">
        <f ca="1">IFERROR(INDIRECT(CONCATENATE("Track1!K",A69+1)),"")</f>
        <v>Athlete</v>
      </c>
      <c r="L69" s="182" t="str">
        <f ca="1">IFERROR(INDIRECT(CONCATENATE("Track1!L",A69+1)),"")</f>
        <v>Club</v>
      </c>
      <c r="M69" s="301" t="str">
        <f ca="1">IFERROR(INDIRECT(CONCATENATE("Track1!M",A69+1)),"")</f>
        <v>Perf</v>
      </c>
      <c r="N69" s="218" t="str">
        <f ca="1">IFERROR(INDIRECT(CONCATENATE("Track1!N",A69+1)),"")</f>
        <v>AAA</v>
      </c>
    </row>
    <row r="70" spans="1:18" x14ac:dyDescent="0.35">
      <c r="B70" s="66">
        <f ca="1">IFERROR(INDIRECT(CONCATENATE("Track1!B",A69+2)),"")</f>
        <v>1</v>
      </c>
      <c r="C70" s="66">
        <f ca="1">IFERROR(INDIRECT(CONCATENATE("Track1!C",A69+2)),"")</f>
        <v>3</v>
      </c>
      <c r="D70" s="89" t="str">
        <f ca="1">IFERROR(INDIRECT(CONCATENATE("Track1!D",A69+2)),"")</f>
        <v>POUNDER Esme</v>
      </c>
      <c r="E70" s="89" t="str">
        <f ca="1">IFERROR(INDIRECT(CONCATENATE("Track1!E",A69+2)),"")</f>
        <v>York</v>
      </c>
      <c r="F70" s="299">
        <f ca="1">IFERROR(INDIRECT(CONCATENATE("Track1!F",A69+2)),"")</f>
        <v>11.9</v>
      </c>
      <c r="G70" s="121">
        <f ca="1">IFERROR(INDIRECT(CONCATENATE("Track1!G",A69+2)),"")</f>
        <v>1</v>
      </c>
      <c r="H70" s="66"/>
      <c r="I70" s="66">
        <f ca="1">IFERROR(INDIRECT(CONCATENATE("Track1!I",A69+2)),"")</f>
        <v>1</v>
      </c>
      <c r="J70" s="66">
        <f ca="1">IFERROR(INDIRECT(CONCATENATE("Track1!J",A69+2)),"")</f>
        <v>33</v>
      </c>
      <c r="K70" s="89" t="str">
        <f ca="1">IFERROR(INDIRECT(CONCATENATE("Track1!K",A69+2)),"")</f>
        <v>GREEN-HEMMINGS Grace</v>
      </c>
      <c r="L70" s="89" t="str">
        <f ca="1">IFERROR(INDIRECT(CONCATENATE("Track1!L",A69+2)),"")</f>
        <v>York</v>
      </c>
      <c r="M70" s="299">
        <f ca="1">IFERROR(INDIRECT(CONCATENATE("Track1!M",A69+2)),"")</f>
        <v>13.1</v>
      </c>
      <c r="N70" s="121">
        <f ca="1">IFERROR(INDIRECT(CONCATENATE("Track1!N",A69+2)),"")</f>
        <v>4</v>
      </c>
      <c r="R70" s="219">
        <f ca="1">IFERROR(INDIRECT(CONCATENATE("Track1!r",A69+2)),"")</f>
        <v>1</v>
      </c>
    </row>
    <row r="71" spans="1:18" x14ac:dyDescent="0.35">
      <c r="B71" s="66">
        <f ca="1">IFERROR(INDIRECT(CONCATENATE("Track1!B",A69+3)),"")</f>
        <v>2</v>
      </c>
      <c r="C71" s="66">
        <f ca="1">IFERROR(INDIRECT(CONCATENATE("Track1!C",A69+3)),"")</f>
        <v>1</v>
      </c>
      <c r="D71" s="89" t="str">
        <f ca="1">IFERROR(INDIRECT(CONCATENATE("Track1!D",A69+3)),"")</f>
        <v>STANILAND Charlotte</v>
      </c>
      <c r="E71" s="89" t="str">
        <f ca="1">IFERROR(INDIRECT(CONCATENATE("Track1!E",A69+3)),"")</f>
        <v>C'field</v>
      </c>
      <c r="F71" s="299">
        <f ca="1">IFERROR(INDIRECT(CONCATENATE("Track1!F",A69+3)),"")</f>
        <v>12.8</v>
      </c>
      <c r="G71" s="121">
        <f ca="1">IFERROR(INDIRECT(CONCATENATE("Track1!G",A69+3)),"")</f>
        <v>4</v>
      </c>
      <c r="H71" s="66"/>
      <c r="I71" s="66">
        <f ca="1">IFERROR(INDIRECT(CONCATENATE("Track1!I",A69+3)),"")</f>
        <v>2</v>
      </c>
      <c r="J71" s="66">
        <f ca="1">IFERROR(INDIRECT(CONCATENATE("Track1!J",A69+3)),"")</f>
        <v>11</v>
      </c>
      <c r="K71" s="89" t="str">
        <f ca="1">IFERROR(INDIRECT(CONCATENATE("Track1!K",A69+3)),"")</f>
        <v>HALL Lottie</v>
      </c>
      <c r="L71" s="89" t="str">
        <f ca="1">IFERROR(INDIRECT(CONCATENATE("Track1!L",A69+3)),"")</f>
        <v>C'field</v>
      </c>
      <c r="M71" s="299">
        <f ca="1">IFERROR(INDIRECT(CONCATENATE("Track1!M",A69+3)),"")</f>
        <v>13.7</v>
      </c>
      <c r="N71" s="121" t="str">
        <f ca="1">IFERROR(INDIRECT(CONCATENATE("Track1!N",A69+3)),"")</f>
        <v/>
      </c>
    </row>
    <row r="72" spans="1:18" x14ac:dyDescent="0.35">
      <c r="B72" s="66">
        <f ca="1">IFERROR(INDIRECT(CONCATENATE("Track1!B",A69+4)),"")</f>
        <v>3</v>
      </c>
      <c r="C72" s="66">
        <f ca="1">IFERROR(INDIRECT(CONCATENATE("Track1!C",A69+4)),"")</f>
        <v>4</v>
      </c>
      <c r="D72" s="89" t="str">
        <f ca="1">IFERROR(INDIRECT(CONCATENATE("Track1!D",A69+4)),"")</f>
        <v>SEDGWICK Emma</v>
      </c>
      <c r="E72" s="89" t="str">
        <f ca="1">IFERROR(INDIRECT(CONCATENATE("Track1!E",A69+4)),"")</f>
        <v>M'bro</v>
      </c>
      <c r="F72" s="299">
        <f ca="1">IFERROR(INDIRECT(CONCATENATE("Track1!F",A69+4)),"")</f>
        <v>13.2</v>
      </c>
      <c r="G72" s="121">
        <f ca="1">IFERROR(INDIRECT(CONCATENATE("Track1!G",A69+4)),"")</f>
        <v>4</v>
      </c>
      <c r="H72" s="66"/>
      <c r="I72" s="66">
        <f ca="1">IFERROR(INDIRECT(CONCATENATE("Track1!I",A69+4)),"")</f>
        <v>3</v>
      </c>
      <c r="J72" s="66">
        <f ca="1">IFERROR(INDIRECT(CONCATENATE("Track1!J",A69+4)),"")</f>
        <v>0</v>
      </c>
      <c r="K72" s="89" t="str">
        <f ca="1">IFERROR(INDIRECT(CONCATENATE("Track1!K",A69+4)),"")</f>
        <v/>
      </c>
      <c r="L72" s="89" t="str">
        <f ca="1">IFERROR(INDIRECT(CONCATENATE("Track1!L",A69+4)),"")</f>
        <v/>
      </c>
      <c r="M72" s="299">
        <f ca="1">IFERROR(INDIRECT(CONCATENATE("Track1!M",A69+4)),"")</f>
        <v>0</v>
      </c>
      <c r="N72" s="121" t="str">
        <f ca="1">IFERROR(INDIRECT(CONCATENATE("Track1!N",A69+4)),"")</f>
        <v/>
      </c>
    </row>
    <row r="73" spans="1:18" x14ac:dyDescent="0.35">
      <c r="B73" s="66">
        <f ca="1">IFERROR(INDIRECT(CONCATENATE("Track1!B",A69+5)),"")</f>
        <v>4</v>
      </c>
      <c r="C73" s="66">
        <f ca="1">IFERROR(INDIRECT(CONCATENATE("Track1!C",A69+5)),"")</f>
        <v>2</v>
      </c>
      <c r="D73" s="89" t="str">
        <f ca="1">IFERROR(INDIRECT(CONCATENATE("Track1!D",A69+5)),"")</f>
        <v>COOPER Amy</v>
      </c>
      <c r="E73" s="89" t="str">
        <f ca="1">IFERROR(INDIRECT(CONCATENATE("Track1!E",A69+5)),"")</f>
        <v>Sheff+D</v>
      </c>
      <c r="F73" s="299">
        <f ca="1">IFERROR(INDIRECT(CONCATENATE("Track1!F",A69+5)),"")</f>
        <v>16.8</v>
      </c>
      <c r="G73" s="121" t="str">
        <f ca="1">IFERROR(INDIRECT(CONCATENATE("Track1!G",A69+5)),"")</f>
        <v/>
      </c>
      <c r="H73" s="66"/>
      <c r="I73" s="66">
        <f ca="1">IFERROR(INDIRECT(CONCATENATE("Track1!I",A69+5)),"")</f>
        <v>4</v>
      </c>
      <c r="J73" s="66">
        <f ca="1">IFERROR(INDIRECT(CONCATENATE("Track1!J",A69+5)),"")</f>
        <v>0</v>
      </c>
      <c r="K73" s="89" t="str">
        <f ca="1">IFERROR(INDIRECT(CONCATENATE("Track1!K",A69+5)),"")</f>
        <v/>
      </c>
      <c r="L73" s="89" t="str">
        <f ca="1">IFERROR(INDIRECT(CONCATENATE("Track1!L",A69+5)),"")</f>
        <v/>
      </c>
      <c r="M73" s="299">
        <f ca="1">IFERROR(INDIRECT(CONCATENATE("Track1!M",A69+5)),"")</f>
        <v>0</v>
      </c>
      <c r="N73" s="121" t="str">
        <f ca="1">IFERROR(INDIRECT(CONCATENATE("Track1!N",A69+5)),"")</f>
        <v/>
      </c>
    </row>
    <row r="74" spans="1:18" x14ac:dyDescent="0.35">
      <c r="B74" s="66">
        <f ca="1">IFERROR(INDIRECT(CONCATENATE("Track1!B",A69+6)),"")</f>
        <v>5</v>
      </c>
      <c r="C74" s="66">
        <f ca="1">IFERROR(INDIRECT(CONCATENATE("Track1!C",A69+6)),"")</f>
        <v>0</v>
      </c>
      <c r="D74" s="89" t="str">
        <f ca="1">IFERROR(INDIRECT(CONCATENATE("Track1!D",A69+6)),"")</f>
        <v/>
      </c>
      <c r="E74" s="89" t="str">
        <f ca="1">IFERROR(INDIRECT(CONCATENATE("Track1!E",A69+6)),"")</f>
        <v/>
      </c>
      <c r="F74" s="299">
        <f ca="1">IFERROR(INDIRECT(CONCATENATE("Track1!F",A69+6)),"")</f>
        <v>0</v>
      </c>
      <c r="G74" s="121" t="str">
        <f ca="1">IFERROR(INDIRECT(CONCATENATE("Track1!G",A69+6)),"")</f>
        <v/>
      </c>
      <c r="H74" s="66"/>
      <c r="I74" s="66">
        <f ca="1">IFERROR(INDIRECT(CONCATENATE("Track1!I",A69+6)),"")</f>
        <v>5</v>
      </c>
      <c r="J74" s="66">
        <f ca="1">IFERROR(INDIRECT(CONCATENATE("Track1!J",A69+6)),"")</f>
        <v>0</v>
      </c>
      <c r="K74" s="89" t="str">
        <f ca="1">IFERROR(INDIRECT(CONCATENATE("Track1!K",A69+6)),"")</f>
        <v/>
      </c>
      <c r="L74" s="89" t="str">
        <f ca="1">IFERROR(INDIRECT(CONCATENATE("Track1!L",A69+6)),"")</f>
        <v/>
      </c>
      <c r="M74" s="299">
        <f ca="1">IFERROR(INDIRECT(CONCATENATE("Track1!M",A69+6)),"")</f>
        <v>0</v>
      </c>
      <c r="N74" s="121" t="str">
        <f ca="1">IFERROR(INDIRECT(CONCATENATE("Track1!N",A69+6)),"")</f>
        <v/>
      </c>
    </row>
    <row r="75" spans="1:18" x14ac:dyDescent="0.35">
      <c r="B75" s="66">
        <f ca="1">IFERROR(INDIRECT(CONCATENATE("Track1!B",A69+7)),"")</f>
        <v>6</v>
      </c>
      <c r="C75" s="66">
        <f ca="1">IFERROR(INDIRECT(CONCATENATE("Track1!C",A69+7)),"")</f>
        <v>0</v>
      </c>
      <c r="D75" s="89" t="str">
        <f ca="1">IFERROR(INDIRECT(CONCATENATE("Track1!D",A69+7)),"")</f>
        <v/>
      </c>
      <c r="E75" s="89" t="str">
        <f ca="1">IFERROR(INDIRECT(CONCATENATE("Track1!E",A69+7)),"")</f>
        <v/>
      </c>
      <c r="F75" s="299">
        <f ca="1">IFERROR(INDIRECT(CONCATENATE("Track1!F",A69+7)),"")</f>
        <v>0</v>
      </c>
      <c r="G75" s="121" t="str">
        <f ca="1">IFERROR(INDIRECT(CONCATENATE("Track1!G",A69+7)),"")</f>
        <v/>
      </c>
      <c r="H75" s="66"/>
      <c r="I75" s="66">
        <f ca="1">IFERROR(INDIRECT(CONCATENATE("Track1!I",A69+7)),"")</f>
        <v>6</v>
      </c>
      <c r="J75" s="66">
        <f ca="1">IFERROR(INDIRECT(CONCATENATE("Track1!J",A69+7)),"")</f>
        <v>0</v>
      </c>
      <c r="K75" s="89" t="str">
        <f ca="1">IFERROR(INDIRECT(CONCATENATE("Track1!K",A69+7)),"")</f>
        <v/>
      </c>
      <c r="L75" s="89" t="str">
        <f ca="1">IFERROR(INDIRECT(CONCATENATE("Track1!L",A69+7)),"")</f>
        <v/>
      </c>
      <c r="M75" s="299">
        <f ca="1">IFERROR(INDIRECT(CONCATENATE("Track1!M",A69+7)),"")</f>
        <v>0</v>
      </c>
      <c r="N75" s="121" t="str">
        <f ca="1">IFERROR(INDIRECT(CONCATENATE("Track1!N",A69+7)),"")</f>
        <v/>
      </c>
    </row>
    <row r="76" spans="1:18" x14ac:dyDescent="0.35">
      <c r="B76" s="66">
        <f ca="1">IFERROR(INDIRECT(CONCATENATE("Track1!B",A69+8)),"")</f>
        <v>7</v>
      </c>
      <c r="C76" s="66">
        <f ca="1">IFERROR(INDIRECT(CONCATENATE("Track1!C",A69+8)),"")</f>
        <v>0</v>
      </c>
      <c r="D76" s="89" t="str">
        <f ca="1">IFERROR(INDIRECT(CONCATENATE("Track1!D",A69+8)),"")</f>
        <v/>
      </c>
      <c r="E76" s="89" t="str">
        <f ca="1">IFERROR(INDIRECT(CONCATENATE("Track1!E",A69+8)),"")</f>
        <v/>
      </c>
      <c r="F76" s="299">
        <f ca="1">IFERROR(INDIRECT(CONCATENATE("Track1!F",A69+8)),"")</f>
        <v>0</v>
      </c>
      <c r="G76" s="121" t="str">
        <f ca="1">IFERROR(INDIRECT(CONCATENATE("Track1!G",A69+8)),"")</f>
        <v/>
      </c>
      <c r="H76" s="66"/>
      <c r="I76" s="66">
        <f ca="1">IFERROR(INDIRECT(CONCATENATE("Track1!I",A69+8)),"")</f>
        <v>7</v>
      </c>
      <c r="J76" s="66">
        <f ca="1">IFERROR(INDIRECT(CONCATENATE("Track1!J",A69+8)),"")</f>
        <v>0</v>
      </c>
      <c r="K76" s="89" t="str">
        <f ca="1">IFERROR(INDIRECT(CONCATENATE("Track1!K",A69+8)),"")</f>
        <v/>
      </c>
      <c r="L76" s="89" t="str">
        <f ca="1">IFERROR(INDIRECT(CONCATENATE("Track1!L",A69+8)),"")</f>
        <v/>
      </c>
      <c r="M76" s="299">
        <f ca="1">IFERROR(INDIRECT(CONCATENATE("Track1!M",A69+8)),"")</f>
        <v>0</v>
      </c>
      <c r="N76" s="121" t="str">
        <f ca="1">IFERROR(INDIRECT(CONCATENATE("Track1!N",A69+8)),"")</f>
        <v/>
      </c>
    </row>
    <row r="77" spans="1:18" x14ac:dyDescent="0.35">
      <c r="B77" s="66">
        <f ca="1">IFERROR(INDIRECT(CONCATENATE("Track1!B",A69+9)),"")</f>
        <v>8</v>
      </c>
      <c r="C77" s="66">
        <f ca="1">IFERROR(INDIRECT(CONCATENATE("Track1!C",A69+9)),"")</f>
        <v>0</v>
      </c>
      <c r="D77" s="89" t="str">
        <f ca="1">IFERROR(INDIRECT(CONCATENATE("Track1!D",A69+9)),"")</f>
        <v/>
      </c>
      <c r="E77" s="89" t="str">
        <f ca="1">IFERROR(INDIRECT(CONCATENATE("Track1!E",A69+9)),"")</f>
        <v/>
      </c>
      <c r="F77" s="299">
        <f ca="1">IFERROR(INDIRECT(CONCATENATE("Track1!F",A69+9)),"")</f>
        <v>0</v>
      </c>
      <c r="G77" s="121" t="str">
        <f ca="1">IFERROR(INDIRECT(CONCATENATE("Track1!G",A69+9)),"")</f>
        <v/>
      </c>
      <c r="H77" s="66"/>
      <c r="I77" s="66">
        <f ca="1">IFERROR(INDIRECT(CONCATENATE("Track1!I",A69+9)),"")</f>
        <v>8</v>
      </c>
      <c r="J77" s="66">
        <f ca="1">IFERROR(INDIRECT(CONCATENATE("Track1!J",A69+9)),"")</f>
        <v>0</v>
      </c>
      <c r="K77" s="89" t="str">
        <f ca="1">IFERROR(INDIRECT(CONCATENATE("Track1!K",A69+9)),"")</f>
        <v/>
      </c>
      <c r="L77" s="89" t="str">
        <f ca="1">IFERROR(INDIRECT(CONCATENATE("Track1!L",A69+9)),"")</f>
        <v/>
      </c>
      <c r="M77" s="299">
        <f ca="1">IFERROR(INDIRECT(CONCATENATE("Track1!M",A69+9)),"")</f>
        <v>0</v>
      </c>
      <c r="N77" s="121" t="str">
        <f ca="1">IFERROR(INDIRECT(CONCATENATE("Track1!N",A69+9)),"")</f>
        <v/>
      </c>
    </row>
    <row r="79" spans="1:18" x14ac:dyDescent="0.35">
      <c r="A79" s="402" t="s">
        <v>299</v>
      </c>
      <c r="B79" s="115" t="str">
        <f ca="1">IFERROR(INDIRECT(CONCATENATE("Field!B",A80)),"")</f>
        <v>Long Jump U13 Girls A</v>
      </c>
      <c r="F79" s="65"/>
      <c r="G79" s="403" t="str">
        <f ca="1">IFERROR(INDIRECT(CONCATENATE("Field!g",A80)),"")</f>
        <v/>
      </c>
      <c r="I79" s="115" t="str">
        <f ca="1">IFERROR(INDIRECT(CONCATENATE("Field!I",A80)),"")</f>
        <v>Long Jump U13 Girls B</v>
      </c>
      <c r="M79" s="67"/>
    </row>
    <row r="80" spans="1:18" x14ac:dyDescent="0.35">
      <c r="A80" s="66">
        <f>IFERROR(MATCH(A79,Field!A:A,0),"")</f>
        <v>156</v>
      </c>
      <c r="B80" s="45" t="str">
        <f ca="1">IFERROR(INDIRECT(CONCATENATE("Field!B",A80+1)),"")</f>
        <v>Posn</v>
      </c>
      <c r="C80" s="45" t="str">
        <f ca="1">IFERROR(INDIRECT(CONCATENATE("Field!C",A80+1)),"")</f>
        <v>Bib</v>
      </c>
      <c r="D80" s="182" t="str">
        <f ca="1">IFERROR(INDIRECT(CONCATENATE("Field!D",A80+1)),"")</f>
        <v>Athlete</v>
      </c>
      <c r="E80" s="182" t="str">
        <f ca="1">IFERROR(INDIRECT(CONCATENATE("Field!E",A80+1)),"")</f>
        <v>Club</v>
      </c>
      <c r="F80" s="149" t="str">
        <f ca="1">IFERROR(INDIRECT(CONCATENATE("Field!F",A80+1)),"")</f>
        <v>Perf</v>
      </c>
      <c r="G80" s="218" t="str">
        <f ca="1">IFERROR(INDIRECT(CONCATENATE("Field!G",A80+1)),"")</f>
        <v>AAA</v>
      </c>
      <c r="H80" s="45"/>
      <c r="I80" s="45" t="str">
        <f ca="1">IFERROR(INDIRECT(CONCATENATE("Field!I",A80+1)),"")</f>
        <v>Posn</v>
      </c>
      <c r="J80" s="45" t="str">
        <f ca="1">IFERROR(INDIRECT(CONCATENATE("Field!J",A80+1)),"")</f>
        <v>Bib</v>
      </c>
      <c r="K80" s="182" t="str">
        <f ca="1">IFERROR(INDIRECT(CONCATENATE("Field!K",A80+1)),"")</f>
        <v>Athlete</v>
      </c>
      <c r="L80" s="182" t="str">
        <f ca="1">IFERROR(INDIRECT(CONCATENATE("Field!L",A80+1)),"")</f>
        <v>Club</v>
      </c>
      <c r="M80" s="149" t="str">
        <f ca="1">IFERROR(INDIRECT(CONCATENATE("Field!M",A80+1)),"")</f>
        <v>Perf</v>
      </c>
      <c r="N80" s="218" t="str">
        <f ca="1">IFERROR(INDIRECT(CONCATENATE("Field!N",A80+1)),"")</f>
        <v>AAA</v>
      </c>
    </row>
    <row r="81" spans="1:18" x14ac:dyDescent="0.35">
      <c r="A81" s="66" t="str">
        <f>"_"&amp;A79</f>
        <v>_LFW03</v>
      </c>
      <c r="B81" s="66">
        <f ca="1">IFERROR(INDIRECT(CONCATENATE("Field!B",A80+2)),"")</f>
        <v>1</v>
      </c>
      <c r="C81" s="66">
        <f ca="1">IFERROR(INDIRECT(CONCATENATE("Field!C",A80+2)),"")</f>
        <v>3</v>
      </c>
      <c r="D81" s="89" t="str">
        <f ca="1">IFERROR(INDIRECT(CONCATENATE("Field!D",A80+2)),"")</f>
        <v>MAUDE Emily</v>
      </c>
      <c r="E81" s="89" t="str">
        <f ca="1">IFERROR(INDIRECT(CONCATENATE("Field!E",A80+2)),"")</f>
        <v>York</v>
      </c>
      <c r="F81" s="149" t="str">
        <f ca="1">IFERROR(TEXT(INDIRECT(CONCATENATE("Field!F",A80+2)),"#.#0")&amp;" "&amp;VLOOKUP(C81,INDIRECT($A81),5,FALSE),"")</f>
        <v xml:space="preserve">4.78 </v>
      </c>
      <c r="G81" s="121">
        <f ca="1">IFERROR(INDIRECT(CONCATENATE("Field!G",A80+2)),"")</f>
        <v>1</v>
      </c>
      <c r="H81" s="66"/>
      <c r="I81" s="66">
        <f ca="1">IFERROR(INDIRECT(CONCATENATE("Field!I",A80+2)),"")</f>
        <v>1</v>
      </c>
      <c r="J81" s="66">
        <f ca="1">IFERROR(INDIRECT(CONCATENATE("Field!J",A80+2)),"")</f>
        <v>33</v>
      </c>
      <c r="K81" s="89" t="str">
        <f ca="1">IFERROR(INDIRECT(CONCATENATE("Field!K",A80+2)),"")</f>
        <v>WRIGHT Ella</v>
      </c>
      <c r="L81" s="89" t="str">
        <f ca="1">IFERROR(INDIRECT(CONCATENATE("Field!L",A80+2)),"")</f>
        <v>York</v>
      </c>
      <c r="M81" s="149" t="str">
        <f ca="1">IFERROR(TEXT(INDIRECT(CONCATENATE("Field!m",A80+2)),"#.#0")&amp;" "&amp;VLOOKUP(J81,INDIRECT($A81),5,FALSE),"")</f>
        <v xml:space="preserve">3.79 </v>
      </c>
      <c r="N81" s="121" t="str">
        <f ca="1">IFERROR(INDIRECT(CONCATENATE("Field!N",A80+2)),"")</f>
        <v/>
      </c>
      <c r="R81" s="219">
        <f ca="1">IFERROR(INDIRECT(CONCATENATE("Field!r",A80+2)),"")</f>
        <v>1</v>
      </c>
    </row>
    <row r="82" spans="1:18" x14ac:dyDescent="0.35">
      <c r="B82" s="66">
        <f ca="1">IFERROR(INDIRECT(CONCATENATE("Field!B",A80+3)),"")</f>
        <v>2</v>
      </c>
      <c r="C82" s="66">
        <f ca="1">IFERROR(INDIRECT(CONCATENATE("Field!C",A80+3)),"")</f>
        <v>1</v>
      </c>
      <c r="D82" s="89" t="str">
        <f ca="1">IFERROR(INDIRECT(CONCATENATE("Field!D",A80+3)),"")</f>
        <v>FELLOWS Isabelle</v>
      </c>
      <c r="E82" s="89" t="str">
        <f ca="1">IFERROR(INDIRECT(CONCATENATE("Field!E",A80+3)),"")</f>
        <v>C'field</v>
      </c>
      <c r="F82" s="149" t="str">
        <f ca="1">IFERROR(TEXT(INDIRECT(CONCATENATE("Field!F",A80+3)),"#.#0")&amp;" "&amp;VLOOKUP(C82,INDIRECT($A81),5,FALSE),"")</f>
        <v xml:space="preserve">3.90 </v>
      </c>
      <c r="G82" s="121" t="str">
        <f ca="1">IFERROR(INDIRECT(CONCATENATE("Field!G",A80+3)),"")</f>
        <v/>
      </c>
      <c r="H82" s="66"/>
      <c r="I82" s="66">
        <f ca="1">IFERROR(INDIRECT(CONCATENATE("Field!I",A80+3)),"")</f>
        <v>2</v>
      </c>
      <c r="J82" s="66">
        <f ca="1">IFERROR(INDIRECT(CONCATENATE("Field!J",A80+3)),"")</f>
        <v>11</v>
      </c>
      <c r="K82" s="89" t="str">
        <f ca="1">IFERROR(INDIRECT(CONCATENATE("Field!K",A80+3)),"")</f>
        <v>HUMPHREYS Melissa</v>
      </c>
      <c r="L82" s="89" t="str">
        <f ca="1">IFERROR(INDIRECT(CONCATENATE("Field!L",A80+3)),"")</f>
        <v>C'field</v>
      </c>
      <c r="M82" s="149" t="str">
        <f ca="1">IFERROR(TEXT(INDIRECT(CONCATENATE("Field!m",A80+3)),"#.#0")&amp;" "&amp;VLOOKUP(J82,INDIRECT($A81),5,FALSE),"")</f>
        <v xml:space="preserve">3.67 </v>
      </c>
      <c r="N82" s="121" t="str">
        <f ca="1">IFERROR(INDIRECT(CONCATENATE("Field!N",A80+3)),"")</f>
        <v/>
      </c>
    </row>
    <row r="83" spans="1:18" x14ac:dyDescent="0.35">
      <c r="B83" s="66">
        <f ca="1">IFERROR(INDIRECT(CONCATENATE("Field!B",A80+4)),"")</f>
        <v>3</v>
      </c>
      <c r="C83" s="66">
        <f ca="1">IFERROR(INDIRECT(CONCATENATE("Field!C",A80+4)),"")</f>
        <v>4</v>
      </c>
      <c r="D83" s="89" t="str">
        <f ca="1">IFERROR(INDIRECT(CONCATENATE("Field!D",A80+4)),"")</f>
        <v>WILMOT Amy</v>
      </c>
      <c r="E83" s="89" t="str">
        <f ca="1">IFERROR(INDIRECT(CONCATENATE("Field!E",A80+4)),"")</f>
        <v>M'bro</v>
      </c>
      <c r="F83" s="149" t="str">
        <f ca="1">IFERROR(TEXT(INDIRECT(CONCATENATE("Field!F",A80+4)),"#.#0")&amp;" "&amp;VLOOKUP(C83,INDIRECT($A81),5,FALSE),"")</f>
        <v xml:space="preserve">3.56 </v>
      </c>
      <c r="G83" s="121" t="str">
        <f ca="1">IFERROR(INDIRECT(CONCATENATE("Field!G",A80+4)),"")</f>
        <v/>
      </c>
      <c r="H83" s="66"/>
      <c r="I83" s="66">
        <f ca="1">IFERROR(INDIRECT(CONCATENATE("Field!I",A80+4)),"")</f>
        <v>3</v>
      </c>
      <c r="J83" s="66">
        <f ca="1">IFERROR(INDIRECT(CONCATENATE("Field!J",A80+4)),"")</f>
        <v>44</v>
      </c>
      <c r="K83" s="89" t="str">
        <f ca="1">IFERROR(INDIRECT(CONCATENATE("Field!K",A80+4)),"")</f>
        <v>SULLOCK Beth</v>
      </c>
      <c r="L83" s="89" t="str">
        <f ca="1">IFERROR(INDIRECT(CONCATENATE("Field!L",A80+4)),"")</f>
        <v>M'bro</v>
      </c>
      <c r="M83" s="149" t="str">
        <f ca="1">IFERROR(TEXT(INDIRECT(CONCATENATE("Field!m",A80+4)),"#.#0")&amp;" "&amp;VLOOKUP(J83,INDIRECT($A81),5,FALSE),"")</f>
        <v xml:space="preserve">3.53 </v>
      </c>
      <c r="N83" s="121" t="str">
        <f ca="1">IFERROR(INDIRECT(CONCATENATE("Field!N",A80+4)),"")</f>
        <v/>
      </c>
    </row>
    <row r="84" spans="1:18" x14ac:dyDescent="0.35">
      <c r="B84" s="66">
        <f ca="1">IFERROR(INDIRECT(CONCATENATE("Field!B",A80+5)),"")</f>
        <v>4</v>
      </c>
      <c r="C84" s="66">
        <f ca="1">IFERROR(INDIRECT(CONCATENATE("Field!C",A80+5)),"")</f>
        <v>5</v>
      </c>
      <c r="D84" s="89" t="str">
        <f ca="1">IFERROR(INDIRECT(CONCATENATE("Field!D",A80+5)),"")</f>
        <v>STOW Libby</v>
      </c>
      <c r="E84" s="89" t="str">
        <f ca="1">IFERROR(INDIRECT(CONCATENATE("Field!E",A80+5)),"")</f>
        <v>Scun</v>
      </c>
      <c r="F84" s="149" t="str">
        <f ca="1">IFERROR(TEXT(INDIRECT(CONCATENATE("Field!F",A80+5)),"#.#0")&amp;" "&amp;VLOOKUP(C84,INDIRECT($A81),5,FALSE),"")</f>
        <v xml:space="preserve">3.27 </v>
      </c>
      <c r="G84" s="121" t="str">
        <f ca="1">IFERROR(INDIRECT(CONCATENATE("Field!G",A80+5)),"")</f>
        <v/>
      </c>
      <c r="H84" s="66"/>
      <c r="I84" s="66">
        <f ca="1">IFERROR(INDIRECT(CONCATENATE("Field!I",A80+5)),"")</f>
        <v>4</v>
      </c>
      <c r="J84" s="66">
        <f ca="1">IFERROR(INDIRECT(CONCATENATE("Field!J",A80+5)),"")</f>
        <v>2</v>
      </c>
      <c r="K84" s="89" t="str">
        <f ca="1">IFERROR(INDIRECT(CONCATENATE("Field!K",A80+5)),"")</f>
        <v>COOPER Amy</v>
      </c>
      <c r="L84" s="89" t="str">
        <f ca="1">IFERROR(INDIRECT(CONCATENATE("Field!L",A80+5)),"")</f>
        <v>Sheff+D</v>
      </c>
      <c r="M84" s="149" t="str">
        <f ca="1">IFERROR(TEXT(INDIRECT(CONCATENATE("Field!m",A80+5)),"#.#0")&amp;" "&amp;VLOOKUP(J84,INDIRECT($A81),5,FALSE),"")</f>
        <v xml:space="preserve">3.01 </v>
      </c>
      <c r="N84" s="121" t="str">
        <f ca="1">IFERROR(INDIRECT(CONCATENATE("Field!N",A80+5)),"")</f>
        <v/>
      </c>
    </row>
    <row r="85" spans="1:18" x14ac:dyDescent="0.35">
      <c r="B85" s="66">
        <f ca="1">IFERROR(INDIRECT(CONCATENATE("Field!B",A80+6)),"")</f>
        <v>5</v>
      </c>
      <c r="C85" s="66">
        <f ca="1">IFERROR(INDIRECT(CONCATENATE("Field!C",A80+6)),"")</f>
        <v>22</v>
      </c>
      <c r="D85" s="89" t="str">
        <f ca="1">IFERROR(INDIRECT(CONCATENATE("Field!D",A80+6)),"")</f>
        <v>GROVE Abigail</v>
      </c>
      <c r="E85" s="89" t="str">
        <f ca="1">IFERROR(INDIRECT(CONCATENATE("Field!E",A80+6)),"")</f>
        <v>Sheff+D</v>
      </c>
      <c r="F85" s="149" t="str">
        <f ca="1">IFERROR(TEXT(INDIRECT(CONCATENATE("Field!F",A80+6)),"#.#0")&amp;" "&amp;VLOOKUP(C85,INDIRECT($A81),5,FALSE),"")</f>
        <v xml:space="preserve">3.05 </v>
      </c>
      <c r="G85" s="121" t="str">
        <f ca="1">IFERROR(INDIRECT(CONCATENATE("Field!G",A80+6)),"")</f>
        <v/>
      </c>
      <c r="H85" s="66"/>
      <c r="I85" s="66">
        <f ca="1">IFERROR(INDIRECT(CONCATENATE("Field!I",A80+6)),"")</f>
        <v>5</v>
      </c>
      <c r="J85" s="66">
        <f ca="1">IFERROR(INDIRECT(CONCATENATE("Field!J",A80+6)),"")</f>
        <v>55</v>
      </c>
      <c r="K85" s="89" t="str">
        <f ca="1">IFERROR(INDIRECT(CONCATENATE("Field!K",A80+6)),"")</f>
        <v>HAYES Zara</v>
      </c>
      <c r="L85" s="89" t="str">
        <f ca="1">IFERROR(INDIRECT(CONCATENATE("Field!L",A80+6)),"")</f>
        <v>Scun</v>
      </c>
      <c r="M85" s="149" t="str">
        <f ca="1">IFERROR(TEXT(INDIRECT(CONCATENATE("Field!m",A80+6)),"#.#0")&amp;" "&amp;VLOOKUP(J85,INDIRECT($A81),5,FALSE),"")</f>
        <v xml:space="preserve">2.98 </v>
      </c>
      <c r="N85" s="121" t="str">
        <f ca="1">IFERROR(INDIRECT(CONCATENATE("Field!N",A80+6)),"")</f>
        <v/>
      </c>
    </row>
    <row r="86" spans="1:18" x14ac:dyDescent="0.35">
      <c r="B86" s="66">
        <f ca="1">IFERROR(INDIRECT(CONCATENATE("Field!B",A80+7)),"")</f>
        <v>6</v>
      </c>
      <c r="C86" s="66" t="str">
        <f ca="1">IFERROR(INDIRECT(CONCATENATE("Field!C",A80+7)),"")</f>
        <v/>
      </c>
      <c r="D86" s="89" t="str">
        <f ca="1">IFERROR(INDIRECT(CONCATENATE("Field!D",A80+7)),"")</f>
        <v/>
      </c>
      <c r="E86" s="89" t="str">
        <f ca="1">IFERROR(INDIRECT(CONCATENATE("Field!E",A80+7)),"")</f>
        <v/>
      </c>
      <c r="F86" s="149" t="str">
        <f ca="1">IFERROR(TEXT(INDIRECT(CONCATENATE("Field!F",A80+7)),"#.#0")&amp;" "&amp;VLOOKUP(C86,INDIRECT($A81),5,FALSE),"")</f>
        <v/>
      </c>
      <c r="G86" s="121" t="str">
        <f ca="1">IFERROR(INDIRECT(CONCATENATE("Field!G",A80+7)),"")</f>
        <v/>
      </c>
      <c r="H86" s="66"/>
      <c r="I86" s="66">
        <f ca="1">IFERROR(INDIRECT(CONCATENATE("Field!I",A80+7)),"")</f>
        <v>6</v>
      </c>
      <c r="J86" s="66" t="str">
        <f ca="1">IFERROR(INDIRECT(CONCATENATE("Field!J",A80+7)),"")</f>
        <v/>
      </c>
      <c r="K86" s="89" t="str">
        <f ca="1">IFERROR(INDIRECT(CONCATENATE("Field!K",A80+7)),"")</f>
        <v/>
      </c>
      <c r="L86" s="89" t="str">
        <f ca="1">IFERROR(INDIRECT(CONCATENATE("Field!L",A80+7)),"")</f>
        <v/>
      </c>
      <c r="M86" s="149" t="str">
        <f ca="1">IFERROR(TEXT(INDIRECT(CONCATENATE("Field!m",A80+7)),"#.#0")&amp;" "&amp;VLOOKUP(J86,INDIRECT($A81),5,FALSE),"")</f>
        <v/>
      </c>
      <c r="N86" s="121" t="str">
        <f ca="1">IFERROR(INDIRECT(CONCATENATE("Field!N",A80+7)),"")</f>
        <v/>
      </c>
    </row>
    <row r="87" spans="1:18" x14ac:dyDescent="0.35">
      <c r="B87" s="66">
        <f ca="1">IFERROR(INDIRECT(CONCATENATE("Field!B",A80+8)),"")</f>
        <v>7</v>
      </c>
      <c r="C87" s="66" t="str">
        <f ca="1">IFERROR(INDIRECT(CONCATENATE("Field!C",A80+8)),"")</f>
        <v/>
      </c>
      <c r="D87" s="89" t="str">
        <f ca="1">IFERROR(INDIRECT(CONCATENATE("Field!D",A80+8)),"")</f>
        <v/>
      </c>
      <c r="E87" s="89" t="str">
        <f ca="1">IFERROR(INDIRECT(CONCATENATE("Field!E",A80+8)),"")</f>
        <v/>
      </c>
      <c r="F87" s="149" t="str">
        <f ca="1">IFERROR(TEXT(INDIRECT(CONCATENATE("Field!F",A80+8)),"#.#0")&amp;" "&amp;VLOOKUP(C87,INDIRECT($A81),5,FALSE),"")</f>
        <v/>
      </c>
      <c r="G87" s="121" t="str">
        <f ca="1">IFERROR(INDIRECT(CONCATENATE("Field!G",A80+8)),"")</f>
        <v/>
      </c>
      <c r="H87" s="66"/>
      <c r="I87" s="66">
        <f ca="1">IFERROR(INDIRECT(CONCATENATE("Field!I",A80+8)),"")</f>
        <v>7</v>
      </c>
      <c r="J87" s="66" t="str">
        <f ca="1">IFERROR(INDIRECT(CONCATENATE("Field!J",A80+8)),"")</f>
        <v/>
      </c>
      <c r="K87" s="89" t="str">
        <f ca="1">IFERROR(INDIRECT(CONCATENATE("Field!K",A80+8)),"")</f>
        <v/>
      </c>
      <c r="L87" s="89" t="str">
        <f ca="1">IFERROR(INDIRECT(CONCATENATE("Field!L",A80+8)),"")</f>
        <v/>
      </c>
      <c r="M87" s="149" t="str">
        <f ca="1">IFERROR(TEXT(INDIRECT(CONCATENATE("Field!m",A80+8)),"#.#0")&amp;" "&amp;VLOOKUP(J87,INDIRECT($A81),5,FALSE),"")</f>
        <v/>
      </c>
      <c r="N87" s="121" t="str">
        <f ca="1">IFERROR(INDIRECT(CONCATENATE("Field!N",A80+8)),"")</f>
        <v/>
      </c>
    </row>
    <row r="88" spans="1:18" x14ac:dyDescent="0.35">
      <c r="B88" s="66">
        <f ca="1">IFERROR(INDIRECT(CONCATENATE("Field!B",A80+9)),"")</f>
        <v>8</v>
      </c>
      <c r="C88" s="66" t="str">
        <f ca="1">IFERROR(INDIRECT(CONCATENATE("Field!C",A80+9)),"")</f>
        <v/>
      </c>
      <c r="D88" s="89" t="str">
        <f ca="1">IFERROR(INDIRECT(CONCATENATE("Field!D",A80+9)),"")</f>
        <v/>
      </c>
      <c r="E88" s="89" t="str">
        <f ca="1">IFERROR(INDIRECT(CONCATENATE("Field!E",A80+9)),"")</f>
        <v/>
      </c>
      <c r="F88" s="149" t="str">
        <f ca="1">IFERROR(TEXT(INDIRECT(CONCATENATE("Field!F",A80+9)),"#.#0")&amp;" "&amp;VLOOKUP(C88,INDIRECT($A81),5,FALSE),"")</f>
        <v/>
      </c>
      <c r="G88" s="121" t="str">
        <f ca="1">IFERROR(INDIRECT(CONCATENATE("Field!G",A80+9)),"")</f>
        <v/>
      </c>
      <c r="H88" s="66"/>
      <c r="I88" s="66">
        <f ca="1">IFERROR(INDIRECT(CONCATENATE("Field!I",A80+9)),"")</f>
        <v>8</v>
      </c>
      <c r="J88" s="66" t="str">
        <f ca="1">IFERROR(INDIRECT(CONCATENATE("Field!J",A80+9)),"")</f>
        <v/>
      </c>
      <c r="K88" s="89" t="str">
        <f ca="1">IFERROR(INDIRECT(CONCATENATE("Field!K",A80+9)),"")</f>
        <v/>
      </c>
      <c r="L88" s="89" t="str">
        <f ca="1">IFERROR(INDIRECT(CONCATENATE("Field!L",A80+9)),"")</f>
        <v/>
      </c>
      <c r="M88" s="149" t="str">
        <f ca="1">IFERROR(TEXT(INDIRECT(CONCATENATE("Field!m",A80+9)),"#.#0")&amp;" "&amp;VLOOKUP(J88,INDIRECT($A81),5,FALSE),"")</f>
        <v/>
      </c>
      <c r="N88" s="121" t="str">
        <f ca="1">IFERROR(INDIRECT(CONCATENATE("Field!N",A80+9)),"")</f>
        <v/>
      </c>
    </row>
    <row r="89" spans="1:18" x14ac:dyDescent="0.35">
      <c r="F89" s="67"/>
      <c r="M89" s="67"/>
    </row>
    <row r="90" spans="1:18" x14ac:dyDescent="0.35">
      <c r="A90" s="66" t="s">
        <v>238</v>
      </c>
      <c r="B90" s="115" t="str">
        <f ca="1">IFERROR(INDIRECT(CONCATENATE("Field!B",A91)),"")</f>
        <v>High Jump U13 Girls A</v>
      </c>
      <c r="F90" s="67"/>
      <c r="G90" s="121" t="str">
        <f ca="1">IFERROR(INDIRECT(CONCATENATE("Field!g",A91)),"")</f>
        <v/>
      </c>
      <c r="I90" s="115" t="str">
        <f ca="1">IFERROR(INDIRECT(CONCATENATE("Field!I",A91)),"")</f>
        <v>High Jump U13 Girls B</v>
      </c>
      <c r="M90" s="67"/>
    </row>
    <row r="91" spans="1:18" x14ac:dyDescent="0.35">
      <c r="A91" s="66">
        <f>IFERROR(MATCH(A90,Field!A:A,0),"")</f>
        <v>200</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row>
    <row r="92" spans="1:18" x14ac:dyDescent="0.35">
      <c r="B92" s="66">
        <f ca="1">IFERROR(INDIRECT(CONCATENATE("Field!B",A91+2)),"")</f>
        <v>1</v>
      </c>
      <c r="C92" s="66">
        <f ca="1">IFERROR(INDIRECT(CONCATENATE("Field!C",A91+2)),"")</f>
        <v>33</v>
      </c>
      <c r="D92" s="89" t="str">
        <f ca="1">IFERROR(INDIRECT(CONCATENATE("Field!D",A91+2)),"")</f>
        <v>POUNDER Esme</v>
      </c>
      <c r="E92" s="89" t="str">
        <f ca="1">IFERROR(INDIRECT(CONCATENATE("Field!E",A91+2)),"")</f>
        <v>York</v>
      </c>
      <c r="F92" s="65">
        <f ca="1">IFERROR(INDIRECT(CONCATENATE("Field!F",A91+2)),"")</f>
        <v>1.41</v>
      </c>
      <c r="G92" s="121">
        <f ca="1">IFERROR(INDIRECT(CONCATENATE("Field!G",A91+2)),"")</f>
        <v>1</v>
      </c>
      <c r="H92" s="66"/>
      <c r="I92" s="66">
        <f ca="1">IFERROR(INDIRECT(CONCATENATE("Field!I",A91+2)),"")</f>
        <v>1</v>
      </c>
      <c r="J92" s="66">
        <f ca="1">IFERROR(INDIRECT(CONCATENATE("Field!J",A91+2)),"")</f>
        <v>3</v>
      </c>
      <c r="K92" s="89" t="str">
        <f ca="1">IFERROR(INDIRECT(CONCATENATE("Field!K",A91+2)),"")</f>
        <v>CLAGUE Kathryn</v>
      </c>
      <c r="L92" s="89" t="str">
        <f ca="1">IFERROR(INDIRECT(CONCATENATE("Field!L",A91+2)),"")</f>
        <v>York</v>
      </c>
      <c r="M92" s="65">
        <f ca="1">IFERROR(INDIRECT(CONCATENATE("Field!M",A91+2)),"")</f>
        <v>1.3</v>
      </c>
      <c r="N92" s="121">
        <f ca="1">IFERROR(INDIRECT(CONCATENATE("Field!N",A91+2)),"")</f>
        <v>3</v>
      </c>
      <c r="R92" s="219">
        <f ca="1">IFERROR(INDIRECT(CONCATENATE("Field!r",A91+2)),"")</f>
        <v>1</v>
      </c>
    </row>
    <row r="93" spans="1:18" x14ac:dyDescent="0.35">
      <c r="B93" s="66">
        <f ca="1">IFERROR(INDIRECT(CONCATENATE("Field!B",A91+3)),"")</f>
        <v>2</v>
      </c>
      <c r="C93" s="66">
        <f ca="1">IFERROR(INDIRECT(CONCATENATE("Field!C",A91+3)),"")</f>
        <v>11</v>
      </c>
      <c r="D93" s="89" t="str">
        <f ca="1">IFERROR(INDIRECT(CONCATENATE("Field!D",A91+3)),"")</f>
        <v>STANILAND Charlotte</v>
      </c>
      <c r="E93" s="89" t="str">
        <f ca="1">IFERROR(INDIRECT(CONCATENATE("Field!E",A91+3)),"")</f>
        <v>C'field</v>
      </c>
      <c r="F93" s="65">
        <f ca="1">IFERROR(INDIRECT(CONCATENATE("Field!F",A91+3)),"")</f>
        <v>1.3</v>
      </c>
      <c r="G93" s="121">
        <f ca="1">IFERROR(INDIRECT(CONCATENATE("Field!G",A91+3)),"")</f>
        <v>3</v>
      </c>
      <c r="H93" s="66"/>
      <c r="I93" s="66">
        <f ca="1">IFERROR(INDIRECT(CONCATENATE("Field!I",A91+3)),"")</f>
        <v>2</v>
      </c>
      <c r="J93" s="66">
        <f ca="1">IFERROR(INDIRECT(CONCATENATE("Field!J",A91+3)),"")</f>
        <v>1</v>
      </c>
      <c r="K93" s="89" t="str">
        <f ca="1">IFERROR(INDIRECT(CONCATENATE("Field!K",A91+3)),"")</f>
        <v>HUMPHREYS Melissa</v>
      </c>
      <c r="L93" s="89" t="str">
        <f ca="1">IFERROR(INDIRECT(CONCATENATE("Field!L",A91+3)),"")</f>
        <v>C'field</v>
      </c>
      <c r="M93" s="65">
        <f ca="1">IFERROR(INDIRECT(CONCATENATE("Field!M",A91+3)),"")</f>
        <v>1.3</v>
      </c>
      <c r="N93" s="121">
        <f ca="1">IFERROR(INDIRECT(CONCATENATE("Field!N",A91+3)),"")</f>
        <v>3</v>
      </c>
    </row>
    <row r="94" spans="1:18" x14ac:dyDescent="0.35">
      <c r="B94" s="66">
        <f ca="1">IFERROR(INDIRECT(CONCATENATE("Field!B",A91+4)),"")</f>
        <v>3</v>
      </c>
      <c r="C94" s="66">
        <f ca="1">IFERROR(INDIRECT(CONCATENATE("Field!C",A91+4)),"")</f>
        <v>2</v>
      </c>
      <c r="D94" s="89" t="str">
        <f ca="1">IFERROR(INDIRECT(CONCATENATE("Field!D",A91+4)),"")</f>
        <v>ROBERTS Eve</v>
      </c>
      <c r="E94" s="89" t="str">
        <f ca="1">IFERROR(INDIRECT(CONCATENATE("Field!E",A91+4)),"")</f>
        <v>Sheff+D</v>
      </c>
      <c r="F94" s="65">
        <f ca="1">IFERROR(INDIRECT(CONCATENATE("Field!F",A91+4)),"")</f>
        <v>1.2</v>
      </c>
      <c r="G94" s="121" t="str">
        <f ca="1">IFERROR(INDIRECT(CONCATENATE("Field!G",A91+4)),"")</f>
        <v/>
      </c>
      <c r="H94" s="66"/>
      <c r="I94" s="66">
        <f ca="1">IFERROR(INDIRECT(CONCATENATE("Field!I",A91+4)),"")</f>
        <v>3</v>
      </c>
      <c r="J94" s="66">
        <f ca="1">IFERROR(INDIRECT(CONCATENATE("Field!J",A91+4)),"")</f>
        <v>22</v>
      </c>
      <c r="K94" s="89" t="str">
        <f ca="1">IFERROR(INDIRECT(CONCATENATE("Field!K",A91+4)),"")</f>
        <v>HARTLEY Eleanor</v>
      </c>
      <c r="L94" s="89" t="str">
        <f ca="1">IFERROR(INDIRECT(CONCATENATE("Field!L",A91+4)),"")</f>
        <v>Sheff+D</v>
      </c>
      <c r="M94" s="65">
        <f ca="1">IFERROR(INDIRECT(CONCATENATE("Field!M",A91+4)),"")</f>
        <v>1.2</v>
      </c>
      <c r="N94" s="121" t="str">
        <f ca="1">IFERROR(INDIRECT(CONCATENATE("Field!N",A91+4)),"")</f>
        <v/>
      </c>
    </row>
    <row r="95" spans="1:18" x14ac:dyDescent="0.35">
      <c r="B95" s="66" t="str">
        <f ca="1">IFERROR(INDIRECT(CONCATENATE("Field!B",A91+5)),"")</f>
        <v/>
      </c>
      <c r="C95" s="66" t="str">
        <f ca="1">IFERROR(INDIRECT(CONCATENATE("Field!C",A91+5)),"")</f>
        <v/>
      </c>
      <c r="D95" s="89" t="str">
        <f ca="1">IFERROR(INDIRECT(CONCATENATE("Field!D",A91+5)),"")</f>
        <v/>
      </c>
      <c r="E95" s="89" t="str">
        <f ca="1">IFERROR(INDIRECT(CONCATENATE("Field!E",A91+5)),"")</f>
        <v/>
      </c>
      <c r="F95" s="65">
        <f ca="1">IFERROR(INDIRECT(CONCATENATE("Field!F",A91+5)),"")</f>
        <v>0</v>
      </c>
      <c r="G95" s="121" t="str">
        <f ca="1">IFERROR(INDIRECT(CONCATENATE("Field!G",A91+5)),"")</f>
        <v/>
      </c>
      <c r="H95" s="66"/>
      <c r="I95" s="66" t="str">
        <f ca="1">IFERROR(INDIRECT(CONCATENATE("Field!I",A91+5)),"")</f>
        <v/>
      </c>
      <c r="J95" s="66" t="str">
        <f ca="1">IFERROR(INDIRECT(CONCATENATE("Field!J",A91+5)),"")</f>
        <v/>
      </c>
      <c r="K95" s="89" t="str">
        <f ca="1">IFERROR(INDIRECT(CONCATENATE("Field!K",A91+5)),"")</f>
        <v/>
      </c>
      <c r="L95" s="89" t="str">
        <f ca="1">IFERROR(INDIRECT(CONCATENATE("Field!L",A91+5)),"")</f>
        <v/>
      </c>
      <c r="M95" s="65">
        <f ca="1">IFERROR(INDIRECT(CONCATENATE("Field!M",A91+5)),"")</f>
        <v>0</v>
      </c>
      <c r="N95" s="121" t="str">
        <f ca="1">IFERROR(INDIRECT(CONCATENATE("Field!N",A91+5)),"")</f>
        <v/>
      </c>
    </row>
    <row r="96" spans="1:18" x14ac:dyDescent="0.35">
      <c r="B96" s="66" t="str">
        <f ca="1">IFERROR(INDIRECT(CONCATENATE("Field!B",A91+6)),"")</f>
        <v/>
      </c>
      <c r="C96" s="66" t="str">
        <f ca="1">IFERROR(INDIRECT(CONCATENATE("Field!C",A91+6)),"")</f>
        <v/>
      </c>
      <c r="D96" s="89" t="str">
        <f ca="1">IFERROR(INDIRECT(CONCATENATE("Field!D",A91+6)),"")</f>
        <v/>
      </c>
      <c r="E96" s="89" t="str">
        <f ca="1">IFERROR(INDIRECT(CONCATENATE("Field!E",A91+6)),"")</f>
        <v/>
      </c>
      <c r="F96" s="65">
        <f ca="1">IFERROR(INDIRECT(CONCATENATE("Field!F",A91+6)),"")</f>
        <v>0</v>
      </c>
      <c r="G96" s="121" t="str">
        <f ca="1">IFERROR(INDIRECT(CONCATENATE("Field!G",A91+6)),"")</f>
        <v/>
      </c>
      <c r="H96" s="66"/>
      <c r="I96" s="66" t="str">
        <f ca="1">IFERROR(INDIRECT(CONCATENATE("Field!I",A91+6)),"")</f>
        <v/>
      </c>
      <c r="J96" s="66" t="str">
        <f ca="1">IFERROR(INDIRECT(CONCATENATE("Field!J",A91+6)),"")</f>
        <v/>
      </c>
      <c r="K96" s="89" t="str">
        <f ca="1">IFERROR(INDIRECT(CONCATENATE("Field!K",A91+6)),"")</f>
        <v/>
      </c>
      <c r="L96" s="89" t="str">
        <f ca="1">IFERROR(INDIRECT(CONCATENATE("Field!L",A91+6)),"")</f>
        <v/>
      </c>
      <c r="M96" s="65">
        <f ca="1">IFERROR(INDIRECT(CONCATENATE("Field!M",A91+6)),"")</f>
        <v>0</v>
      </c>
      <c r="N96" s="121" t="str">
        <f ca="1">IFERROR(INDIRECT(CONCATENATE("Field!N",A91+6)),"")</f>
        <v/>
      </c>
    </row>
    <row r="97" spans="1:18" x14ac:dyDescent="0.35">
      <c r="B97" s="66" t="str">
        <f ca="1">IFERROR(INDIRECT(CONCATENATE("Field!B",A91+7)),"")</f>
        <v/>
      </c>
      <c r="C97" s="66" t="str">
        <f ca="1">IFERROR(INDIRECT(CONCATENATE("Field!C",A91+7)),"")</f>
        <v/>
      </c>
      <c r="D97" s="89" t="str">
        <f ca="1">IFERROR(INDIRECT(CONCATENATE("Field!D",A91+7)),"")</f>
        <v/>
      </c>
      <c r="E97" s="89" t="str">
        <f ca="1">IFERROR(INDIRECT(CONCATENATE("Field!E",A91+7)),"")</f>
        <v/>
      </c>
      <c r="F97" s="65">
        <f ca="1">IFERROR(INDIRECT(CONCATENATE("Field!F",A91+7)),"")</f>
        <v>0</v>
      </c>
      <c r="G97" s="121" t="str">
        <f ca="1">IFERROR(INDIRECT(CONCATENATE("Field!G",A91+7)),"")</f>
        <v/>
      </c>
      <c r="H97" s="66"/>
      <c r="I97" s="66" t="str">
        <f ca="1">IFERROR(INDIRECT(CONCATENATE("Field!I",A91+7)),"")</f>
        <v/>
      </c>
      <c r="J97" s="66" t="str">
        <f ca="1">IFERROR(INDIRECT(CONCATENATE("Field!J",A91+7)),"")</f>
        <v/>
      </c>
      <c r="K97" s="89" t="str">
        <f ca="1">IFERROR(INDIRECT(CONCATENATE("Field!K",A91+7)),"")</f>
        <v/>
      </c>
      <c r="L97" s="89" t="str">
        <f ca="1">IFERROR(INDIRECT(CONCATENATE("Field!L",A91+7)),"")</f>
        <v/>
      </c>
      <c r="M97" s="65">
        <f ca="1">IFERROR(INDIRECT(CONCATENATE("Field!M",A91+7)),"")</f>
        <v>0</v>
      </c>
      <c r="N97" s="121" t="str">
        <f ca="1">IFERROR(INDIRECT(CONCATENATE("Field!N",A91+7)),"")</f>
        <v/>
      </c>
    </row>
    <row r="98" spans="1:18" x14ac:dyDescent="0.35">
      <c r="B98" s="66" t="str">
        <f ca="1">IFERROR(INDIRECT(CONCATENATE("Field!B",A91+8)),"")</f>
        <v/>
      </c>
      <c r="C98" s="66" t="str">
        <f ca="1">IFERROR(INDIRECT(CONCATENATE("Field!C",A91+8)),"")</f>
        <v/>
      </c>
      <c r="D98" s="89" t="str">
        <f ca="1">IFERROR(INDIRECT(CONCATENATE("Field!D",A91+8)),"")</f>
        <v/>
      </c>
      <c r="E98" s="89" t="str">
        <f ca="1">IFERROR(INDIRECT(CONCATENATE("Field!E",A91+8)),"")</f>
        <v/>
      </c>
      <c r="F98" s="65">
        <f ca="1">IFERROR(INDIRECT(CONCATENATE("Field!F",A91+8)),"")</f>
        <v>0</v>
      </c>
      <c r="G98" s="121" t="str">
        <f ca="1">IFERROR(INDIRECT(CONCATENATE("Field!G",A91+8)),"")</f>
        <v/>
      </c>
      <c r="H98" s="66"/>
      <c r="I98" s="66" t="str">
        <f ca="1">IFERROR(INDIRECT(CONCATENATE("Field!I",A91+8)),"")</f>
        <v/>
      </c>
      <c r="J98" s="66" t="str">
        <f ca="1">IFERROR(INDIRECT(CONCATENATE("Field!J",A91+8)),"")</f>
        <v/>
      </c>
      <c r="K98" s="89" t="str">
        <f ca="1">IFERROR(INDIRECT(CONCATENATE("Field!K",A91+8)),"")</f>
        <v/>
      </c>
      <c r="L98" s="89" t="str">
        <f ca="1">IFERROR(INDIRECT(CONCATENATE("Field!L",A91+8)),"")</f>
        <v/>
      </c>
      <c r="M98" s="65">
        <f ca="1">IFERROR(INDIRECT(CONCATENATE("Field!M",A91+8)),"")</f>
        <v>0</v>
      </c>
      <c r="N98" s="121" t="str">
        <f ca="1">IFERROR(INDIRECT(CONCATENATE("Field!N",A91+8)),"")</f>
        <v/>
      </c>
    </row>
    <row r="99" spans="1:18" x14ac:dyDescent="0.35">
      <c r="B99" s="66" t="str">
        <f ca="1">IFERROR(INDIRECT(CONCATENATE("Field!B",A91+9)),"")</f>
        <v/>
      </c>
      <c r="C99" s="66" t="str">
        <f ca="1">IFERROR(INDIRECT(CONCATENATE("Field!C",A91+9)),"")</f>
        <v/>
      </c>
      <c r="D99" s="89" t="str">
        <f ca="1">IFERROR(INDIRECT(CONCATENATE("Field!D",A91+9)),"")</f>
        <v/>
      </c>
      <c r="E99" s="89" t="str">
        <f ca="1">IFERROR(INDIRECT(CONCATENATE("Field!E",A91+9)),"")</f>
        <v/>
      </c>
      <c r="F99" s="65">
        <f ca="1">IFERROR(INDIRECT(CONCATENATE("Field!F",A91+9)),"")</f>
        <v>0</v>
      </c>
      <c r="G99" s="121" t="str">
        <f ca="1">IFERROR(INDIRECT(CONCATENATE("Field!G",A91+9)),"")</f>
        <v/>
      </c>
      <c r="H99" s="66"/>
      <c r="I99" s="66" t="str">
        <f ca="1">IFERROR(INDIRECT(CONCATENATE("Field!I",A91+9)),"")</f>
        <v/>
      </c>
      <c r="J99" s="66" t="str">
        <f ca="1">IFERROR(INDIRECT(CONCATENATE("Field!J",A91+9)),"")</f>
        <v/>
      </c>
      <c r="K99" s="89" t="str">
        <f ca="1">IFERROR(INDIRECT(CONCATENATE("Field!K",A91+9)),"")</f>
        <v/>
      </c>
      <c r="L99" s="89" t="str">
        <f ca="1">IFERROR(INDIRECT(CONCATENATE("Field!L",A91+9)),"")</f>
        <v/>
      </c>
      <c r="M99" s="65">
        <f ca="1">IFERROR(INDIRECT(CONCATENATE("Field!M",A91+9)),"")</f>
        <v>0</v>
      </c>
      <c r="N99" s="121" t="str">
        <f ca="1">IFERROR(INDIRECT(CONCATENATE("Field!N",A91+9)),"")</f>
        <v/>
      </c>
    </row>
    <row r="100" spans="1:18" x14ac:dyDescent="0.35">
      <c r="F100" s="67"/>
      <c r="M100" s="67"/>
    </row>
    <row r="101" spans="1:18" x14ac:dyDescent="0.35">
      <c r="A101" s="66" t="s">
        <v>236</v>
      </c>
      <c r="B101" s="115" t="str">
        <f ca="1">IFERROR(INDIRECT(CONCATENATE("Field!B",A102)),"")</f>
        <v>Shot U13 Girls A</v>
      </c>
      <c r="F101" s="67"/>
      <c r="G101" s="121" t="str">
        <f ca="1">IFERROR(INDIRECT(CONCATENATE("Field!g",A102)),"")</f>
        <v/>
      </c>
      <c r="I101" s="115" t="str">
        <f ca="1">IFERROR(INDIRECT(CONCATENATE("Field!I",A102)),"")</f>
        <v>Shot U13 Girls B</v>
      </c>
      <c r="M101" s="67"/>
    </row>
    <row r="102" spans="1:18" x14ac:dyDescent="0.35">
      <c r="A102" s="66">
        <f>IFERROR(MATCH(A101,Field!A:A,0),"")</f>
        <v>24</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row>
    <row r="103" spans="1:18" x14ac:dyDescent="0.35">
      <c r="B103" s="66">
        <f ca="1">IFERROR(INDIRECT(CONCATENATE("Field!B",A102+2)),"")</f>
        <v>1</v>
      </c>
      <c r="C103" s="66">
        <f ca="1">IFERROR(INDIRECT(CONCATENATE("Field!C",A102+2)),"")</f>
        <v>3</v>
      </c>
      <c r="D103" s="89" t="str">
        <f ca="1">IFERROR(INDIRECT(CONCATENATE("Field!D",A102+2)),"")</f>
        <v>CLAGUE Kathryn</v>
      </c>
      <c r="E103" s="89" t="str">
        <f ca="1">IFERROR(INDIRECT(CONCATENATE("Field!E",A102+2)),"")</f>
        <v>York</v>
      </c>
      <c r="F103" s="65">
        <f ca="1">IFERROR(INDIRECT(CONCATENATE("Field!F",A102+2)),"")</f>
        <v>8.7899999999999991</v>
      </c>
      <c r="G103" s="121">
        <f ca="1">IFERROR(INDIRECT(CONCATENATE("Field!G",A102+2)),"")</f>
        <v>1</v>
      </c>
      <c r="H103" s="66"/>
      <c r="I103" s="66">
        <f ca="1">IFERROR(INDIRECT(CONCATENATE("Field!I",A102+2)),"")</f>
        <v>1</v>
      </c>
      <c r="J103" s="66">
        <f ca="1">IFERROR(INDIRECT(CONCATENATE("Field!J",A102+2)),"")</f>
        <v>33</v>
      </c>
      <c r="K103" s="89" t="str">
        <f ca="1">IFERROR(INDIRECT(CONCATENATE("Field!K",A102+2)),"")</f>
        <v>WRIGHT Ella</v>
      </c>
      <c r="L103" s="89" t="str">
        <f ca="1">IFERROR(INDIRECT(CONCATENATE("Field!L",A102+2)),"")</f>
        <v>York</v>
      </c>
      <c r="M103" s="65">
        <f ca="1">IFERROR(INDIRECT(CONCATENATE("Field!M",A102+2)),"")</f>
        <v>7.51</v>
      </c>
      <c r="N103" s="121">
        <f ca="1">IFERROR(INDIRECT(CONCATENATE("Field!N",A102+2)),"")</f>
        <v>3</v>
      </c>
      <c r="R103" s="219">
        <f ca="1">IFERROR(INDIRECT(CONCATENATE("Field!r",A102+2)),"")</f>
        <v>1</v>
      </c>
    </row>
    <row r="104" spans="1:18" x14ac:dyDescent="0.35">
      <c r="B104" s="66">
        <f ca="1">IFERROR(INDIRECT(CONCATENATE("Field!B",A102+3)),"")</f>
        <v>2</v>
      </c>
      <c r="C104" s="66">
        <f ca="1">IFERROR(INDIRECT(CONCATENATE("Field!C",A102+3)),"")</f>
        <v>1</v>
      </c>
      <c r="D104" s="89" t="str">
        <f ca="1">IFERROR(INDIRECT(CONCATENATE("Field!D",A102+3)),"")</f>
        <v>FELLOWS Isabelle</v>
      </c>
      <c r="E104" s="89" t="str">
        <f ca="1">IFERROR(INDIRECT(CONCATENATE("Field!E",A102+3)),"")</f>
        <v>C'field</v>
      </c>
      <c r="F104" s="65">
        <f ca="1">IFERROR(INDIRECT(CONCATENATE("Field!F",A102+3)),"")</f>
        <v>7.75</v>
      </c>
      <c r="G104" s="121">
        <f ca="1">IFERROR(INDIRECT(CONCATENATE("Field!G",A102+3)),"")</f>
        <v>3</v>
      </c>
      <c r="H104" s="66"/>
      <c r="I104" s="66">
        <f ca="1">IFERROR(INDIRECT(CONCATENATE("Field!I",A102+3)),"")</f>
        <v>2</v>
      </c>
      <c r="J104" s="66">
        <f ca="1">IFERROR(INDIRECT(CONCATENATE("Field!J",A102+3)),"")</f>
        <v>11</v>
      </c>
      <c r="K104" s="89" t="str">
        <f ca="1">IFERROR(INDIRECT(CONCATENATE("Field!K",A102+3)),"")</f>
        <v>HALL Lottie</v>
      </c>
      <c r="L104" s="89" t="str">
        <f ca="1">IFERROR(INDIRECT(CONCATENATE("Field!L",A102+3)),"")</f>
        <v>C'field</v>
      </c>
      <c r="M104" s="65">
        <f ca="1">IFERROR(INDIRECT(CONCATENATE("Field!M",A102+3)),"")</f>
        <v>6.9</v>
      </c>
      <c r="N104" s="121">
        <f ca="1">IFERROR(INDIRECT(CONCATENATE("Field!N",A102+3)),"")</f>
        <v>4</v>
      </c>
    </row>
    <row r="105" spans="1:18" x14ac:dyDescent="0.35">
      <c r="B105" s="66">
        <f ca="1">IFERROR(INDIRECT(CONCATENATE("Field!B",A102+4)),"")</f>
        <v>3</v>
      </c>
      <c r="C105" s="66">
        <f ca="1">IFERROR(INDIRECT(CONCATENATE("Field!C",A102+4)),"")</f>
        <v>4</v>
      </c>
      <c r="D105" s="89" t="str">
        <f ca="1">IFERROR(INDIRECT(CONCATENATE("Field!D",A102+4)),"")</f>
        <v>SEDGWICK Emma</v>
      </c>
      <c r="E105" s="89" t="str">
        <f ca="1">IFERROR(INDIRECT(CONCATENATE("Field!E",A102+4)),"")</f>
        <v>M'bro</v>
      </c>
      <c r="F105" s="65">
        <f ca="1">IFERROR(INDIRECT(CONCATENATE("Field!F",A102+4)),"")</f>
        <v>6.25</v>
      </c>
      <c r="G105" s="121" t="str">
        <f ca="1">IFERROR(INDIRECT(CONCATENATE("Field!G",A102+4)),"")</f>
        <v/>
      </c>
      <c r="H105" s="66"/>
      <c r="I105" s="66">
        <f ca="1">IFERROR(INDIRECT(CONCATENATE("Field!I",A102+4)),"")</f>
        <v>3</v>
      </c>
      <c r="J105" s="66">
        <f ca="1">IFERROR(INDIRECT(CONCATENATE("Field!J",A102+4)),"")</f>
        <v>55</v>
      </c>
      <c r="K105" s="89" t="str">
        <f ca="1">IFERROR(INDIRECT(CONCATENATE("Field!K",A102+4)),"")</f>
        <v>CRESSEY Evie</v>
      </c>
      <c r="L105" s="89" t="str">
        <f ca="1">IFERROR(INDIRECT(CONCATENATE("Field!L",A102+4)),"")</f>
        <v>Scun</v>
      </c>
      <c r="M105" s="65">
        <f ca="1">IFERROR(INDIRECT(CONCATENATE("Field!M",A102+4)),"")</f>
        <v>4.7300000000000004</v>
      </c>
      <c r="N105" s="121" t="str">
        <f ca="1">IFERROR(INDIRECT(CONCATENATE("Field!N",A102+4)),"")</f>
        <v/>
      </c>
    </row>
    <row r="106" spans="1:18" x14ac:dyDescent="0.35">
      <c r="B106" s="66">
        <f ca="1">IFERROR(INDIRECT(CONCATENATE("Field!B",A102+5)),"")</f>
        <v>4</v>
      </c>
      <c r="C106" s="66">
        <f ca="1">IFERROR(INDIRECT(CONCATENATE("Field!C",A102+5)),"")</f>
        <v>5</v>
      </c>
      <c r="D106" s="89" t="str">
        <f ca="1">IFERROR(INDIRECT(CONCATENATE("Field!D",A102+5)),"")</f>
        <v>HAYES Zara</v>
      </c>
      <c r="E106" s="89" t="str">
        <f ca="1">IFERROR(INDIRECT(CONCATENATE("Field!E",A102+5)),"")</f>
        <v>Scun</v>
      </c>
      <c r="F106" s="65">
        <f ca="1">IFERROR(INDIRECT(CONCATENATE("Field!F",A102+5)),"")</f>
        <v>5.65</v>
      </c>
      <c r="G106" s="121" t="str">
        <f ca="1">IFERROR(INDIRECT(CONCATENATE("Field!G",A102+5)),"")</f>
        <v/>
      </c>
      <c r="H106" s="66"/>
      <c r="I106" s="66">
        <f ca="1">IFERROR(INDIRECT(CONCATENATE("Field!I",A102+5)),"")</f>
        <v>4</v>
      </c>
      <c r="J106" s="66" t="str">
        <f ca="1">IFERROR(INDIRECT(CONCATENATE("Field!J",A102+5)),"")</f>
        <v/>
      </c>
      <c r="K106" s="89" t="str">
        <f ca="1">IFERROR(INDIRECT(CONCATENATE("Field!K",A102+5)),"")</f>
        <v/>
      </c>
      <c r="L106" s="89" t="str">
        <f ca="1">IFERROR(INDIRECT(CONCATENATE("Field!L",A102+5)),"")</f>
        <v/>
      </c>
      <c r="M106" s="65" t="str">
        <f ca="1">IFERROR(INDIRECT(CONCATENATE("Field!M",A102+5)),"")</f>
        <v/>
      </c>
      <c r="N106" s="121" t="str">
        <f ca="1">IFERROR(INDIRECT(CONCATENATE("Field!N",A102+5)),"")</f>
        <v/>
      </c>
    </row>
    <row r="107" spans="1:18" x14ac:dyDescent="0.35">
      <c r="B107" s="66">
        <f ca="1">IFERROR(INDIRECT(CONCATENATE("Field!B",A102+6)),"")</f>
        <v>5</v>
      </c>
      <c r="C107" s="66">
        <f ca="1">IFERROR(INDIRECT(CONCATENATE("Field!C",A102+6)),"")</f>
        <v>22</v>
      </c>
      <c r="D107" s="89" t="str">
        <f ca="1">IFERROR(INDIRECT(CONCATENATE("Field!D",A102+6)),"")</f>
        <v>SCOTT Violet</v>
      </c>
      <c r="E107" s="89" t="str">
        <f ca="1">IFERROR(INDIRECT(CONCATENATE("Field!E",A102+6)),"")</f>
        <v>Sheff+D</v>
      </c>
      <c r="F107" s="65">
        <f ca="1">IFERROR(INDIRECT(CONCATENATE("Field!F",A102+6)),"")</f>
        <v>3.59</v>
      </c>
      <c r="G107" s="121" t="str">
        <f ca="1">IFERROR(INDIRECT(CONCATENATE("Field!G",A102+6)),"")</f>
        <v/>
      </c>
      <c r="H107" s="66"/>
      <c r="I107" s="66">
        <f ca="1">IFERROR(INDIRECT(CONCATENATE("Field!I",A102+6)),"")</f>
        <v>5</v>
      </c>
      <c r="J107" s="66" t="str">
        <f ca="1">IFERROR(INDIRECT(CONCATENATE("Field!J",A102+6)),"")</f>
        <v/>
      </c>
      <c r="K107" s="89" t="str">
        <f ca="1">IFERROR(INDIRECT(CONCATENATE("Field!K",A102+6)),"")</f>
        <v/>
      </c>
      <c r="L107" s="89" t="str">
        <f ca="1">IFERROR(INDIRECT(CONCATENATE("Field!L",A102+6)),"")</f>
        <v/>
      </c>
      <c r="M107" s="65" t="str">
        <f ca="1">IFERROR(INDIRECT(CONCATENATE("Field!M",A102+6)),"")</f>
        <v/>
      </c>
      <c r="N107" s="121" t="str">
        <f ca="1">IFERROR(INDIRECT(CONCATENATE("Field!N",A102+6)),"")</f>
        <v/>
      </c>
    </row>
    <row r="108" spans="1:18" x14ac:dyDescent="0.35">
      <c r="B108" s="66">
        <f ca="1">IFERROR(INDIRECT(CONCATENATE("Field!B",A102+7)),"")</f>
        <v>6</v>
      </c>
      <c r="C108" s="66" t="str">
        <f ca="1">IFERROR(INDIRECT(CONCATENATE("Field!C",A102+7)),"")</f>
        <v/>
      </c>
      <c r="D108" s="89" t="str">
        <f ca="1">IFERROR(INDIRECT(CONCATENATE("Field!D",A102+7)),"")</f>
        <v/>
      </c>
      <c r="E108" s="89" t="str">
        <f ca="1">IFERROR(INDIRECT(CONCATENATE("Field!E",A102+7)),"")</f>
        <v/>
      </c>
      <c r="F108" s="65" t="str">
        <f ca="1">IFERROR(INDIRECT(CONCATENATE("Field!F",A102+7)),"")</f>
        <v/>
      </c>
      <c r="G108" s="121" t="str">
        <f ca="1">IFERROR(INDIRECT(CONCATENATE("Field!G",A102+7)),"")</f>
        <v/>
      </c>
      <c r="H108" s="66"/>
      <c r="I108" s="66">
        <f ca="1">IFERROR(INDIRECT(CONCATENATE("Field!I",A102+7)),"")</f>
        <v>6</v>
      </c>
      <c r="J108" s="66" t="str">
        <f ca="1">IFERROR(INDIRECT(CONCATENATE("Field!J",A102+7)),"")</f>
        <v/>
      </c>
      <c r="K108" s="89" t="str">
        <f ca="1">IFERROR(INDIRECT(CONCATENATE("Field!K",A102+7)),"")</f>
        <v/>
      </c>
      <c r="L108" s="89" t="str">
        <f ca="1">IFERROR(INDIRECT(CONCATENATE("Field!L",A102+7)),"")</f>
        <v/>
      </c>
      <c r="M108" s="65" t="str">
        <f ca="1">IFERROR(INDIRECT(CONCATENATE("Field!M",A102+7)),"")</f>
        <v/>
      </c>
      <c r="N108" s="121" t="str">
        <f ca="1">IFERROR(INDIRECT(CONCATENATE("Field!N",A102+7)),"")</f>
        <v/>
      </c>
    </row>
    <row r="109" spans="1:18" x14ac:dyDescent="0.35">
      <c r="B109" s="66">
        <f ca="1">IFERROR(INDIRECT(CONCATENATE("Field!B",A102+8)),"")</f>
        <v>7</v>
      </c>
      <c r="C109" s="66" t="str">
        <f ca="1">IFERROR(INDIRECT(CONCATENATE("Field!C",A102+8)),"")</f>
        <v/>
      </c>
      <c r="D109" s="89" t="str">
        <f ca="1">IFERROR(INDIRECT(CONCATENATE("Field!D",A102+8)),"")</f>
        <v/>
      </c>
      <c r="E109" s="89" t="str">
        <f ca="1">IFERROR(INDIRECT(CONCATENATE("Field!E",A102+8)),"")</f>
        <v/>
      </c>
      <c r="F109" s="65" t="str">
        <f ca="1">IFERROR(INDIRECT(CONCATENATE("Field!F",A102+8)),"")</f>
        <v/>
      </c>
      <c r="G109" s="121" t="str">
        <f ca="1">IFERROR(INDIRECT(CONCATENATE("Field!G",A102+8)),"")</f>
        <v/>
      </c>
      <c r="H109" s="66"/>
      <c r="I109" s="66">
        <f ca="1">IFERROR(INDIRECT(CONCATENATE("Field!I",A102+8)),"")</f>
        <v>7</v>
      </c>
      <c r="J109" s="66" t="str">
        <f ca="1">IFERROR(INDIRECT(CONCATENATE("Field!J",A102+8)),"")</f>
        <v/>
      </c>
      <c r="K109" s="89" t="str">
        <f ca="1">IFERROR(INDIRECT(CONCATENATE("Field!K",A102+8)),"")</f>
        <v/>
      </c>
      <c r="L109" s="89" t="str">
        <f ca="1">IFERROR(INDIRECT(CONCATENATE("Field!L",A102+8)),"")</f>
        <v/>
      </c>
      <c r="M109" s="65" t="str">
        <f ca="1">IFERROR(INDIRECT(CONCATENATE("Field!M",A102+8)),"")</f>
        <v/>
      </c>
      <c r="N109" s="121" t="str">
        <f ca="1">IFERROR(INDIRECT(CONCATENATE("Field!N",A102+8)),"")</f>
        <v/>
      </c>
    </row>
    <row r="110" spans="1:18" x14ac:dyDescent="0.35">
      <c r="B110" s="66">
        <f ca="1">IFERROR(INDIRECT(CONCATENATE("Field!B",A102+9)),"")</f>
        <v>8</v>
      </c>
      <c r="C110" s="66" t="str">
        <f ca="1">IFERROR(INDIRECT(CONCATENATE("Field!C",A102+9)),"")</f>
        <v/>
      </c>
      <c r="D110" s="89" t="str">
        <f ca="1">IFERROR(INDIRECT(CONCATENATE("Field!D",A102+9)),"")</f>
        <v/>
      </c>
      <c r="E110" s="89" t="str">
        <f ca="1">IFERROR(INDIRECT(CONCATENATE("Field!E",A102+9)),"")</f>
        <v/>
      </c>
      <c r="F110" s="65" t="str">
        <f ca="1">IFERROR(INDIRECT(CONCATENATE("Field!F",A102+9)),"")</f>
        <v/>
      </c>
      <c r="G110" s="121" t="str">
        <f ca="1">IFERROR(INDIRECT(CONCATENATE("Field!G",A102+9)),"")</f>
        <v/>
      </c>
      <c r="H110" s="66"/>
      <c r="I110" s="66">
        <f ca="1">IFERROR(INDIRECT(CONCATENATE("Field!I",A102+9)),"")</f>
        <v>8</v>
      </c>
      <c r="J110" s="66" t="str">
        <f ca="1">IFERROR(INDIRECT(CONCATENATE("Field!J",A102+9)),"")</f>
        <v/>
      </c>
      <c r="K110" s="89" t="str">
        <f ca="1">IFERROR(INDIRECT(CONCATENATE("Field!K",A102+9)),"")</f>
        <v/>
      </c>
      <c r="L110" s="89" t="str">
        <f ca="1">IFERROR(INDIRECT(CONCATENATE("Field!L",A102+9)),"")</f>
        <v/>
      </c>
      <c r="M110" s="65" t="str">
        <f ca="1">IFERROR(INDIRECT(CONCATENATE("Field!M",A102+9)),"")</f>
        <v/>
      </c>
      <c r="N110" s="121" t="str">
        <f ca="1">IFERROR(INDIRECT(CONCATENATE("Field!N",A102+9)),"")</f>
        <v/>
      </c>
    </row>
    <row r="111" spans="1:18" x14ac:dyDescent="0.35">
      <c r="F111" s="67"/>
      <c r="M111" s="67"/>
    </row>
    <row r="112" spans="1:18" x14ac:dyDescent="0.35">
      <c r="A112" s="66" t="s">
        <v>248</v>
      </c>
      <c r="B112" s="115" t="str">
        <f ca="1">IFERROR(INDIRECT(CONCATENATE("Field!B",A113)),"")</f>
        <v>Javelin U13 Girls A</v>
      </c>
      <c r="F112" s="67"/>
      <c r="G112" s="121" t="str">
        <f ca="1">IFERROR(INDIRECT(CONCATENATE("Field!g",A113)),"")</f>
        <v/>
      </c>
      <c r="I112" s="115" t="str">
        <f ca="1">IFERROR(INDIRECT(CONCATENATE("Field!I",A113)),"")</f>
        <v>Javelin U13 Girls B</v>
      </c>
      <c r="M112" s="67"/>
    </row>
    <row r="113" spans="1:18" x14ac:dyDescent="0.35">
      <c r="A113" s="66">
        <f>IFERROR(MATCH(A112,Field!A:A,0),"")</f>
        <v>123</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row>
    <row r="114" spans="1:18" x14ac:dyDescent="0.35">
      <c r="B114" s="66">
        <f ca="1">IFERROR(INDIRECT(CONCATENATE("Field!B",A113+2)),"")</f>
        <v>1</v>
      </c>
      <c r="C114" s="66">
        <f ca="1">IFERROR(INDIRECT(CONCATENATE("Field!C",A113+2)),"")</f>
        <v>1</v>
      </c>
      <c r="D114" s="89" t="str">
        <f ca="1">IFERROR(INDIRECT(CONCATENATE("Field!D",A113+2)),"")</f>
        <v>FELLOWS Isabelle</v>
      </c>
      <c r="E114" s="89" t="str">
        <f ca="1">IFERROR(INDIRECT(CONCATENATE("Field!E",A113+2)),"")</f>
        <v>C'field</v>
      </c>
      <c r="F114" s="65">
        <f ca="1">IFERROR(INDIRECT(CONCATENATE("Field!F",A113+2)),"")</f>
        <v>29.04</v>
      </c>
      <c r="G114" s="121">
        <f ca="1">IFERROR(INDIRECT(CONCATENATE("Field!G",A113+2)),"")</f>
        <v>1</v>
      </c>
      <c r="H114" s="66"/>
      <c r="I114" s="66">
        <f ca="1">IFERROR(INDIRECT(CONCATENATE("Field!I",A113+2)),"")</f>
        <v>1</v>
      </c>
      <c r="J114" s="66">
        <f ca="1">IFERROR(INDIRECT(CONCATENATE("Field!J",A113+2)),"")</f>
        <v>11</v>
      </c>
      <c r="K114" s="89" t="str">
        <f ca="1">IFERROR(INDIRECT(CONCATENATE("Field!K",A113+2)),"")</f>
        <v>HALL Lottie</v>
      </c>
      <c r="L114" s="89" t="str">
        <f ca="1">IFERROR(INDIRECT(CONCATENATE("Field!L",A113+2)),"")</f>
        <v>C'field</v>
      </c>
      <c r="M114" s="65">
        <f ca="1">IFERROR(INDIRECT(CONCATENATE("Field!M",A113+2)),"")</f>
        <v>28.98</v>
      </c>
      <c r="N114" s="121">
        <f ca="1">IFERROR(INDIRECT(CONCATENATE("Field!N",A113+2)),"")</f>
        <v>1</v>
      </c>
      <c r="R114" s="219">
        <f ca="1">IFERROR(INDIRECT(CONCATENATE("Field!r",A113+2)),"")</f>
        <v>1</v>
      </c>
    </row>
    <row r="115" spans="1:18" x14ac:dyDescent="0.35">
      <c r="B115" s="66">
        <f ca="1">IFERROR(INDIRECT(CONCATENATE("Field!B",A113+3)),"")</f>
        <v>2</v>
      </c>
      <c r="C115" s="66">
        <f ca="1">IFERROR(INDIRECT(CONCATENATE("Field!C",A113+3)),"")</f>
        <v>3</v>
      </c>
      <c r="D115" s="89" t="str">
        <f ca="1">IFERROR(INDIRECT(CONCATENATE("Field!D",A113+3)),"")</f>
        <v>CLAGUE Kathryn</v>
      </c>
      <c r="E115" s="89" t="str">
        <f ca="1">IFERROR(INDIRECT(CONCATENATE("Field!E",A113+3)),"")</f>
        <v>York</v>
      </c>
      <c r="F115" s="65">
        <f ca="1">IFERROR(INDIRECT(CONCATENATE("Field!F",A113+3)),"")</f>
        <v>24.68</v>
      </c>
      <c r="G115" s="121">
        <f ca="1">IFERROR(INDIRECT(CONCATENATE("Field!G",A113+3)),"")</f>
        <v>2</v>
      </c>
      <c r="H115" s="66"/>
      <c r="I115" s="66">
        <f ca="1">IFERROR(INDIRECT(CONCATENATE("Field!I",A113+3)),"")</f>
        <v>2</v>
      </c>
      <c r="J115" s="66">
        <f ca="1">IFERROR(INDIRECT(CONCATENATE("Field!J",A113+3)),"")</f>
        <v>33</v>
      </c>
      <c r="K115" s="89" t="str">
        <f ca="1">IFERROR(INDIRECT(CONCATENATE("Field!K",A113+3)),"")</f>
        <v>WRIGHT Ella</v>
      </c>
      <c r="L115" s="89" t="str">
        <f ca="1">IFERROR(INDIRECT(CONCATENATE("Field!L",A113+3)),"")</f>
        <v>York</v>
      </c>
      <c r="M115" s="65">
        <f ca="1">IFERROR(INDIRECT(CONCATENATE("Field!M",A113+3)),"")</f>
        <v>10.85</v>
      </c>
      <c r="N115" s="121" t="str">
        <f ca="1">IFERROR(INDIRECT(CONCATENATE("Field!N",A113+3)),"")</f>
        <v/>
      </c>
    </row>
    <row r="116" spans="1:18" x14ac:dyDescent="0.35">
      <c r="B116" s="66">
        <f ca="1">IFERROR(INDIRECT(CONCATENATE("Field!B",A113+4)),"")</f>
        <v>3</v>
      </c>
      <c r="C116" s="66">
        <f ca="1">IFERROR(INDIRECT(CONCATENATE("Field!C",A113+4)),"")</f>
        <v>2</v>
      </c>
      <c r="D116" s="89" t="str">
        <f ca="1">IFERROR(INDIRECT(CONCATENATE("Field!D",A113+4)),"")</f>
        <v>ROBERTS Eve</v>
      </c>
      <c r="E116" s="89" t="str">
        <f ca="1">IFERROR(INDIRECT(CONCATENATE("Field!E",A113+4)),"")</f>
        <v>Sheff+D</v>
      </c>
      <c r="F116" s="65">
        <f ca="1">IFERROR(INDIRECT(CONCATENATE("Field!F",A113+4)),"")</f>
        <v>13.37</v>
      </c>
      <c r="G116" s="121" t="str">
        <f ca="1">IFERROR(INDIRECT(CONCATENATE("Field!G",A113+4)),"")</f>
        <v/>
      </c>
      <c r="H116" s="66"/>
      <c r="I116" s="66">
        <f ca="1">IFERROR(INDIRECT(CONCATENATE("Field!I",A113+4)),"")</f>
        <v>3</v>
      </c>
      <c r="J116" s="66" t="str">
        <f ca="1">IFERROR(INDIRECT(CONCATENATE("Field!J",A113+4)),"")</f>
        <v/>
      </c>
      <c r="K116" s="89" t="str">
        <f ca="1">IFERROR(INDIRECT(CONCATENATE("Field!K",A113+4)),"")</f>
        <v/>
      </c>
      <c r="L116" s="89" t="str">
        <f ca="1">IFERROR(INDIRECT(CONCATENATE("Field!L",A113+4)),"")</f>
        <v/>
      </c>
      <c r="M116" s="65" t="str">
        <f ca="1">IFERROR(INDIRECT(CONCATENATE("Field!M",A113+4)),"")</f>
        <v/>
      </c>
      <c r="N116" s="121" t="str">
        <f ca="1">IFERROR(INDIRECT(CONCATENATE("Field!N",A113+4)),"")</f>
        <v/>
      </c>
    </row>
    <row r="117" spans="1:18" x14ac:dyDescent="0.35">
      <c r="B117" s="66">
        <f ca="1">IFERROR(INDIRECT(CONCATENATE("Field!B",A113+5)),"")</f>
        <v>4</v>
      </c>
      <c r="C117" s="66" t="str">
        <f ca="1">IFERROR(INDIRECT(CONCATENATE("Field!C",A113+5)),"")</f>
        <v/>
      </c>
      <c r="D117" s="89" t="str">
        <f ca="1">IFERROR(INDIRECT(CONCATENATE("Field!D",A113+5)),"")</f>
        <v/>
      </c>
      <c r="E117" s="89" t="str">
        <f ca="1">IFERROR(INDIRECT(CONCATENATE("Field!E",A113+5)),"")</f>
        <v/>
      </c>
      <c r="F117" s="65" t="str">
        <f ca="1">IFERROR(INDIRECT(CONCATENATE("Field!F",A113+5)),"")</f>
        <v/>
      </c>
      <c r="G117" s="121" t="str">
        <f ca="1">IFERROR(INDIRECT(CONCATENATE("Field!G",A113+5)),"")</f>
        <v/>
      </c>
      <c r="H117" s="66"/>
      <c r="I117" s="66">
        <f ca="1">IFERROR(INDIRECT(CONCATENATE("Field!I",A113+5)),"")</f>
        <v>4</v>
      </c>
      <c r="J117" s="66" t="str">
        <f ca="1">IFERROR(INDIRECT(CONCATENATE("Field!J",A113+5)),"")</f>
        <v/>
      </c>
      <c r="K117" s="89" t="str">
        <f ca="1">IFERROR(INDIRECT(CONCATENATE("Field!K",A113+5)),"")</f>
        <v/>
      </c>
      <c r="L117" s="89" t="str">
        <f ca="1">IFERROR(INDIRECT(CONCATENATE("Field!L",A113+5)),"")</f>
        <v/>
      </c>
      <c r="M117" s="65" t="str">
        <f ca="1">IFERROR(INDIRECT(CONCATENATE("Field!M",A113+5)),"")</f>
        <v/>
      </c>
      <c r="N117" s="121" t="str">
        <f ca="1">IFERROR(INDIRECT(CONCATENATE("Field!N",A113+5)),"")</f>
        <v/>
      </c>
    </row>
    <row r="118" spans="1:18" x14ac:dyDescent="0.35">
      <c r="B118" s="66">
        <f ca="1">IFERROR(INDIRECT(CONCATENATE("Field!B",A113+6)),"")</f>
        <v>5</v>
      </c>
      <c r="C118" s="66" t="str">
        <f ca="1">IFERROR(INDIRECT(CONCATENATE("Field!C",A113+6)),"")</f>
        <v/>
      </c>
      <c r="D118" s="89" t="str">
        <f ca="1">IFERROR(INDIRECT(CONCATENATE("Field!D",A113+6)),"")</f>
        <v/>
      </c>
      <c r="E118" s="89" t="str">
        <f ca="1">IFERROR(INDIRECT(CONCATENATE("Field!E",A113+6)),"")</f>
        <v/>
      </c>
      <c r="F118" s="65" t="str">
        <f ca="1">IFERROR(INDIRECT(CONCATENATE("Field!F",A113+6)),"")</f>
        <v/>
      </c>
      <c r="G118" s="121" t="str">
        <f ca="1">IFERROR(INDIRECT(CONCATENATE("Field!G",A113+6)),"")</f>
        <v/>
      </c>
      <c r="H118" s="66"/>
      <c r="I118" s="66">
        <f ca="1">IFERROR(INDIRECT(CONCATENATE("Field!I",A113+6)),"")</f>
        <v>5</v>
      </c>
      <c r="J118" s="66" t="str">
        <f ca="1">IFERROR(INDIRECT(CONCATENATE("Field!J",A113+6)),"")</f>
        <v/>
      </c>
      <c r="K118" s="89" t="str">
        <f ca="1">IFERROR(INDIRECT(CONCATENATE("Field!K",A113+6)),"")</f>
        <v/>
      </c>
      <c r="L118" s="89" t="str">
        <f ca="1">IFERROR(INDIRECT(CONCATENATE("Field!L",A113+6)),"")</f>
        <v/>
      </c>
      <c r="M118" s="65" t="str">
        <f ca="1">IFERROR(INDIRECT(CONCATENATE("Field!M",A113+6)),"")</f>
        <v/>
      </c>
      <c r="N118" s="121" t="str">
        <f ca="1">IFERROR(INDIRECT(CONCATENATE("Field!N",A113+6)),"")</f>
        <v/>
      </c>
    </row>
    <row r="119" spans="1:18" x14ac:dyDescent="0.35">
      <c r="B119" s="66">
        <f ca="1">IFERROR(INDIRECT(CONCATENATE("Field!B",A113+7)),"")</f>
        <v>6</v>
      </c>
      <c r="C119" s="66" t="str">
        <f ca="1">IFERROR(INDIRECT(CONCATENATE("Field!C",A113+7)),"")</f>
        <v/>
      </c>
      <c r="D119" s="89" t="str">
        <f ca="1">IFERROR(INDIRECT(CONCATENATE("Field!D",A113+7)),"")</f>
        <v/>
      </c>
      <c r="E119" s="89" t="str">
        <f ca="1">IFERROR(INDIRECT(CONCATENATE("Field!E",A113+7)),"")</f>
        <v/>
      </c>
      <c r="F119" s="65" t="str">
        <f ca="1">IFERROR(INDIRECT(CONCATENATE("Field!F",A113+7)),"")</f>
        <v/>
      </c>
      <c r="G119" s="121" t="str">
        <f ca="1">IFERROR(INDIRECT(CONCATENATE("Field!G",A113+7)),"")</f>
        <v/>
      </c>
      <c r="H119" s="66"/>
      <c r="I119" s="66">
        <f ca="1">IFERROR(INDIRECT(CONCATENATE("Field!I",A113+7)),"")</f>
        <v>6</v>
      </c>
      <c r="J119" s="66" t="str">
        <f ca="1">IFERROR(INDIRECT(CONCATENATE("Field!J",A113+7)),"")</f>
        <v/>
      </c>
      <c r="K119" s="89" t="str">
        <f ca="1">IFERROR(INDIRECT(CONCATENATE("Field!K",A113+7)),"")</f>
        <v/>
      </c>
      <c r="L119" s="89" t="str">
        <f ca="1">IFERROR(INDIRECT(CONCATENATE("Field!L",A113+7)),"")</f>
        <v/>
      </c>
      <c r="M119" s="65" t="str">
        <f ca="1">IFERROR(INDIRECT(CONCATENATE("Field!M",A113+7)),"")</f>
        <v/>
      </c>
      <c r="N119" s="121" t="str">
        <f ca="1">IFERROR(INDIRECT(CONCATENATE("Field!N",A113+7)),"")</f>
        <v/>
      </c>
    </row>
    <row r="120" spans="1:18" x14ac:dyDescent="0.35">
      <c r="B120" s="66">
        <f ca="1">IFERROR(INDIRECT(CONCATENATE("Field!B",A113+8)),"")</f>
        <v>7</v>
      </c>
      <c r="C120" s="66" t="str">
        <f ca="1">IFERROR(INDIRECT(CONCATENATE("Field!C",A113+8)),"")</f>
        <v/>
      </c>
      <c r="D120" s="89" t="str">
        <f ca="1">IFERROR(INDIRECT(CONCATENATE("Field!D",A113+8)),"")</f>
        <v/>
      </c>
      <c r="E120" s="89" t="str">
        <f ca="1">IFERROR(INDIRECT(CONCATENATE("Field!E",A113+8)),"")</f>
        <v/>
      </c>
      <c r="F120" s="65" t="str">
        <f ca="1">IFERROR(INDIRECT(CONCATENATE("Field!F",A113+8)),"")</f>
        <v/>
      </c>
      <c r="G120" s="121" t="str">
        <f ca="1">IFERROR(INDIRECT(CONCATENATE("Field!G",A113+8)),"")</f>
        <v/>
      </c>
      <c r="H120" s="66"/>
      <c r="I120" s="66">
        <f ca="1">IFERROR(INDIRECT(CONCATENATE("Field!I",A113+8)),"")</f>
        <v>7</v>
      </c>
      <c r="J120" s="66" t="str">
        <f ca="1">IFERROR(INDIRECT(CONCATENATE("Field!J",A113+8)),"")</f>
        <v/>
      </c>
      <c r="K120" s="89" t="str">
        <f ca="1">IFERROR(INDIRECT(CONCATENATE("Field!K",A113+8)),"")</f>
        <v/>
      </c>
      <c r="L120" s="89" t="str">
        <f ca="1">IFERROR(INDIRECT(CONCATENATE("Field!L",A113+8)),"")</f>
        <v/>
      </c>
      <c r="M120" s="65" t="str">
        <f ca="1">IFERROR(INDIRECT(CONCATENATE("Field!M",A113+8)),"")</f>
        <v/>
      </c>
      <c r="N120" s="121" t="str">
        <f ca="1">IFERROR(INDIRECT(CONCATENATE("Field!N",A113+8)),"")</f>
        <v/>
      </c>
    </row>
    <row r="121" spans="1:18" x14ac:dyDescent="0.35">
      <c r="B121" s="66">
        <f ca="1">IFERROR(INDIRECT(CONCATENATE("Field!B",A113+9)),"")</f>
        <v>8</v>
      </c>
      <c r="C121" s="66" t="str">
        <f ca="1">IFERROR(INDIRECT(CONCATENATE("Field!C",A113+9)),"")</f>
        <v/>
      </c>
      <c r="D121" s="89" t="str">
        <f ca="1">IFERROR(INDIRECT(CONCATENATE("Field!D",A113+9)),"")</f>
        <v/>
      </c>
      <c r="E121" s="89" t="str">
        <f ca="1">IFERROR(INDIRECT(CONCATENATE("Field!E",A113+9)),"")</f>
        <v/>
      </c>
      <c r="F121" s="65" t="str">
        <f ca="1">IFERROR(INDIRECT(CONCATENATE("Field!F",A113+9)),"")</f>
        <v/>
      </c>
      <c r="G121" s="121" t="str">
        <f ca="1">IFERROR(INDIRECT(CONCATENATE("Field!G",A113+9)),"")</f>
        <v/>
      </c>
      <c r="H121" s="66"/>
      <c r="I121" s="66">
        <f ca="1">IFERROR(INDIRECT(CONCATENATE("Field!I",A113+9)),"")</f>
        <v>8</v>
      </c>
      <c r="J121" s="66" t="str">
        <f ca="1">IFERROR(INDIRECT(CONCATENATE("Field!J",A113+9)),"")</f>
        <v/>
      </c>
      <c r="K121" s="89" t="str">
        <f ca="1">IFERROR(INDIRECT(CONCATENATE("Field!K",A113+9)),"")</f>
        <v/>
      </c>
      <c r="L121" s="89" t="str">
        <f ca="1">IFERROR(INDIRECT(CONCATENATE("Field!L",A113+9)),"")</f>
        <v/>
      </c>
      <c r="M121" s="65" t="str">
        <f ca="1">IFERROR(INDIRECT(CONCATENATE("Field!M",A113+9)),"")</f>
        <v/>
      </c>
      <c r="N121" s="121" t="str">
        <f ca="1">IFERROR(INDIRECT(CONCATENATE("Field!N",A113+9)),"")</f>
        <v/>
      </c>
    </row>
    <row r="123" spans="1:18" x14ac:dyDescent="0.35">
      <c r="A123" s="66" t="s">
        <v>315</v>
      </c>
      <c r="B123" s="115" t="str">
        <f ca="1">IFERROR(INDIRECT(CONCATENATE("Relays!B",A124)),"")</f>
        <v xml:space="preserve"> 4 x 100m U13 Girls A</v>
      </c>
      <c r="M123" s="301" t="str">
        <f ca="1">IFERROR(INDIRECT(CONCATENATE("Relays!i",A124)),"")</f>
        <v/>
      </c>
    </row>
    <row r="124" spans="1:18" x14ac:dyDescent="0.35">
      <c r="A124" s="66">
        <f>IFERROR(MATCH(A123,Relays!A:A,0),"")</f>
        <v>2</v>
      </c>
      <c r="B124" s="45" t="str">
        <f ca="1">IFERROR(INDIRECT(CONCATENATE("Relays!B",A124+1)),"")</f>
        <v>Posn</v>
      </c>
      <c r="C124" s="45" t="str">
        <f ca="1">IFERROR(INDIRECT(CONCATENATE("Relays!C",A124+1)),"")</f>
        <v>No.</v>
      </c>
      <c r="D124" s="182" t="s">
        <v>783</v>
      </c>
      <c r="G124" s="45"/>
      <c r="K124" s="45"/>
      <c r="L124" s="182" t="str">
        <f ca="1">IFERROR(INDIRECT(CONCATENATE("Relays!D",A124+1)),"")</f>
        <v>Club</v>
      </c>
      <c r="M124" s="301" t="str">
        <f ca="1">IFERROR(INDIRECT(CONCATENATE("Relays!i",A124+1)),"")</f>
        <v>Perf</v>
      </c>
    </row>
    <row r="125" spans="1:18" x14ac:dyDescent="0.35">
      <c r="B125" s="66">
        <f ca="1">IFERROR(INDIRECT(CONCATENATE("Relays!B",A124+2)),"")</f>
        <v>1</v>
      </c>
      <c r="C125" s="66">
        <f ca="1">IFERROR(INDIRECT(CONCATENATE("Relays!C",A124+2)),"")</f>
        <v>3</v>
      </c>
      <c r="D125" s="89" t="str">
        <f ca="1">IFERROR(IF(INDIRECT(CONCATENATE("Relays!e",A124+2))="","",INDIRECT(CONCATENATE("Relays!e",A124+2))&amp;", "&amp;INDIRECT(CONCATENATE("Relays!f",A124+2))&amp;", "&amp;INDIRECT(CONCATENATE("Relays!g",A124+2))&amp;", "&amp;INDIRECT(CONCATENATE("Relays!h",A124+2))),"")</f>
        <v>POUNDER Esme, MAUDE Emily, GREEN-HEMMINGS Grace, MARSHALL Nancy</v>
      </c>
      <c r="G125" s="66"/>
      <c r="K125" s="66"/>
      <c r="L125" s="89" t="str">
        <f ca="1">IFERROR(INDIRECT(CONCATENATE("Relays!D",A124+2)),"")</f>
        <v>York</v>
      </c>
      <c r="M125" s="299">
        <f ca="1">IFERROR(INDIRECT(CONCATENATE("Relays!i",A124+2)),"")</f>
        <v>56.8</v>
      </c>
      <c r="R125" s="66">
        <f ca="1">IFERROR(INDIRECT(CONCATENATE("Relays!M",A124+2)),"")</f>
        <v>1</v>
      </c>
    </row>
    <row r="126" spans="1:18" x14ac:dyDescent="0.35">
      <c r="B126" s="66">
        <f ca="1">IFERROR(INDIRECT(CONCATENATE("Relays!B",A124+3)),"")</f>
        <v>2</v>
      </c>
      <c r="C126" s="66">
        <f ca="1">IFERROR(INDIRECT(CONCATENATE("Relays!C",A124+3)),"")</f>
        <v>4</v>
      </c>
      <c r="D126" s="89" t="str">
        <f ca="1">IFERROR(IF(INDIRECT(CONCATENATE("Relays!e",A124+3))="","",INDIRECT(CONCATENATE("Relays!e",A124+3))&amp;", "&amp;INDIRECT(CONCATENATE("Relays!f",A124+3))&amp;", "&amp;INDIRECT(CONCATENATE("Relays!g",A124+3))&amp;", "&amp;INDIRECT(CONCATENATE("Relays!h",A124+3))),"")</f>
        <v>LILLIE Freya, SEDGWICK Emma, SULLOCK Beth, WILMOT Amy</v>
      </c>
      <c r="G126" s="66"/>
      <c r="K126" s="66"/>
      <c r="L126" s="89" t="str">
        <f ca="1">IFERROR(INDIRECT(CONCATENATE("Relays!D",A124+3)),"")</f>
        <v>M'bro</v>
      </c>
      <c r="M126" s="299">
        <f ca="1">IFERROR(INDIRECT(CONCATENATE("Relays!i",A124+3)),"")</f>
        <v>58</v>
      </c>
    </row>
    <row r="127" spans="1:18" x14ac:dyDescent="0.35">
      <c r="B127" s="66">
        <f ca="1">IFERROR(INDIRECT(CONCATENATE("Relays!B",A124+4)),"")</f>
        <v>3</v>
      </c>
      <c r="C127" s="66">
        <f ca="1">IFERROR(INDIRECT(CONCATENATE("Relays!C",A124+4)),"")</f>
        <v>2</v>
      </c>
      <c r="D127" s="89" t="str">
        <f ca="1">IFERROR(IF(INDIRECT(CONCATENATE("Relays!e",A124+4))="","",INDIRECT(CONCATENATE("Relays!e",A124+4))&amp;", "&amp;INDIRECT(CONCATENATE("Relays!f",A124+4))&amp;", "&amp;INDIRECT(CONCATENATE("Relays!g",A124+4))&amp;", "&amp;INDIRECT(CONCATENATE("Relays!h",A124+4))),"")</f>
        <v>GROVE Abigail, GRAY Molly, ROBERTS Eve, SCOTT Violet</v>
      </c>
      <c r="G127" s="66"/>
      <c r="K127" s="66"/>
      <c r="L127" s="89" t="str">
        <f ca="1">IFERROR(INDIRECT(CONCATENATE("Relays!D",A124+4)),"")</f>
        <v>Sheff+D</v>
      </c>
      <c r="M127" s="299">
        <f ca="1">IFERROR(INDIRECT(CONCATENATE("Relays!i",A124+4)),"")</f>
        <v>62.3</v>
      </c>
    </row>
    <row r="128" spans="1:18" x14ac:dyDescent="0.35">
      <c r="B128" s="66">
        <f ca="1">IFERROR(INDIRECT(CONCATENATE("Relays!B",A124+5)),"")</f>
        <v>4</v>
      </c>
      <c r="C128" s="66">
        <f ca="1">IFERROR(INDIRECT(CONCATENATE("Relays!C",A124+5)),"")</f>
        <v>1</v>
      </c>
      <c r="D128" s="89" t="str">
        <f ca="1">IFERROR(IF(INDIRECT(CONCATENATE("Relays!e",A124+5))="","",INDIRECT(CONCATENATE("Relays!e",A124+5))&amp;", "&amp;INDIRECT(CONCATENATE("Relays!f",A124+5))&amp;", "&amp;INDIRECT(CONCATENATE("Relays!g",A124+5))&amp;", "&amp;INDIRECT(CONCATENATE("Relays!h",A124+5))),"")</f>
        <v>HAILEY Faye, GRIFFIN Lydia, PELL Gracie, SAS Evelyn</v>
      </c>
      <c r="G128" s="66"/>
      <c r="K128" s="66"/>
      <c r="L128" s="89" t="str">
        <f ca="1">IFERROR(INDIRECT(CONCATENATE("Relays!D",A124+5)),"")</f>
        <v>C'field</v>
      </c>
      <c r="M128" s="299">
        <f ca="1">IFERROR(INDIRECT(CONCATENATE("Relays!i",A124+5)),"")</f>
        <v>63</v>
      </c>
    </row>
    <row r="129" spans="2:13" x14ac:dyDescent="0.35">
      <c r="B129" s="66">
        <f ca="1">IFERROR(INDIRECT(CONCATENATE("Relays!B",A124+6)),"")</f>
        <v>5</v>
      </c>
      <c r="C129" s="66">
        <f ca="1">IFERROR(INDIRECT(CONCATENATE("Relays!C",A124+6)),"")</f>
        <v>0</v>
      </c>
      <c r="D129" s="89" t="str">
        <f ca="1">IFERROR(IF(INDIRECT(CONCATENATE("Relays!e",A124+6))="","",INDIRECT(CONCATENATE("Relays!e",A124+6))&amp;", "&amp;INDIRECT(CONCATENATE("Relays!f",A124+6))&amp;", "&amp;INDIRECT(CONCATENATE("Relays!g",A124+6))&amp;", "&amp;INDIRECT(CONCATENATE("Relays!h",A124+6))),"")</f>
        <v/>
      </c>
      <c r="G129" s="66"/>
      <c r="K129" s="66"/>
      <c r="L129" s="89" t="str">
        <f ca="1">IFERROR(INDIRECT(CONCATENATE("Relays!D",A124+6)),"")</f>
        <v/>
      </c>
      <c r="M129" s="299">
        <f ca="1">IFERROR(INDIRECT(CONCATENATE("Relays!i",A124+6)),"")</f>
        <v>0</v>
      </c>
    </row>
    <row r="130" spans="2:13" x14ac:dyDescent="0.35">
      <c r="B130" s="66">
        <f ca="1">IFERROR(INDIRECT(CONCATENATE("Relays!B",A124+7)),"")</f>
        <v>6</v>
      </c>
      <c r="C130" s="66">
        <f ca="1">IFERROR(INDIRECT(CONCATENATE("Relays!C",A124+7)),"")</f>
        <v>0</v>
      </c>
      <c r="D130" s="89" t="str">
        <f ca="1">IFERROR(IF(INDIRECT(CONCATENATE("Relays!e",A124+7))="","",INDIRECT(CONCATENATE("Relays!e",A124+7))&amp;", "&amp;INDIRECT(CONCATENATE("Relays!f",A124+7))&amp;", "&amp;INDIRECT(CONCATENATE("Relays!g",A124+7))&amp;", "&amp;INDIRECT(CONCATENATE("Relays!h",A124+7))),"")</f>
        <v/>
      </c>
      <c r="G130" s="66"/>
      <c r="K130" s="66"/>
      <c r="L130" s="89" t="str">
        <f ca="1">IFERROR(INDIRECT(CONCATENATE("Relays!D",A124+7)),"")</f>
        <v/>
      </c>
      <c r="M130" s="299">
        <f ca="1">IFERROR(INDIRECT(CONCATENATE("Relays!i",A124+7)),"")</f>
        <v>0</v>
      </c>
    </row>
    <row r="131" spans="2:13" x14ac:dyDescent="0.35">
      <c r="B131" s="66">
        <f ca="1">IFERROR(INDIRECT(CONCATENATE("Relays!B",A124+8)),"")</f>
        <v>7</v>
      </c>
      <c r="C131" s="66">
        <f ca="1">IFERROR(INDIRECT(CONCATENATE("Relays!C",A124+8)),"")</f>
        <v>0</v>
      </c>
      <c r="D131" s="89" t="str">
        <f ca="1">IFERROR(IF(INDIRECT(CONCATENATE("Relays!e",A124+8))="","",INDIRECT(CONCATENATE("Relays!e",A124+8))&amp;", "&amp;INDIRECT(CONCATENATE("Relays!f",A124+8))&amp;", "&amp;INDIRECT(CONCATENATE("Relays!g",A124+8))&amp;", "&amp;INDIRECT(CONCATENATE("Relays!h",A124+8))),"")</f>
        <v/>
      </c>
      <c r="G131" s="66"/>
      <c r="K131" s="66"/>
      <c r="L131" s="89" t="str">
        <f ca="1">IFERROR(INDIRECT(CONCATENATE("Relays!D",A124+8)),"")</f>
        <v/>
      </c>
      <c r="M131" s="299">
        <f ca="1">IFERROR(INDIRECT(CONCATENATE("Relays!i",A124+8)),"")</f>
        <v>0</v>
      </c>
    </row>
    <row r="132" spans="2:13" x14ac:dyDescent="0.35">
      <c r="B132" s="66">
        <f ca="1">IFERROR(INDIRECT(CONCATENATE("Relays!B",A124+9)),"")</f>
        <v>8</v>
      </c>
      <c r="C132" s="66">
        <f ca="1">IFERROR(INDIRECT(CONCATENATE("Relays!C",A124+9)),"")</f>
        <v>0</v>
      </c>
      <c r="D132" s="89" t="str">
        <f ca="1">IFERROR(IF(INDIRECT(CONCATENATE("Relays!e",A124+9))="","",INDIRECT(CONCATENATE("Relays!e",A124+9))&amp;", "&amp;INDIRECT(CONCATENATE("Relays!f",A124+9))&amp;", "&amp;INDIRECT(CONCATENATE("Relays!g",A124+9))&amp;", "&amp;INDIRECT(CONCATENATE("Relays!h",A124+9))),"")</f>
        <v/>
      </c>
      <c r="G132" s="66"/>
      <c r="K132" s="66"/>
      <c r="L132" s="89" t="str">
        <f ca="1">IFERROR(INDIRECT(CONCATENATE("Relays!D",A124+9)),"")</f>
        <v/>
      </c>
      <c r="M132" s="299">
        <f ca="1">IFERROR(INDIRECT(CONCATENATE("Relays!i",A124+9)),"")</f>
        <v>0</v>
      </c>
    </row>
  </sheetData>
  <sheetProtection algorithmName="SHA-512" hashValue="hOuSboek7jA/PEFSHu9cvNEeaumhZCZjoN46nD7Pu207mZxuL1hHSF0f76m0t6VYWnVyMOHt2O+CuYxN6C5XXg==" saltValue="y4y2NzuktA1s6LnjQr2LMQ=="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2" manualBreakCount="2">
    <brk id="45" min="1" max="13" man="1"/>
    <brk id="89" min="1" max="1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5">
    <tabColor rgb="FFFFFF00"/>
  </sheetPr>
  <dimension ref="A1:AB352"/>
  <sheetViews>
    <sheetView showZeros="0" topLeftCell="B1" zoomScaleNormal="100" workbookViewId="0">
      <pane ySplit="1" topLeftCell="A17" activePane="bottomLeft" state="frozen"/>
      <selection activeCell="T1" sqref="T1:W1048576"/>
      <selection pane="bottomLeft" activeCell="Q53" sqref="Q53"/>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67"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67" customWidth="1"/>
    <col min="14" max="14" width="4" style="121" customWidth="1"/>
    <col min="15" max="17" width="8.86328125" style="64"/>
    <col min="18" max="18" width="0" style="64" hidden="1" customWidth="1"/>
    <col min="19" max="19" width="8.86328125" style="64"/>
    <col min="20" max="21" width="0" style="64" hidden="1" customWidth="1"/>
    <col min="22" max="23" width="0" style="422" hidden="1" customWidth="1"/>
    <col min="24" max="28" width="8.86328125" style="422"/>
    <col min="29" max="16384" width="8.86328125" style="64"/>
  </cols>
  <sheetData>
    <row r="1" spans="1:26" ht="45" customHeight="1" x14ac:dyDescent="0.35">
      <c r="A1" s="201" t="s">
        <v>784</v>
      </c>
      <c r="B1" s="288" t="str">
        <f>Dashboard!E1</f>
        <v>LOWER NORTH East 1 @ Doncaster</v>
      </c>
      <c r="G1" s="198"/>
      <c r="I1" s="64"/>
      <c r="J1" s="64"/>
      <c r="K1" s="202"/>
      <c r="L1" s="499">
        <f>Dashboard!E2</f>
        <v>43582</v>
      </c>
      <c r="M1" s="499"/>
      <c r="N1" s="200"/>
      <c r="P1" s="82"/>
      <c r="Q1" s="70"/>
      <c r="R1" s="82">
        <f ca="1">SUM(R2:R300)</f>
        <v>10</v>
      </c>
    </row>
    <row r="2" spans="1:26" x14ac:dyDescent="0.35">
      <c r="A2" s="66" t="s">
        <v>40</v>
      </c>
      <c r="B2" s="115" t="str">
        <f ca="1">IFERROR(INDIRECT(CONCATENATE("Track1!B",A3)),"")</f>
        <v>75m U13 Girls A</v>
      </c>
      <c r="E2" s="89" t="s">
        <v>259</v>
      </c>
      <c r="F2" s="400">
        <f ca="1">IFERROR(INDIRECT(CONCATENATE("Track1!f",A3)),"")</f>
        <v>0</v>
      </c>
      <c r="G2" s="121" t="str">
        <f ca="1">IFERROR(INDIRECT(CONCATENATE("Track1!g",A3)),"")</f>
        <v/>
      </c>
      <c r="I2" s="115" t="str">
        <f ca="1">IFERROR(INDIRECT(CONCATENATE("Track1!I",A3)),"")</f>
        <v>75m U13 Girls B</v>
      </c>
      <c r="L2" s="89" t="s">
        <v>259</v>
      </c>
      <c r="M2" s="299">
        <f ca="1">IFERROR(INDIRECT(CONCATENATE("Track1!M",A3)),"")</f>
        <v>0</v>
      </c>
    </row>
    <row r="3" spans="1:26" x14ac:dyDescent="0.35">
      <c r="A3" s="66">
        <f>IFERROR(MATCH(A2,Track1!A:A,0),"")</f>
        <v>90</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149"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149" t="str">
        <f ca="1">IFERROR(INDIRECT(CONCATENATE("Track1!M",A3+1)),"")</f>
        <v>Perf</v>
      </c>
      <c r="N3" s="218" t="str">
        <f ca="1">IFERROR(INDIRECT(CONCATENATE("Track1!N",A3+1)),"")</f>
        <v>AAA</v>
      </c>
    </row>
    <row r="4" spans="1:26" x14ac:dyDescent="0.35">
      <c r="B4" s="66">
        <f ca="1">IFERROR(INDIRECT(CONCATENATE("Track1!B",A3+2)),"")</f>
        <v>1</v>
      </c>
      <c r="C4" s="66">
        <f ca="1">IFERROR(INDIRECT(CONCATENATE("Track1!C",A3+2)),"")</f>
        <v>3</v>
      </c>
      <c r="D4" s="89" t="str">
        <f ca="1">IFERROR(INDIRECT(CONCATENATE("Track1!D",A3+2)),"")</f>
        <v>MAUDE Emily</v>
      </c>
      <c r="E4" s="89" t="str">
        <f ca="1">IFERROR(INDIRECT(CONCATENATE("Track1!E",A3+2)),"")</f>
        <v>York</v>
      </c>
      <c r="F4" s="65">
        <f ca="1">IFERROR(INDIRECT(CONCATENATE("Track1!F",A3+2)),"")</f>
        <v>10.3</v>
      </c>
      <c r="G4" s="121">
        <f ca="1">IFERROR(INDIRECT(CONCATENATE("Track1!G",A3+2)),"")</f>
        <v>1</v>
      </c>
      <c r="H4" s="66"/>
      <c r="I4" s="66">
        <f ca="1">IFERROR(INDIRECT(CONCATENATE("Track1!I",A3+2)),"")</f>
        <v>1</v>
      </c>
      <c r="J4" s="66">
        <f ca="1">IFERROR(INDIRECT(CONCATENATE("Track1!J",A3+2)),"")</f>
        <v>33</v>
      </c>
      <c r="K4" s="89" t="str">
        <f ca="1">IFERROR(INDIRECT(CONCATENATE("Track1!K",A3+2)),"")</f>
        <v>SIGSWORTH Martha</v>
      </c>
      <c r="L4" s="89" t="str">
        <f ca="1">IFERROR(INDIRECT(CONCATENATE("Track1!L",A3+2)),"")</f>
        <v>York</v>
      </c>
      <c r="M4" s="65">
        <f ca="1">IFERROR(INDIRECT(CONCATENATE("Track1!M",A3+2)),"")</f>
        <v>11.2</v>
      </c>
      <c r="N4" s="121">
        <f ca="1">IFERROR(INDIRECT(CONCATENATE("Track1!N",A3+2)),"")</f>
        <v>4</v>
      </c>
      <c r="R4" s="219">
        <f ca="1">IFERROR(INDIRECT(CONCATENATE("Track1!r",A3+2)),"")</f>
        <v>1</v>
      </c>
      <c r="T4" s="64">
        <f ca="1">IF(OR(D4=0,D4="",D4="Athlete"),"",COUNTIF($D$4:$D$352,D4))</f>
        <v>2</v>
      </c>
      <c r="U4" s="64">
        <f ca="1">IF(OR(K4=0,K4="",K4="Athlete"),"",COUNTIF($D$4:$D$352,K4))</f>
        <v>2</v>
      </c>
      <c r="V4" s="422">
        <f ca="1">IF(OR(D4=0,D4="",D4="Athlete"),"",COUNTIF($D$4:$D4,D4))</f>
        <v>1</v>
      </c>
      <c r="W4" s="422" t="str">
        <f ca="1">IF(OR(D4=0,D4="",D4="Athlete"),"",E4)</f>
        <v>York</v>
      </c>
      <c r="Z4" s="422">
        <f ca="1">IF(OR(G4=0,G4="",G4="Athlete"),"",H4)</f>
        <v>0</v>
      </c>
    </row>
    <row r="5" spans="1:26" x14ac:dyDescent="0.35">
      <c r="B5" s="66">
        <f ca="1">IFERROR(INDIRECT(CONCATENATE("Track1!B",A3+3)),"")</f>
        <v>2</v>
      </c>
      <c r="C5" s="66">
        <f ca="1">IFERROR(INDIRECT(CONCATENATE("Track1!C",A3+3)),"")</f>
        <v>4</v>
      </c>
      <c r="D5" s="89" t="str">
        <f ca="1">IFERROR(INDIRECT(CONCATENATE("Track1!D",A3+3)),"")</f>
        <v>WILMOT Amy</v>
      </c>
      <c r="E5" s="89" t="str">
        <f ca="1">IFERROR(INDIRECT(CONCATENATE("Track1!E",A3+3)),"")</f>
        <v>M'bro</v>
      </c>
      <c r="F5" s="65">
        <f ca="1">IFERROR(INDIRECT(CONCATENATE("Track1!F",A3+3)),"")</f>
        <v>10.7</v>
      </c>
      <c r="G5" s="121">
        <f ca="1">IFERROR(INDIRECT(CONCATENATE("Track1!G",A3+3)),"")</f>
        <v>3</v>
      </c>
      <c r="H5" s="66"/>
      <c r="I5" s="66">
        <f ca="1">IFERROR(INDIRECT(CONCATENATE("Track1!I",A3+3)),"")</f>
        <v>2</v>
      </c>
      <c r="J5" s="66">
        <f ca="1">IFERROR(INDIRECT(CONCATENATE("Track1!J",A3+3)),"")</f>
        <v>44</v>
      </c>
      <c r="K5" s="89" t="str">
        <f ca="1">IFERROR(INDIRECT(CONCATENATE("Track1!K",A3+3)),"")</f>
        <v>SULLOCK Beth</v>
      </c>
      <c r="L5" s="89" t="str">
        <f ca="1">IFERROR(INDIRECT(CONCATENATE("Track1!L",A3+3)),"")</f>
        <v>M'bro</v>
      </c>
      <c r="M5" s="65">
        <f ca="1">IFERROR(INDIRECT(CONCATENATE("Track1!M",A3+3)),"")</f>
        <v>11.2</v>
      </c>
      <c r="N5" s="121">
        <f ca="1">IFERROR(INDIRECT(CONCATENATE("Track1!N",A3+3)),"")</f>
        <v>4</v>
      </c>
      <c r="T5" s="64">
        <f t="shared" ref="T5:T68" ca="1" si="0">IF(OR(D5=0,D5="",D5="Athlete"),"",COUNTIF($D$4:$D$352,D5))</f>
        <v>2</v>
      </c>
      <c r="U5" s="64">
        <f t="shared" ref="U5:U68" ca="1" si="1">IF(OR(K5=0,K5="",K5="Athlete"),"",COUNTIF($D$4:$D$352,K5))</f>
        <v>3</v>
      </c>
      <c r="V5" s="422">
        <f ca="1">IF(OR(D5=0,D5="",D5="Athlete"),"",COUNTIF($D$4:$D5,D5))</f>
        <v>1</v>
      </c>
      <c r="W5" s="422" t="str">
        <f t="shared" ref="W5:W68" ca="1" si="2">IF(OR(D5=0,D5="",D5="Athlete"),"",E5)</f>
        <v>M'bro</v>
      </c>
      <c r="Z5" s="422">
        <f t="shared" ref="Z5:Z68" ca="1" si="3">IF(OR(G5=0,G5="",G5="Athlete"),"",H5)</f>
        <v>0</v>
      </c>
    </row>
    <row r="6" spans="1:26" x14ac:dyDescent="0.35">
      <c r="B6" s="66">
        <f ca="1">IFERROR(INDIRECT(CONCATENATE("Track1!B",A3+4)),"")</f>
        <v>3</v>
      </c>
      <c r="C6" s="66">
        <f ca="1">IFERROR(INDIRECT(CONCATENATE("Track1!C",A3+4)),"")</f>
        <v>2</v>
      </c>
      <c r="D6" s="89" t="str">
        <f ca="1">IFERROR(INDIRECT(CONCATENATE("Track1!D",A3+4)),"")</f>
        <v>HARTLEY Eleanor</v>
      </c>
      <c r="E6" s="89" t="str">
        <f ca="1">IFERROR(INDIRECT(CONCATENATE("Track1!E",A3+4)),"")</f>
        <v>Sheff+D</v>
      </c>
      <c r="F6" s="65">
        <f ca="1">IFERROR(INDIRECT(CONCATENATE("Track1!F",A3+4)),"")</f>
        <v>10.9</v>
      </c>
      <c r="G6" s="121">
        <f ca="1">IFERROR(INDIRECT(CONCATENATE("Track1!G",A3+4)),"")</f>
        <v>3</v>
      </c>
      <c r="H6" s="66"/>
      <c r="I6" s="66">
        <f ca="1">IFERROR(INDIRECT(CONCATENATE("Track1!I",A3+4)),"")</f>
        <v>3</v>
      </c>
      <c r="J6" s="66">
        <f ca="1">IFERROR(INDIRECT(CONCATENATE("Track1!J",A3+4)),"")</f>
        <v>11</v>
      </c>
      <c r="K6" s="89" t="str">
        <f ca="1">IFERROR(INDIRECT(CONCATENATE("Track1!K",A3+4)),"")</f>
        <v>PELL Gracie</v>
      </c>
      <c r="L6" s="89" t="str">
        <f ca="1">IFERROR(INDIRECT(CONCATENATE("Track1!L",A3+4)),"")</f>
        <v>C'field</v>
      </c>
      <c r="M6" s="65">
        <f ca="1">IFERROR(INDIRECT(CONCATENATE("Track1!M",A3+4)),"")</f>
        <v>11.7</v>
      </c>
      <c r="N6" s="121" t="str">
        <f ca="1">IFERROR(INDIRECT(CONCATENATE("Track1!N",A3+4)),"")</f>
        <v/>
      </c>
      <c r="T6" s="64">
        <f t="shared" ca="1" si="0"/>
        <v>3</v>
      </c>
      <c r="U6" s="64">
        <f t="shared" ca="1" si="1"/>
        <v>2</v>
      </c>
      <c r="V6" s="422">
        <f ca="1">IF(OR(D6=0,D6="",D6="Athlete"),"",COUNTIF($D$4:$D6,D6))</f>
        <v>1</v>
      </c>
      <c r="W6" s="422" t="str">
        <f t="shared" ca="1" si="2"/>
        <v>Sheff+D</v>
      </c>
      <c r="Z6" s="422">
        <f t="shared" ca="1" si="3"/>
        <v>0</v>
      </c>
    </row>
    <row r="7" spans="1:26" x14ac:dyDescent="0.35">
      <c r="B7" s="66">
        <f ca="1">IFERROR(INDIRECT(CONCATENATE("Track1!B",A3+5)),"")</f>
        <v>4</v>
      </c>
      <c r="C7" s="66">
        <f ca="1">IFERROR(INDIRECT(CONCATENATE("Track1!C",A3+5)),"")</f>
        <v>1</v>
      </c>
      <c r="D7" s="89" t="str">
        <f ca="1">IFERROR(INDIRECT(CONCATENATE("Track1!D",A3+5)),"")</f>
        <v>HUMPHREYS Melissa</v>
      </c>
      <c r="E7" s="89" t="str">
        <f ca="1">IFERROR(INDIRECT(CONCATENATE("Track1!E",A3+5)),"")</f>
        <v>C'field</v>
      </c>
      <c r="F7" s="65">
        <f ca="1">IFERROR(INDIRECT(CONCATENATE("Track1!F",A3+5)),"")</f>
        <v>11.2</v>
      </c>
      <c r="G7" s="121">
        <f ca="1">IFERROR(INDIRECT(CONCATENATE("Track1!G",A3+5)),"")</f>
        <v>4</v>
      </c>
      <c r="H7" s="66"/>
      <c r="I7" s="66">
        <f ca="1">IFERROR(INDIRECT(CONCATENATE("Track1!I",A3+5)),"")</f>
        <v>4</v>
      </c>
      <c r="J7" s="66">
        <f ca="1">IFERROR(INDIRECT(CONCATENATE("Track1!J",A3+5)),"")</f>
        <v>22</v>
      </c>
      <c r="K7" s="89" t="str">
        <f ca="1">IFERROR(INDIRECT(CONCATENATE("Track1!K",A3+5)),"")</f>
        <v>ROBERTS Eve</v>
      </c>
      <c r="L7" s="89" t="str">
        <f ca="1">IFERROR(INDIRECT(CONCATENATE("Track1!L",A3+5)),"")</f>
        <v>Sheff+D</v>
      </c>
      <c r="M7" s="65">
        <f ca="1">IFERROR(INDIRECT(CONCATENATE("Track1!M",A3+5)),"")</f>
        <v>11.7</v>
      </c>
      <c r="N7" s="121" t="str">
        <f ca="1">IFERROR(INDIRECT(CONCATENATE("Track1!N",A3+5)),"")</f>
        <v/>
      </c>
      <c r="T7" s="64">
        <f t="shared" ca="1" si="0"/>
        <v>3</v>
      </c>
      <c r="U7" s="64">
        <f t="shared" ca="1" si="1"/>
        <v>3</v>
      </c>
      <c r="V7" s="422">
        <f ca="1">IF(OR(D7=0,D7="",D7="Athlete"),"",COUNTIF($D$4:$D7,D7))</f>
        <v>1</v>
      </c>
      <c r="W7" s="422" t="str">
        <f t="shared" ca="1" si="2"/>
        <v>C'field</v>
      </c>
      <c r="Z7" s="422">
        <f t="shared" ca="1" si="3"/>
        <v>0</v>
      </c>
    </row>
    <row r="8" spans="1:26" x14ac:dyDescent="0.35">
      <c r="B8" s="66">
        <f ca="1">IFERROR(INDIRECT(CONCATENATE("Track1!B",A3+6)),"")</f>
        <v>5</v>
      </c>
      <c r="C8" s="66">
        <f ca="1">IFERROR(INDIRECT(CONCATENATE("Track1!C",A3+6)),"")</f>
        <v>5</v>
      </c>
      <c r="D8" s="89" t="str">
        <f ca="1">IFERROR(INDIRECT(CONCATENATE("Track1!D",A3+6)),"")</f>
        <v>STOW Libby</v>
      </c>
      <c r="E8" s="89" t="str">
        <f ca="1">IFERROR(INDIRECT(CONCATENATE("Track1!E",A3+6)),"")</f>
        <v>Scun</v>
      </c>
      <c r="F8" s="65">
        <f ca="1">IFERROR(INDIRECT(CONCATENATE("Track1!F",A3+6)),"")</f>
        <v>12.2</v>
      </c>
      <c r="G8" s="121" t="str">
        <f ca="1">IFERROR(INDIRECT(CONCATENATE("Track1!G",A3+6)),"")</f>
        <v/>
      </c>
      <c r="H8" s="66"/>
      <c r="I8" s="66">
        <f ca="1">IFERROR(INDIRECT(CONCATENATE("Track1!I",A3+6)),"")</f>
        <v>5</v>
      </c>
      <c r="J8" s="66">
        <f ca="1">IFERROR(INDIRECT(CONCATENATE("Track1!J",A3+6)),"")</f>
        <v>55</v>
      </c>
      <c r="K8" s="89" t="str">
        <f ca="1">IFERROR(INDIRECT(CONCATENATE("Track1!K",A3+6)),"")</f>
        <v>ABDI Zulekha</v>
      </c>
      <c r="L8" s="89" t="str">
        <f ca="1">IFERROR(INDIRECT(CONCATENATE("Track1!L",A3+6)),"")</f>
        <v>Scun</v>
      </c>
      <c r="M8" s="65">
        <f ca="1">IFERROR(INDIRECT(CONCATENATE("Track1!M",A3+6)),"")</f>
        <v>13.5</v>
      </c>
      <c r="N8" s="121" t="str">
        <f ca="1">IFERROR(INDIRECT(CONCATENATE("Track1!N",A3+6)),"")</f>
        <v/>
      </c>
      <c r="T8" s="64">
        <f t="shared" ca="1" si="0"/>
        <v>2</v>
      </c>
      <c r="U8" s="64">
        <f t="shared" ca="1" si="1"/>
        <v>2</v>
      </c>
      <c r="V8" s="422">
        <f ca="1">IF(OR(D8=0,D8="",D8="Athlete"),"",COUNTIF($D$4:$D8,D8))</f>
        <v>1</v>
      </c>
      <c r="W8" s="422" t="str">
        <f t="shared" ca="1" si="2"/>
        <v>Scun</v>
      </c>
      <c r="Z8" s="422" t="str">
        <f t="shared" ca="1" si="3"/>
        <v/>
      </c>
    </row>
    <row r="9" spans="1:26" x14ac:dyDescent="0.35">
      <c r="B9" s="66">
        <f ca="1">IFERROR(INDIRECT(CONCATENATE("Track1!B",A3+7)),"")</f>
        <v>6</v>
      </c>
      <c r="C9" s="66">
        <f ca="1">IFERROR(INDIRECT(CONCATENATE("Track1!C",A3+7)),"")</f>
        <v>0</v>
      </c>
      <c r="D9" s="89" t="str">
        <f ca="1">IFERROR(INDIRECT(CONCATENATE("Track1!D",A3+7)),"")</f>
        <v/>
      </c>
      <c r="E9" s="89" t="str">
        <f ca="1">IFERROR(INDIRECT(CONCATENATE("Track1!E",A3+7)),"")</f>
        <v/>
      </c>
      <c r="F9" s="65">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65">
        <f ca="1">IFERROR(INDIRECT(CONCATENATE("Track1!M",A3+7)),"")</f>
        <v>0</v>
      </c>
      <c r="N9" s="121" t="str">
        <f ca="1">IFERROR(INDIRECT(CONCATENATE("Track1!N",A3+7)),"")</f>
        <v/>
      </c>
      <c r="T9" s="64" t="str">
        <f t="shared" ca="1" si="0"/>
        <v/>
      </c>
      <c r="U9" s="64" t="str">
        <f t="shared" ca="1" si="1"/>
        <v/>
      </c>
      <c r="V9" s="422" t="str">
        <f ca="1">IF(OR(D9=0,D9="",D9="Athlete"),"",COUNTIF($D$4:$D9,D9))</f>
        <v/>
      </c>
      <c r="W9" s="422" t="str">
        <f t="shared" ca="1" si="2"/>
        <v/>
      </c>
      <c r="Z9" s="422" t="str">
        <f t="shared" ca="1" si="3"/>
        <v/>
      </c>
    </row>
    <row r="10" spans="1:26" x14ac:dyDescent="0.35">
      <c r="B10" s="66">
        <f ca="1">IFERROR(INDIRECT(CONCATENATE("Track1!B",A3+8)),"")</f>
        <v>7</v>
      </c>
      <c r="C10" s="66">
        <f ca="1">IFERROR(INDIRECT(CONCATENATE("Track1!C",A3+8)),"")</f>
        <v>0</v>
      </c>
      <c r="D10" s="89" t="str">
        <f ca="1">IFERROR(INDIRECT(CONCATENATE("Track1!D",A3+8)),"")</f>
        <v/>
      </c>
      <c r="E10" s="89" t="str">
        <f ca="1">IFERROR(INDIRECT(CONCATENATE("Track1!E",A3+8)),"")</f>
        <v/>
      </c>
      <c r="F10" s="65">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65">
        <f ca="1">IFERROR(INDIRECT(CONCATENATE("Track1!M",A3+8)),"")</f>
        <v>0</v>
      </c>
      <c r="N10" s="121" t="str">
        <f ca="1">IFERROR(INDIRECT(CONCATENATE("Track1!N",A3+8)),"")</f>
        <v/>
      </c>
      <c r="T10" s="64" t="str">
        <f t="shared" ca="1" si="0"/>
        <v/>
      </c>
      <c r="U10" s="64" t="str">
        <f t="shared" ca="1" si="1"/>
        <v/>
      </c>
      <c r="V10" s="422" t="str">
        <f ca="1">IF(OR(D10=0,D10="",D10="Athlete"),"",COUNTIF($D$4:$D10,D10))</f>
        <v/>
      </c>
      <c r="W10" s="422" t="str">
        <f t="shared" ca="1" si="2"/>
        <v/>
      </c>
      <c r="Z10" s="422" t="str">
        <f t="shared" ca="1" si="3"/>
        <v/>
      </c>
    </row>
    <row r="11" spans="1:26" x14ac:dyDescent="0.35">
      <c r="B11" s="66">
        <f ca="1">IFERROR(INDIRECT(CONCATENATE("Track1!B",A3+9)),"")</f>
        <v>8</v>
      </c>
      <c r="C11" s="66">
        <f ca="1">IFERROR(INDIRECT(CONCATENATE("Track1!C",A3+9)),"")</f>
        <v>0</v>
      </c>
      <c r="D11" s="89" t="str">
        <f ca="1">IFERROR(INDIRECT(CONCATENATE("Track1!D",A3+9)),"")</f>
        <v/>
      </c>
      <c r="E11" s="89" t="str">
        <f ca="1">IFERROR(INDIRECT(CONCATENATE("Track1!E",A3+9)),"")</f>
        <v/>
      </c>
      <c r="F11" s="65">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65">
        <f ca="1">IFERROR(INDIRECT(CONCATENATE("Track1!M",A3+9)),"")</f>
        <v>0</v>
      </c>
      <c r="N11" s="121" t="str">
        <f ca="1">IFERROR(INDIRECT(CONCATENATE("Track1!N",A3+9)),"")</f>
        <v/>
      </c>
      <c r="T11" s="64" t="str">
        <f t="shared" ca="1" si="0"/>
        <v/>
      </c>
      <c r="U11" s="64" t="str">
        <f t="shared" ca="1" si="1"/>
        <v/>
      </c>
      <c r="V11" s="422" t="str">
        <f ca="1">IF(OR(D11=0,D11="",D11="Athlete"),"",COUNTIF($D$4:$D11,D11))</f>
        <v/>
      </c>
      <c r="W11" s="422" t="str">
        <f t="shared" ca="1" si="2"/>
        <v/>
      </c>
      <c r="Z11" s="422" t="str">
        <f t="shared" ca="1" si="3"/>
        <v/>
      </c>
    </row>
    <row r="12" spans="1:26" x14ac:dyDescent="0.35">
      <c r="T12" s="64" t="str">
        <f t="shared" si="0"/>
        <v/>
      </c>
      <c r="U12" s="64" t="str">
        <f t="shared" si="1"/>
        <v/>
      </c>
      <c r="V12" s="422" t="str">
        <f>IF(OR(D12=0,D12="",D12="Athlete"),"",COUNTIF($D$4:$D12,D12))</f>
        <v/>
      </c>
      <c r="W12" s="422" t="str">
        <f t="shared" si="2"/>
        <v/>
      </c>
      <c r="Z12" s="422" t="str">
        <f t="shared" si="3"/>
        <v/>
      </c>
    </row>
    <row r="13" spans="1:26" x14ac:dyDescent="0.35">
      <c r="A13" s="66" t="s">
        <v>41</v>
      </c>
      <c r="B13" s="115" t="str">
        <f ca="1">IFERROR(INDIRECT(CONCATENATE("Track1!B",A14)),"")</f>
        <v>75m NS U13 Girls A</v>
      </c>
      <c r="E13" s="89" t="s">
        <v>259</v>
      </c>
      <c r="F13" s="400">
        <f ca="1">IFERROR(INDIRECT(CONCATENATE("Track1!f",A14)),"")</f>
        <v>0</v>
      </c>
      <c r="G13" s="121" t="str">
        <f ca="1">IFERROR(INDIRECT(CONCATENATE("Track1!g",A14)),"")</f>
        <v/>
      </c>
      <c r="I13" s="115" t="str">
        <f ca="1">IFERROR(INDIRECT(CONCATENATE("Track1!I",A14)),"")</f>
        <v>75m NS U13 Girls B</v>
      </c>
      <c r="L13" s="89" t="s">
        <v>259</v>
      </c>
      <c r="M13" s="299">
        <f ca="1">IFERROR(INDIRECT(CONCATENATE("Track1!M",A14)),"")</f>
        <v>0</v>
      </c>
      <c r="T13" s="64" t="str">
        <f t="shared" si="0"/>
        <v/>
      </c>
      <c r="U13" s="64" t="str">
        <f t="shared" si="1"/>
        <v/>
      </c>
      <c r="V13" s="422" t="str">
        <f>IF(OR(D13=0,D13="",D13="Athlete"),"",COUNTIF($D$4:$D13,D13))</f>
        <v/>
      </c>
      <c r="W13" s="422" t="str">
        <f t="shared" si="2"/>
        <v/>
      </c>
      <c r="Z13" s="422" t="str">
        <f t="shared" ca="1" si="3"/>
        <v/>
      </c>
    </row>
    <row r="14" spans="1:26" x14ac:dyDescent="0.35">
      <c r="A14" s="66">
        <f>IFERROR(MATCH(A13,Track1!A:A,0),"")</f>
        <v>134</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149"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149" t="str">
        <f ca="1">IFERROR(INDIRECT(CONCATENATE("Track1!M",A14+1)),"")</f>
        <v>Perf</v>
      </c>
      <c r="N14" s="218" t="str">
        <f ca="1">IFERROR(INDIRECT(CONCATENATE("Track1!N",A14+1)),"")</f>
        <v>AAA</v>
      </c>
      <c r="T14" s="64" t="str">
        <f t="shared" ca="1" si="0"/>
        <v/>
      </c>
      <c r="U14" s="64" t="str">
        <f t="shared" ca="1" si="1"/>
        <v/>
      </c>
      <c r="V14" s="422" t="str">
        <f ca="1">IF(OR(D14=0,D14="",D14="Athlete"),"",COUNTIF($D$4:$D14,D14))</f>
        <v/>
      </c>
      <c r="W14" s="422" t="str">
        <f t="shared" ca="1" si="2"/>
        <v/>
      </c>
      <c r="Z14" s="422">
        <f t="shared" ca="1" si="3"/>
        <v>0</v>
      </c>
    </row>
    <row r="15" spans="1:26" x14ac:dyDescent="0.35">
      <c r="B15" s="66">
        <f ca="1">IFERROR(INDIRECT(CONCATENATE("Track1!B",A14+2)),"")</f>
        <v>1</v>
      </c>
      <c r="C15" s="66">
        <f ca="1">IFERROR(INDIRECT(CONCATENATE("Track1!C",A14+2)),"")</f>
        <v>0</v>
      </c>
      <c r="D15" s="89" t="str">
        <f ca="1">IFERROR(INDIRECT(CONCATENATE("Track1!D",A14+2)),"")</f>
        <v/>
      </c>
      <c r="E15" s="89" t="str">
        <f ca="1">IFERROR(INDIRECT(CONCATENATE("Track1!E",A14+2)),"")</f>
        <v/>
      </c>
      <c r="F15" s="65">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65">
        <f ca="1">IFERROR(INDIRECT(CONCATENATE("Track1!M",A14+2)),"")</f>
        <v>0</v>
      </c>
      <c r="N15" s="121" t="str">
        <f ca="1">IFERROR(INDIRECT(CONCATENATE("Track1!N",A14+2)),"")</f>
        <v/>
      </c>
      <c r="R15" s="219">
        <f ca="1">IFERROR(INDIRECT(CONCATENATE("Track1!r",A14+2)),"")</f>
        <v>0</v>
      </c>
      <c r="T15" s="64" t="str">
        <f t="shared" ca="1" si="0"/>
        <v/>
      </c>
      <c r="U15" s="64" t="str">
        <f t="shared" ca="1" si="1"/>
        <v/>
      </c>
      <c r="V15" s="422" t="str">
        <f ca="1">IF(OR(D15=0,D15="",D15="Athlete"),"",COUNTIF($D$4:$D15,D15))</f>
        <v/>
      </c>
      <c r="W15" s="422" t="str">
        <f t="shared" ca="1" si="2"/>
        <v/>
      </c>
      <c r="Z15" s="422" t="str">
        <f t="shared" ca="1" si="3"/>
        <v/>
      </c>
    </row>
    <row r="16" spans="1:26" x14ac:dyDescent="0.35">
      <c r="B16" s="66">
        <f ca="1">IFERROR(INDIRECT(CONCATENATE("Track1!B",A14+3)),"")</f>
        <v>2</v>
      </c>
      <c r="C16" s="66">
        <f ca="1">IFERROR(INDIRECT(CONCATENATE("Track1!C",A14+3)),"")</f>
        <v>0</v>
      </c>
      <c r="D16" s="89" t="str">
        <f ca="1">IFERROR(INDIRECT(CONCATENATE("Track1!D",A14+3)),"")</f>
        <v/>
      </c>
      <c r="E16" s="89" t="str">
        <f ca="1">IFERROR(INDIRECT(CONCATENATE("Track1!E",A14+3)),"")</f>
        <v/>
      </c>
      <c r="F16" s="65">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65">
        <f ca="1">IFERROR(INDIRECT(CONCATENATE("Track1!M",A14+3)),"")</f>
        <v>0</v>
      </c>
      <c r="N16" s="121" t="str">
        <f ca="1">IFERROR(INDIRECT(CONCATENATE("Track1!N",A14+3)),"")</f>
        <v/>
      </c>
      <c r="T16" s="64" t="str">
        <f t="shared" ca="1" si="0"/>
        <v/>
      </c>
      <c r="U16" s="64" t="str">
        <f t="shared" ca="1" si="1"/>
        <v/>
      </c>
      <c r="V16" s="422" t="str">
        <f ca="1">IF(OR(D16=0,D16="",D16="Athlete"),"",COUNTIF($D$4:$D16,D16))</f>
        <v/>
      </c>
      <c r="W16" s="422" t="str">
        <f t="shared" ca="1" si="2"/>
        <v/>
      </c>
      <c r="Z16" s="422" t="str">
        <f t="shared" ca="1" si="3"/>
        <v/>
      </c>
    </row>
    <row r="17" spans="1:26" x14ac:dyDescent="0.35">
      <c r="B17" s="66">
        <f ca="1">IFERROR(INDIRECT(CONCATENATE("Track1!B",A14+4)),"")</f>
        <v>3</v>
      </c>
      <c r="C17" s="66">
        <f ca="1">IFERROR(INDIRECT(CONCATENATE("Track1!C",A14+4)),"")</f>
        <v>0</v>
      </c>
      <c r="D17" s="89" t="str">
        <f ca="1">IFERROR(INDIRECT(CONCATENATE("Track1!D",A14+4)),"")</f>
        <v/>
      </c>
      <c r="E17" s="89" t="str">
        <f ca="1">IFERROR(INDIRECT(CONCATENATE("Track1!E",A14+4)),"")</f>
        <v/>
      </c>
      <c r="F17" s="65">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65">
        <f ca="1">IFERROR(INDIRECT(CONCATENATE("Track1!M",A14+4)),"")</f>
        <v>0</v>
      </c>
      <c r="N17" s="121" t="str">
        <f ca="1">IFERROR(INDIRECT(CONCATENATE("Track1!N",A14+4)),"")</f>
        <v/>
      </c>
      <c r="T17" s="64" t="str">
        <f t="shared" ca="1" si="0"/>
        <v/>
      </c>
      <c r="U17" s="64" t="str">
        <f t="shared" ca="1" si="1"/>
        <v/>
      </c>
      <c r="V17" s="422" t="str">
        <f ca="1">IF(OR(D17=0,D17="",D17="Athlete"),"",COUNTIF($D$4:$D17,D17))</f>
        <v/>
      </c>
      <c r="W17" s="422" t="str">
        <f t="shared" ca="1" si="2"/>
        <v/>
      </c>
      <c r="Z17" s="422" t="str">
        <f t="shared" ca="1" si="3"/>
        <v/>
      </c>
    </row>
    <row r="18" spans="1:26" x14ac:dyDescent="0.35">
      <c r="B18" s="66">
        <f ca="1">IFERROR(INDIRECT(CONCATENATE("Track1!B",A14+5)),"")</f>
        <v>4</v>
      </c>
      <c r="C18" s="66">
        <f ca="1">IFERROR(INDIRECT(CONCATENATE("Track1!C",A14+5)),"")</f>
        <v>0</v>
      </c>
      <c r="D18" s="89" t="str">
        <f ca="1">IFERROR(INDIRECT(CONCATENATE("Track1!D",A14+5)),"")</f>
        <v/>
      </c>
      <c r="E18" s="89" t="str">
        <f ca="1">IFERROR(INDIRECT(CONCATENATE("Track1!E",A14+5)),"")</f>
        <v/>
      </c>
      <c r="F18" s="65">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65">
        <f ca="1">IFERROR(INDIRECT(CONCATENATE("Track1!M",A14+5)),"")</f>
        <v>0</v>
      </c>
      <c r="N18" s="121" t="str">
        <f ca="1">IFERROR(INDIRECT(CONCATENATE("Track1!N",A14+5)),"")</f>
        <v/>
      </c>
      <c r="T18" s="64" t="str">
        <f t="shared" ca="1" si="0"/>
        <v/>
      </c>
      <c r="U18" s="64" t="str">
        <f t="shared" ca="1" si="1"/>
        <v/>
      </c>
      <c r="V18" s="422" t="str">
        <f ca="1">IF(OR(D18=0,D18="",D18="Athlete"),"",COUNTIF($D$4:$D18,D18))</f>
        <v/>
      </c>
      <c r="W18" s="422" t="str">
        <f t="shared" ca="1" si="2"/>
        <v/>
      </c>
      <c r="Z18" s="422" t="str">
        <f t="shared" ca="1" si="3"/>
        <v/>
      </c>
    </row>
    <row r="19" spans="1:26" x14ac:dyDescent="0.35">
      <c r="B19" s="66">
        <f ca="1">IFERROR(INDIRECT(CONCATENATE("Track1!B",A14+6)),"")</f>
        <v>5</v>
      </c>
      <c r="C19" s="66">
        <f ca="1">IFERROR(INDIRECT(CONCATENATE("Track1!C",A14+6)),"")</f>
        <v>0</v>
      </c>
      <c r="D19" s="89" t="str">
        <f ca="1">IFERROR(INDIRECT(CONCATENATE("Track1!D",A14+6)),"")</f>
        <v/>
      </c>
      <c r="E19" s="89" t="str">
        <f ca="1">IFERROR(INDIRECT(CONCATENATE("Track1!E",A14+6)),"")</f>
        <v/>
      </c>
      <c r="F19" s="65">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65">
        <f ca="1">IFERROR(INDIRECT(CONCATENATE("Track1!M",A14+6)),"")</f>
        <v>0</v>
      </c>
      <c r="N19" s="121" t="str">
        <f ca="1">IFERROR(INDIRECT(CONCATENATE("Track1!N",A14+6)),"")</f>
        <v/>
      </c>
      <c r="T19" s="64" t="str">
        <f t="shared" ca="1" si="0"/>
        <v/>
      </c>
      <c r="U19" s="64" t="str">
        <f t="shared" ca="1" si="1"/>
        <v/>
      </c>
      <c r="V19" s="422" t="str">
        <f ca="1">IF(OR(D19=0,D19="",D19="Athlete"),"",COUNTIF($D$4:$D19,D19))</f>
        <v/>
      </c>
      <c r="W19" s="422" t="str">
        <f t="shared" ca="1" si="2"/>
        <v/>
      </c>
      <c r="Z19" s="422" t="str">
        <f t="shared" ca="1" si="3"/>
        <v/>
      </c>
    </row>
    <row r="20" spans="1:26" x14ac:dyDescent="0.35">
      <c r="B20" s="66">
        <f ca="1">IFERROR(INDIRECT(CONCATENATE("Track1!B",A14+7)),"")</f>
        <v>6</v>
      </c>
      <c r="C20" s="66">
        <f ca="1">IFERROR(INDIRECT(CONCATENATE("Track1!C",A14+7)),"")</f>
        <v>0</v>
      </c>
      <c r="D20" s="89" t="str">
        <f ca="1">IFERROR(INDIRECT(CONCATENATE("Track1!D",A14+7)),"")</f>
        <v/>
      </c>
      <c r="E20" s="89" t="str">
        <f ca="1">IFERROR(INDIRECT(CONCATENATE("Track1!E",A14+7)),"")</f>
        <v/>
      </c>
      <c r="F20" s="65">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65">
        <f ca="1">IFERROR(INDIRECT(CONCATENATE("Track1!M",A14+7)),"")</f>
        <v>0</v>
      </c>
      <c r="N20" s="121" t="str">
        <f ca="1">IFERROR(INDIRECT(CONCATENATE("Track1!N",A14+7)),"")</f>
        <v/>
      </c>
      <c r="T20" s="64" t="str">
        <f t="shared" ca="1" si="0"/>
        <v/>
      </c>
      <c r="U20" s="64" t="str">
        <f t="shared" ca="1" si="1"/>
        <v/>
      </c>
      <c r="V20" s="422" t="str">
        <f ca="1">IF(OR(D20=0,D20="",D20="Athlete"),"",COUNTIF($D$4:$D20,D20))</f>
        <v/>
      </c>
      <c r="W20" s="422" t="str">
        <f t="shared" ca="1" si="2"/>
        <v/>
      </c>
      <c r="Z20" s="422" t="str">
        <f t="shared" ca="1" si="3"/>
        <v/>
      </c>
    </row>
    <row r="21" spans="1:26" x14ac:dyDescent="0.35">
      <c r="B21" s="66">
        <f ca="1">IFERROR(INDIRECT(CONCATENATE("Track1!B",A14+8)),"")</f>
        <v>7</v>
      </c>
      <c r="C21" s="66">
        <f ca="1">IFERROR(INDIRECT(CONCATENATE("Track1!C",A14+8)),"")</f>
        <v>0</v>
      </c>
      <c r="D21" s="89" t="str">
        <f ca="1">IFERROR(INDIRECT(CONCATENATE("Track1!D",A14+8)),"")</f>
        <v/>
      </c>
      <c r="E21" s="89" t="str">
        <f ca="1">IFERROR(INDIRECT(CONCATENATE("Track1!E",A14+8)),"")</f>
        <v/>
      </c>
      <c r="F21" s="65">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65">
        <f ca="1">IFERROR(INDIRECT(CONCATENATE("Track1!M",A14+8)),"")</f>
        <v>0</v>
      </c>
      <c r="N21" s="121" t="str">
        <f ca="1">IFERROR(INDIRECT(CONCATENATE("Track1!N",A14+8)),"")</f>
        <v/>
      </c>
      <c r="T21" s="64" t="str">
        <f t="shared" ca="1" si="0"/>
        <v/>
      </c>
      <c r="U21" s="64" t="str">
        <f t="shared" ca="1" si="1"/>
        <v/>
      </c>
      <c r="V21" s="422" t="str">
        <f ca="1">IF(OR(D21=0,D21="",D21="Athlete"),"",COUNTIF($D$4:$D21,D21))</f>
        <v/>
      </c>
      <c r="W21" s="422" t="str">
        <f t="shared" ca="1" si="2"/>
        <v/>
      </c>
      <c r="Z21" s="422" t="str">
        <f t="shared" ca="1" si="3"/>
        <v/>
      </c>
    </row>
    <row r="22" spans="1:26" x14ac:dyDescent="0.35">
      <c r="B22" s="66">
        <f ca="1">IFERROR(INDIRECT(CONCATENATE("Track1!B",A14+9)),"")</f>
        <v>8</v>
      </c>
      <c r="C22" s="66">
        <f ca="1">IFERROR(INDIRECT(CONCATENATE("Track1!C",A14+9)),"")</f>
        <v>0</v>
      </c>
      <c r="D22" s="89" t="str">
        <f ca="1">IFERROR(INDIRECT(CONCATENATE("Track1!D",A14+9)),"")</f>
        <v/>
      </c>
      <c r="E22" s="89" t="str">
        <f ca="1">IFERROR(INDIRECT(CONCATENATE("Track1!E",A14+9)),"")</f>
        <v/>
      </c>
      <c r="F22" s="65">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65">
        <f ca="1">IFERROR(INDIRECT(CONCATENATE("Track1!M",A14+9)),"")</f>
        <v>0</v>
      </c>
      <c r="N22" s="121" t="str">
        <f ca="1">IFERROR(INDIRECT(CONCATENATE("Track1!N",A14+9)),"")</f>
        <v/>
      </c>
      <c r="T22" s="64" t="str">
        <f t="shared" ca="1" si="0"/>
        <v/>
      </c>
      <c r="U22" s="64" t="str">
        <f t="shared" ca="1" si="1"/>
        <v/>
      </c>
      <c r="V22" s="422" t="str">
        <f ca="1">IF(OR(D22=0,D22="",D22="Athlete"),"",COUNTIF($D$4:$D22,D22))</f>
        <v/>
      </c>
      <c r="W22" s="422" t="str">
        <f t="shared" ca="1" si="2"/>
        <v/>
      </c>
      <c r="Z22" s="422" t="str">
        <f t="shared" ca="1" si="3"/>
        <v/>
      </c>
    </row>
    <row r="23" spans="1:26" x14ac:dyDescent="0.35">
      <c r="T23" s="64" t="str">
        <f t="shared" si="0"/>
        <v/>
      </c>
      <c r="U23" s="64" t="str">
        <f t="shared" si="1"/>
        <v/>
      </c>
      <c r="V23" s="422" t="str">
        <f>IF(OR(D23=0,D23="",D23="Athlete"),"",COUNTIF($D$4:$D23,D23))</f>
        <v/>
      </c>
      <c r="W23" s="422" t="str">
        <f t="shared" si="2"/>
        <v/>
      </c>
      <c r="Z23" s="422" t="str">
        <f t="shared" si="3"/>
        <v/>
      </c>
    </row>
    <row r="24" spans="1:26" x14ac:dyDescent="0.35">
      <c r="A24" s="66" t="s">
        <v>36</v>
      </c>
      <c r="B24" s="115" t="str">
        <f ca="1">IFERROR(INDIRECT(CONCATENATE("Track1!B",A25)),"")</f>
        <v>150m U13 Girls A</v>
      </c>
      <c r="E24" s="89" t="s">
        <v>259</v>
      </c>
      <c r="F24" s="400">
        <f ca="1">IFERROR(INDIRECT(CONCATENATE("Track1!f",A25)),"")</f>
        <v>0</v>
      </c>
      <c r="G24" s="121" t="str">
        <f ca="1">IFERROR(INDIRECT(CONCATENATE("Track1!g",A25)),"")</f>
        <v/>
      </c>
      <c r="I24" s="115" t="str">
        <f ca="1">IFERROR(INDIRECT(CONCATENATE("Track1!I",A25)),"")</f>
        <v>150m U13 Girls B</v>
      </c>
      <c r="L24" s="89" t="s">
        <v>259</v>
      </c>
      <c r="M24" s="299">
        <f ca="1">IFERROR(INDIRECT(CONCATENATE("Track1!M",A25)),"")</f>
        <v>0</v>
      </c>
      <c r="T24" s="64" t="str">
        <f t="shared" si="0"/>
        <v/>
      </c>
      <c r="U24" s="64" t="str">
        <f t="shared" si="1"/>
        <v/>
      </c>
      <c r="V24" s="422" t="str">
        <f>IF(OR(D24=0,D24="",D24="Athlete"),"",COUNTIF($D$4:$D24,D24))</f>
        <v/>
      </c>
      <c r="W24" s="422" t="str">
        <f t="shared" si="2"/>
        <v/>
      </c>
      <c r="Z24" s="422" t="str">
        <f t="shared" ca="1" si="3"/>
        <v/>
      </c>
    </row>
    <row r="25" spans="1:26" x14ac:dyDescent="0.35">
      <c r="A25" s="66">
        <f>IFERROR(MATCH(A24,Track1!A:A,0),"")</f>
        <v>46</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149"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149" t="str">
        <f ca="1">IFERROR(INDIRECT(CONCATENATE("Track1!M",A25+1)),"")</f>
        <v>Perf</v>
      </c>
      <c r="N25" s="218" t="str">
        <f ca="1">IFERROR(INDIRECT(CONCATENATE("Track1!N",A25+1)),"")</f>
        <v>AAA</v>
      </c>
      <c r="T25" s="64" t="str">
        <f t="shared" ca="1" si="0"/>
        <v/>
      </c>
      <c r="U25" s="64" t="str">
        <f t="shared" ca="1" si="1"/>
        <v/>
      </c>
      <c r="V25" s="422" t="str">
        <f ca="1">IF(OR(D25=0,D25="",D25="Athlete"),"",COUNTIF($D$4:$D25,D25))</f>
        <v/>
      </c>
      <c r="W25" s="422" t="str">
        <f t="shared" ca="1" si="2"/>
        <v/>
      </c>
      <c r="Z25" s="422">
        <f t="shared" ca="1" si="3"/>
        <v>0</v>
      </c>
    </row>
    <row r="26" spans="1:26" x14ac:dyDescent="0.35">
      <c r="B26" s="66">
        <f ca="1">IFERROR(INDIRECT(CONCATENATE("Track1!B",A25+2)),"")</f>
        <v>1</v>
      </c>
      <c r="C26" s="66">
        <f ca="1">IFERROR(INDIRECT(CONCATENATE("Track1!C",A25+2)),"")</f>
        <v>2</v>
      </c>
      <c r="D26" s="89" t="str">
        <f ca="1">IFERROR(INDIRECT(CONCATENATE("Track1!D",A25+2)),"")</f>
        <v>GROVE Abigail</v>
      </c>
      <c r="E26" s="89" t="str">
        <f ca="1">IFERROR(INDIRECT(CONCATENATE("Track1!E",A25+2)),"")</f>
        <v>Sheff+D</v>
      </c>
      <c r="F26" s="65">
        <f ca="1">IFERROR(INDIRECT(CONCATENATE("Track1!F",A25+2)),"")</f>
        <v>21.4</v>
      </c>
      <c r="G26" s="121">
        <f ca="1">IFERROR(INDIRECT(CONCATENATE("Track1!G",A25+2)),"")</f>
        <v>3</v>
      </c>
      <c r="H26" s="66"/>
      <c r="I26" s="66">
        <f ca="1">IFERROR(INDIRECT(CONCATENATE("Track1!I",A25+2)),"")</f>
        <v>1</v>
      </c>
      <c r="J26" s="66">
        <f ca="1">IFERROR(INDIRECT(CONCATENATE("Track1!J",A25+2)),"")</f>
        <v>22</v>
      </c>
      <c r="K26" s="89" t="str">
        <f ca="1">IFERROR(INDIRECT(CONCATENATE("Track1!K",A25+2)),"")</f>
        <v>HARTLEY Eleanor</v>
      </c>
      <c r="L26" s="89" t="str">
        <f ca="1">IFERROR(INDIRECT(CONCATENATE("Track1!L",A25+2)),"")</f>
        <v>Sheff+D</v>
      </c>
      <c r="M26" s="65">
        <f ca="1">IFERROR(INDIRECT(CONCATENATE("Track1!M",A25+2)),"")</f>
        <v>22</v>
      </c>
      <c r="N26" s="121">
        <f ca="1">IFERROR(INDIRECT(CONCATENATE("Track1!N",A25+2)),"")</f>
        <v>4</v>
      </c>
      <c r="R26" s="219">
        <f ca="1">IFERROR(INDIRECT(CONCATENATE("Track1!r",A25+2)),"")</f>
        <v>1</v>
      </c>
      <c r="T26" s="64">
        <f t="shared" ca="1" si="0"/>
        <v>2</v>
      </c>
      <c r="U26" s="64">
        <f t="shared" ca="1" si="1"/>
        <v>3</v>
      </c>
      <c r="V26" s="422">
        <f ca="1">IF(OR(D26=0,D26="",D26="Athlete"),"",COUNTIF($D$4:$D26,D26))</f>
        <v>1</v>
      </c>
      <c r="W26" s="422" t="str">
        <f t="shared" ca="1" si="2"/>
        <v>Sheff+D</v>
      </c>
      <c r="Z26" s="422">
        <f t="shared" ca="1" si="3"/>
        <v>0</v>
      </c>
    </row>
    <row r="27" spans="1:26" x14ac:dyDescent="0.35">
      <c r="B27" s="66">
        <f ca="1">IFERROR(INDIRECT(CONCATENATE("Track1!B",A25+3)),"")</f>
        <v>2</v>
      </c>
      <c r="C27" s="66">
        <f ca="1">IFERROR(INDIRECT(CONCATENATE("Track1!C",A25+3)),"")</f>
        <v>3</v>
      </c>
      <c r="D27" s="89" t="str">
        <f ca="1">IFERROR(INDIRECT(CONCATENATE("Track1!D",A25+3)),"")</f>
        <v>MARSHALL Nancy</v>
      </c>
      <c r="E27" s="89" t="str">
        <f ca="1">IFERROR(INDIRECT(CONCATENATE("Track1!E",A25+3)),"")</f>
        <v>York</v>
      </c>
      <c r="F27" s="65">
        <f ca="1">IFERROR(INDIRECT(CONCATENATE("Track1!F",A25+3)),"")</f>
        <v>21.5</v>
      </c>
      <c r="G27" s="121">
        <f ca="1">IFERROR(INDIRECT(CONCATENATE("Track1!G",A25+3)),"")</f>
        <v>3</v>
      </c>
      <c r="H27" s="66"/>
      <c r="I27" s="66">
        <f ca="1">IFERROR(INDIRECT(CONCATENATE("Track1!I",A25+3)),"")</f>
        <v>2</v>
      </c>
      <c r="J27" s="66">
        <f ca="1">IFERROR(INDIRECT(CONCATENATE("Track1!J",A25+3)),"")</f>
        <v>44</v>
      </c>
      <c r="K27" s="89" t="str">
        <f ca="1">IFERROR(INDIRECT(CONCATENATE("Track1!K",A25+3)),"")</f>
        <v>SEDGWICK Emma</v>
      </c>
      <c r="L27" s="89" t="str">
        <f ca="1">IFERROR(INDIRECT(CONCATENATE("Track1!L",A25+3)),"")</f>
        <v>M'bro</v>
      </c>
      <c r="M27" s="65">
        <f ca="1">IFERROR(INDIRECT(CONCATENATE("Track1!M",A25+3)),"")</f>
        <v>22</v>
      </c>
      <c r="N27" s="121">
        <f ca="1">IFERROR(INDIRECT(CONCATENATE("Track1!N",A25+3)),"")</f>
        <v>4</v>
      </c>
      <c r="T27" s="64">
        <f t="shared" ca="1" si="0"/>
        <v>1</v>
      </c>
      <c r="U27" s="64">
        <f t="shared" ca="1" si="1"/>
        <v>3</v>
      </c>
      <c r="V27" s="422">
        <f ca="1">IF(OR(D27=0,D27="",D27="Athlete"),"",COUNTIF($D$4:$D27,D27))</f>
        <v>1</v>
      </c>
      <c r="W27" s="422" t="str">
        <f t="shared" ca="1" si="2"/>
        <v>York</v>
      </c>
      <c r="Z27" s="422">
        <f t="shared" ca="1" si="3"/>
        <v>0</v>
      </c>
    </row>
    <row r="28" spans="1:26" x14ac:dyDescent="0.35">
      <c r="B28" s="66">
        <f ca="1">IFERROR(INDIRECT(CONCATENATE("Track1!B",A25+4)),"")</f>
        <v>3</v>
      </c>
      <c r="C28" s="66">
        <f ca="1">IFERROR(INDIRECT(CONCATENATE("Track1!C",A25+4)),"")</f>
        <v>4</v>
      </c>
      <c r="D28" s="89" t="str">
        <f ca="1">IFERROR(INDIRECT(CONCATENATE("Track1!D",A25+4)),"")</f>
        <v>SULLOCK Beth</v>
      </c>
      <c r="E28" s="89" t="str">
        <f ca="1">IFERROR(INDIRECT(CONCATENATE("Track1!E",A25+4)),"")</f>
        <v>M'bro</v>
      </c>
      <c r="F28" s="65">
        <f ca="1">IFERROR(INDIRECT(CONCATENATE("Track1!F",A25+4)),"")</f>
        <v>22.8</v>
      </c>
      <c r="G28" s="121" t="str">
        <f ca="1">IFERROR(INDIRECT(CONCATENATE("Track1!G",A25+4)),"")</f>
        <v/>
      </c>
      <c r="H28" s="66"/>
      <c r="I28" s="66">
        <f ca="1">IFERROR(INDIRECT(CONCATENATE("Track1!I",A25+4)),"")</f>
        <v>3</v>
      </c>
      <c r="J28" s="66">
        <f ca="1">IFERROR(INDIRECT(CONCATENATE("Track1!J",A25+4)),"")</f>
        <v>33</v>
      </c>
      <c r="K28" s="89" t="str">
        <f ca="1">IFERROR(INDIRECT(CONCATENATE("Track1!K",A25+4)),"")</f>
        <v>BIRCH Louisa</v>
      </c>
      <c r="L28" s="89" t="str">
        <f ca="1">IFERROR(INDIRECT(CONCATENATE("Track1!L",A25+4)),"")</f>
        <v>York</v>
      </c>
      <c r="M28" s="65">
        <f ca="1">IFERROR(INDIRECT(CONCATENATE("Track1!M",A25+4)),"")</f>
        <v>22.5</v>
      </c>
      <c r="N28" s="121" t="str">
        <f ca="1">IFERROR(INDIRECT(CONCATENATE("Track1!N",A25+4)),"")</f>
        <v/>
      </c>
      <c r="T28" s="64">
        <f t="shared" ca="1" si="0"/>
        <v>3</v>
      </c>
      <c r="U28" s="64">
        <f t="shared" ca="1" si="1"/>
        <v>1</v>
      </c>
      <c r="V28" s="422">
        <f ca="1">IF(OR(D28=0,D28="",D28="Athlete"),"",COUNTIF($D$4:$D28,D28))</f>
        <v>1</v>
      </c>
      <c r="W28" s="422" t="str">
        <f t="shared" ca="1" si="2"/>
        <v>M'bro</v>
      </c>
      <c r="Z28" s="422" t="str">
        <f t="shared" ca="1" si="3"/>
        <v/>
      </c>
    </row>
    <row r="29" spans="1:26" x14ac:dyDescent="0.35">
      <c r="B29" s="66">
        <f ca="1">IFERROR(INDIRECT(CONCATENATE("Track1!B",A25+5)),"")</f>
        <v>4</v>
      </c>
      <c r="C29" s="66">
        <f ca="1">IFERROR(INDIRECT(CONCATENATE("Track1!C",A25+5)),"")</f>
        <v>5</v>
      </c>
      <c r="D29" s="89" t="str">
        <f ca="1">IFERROR(INDIRECT(CONCATENATE("Track1!D",A25+5)),"")</f>
        <v>LINGARD Beatrice</v>
      </c>
      <c r="E29" s="89" t="str">
        <f ca="1">IFERROR(INDIRECT(CONCATENATE("Track1!E",A25+5)),"")</f>
        <v>Scun</v>
      </c>
      <c r="F29" s="65">
        <f ca="1">IFERROR(INDIRECT(CONCATENATE("Track1!F",A25+5)),"")</f>
        <v>23.4</v>
      </c>
      <c r="G29" s="121" t="str">
        <f ca="1">IFERROR(INDIRECT(CONCATENATE("Track1!G",A25+5)),"")</f>
        <v/>
      </c>
      <c r="H29" s="66"/>
      <c r="I29" s="66">
        <f ca="1">IFERROR(INDIRECT(CONCATENATE("Track1!I",A25+5)),"")</f>
        <v>4</v>
      </c>
      <c r="J29" s="66">
        <f ca="1">IFERROR(INDIRECT(CONCATENATE("Track1!J",A25+5)),"")</f>
        <v>11</v>
      </c>
      <c r="K29" s="89" t="str">
        <f ca="1">IFERROR(INDIRECT(CONCATENATE("Track1!K",A25+5)),"")</f>
        <v>SAS Evelyn</v>
      </c>
      <c r="L29" s="89" t="str">
        <f ca="1">IFERROR(INDIRECT(CONCATENATE("Track1!L",A25+5)),"")</f>
        <v>C'field</v>
      </c>
      <c r="M29" s="65">
        <f ca="1">IFERROR(INDIRECT(CONCATENATE("Track1!M",A25+5)),"")</f>
        <v>24.4</v>
      </c>
      <c r="N29" s="121" t="str">
        <f ca="1">IFERROR(INDIRECT(CONCATENATE("Track1!N",A25+5)),"")</f>
        <v/>
      </c>
      <c r="T29" s="64">
        <f t="shared" ca="1" si="0"/>
        <v>1</v>
      </c>
      <c r="U29" s="64">
        <f t="shared" ca="1" si="1"/>
        <v>1</v>
      </c>
      <c r="V29" s="422">
        <f ca="1">IF(OR(D29=0,D29="",D29="Athlete"),"",COUNTIF($D$4:$D29,D29))</f>
        <v>1</v>
      </c>
      <c r="W29" s="422" t="str">
        <f t="shared" ca="1" si="2"/>
        <v>Scun</v>
      </c>
      <c r="Z29" s="422" t="str">
        <f t="shared" ca="1" si="3"/>
        <v/>
      </c>
    </row>
    <row r="30" spans="1:26" x14ac:dyDescent="0.35">
      <c r="B30" s="66">
        <f ca="1">IFERROR(INDIRECT(CONCATENATE("Track1!B",A25+6)),"")</f>
        <v>5</v>
      </c>
      <c r="C30" s="66">
        <f ca="1">IFERROR(INDIRECT(CONCATENATE("Track1!C",A25+6)),"")</f>
        <v>1</v>
      </c>
      <c r="D30" s="89" t="str">
        <f ca="1">IFERROR(INDIRECT(CONCATENATE("Track1!D",A25+6)),"")</f>
        <v>GRIFFIN Lydia</v>
      </c>
      <c r="E30" s="89" t="str">
        <f ca="1">IFERROR(INDIRECT(CONCATENATE("Track1!E",A25+6)),"")</f>
        <v>C'field</v>
      </c>
      <c r="F30" s="65">
        <f ca="1">IFERROR(INDIRECT(CONCATENATE("Track1!F",A25+6)),"")</f>
        <v>25.2</v>
      </c>
      <c r="G30" s="121" t="str">
        <f ca="1">IFERROR(INDIRECT(CONCATENATE("Track1!G",A25+6)),"")</f>
        <v/>
      </c>
      <c r="H30" s="66"/>
      <c r="I30" s="66">
        <f ca="1">IFERROR(INDIRECT(CONCATENATE("Track1!I",A25+6)),"")</f>
        <v>5</v>
      </c>
      <c r="J30" s="66">
        <f ca="1">IFERROR(INDIRECT(CONCATENATE("Track1!J",A25+6)),"")</f>
        <v>55</v>
      </c>
      <c r="K30" s="89" t="str">
        <f ca="1">IFERROR(INDIRECT(CONCATENATE("Track1!K",A25+6)),"")</f>
        <v>HAYES Zara</v>
      </c>
      <c r="L30" s="89" t="str">
        <f ca="1">IFERROR(INDIRECT(CONCATENATE("Track1!L",A25+6)),"")</f>
        <v>Scun</v>
      </c>
      <c r="M30" s="65">
        <f ca="1">IFERROR(INDIRECT(CONCATENATE("Track1!M",A25+6)),"")</f>
        <v>25.6</v>
      </c>
      <c r="N30" s="121" t="str">
        <f ca="1">IFERROR(INDIRECT(CONCATENATE("Track1!N",A25+6)),"")</f>
        <v/>
      </c>
      <c r="T30" s="64">
        <f t="shared" ca="1" si="0"/>
        <v>2</v>
      </c>
      <c r="U30" s="64">
        <f t="shared" ca="1" si="1"/>
        <v>3</v>
      </c>
      <c r="V30" s="422">
        <f ca="1">IF(OR(D30=0,D30="",D30="Athlete"),"",COUNTIF($D$4:$D30,D30))</f>
        <v>1</v>
      </c>
      <c r="W30" s="422" t="str">
        <f t="shared" ca="1" si="2"/>
        <v>C'field</v>
      </c>
      <c r="Z30" s="422" t="str">
        <f t="shared" ca="1" si="3"/>
        <v/>
      </c>
    </row>
    <row r="31" spans="1:26" x14ac:dyDescent="0.35">
      <c r="B31" s="66">
        <f ca="1">IFERROR(INDIRECT(CONCATENATE("Track1!B",A25+7)),"")</f>
        <v>6</v>
      </c>
      <c r="C31" s="66">
        <f ca="1">IFERROR(INDIRECT(CONCATENATE("Track1!C",A25+7)),"")</f>
        <v>0</v>
      </c>
      <c r="D31" s="89" t="str">
        <f ca="1">IFERROR(INDIRECT(CONCATENATE("Track1!D",A25+7)),"")</f>
        <v/>
      </c>
      <c r="E31" s="89" t="str">
        <f ca="1">IFERROR(INDIRECT(CONCATENATE("Track1!E",A25+7)),"")</f>
        <v/>
      </c>
      <c r="F31" s="65">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65">
        <f ca="1">IFERROR(INDIRECT(CONCATENATE("Track1!M",A25+7)),"")</f>
        <v>0</v>
      </c>
      <c r="N31" s="121" t="str">
        <f ca="1">IFERROR(INDIRECT(CONCATENATE("Track1!N",A25+7)),"")</f>
        <v/>
      </c>
      <c r="T31" s="64" t="str">
        <f t="shared" ca="1" si="0"/>
        <v/>
      </c>
      <c r="U31" s="64" t="str">
        <f t="shared" ca="1" si="1"/>
        <v/>
      </c>
      <c r="V31" s="422" t="str">
        <f ca="1">IF(OR(D31=0,D31="",D31="Athlete"),"",COUNTIF($D$4:$D31,D31))</f>
        <v/>
      </c>
      <c r="W31" s="422" t="str">
        <f t="shared" ca="1" si="2"/>
        <v/>
      </c>
      <c r="Z31" s="422" t="str">
        <f t="shared" ca="1" si="3"/>
        <v/>
      </c>
    </row>
    <row r="32" spans="1:26" x14ac:dyDescent="0.35">
      <c r="B32" s="66">
        <f ca="1">IFERROR(INDIRECT(CONCATENATE("Track1!B",A25+8)),"")</f>
        <v>7</v>
      </c>
      <c r="C32" s="66">
        <f ca="1">IFERROR(INDIRECT(CONCATENATE("Track1!C",A25+8)),"")</f>
        <v>0</v>
      </c>
      <c r="D32" s="89" t="str">
        <f ca="1">IFERROR(INDIRECT(CONCATENATE("Track1!D",A25+8)),"")</f>
        <v/>
      </c>
      <c r="E32" s="89" t="str">
        <f ca="1">IFERROR(INDIRECT(CONCATENATE("Track1!E",A25+8)),"")</f>
        <v/>
      </c>
      <c r="F32" s="65">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65">
        <f ca="1">IFERROR(INDIRECT(CONCATENATE("Track1!M",A25+8)),"")</f>
        <v>0</v>
      </c>
      <c r="N32" s="121" t="str">
        <f ca="1">IFERROR(INDIRECT(CONCATENATE("Track1!N",A25+8)),"")</f>
        <v/>
      </c>
      <c r="T32" s="64" t="str">
        <f t="shared" ca="1" si="0"/>
        <v/>
      </c>
      <c r="U32" s="64" t="str">
        <f t="shared" ca="1" si="1"/>
        <v/>
      </c>
      <c r="V32" s="422" t="str">
        <f ca="1">IF(OR(D32=0,D32="",D32="Athlete"),"",COUNTIF($D$4:$D32,D32))</f>
        <v/>
      </c>
      <c r="W32" s="422" t="str">
        <f t="shared" ca="1" si="2"/>
        <v/>
      </c>
      <c r="Z32" s="422" t="str">
        <f t="shared" ca="1" si="3"/>
        <v/>
      </c>
    </row>
    <row r="33" spans="1:26" x14ac:dyDescent="0.35">
      <c r="B33" s="66">
        <f ca="1">IFERROR(INDIRECT(CONCATENATE("Track1!B",A25+9)),"")</f>
        <v>8</v>
      </c>
      <c r="C33" s="66">
        <f ca="1">IFERROR(INDIRECT(CONCATENATE("Track1!C",A25+9)),"")</f>
        <v>0</v>
      </c>
      <c r="D33" s="89" t="str">
        <f ca="1">IFERROR(INDIRECT(CONCATENATE("Track1!D",A25+9)),"")</f>
        <v/>
      </c>
      <c r="E33" s="89" t="str">
        <f ca="1">IFERROR(INDIRECT(CONCATENATE("Track1!E",A25+9)),"")</f>
        <v/>
      </c>
      <c r="F33" s="65">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65">
        <f ca="1">IFERROR(INDIRECT(CONCATENATE("Track1!M",A25+9)),"")</f>
        <v>0</v>
      </c>
      <c r="N33" s="121" t="str">
        <f ca="1">IFERROR(INDIRECT(CONCATENATE("Track1!N",A25+9)),"")</f>
        <v/>
      </c>
      <c r="T33" s="64" t="str">
        <f t="shared" ca="1" si="0"/>
        <v/>
      </c>
      <c r="U33" s="64" t="str">
        <f t="shared" ca="1" si="1"/>
        <v/>
      </c>
      <c r="V33" s="422" t="str">
        <f ca="1">IF(OR(D33=0,D33="",D33="Athlete"),"",COUNTIF($D$4:$D33,D33))</f>
        <v/>
      </c>
      <c r="W33" s="422" t="str">
        <f t="shared" ca="1" si="2"/>
        <v/>
      </c>
      <c r="Z33" s="422" t="str">
        <f t="shared" ca="1" si="3"/>
        <v/>
      </c>
    </row>
    <row r="34" spans="1:26" x14ac:dyDescent="0.35">
      <c r="T34" s="64" t="str">
        <f t="shared" si="0"/>
        <v/>
      </c>
      <c r="U34" s="64" t="str">
        <f t="shared" si="1"/>
        <v/>
      </c>
      <c r="V34" s="422" t="str">
        <f>IF(OR(D34=0,D34="",D34="Athlete"),"",COUNTIF($D$4:$D34,D34))</f>
        <v/>
      </c>
      <c r="W34" s="422" t="str">
        <f t="shared" si="2"/>
        <v/>
      </c>
      <c r="Z34" s="422" t="str">
        <f t="shared" si="3"/>
        <v/>
      </c>
    </row>
    <row r="35" spans="1:26" x14ac:dyDescent="0.35">
      <c r="A35" s="66" t="s">
        <v>506</v>
      </c>
      <c r="B35" s="115" t="str">
        <f ca="1">IFERROR(INDIRECT(CONCATENATE("Track1!B",A36)),"")</f>
        <v>800m U13 Girls A</v>
      </c>
      <c r="F35" s="401">
        <f ca="1">IFERROR(INDIRECT(CONCATENATE("Track1!f",A36)),"")</f>
        <v>0</v>
      </c>
      <c r="G35" s="121" t="str">
        <f ca="1">IFERROR(INDIRECT(CONCATENATE("Track1!g",A36)),"")</f>
        <v/>
      </c>
      <c r="I35" s="115" t="str">
        <f ca="1">IFERROR(INDIRECT(CONCATENATE("Track1!I",A36)),"")</f>
        <v>800m U13 Girls B</v>
      </c>
      <c r="T35" s="64" t="str">
        <f t="shared" si="0"/>
        <v/>
      </c>
      <c r="U35" s="64" t="str">
        <f t="shared" si="1"/>
        <v/>
      </c>
      <c r="V35" s="422" t="str">
        <f>IF(OR(D35=0,D35="",D35="Athlete"),"",COUNTIF($D$4:$D35,D35))</f>
        <v/>
      </c>
      <c r="W35" s="422" t="str">
        <f t="shared" si="2"/>
        <v/>
      </c>
      <c r="Z35" s="422" t="str">
        <f t="shared" ca="1" si="3"/>
        <v/>
      </c>
    </row>
    <row r="36" spans="1:26" x14ac:dyDescent="0.35">
      <c r="A36" s="66">
        <f>IFERROR(MATCH(A35,Track1!A:A,0),"")</f>
        <v>200</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149"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149" t="str">
        <f ca="1">IFERROR(INDIRECT(CONCATENATE("Track1!M",A36+1)),"")</f>
        <v>Perf</v>
      </c>
      <c r="N36" s="218" t="str">
        <f ca="1">IFERROR(INDIRECT(CONCATENATE("Track1!N",A36+1)),"")</f>
        <v>AAA</v>
      </c>
      <c r="T36" s="64" t="str">
        <f t="shared" ca="1" si="0"/>
        <v/>
      </c>
      <c r="U36" s="64" t="str">
        <f t="shared" ca="1" si="1"/>
        <v/>
      </c>
      <c r="V36" s="422" t="str">
        <f ca="1">IF(OR(D36=0,D36="",D36="Athlete"),"",COUNTIF($D$4:$D36,D36))</f>
        <v/>
      </c>
      <c r="W36" s="422" t="str">
        <f t="shared" ca="1" si="2"/>
        <v/>
      </c>
      <c r="Z36" s="422">
        <f t="shared" ca="1" si="3"/>
        <v>0</v>
      </c>
    </row>
    <row r="37" spans="1:26" x14ac:dyDescent="0.35">
      <c r="B37" s="66">
        <f ca="1">IFERROR(INDIRECT(CONCATENATE("Track1!B",A36+2)),"")</f>
        <v>1</v>
      </c>
      <c r="C37" s="66">
        <f ca="1">IFERROR(INDIRECT(CONCATENATE("Track1!C",A36+2)),"")</f>
        <v>3</v>
      </c>
      <c r="D37" s="89" t="str">
        <f ca="1">IFERROR(INDIRECT(CONCATENATE("Track1!D",A36+2)),"")</f>
        <v>SIGSWORTH Martha</v>
      </c>
      <c r="E37" s="89" t="str">
        <f ca="1">IFERROR(INDIRECT(CONCATENATE("Track1!E",A36+2)),"")</f>
        <v>York</v>
      </c>
      <c r="F37" s="109">
        <f ca="1">IFERROR(INDIRECT(CONCATENATE("Track1!T",A36+2)),"")</f>
        <v>1.8923611111111112E-3</v>
      </c>
      <c r="G37" s="121" t="str">
        <f ca="1">IFERROR(INDIRECT(CONCATENATE("Track1!G",A36+2)),"")</f>
        <v/>
      </c>
      <c r="H37" s="66"/>
      <c r="I37" s="66">
        <f ca="1">IFERROR(INDIRECT(CONCATENATE("Track1!I",A36+2)),"")</f>
        <v>1</v>
      </c>
      <c r="J37" s="66">
        <f ca="1">IFERROR(INDIRECT(CONCATENATE("Track1!J",A36+2)),"")</f>
        <v>33</v>
      </c>
      <c r="K37" s="89" t="str">
        <f ca="1">IFERROR(INDIRECT(CONCATENATE("Track1!K",A36+2)),"")</f>
        <v>BROOKS Laura</v>
      </c>
      <c r="L37" s="89" t="str">
        <f ca="1">IFERROR(INDIRECT(CONCATENATE("Track1!L",A36+2)),"")</f>
        <v>York</v>
      </c>
      <c r="M37" s="109">
        <f ca="1">IFERROR(INDIRECT(CONCATENATE("Track1!U",A36+2)),"")</f>
        <v>1.9375000000000004E-3</v>
      </c>
      <c r="N37" s="121" t="str">
        <f ca="1">IFERROR(INDIRECT(CONCATENATE("Track1!N",A36+2)),"")</f>
        <v/>
      </c>
      <c r="R37" s="219">
        <f ca="1">IFERROR(INDIRECT(CONCATENATE("Track1!r",A36+2)),"")</f>
        <v>1</v>
      </c>
      <c r="T37" s="64">
        <f t="shared" ca="1" si="0"/>
        <v>2</v>
      </c>
      <c r="U37" s="64">
        <f t="shared" ca="1" si="1"/>
        <v>1</v>
      </c>
      <c r="V37" s="422">
        <f ca="1">IF(OR(D37=0,D37="",D37="Athlete"),"",COUNTIF($D$4:$D37,D37))</f>
        <v>1</v>
      </c>
      <c r="W37" s="422" t="str">
        <f t="shared" ca="1" si="2"/>
        <v>York</v>
      </c>
      <c r="Z37" s="422" t="str">
        <f t="shared" ca="1" si="3"/>
        <v/>
      </c>
    </row>
    <row r="38" spans="1:26" x14ac:dyDescent="0.35">
      <c r="B38" s="66">
        <f ca="1">IFERROR(INDIRECT(CONCATENATE("Track1!B",A36+3)),"")</f>
        <v>2</v>
      </c>
      <c r="C38" s="66">
        <f ca="1">IFERROR(INDIRECT(CONCATENATE("Track1!C",A36+3)),"")</f>
        <v>4</v>
      </c>
      <c r="D38" s="89" t="str">
        <f ca="1">IFERROR(INDIRECT(CONCATENATE("Track1!D",A36+3)),"")</f>
        <v>LILLIE Freya</v>
      </c>
      <c r="E38" s="89" t="str">
        <f ca="1">IFERROR(INDIRECT(CONCATENATE("Track1!E",A36+3)),"")</f>
        <v>M'bro</v>
      </c>
      <c r="F38" s="109">
        <f ca="1">IFERROR(INDIRECT(CONCATENATE("Track1!T",A36+3)),"")</f>
        <v>1.9074074074074076E-3</v>
      </c>
      <c r="G38" s="121" t="str">
        <f ca="1">IFERROR(INDIRECT(CONCATENATE("Track1!G",A36+3)),"")</f>
        <v/>
      </c>
      <c r="H38" s="66"/>
      <c r="I38" s="66">
        <f ca="1">IFERROR(INDIRECT(CONCATENATE("Track1!I",A36+3)),"")</f>
        <v>2</v>
      </c>
      <c r="J38" s="66">
        <f ca="1">IFERROR(INDIRECT(CONCATENATE("Track1!J",A36+3)),"")</f>
        <v>11</v>
      </c>
      <c r="K38" s="89" t="str">
        <f ca="1">IFERROR(INDIRECT(CONCATENATE("Track1!K",A36+3)),"")</f>
        <v>PELL Gracie</v>
      </c>
      <c r="L38" s="89" t="str">
        <f ca="1">IFERROR(INDIRECT(CONCATENATE("Track1!L",A36+3)),"")</f>
        <v>C'field</v>
      </c>
      <c r="M38" s="109">
        <f ca="1">IFERROR(INDIRECT(CONCATENATE("Track1!U",A36+3)),"")</f>
        <v>2.0694444444444445E-3</v>
      </c>
      <c r="N38" s="121" t="str">
        <f ca="1">IFERROR(INDIRECT(CONCATENATE("Track1!N",A36+3)),"")</f>
        <v/>
      </c>
      <c r="T38" s="64">
        <f t="shared" ca="1" si="0"/>
        <v>1</v>
      </c>
      <c r="U38" s="64">
        <f t="shared" ca="1" si="1"/>
        <v>2</v>
      </c>
      <c r="V38" s="422">
        <f ca="1">IF(OR(D38=0,D38="",D38="Athlete"),"",COUNTIF($D$4:$D38,D38))</f>
        <v>1</v>
      </c>
      <c r="W38" s="422" t="str">
        <f t="shared" ca="1" si="2"/>
        <v>M'bro</v>
      </c>
      <c r="Z38" s="422" t="str">
        <f t="shared" ca="1" si="3"/>
        <v/>
      </c>
    </row>
    <row r="39" spans="1:26" x14ac:dyDescent="0.35">
      <c r="B39" s="66">
        <f ca="1">IFERROR(INDIRECT(CONCATENATE("Track1!B",A36+4)),"")</f>
        <v>3</v>
      </c>
      <c r="C39" s="66">
        <f ca="1">IFERROR(INDIRECT(CONCATENATE("Track1!C",A36+4)),"")</f>
        <v>1</v>
      </c>
      <c r="D39" s="89" t="str">
        <f ca="1">IFERROR(INDIRECT(CONCATENATE("Track1!D",A36+4)),"")</f>
        <v>STANILAND Charlotte</v>
      </c>
      <c r="E39" s="89" t="str">
        <f ca="1">IFERROR(INDIRECT(CONCATENATE("Track1!E",A36+4)),"")</f>
        <v>C'field</v>
      </c>
      <c r="F39" s="109">
        <f ca="1">IFERROR(INDIRECT(CONCATENATE("Track1!T",A36+4)),"")</f>
        <v>2.0219907407407409E-3</v>
      </c>
      <c r="G39" s="121" t="str">
        <f ca="1">IFERROR(INDIRECT(CONCATENATE("Track1!G",A36+4)),"")</f>
        <v/>
      </c>
      <c r="H39" s="66"/>
      <c r="I39" s="66">
        <f ca="1">IFERROR(INDIRECT(CONCATENATE("Track1!I",A36+4)),"")</f>
        <v>3</v>
      </c>
      <c r="J39" s="66">
        <f ca="1">IFERROR(INDIRECT(CONCATENATE("Track1!J",A36+4)),"")</f>
        <v>0</v>
      </c>
      <c r="K39" s="89" t="str">
        <f ca="1">IFERROR(INDIRECT(CONCATENATE("Track1!K",A36+4)),"")</f>
        <v/>
      </c>
      <c r="L39" s="89" t="str">
        <f ca="1">IFERROR(INDIRECT(CONCATENATE("Track1!L",A36+4)),"")</f>
        <v/>
      </c>
      <c r="M39" s="109">
        <f ca="1">IFERROR(INDIRECT(CONCATENATE("Track1!U",A36+4)),"")</f>
        <v>0</v>
      </c>
      <c r="N39" s="121" t="str">
        <f ca="1">IFERROR(INDIRECT(CONCATENATE("Track1!N",A36+4)),"")</f>
        <v/>
      </c>
      <c r="T39" s="64">
        <f t="shared" ca="1" si="0"/>
        <v>3</v>
      </c>
      <c r="U39" s="64" t="str">
        <f t="shared" ca="1" si="1"/>
        <v/>
      </c>
      <c r="V39" s="422">
        <f ca="1">IF(OR(D39=0,D39="",D39="Athlete"),"",COUNTIF($D$4:$D39,D39))</f>
        <v>1</v>
      </c>
      <c r="W39" s="422" t="str">
        <f t="shared" ca="1" si="2"/>
        <v>C'field</v>
      </c>
      <c r="Z39" s="422" t="str">
        <f t="shared" ca="1" si="3"/>
        <v/>
      </c>
    </row>
    <row r="40" spans="1:26" x14ac:dyDescent="0.35">
      <c r="B40" s="66">
        <f ca="1">IFERROR(INDIRECT(CONCATENATE("Track1!B",A36+5)),"")</f>
        <v>4</v>
      </c>
      <c r="C40" s="66">
        <f ca="1">IFERROR(INDIRECT(CONCATENATE("Track1!C",A36+5)),"")</f>
        <v>5</v>
      </c>
      <c r="D40" s="89" t="str">
        <f ca="1">IFERROR(INDIRECT(CONCATENATE("Track1!D",A36+5)),"")</f>
        <v>ABDI Zulekha</v>
      </c>
      <c r="E40" s="89" t="str">
        <f ca="1">IFERROR(INDIRECT(CONCATENATE("Track1!E",A36+5)),"")</f>
        <v>Scun</v>
      </c>
      <c r="F40" s="109">
        <f ca="1">IFERROR(INDIRECT(CONCATENATE("Track1!T",A36+5)),"")</f>
        <v>2.4664351851851852E-3</v>
      </c>
      <c r="G40" s="121" t="str">
        <f ca="1">IFERROR(INDIRECT(CONCATENATE("Track1!G",A36+5)),"")</f>
        <v/>
      </c>
      <c r="H40" s="66"/>
      <c r="I40" s="66">
        <f ca="1">IFERROR(INDIRECT(CONCATENATE("Track1!I",A36+5)),"")</f>
        <v>4</v>
      </c>
      <c r="J40" s="66">
        <f ca="1">IFERROR(INDIRECT(CONCATENATE("Track1!J",A36+5)),"")</f>
        <v>0</v>
      </c>
      <c r="K40" s="89" t="str">
        <f ca="1">IFERROR(INDIRECT(CONCATENATE("Track1!K",A36+5)),"")</f>
        <v/>
      </c>
      <c r="L40" s="89" t="str">
        <f ca="1">IFERROR(INDIRECT(CONCATENATE("Track1!L",A36+5)),"")</f>
        <v/>
      </c>
      <c r="M40" s="109">
        <f ca="1">IFERROR(INDIRECT(CONCATENATE("Track1!U",A36+5)),"")</f>
        <v>0</v>
      </c>
      <c r="N40" s="121" t="str">
        <f ca="1">IFERROR(INDIRECT(CONCATENATE("Track1!N",A36+5)),"")</f>
        <v/>
      </c>
      <c r="T40" s="64">
        <f t="shared" ca="1" si="0"/>
        <v>2</v>
      </c>
      <c r="U40" s="64" t="str">
        <f t="shared" ca="1" si="1"/>
        <v/>
      </c>
      <c r="V40" s="422">
        <f ca="1">IF(OR(D40=0,D40="",D40="Athlete"),"",COUNTIF($D$4:$D40,D40))</f>
        <v>1</v>
      </c>
      <c r="W40" s="422" t="str">
        <f t="shared" ca="1" si="2"/>
        <v>Scun</v>
      </c>
      <c r="Z40" s="422" t="str">
        <f t="shared" ca="1" si="3"/>
        <v/>
      </c>
    </row>
    <row r="41" spans="1:26" x14ac:dyDescent="0.35">
      <c r="B41" s="66">
        <f ca="1">IFERROR(INDIRECT(CONCATENATE("Track1!B",A36+6)),"")</f>
        <v>5</v>
      </c>
      <c r="C41" s="66">
        <f ca="1">IFERROR(INDIRECT(CONCATENATE("Track1!C",A36+6)),"")</f>
        <v>0</v>
      </c>
      <c r="D41" s="89" t="str">
        <f ca="1">IFERROR(INDIRECT(CONCATENATE("Track1!D",A36+6)),"")</f>
        <v/>
      </c>
      <c r="E41" s="89" t="str">
        <f ca="1">IFERROR(INDIRECT(CONCATENATE("Track1!E",A36+6)),"")</f>
        <v/>
      </c>
      <c r="F41" s="109">
        <f ca="1">IFERROR(INDIRECT(CONCATENATE("Track1!T",A36+6)),"")</f>
        <v>0</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109">
        <f ca="1">IFERROR(INDIRECT(CONCATENATE("Track1!U",A36+6)),"")</f>
        <v>0</v>
      </c>
      <c r="N41" s="121" t="str">
        <f ca="1">IFERROR(INDIRECT(CONCATENATE("Track1!N",A36+6)),"")</f>
        <v/>
      </c>
      <c r="T41" s="64" t="str">
        <f t="shared" ca="1" si="0"/>
        <v/>
      </c>
      <c r="U41" s="64" t="str">
        <f t="shared" ca="1" si="1"/>
        <v/>
      </c>
      <c r="V41" s="422" t="str">
        <f ca="1">IF(OR(D41=0,D41="",D41="Athlete"),"",COUNTIF($D$4:$D41,D41))</f>
        <v/>
      </c>
      <c r="W41" s="422" t="str">
        <f t="shared" ca="1" si="2"/>
        <v/>
      </c>
      <c r="Z41" s="422" t="str">
        <f t="shared" ca="1" si="3"/>
        <v/>
      </c>
    </row>
    <row r="42" spans="1:26" x14ac:dyDescent="0.35">
      <c r="B42" s="66">
        <f ca="1">IFERROR(INDIRECT(CONCATENATE("Track1!B",A36+7)),"")</f>
        <v>6</v>
      </c>
      <c r="C42" s="66">
        <f ca="1">IFERROR(INDIRECT(CONCATENATE("Track1!C",A36+7)),"")</f>
        <v>0</v>
      </c>
      <c r="D42" s="89" t="str">
        <f ca="1">IFERROR(INDIRECT(CONCATENATE("Track1!D",A36+7)),"")</f>
        <v/>
      </c>
      <c r="E42" s="89" t="str">
        <f ca="1">IFERROR(INDIRECT(CONCATENATE("Track1!E",A36+7)),"")</f>
        <v/>
      </c>
      <c r="F42" s="109">
        <f ca="1">IFERROR(INDIRECT(CONCATENATE("Track1!T",A36+7)),"")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109">
        <f ca="1">IFERROR(INDIRECT(CONCATENATE("Track1!U",A36+7)),"")</f>
        <v>0</v>
      </c>
      <c r="N42" s="121" t="str">
        <f ca="1">IFERROR(INDIRECT(CONCATENATE("Track1!N",A36+7)),"")</f>
        <v/>
      </c>
      <c r="T42" s="64" t="str">
        <f t="shared" ca="1" si="0"/>
        <v/>
      </c>
      <c r="U42" s="64" t="str">
        <f t="shared" ca="1" si="1"/>
        <v/>
      </c>
      <c r="V42" s="422" t="str">
        <f ca="1">IF(OR(D42=0,D42="",D42="Athlete"),"",COUNTIF($D$4:$D42,D42))</f>
        <v/>
      </c>
      <c r="W42" s="422" t="str">
        <f t="shared" ca="1" si="2"/>
        <v/>
      </c>
      <c r="Z42" s="422" t="str">
        <f t="shared" ca="1" si="3"/>
        <v/>
      </c>
    </row>
    <row r="43" spans="1:26" x14ac:dyDescent="0.35">
      <c r="B43" s="66">
        <f ca="1">IFERROR(INDIRECT(CONCATENATE("Track1!B",A36+8)),"")</f>
        <v>7</v>
      </c>
      <c r="C43" s="66">
        <f ca="1">IFERROR(INDIRECT(CONCATENATE("Track1!C",A36+8)),"")</f>
        <v>0</v>
      </c>
      <c r="D43" s="89" t="str">
        <f ca="1">IFERROR(INDIRECT(CONCATENATE("Track1!D",A36+8)),"")</f>
        <v/>
      </c>
      <c r="E43" s="89" t="str">
        <f ca="1">IFERROR(INDIRECT(CONCATENATE("Track1!E",A36+8)),"")</f>
        <v/>
      </c>
      <c r="F43" s="109">
        <f ca="1">IFERROR(INDIRECT(CONCATENATE("Track1!T",A36+8)),"")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109">
        <f ca="1">IFERROR(INDIRECT(CONCATENATE("Track1!U",A36+8)),"")</f>
        <v>0</v>
      </c>
      <c r="N43" s="121" t="str">
        <f ca="1">IFERROR(INDIRECT(CONCATENATE("Track1!N",A36+8)),"")</f>
        <v/>
      </c>
      <c r="T43" s="64" t="str">
        <f t="shared" ca="1" si="0"/>
        <v/>
      </c>
      <c r="U43" s="64" t="str">
        <f t="shared" ca="1" si="1"/>
        <v/>
      </c>
      <c r="V43" s="422" t="str">
        <f ca="1">IF(OR(D43=0,D43="",D43="Athlete"),"",COUNTIF($D$4:$D43,D43))</f>
        <v/>
      </c>
      <c r="W43" s="422" t="str">
        <f t="shared" ca="1" si="2"/>
        <v/>
      </c>
      <c r="Z43" s="422" t="str">
        <f t="shared" ca="1" si="3"/>
        <v/>
      </c>
    </row>
    <row r="44" spans="1:26" x14ac:dyDescent="0.35">
      <c r="B44" s="66">
        <f ca="1">IFERROR(INDIRECT(CONCATENATE("Track1!B",A36+9)),"")</f>
        <v>8</v>
      </c>
      <c r="C44" s="66">
        <f ca="1">IFERROR(INDIRECT(CONCATENATE("Track1!C",A36+9)),"")</f>
        <v>0</v>
      </c>
      <c r="D44" s="89" t="str">
        <f ca="1">IFERROR(INDIRECT(CONCATENATE("Track1!D",A36+9)),"")</f>
        <v/>
      </c>
      <c r="E44" s="89" t="str">
        <f ca="1">IFERROR(INDIRECT(CONCATENATE("Track1!E",A36+9)),"")</f>
        <v/>
      </c>
      <c r="F44" s="109">
        <f ca="1">IFERROR(INDIRECT(CONCATENATE("Track1!T",A36+9)),"")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109">
        <f ca="1">IFERROR(INDIRECT(CONCATENATE("Track1!U",A36+9)),"")</f>
        <v>0</v>
      </c>
      <c r="N44" s="121" t="str">
        <f ca="1">IFERROR(INDIRECT(CONCATENATE("Track1!N",A36+9)),"")</f>
        <v/>
      </c>
      <c r="T44" s="64" t="str">
        <f t="shared" ca="1" si="0"/>
        <v/>
      </c>
      <c r="U44" s="64" t="str">
        <f t="shared" ca="1" si="1"/>
        <v/>
      </c>
      <c r="V44" s="422" t="str">
        <f ca="1">IF(OR(D44=0,D44="",D44="Athlete"),"",COUNTIF($D$4:$D44,D44))</f>
        <v/>
      </c>
      <c r="W44" s="422" t="str">
        <f t="shared" ca="1" si="2"/>
        <v/>
      </c>
      <c r="Z44" s="422" t="str">
        <f t="shared" ca="1" si="3"/>
        <v/>
      </c>
    </row>
    <row r="45" spans="1:26" x14ac:dyDescent="0.35">
      <c r="T45" s="64" t="str">
        <f t="shared" si="0"/>
        <v/>
      </c>
      <c r="U45" s="64" t="str">
        <f t="shared" si="1"/>
        <v/>
      </c>
      <c r="V45" s="422" t="str">
        <f>IF(OR(D45=0,D45="",D45="Athlete"),"",COUNTIF($D$4:$D45,D45))</f>
        <v/>
      </c>
      <c r="W45" s="422" t="str">
        <f t="shared" si="2"/>
        <v/>
      </c>
      <c r="Z45" s="422" t="str">
        <f t="shared" si="3"/>
        <v/>
      </c>
    </row>
    <row r="46" spans="1:26" x14ac:dyDescent="0.35">
      <c r="A46" s="66" t="s">
        <v>510</v>
      </c>
      <c r="B46" s="115" t="str">
        <f ca="1">IFERROR(INDIRECT(CONCATENATE("Track1!B",A47)),"")</f>
        <v>800m NS U13 Girls A</v>
      </c>
      <c r="F46" s="401">
        <f ca="1">IFERROR(INDIRECT(CONCATENATE("Track1!f",A47)),"")</f>
        <v>0</v>
      </c>
      <c r="G46" s="121" t="str">
        <f ca="1">IFERROR(INDIRECT(CONCATENATE("Track1!g",A47)),"")</f>
        <v/>
      </c>
      <c r="I46" s="115" t="str">
        <f ca="1">IFERROR(INDIRECT(CONCATENATE("Track1!I",A47)),"")</f>
        <v>800m NS U13 Girls B</v>
      </c>
      <c r="T46" s="64" t="str">
        <f t="shared" si="0"/>
        <v/>
      </c>
      <c r="U46" s="64" t="str">
        <f t="shared" si="1"/>
        <v/>
      </c>
      <c r="V46" s="422" t="str">
        <f>IF(OR(D46=0,D46="",D46="Athlete"),"",COUNTIF($D$4:$D46,D46))</f>
        <v/>
      </c>
      <c r="W46" s="422" t="str">
        <f t="shared" si="2"/>
        <v/>
      </c>
      <c r="Z46" s="422" t="str">
        <f t="shared" ca="1" si="3"/>
        <v/>
      </c>
    </row>
    <row r="47" spans="1:26" x14ac:dyDescent="0.35">
      <c r="A47" s="66">
        <f>IFERROR(MATCH(A46,Track1!A:A,0),"")</f>
        <v>244</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149"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149" t="str">
        <f ca="1">IFERROR(INDIRECT(CONCATENATE("Track1!M",A47+1)),"")</f>
        <v>Perf</v>
      </c>
      <c r="N47" s="218" t="str">
        <f ca="1">IFERROR(INDIRECT(CONCATENATE("Track1!N",A47+1)),"")</f>
        <v>AAA</v>
      </c>
      <c r="T47" s="64" t="str">
        <f t="shared" ca="1" si="0"/>
        <v/>
      </c>
      <c r="U47" s="64" t="str">
        <f t="shared" ca="1" si="1"/>
        <v/>
      </c>
      <c r="V47" s="422" t="str">
        <f ca="1">IF(OR(D47=0,D47="",D47="Athlete"),"",COUNTIF($D$4:$D47,D47))</f>
        <v/>
      </c>
      <c r="W47" s="422" t="str">
        <f t="shared" ca="1" si="2"/>
        <v/>
      </c>
      <c r="Z47" s="422">
        <f t="shared" ca="1" si="3"/>
        <v>0</v>
      </c>
    </row>
    <row r="48" spans="1:26" x14ac:dyDescent="0.35">
      <c r="B48" s="66">
        <f ca="1">IFERROR(INDIRECT(CONCATENATE("Track1!B",A47+2)),"")</f>
        <v>1</v>
      </c>
      <c r="C48" s="66">
        <f ca="1">IFERROR(INDIRECT(CONCATENATE("Track1!C",A47+2)),"")</f>
        <v>0</v>
      </c>
      <c r="D48" s="89" t="str">
        <f ca="1">IFERROR(INDIRECT(CONCATENATE("Track1!D",A47+2)),"")</f>
        <v/>
      </c>
      <c r="E48" s="89" t="str">
        <f ca="1">IFERROR(INDIRECT(CONCATENATE("Track1!E",A47+2)),"")</f>
        <v/>
      </c>
      <c r="F48" s="109">
        <f ca="1">IFERROR(INDIRECT(CONCATENATE("Track1!T",A47+2)),"")</f>
        <v>0</v>
      </c>
      <c r="G48" s="121" t="str">
        <f ca="1">IFERROR(INDIRECT(CONCATENATE("Track1!G",A47+2)),"")</f>
        <v/>
      </c>
      <c r="H48" s="66"/>
      <c r="I48" s="66">
        <f ca="1">IFERROR(INDIRECT(CONCATENATE("Track1!I",A47+2)),"")</f>
        <v>1</v>
      </c>
      <c r="J48" s="66">
        <f ca="1">IFERROR(INDIRECT(CONCATENATE("Track1!J",A47+2)),"")</f>
        <v>0</v>
      </c>
      <c r="K48" s="89" t="str">
        <f ca="1">IFERROR(INDIRECT(CONCATENATE("Track1!K",A47+2)),"")</f>
        <v/>
      </c>
      <c r="L48" s="89" t="str">
        <f ca="1">IFERROR(INDIRECT(CONCATENATE("Track1!L",A47+2)),"")</f>
        <v/>
      </c>
      <c r="M48" s="109">
        <f ca="1">IFERROR(INDIRECT(CONCATENATE("Track1!U",A47+2)),"")</f>
        <v>0</v>
      </c>
      <c r="N48" s="121" t="str">
        <f ca="1">IFERROR(INDIRECT(CONCATENATE("Track1!N",A47+2)),"")</f>
        <v/>
      </c>
      <c r="R48" s="219">
        <f ca="1">IFERROR(INDIRECT(CONCATENATE("Track1!r",A47+2)),"")</f>
        <v>0</v>
      </c>
      <c r="T48" s="64" t="str">
        <f t="shared" ca="1" si="0"/>
        <v/>
      </c>
      <c r="U48" s="64" t="str">
        <f t="shared" ca="1" si="1"/>
        <v/>
      </c>
      <c r="V48" s="422" t="str">
        <f ca="1">IF(OR(D48=0,D48="",D48="Athlete"),"",COUNTIF($D$4:$D48,D48))</f>
        <v/>
      </c>
      <c r="W48" s="422" t="str">
        <f t="shared" ca="1" si="2"/>
        <v/>
      </c>
      <c r="Z48" s="422" t="str">
        <f t="shared" ca="1" si="3"/>
        <v/>
      </c>
    </row>
    <row r="49" spans="1:26" x14ac:dyDescent="0.35">
      <c r="B49" s="66">
        <f ca="1">IFERROR(INDIRECT(CONCATENATE("Track1!B",A47+3)),"")</f>
        <v>2</v>
      </c>
      <c r="C49" s="66">
        <f ca="1">IFERROR(INDIRECT(CONCATENATE("Track1!C",A47+3)),"")</f>
        <v>0</v>
      </c>
      <c r="D49" s="89" t="str">
        <f ca="1">IFERROR(INDIRECT(CONCATENATE("Track1!D",A47+3)),"")</f>
        <v/>
      </c>
      <c r="E49" s="89" t="str">
        <f ca="1">IFERROR(INDIRECT(CONCATENATE("Track1!E",A47+3)),"")</f>
        <v/>
      </c>
      <c r="F49" s="109">
        <f ca="1">IFERROR(INDIRECT(CONCATENATE("Track1!T",A47+3)),"")</f>
        <v>0</v>
      </c>
      <c r="G49" s="121" t="str">
        <f ca="1">IFERROR(INDIRECT(CONCATENATE("Track1!G",A47+3)),"")</f>
        <v/>
      </c>
      <c r="H49" s="66"/>
      <c r="I49" s="66">
        <f ca="1">IFERROR(INDIRECT(CONCATENATE("Track1!I",A47+3)),"")</f>
        <v>2</v>
      </c>
      <c r="J49" s="66">
        <f ca="1">IFERROR(INDIRECT(CONCATENATE("Track1!J",A47+3)),"")</f>
        <v>0</v>
      </c>
      <c r="K49" s="89" t="str">
        <f ca="1">IFERROR(INDIRECT(CONCATENATE("Track1!K",A47+3)),"")</f>
        <v/>
      </c>
      <c r="L49" s="89" t="str">
        <f ca="1">IFERROR(INDIRECT(CONCATENATE("Track1!L",A47+3)),"")</f>
        <v/>
      </c>
      <c r="M49" s="109">
        <f ca="1">IFERROR(INDIRECT(CONCATENATE("Track1!U",A47+3)),"")</f>
        <v>0</v>
      </c>
      <c r="N49" s="121" t="str">
        <f ca="1">IFERROR(INDIRECT(CONCATENATE("Track1!N",A47+3)),"")</f>
        <v/>
      </c>
      <c r="T49" s="64" t="str">
        <f t="shared" ca="1" si="0"/>
        <v/>
      </c>
      <c r="U49" s="64" t="str">
        <f t="shared" ca="1" si="1"/>
        <v/>
      </c>
      <c r="V49" s="422" t="str">
        <f ca="1">IF(OR(D49=0,D49="",D49="Athlete"),"",COUNTIF($D$4:$D49,D49))</f>
        <v/>
      </c>
      <c r="W49" s="422" t="str">
        <f t="shared" ca="1" si="2"/>
        <v/>
      </c>
      <c r="Z49" s="422" t="str">
        <f t="shared" ca="1" si="3"/>
        <v/>
      </c>
    </row>
    <row r="50" spans="1:26" x14ac:dyDescent="0.35">
      <c r="B50" s="66">
        <f ca="1">IFERROR(INDIRECT(CONCATENATE("Track1!B",A47+4)),"")</f>
        <v>3</v>
      </c>
      <c r="C50" s="66">
        <f ca="1">IFERROR(INDIRECT(CONCATENATE("Track1!C",A47+4)),"")</f>
        <v>0</v>
      </c>
      <c r="D50" s="89" t="str">
        <f ca="1">IFERROR(INDIRECT(CONCATENATE("Track1!D",A47+4)),"")</f>
        <v/>
      </c>
      <c r="E50" s="89" t="str">
        <f ca="1">IFERROR(INDIRECT(CONCATENATE("Track1!E",A47+4)),"")</f>
        <v/>
      </c>
      <c r="F50" s="109">
        <f ca="1">IFERROR(INDIRECT(CONCATENATE("Track1!T",A47+4)),"")</f>
        <v>0</v>
      </c>
      <c r="G50" s="121" t="str">
        <f ca="1">IFERROR(INDIRECT(CONCATENATE("Track1!G",A47+4)),"")</f>
        <v/>
      </c>
      <c r="H50" s="66"/>
      <c r="I50" s="66">
        <f ca="1">IFERROR(INDIRECT(CONCATENATE("Track1!I",A47+4)),"")</f>
        <v>3</v>
      </c>
      <c r="J50" s="66">
        <f ca="1">IFERROR(INDIRECT(CONCATENATE("Track1!J",A47+4)),"")</f>
        <v>0</v>
      </c>
      <c r="K50" s="89" t="str">
        <f ca="1">IFERROR(INDIRECT(CONCATENATE("Track1!K",A47+4)),"")</f>
        <v/>
      </c>
      <c r="L50" s="89" t="str">
        <f ca="1">IFERROR(INDIRECT(CONCATENATE("Track1!L",A47+4)),"")</f>
        <v/>
      </c>
      <c r="M50" s="109">
        <f ca="1">IFERROR(INDIRECT(CONCATENATE("Track1!U",A47+4)),"")</f>
        <v>0</v>
      </c>
      <c r="N50" s="121" t="str">
        <f ca="1">IFERROR(INDIRECT(CONCATENATE("Track1!N",A47+4)),"")</f>
        <v/>
      </c>
      <c r="T50" s="64" t="str">
        <f t="shared" ca="1" si="0"/>
        <v/>
      </c>
      <c r="U50" s="64" t="str">
        <f t="shared" ca="1" si="1"/>
        <v/>
      </c>
      <c r="V50" s="422" t="str">
        <f ca="1">IF(OR(D50=0,D50="",D50="Athlete"),"",COUNTIF($D$4:$D50,D50))</f>
        <v/>
      </c>
      <c r="W50" s="422" t="str">
        <f t="shared" ca="1" si="2"/>
        <v/>
      </c>
      <c r="Z50" s="422" t="str">
        <f t="shared" ca="1" si="3"/>
        <v/>
      </c>
    </row>
    <row r="51" spans="1:26" x14ac:dyDescent="0.35">
      <c r="B51" s="66">
        <f ca="1">IFERROR(INDIRECT(CONCATENATE("Track1!B",A47+5)),"")</f>
        <v>4</v>
      </c>
      <c r="C51" s="66">
        <f ca="1">IFERROR(INDIRECT(CONCATENATE("Track1!C",A47+5)),"")</f>
        <v>0</v>
      </c>
      <c r="D51" s="89" t="str">
        <f ca="1">IFERROR(INDIRECT(CONCATENATE("Track1!D",A47+5)),"")</f>
        <v/>
      </c>
      <c r="E51" s="89" t="str">
        <f ca="1">IFERROR(INDIRECT(CONCATENATE("Track1!E",A47+5)),"")</f>
        <v/>
      </c>
      <c r="F51" s="109">
        <f ca="1">IFERROR(INDIRECT(CONCATENATE("Track1!T",A47+5)),"")</f>
        <v>0</v>
      </c>
      <c r="G51" s="121" t="str">
        <f ca="1">IFERROR(INDIRECT(CONCATENATE("Track1!G",A47+5)),"")</f>
        <v/>
      </c>
      <c r="H51" s="66"/>
      <c r="I51" s="66">
        <f ca="1">IFERROR(INDIRECT(CONCATENATE("Track1!I",A47+5)),"")</f>
        <v>4</v>
      </c>
      <c r="J51" s="66">
        <f ca="1">IFERROR(INDIRECT(CONCATENATE("Track1!J",A47+5)),"")</f>
        <v>0</v>
      </c>
      <c r="K51" s="89" t="str">
        <f ca="1">IFERROR(INDIRECT(CONCATENATE("Track1!K",A47+5)),"")</f>
        <v/>
      </c>
      <c r="L51" s="89" t="str">
        <f ca="1">IFERROR(INDIRECT(CONCATENATE("Track1!L",A47+5)),"")</f>
        <v/>
      </c>
      <c r="M51" s="109">
        <f ca="1">IFERROR(INDIRECT(CONCATENATE("Track1!U",A47+5)),"")</f>
        <v>0</v>
      </c>
      <c r="N51" s="121" t="str">
        <f ca="1">IFERROR(INDIRECT(CONCATENATE("Track1!N",A47+5)),"")</f>
        <v/>
      </c>
      <c r="T51" s="64" t="str">
        <f t="shared" ca="1" si="0"/>
        <v/>
      </c>
      <c r="U51" s="64" t="str">
        <f t="shared" ca="1" si="1"/>
        <v/>
      </c>
      <c r="V51" s="422" t="str">
        <f ca="1">IF(OR(D51=0,D51="",D51="Athlete"),"",COUNTIF($D$4:$D51,D51))</f>
        <v/>
      </c>
      <c r="W51" s="422" t="str">
        <f t="shared" ca="1" si="2"/>
        <v/>
      </c>
      <c r="Z51" s="422" t="str">
        <f t="shared" ca="1" si="3"/>
        <v/>
      </c>
    </row>
    <row r="52" spans="1:26" x14ac:dyDescent="0.35">
      <c r="B52" s="66">
        <f ca="1">IFERROR(INDIRECT(CONCATENATE("Track1!B",A47+6)),"")</f>
        <v>5</v>
      </c>
      <c r="C52" s="66">
        <f ca="1">IFERROR(INDIRECT(CONCATENATE("Track1!C",A47+6)),"")</f>
        <v>0</v>
      </c>
      <c r="D52" s="89" t="str">
        <f ca="1">IFERROR(INDIRECT(CONCATENATE("Track1!D",A47+6)),"")</f>
        <v/>
      </c>
      <c r="E52" s="89" t="str">
        <f ca="1">IFERROR(INDIRECT(CONCATENATE("Track1!E",A47+6)),"")</f>
        <v/>
      </c>
      <c r="F52" s="109">
        <f ca="1">IFERROR(INDIRECT(CONCATENATE("Track1!T",A47+6)),"")</f>
        <v>0</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109">
        <f ca="1">IFERROR(INDIRECT(CONCATENATE("Track1!U",A47+6)),"")</f>
        <v>0</v>
      </c>
      <c r="N52" s="121" t="str">
        <f ca="1">IFERROR(INDIRECT(CONCATENATE("Track1!N",A47+6)),"")</f>
        <v/>
      </c>
      <c r="T52" s="64" t="str">
        <f t="shared" ca="1" si="0"/>
        <v/>
      </c>
      <c r="U52" s="64" t="str">
        <f t="shared" ca="1" si="1"/>
        <v/>
      </c>
      <c r="V52" s="422" t="str">
        <f ca="1">IF(OR(D52=0,D52="",D52="Athlete"),"",COUNTIF($D$4:$D52,D52))</f>
        <v/>
      </c>
      <c r="W52" s="422" t="str">
        <f t="shared" ca="1" si="2"/>
        <v/>
      </c>
      <c r="Z52" s="422" t="str">
        <f t="shared" ca="1" si="3"/>
        <v/>
      </c>
    </row>
    <row r="53" spans="1:26" x14ac:dyDescent="0.35">
      <c r="B53" s="66">
        <f ca="1">IFERROR(INDIRECT(CONCATENATE("Track1!B",A47+7)),"")</f>
        <v>6</v>
      </c>
      <c r="C53" s="66">
        <f ca="1">IFERROR(INDIRECT(CONCATENATE("Track1!C",A47+7)),"")</f>
        <v>0</v>
      </c>
      <c r="D53" s="89" t="str">
        <f ca="1">IFERROR(INDIRECT(CONCATENATE("Track1!D",A47+7)),"")</f>
        <v/>
      </c>
      <c r="E53" s="89" t="str">
        <f ca="1">IFERROR(INDIRECT(CONCATENATE("Track1!E",A47+7)),"")</f>
        <v/>
      </c>
      <c r="F53" s="109">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109">
        <f ca="1">IFERROR(INDIRECT(CONCATENATE("Track1!U",A47+7)),"")</f>
        <v>0</v>
      </c>
      <c r="N53" s="121" t="str">
        <f ca="1">IFERROR(INDIRECT(CONCATENATE("Track1!N",A47+7)),"")</f>
        <v/>
      </c>
      <c r="T53" s="64" t="str">
        <f t="shared" ca="1" si="0"/>
        <v/>
      </c>
      <c r="U53" s="64" t="str">
        <f t="shared" ca="1" si="1"/>
        <v/>
      </c>
      <c r="V53" s="422" t="str">
        <f ca="1">IF(OR(D53=0,D53="",D53="Athlete"),"",COUNTIF($D$4:$D53,D53))</f>
        <v/>
      </c>
      <c r="W53" s="422" t="str">
        <f t="shared" ca="1" si="2"/>
        <v/>
      </c>
      <c r="Z53" s="422" t="str">
        <f t="shared" ca="1" si="3"/>
        <v/>
      </c>
    </row>
    <row r="54" spans="1:26" x14ac:dyDescent="0.35">
      <c r="B54" s="66">
        <f ca="1">IFERROR(INDIRECT(CONCATENATE("Track1!B",A47+8)),"")</f>
        <v>7</v>
      </c>
      <c r="C54" s="66">
        <f ca="1">IFERROR(INDIRECT(CONCATENATE("Track1!C",A47+8)),"")</f>
        <v>0</v>
      </c>
      <c r="D54" s="89" t="str">
        <f ca="1">IFERROR(INDIRECT(CONCATENATE("Track1!D",A47+8)),"")</f>
        <v/>
      </c>
      <c r="E54" s="89" t="str">
        <f ca="1">IFERROR(INDIRECT(CONCATENATE("Track1!E",A47+8)),"")</f>
        <v/>
      </c>
      <c r="F54" s="109">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109">
        <f ca="1">IFERROR(INDIRECT(CONCATENATE("Track1!U",A47+8)),"")</f>
        <v>0</v>
      </c>
      <c r="N54" s="121" t="str">
        <f ca="1">IFERROR(INDIRECT(CONCATENATE("Track1!N",A47+8)),"")</f>
        <v/>
      </c>
      <c r="T54" s="64" t="str">
        <f t="shared" ca="1" si="0"/>
        <v/>
      </c>
      <c r="U54" s="64" t="str">
        <f t="shared" ca="1" si="1"/>
        <v/>
      </c>
      <c r="V54" s="422" t="str">
        <f ca="1">IF(OR(D54=0,D54="",D54="Athlete"),"",COUNTIF($D$4:$D54,D54))</f>
        <v/>
      </c>
      <c r="W54" s="422" t="str">
        <f t="shared" ca="1" si="2"/>
        <v/>
      </c>
      <c r="Z54" s="422" t="str">
        <f t="shared" ca="1" si="3"/>
        <v/>
      </c>
    </row>
    <row r="55" spans="1:26" x14ac:dyDescent="0.35">
      <c r="B55" s="66">
        <f ca="1">IFERROR(INDIRECT(CONCATENATE("Track1!B",A47+9)),"")</f>
        <v>8</v>
      </c>
      <c r="C55" s="66">
        <f ca="1">IFERROR(INDIRECT(CONCATENATE("Track1!C",A47+9)),"")</f>
        <v>0</v>
      </c>
      <c r="D55" s="89" t="str">
        <f ca="1">IFERROR(INDIRECT(CONCATENATE("Track1!D",A47+9)),"")</f>
        <v/>
      </c>
      <c r="E55" s="89" t="str">
        <f ca="1">IFERROR(INDIRECT(CONCATENATE("Track1!E",A47+9)),"")</f>
        <v/>
      </c>
      <c r="F55" s="109">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109">
        <f ca="1">IFERROR(INDIRECT(CONCATENATE("Track1!U",A47+9)),"")</f>
        <v>0</v>
      </c>
      <c r="N55" s="121" t="str">
        <f ca="1">IFERROR(INDIRECT(CONCATENATE("Track1!N",A47+9)),"")</f>
        <v/>
      </c>
      <c r="T55" s="64" t="str">
        <f t="shared" ca="1" si="0"/>
        <v/>
      </c>
      <c r="U55" s="64" t="str">
        <f t="shared" ca="1" si="1"/>
        <v/>
      </c>
      <c r="V55" s="422" t="str">
        <f ca="1">IF(OR(D55=0,D55="",D55="Athlete"),"",COUNTIF($D$4:$D55,D55))</f>
        <v/>
      </c>
      <c r="W55" s="422" t="str">
        <f t="shared" ca="1" si="2"/>
        <v/>
      </c>
      <c r="Z55" s="422" t="str">
        <f t="shared" ca="1" si="3"/>
        <v/>
      </c>
    </row>
    <row r="56" spans="1:26" x14ac:dyDescent="0.35">
      <c r="T56" s="64" t="str">
        <f t="shared" si="0"/>
        <v/>
      </c>
      <c r="U56" s="64" t="str">
        <f t="shared" si="1"/>
        <v/>
      </c>
      <c r="V56" s="422" t="str">
        <f>IF(OR(D56=0,D56="",D56="Athlete"),"",COUNTIF($D$4:$D56,D56))</f>
        <v/>
      </c>
      <c r="W56" s="422" t="str">
        <f t="shared" si="2"/>
        <v/>
      </c>
      <c r="Z56" s="422" t="str">
        <f t="shared" si="3"/>
        <v/>
      </c>
    </row>
    <row r="57" spans="1:26" x14ac:dyDescent="0.35">
      <c r="A57" s="66" t="s">
        <v>309</v>
      </c>
      <c r="B57" s="115" t="str">
        <f ca="1">IFERROR(INDIRECT(CONCATENATE("Track2!B",A58)),"")</f>
        <v>1200m U13 Girls A</v>
      </c>
      <c r="G57" s="121">
        <f ca="1">IFERROR(INDIRECT(CONCATENATE("Track2!g",A58)),"")</f>
        <v>0</v>
      </c>
      <c r="I57" s="115" t="str">
        <f ca="1">IFERROR(INDIRECT(CONCATENATE("Track2!I",A58)),"")</f>
        <v>1200m U13 Girls B</v>
      </c>
      <c r="T57" s="64" t="str">
        <f t="shared" si="0"/>
        <v/>
      </c>
      <c r="U57" s="64" t="str">
        <f t="shared" si="1"/>
        <v/>
      </c>
      <c r="V57" s="422" t="str">
        <f>IF(OR(D57=0,D57="",D57="Athlete"),"",COUNTIF($D$4:$D57,D57))</f>
        <v/>
      </c>
      <c r="W57" s="422" t="str">
        <f t="shared" si="2"/>
        <v/>
      </c>
      <c r="Z57" s="422" t="str">
        <f t="shared" ca="1" si="3"/>
        <v/>
      </c>
    </row>
    <row r="58" spans="1:26" x14ac:dyDescent="0.35">
      <c r="A58" s="66">
        <f>IFERROR(MATCH(A57,Track2!A:A,0),"")</f>
        <v>2</v>
      </c>
      <c r="B58" s="45" t="str">
        <f ca="1">IFERROR(INDIRECT(CONCATENATE("Track2!B",A58+1)),"")</f>
        <v>Posn</v>
      </c>
      <c r="C58" s="45" t="str">
        <f ca="1">IFERROR(INDIRECT(CONCATENATE("Track2!C",A58+1)),"")</f>
        <v>No.</v>
      </c>
      <c r="D58" s="182" t="str">
        <f ca="1">IFERROR(INDIRECT(CONCATENATE("Track2!D",A58+1)),"")</f>
        <v>Athlete</v>
      </c>
      <c r="E58" s="182" t="str">
        <f ca="1">IFERROR(INDIRECT(CONCATENATE("Track2!E",A58+1)),"")</f>
        <v>Club</v>
      </c>
      <c r="F58" s="149" t="str">
        <f ca="1">IFERROR(INDIRECT(CONCATENATE("Track2!F",A58+1)),"")</f>
        <v>Perf</v>
      </c>
      <c r="G58" s="218" t="str">
        <f ca="1">IFERROR(INDIRECT(CONCATENATE("Track2!G",A58+1)),"")</f>
        <v>AAA</v>
      </c>
      <c r="H58" s="45"/>
      <c r="I58" s="45" t="str">
        <f ca="1">IFERROR(INDIRECT(CONCATENATE("Track2!I",A58+1)),"")</f>
        <v>Posn</v>
      </c>
      <c r="J58" s="45" t="str">
        <f ca="1">IFERROR(INDIRECT(CONCATENATE("Track2!J",A58+1)),"")</f>
        <v>No.</v>
      </c>
      <c r="K58" s="182" t="str">
        <f ca="1">IFERROR(INDIRECT(CONCATENATE("Track2!K",A58+1)),"")</f>
        <v>Athlete</v>
      </c>
      <c r="L58" s="182" t="str">
        <f ca="1">IFERROR(INDIRECT(CONCATENATE("Track2!L",A58+1)),"")</f>
        <v>Club</v>
      </c>
      <c r="M58" s="149" t="str">
        <f ca="1">IFERROR(INDIRECT(CONCATENATE("Track2!M",A58+1)),"")</f>
        <v>Perf</v>
      </c>
      <c r="N58" s="218" t="str">
        <f ca="1">IFERROR(INDIRECT(CONCATENATE("Track2!N",A58+1)),"")</f>
        <v>AAA</v>
      </c>
      <c r="T58" s="64" t="str">
        <f t="shared" ca="1" si="0"/>
        <v/>
      </c>
      <c r="U58" s="64" t="str">
        <f t="shared" ca="1" si="1"/>
        <v/>
      </c>
      <c r="V58" s="422" t="str">
        <f ca="1">IF(OR(D58=0,D58="",D58="Athlete"),"",COUNTIF($D$4:$D58,D58))</f>
        <v/>
      </c>
      <c r="W58" s="422" t="str">
        <f t="shared" ca="1" si="2"/>
        <v/>
      </c>
      <c r="Z58" s="422">
        <f t="shared" ca="1" si="3"/>
        <v>0</v>
      </c>
    </row>
    <row r="59" spans="1:26" x14ac:dyDescent="0.35">
      <c r="B59" s="66">
        <f ca="1">IFERROR(INDIRECT(CONCATENATE("Track2!B",A58+2)),"")</f>
        <v>1</v>
      </c>
      <c r="C59" s="66">
        <f ca="1">IFERROR(INDIRECT(CONCATENATE("Track2!C",A58+2)),"")</f>
        <v>3</v>
      </c>
      <c r="D59" s="89" t="str">
        <f ca="1">IFERROR(INDIRECT(CONCATENATE("Track2!D",A58+2)),"")</f>
        <v>LANGAN Lottie</v>
      </c>
      <c r="E59" s="89" t="str">
        <f ca="1">IFERROR(INDIRECT(CONCATENATE("Track2!E",A58+2)),"")</f>
        <v>York</v>
      </c>
      <c r="F59" s="109">
        <f ca="1">IFERROR(INDIRECT(CONCATENATE("Track2!F",A58+2)),"")</f>
        <v>2.9884259259259265E-3</v>
      </c>
      <c r="G59" s="121" t="str">
        <f ca="1">IFERROR(INDIRECT(CONCATENATE("Track2!G",A58+2)),"")</f>
        <v/>
      </c>
      <c r="H59" s="66"/>
      <c r="I59" s="66">
        <f ca="1">IFERROR(INDIRECT(CONCATENATE("Track2!I",A58+2)),"")</f>
        <v>1</v>
      </c>
      <c r="J59" s="66">
        <f ca="1">IFERROR(INDIRECT(CONCATENATE("Track2!J",A58+2)),"")</f>
        <v>33</v>
      </c>
      <c r="K59" s="89" t="str">
        <f ca="1">IFERROR(INDIRECT(CONCATENATE("Track2!K",A58+2)),"")</f>
        <v>KENNEDY Amy</v>
      </c>
      <c r="L59" s="89" t="str">
        <f ca="1">IFERROR(INDIRECT(CONCATENATE("Track2!L",A58+2)),"")</f>
        <v>York</v>
      </c>
      <c r="M59" s="109">
        <f ca="1">IFERROR(INDIRECT(CONCATENATE("Track2!M",A58+2)),"")</f>
        <v>3.0185185185185185E-3</v>
      </c>
      <c r="N59" s="121">
        <f ca="1">IFERROR(INDIRECT(CONCATENATE("Track2!N",A58+2)),"")</f>
        <v>1</v>
      </c>
      <c r="R59" s="219">
        <f ca="1">IFERROR(INDIRECT(CONCATENATE("Track2!r",A58+2)),"")</f>
        <v>1</v>
      </c>
      <c r="T59" s="64">
        <f t="shared" ca="1" si="0"/>
        <v>1</v>
      </c>
      <c r="U59" s="64">
        <f t="shared" ca="1" si="1"/>
        <v>1</v>
      </c>
      <c r="V59" s="422">
        <f ca="1">IF(OR(D59=0,D59="",D59="Athlete"),"",COUNTIF($D$4:$D59,D59))</f>
        <v>1</v>
      </c>
      <c r="W59" s="422" t="str">
        <f t="shared" ca="1" si="2"/>
        <v>York</v>
      </c>
      <c r="Z59" s="422" t="str">
        <f t="shared" ca="1" si="3"/>
        <v/>
      </c>
    </row>
    <row r="60" spans="1:26" x14ac:dyDescent="0.35">
      <c r="B60" s="66">
        <f ca="1">IFERROR(INDIRECT(CONCATENATE("Track2!B",A58+3)),"")</f>
        <v>2</v>
      </c>
      <c r="C60" s="66">
        <f ca="1">IFERROR(INDIRECT(CONCATENATE("Track2!C",A58+3)),"")</f>
        <v>4</v>
      </c>
      <c r="D60" s="89" t="str">
        <f ca="1">IFERROR(INDIRECT(CONCATENATE("Track2!D",A58+3)),"")</f>
        <v>PETTIT Grace</v>
      </c>
      <c r="E60" s="89" t="str">
        <f ca="1">IFERROR(INDIRECT(CONCATENATE("Track2!E",A58+3)),"")</f>
        <v>M'bro</v>
      </c>
      <c r="F60" s="109">
        <f ca="1">IFERROR(INDIRECT(CONCATENATE("Track2!F",A58+3)),"")</f>
        <v>3.1608796296296298E-3</v>
      </c>
      <c r="G60" s="121" t="str">
        <f ca="1">IFERROR(INDIRECT(CONCATENATE("Track2!G",A58+3)),"")</f>
        <v/>
      </c>
      <c r="H60" s="66"/>
      <c r="I60" s="66">
        <f ca="1">IFERROR(INDIRECT(CONCATENATE("Track2!I",A58+3)),"")</f>
        <v>2</v>
      </c>
      <c r="J60" s="66">
        <f ca="1">IFERROR(INDIRECT(CONCATENATE("Track2!J",A58+3)),"")</f>
        <v>1</v>
      </c>
      <c r="K60" s="89" t="str">
        <f ca="1">IFERROR(INDIRECT(CONCATENATE("Track2!K",A58+3)),"")</f>
        <v>GRIFFIN Lydia</v>
      </c>
      <c r="L60" s="89" t="str">
        <f ca="1">IFERROR(INDIRECT(CONCATENATE("Track2!L",A58+3)),"")</f>
        <v>C'field</v>
      </c>
      <c r="M60" s="109">
        <f ca="1">IFERROR(INDIRECT(CONCATENATE("Track2!M",A58+3)),"")</f>
        <v>3.34837962962963E-3</v>
      </c>
      <c r="N60" s="121">
        <f ca="1">IFERROR(INDIRECT(CONCATENATE("Track2!N",A58+3)),"")</f>
        <v>1</v>
      </c>
      <c r="T60" s="64">
        <f t="shared" ca="1" si="0"/>
        <v>1</v>
      </c>
      <c r="U60" s="64">
        <f t="shared" ca="1" si="1"/>
        <v>2</v>
      </c>
      <c r="V60" s="422">
        <f ca="1">IF(OR(D60=0,D60="",D60="Athlete"),"",COUNTIF($D$4:$D60,D60))</f>
        <v>1</v>
      </c>
      <c r="W60" s="422" t="str">
        <f t="shared" ca="1" si="2"/>
        <v>M'bro</v>
      </c>
      <c r="Z60" s="422" t="str">
        <f t="shared" ca="1" si="3"/>
        <v/>
      </c>
    </row>
    <row r="61" spans="1:26" x14ac:dyDescent="0.35">
      <c r="B61" s="66">
        <f ca="1">IFERROR(INDIRECT(CONCATENATE("Track2!B",A58+4)),"")</f>
        <v>3</v>
      </c>
      <c r="C61" s="66">
        <f ca="1">IFERROR(INDIRECT(CONCATENATE("Track2!C",A58+4)),"")</f>
        <v>11</v>
      </c>
      <c r="D61" s="89" t="str">
        <f ca="1">IFERROR(INDIRECT(CONCATENATE("Track2!D",A58+4)),"")</f>
        <v>HELPS Macy</v>
      </c>
      <c r="E61" s="89" t="str">
        <f ca="1">IFERROR(INDIRECT(CONCATENATE("Track2!E",A58+4)),"")</f>
        <v>C'field</v>
      </c>
      <c r="F61" s="109">
        <f ca="1">IFERROR(INDIRECT(CONCATENATE("Track2!F",A58+4)),"")</f>
        <v>3.2314814814814819E-3</v>
      </c>
      <c r="G61" s="121" t="str">
        <f ca="1">IFERROR(INDIRECT(CONCATENATE("Track2!G",A58+4)),"")</f>
        <v/>
      </c>
      <c r="H61" s="66"/>
      <c r="I61" s="66">
        <f ca="1">IFERROR(INDIRECT(CONCATENATE("Track2!I",A58+4)),"")</f>
        <v>3</v>
      </c>
      <c r="J61" s="66" t="str">
        <f ca="1">IFERROR(INDIRECT(CONCATENATE("Track2!J",A58+4)),"")</f>
        <v/>
      </c>
      <c r="K61" s="89" t="str">
        <f ca="1">IFERROR(INDIRECT(CONCATENATE("Track2!K",A58+4)),"")</f>
        <v/>
      </c>
      <c r="L61" s="89" t="str">
        <f ca="1">IFERROR(INDIRECT(CONCATENATE("Track2!L",A58+4)),"")</f>
        <v/>
      </c>
      <c r="M61" s="109" t="str">
        <f ca="1">IFERROR(INDIRECT(CONCATENATE("Track2!M",A58+4)),"")</f>
        <v/>
      </c>
      <c r="N61" s="121" t="str">
        <f ca="1">IFERROR(INDIRECT(CONCATENATE("Track2!N",A58+4)),"")</f>
        <v/>
      </c>
      <c r="T61" s="64">
        <f t="shared" ca="1" si="0"/>
        <v>1</v>
      </c>
      <c r="U61" s="64" t="str">
        <f t="shared" ca="1" si="1"/>
        <v/>
      </c>
      <c r="V61" s="422">
        <f ca="1">IF(OR(D61=0,D61="",D61="Athlete"),"",COUNTIF($D$4:$D61,D61))</f>
        <v>1</v>
      </c>
      <c r="W61" s="422" t="str">
        <f t="shared" ca="1" si="2"/>
        <v>C'field</v>
      </c>
      <c r="Z61" s="422" t="str">
        <f t="shared" ca="1" si="3"/>
        <v/>
      </c>
    </row>
    <row r="62" spans="1:26" x14ac:dyDescent="0.35">
      <c r="B62" s="66">
        <f ca="1">IFERROR(INDIRECT(CONCATENATE("Track2!B",A58+5)),"")</f>
        <v>4</v>
      </c>
      <c r="C62" s="66">
        <f ca="1">IFERROR(INDIRECT(CONCATENATE("Track2!C",A58+5)),"")</f>
        <v>5</v>
      </c>
      <c r="D62" s="89" t="str">
        <f ca="1">IFERROR(INDIRECT(CONCATENATE("Track2!D",A58+5)),"")</f>
        <v>CRESSEY Evie</v>
      </c>
      <c r="E62" s="89" t="str">
        <f ca="1">IFERROR(INDIRECT(CONCATENATE("Track2!E",A58+5)),"")</f>
        <v>Scun</v>
      </c>
      <c r="F62" s="109">
        <f ca="1">IFERROR(INDIRECT(CONCATENATE("Track2!F",A58+5)),"")</f>
        <v>3.4537037037037036E-3</v>
      </c>
      <c r="G62" s="121" t="str">
        <f ca="1">IFERROR(INDIRECT(CONCATENATE("Track2!G",A58+5)),"")</f>
        <v/>
      </c>
      <c r="H62" s="66"/>
      <c r="I62" s="66">
        <f ca="1">IFERROR(INDIRECT(CONCATENATE("Track2!I",A58+5)),"")</f>
        <v>4</v>
      </c>
      <c r="J62" s="66" t="str">
        <f ca="1">IFERROR(INDIRECT(CONCATENATE("Track2!J",A58+5)),"")</f>
        <v/>
      </c>
      <c r="K62" s="89" t="str">
        <f ca="1">IFERROR(INDIRECT(CONCATENATE("Track2!K",A58+5)),"")</f>
        <v/>
      </c>
      <c r="L62" s="89" t="str">
        <f ca="1">IFERROR(INDIRECT(CONCATENATE("Track2!L",A58+5)),"")</f>
        <v/>
      </c>
      <c r="M62" s="109" t="str">
        <f ca="1">IFERROR(INDIRECT(CONCATENATE("Track2!M",A58+5)),"")</f>
        <v/>
      </c>
      <c r="N62" s="121" t="str">
        <f ca="1">IFERROR(INDIRECT(CONCATENATE("Track2!N",A58+5)),"")</f>
        <v/>
      </c>
      <c r="T62" s="64">
        <f t="shared" ca="1" si="0"/>
        <v>2</v>
      </c>
      <c r="U62" s="64" t="str">
        <f t="shared" ca="1" si="1"/>
        <v/>
      </c>
      <c r="V62" s="422">
        <f ca="1">IF(OR(D62=0,D62="",D62="Athlete"),"",COUNTIF($D$4:$D62,D62))</f>
        <v>1</v>
      </c>
      <c r="W62" s="422" t="str">
        <f t="shared" ca="1" si="2"/>
        <v>Scun</v>
      </c>
      <c r="Z62" s="422" t="str">
        <f t="shared" ca="1" si="3"/>
        <v/>
      </c>
    </row>
    <row r="63" spans="1:26" x14ac:dyDescent="0.35">
      <c r="B63" s="66">
        <f ca="1">IFERROR(INDIRECT(CONCATENATE("Track2!B",A58+6)),"")</f>
        <v>5</v>
      </c>
      <c r="C63" s="66" t="str">
        <f ca="1">IFERROR(INDIRECT(CONCATENATE("Track2!C",A58+6)),"")</f>
        <v/>
      </c>
      <c r="D63" s="89" t="str">
        <f ca="1">IFERROR(INDIRECT(CONCATENATE("Track2!D",A58+6)),"")</f>
        <v/>
      </c>
      <c r="E63" s="89" t="str">
        <f ca="1">IFERROR(INDIRECT(CONCATENATE("Track2!E",A58+6)),"")</f>
        <v/>
      </c>
      <c r="F63" s="109" t="str">
        <f ca="1">IFERROR(INDIRECT(CONCATENATE("Track2!F",A58+6)),"")</f>
        <v/>
      </c>
      <c r="G63" s="121" t="str">
        <f ca="1">IFERROR(INDIRECT(CONCATENATE("Track2!G",A58+6)),"")</f>
        <v/>
      </c>
      <c r="H63" s="66"/>
      <c r="I63" s="66">
        <f ca="1">IFERROR(INDIRECT(CONCATENATE("Track2!I",A58+6)),"")</f>
        <v>5</v>
      </c>
      <c r="J63" s="66" t="str">
        <f ca="1">IFERROR(INDIRECT(CONCATENATE("Track2!J",A58+6)),"")</f>
        <v/>
      </c>
      <c r="K63" s="89" t="str">
        <f ca="1">IFERROR(INDIRECT(CONCATENATE("Track2!K",A58+6)),"")</f>
        <v/>
      </c>
      <c r="L63" s="89" t="str">
        <f ca="1">IFERROR(INDIRECT(CONCATENATE("Track2!L",A58+6)),"")</f>
        <v/>
      </c>
      <c r="M63" s="109" t="str">
        <f ca="1">IFERROR(INDIRECT(CONCATENATE("Track2!M",A58+6)),"")</f>
        <v/>
      </c>
      <c r="N63" s="121" t="str">
        <f ca="1">IFERROR(INDIRECT(CONCATENATE("Track2!N",A58+6)),"")</f>
        <v/>
      </c>
      <c r="T63" s="64" t="str">
        <f t="shared" ca="1" si="0"/>
        <v/>
      </c>
      <c r="U63" s="64" t="str">
        <f t="shared" ca="1" si="1"/>
        <v/>
      </c>
      <c r="V63" s="422" t="str">
        <f ca="1">IF(OR(D63=0,D63="",D63="Athlete"),"",COUNTIF($D$4:$D63,D63))</f>
        <v/>
      </c>
      <c r="W63" s="422" t="str">
        <f t="shared" ca="1" si="2"/>
        <v/>
      </c>
      <c r="Z63" s="422" t="str">
        <f t="shared" ca="1" si="3"/>
        <v/>
      </c>
    </row>
    <row r="64" spans="1:26" x14ac:dyDescent="0.35">
      <c r="B64" s="66">
        <f ca="1">IFERROR(INDIRECT(CONCATENATE("Track2!B",A58+7)),"")</f>
        <v>6</v>
      </c>
      <c r="C64" s="66" t="str">
        <f ca="1">IFERROR(INDIRECT(CONCATENATE("Track2!C",A58+7)),"")</f>
        <v/>
      </c>
      <c r="D64" s="89" t="str">
        <f ca="1">IFERROR(INDIRECT(CONCATENATE("Track2!D",A58+7)),"")</f>
        <v/>
      </c>
      <c r="E64" s="89" t="str">
        <f ca="1">IFERROR(INDIRECT(CONCATENATE("Track2!E",A58+7)),"")</f>
        <v/>
      </c>
      <c r="F64" s="109" t="str">
        <f ca="1">IFERROR(INDIRECT(CONCATENATE("Track2!F",A58+7)),"")</f>
        <v/>
      </c>
      <c r="G64" s="121" t="str">
        <f ca="1">IFERROR(INDIRECT(CONCATENATE("Track2!G",A58+7)),"")</f>
        <v/>
      </c>
      <c r="H64" s="66"/>
      <c r="I64" s="66">
        <f ca="1">IFERROR(INDIRECT(CONCATENATE("Track2!I",A58+7)),"")</f>
        <v>6</v>
      </c>
      <c r="J64" s="66" t="str">
        <f ca="1">IFERROR(INDIRECT(CONCATENATE("Track2!J",A58+7)),"")</f>
        <v/>
      </c>
      <c r="K64" s="89" t="str">
        <f ca="1">IFERROR(INDIRECT(CONCATENATE("Track2!K",A58+7)),"")</f>
        <v/>
      </c>
      <c r="L64" s="89" t="str">
        <f ca="1">IFERROR(INDIRECT(CONCATENATE("Track2!L",A58+7)),"")</f>
        <v/>
      </c>
      <c r="M64" s="109" t="str">
        <f ca="1">IFERROR(INDIRECT(CONCATENATE("Track2!M",A58+7)),"")</f>
        <v/>
      </c>
      <c r="N64" s="121" t="str">
        <f ca="1">IFERROR(INDIRECT(CONCATENATE("Track2!N",A58+7)),"")</f>
        <v/>
      </c>
      <c r="T64" s="64" t="str">
        <f t="shared" ca="1" si="0"/>
        <v/>
      </c>
      <c r="U64" s="64" t="str">
        <f t="shared" ca="1" si="1"/>
        <v/>
      </c>
      <c r="V64" s="422" t="str">
        <f ca="1">IF(OR(D64=0,D64="",D64="Athlete"),"",COUNTIF($D$4:$D64,D64))</f>
        <v/>
      </c>
      <c r="W64" s="422" t="str">
        <f t="shared" ca="1" si="2"/>
        <v/>
      </c>
      <c r="Z64" s="422" t="str">
        <f t="shared" ca="1" si="3"/>
        <v/>
      </c>
    </row>
    <row r="65" spans="1:26" x14ac:dyDescent="0.35">
      <c r="B65" s="66">
        <f ca="1">IFERROR(INDIRECT(CONCATENATE("Track2!B",A58+8)),"")</f>
        <v>7</v>
      </c>
      <c r="C65" s="66" t="str">
        <f ca="1">IFERROR(INDIRECT(CONCATENATE("Track2!C",A58+8)),"")</f>
        <v/>
      </c>
      <c r="D65" s="89" t="str">
        <f ca="1">IFERROR(INDIRECT(CONCATENATE("Track2!D",A58+8)),"")</f>
        <v/>
      </c>
      <c r="E65" s="89" t="str">
        <f ca="1">IFERROR(INDIRECT(CONCATENATE("Track2!E",A58+8)),"")</f>
        <v/>
      </c>
      <c r="F65" s="109" t="str">
        <f ca="1">IFERROR(INDIRECT(CONCATENATE("Track2!F",A58+8)),"")</f>
        <v/>
      </c>
      <c r="G65" s="121" t="str">
        <f ca="1">IFERROR(INDIRECT(CONCATENATE("Track2!G",A58+8)),"")</f>
        <v/>
      </c>
      <c r="H65" s="66"/>
      <c r="I65" s="66">
        <f ca="1">IFERROR(INDIRECT(CONCATENATE("Track2!I",A58+8)),"")</f>
        <v>7</v>
      </c>
      <c r="J65" s="66" t="str">
        <f ca="1">IFERROR(INDIRECT(CONCATENATE("Track2!J",A58+8)),"")</f>
        <v/>
      </c>
      <c r="K65" s="89" t="str">
        <f ca="1">IFERROR(INDIRECT(CONCATENATE("Track2!K",A58+8)),"")</f>
        <v/>
      </c>
      <c r="L65" s="89" t="str">
        <f ca="1">IFERROR(INDIRECT(CONCATENATE("Track2!L",A58+8)),"")</f>
        <v/>
      </c>
      <c r="M65" s="109" t="str">
        <f ca="1">IFERROR(INDIRECT(CONCATENATE("Track2!M",A58+8)),"")</f>
        <v/>
      </c>
      <c r="N65" s="121" t="str">
        <f ca="1">IFERROR(INDIRECT(CONCATENATE("Track2!N",A58+8)),"")</f>
        <v/>
      </c>
      <c r="T65" s="64" t="str">
        <f t="shared" ca="1" si="0"/>
        <v/>
      </c>
      <c r="U65" s="64" t="str">
        <f t="shared" ca="1" si="1"/>
        <v/>
      </c>
      <c r="V65" s="422" t="str">
        <f ca="1">IF(OR(D65=0,D65="",D65="Athlete"),"",COUNTIF($D$4:$D65,D65))</f>
        <v/>
      </c>
      <c r="W65" s="422" t="str">
        <f t="shared" ca="1" si="2"/>
        <v/>
      </c>
      <c r="Z65" s="422" t="str">
        <f t="shared" ca="1" si="3"/>
        <v/>
      </c>
    </row>
    <row r="66" spans="1:26" x14ac:dyDescent="0.35">
      <c r="B66" s="66">
        <f ca="1">IFERROR(INDIRECT(CONCATENATE("Track2!B",A58+9)),"")</f>
        <v>8</v>
      </c>
      <c r="C66" s="66" t="str">
        <f ca="1">IFERROR(INDIRECT(CONCATENATE("Track2!C",A58+9)),"")</f>
        <v/>
      </c>
      <c r="D66" s="89" t="str">
        <f ca="1">IFERROR(INDIRECT(CONCATENATE("Track2!D",A58+9)),"")</f>
        <v/>
      </c>
      <c r="E66" s="89" t="str">
        <f ca="1">IFERROR(INDIRECT(CONCATENATE("Track2!E",A58+9)),"")</f>
        <v/>
      </c>
      <c r="F66" s="109" t="str">
        <f ca="1">IFERROR(INDIRECT(CONCATENATE("Track2!F",A58+9)),"")</f>
        <v/>
      </c>
      <c r="G66" s="121" t="str">
        <f ca="1">IFERROR(INDIRECT(CONCATENATE("Track2!G",A58+9)),"")</f>
        <v/>
      </c>
      <c r="H66" s="66"/>
      <c r="I66" s="66">
        <f ca="1">IFERROR(INDIRECT(CONCATENATE("Track2!I",A58+9)),"")</f>
        <v>8</v>
      </c>
      <c r="J66" s="66" t="str">
        <f ca="1">IFERROR(INDIRECT(CONCATENATE("Track2!J",A58+9)),"")</f>
        <v/>
      </c>
      <c r="K66" s="89" t="str">
        <f ca="1">IFERROR(INDIRECT(CONCATENATE("Track2!K",A58+9)),"")</f>
        <v/>
      </c>
      <c r="L66" s="89" t="str">
        <f ca="1">IFERROR(INDIRECT(CONCATENATE("Track2!L",A58+9)),"")</f>
        <v/>
      </c>
      <c r="M66" s="109" t="str">
        <f ca="1">IFERROR(INDIRECT(CONCATENATE("Track2!M",A58+9)),"")</f>
        <v/>
      </c>
      <c r="N66" s="121" t="str">
        <f ca="1">IFERROR(INDIRECT(CONCATENATE("Track2!N",A58+9)),"")</f>
        <v/>
      </c>
      <c r="T66" s="64" t="str">
        <f t="shared" ca="1" si="0"/>
        <v/>
      </c>
      <c r="U66" s="64" t="str">
        <f t="shared" ca="1" si="1"/>
        <v/>
      </c>
      <c r="V66" s="422" t="str">
        <f ca="1">IF(OR(D66=0,D66="",D66="Athlete"),"",COUNTIF($D$4:$D66,D66))</f>
        <v/>
      </c>
      <c r="W66" s="422" t="str">
        <f t="shared" ca="1" si="2"/>
        <v/>
      </c>
      <c r="Z66" s="422" t="str">
        <f t="shared" ca="1" si="3"/>
        <v/>
      </c>
    </row>
    <row r="67" spans="1:26" x14ac:dyDescent="0.35">
      <c r="T67" s="64" t="str">
        <f t="shared" si="0"/>
        <v/>
      </c>
      <c r="U67" s="64" t="str">
        <f t="shared" si="1"/>
        <v/>
      </c>
      <c r="V67" s="422" t="str">
        <f>IF(OR(D67=0,D67="",D67="Athlete"),"",COUNTIF($D$4:$D67,D67))</f>
        <v/>
      </c>
      <c r="W67" s="422" t="str">
        <f t="shared" si="2"/>
        <v/>
      </c>
      <c r="Z67" s="422" t="str">
        <f t="shared" si="3"/>
        <v/>
      </c>
    </row>
    <row r="68" spans="1:26" x14ac:dyDescent="0.35">
      <c r="A68" s="66" t="s">
        <v>32</v>
      </c>
      <c r="B68" s="115" t="str">
        <f ca="1">IFERROR(INDIRECT(CONCATENATE("Track1!B",A69)),"")</f>
        <v>70m Hurdles U13 Girls A</v>
      </c>
      <c r="E68" s="89" t="s">
        <v>259</v>
      </c>
      <c r="F68" s="400">
        <f ca="1">IFERROR(INDIRECT(CONCATENATE("Track1!f",A69)),"")</f>
        <v>0</v>
      </c>
      <c r="G68" s="121" t="str">
        <f ca="1">IFERROR(INDIRECT(CONCATENATE("Track1!g",A69)),"")</f>
        <v/>
      </c>
      <c r="I68" s="115" t="str">
        <f ca="1">IFERROR(INDIRECT(CONCATENATE("Track1!I",A69)),"")</f>
        <v>70m Hurdles U13 Girls B</v>
      </c>
      <c r="L68" s="89" t="s">
        <v>259</v>
      </c>
      <c r="M68" s="299">
        <f ca="1">IFERROR(INDIRECT(CONCATENATE("Track1!M",A69)),"")</f>
        <v>0</v>
      </c>
      <c r="T68" s="64" t="str">
        <f t="shared" si="0"/>
        <v/>
      </c>
      <c r="U68" s="64" t="str">
        <f t="shared" si="1"/>
        <v/>
      </c>
      <c r="V68" s="422" t="str">
        <f>IF(OR(D68=0,D68="",D68="Athlete"),"",COUNTIF($D$4:$D68,D68))</f>
        <v/>
      </c>
      <c r="W68" s="422" t="str">
        <f t="shared" si="2"/>
        <v/>
      </c>
      <c r="Z68" s="422" t="str">
        <f t="shared" ca="1" si="3"/>
        <v/>
      </c>
    </row>
    <row r="69" spans="1:26" x14ac:dyDescent="0.35">
      <c r="A69" s="66">
        <f>IFERROR(MATCH(A68,Track1!A:A,0),"")</f>
        <v>2</v>
      </c>
      <c r="B69" s="45" t="str">
        <f ca="1">IFERROR(INDIRECT(CONCATENATE("Track1!B",A69+1)),"")</f>
        <v>Posn</v>
      </c>
      <c r="C69" s="45" t="str">
        <f ca="1">IFERROR(INDIRECT(CONCATENATE("Track1!C",A69+1)),"")</f>
        <v>No.</v>
      </c>
      <c r="D69" s="182" t="str">
        <f ca="1">IFERROR(INDIRECT(CONCATENATE("Track1!D",A69+1)),"")</f>
        <v>Athlete</v>
      </c>
      <c r="E69" s="182" t="str">
        <f ca="1">IFERROR(INDIRECT(CONCATENATE("Track1!E",A69+1)),"")</f>
        <v>Club</v>
      </c>
      <c r="F69" s="149" t="str">
        <f ca="1">IFERROR(INDIRECT(CONCATENATE("Track1!F",A69+1)),"")</f>
        <v>Perf</v>
      </c>
      <c r="G69" s="218" t="str">
        <f ca="1">IFERROR(INDIRECT(CONCATENATE("Track1!G",A69+1)),"")</f>
        <v>AAA</v>
      </c>
      <c r="H69" s="45"/>
      <c r="I69" s="45" t="str">
        <f ca="1">IFERROR(INDIRECT(CONCATENATE("Track1!I",A69+1)),"")</f>
        <v>Posn</v>
      </c>
      <c r="J69" s="45" t="str">
        <f ca="1">IFERROR(INDIRECT(CONCATENATE("Track1!J",A69+1)),"")</f>
        <v>No.</v>
      </c>
      <c r="K69" s="182" t="str">
        <f ca="1">IFERROR(INDIRECT(CONCATENATE("Track1!K",A69+1)),"")</f>
        <v>Athlete</v>
      </c>
      <c r="L69" s="182" t="str">
        <f ca="1">IFERROR(INDIRECT(CONCATENATE("Track1!L",A69+1)),"")</f>
        <v>Club</v>
      </c>
      <c r="M69" s="149" t="str">
        <f ca="1">IFERROR(INDIRECT(CONCATENATE("Track1!M",A69+1)),"")</f>
        <v>Perf</v>
      </c>
      <c r="N69" s="218" t="str">
        <f ca="1">IFERROR(INDIRECT(CONCATENATE("Track1!N",A69+1)),"")</f>
        <v>AAA</v>
      </c>
      <c r="T69" s="64" t="str">
        <f t="shared" ref="T69:T123" ca="1" si="4">IF(OR(D69=0,D69="",D69="Athlete"),"",COUNTIF($D$4:$D$352,D69))</f>
        <v/>
      </c>
      <c r="U69" s="64" t="str">
        <f t="shared" ref="U69:U132" ca="1" si="5">IF(OR(K69=0,K69="",K69="Athlete"),"",COUNTIF($D$4:$D$352,K69))</f>
        <v/>
      </c>
      <c r="V69" s="422" t="str">
        <f ca="1">IF(OR(D69=0,D69="",D69="Athlete"),"",COUNTIF($D$4:$D69,D69))</f>
        <v/>
      </c>
      <c r="W69" s="422" t="str">
        <f t="shared" ref="W69:W123" ca="1" si="6">IF(OR(D69=0,D69="",D69="Athlete"),"",E69)</f>
        <v/>
      </c>
      <c r="Z69" s="422">
        <f t="shared" ref="Z69:Z132" ca="1" si="7">IF(OR(G69=0,G69="",G69="Athlete"),"",H69)</f>
        <v>0</v>
      </c>
    </row>
    <row r="70" spans="1:26" x14ac:dyDescent="0.35">
      <c r="B70" s="66">
        <f ca="1">IFERROR(INDIRECT(CONCATENATE("Track1!B",A69+2)),"")</f>
        <v>1</v>
      </c>
      <c r="C70" s="66">
        <f ca="1">IFERROR(INDIRECT(CONCATENATE("Track1!C",A69+2)),"")</f>
        <v>3</v>
      </c>
      <c r="D70" s="89" t="str">
        <f ca="1">IFERROR(INDIRECT(CONCATENATE("Track1!D",A69+2)),"")</f>
        <v>POUNDER Esme</v>
      </c>
      <c r="E70" s="89" t="str">
        <f ca="1">IFERROR(INDIRECT(CONCATENATE("Track1!E",A69+2)),"")</f>
        <v>York</v>
      </c>
      <c r="F70" s="65">
        <f ca="1">IFERROR(INDIRECT(CONCATENATE("Track1!F",A69+2)),"")</f>
        <v>11.9</v>
      </c>
      <c r="G70" s="121">
        <f ca="1">IFERROR(INDIRECT(CONCATENATE("Track1!G",A69+2)),"")</f>
        <v>1</v>
      </c>
      <c r="H70" s="66"/>
      <c r="I70" s="66">
        <f ca="1">IFERROR(INDIRECT(CONCATENATE("Track1!I",A69+2)),"")</f>
        <v>1</v>
      </c>
      <c r="J70" s="66">
        <f ca="1">IFERROR(INDIRECT(CONCATENATE("Track1!J",A69+2)),"")</f>
        <v>33</v>
      </c>
      <c r="K70" s="89" t="str">
        <f ca="1">IFERROR(INDIRECT(CONCATENATE("Track1!K",A69+2)),"")</f>
        <v>GREEN-HEMMINGS Grace</v>
      </c>
      <c r="L70" s="89" t="str">
        <f ca="1">IFERROR(INDIRECT(CONCATENATE("Track1!L",A69+2)),"")</f>
        <v>York</v>
      </c>
      <c r="M70" s="65">
        <f ca="1">IFERROR(INDIRECT(CONCATENATE("Track1!M",A69+2)),"")</f>
        <v>13.1</v>
      </c>
      <c r="N70" s="121">
        <f ca="1">IFERROR(INDIRECT(CONCATENATE("Track1!N",A69+2)),"")</f>
        <v>4</v>
      </c>
      <c r="R70" s="219">
        <f ca="1">IFERROR(INDIRECT(CONCATENATE("Track1!r",A69+2)),"")</f>
        <v>1</v>
      </c>
      <c r="T70" s="64">
        <f t="shared" ca="1" si="4"/>
        <v>2</v>
      </c>
      <c r="U70" s="64">
        <f t="shared" ca="1" si="5"/>
        <v>1</v>
      </c>
      <c r="V70" s="422">
        <f ca="1">IF(OR(D70=0,D70="",D70="Athlete"),"",COUNTIF($D$4:$D70,D70))</f>
        <v>1</v>
      </c>
      <c r="W70" s="422" t="str">
        <f t="shared" ca="1" si="6"/>
        <v>York</v>
      </c>
      <c r="Z70" s="422">
        <f t="shared" ca="1" si="7"/>
        <v>0</v>
      </c>
    </row>
    <row r="71" spans="1:26" x14ac:dyDescent="0.35">
      <c r="B71" s="66">
        <f ca="1">IFERROR(INDIRECT(CONCATENATE("Track1!B",A69+3)),"")</f>
        <v>2</v>
      </c>
      <c r="C71" s="66">
        <f ca="1">IFERROR(INDIRECT(CONCATENATE("Track1!C",A69+3)),"")</f>
        <v>1</v>
      </c>
      <c r="D71" s="89" t="str">
        <f ca="1">IFERROR(INDIRECT(CONCATENATE("Track1!D",A69+3)),"")</f>
        <v>STANILAND Charlotte</v>
      </c>
      <c r="E71" s="89" t="str">
        <f ca="1">IFERROR(INDIRECT(CONCATENATE("Track1!E",A69+3)),"")</f>
        <v>C'field</v>
      </c>
      <c r="F71" s="65">
        <f ca="1">IFERROR(INDIRECT(CONCATENATE("Track1!F",A69+3)),"")</f>
        <v>12.8</v>
      </c>
      <c r="G71" s="121">
        <f ca="1">IFERROR(INDIRECT(CONCATENATE("Track1!G",A69+3)),"")</f>
        <v>4</v>
      </c>
      <c r="H71" s="66"/>
      <c r="I71" s="66">
        <f ca="1">IFERROR(INDIRECT(CONCATENATE("Track1!I",A69+3)),"")</f>
        <v>2</v>
      </c>
      <c r="J71" s="66">
        <f ca="1">IFERROR(INDIRECT(CONCATENATE("Track1!J",A69+3)),"")</f>
        <v>11</v>
      </c>
      <c r="K71" s="89" t="str">
        <f ca="1">IFERROR(INDIRECT(CONCATENATE("Track1!K",A69+3)),"")</f>
        <v>HALL Lottie</v>
      </c>
      <c r="L71" s="89" t="str">
        <f ca="1">IFERROR(INDIRECT(CONCATENATE("Track1!L",A69+3)),"")</f>
        <v>C'field</v>
      </c>
      <c r="M71" s="65">
        <f ca="1">IFERROR(INDIRECT(CONCATENATE("Track1!M",A69+3)),"")</f>
        <v>13.7</v>
      </c>
      <c r="N71" s="121" t="str">
        <f ca="1">IFERROR(INDIRECT(CONCATENATE("Track1!N",A69+3)),"")</f>
        <v/>
      </c>
      <c r="T71" s="64">
        <f t="shared" ca="1" si="4"/>
        <v>3</v>
      </c>
      <c r="U71" s="64">
        <f t="shared" ca="1" si="5"/>
        <v>3</v>
      </c>
      <c r="V71" s="422">
        <f ca="1">IF(OR(D71=0,D71="",D71="Athlete"),"",COUNTIF($D$4:$D71,D71))</f>
        <v>2</v>
      </c>
      <c r="W71" s="422" t="str">
        <f t="shared" ca="1" si="6"/>
        <v>C'field</v>
      </c>
      <c r="Z71" s="422">
        <f t="shared" ca="1" si="7"/>
        <v>0</v>
      </c>
    </row>
    <row r="72" spans="1:26" x14ac:dyDescent="0.35">
      <c r="B72" s="66">
        <f ca="1">IFERROR(INDIRECT(CONCATENATE("Track1!B",A69+4)),"")</f>
        <v>3</v>
      </c>
      <c r="C72" s="66">
        <f ca="1">IFERROR(INDIRECT(CONCATENATE("Track1!C",A69+4)),"")</f>
        <v>4</v>
      </c>
      <c r="D72" s="89" t="str">
        <f ca="1">IFERROR(INDIRECT(CONCATENATE("Track1!D",A69+4)),"")</f>
        <v>SEDGWICK Emma</v>
      </c>
      <c r="E72" s="89" t="str">
        <f ca="1">IFERROR(INDIRECT(CONCATENATE("Track1!E",A69+4)),"")</f>
        <v>M'bro</v>
      </c>
      <c r="F72" s="65">
        <f ca="1">IFERROR(INDIRECT(CONCATENATE("Track1!F",A69+4)),"")</f>
        <v>13.2</v>
      </c>
      <c r="G72" s="121">
        <f ca="1">IFERROR(INDIRECT(CONCATENATE("Track1!G",A69+4)),"")</f>
        <v>4</v>
      </c>
      <c r="H72" s="66"/>
      <c r="I72" s="66">
        <f ca="1">IFERROR(INDIRECT(CONCATENATE("Track1!I",A69+4)),"")</f>
        <v>3</v>
      </c>
      <c r="J72" s="66">
        <f ca="1">IFERROR(INDIRECT(CONCATENATE("Track1!J",A69+4)),"")</f>
        <v>0</v>
      </c>
      <c r="K72" s="89" t="str">
        <f ca="1">IFERROR(INDIRECT(CONCATENATE("Track1!K",A69+4)),"")</f>
        <v/>
      </c>
      <c r="L72" s="89" t="str">
        <f ca="1">IFERROR(INDIRECT(CONCATENATE("Track1!L",A69+4)),"")</f>
        <v/>
      </c>
      <c r="M72" s="65">
        <f ca="1">IFERROR(INDIRECT(CONCATENATE("Track1!M",A69+4)),"")</f>
        <v>0</v>
      </c>
      <c r="N72" s="121" t="str">
        <f ca="1">IFERROR(INDIRECT(CONCATENATE("Track1!N",A69+4)),"")</f>
        <v/>
      </c>
      <c r="T72" s="64">
        <f t="shared" ca="1" si="4"/>
        <v>3</v>
      </c>
      <c r="U72" s="64" t="str">
        <f t="shared" ca="1" si="5"/>
        <v/>
      </c>
      <c r="V72" s="422">
        <f ca="1">IF(OR(D72=0,D72="",D72="Athlete"),"",COUNTIF($D$4:$D72,D72))</f>
        <v>1</v>
      </c>
      <c r="W72" s="422" t="str">
        <f t="shared" ca="1" si="6"/>
        <v>M'bro</v>
      </c>
      <c r="Z72" s="422">
        <f t="shared" ca="1" si="7"/>
        <v>0</v>
      </c>
    </row>
    <row r="73" spans="1:26" x14ac:dyDescent="0.35">
      <c r="B73" s="66">
        <f ca="1">IFERROR(INDIRECT(CONCATENATE("Track1!B",A69+5)),"")</f>
        <v>4</v>
      </c>
      <c r="C73" s="66">
        <f ca="1">IFERROR(INDIRECT(CONCATENATE("Track1!C",A69+5)),"")</f>
        <v>2</v>
      </c>
      <c r="D73" s="89" t="str">
        <f ca="1">IFERROR(INDIRECT(CONCATENATE("Track1!D",A69+5)),"")</f>
        <v>COOPER Amy</v>
      </c>
      <c r="E73" s="89" t="str">
        <f ca="1">IFERROR(INDIRECT(CONCATENATE("Track1!E",A69+5)),"")</f>
        <v>Sheff+D</v>
      </c>
      <c r="F73" s="65">
        <f ca="1">IFERROR(INDIRECT(CONCATENATE("Track1!F",A69+5)),"")</f>
        <v>16.8</v>
      </c>
      <c r="G73" s="121" t="str">
        <f ca="1">IFERROR(INDIRECT(CONCATENATE("Track1!G",A69+5)),"")</f>
        <v/>
      </c>
      <c r="H73" s="66"/>
      <c r="I73" s="66">
        <f ca="1">IFERROR(INDIRECT(CONCATENATE("Track1!I",A69+5)),"")</f>
        <v>4</v>
      </c>
      <c r="J73" s="66">
        <f ca="1">IFERROR(INDIRECT(CONCATENATE("Track1!J",A69+5)),"")</f>
        <v>0</v>
      </c>
      <c r="K73" s="89" t="str">
        <f ca="1">IFERROR(INDIRECT(CONCATENATE("Track1!K",A69+5)),"")</f>
        <v/>
      </c>
      <c r="L73" s="89" t="str">
        <f ca="1">IFERROR(INDIRECT(CONCATENATE("Track1!L",A69+5)),"")</f>
        <v/>
      </c>
      <c r="M73" s="65">
        <f ca="1">IFERROR(INDIRECT(CONCATENATE("Track1!M",A69+5)),"")</f>
        <v>0</v>
      </c>
      <c r="N73" s="121" t="str">
        <f ca="1">IFERROR(INDIRECT(CONCATENATE("Track1!N",A69+5)),"")</f>
        <v/>
      </c>
      <c r="T73" s="64">
        <f t="shared" ca="1" si="4"/>
        <v>2</v>
      </c>
      <c r="U73" s="64" t="str">
        <f t="shared" ca="1" si="5"/>
        <v/>
      </c>
      <c r="V73" s="422">
        <f ca="1">IF(OR(D73=0,D73="",D73="Athlete"),"",COUNTIF($D$4:$D73,D73))</f>
        <v>1</v>
      </c>
      <c r="W73" s="422" t="str">
        <f t="shared" ca="1" si="6"/>
        <v>Sheff+D</v>
      </c>
      <c r="Z73" s="422" t="str">
        <f t="shared" ca="1" si="7"/>
        <v/>
      </c>
    </row>
    <row r="74" spans="1:26" x14ac:dyDescent="0.35">
      <c r="B74" s="66">
        <f ca="1">IFERROR(INDIRECT(CONCATENATE("Track1!B",A69+6)),"")</f>
        <v>5</v>
      </c>
      <c r="C74" s="66">
        <f ca="1">IFERROR(INDIRECT(CONCATENATE("Track1!C",A69+6)),"")</f>
        <v>0</v>
      </c>
      <c r="D74" s="89" t="str">
        <f ca="1">IFERROR(INDIRECT(CONCATENATE("Track1!D",A69+6)),"")</f>
        <v/>
      </c>
      <c r="E74" s="89" t="str">
        <f ca="1">IFERROR(INDIRECT(CONCATENATE("Track1!E",A69+6)),"")</f>
        <v/>
      </c>
      <c r="F74" s="65">
        <f ca="1">IFERROR(INDIRECT(CONCATENATE("Track1!F",A69+6)),"")</f>
        <v>0</v>
      </c>
      <c r="G74" s="121" t="str">
        <f ca="1">IFERROR(INDIRECT(CONCATENATE("Track1!G",A69+6)),"")</f>
        <v/>
      </c>
      <c r="H74" s="66"/>
      <c r="I74" s="66">
        <f ca="1">IFERROR(INDIRECT(CONCATENATE("Track1!I",A69+6)),"")</f>
        <v>5</v>
      </c>
      <c r="J74" s="66">
        <f ca="1">IFERROR(INDIRECT(CONCATENATE("Track1!J",A69+6)),"")</f>
        <v>0</v>
      </c>
      <c r="K74" s="89" t="str">
        <f ca="1">IFERROR(INDIRECT(CONCATENATE("Track1!K",A69+6)),"")</f>
        <v/>
      </c>
      <c r="L74" s="89" t="str">
        <f ca="1">IFERROR(INDIRECT(CONCATENATE("Track1!L",A69+6)),"")</f>
        <v/>
      </c>
      <c r="M74" s="65">
        <f ca="1">IFERROR(INDIRECT(CONCATENATE("Track1!M",A69+6)),"")</f>
        <v>0</v>
      </c>
      <c r="N74" s="121" t="str">
        <f ca="1">IFERROR(INDIRECT(CONCATENATE("Track1!N",A69+6)),"")</f>
        <v/>
      </c>
      <c r="T74" s="64" t="str">
        <f t="shared" ca="1" si="4"/>
        <v/>
      </c>
      <c r="U74" s="64" t="str">
        <f t="shared" ca="1" si="5"/>
        <v/>
      </c>
      <c r="V74" s="422" t="str">
        <f ca="1">IF(OR(D74=0,D74="",D74="Athlete"),"",COUNTIF($D$4:$D74,D74))</f>
        <v/>
      </c>
      <c r="W74" s="422" t="str">
        <f t="shared" ca="1" si="6"/>
        <v/>
      </c>
      <c r="Z74" s="422" t="str">
        <f t="shared" ca="1" si="7"/>
        <v/>
      </c>
    </row>
    <row r="75" spans="1:26" x14ac:dyDescent="0.35">
      <c r="B75" s="66">
        <f ca="1">IFERROR(INDIRECT(CONCATENATE("Track1!B",A69+7)),"")</f>
        <v>6</v>
      </c>
      <c r="C75" s="66">
        <f ca="1">IFERROR(INDIRECT(CONCATENATE("Track1!C",A69+7)),"")</f>
        <v>0</v>
      </c>
      <c r="D75" s="89" t="str">
        <f ca="1">IFERROR(INDIRECT(CONCATENATE("Track1!D",A69+7)),"")</f>
        <v/>
      </c>
      <c r="E75" s="89" t="str">
        <f ca="1">IFERROR(INDIRECT(CONCATENATE("Track1!E",A69+7)),"")</f>
        <v/>
      </c>
      <c r="F75" s="65">
        <f ca="1">IFERROR(INDIRECT(CONCATENATE("Track1!F",A69+7)),"")</f>
        <v>0</v>
      </c>
      <c r="G75" s="121" t="str">
        <f ca="1">IFERROR(INDIRECT(CONCATENATE("Track1!G",A69+7)),"")</f>
        <v/>
      </c>
      <c r="H75" s="66"/>
      <c r="I75" s="66">
        <f ca="1">IFERROR(INDIRECT(CONCATENATE("Track1!I",A69+7)),"")</f>
        <v>6</v>
      </c>
      <c r="J75" s="66">
        <f ca="1">IFERROR(INDIRECT(CONCATENATE("Track1!J",A69+7)),"")</f>
        <v>0</v>
      </c>
      <c r="K75" s="89" t="str">
        <f ca="1">IFERROR(INDIRECT(CONCATENATE("Track1!K",A69+7)),"")</f>
        <v/>
      </c>
      <c r="L75" s="89" t="str">
        <f ca="1">IFERROR(INDIRECT(CONCATENATE("Track1!L",A69+7)),"")</f>
        <v/>
      </c>
      <c r="M75" s="65">
        <f ca="1">IFERROR(INDIRECT(CONCATENATE("Track1!M",A69+7)),"")</f>
        <v>0</v>
      </c>
      <c r="N75" s="121" t="str">
        <f ca="1">IFERROR(INDIRECT(CONCATENATE("Track1!N",A69+7)),"")</f>
        <v/>
      </c>
      <c r="T75" s="64" t="str">
        <f t="shared" ca="1" si="4"/>
        <v/>
      </c>
      <c r="U75" s="64" t="str">
        <f t="shared" ca="1" si="5"/>
        <v/>
      </c>
      <c r="V75" s="422" t="str">
        <f ca="1">IF(OR(D75=0,D75="",D75="Athlete"),"",COUNTIF($D$4:$D75,D75))</f>
        <v/>
      </c>
      <c r="W75" s="422" t="str">
        <f t="shared" ca="1" si="6"/>
        <v/>
      </c>
      <c r="Z75" s="422" t="str">
        <f t="shared" ca="1" si="7"/>
        <v/>
      </c>
    </row>
    <row r="76" spans="1:26" x14ac:dyDescent="0.35">
      <c r="B76" s="66">
        <f ca="1">IFERROR(INDIRECT(CONCATENATE("Track1!B",A69+8)),"")</f>
        <v>7</v>
      </c>
      <c r="C76" s="66">
        <f ca="1">IFERROR(INDIRECT(CONCATENATE("Track1!C",A69+8)),"")</f>
        <v>0</v>
      </c>
      <c r="D76" s="89" t="str">
        <f ca="1">IFERROR(INDIRECT(CONCATENATE("Track1!D",A69+8)),"")</f>
        <v/>
      </c>
      <c r="E76" s="89" t="str">
        <f ca="1">IFERROR(INDIRECT(CONCATENATE("Track1!E",A69+8)),"")</f>
        <v/>
      </c>
      <c r="F76" s="65">
        <f ca="1">IFERROR(INDIRECT(CONCATENATE("Track1!F",A69+8)),"")</f>
        <v>0</v>
      </c>
      <c r="G76" s="121" t="str">
        <f ca="1">IFERROR(INDIRECT(CONCATENATE("Track1!G",A69+8)),"")</f>
        <v/>
      </c>
      <c r="H76" s="66"/>
      <c r="I76" s="66">
        <f ca="1">IFERROR(INDIRECT(CONCATENATE("Track1!I",A69+8)),"")</f>
        <v>7</v>
      </c>
      <c r="J76" s="66">
        <f ca="1">IFERROR(INDIRECT(CONCATENATE("Track1!J",A69+8)),"")</f>
        <v>0</v>
      </c>
      <c r="K76" s="89" t="str">
        <f ca="1">IFERROR(INDIRECT(CONCATENATE("Track1!K",A69+8)),"")</f>
        <v/>
      </c>
      <c r="L76" s="89" t="str">
        <f ca="1">IFERROR(INDIRECT(CONCATENATE("Track1!L",A69+8)),"")</f>
        <v/>
      </c>
      <c r="M76" s="65">
        <f ca="1">IFERROR(INDIRECT(CONCATENATE("Track1!M",A69+8)),"")</f>
        <v>0</v>
      </c>
      <c r="N76" s="121" t="str">
        <f ca="1">IFERROR(INDIRECT(CONCATENATE("Track1!N",A69+8)),"")</f>
        <v/>
      </c>
      <c r="T76" s="64" t="str">
        <f t="shared" ca="1" si="4"/>
        <v/>
      </c>
      <c r="U76" s="64" t="str">
        <f t="shared" ca="1" si="5"/>
        <v/>
      </c>
      <c r="V76" s="422" t="str">
        <f ca="1">IF(OR(D76=0,D76="",D76="Athlete"),"",COUNTIF($D$4:$D76,D76))</f>
        <v/>
      </c>
      <c r="W76" s="422" t="str">
        <f t="shared" ca="1" si="6"/>
        <v/>
      </c>
      <c r="Z76" s="422" t="str">
        <f t="shared" ca="1" si="7"/>
        <v/>
      </c>
    </row>
    <row r="77" spans="1:26" x14ac:dyDescent="0.35">
      <c r="B77" s="66">
        <f ca="1">IFERROR(INDIRECT(CONCATENATE("Track1!B",A69+9)),"")</f>
        <v>8</v>
      </c>
      <c r="C77" s="66">
        <f ca="1">IFERROR(INDIRECT(CONCATENATE("Track1!C",A69+9)),"")</f>
        <v>0</v>
      </c>
      <c r="D77" s="89" t="str">
        <f ca="1">IFERROR(INDIRECT(CONCATENATE("Track1!D",A69+9)),"")</f>
        <v/>
      </c>
      <c r="E77" s="89" t="str">
        <f ca="1">IFERROR(INDIRECT(CONCATENATE("Track1!E",A69+9)),"")</f>
        <v/>
      </c>
      <c r="F77" s="65">
        <f ca="1">IFERROR(INDIRECT(CONCATENATE("Track1!F",A69+9)),"")</f>
        <v>0</v>
      </c>
      <c r="G77" s="121" t="str">
        <f ca="1">IFERROR(INDIRECT(CONCATENATE("Track1!G",A69+9)),"")</f>
        <v/>
      </c>
      <c r="H77" s="66"/>
      <c r="I77" s="66">
        <f ca="1">IFERROR(INDIRECT(CONCATENATE("Track1!I",A69+9)),"")</f>
        <v>8</v>
      </c>
      <c r="J77" s="66">
        <f ca="1">IFERROR(INDIRECT(CONCATENATE("Track1!J",A69+9)),"")</f>
        <v>0</v>
      </c>
      <c r="K77" s="89" t="str">
        <f ca="1">IFERROR(INDIRECT(CONCATENATE("Track1!K",A69+9)),"")</f>
        <v/>
      </c>
      <c r="L77" s="89" t="str">
        <f ca="1">IFERROR(INDIRECT(CONCATENATE("Track1!L",A69+9)),"")</f>
        <v/>
      </c>
      <c r="M77" s="65">
        <f ca="1">IFERROR(INDIRECT(CONCATENATE("Track1!M",A69+9)),"")</f>
        <v>0</v>
      </c>
      <c r="N77" s="121" t="str">
        <f ca="1">IFERROR(INDIRECT(CONCATENATE("Track1!N",A69+9)),"")</f>
        <v/>
      </c>
      <c r="T77" s="64" t="str">
        <f t="shared" ca="1" si="4"/>
        <v/>
      </c>
      <c r="U77" s="64" t="str">
        <f t="shared" ca="1" si="5"/>
        <v/>
      </c>
      <c r="V77" s="422" t="str">
        <f ca="1">IF(OR(D77=0,D77="",D77="Athlete"),"",COUNTIF($D$4:$D77,D77))</f>
        <v/>
      </c>
      <c r="W77" s="422" t="str">
        <f t="shared" ca="1" si="6"/>
        <v/>
      </c>
      <c r="Z77" s="422" t="str">
        <f t="shared" ca="1" si="7"/>
        <v/>
      </c>
    </row>
    <row r="78" spans="1:26" x14ac:dyDescent="0.35">
      <c r="T78" s="64" t="str">
        <f t="shared" si="4"/>
        <v/>
      </c>
      <c r="U78" s="64" t="str">
        <f t="shared" si="5"/>
        <v/>
      </c>
      <c r="V78" s="422" t="str">
        <f>IF(OR(D78=0,D78="",D78="Athlete"),"",COUNTIF($D$4:$D78,D78))</f>
        <v/>
      </c>
      <c r="W78" s="422" t="str">
        <f t="shared" si="6"/>
        <v/>
      </c>
      <c r="Z78" s="422" t="str">
        <f t="shared" si="7"/>
        <v/>
      </c>
    </row>
    <row r="79" spans="1:26" x14ac:dyDescent="0.35">
      <c r="A79" s="402" t="s">
        <v>299</v>
      </c>
      <c r="B79" s="115" t="str">
        <f ca="1">IFERROR(INDIRECT(CONCATENATE("Field!B",A80)),"")</f>
        <v>Long Jump U13 Girls A</v>
      </c>
      <c r="F79" s="65"/>
      <c r="G79" s="403" t="str">
        <f ca="1">IFERROR(INDIRECT(CONCATENATE("Field!g",A80)),"")</f>
        <v/>
      </c>
      <c r="I79" s="115" t="str">
        <f ca="1">IFERROR(INDIRECT(CONCATENATE("Field!I",A80)),"")</f>
        <v>Long Jump U13 Girls B</v>
      </c>
      <c r="T79" s="64" t="str">
        <f t="shared" si="4"/>
        <v/>
      </c>
      <c r="U79" s="64" t="str">
        <f t="shared" si="5"/>
        <v/>
      </c>
      <c r="V79" s="422" t="str">
        <f>IF(OR(D79=0,D79="",D79="Athlete"),"",COUNTIF($D$4:$D79,D79))</f>
        <v/>
      </c>
      <c r="W79" s="422" t="str">
        <f t="shared" si="6"/>
        <v/>
      </c>
      <c r="Z79" s="422" t="str">
        <f t="shared" ca="1" si="7"/>
        <v/>
      </c>
    </row>
    <row r="80" spans="1:26" x14ac:dyDescent="0.35">
      <c r="A80" s="66">
        <f>IFERROR(MATCH(A79,Field!A:A,0),"")</f>
        <v>156</v>
      </c>
      <c r="B80" s="45" t="str">
        <f ca="1">IFERROR(INDIRECT(CONCATENATE("Field!B",A80+1)),"")</f>
        <v>Posn</v>
      </c>
      <c r="C80" s="45" t="str">
        <f ca="1">IFERROR(INDIRECT(CONCATENATE("Field!C",A80+1)),"")</f>
        <v>Bib</v>
      </c>
      <c r="D80" s="182" t="str">
        <f ca="1">IFERROR(INDIRECT(CONCATENATE("Field!D",A80+1)),"")</f>
        <v>Athlete</v>
      </c>
      <c r="E80" s="182" t="str">
        <f ca="1">IFERROR(INDIRECT(CONCATENATE("Field!E",A80+1)),"")</f>
        <v>Club</v>
      </c>
      <c r="F80" s="149" t="str">
        <f ca="1">IFERROR(INDIRECT(CONCATENATE("Field!F",A80+1)),"")</f>
        <v>Perf</v>
      </c>
      <c r="G80" s="218" t="str">
        <f ca="1">IFERROR(INDIRECT(CONCATENATE("Field!G",A80+1)),"")</f>
        <v>AAA</v>
      </c>
      <c r="H80" s="45"/>
      <c r="I80" s="45" t="str">
        <f ca="1">IFERROR(INDIRECT(CONCATENATE("Field!I",A80+1)),"")</f>
        <v>Posn</v>
      </c>
      <c r="J80" s="45" t="str">
        <f ca="1">IFERROR(INDIRECT(CONCATENATE("Field!J",A80+1)),"")</f>
        <v>Bib</v>
      </c>
      <c r="K80" s="182" t="str">
        <f ca="1">IFERROR(INDIRECT(CONCATENATE("Field!K",A80+1)),"")</f>
        <v>Athlete</v>
      </c>
      <c r="L80" s="182" t="str">
        <f ca="1">IFERROR(INDIRECT(CONCATENATE("Field!L",A80+1)),"")</f>
        <v>Club</v>
      </c>
      <c r="M80" s="149" t="str">
        <f ca="1">IFERROR(INDIRECT(CONCATENATE("Field!M",A80+1)),"")</f>
        <v>Perf</v>
      </c>
      <c r="N80" s="218" t="str">
        <f ca="1">IFERROR(INDIRECT(CONCATENATE("Field!N",A80+1)),"")</f>
        <v>AAA</v>
      </c>
      <c r="T80" s="64" t="str">
        <f t="shared" ca="1" si="4"/>
        <v/>
      </c>
      <c r="U80" s="64" t="str">
        <f t="shared" ca="1" si="5"/>
        <v/>
      </c>
      <c r="V80" s="422" t="str">
        <f ca="1">IF(OR(D80=0,D80="",D80="Athlete"),"",COUNTIF($D$4:$D80,D80))</f>
        <v/>
      </c>
      <c r="W80" s="422" t="str">
        <f t="shared" ca="1" si="6"/>
        <v/>
      </c>
      <c r="Z80" s="422">
        <f t="shared" ca="1" si="7"/>
        <v>0</v>
      </c>
    </row>
    <row r="81" spans="1:26" x14ac:dyDescent="0.35">
      <c r="A81" s="66" t="str">
        <f>"_"&amp;A79</f>
        <v>_LFW03</v>
      </c>
      <c r="B81" s="66">
        <f ca="1">IFERROR(INDIRECT(CONCATENATE("Field!B",A80+2)),"")</f>
        <v>1</v>
      </c>
      <c r="C81" s="66">
        <f ca="1">IFERROR(INDIRECT(CONCATENATE("Field!C",A80+2)),"")</f>
        <v>3</v>
      </c>
      <c r="D81" s="89" t="str">
        <f ca="1">IFERROR(INDIRECT(CONCATENATE("Field!D",A80+2)),"")</f>
        <v>MAUDE Emily</v>
      </c>
      <c r="E81" s="89" t="str">
        <f ca="1">IFERROR(INDIRECT(CONCATENATE("Field!E",A80+2)),"")</f>
        <v>York</v>
      </c>
      <c r="F81" s="149" t="str">
        <f ca="1">IFERROR(TEXT(INDIRECT(CONCATENATE("Field!F",A80+2)),"#.#0")&amp;" "&amp;VLOOKUP(C81,INDIRECT($A81),5,FALSE),"")</f>
        <v xml:space="preserve">4.78 </v>
      </c>
      <c r="G81" s="121">
        <f ca="1">IFERROR(INDIRECT(CONCATENATE("Field!G",A80+2)),"")</f>
        <v>1</v>
      </c>
      <c r="H81" s="66"/>
      <c r="I81" s="66">
        <f ca="1">IFERROR(INDIRECT(CONCATENATE("Field!I",A80+2)),"")</f>
        <v>1</v>
      </c>
      <c r="J81" s="66">
        <f ca="1">IFERROR(INDIRECT(CONCATENATE("Field!J",A80+2)),"")</f>
        <v>33</v>
      </c>
      <c r="K81" s="89" t="str">
        <f ca="1">IFERROR(INDIRECT(CONCATENATE("Field!K",A80+2)),"")</f>
        <v>WRIGHT Ella</v>
      </c>
      <c r="L81" s="89" t="str">
        <f ca="1">IFERROR(INDIRECT(CONCATENATE("Field!L",A80+2)),"")</f>
        <v>York</v>
      </c>
      <c r="M81" s="149" t="str">
        <f ca="1">IFERROR(TEXT(INDIRECT(CONCATENATE("Field!m",A80+2)),"#.#0")&amp;" "&amp;VLOOKUP(J81,INDIRECT($A81),5,FALSE),"")</f>
        <v xml:space="preserve">3.79 </v>
      </c>
      <c r="N81" s="121" t="str">
        <f ca="1">IFERROR(INDIRECT(CONCATENATE("Field!N",A80+2)),"")</f>
        <v/>
      </c>
      <c r="R81" s="219">
        <f ca="1">IFERROR(INDIRECT(CONCATENATE("Field!r",A80+2)),"")</f>
        <v>1</v>
      </c>
      <c r="T81" s="64">
        <f t="shared" ca="1" si="4"/>
        <v>2</v>
      </c>
      <c r="U81" s="64">
        <f t="shared" ca="1" si="5"/>
        <v>3</v>
      </c>
      <c r="V81" s="422">
        <f ca="1">IF(OR(D81=0,D81="",D81="Athlete"),"",COUNTIF($D$4:$D81,D81))</f>
        <v>2</v>
      </c>
      <c r="W81" s="422" t="str">
        <f t="shared" ca="1" si="6"/>
        <v>York</v>
      </c>
      <c r="Z81" s="422">
        <f t="shared" ca="1" si="7"/>
        <v>0</v>
      </c>
    </row>
    <row r="82" spans="1:26" x14ac:dyDescent="0.35">
      <c r="B82" s="66">
        <f ca="1">IFERROR(INDIRECT(CONCATENATE("Field!B",A80+3)),"")</f>
        <v>2</v>
      </c>
      <c r="C82" s="66">
        <f ca="1">IFERROR(INDIRECT(CONCATENATE("Field!C",A80+3)),"")</f>
        <v>1</v>
      </c>
      <c r="D82" s="89" t="str">
        <f ca="1">IFERROR(INDIRECT(CONCATENATE("Field!D",A80+3)),"")</f>
        <v>FELLOWS Isabelle</v>
      </c>
      <c r="E82" s="89" t="str">
        <f ca="1">IFERROR(INDIRECT(CONCATENATE("Field!E",A80+3)),"")</f>
        <v>C'field</v>
      </c>
      <c r="F82" s="149" t="str">
        <f ca="1">IFERROR(TEXT(INDIRECT(CONCATENATE("Field!F",A80+3)),"#.#0")&amp;" "&amp;VLOOKUP(C82,INDIRECT($A81),5,FALSE),"")</f>
        <v xml:space="preserve">3.90 </v>
      </c>
      <c r="G82" s="121" t="str">
        <f ca="1">IFERROR(INDIRECT(CONCATENATE("Field!G",A80+3)),"")</f>
        <v/>
      </c>
      <c r="H82" s="66"/>
      <c r="I82" s="66">
        <f ca="1">IFERROR(INDIRECT(CONCATENATE("Field!I",A80+3)),"")</f>
        <v>2</v>
      </c>
      <c r="J82" s="66">
        <f ca="1">IFERROR(INDIRECT(CONCATENATE("Field!J",A80+3)),"")</f>
        <v>11</v>
      </c>
      <c r="K82" s="89" t="str">
        <f ca="1">IFERROR(INDIRECT(CONCATENATE("Field!K",A80+3)),"")</f>
        <v>HUMPHREYS Melissa</v>
      </c>
      <c r="L82" s="89" t="str">
        <f ca="1">IFERROR(INDIRECT(CONCATENATE("Field!L",A80+3)),"")</f>
        <v>C'field</v>
      </c>
      <c r="M82" s="149" t="str">
        <f ca="1">IFERROR(TEXT(INDIRECT(CONCATENATE("Field!m",A80+3)),"#.#0")&amp;" "&amp;VLOOKUP(J82,INDIRECT($A81),5,FALSE),"")</f>
        <v xml:space="preserve">3.67 </v>
      </c>
      <c r="N82" s="121" t="str">
        <f ca="1">IFERROR(INDIRECT(CONCATENATE("Field!N",A80+3)),"")</f>
        <v/>
      </c>
      <c r="T82" s="64">
        <f t="shared" ca="1" si="4"/>
        <v>3</v>
      </c>
      <c r="U82" s="64">
        <f t="shared" ca="1" si="5"/>
        <v>3</v>
      </c>
      <c r="V82" s="422">
        <f ca="1">IF(OR(D82=0,D82="",D82="Athlete"),"",COUNTIF($D$4:$D82,D82))</f>
        <v>1</v>
      </c>
      <c r="W82" s="422" t="str">
        <f t="shared" ca="1" si="6"/>
        <v>C'field</v>
      </c>
      <c r="Z82" s="422" t="str">
        <f t="shared" ca="1" si="7"/>
        <v/>
      </c>
    </row>
    <row r="83" spans="1:26" x14ac:dyDescent="0.35">
      <c r="B83" s="66">
        <f ca="1">IFERROR(INDIRECT(CONCATENATE("Field!B",A80+4)),"")</f>
        <v>3</v>
      </c>
      <c r="C83" s="66">
        <f ca="1">IFERROR(INDIRECT(CONCATENATE("Field!C",A80+4)),"")</f>
        <v>4</v>
      </c>
      <c r="D83" s="89" t="str">
        <f ca="1">IFERROR(INDIRECT(CONCATENATE("Field!D",A80+4)),"")</f>
        <v>WILMOT Amy</v>
      </c>
      <c r="E83" s="89" t="str">
        <f ca="1">IFERROR(INDIRECT(CONCATENATE("Field!E",A80+4)),"")</f>
        <v>M'bro</v>
      </c>
      <c r="F83" s="149" t="str">
        <f ca="1">IFERROR(TEXT(INDIRECT(CONCATENATE("Field!F",A80+4)),"#.#0")&amp;" "&amp;VLOOKUP(C83,INDIRECT($A81),5,FALSE),"")</f>
        <v xml:space="preserve">3.56 </v>
      </c>
      <c r="G83" s="121" t="str">
        <f ca="1">IFERROR(INDIRECT(CONCATENATE("Field!G",A80+4)),"")</f>
        <v/>
      </c>
      <c r="H83" s="66"/>
      <c r="I83" s="66">
        <f ca="1">IFERROR(INDIRECT(CONCATENATE("Field!I",A80+4)),"")</f>
        <v>3</v>
      </c>
      <c r="J83" s="66">
        <f ca="1">IFERROR(INDIRECT(CONCATENATE("Field!J",A80+4)),"")</f>
        <v>44</v>
      </c>
      <c r="K83" s="89" t="str">
        <f ca="1">IFERROR(INDIRECT(CONCATENATE("Field!K",A80+4)),"")</f>
        <v>SULLOCK Beth</v>
      </c>
      <c r="L83" s="89" t="str">
        <f ca="1">IFERROR(INDIRECT(CONCATENATE("Field!L",A80+4)),"")</f>
        <v>M'bro</v>
      </c>
      <c r="M83" s="149" t="str">
        <f ca="1">IFERROR(TEXT(INDIRECT(CONCATENATE("Field!m",A80+4)),"#.#0")&amp;" "&amp;VLOOKUP(J83,INDIRECT($A81),5,FALSE),"")</f>
        <v xml:space="preserve">3.53 </v>
      </c>
      <c r="N83" s="121" t="str">
        <f ca="1">IFERROR(INDIRECT(CONCATENATE("Field!N",A80+4)),"")</f>
        <v/>
      </c>
      <c r="T83" s="64">
        <f t="shared" ca="1" si="4"/>
        <v>2</v>
      </c>
      <c r="U83" s="64">
        <f t="shared" ca="1" si="5"/>
        <v>3</v>
      </c>
      <c r="V83" s="422">
        <f ca="1">IF(OR(D83=0,D83="",D83="Athlete"),"",COUNTIF($D$4:$D83,D83))</f>
        <v>2</v>
      </c>
      <c r="W83" s="422" t="str">
        <f t="shared" ca="1" si="6"/>
        <v>M'bro</v>
      </c>
      <c r="Z83" s="422" t="str">
        <f t="shared" ca="1" si="7"/>
        <v/>
      </c>
    </row>
    <row r="84" spans="1:26" x14ac:dyDescent="0.35">
      <c r="B84" s="66">
        <f ca="1">IFERROR(INDIRECT(CONCATENATE("Field!B",A80+5)),"")</f>
        <v>4</v>
      </c>
      <c r="C84" s="66">
        <f ca="1">IFERROR(INDIRECT(CONCATENATE("Field!C",A80+5)),"")</f>
        <v>5</v>
      </c>
      <c r="D84" s="89" t="str">
        <f ca="1">IFERROR(INDIRECT(CONCATENATE("Field!D",A80+5)),"")</f>
        <v>STOW Libby</v>
      </c>
      <c r="E84" s="89" t="str">
        <f ca="1">IFERROR(INDIRECT(CONCATENATE("Field!E",A80+5)),"")</f>
        <v>Scun</v>
      </c>
      <c r="F84" s="149" t="str">
        <f ca="1">IFERROR(TEXT(INDIRECT(CONCATENATE("Field!F",A80+5)),"#.#0")&amp;" "&amp;VLOOKUP(C84,INDIRECT($A81),5,FALSE),"")</f>
        <v xml:space="preserve">3.27 </v>
      </c>
      <c r="G84" s="121" t="str">
        <f ca="1">IFERROR(INDIRECT(CONCATENATE("Field!G",A80+5)),"")</f>
        <v/>
      </c>
      <c r="H84" s="66"/>
      <c r="I84" s="66">
        <f ca="1">IFERROR(INDIRECT(CONCATENATE("Field!I",A80+5)),"")</f>
        <v>4</v>
      </c>
      <c r="J84" s="66">
        <f ca="1">IFERROR(INDIRECT(CONCATENATE("Field!J",A80+5)),"")</f>
        <v>2</v>
      </c>
      <c r="K84" s="89" t="str">
        <f ca="1">IFERROR(INDIRECT(CONCATENATE("Field!K",A80+5)),"")</f>
        <v>COOPER Amy</v>
      </c>
      <c r="L84" s="89" t="str">
        <f ca="1">IFERROR(INDIRECT(CONCATENATE("Field!L",A80+5)),"")</f>
        <v>Sheff+D</v>
      </c>
      <c r="M84" s="149" t="str">
        <f ca="1">IFERROR(TEXT(INDIRECT(CONCATENATE("Field!m",A80+5)),"#.#0")&amp;" "&amp;VLOOKUP(J84,INDIRECT($A81),5,FALSE),"")</f>
        <v xml:space="preserve">3.01 </v>
      </c>
      <c r="N84" s="121" t="str">
        <f ca="1">IFERROR(INDIRECT(CONCATENATE("Field!N",A80+5)),"")</f>
        <v/>
      </c>
      <c r="T84" s="64">
        <f t="shared" ca="1" si="4"/>
        <v>2</v>
      </c>
      <c r="U84" s="64">
        <f t="shared" ca="1" si="5"/>
        <v>2</v>
      </c>
      <c r="V84" s="422">
        <f ca="1">IF(OR(D84=0,D84="",D84="Athlete"),"",COUNTIF($D$4:$D84,D84))</f>
        <v>2</v>
      </c>
      <c r="W84" s="422" t="str">
        <f t="shared" ca="1" si="6"/>
        <v>Scun</v>
      </c>
      <c r="Z84" s="422" t="str">
        <f t="shared" ca="1" si="7"/>
        <v/>
      </c>
    </row>
    <row r="85" spans="1:26" x14ac:dyDescent="0.35">
      <c r="B85" s="66">
        <f ca="1">IFERROR(INDIRECT(CONCATENATE("Field!B",A80+6)),"")</f>
        <v>5</v>
      </c>
      <c r="C85" s="66">
        <f ca="1">IFERROR(INDIRECT(CONCATENATE("Field!C",A80+6)),"")</f>
        <v>22</v>
      </c>
      <c r="D85" s="89" t="str">
        <f ca="1">IFERROR(INDIRECT(CONCATENATE("Field!D",A80+6)),"")</f>
        <v>GROVE Abigail</v>
      </c>
      <c r="E85" s="89" t="str">
        <f ca="1">IFERROR(INDIRECT(CONCATENATE("Field!E",A80+6)),"")</f>
        <v>Sheff+D</v>
      </c>
      <c r="F85" s="149" t="str">
        <f ca="1">IFERROR(TEXT(INDIRECT(CONCATENATE("Field!F",A80+6)),"#.#0")&amp;" "&amp;VLOOKUP(C85,INDIRECT($A81),5,FALSE),"")</f>
        <v xml:space="preserve">3.05 </v>
      </c>
      <c r="G85" s="121" t="str">
        <f ca="1">IFERROR(INDIRECT(CONCATENATE("Field!G",A80+6)),"")</f>
        <v/>
      </c>
      <c r="H85" s="66"/>
      <c r="I85" s="66">
        <f ca="1">IFERROR(INDIRECT(CONCATENATE("Field!I",A80+6)),"")</f>
        <v>5</v>
      </c>
      <c r="J85" s="66">
        <f ca="1">IFERROR(INDIRECT(CONCATENATE("Field!J",A80+6)),"")</f>
        <v>55</v>
      </c>
      <c r="K85" s="89" t="str">
        <f ca="1">IFERROR(INDIRECT(CONCATENATE("Field!K",A80+6)),"")</f>
        <v>HAYES Zara</v>
      </c>
      <c r="L85" s="89" t="str">
        <f ca="1">IFERROR(INDIRECT(CONCATENATE("Field!L",A80+6)),"")</f>
        <v>Scun</v>
      </c>
      <c r="M85" s="149" t="str">
        <f ca="1">IFERROR(TEXT(INDIRECT(CONCATENATE("Field!m",A80+6)),"#.#0")&amp;" "&amp;VLOOKUP(J85,INDIRECT($A81),5,FALSE),"")</f>
        <v xml:space="preserve">2.98 </v>
      </c>
      <c r="N85" s="121" t="str">
        <f ca="1">IFERROR(INDIRECT(CONCATENATE("Field!N",A80+6)),"")</f>
        <v/>
      </c>
      <c r="T85" s="64">
        <f t="shared" ca="1" si="4"/>
        <v>2</v>
      </c>
      <c r="U85" s="64">
        <f t="shared" ca="1" si="5"/>
        <v>3</v>
      </c>
      <c r="V85" s="422">
        <f ca="1">IF(OR(D85=0,D85="",D85="Athlete"),"",COUNTIF($D$4:$D85,D85))</f>
        <v>2</v>
      </c>
      <c r="W85" s="422" t="str">
        <f t="shared" ca="1" si="6"/>
        <v>Sheff+D</v>
      </c>
      <c r="Z85" s="422" t="str">
        <f t="shared" ca="1" si="7"/>
        <v/>
      </c>
    </row>
    <row r="86" spans="1:26" x14ac:dyDescent="0.35">
      <c r="B86" s="66">
        <f ca="1">IFERROR(INDIRECT(CONCATENATE("Field!B",A80+7)),"")</f>
        <v>6</v>
      </c>
      <c r="C86" s="66" t="str">
        <f ca="1">IFERROR(INDIRECT(CONCATENATE("Field!C",A80+7)),"")</f>
        <v/>
      </c>
      <c r="D86" s="89" t="str">
        <f ca="1">IFERROR(INDIRECT(CONCATENATE("Field!D",A80+7)),"")</f>
        <v/>
      </c>
      <c r="E86" s="89" t="str">
        <f ca="1">IFERROR(INDIRECT(CONCATENATE("Field!E",A80+7)),"")</f>
        <v/>
      </c>
      <c r="F86" s="149" t="str">
        <f ca="1">IFERROR(TEXT(INDIRECT(CONCATENATE("Field!F",A80+7)),"#.#0")&amp;" "&amp;VLOOKUP(C86,INDIRECT($A81),5,FALSE),"")</f>
        <v/>
      </c>
      <c r="G86" s="121" t="str">
        <f ca="1">IFERROR(INDIRECT(CONCATENATE("Field!G",A80+7)),"")</f>
        <v/>
      </c>
      <c r="H86" s="66"/>
      <c r="I86" s="66">
        <f ca="1">IFERROR(INDIRECT(CONCATENATE("Field!I",A80+7)),"")</f>
        <v>6</v>
      </c>
      <c r="J86" s="66" t="str">
        <f ca="1">IFERROR(INDIRECT(CONCATENATE("Field!J",A80+7)),"")</f>
        <v/>
      </c>
      <c r="K86" s="89" t="str">
        <f ca="1">IFERROR(INDIRECT(CONCATENATE("Field!K",A80+7)),"")</f>
        <v/>
      </c>
      <c r="L86" s="89" t="str">
        <f ca="1">IFERROR(INDIRECT(CONCATENATE("Field!L",A80+7)),"")</f>
        <v/>
      </c>
      <c r="M86" s="149" t="str">
        <f ca="1">IFERROR(TEXT(INDIRECT(CONCATENATE("Field!m",A80+7)),"#.#0")&amp;" "&amp;VLOOKUP(J86,INDIRECT($A81),5,FALSE),"")</f>
        <v/>
      </c>
      <c r="N86" s="121" t="str">
        <f ca="1">IFERROR(INDIRECT(CONCATENATE("Field!N",A80+7)),"")</f>
        <v/>
      </c>
      <c r="T86" s="64" t="str">
        <f t="shared" ca="1" si="4"/>
        <v/>
      </c>
      <c r="U86" s="64" t="str">
        <f t="shared" ca="1" si="5"/>
        <v/>
      </c>
      <c r="V86" s="422" t="str">
        <f ca="1">IF(OR(D86=0,D86="",D86="Athlete"),"",COUNTIF($D$4:$D86,D86))</f>
        <v/>
      </c>
      <c r="W86" s="422" t="str">
        <f t="shared" ca="1" si="6"/>
        <v/>
      </c>
      <c r="Z86" s="422" t="str">
        <f t="shared" ca="1" si="7"/>
        <v/>
      </c>
    </row>
    <row r="87" spans="1:26" x14ac:dyDescent="0.35">
      <c r="B87" s="66">
        <f ca="1">IFERROR(INDIRECT(CONCATENATE("Field!B",A80+8)),"")</f>
        <v>7</v>
      </c>
      <c r="C87" s="66" t="str">
        <f ca="1">IFERROR(INDIRECT(CONCATENATE("Field!C",A80+8)),"")</f>
        <v/>
      </c>
      <c r="D87" s="89" t="str">
        <f ca="1">IFERROR(INDIRECT(CONCATENATE("Field!D",A80+8)),"")</f>
        <v/>
      </c>
      <c r="E87" s="89" t="str">
        <f ca="1">IFERROR(INDIRECT(CONCATENATE("Field!E",A80+8)),"")</f>
        <v/>
      </c>
      <c r="F87" s="149" t="str">
        <f ca="1">IFERROR(TEXT(INDIRECT(CONCATENATE("Field!F",A80+8)),"#.#0")&amp;" "&amp;VLOOKUP(C87,INDIRECT($A81),5,FALSE),"")</f>
        <v/>
      </c>
      <c r="G87" s="121" t="str">
        <f ca="1">IFERROR(INDIRECT(CONCATENATE("Field!G",A80+8)),"")</f>
        <v/>
      </c>
      <c r="H87" s="66"/>
      <c r="I87" s="66">
        <f ca="1">IFERROR(INDIRECT(CONCATENATE("Field!I",A80+8)),"")</f>
        <v>7</v>
      </c>
      <c r="J87" s="66" t="str">
        <f ca="1">IFERROR(INDIRECT(CONCATENATE("Field!J",A80+8)),"")</f>
        <v/>
      </c>
      <c r="K87" s="89" t="str">
        <f ca="1">IFERROR(INDIRECT(CONCATENATE("Field!K",A80+8)),"")</f>
        <v/>
      </c>
      <c r="L87" s="89" t="str">
        <f ca="1">IFERROR(INDIRECT(CONCATENATE("Field!L",A80+8)),"")</f>
        <v/>
      </c>
      <c r="M87" s="149" t="str">
        <f ca="1">IFERROR(TEXT(INDIRECT(CONCATENATE("Field!m",A80+8)),"#.#0")&amp;" "&amp;VLOOKUP(J87,INDIRECT($A81),5,FALSE),"")</f>
        <v/>
      </c>
      <c r="N87" s="121" t="str">
        <f ca="1">IFERROR(INDIRECT(CONCATENATE("Field!N",A80+8)),"")</f>
        <v/>
      </c>
      <c r="T87" s="64" t="str">
        <f t="shared" ca="1" si="4"/>
        <v/>
      </c>
      <c r="U87" s="64" t="str">
        <f t="shared" ca="1" si="5"/>
        <v/>
      </c>
      <c r="V87" s="422" t="str">
        <f ca="1">IF(OR(D87=0,D87="",D87="Athlete"),"",COUNTIF($D$4:$D87,D87))</f>
        <v/>
      </c>
      <c r="W87" s="422" t="str">
        <f t="shared" ca="1" si="6"/>
        <v/>
      </c>
      <c r="Z87" s="422" t="str">
        <f t="shared" ca="1" si="7"/>
        <v/>
      </c>
    </row>
    <row r="88" spans="1:26" x14ac:dyDescent="0.35">
      <c r="B88" s="66">
        <f ca="1">IFERROR(INDIRECT(CONCATENATE("Field!B",A80+9)),"")</f>
        <v>8</v>
      </c>
      <c r="C88" s="66" t="str">
        <f ca="1">IFERROR(INDIRECT(CONCATENATE("Field!C",A80+9)),"")</f>
        <v/>
      </c>
      <c r="D88" s="89" t="str">
        <f ca="1">IFERROR(INDIRECT(CONCATENATE("Field!D",A80+9)),"")</f>
        <v/>
      </c>
      <c r="E88" s="89" t="str">
        <f ca="1">IFERROR(INDIRECT(CONCATENATE("Field!E",A80+9)),"")</f>
        <v/>
      </c>
      <c r="F88" s="149" t="str">
        <f ca="1">IFERROR(TEXT(INDIRECT(CONCATENATE("Field!F",A80+9)),"#.#0")&amp;" "&amp;VLOOKUP(C88,INDIRECT($A81),5,FALSE),"")</f>
        <v/>
      </c>
      <c r="G88" s="121" t="str">
        <f ca="1">IFERROR(INDIRECT(CONCATENATE("Field!G",A80+9)),"")</f>
        <v/>
      </c>
      <c r="H88" s="66"/>
      <c r="I88" s="66">
        <f ca="1">IFERROR(INDIRECT(CONCATENATE("Field!I",A80+9)),"")</f>
        <v>8</v>
      </c>
      <c r="J88" s="66" t="str">
        <f ca="1">IFERROR(INDIRECT(CONCATENATE("Field!J",A80+9)),"")</f>
        <v/>
      </c>
      <c r="K88" s="89" t="str">
        <f ca="1">IFERROR(INDIRECT(CONCATENATE("Field!K",A80+9)),"")</f>
        <v/>
      </c>
      <c r="L88" s="89" t="str">
        <f ca="1">IFERROR(INDIRECT(CONCATENATE("Field!L",A80+9)),"")</f>
        <v/>
      </c>
      <c r="M88" s="149" t="str">
        <f ca="1">IFERROR(TEXT(INDIRECT(CONCATENATE("Field!m",A80+9)),"#.#0")&amp;" "&amp;VLOOKUP(J88,INDIRECT($A81),5,FALSE),"")</f>
        <v/>
      </c>
      <c r="N88" s="121" t="str">
        <f ca="1">IFERROR(INDIRECT(CONCATENATE("Field!N",A80+9)),"")</f>
        <v/>
      </c>
      <c r="T88" s="64" t="str">
        <f t="shared" ca="1" si="4"/>
        <v/>
      </c>
      <c r="U88" s="64" t="str">
        <f t="shared" ca="1" si="5"/>
        <v/>
      </c>
      <c r="V88" s="422" t="str">
        <f ca="1">IF(OR(D88=0,D88="",D88="Athlete"),"",COUNTIF($D$4:$D88,D88))</f>
        <v/>
      </c>
      <c r="W88" s="422" t="str">
        <f t="shared" ca="1" si="6"/>
        <v/>
      </c>
      <c r="Z88" s="422" t="str">
        <f t="shared" ca="1" si="7"/>
        <v/>
      </c>
    </row>
    <row r="89" spans="1:26" x14ac:dyDescent="0.35">
      <c r="T89" s="64" t="str">
        <f t="shared" si="4"/>
        <v/>
      </c>
      <c r="U89" s="64" t="str">
        <f t="shared" si="5"/>
        <v/>
      </c>
      <c r="V89" s="422" t="str">
        <f>IF(OR(D89=0,D89="",D89="Athlete"),"",COUNTIF($D$4:$D89,D89))</f>
        <v/>
      </c>
      <c r="W89" s="422" t="str">
        <f t="shared" si="6"/>
        <v/>
      </c>
      <c r="Z89" s="422" t="str">
        <f t="shared" si="7"/>
        <v/>
      </c>
    </row>
    <row r="90" spans="1:26" x14ac:dyDescent="0.35">
      <c r="A90" s="66" t="s">
        <v>238</v>
      </c>
      <c r="B90" s="115" t="str">
        <f ca="1">IFERROR(INDIRECT(CONCATENATE("Field!B",A91)),"")</f>
        <v>High Jump U13 Girls A</v>
      </c>
      <c r="G90" s="121" t="str">
        <f ca="1">IFERROR(INDIRECT(CONCATENATE("Field!g",A91)),"")</f>
        <v/>
      </c>
      <c r="I90" s="115" t="str">
        <f ca="1">IFERROR(INDIRECT(CONCATENATE("Field!I",A91)),"")</f>
        <v>High Jump U13 Girls B</v>
      </c>
      <c r="T90" s="64" t="str">
        <f t="shared" si="4"/>
        <v/>
      </c>
      <c r="U90" s="64" t="str">
        <f t="shared" si="5"/>
        <v/>
      </c>
      <c r="V90" s="422" t="str">
        <f>IF(OR(D90=0,D90="",D90="Athlete"),"",COUNTIF($D$4:$D90,D90))</f>
        <v/>
      </c>
      <c r="W90" s="422" t="str">
        <f t="shared" si="6"/>
        <v/>
      </c>
      <c r="Z90" s="422" t="str">
        <f t="shared" ca="1" si="7"/>
        <v/>
      </c>
    </row>
    <row r="91" spans="1:26" x14ac:dyDescent="0.35">
      <c r="A91" s="66">
        <f>IFERROR(MATCH(A90,Field!A:A,0),"")</f>
        <v>200</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c r="T91" s="64" t="str">
        <f t="shared" ca="1" si="4"/>
        <v/>
      </c>
      <c r="U91" s="64" t="str">
        <f t="shared" ca="1" si="5"/>
        <v/>
      </c>
      <c r="V91" s="422" t="str">
        <f ca="1">IF(OR(D91=0,D91="",D91="Athlete"),"",COUNTIF($D$4:$D91,D91))</f>
        <v/>
      </c>
      <c r="W91" s="422" t="str">
        <f t="shared" ca="1" si="6"/>
        <v/>
      </c>
      <c r="Z91" s="422">
        <f t="shared" ca="1" si="7"/>
        <v>0</v>
      </c>
    </row>
    <row r="92" spans="1:26" x14ac:dyDescent="0.35">
      <c r="B92" s="66">
        <f ca="1">IFERROR(INDIRECT(CONCATENATE("Field!B",A91+2)),"")</f>
        <v>1</v>
      </c>
      <c r="C92" s="66">
        <f ca="1">IFERROR(INDIRECT(CONCATENATE("Field!C",A91+2)),"")</f>
        <v>33</v>
      </c>
      <c r="D92" s="89" t="str">
        <f ca="1">IFERROR(INDIRECT(CONCATENATE("Field!D",A91+2)),"")</f>
        <v>POUNDER Esme</v>
      </c>
      <c r="E92" s="89" t="str">
        <f ca="1">IFERROR(INDIRECT(CONCATENATE("Field!E",A91+2)),"")</f>
        <v>York</v>
      </c>
      <c r="F92" s="65">
        <f ca="1">IFERROR(INDIRECT(CONCATENATE("Field!F",A91+2)),"")</f>
        <v>1.41</v>
      </c>
      <c r="G92" s="121">
        <f ca="1">IFERROR(INDIRECT(CONCATENATE("Field!G",A91+2)),"")</f>
        <v>1</v>
      </c>
      <c r="H92" s="66"/>
      <c r="I92" s="66">
        <f ca="1">IFERROR(INDIRECT(CONCATENATE("Field!I",A91+2)),"")</f>
        <v>1</v>
      </c>
      <c r="J92" s="66">
        <f ca="1">IFERROR(INDIRECT(CONCATENATE("Field!J",A91+2)),"")</f>
        <v>3</v>
      </c>
      <c r="K92" s="89" t="str">
        <f ca="1">IFERROR(INDIRECT(CONCATENATE("Field!K",A91+2)),"")</f>
        <v>CLAGUE Kathryn</v>
      </c>
      <c r="L92" s="89" t="str">
        <f ca="1">IFERROR(INDIRECT(CONCATENATE("Field!L",A91+2)),"")</f>
        <v>York</v>
      </c>
      <c r="M92" s="65">
        <f ca="1">IFERROR(INDIRECT(CONCATENATE("Field!M",A91+2)),"")</f>
        <v>1.3</v>
      </c>
      <c r="N92" s="121">
        <f ca="1">IFERROR(INDIRECT(CONCATENATE("Field!N",A91+2)),"")</f>
        <v>3</v>
      </c>
      <c r="R92" s="219">
        <f ca="1">IFERROR(INDIRECT(CONCATENATE("Field!r",A91+2)),"")</f>
        <v>1</v>
      </c>
      <c r="T92" s="64">
        <f t="shared" ca="1" si="4"/>
        <v>2</v>
      </c>
      <c r="U92" s="64">
        <f t="shared" ca="1" si="5"/>
        <v>3</v>
      </c>
      <c r="V92" s="422">
        <f ca="1">IF(OR(D92=0,D92="",D92="Athlete"),"",COUNTIF($D$4:$D92,D92))</f>
        <v>2</v>
      </c>
      <c r="W92" s="422" t="str">
        <f t="shared" ca="1" si="6"/>
        <v>York</v>
      </c>
      <c r="Z92" s="422">
        <f t="shared" ca="1" si="7"/>
        <v>0</v>
      </c>
    </row>
    <row r="93" spans="1:26" x14ac:dyDescent="0.35">
      <c r="B93" s="66">
        <f ca="1">IFERROR(INDIRECT(CONCATENATE("Field!B",A91+3)),"")</f>
        <v>2</v>
      </c>
      <c r="C93" s="66">
        <f ca="1">IFERROR(INDIRECT(CONCATENATE("Field!C",A91+3)),"")</f>
        <v>11</v>
      </c>
      <c r="D93" s="89" t="str">
        <f ca="1">IFERROR(INDIRECT(CONCATENATE("Field!D",A91+3)),"")</f>
        <v>STANILAND Charlotte</v>
      </c>
      <c r="E93" s="89" t="str">
        <f ca="1">IFERROR(INDIRECT(CONCATENATE("Field!E",A91+3)),"")</f>
        <v>C'field</v>
      </c>
      <c r="F93" s="65">
        <f ca="1">IFERROR(INDIRECT(CONCATENATE("Field!F",A91+3)),"")</f>
        <v>1.3</v>
      </c>
      <c r="G93" s="121">
        <f ca="1">IFERROR(INDIRECT(CONCATENATE("Field!G",A91+3)),"")</f>
        <v>3</v>
      </c>
      <c r="H93" s="66"/>
      <c r="I93" s="66">
        <f ca="1">IFERROR(INDIRECT(CONCATENATE("Field!I",A91+3)),"")</f>
        <v>2</v>
      </c>
      <c r="J93" s="66">
        <f ca="1">IFERROR(INDIRECT(CONCATENATE("Field!J",A91+3)),"")</f>
        <v>1</v>
      </c>
      <c r="K93" s="89" t="str">
        <f ca="1">IFERROR(INDIRECT(CONCATENATE("Field!K",A91+3)),"")</f>
        <v>HUMPHREYS Melissa</v>
      </c>
      <c r="L93" s="89" t="str">
        <f ca="1">IFERROR(INDIRECT(CONCATENATE("Field!L",A91+3)),"")</f>
        <v>C'field</v>
      </c>
      <c r="M93" s="65">
        <f ca="1">IFERROR(INDIRECT(CONCATENATE("Field!M",A91+3)),"")</f>
        <v>1.3</v>
      </c>
      <c r="N93" s="121">
        <f ca="1">IFERROR(INDIRECT(CONCATENATE("Field!N",A91+3)),"")</f>
        <v>3</v>
      </c>
      <c r="T93" s="64">
        <f t="shared" ca="1" si="4"/>
        <v>3</v>
      </c>
      <c r="U93" s="64">
        <f t="shared" ca="1" si="5"/>
        <v>3</v>
      </c>
      <c r="V93" s="422">
        <f ca="1">IF(OR(D93=0,D93="",D93="Athlete"),"",COUNTIF($D$4:$D93,D93))</f>
        <v>3</v>
      </c>
      <c r="W93" s="422" t="str">
        <f t="shared" ca="1" si="6"/>
        <v>C'field</v>
      </c>
      <c r="Z93" s="422">
        <f t="shared" ca="1" si="7"/>
        <v>0</v>
      </c>
    </row>
    <row r="94" spans="1:26" x14ac:dyDescent="0.35">
      <c r="B94" s="66">
        <f ca="1">IFERROR(INDIRECT(CONCATENATE("Field!B",A91+4)),"")</f>
        <v>3</v>
      </c>
      <c r="C94" s="66">
        <f ca="1">IFERROR(INDIRECT(CONCATENATE("Field!C",A91+4)),"")</f>
        <v>2</v>
      </c>
      <c r="D94" s="89" t="str">
        <f ca="1">IFERROR(INDIRECT(CONCATENATE("Field!D",A91+4)),"")</f>
        <v>ROBERTS Eve</v>
      </c>
      <c r="E94" s="89" t="str">
        <f ca="1">IFERROR(INDIRECT(CONCATENATE("Field!E",A91+4)),"")</f>
        <v>Sheff+D</v>
      </c>
      <c r="F94" s="65">
        <f ca="1">IFERROR(INDIRECT(CONCATENATE("Field!F",A91+4)),"")</f>
        <v>1.2</v>
      </c>
      <c r="G94" s="121" t="str">
        <f ca="1">IFERROR(INDIRECT(CONCATENATE("Field!G",A91+4)),"")</f>
        <v/>
      </c>
      <c r="H94" s="66"/>
      <c r="I94" s="66">
        <f ca="1">IFERROR(INDIRECT(CONCATENATE("Field!I",A91+4)),"")</f>
        <v>3</v>
      </c>
      <c r="J94" s="66">
        <f ca="1">IFERROR(INDIRECT(CONCATENATE("Field!J",A91+4)),"")</f>
        <v>22</v>
      </c>
      <c r="K94" s="89" t="str">
        <f ca="1">IFERROR(INDIRECT(CONCATENATE("Field!K",A91+4)),"")</f>
        <v>HARTLEY Eleanor</v>
      </c>
      <c r="L94" s="89" t="str">
        <f ca="1">IFERROR(INDIRECT(CONCATENATE("Field!L",A91+4)),"")</f>
        <v>Sheff+D</v>
      </c>
      <c r="M94" s="65">
        <f ca="1">IFERROR(INDIRECT(CONCATENATE("Field!M",A91+4)),"")</f>
        <v>1.2</v>
      </c>
      <c r="N94" s="121" t="str">
        <f ca="1">IFERROR(INDIRECT(CONCATENATE("Field!N",A91+4)),"")</f>
        <v/>
      </c>
      <c r="T94" s="64">
        <f t="shared" ca="1" si="4"/>
        <v>3</v>
      </c>
      <c r="U94" s="64">
        <f t="shared" ca="1" si="5"/>
        <v>3</v>
      </c>
      <c r="V94" s="422">
        <f ca="1">IF(OR(D94=0,D94="",D94="Athlete"),"",COUNTIF($D$4:$D94,D94))</f>
        <v>1</v>
      </c>
      <c r="W94" s="422" t="str">
        <f t="shared" ca="1" si="6"/>
        <v>Sheff+D</v>
      </c>
      <c r="Z94" s="422" t="str">
        <f t="shared" ca="1" si="7"/>
        <v/>
      </c>
    </row>
    <row r="95" spans="1:26" x14ac:dyDescent="0.35">
      <c r="B95" s="66" t="str">
        <f ca="1">IFERROR(INDIRECT(CONCATENATE("Field!B",A91+5)),"")</f>
        <v/>
      </c>
      <c r="C95" s="66" t="str">
        <f ca="1">IFERROR(INDIRECT(CONCATENATE("Field!C",A91+5)),"")</f>
        <v/>
      </c>
      <c r="D95" s="89" t="str">
        <f ca="1">IFERROR(INDIRECT(CONCATENATE("Field!D",A91+5)),"")</f>
        <v/>
      </c>
      <c r="E95" s="89" t="str">
        <f ca="1">IFERROR(INDIRECT(CONCATENATE("Field!E",A91+5)),"")</f>
        <v/>
      </c>
      <c r="F95" s="65">
        <f ca="1">IFERROR(INDIRECT(CONCATENATE("Field!F",A91+5)),"")</f>
        <v>0</v>
      </c>
      <c r="G95" s="121" t="str">
        <f ca="1">IFERROR(INDIRECT(CONCATENATE("Field!G",A91+5)),"")</f>
        <v/>
      </c>
      <c r="H95" s="66"/>
      <c r="I95" s="66" t="str">
        <f ca="1">IFERROR(INDIRECT(CONCATENATE("Field!I",A91+5)),"")</f>
        <v/>
      </c>
      <c r="J95" s="66" t="str">
        <f ca="1">IFERROR(INDIRECT(CONCATENATE("Field!J",A91+5)),"")</f>
        <v/>
      </c>
      <c r="K95" s="89" t="str">
        <f ca="1">IFERROR(INDIRECT(CONCATENATE("Field!K",A91+5)),"")</f>
        <v/>
      </c>
      <c r="L95" s="89" t="str">
        <f ca="1">IFERROR(INDIRECT(CONCATENATE("Field!L",A91+5)),"")</f>
        <v/>
      </c>
      <c r="M95" s="65">
        <f ca="1">IFERROR(INDIRECT(CONCATENATE("Field!M",A91+5)),"")</f>
        <v>0</v>
      </c>
      <c r="N95" s="121" t="str">
        <f ca="1">IFERROR(INDIRECT(CONCATENATE("Field!N",A91+5)),"")</f>
        <v/>
      </c>
      <c r="T95" s="64" t="str">
        <f t="shared" ca="1" si="4"/>
        <v/>
      </c>
      <c r="U95" s="64" t="str">
        <f t="shared" ca="1" si="5"/>
        <v/>
      </c>
      <c r="V95" s="422" t="str">
        <f ca="1">IF(OR(D95=0,D95="",D95="Athlete"),"",COUNTIF($D$4:$D95,D95))</f>
        <v/>
      </c>
      <c r="W95" s="422" t="str">
        <f t="shared" ca="1" si="6"/>
        <v/>
      </c>
      <c r="Z95" s="422" t="str">
        <f t="shared" ca="1" si="7"/>
        <v/>
      </c>
    </row>
    <row r="96" spans="1:26" x14ac:dyDescent="0.35">
      <c r="B96" s="66" t="str">
        <f ca="1">IFERROR(INDIRECT(CONCATENATE("Field!B",A91+6)),"")</f>
        <v/>
      </c>
      <c r="C96" s="66" t="str">
        <f ca="1">IFERROR(INDIRECT(CONCATENATE("Field!C",A91+6)),"")</f>
        <v/>
      </c>
      <c r="D96" s="89" t="str">
        <f ca="1">IFERROR(INDIRECT(CONCATENATE("Field!D",A91+6)),"")</f>
        <v/>
      </c>
      <c r="E96" s="89" t="str">
        <f ca="1">IFERROR(INDIRECT(CONCATENATE("Field!E",A91+6)),"")</f>
        <v/>
      </c>
      <c r="F96" s="65">
        <f ca="1">IFERROR(INDIRECT(CONCATENATE("Field!F",A91+6)),"")</f>
        <v>0</v>
      </c>
      <c r="G96" s="121" t="str">
        <f ca="1">IFERROR(INDIRECT(CONCATENATE("Field!G",A91+6)),"")</f>
        <v/>
      </c>
      <c r="H96" s="66"/>
      <c r="I96" s="66" t="str">
        <f ca="1">IFERROR(INDIRECT(CONCATENATE("Field!I",A91+6)),"")</f>
        <v/>
      </c>
      <c r="J96" s="66" t="str">
        <f ca="1">IFERROR(INDIRECT(CONCATENATE("Field!J",A91+6)),"")</f>
        <v/>
      </c>
      <c r="K96" s="89" t="str">
        <f ca="1">IFERROR(INDIRECT(CONCATENATE("Field!K",A91+6)),"")</f>
        <v/>
      </c>
      <c r="L96" s="89" t="str">
        <f ca="1">IFERROR(INDIRECT(CONCATENATE("Field!L",A91+6)),"")</f>
        <v/>
      </c>
      <c r="M96" s="65">
        <f ca="1">IFERROR(INDIRECT(CONCATENATE("Field!M",A91+6)),"")</f>
        <v>0</v>
      </c>
      <c r="N96" s="121" t="str">
        <f ca="1">IFERROR(INDIRECT(CONCATENATE("Field!N",A91+6)),"")</f>
        <v/>
      </c>
      <c r="T96" s="64" t="str">
        <f t="shared" ca="1" si="4"/>
        <v/>
      </c>
      <c r="U96" s="64" t="str">
        <f t="shared" ca="1" si="5"/>
        <v/>
      </c>
      <c r="V96" s="422" t="str">
        <f ca="1">IF(OR(D96=0,D96="",D96="Athlete"),"",COUNTIF($D$4:$D96,D96))</f>
        <v/>
      </c>
      <c r="W96" s="422" t="str">
        <f t="shared" ca="1" si="6"/>
        <v/>
      </c>
      <c r="Z96" s="422" t="str">
        <f t="shared" ca="1" si="7"/>
        <v/>
      </c>
    </row>
    <row r="97" spans="1:26" x14ac:dyDescent="0.35">
      <c r="B97" s="66" t="str">
        <f ca="1">IFERROR(INDIRECT(CONCATENATE("Field!B",A91+7)),"")</f>
        <v/>
      </c>
      <c r="C97" s="66" t="str">
        <f ca="1">IFERROR(INDIRECT(CONCATENATE("Field!C",A91+7)),"")</f>
        <v/>
      </c>
      <c r="D97" s="89" t="str">
        <f ca="1">IFERROR(INDIRECT(CONCATENATE("Field!D",A91+7)),"")</f>
        <v/>
      </c>
      <c r="E97" s="89" t="str">
        <f ca="1">IFERROR(INDIRECT(CONCATENATE("Field!E",A91+7)),"")</f>
        <v/>
      </c>
      <c r="F97" s="65">
        <f ca="1">IFERROR(INDIRECT(CONCATENATE("Field!F",A91+7)),"")</f>
        <v>0</v>
      </c>
      <c r="G97" s="121" t="str">
        <f ca="1">IFERROR(INDIRECT(CONCATENATE("Field!G",A91+7)),"")</f>
        <v/>
      </c>
      <c r="H97" s="66"/>
      <c r="I97" s="66" t="str">
        <f ca="1">IFERROR(INDIRECT(CONCATENATE("Field!I",A91+7)),"")</f>
        <v/>
      </c>
      <c r="J97" s="66" t="str">
        <f ca="1">IFERROR(INDIRECT(CONCATENATE("Field!J",A91+7)),"")</f>
        <v/>
      </c>
      <c r="K97" s="89" t="str">
        <f ca="1">IFERROR(INDIRECT(CONCATENATE("Field!K",A91+7)),"")</f>
        <v/>
      </c>
      <c r="L97" s="89" t="str">
        <f ca="1">IFERROR(INDIRECT(CONCATENATE("Field!L",A91+7)),"")</f>
        <v/>
      </c>
      <c r="M97" s="65">
        <f ca="1">IFERROR(INDIRECT(CONCATENATE("Field!M",A91+7)),"")</f>
        <v>0</v>
      </c>
      <c r="N97" s="121" t="str">
        <f ca="1">IFERROR(INDIRECT(CONCATENATE("Field!N",A91+7)),"")</f>
        <v/>
      </c>
      <c r="T97" s="64" t="str">
        <f t="shared" ca="1" si="4"/>
        <v/>
      </c>
      <c r="U97" s="64" t="str">
        <f t="shared" ca="1" si="5"/>
        <v/>
      </c>
      <c r="V97" s="422" t="str">
        <f ca="1">IF(OR(D97=0,D97="",D97="Athlete"),"",COUNTIF($D$4:$D97,D97))</f>
        <v/>
      </c>
      <c r="W97" s="422" t="str">
        <f t="shared" ca="1" si="6"/>
        <v/>
      </c>
      <c r="Z97" s="422" t="str">
        <f t="shared" ca="1" si="7"/>
        <v/>
      </c>
    </row>
    <row r="98" spans="1:26" x14ac:dyDescent="0.35">
      <c r="B98" s="66" t="str">
        <f ca="1">IFERROR(INDIRECT(CONCATENATE("Field!B",A91+8)),"")</f>
        <v/>
      </c>
      <c r="C98" s="66" t="str">
        <f ca="1">IFERROR(INDIRECT(CONCATENATE("Field!C",A91+8)),"")</f>
        <v/>
      </c>
      <c r="D98" s="89" t="str">
        <f ca="1">IFERROR(INDIRECT(CONCATENATE("Field!D",A91+8)),"")</f>
        <v/>
      </c>
      <c r="E98" s="89" t="str">
        <f ca="1">IFERROR(INDIRECT(CONCATENATE("Field!E",A91+8)),"")</f>
        <v/>
      </c>
      <c r="F98" s="65">
        <f ca="1">IFERROR(INDIRECT(CONCATENATE("Field!F",A91+8)),"")</f>
        <v>0</v>
      </c>
      <c r="G98" s="121" t="str">
        <f ca="1">IFERROR(INDIRECT(CONCATENATE("Field!G",A91+8)),"")</f>
        <v/>
      </c>
      <c r="H98" s="66"/>
      <c r="I98" s="66" t="str">
        <f ca="1">IFERROR(INDIRECT(CONCATENATE("Field!I",A91+8)),"")</f>
        <v/>
      </c>
      <c r="J98" s="66" t="str">
        <f ca="1">IFERROR(INDIRECT(CONCATENATE("Field!J",A91+8)),"")</f>
        <v/>
      </c>
      <c r="K98" s="89" t="str">
        <f ca="1">IFERROR(INDIRECT(CONCATENATE("Field!K",A91+8)),"")</f>
        <v/>
      </c>
      <c r="L98" s="89" t="str">
        <f ca="1">IFERROR(INDIRECT(CONCATENATE("Field!L",A91+8)),"")</f>
        <v/>
      </c>
      <c r="M98" s="65">
        <f ca="1">IFERROR(INDIRECT(CONCATENATE("Field!M",A91+8)),"")</f>
        <v>0</v>
      </c>
      <c r="N98" s="121" t="str">
        <f ca="1">IFERROR(INDIRECT(CONCATENATE("Field!N",A91+8)),"")</f>
        <v/>
      </c>
      <c r="T98" s="64" t="str">
        <f t="shared" ca="1" si="4"/>
        <v/>
      </c>
      <c r="U98" s="64" t="str">
        <f t="shared" ca="1" si="5"/>
        <v/>
      </c>
      <c r="V98" s="422" t="str">
        <f ca="1">IF(OR(D98=0,D98="",D98="Athlete"),"",COUNTIF($D$4:$D98,D98))</f>
        <v/>
      </c>
      <c r="W98" s="422" t="str">
        <f t="shared" ca="1" si="6"/>
        <v/>
      </c>
      <c r="Z98" s="422" t="str">
        <f t="shared" ca="1" si="7"/>
        <v/>
      </c>
    </row>
    <row r="99" spans="1:26" x14ac:dyDescent="0.35">
      <c r="B99" s="66" t="str">
        <f ca="1">IFERROR(INDIRECT(CONCATENATE("Field!B",A91+9)),"")</f>
        <v/>
      </c>
      <c r="C99" s="66" t="str">
        <f ca="1">IFERROR(INDIRECT(CONCATENATE("Field!C",A91+9)),"")</f>
        <v/>
      </c>
      <c r="D99" s="89" t="str">
        <f ca="1">IFERROR(INDIRECT(CONCATENATE("Field!D",A91+9)),"")</f>
        <v/>
      </c>
      <c r="E99" s="89" t="str">
        <f ca="1">IFERROR(INDIRECT(CONCATENATE("Field!E",A91+9)),"")</f>
        <v/>
      </c>
      <c r="F99" s="65">
        <f ca="1">IFERROR(INDIRECT(CONCATENATE("Field!F",A91+9)),"")</f>
        <v>0</v>
      </c>
      <c r="G99" s="121" t="str">
        <f ca="1">IFERROR(INDIRECT(CONCATENATE("Field!G",A91+9)),"")</f>
        <v/>
      </c>
      <c r="H99" s="66"/>
      <c r="I99" s="66" t="str">
        <f ca="1">IFERROR(INDIRECT(CONCATENATE("Field!I",A91+9)),"")</f>
        <v/>
      </c>
      <c r="J99" s="66" t="str">
        <f ca="1">IFERROR(INDIRECT(CONCATENATE("Field!J",A91+9)),"")</f>
        <v/>
      </c>
      <c r="K99" s="89" t="str">
        <f ca="1">IFERROR(INDIRECT(CONCATENATE("Field!K",A91+9)),"")</f>
        <v/>
      </c>
      <c r="L99" s="89" t="str">
        <f ca="1">IFERROR(INDIRECT(CONCATENATE("Field!L",A91+9)),"")</f>
        <v/>
      </c>
      <c r="M99" s="65">
        <f ca="1">IFERROR(INDIRECT(CONCATENATE("Field!M",A91+9)),"")</f>
        <v>0</v>
      </c>
      <c r="N99" s="121" t="str">
        <f ca="1">IFERROR(INDIRECT(CONCATENATE("Field!N",A91+9)),"")</f>
        <v/>
      </c>
      <c r="T99" s="64" t="str">
        <f t="shared" ca="1" si="4"/>
        <v/>
      </c>
      <c r="U99" s="64" t="str">
        <f t="shared" ca="1" si="5"/>
        <v/>
      </c>
      <c r="V99" s="422" t="str">
        <f ca="1">IF(OR(D99=0,D99="",D99="Athlete"),"",COUNTIF($D$4:$D99,D99))</f>
        <v/>
      </c>
      <c r="W99" s="422" t="str">
        <f t="shared" ca="1" si="6"/>
        <v/>
      </c>
      <c r="Z99" s="422" t="str">
        <f t="shared" ca="1" si="7"/>
        <v/>
      </c>
    </row>
    <row r="100" spans="1:26" x14ac:dyDescent="0.35">
      <c r="T100" s="64" t="str">
        <f t="shared" si="4"/>
        <v/>
      </c>
      <c r="U100" s="64" t="str">
        <f t="shared" si="5"/>
        <v/>
      </c>
      <c r="V100" s="422" t="str">
        <f>IF(OR(D100=0,D100="",D100="Athlete"),"",COUNTIF($D$4:$D100,D100))</f>
        <v/>
      </c>
      <c r="W100" s="422" t="str">
        <f t="shared" si="6"/>
        <v/>
      </c>
      <c r="Z100" s="422" t="str">
        <f t="shared" si="7"/>
        <v/>
      </c>
    </row>
    <row r="101" spans="1:26" x14ac:dyDescent="0.35">
      <c r="A101" s="66" t="s">
        <v>236</v>
      </c>
      <c r="B101" s="115" t="str">
        <f ca="1">IFERROR(INDIRECT(CONCATENATE("Field!B",A102)),"")</f>
        <v>Shot U13 Girls A</v>
      </c>
      <c r="G101" s="121" t="str">
        <f ca="1">IFERROR(INDIRECT(CONCATENATE("Field!g",A102)),"")</f>
        <v/>
      </c>
      <c r="I101" s="115" t="str">
        <f ca="1">IFERROR(INDIRECT(CONCATENATE("Field!I",A102)),"")</f>
        <v>Shot U13 Girls B</v>
      </c>
      <c r="T101" s="64" t="str">
        <f t="shared" si="4"/>
        <v/>
      </c>
      <c r="U101" s="64" t="str">
        <f t="shared" si="5"/>
        <v/>
      </c>
      <c r="V101" s="422" t="str">
        <f>IF(OR(D101=0,D101="",D101="Athlete"),"",COUNTIF($D$4:$D101,D101))</f>
        <v/>
      </c>
      <c r="W101" s="422" t="str">
        <f t="shared" si="6"/>
        <v/>
      </c>
      <c r="Z101" s="422" t="str">
        <f t="shared" ca="1" si="7"/>
        <v/>
      </c>
    </row>
    <row r="102" spans="1:26" x14ac:dyDescent="0.35">
      <c r="A102" s="66">
        <f>IFERROR(MATCH(A101,Field!A:A,0),"")</f>
        <v>24</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c r="T102" s="64" t="str">
        <f t="shared" ca="1" si="4"/>
        <v/>
      </c>
      <c r="U102" s="64" t="str">
        <f t="shared" ca="1" si="5"/>
        <v/>
      </c>
      <c r="V102" s="422" t="str">
        <f ca="1">IF(OR(D102=0,D102="",D102="Athlete"),"",COUNTIF($D$4:$D102,D102))</f>
        <v/>
      </c>
      <c r="W102" s="422" t="str">
        <f t="shared" ca="1" si="6"/>
        <v/>
      </c>
      <c r="Z102" s="422">
        <f t="shared" ca="1" si="7"/>
        <v>0</v>
      </c>
    </row>
    <row r="103" spans="1:26" x14ac:dyDescent="0.35">
      <c r="B103" s="66">
        <f ca="1">IFERROR(INDIRECT(CONCATENATE("Field!B",A102+2)),"")</f>
        <v>1</v>
      </c>
      <c r="C103" s="66">
        <f ca="1">IFERROR(INDIRECT(CONCATENATE("Field!C",A102+2)),"")</f>
        <v>3</v>
      </c>
      <c r="D103" s="89" t="str">
        <f ca="1">IFERROR(INDIRECT(CONCATENATE("Field!D",A102+2)),"")</f>
        <v>CLAGUE Kathryn</v>
      </c>
      <c r="E103" s="89" t="str">
        <f ca="1">IFERROR(INDIRECT(CONCATENATE("Field!E",A102+2)),"")</f>
        <v>York</v>
      </c>
      <c r="F103" s="65">
        <f ca="1">IFERROR(INDIRECT(CONCATENATE("Field!F",A102+2)),"")</f>
        <v>8.7899999999999991</v>
      </c>
      <c r="G103" s="121">
        <f ca="1">IFERROR(INDIRECT(CONCATENATE("Field!G",A102+2)),"")</f>
        <v>1</v>
      </c>
      <c r="H103" s="66"/>
      <c r="I103" s="66">
        <f ca="1">IFERROR(INDIRECT(CONCATENATE("Field!I",A102+2)),"")</f>
        <v>1</v>
      </c>
      <c r="J103" s="66">
        <f ca="1">IFERROR(INDIRECT(CONCATENATE("Field!J",A102+2)),"")</f>
        <v>33</v>
      </c>
      <c r="K103" s="89" t="str">
        <f ca="1">IFERROR(INDIRECT(CONCATENATE("Field!K",A102+2)),"")</f>
        <v>WRIGHT Ella</v>
      </c>
      <c r="L103" s="89" t="str">
        <f ca="1">IFERROR(INDIRECT(CONCATENATE("Field!L",A102+2)),"")</f>
        <v>York</v>
      </c>
      <c r="M103" s="65">
        <f ca="1">IFERROR(INDIRECT(CONCATENATE("Field!M",A102+2)),"")</f>
        <v>7.51</v>
      </c>
      <c r="N103" s="121">
        <f ca="1">IFERROR(INDIRECT(CONCATENATE("Field!N",A102+2)),"")</f>
        <v>3</v>
      </c>
      <c r="R103" s="219">
        <f ca="1">IFERROR(INDIRECT(CONCATENATE("Field!r",A102+2)),"")</f>
        <v>1</v>
      </c>
      <c r="T103" s="64">
        <f t="shared" ca="1" si="4"/>
        <v>3</v>
      </c>
      <c r="U103" s="64">
        <f t="shared" ca="1" si="5"/>
        <v>3</v>
      </c>
      <c r="V103" s="422">
        <f ca="1">IF(OR(D103=0,D103="",D103="Athlete"),"",COUNTIF($D$4:$D103,D103))</f>
        <v>1</v>
      </c>
      <c r="W103" s="422" t="str">
        <f t="shared" ca="1" si="6"/>
        <v>York</v>
      </c>
      <c r="Z103" s="422">
        <f t="shared" ca="1" si="7"/>
        <v>0</v>
      </c>
    </row>
    <row r="104" spans="1:26" x14ac:dyDescent="0.35">
      <c r="B104" s="66">
        <f ca="1">IFERROR(INDIRECT(CONCATENATE("Field!B",A102+3)),"")</f>
        <v>2</v>
      </c>
      <c r="C104" s="66">
        <f ca="1">IFERROR(INDIRECT(CONCATENATE("Field!C",A102+3)),"")</f>
        <v>1</v>
      </c>
      <c r="D104" s="89" t="str">
        <f ca="1">IFERROR(INDIRECT(CONCATENATE("Field!D",A102+3)),"")</f>
        <v>FELLOWS Isabelle</v>
      </c>
      <c r="E104" s="89" t="str">
        <f ca="1">IFERROR(INDIRECT(CONCATENATE("Field!E",A102+3)),"")</f>
        <v>C'field</v>
      </c>
      <c r="F104" s="65">
        <f ca="1">IFERROR(INDIRECT(CONCATENATE("Field!F",A102+3)),"")</f>
        <v>7.75</v>
      </c>
      <c r="G104" s="121">
        <f ca="1">IFERROR(INDIRECT(CONCATENATE("Field!G",A102+3)),"")</f>
        <v>3</v>
      </c>
      <c r="H104" s="66"/>
      <c r="I104" s="66">
        <f ca="1">IFERROR(INDIRECT(CONCATENATE("Field!I",A102+3)),"")</f>
        <v>2</v>
      </c>
      <c r="J104" s="66">
        <f ca="1">IFERROR(INDIRECT(CONCATENATE("Field!J",A102+3)),"")</f>
        <v>11</v>
      </c>
      <c r="K104" s="89" t="str">
        <f ca="1">IFERROR(INDIRECT(CONCATENATE("Field!K",A102+3)),"")</f>
        <v>HALL Lottie</v>
      </c>
      <c r="L104" s="89" t="str">
        <f ca="1">IFERROR(INDIRECT(CONCATENATE("Field!L",A102+3)),"")</f>
        <v>C'field</v>
      </c>
      <c r="M104" s="65">
        <f ca="1">IFERROR(INDIRECT(CONCATENATE("Field!M",A102+3)),"")</f>
        <v>6.9</v>
      </c>
      <c r="N104" s="121">
        <f ca="1">IFERROR(INDIRECT(CONCATENATE("Field!N",A102+3)),"")</f>
        <v>4</v>
      </c>
      <c r="T104" s="64">
        <f t="shared" ca="1" si="4"/>
        <v>3</v>
      </c>
      <c r="U104" s="64">
        <f t="shared" ca="1" si="5"/>
        <v>3</v>
      </c>
      <c r="V104" s="422">
        <f ca="1">IF(OR(D104=0,D104="",D104="Athlete"),"",COUNTIF($D$4:$D104,D104))</f>
        <v>2</v>
      </c>
      <c r="W104" s="422" t="str">
        <f t="shared" ca="1" si="6"/>
        <v>C'field</v>
      </c>
      <c r="Z104" s="422">
        <f t="shared" ca="1" si="7"/>
        <v>0</v>
      </c>
    </row>
    <row r="105" spans="1:26" x14ac:dyDescent="0.35">
      <c r="B105" s="66">
        <f ca="1">IFERROR(INDIRECT(CONCATENATE("Field!B",A102+4)),"")</f>
        <v>3</v>
      </c>
      <c r="C105" s="66">
        <f ca="1">IFERROR(INDIRECT(CONCATENATE("Field!C",A102+4)),"")</f>
        <v>4</v>
      </c>
      <c r="D105" s="89" t="str">
        <f ca="1">IFERROR(INDIRECT(CONCATENATE("Field!D",A102+4)),"")</f>
        <v>SEDGWICK Emma</v>
      </c>
      <c r="E105" s="89" t="str">
        <f ca="1">IFERROR(INDIRECT(CONCATENATE("Field!E",A102+4)),"")</f>
        <v>M'bro</v>
      </c>
      <c r="F105" s="65">
        <f ca="1">IFERROR(INDIRECT(CONCATENATE("Field!F",A102+4)),"")</f>
        <v>6.25</v>
      </c>
      <c r="G105" s="121" t="str">
        <f ca="1">IFERROR(INDIRECT(CONCATENATE("Field!G",A102+4)),"")</f>
        <v/>
      </c>
      <c r="H105" s="66"/>
      <c r="I105" s="66">
        <f ca="1">IFERROR(INDIRECT(CONCATENATE("Field!I",A102+4)),"")</f>
        <v>3</v>
      </c>
      <c r="J105" s="66">
        <f ca="1">IFERROR(INDIRECT(CONCATENATE("Field!J",A102+4)),"")</f>
        <v>55</v>
      </c>
      <c r="K105" s="89" t="str">
        <f ca="1">IFERROR(INDIRECT(CONCATENATE("Field!K",A102+4)),"")</f>
        <v>CRESSEY Evie</v>
      </c>
      <c r="L105" s="89" t="str">
        <f ca="1">IFERROR(INDIRECT(CONCATENATE("Field!L",A102+4)),"")</f>
        <v>Scun</v>
      </c>
      <c r="M105" s="65">
        <f ca="1">IFERROR(INDIRECT(CONCATENATE("Field!M",A102+4)),"")</f>
        <v>4.7300000000000004</v>
      </c>
      <c r="N105" s="121" t="str">
        <f ca="1">IFERROR(INDIRECT(CONCATENATE("Field!N",A102+4)),"")</f>
        <v/>
      </c>
      <c r="T105" s="64">
        <f t="shared" ca="1" si="4"/>
        <v>3</v>
      </c>
      <c r="U105" s="64">
        <f t="shared" ca="1" si="5"/>
        <v>2</v>
      </c>
      <c r="V105" s="422">
        <f ca="1">IF(OR(D105=0,D105="",D105="Athlete"),"",COUNTIF($D$4:$D105,D105))</f>
        <v>2</v>
      </c>
      <c r="W105" s="422" t="str">
        <f t="shared" ca="1" si="6"/>
        <v>M'bro</v>
      </c>
      <c r="Z105" s="422" t="str">
        <f t="shared" ca="1" si="7"/>
        <v/>
      </c>
    </row>
    <row r="106" spans="1:26" x14ac:dyDescent="0.35">
      <c r="B106" s="66">
        <f ca="1">IFERROR(INDIRECT(CONCATENATE("Field!B",A102+5)),"")</f>
        <v>4</v>
      </c>
      <c r="C106" s="66">
        <f ca="1">IFERROR(INDIRECT(CONCATENATE("Field!C",A102+5)),"")</f>
        <v>5</v>
      </c>
      <c r="D106" s="89" t="str">
        <f ca="1">IFERROR(INDIRECT(CONCATENATE("Field!D",A102+5)),"")</f>
        <v>HAYES Zara</v>
      </c>
      <c r="E106" s="89" t="str">
        <f ca="1">IFERROR(INDIRECT(CONCATENATE("Field!E",A102+5)),"")</f>
        <v>Scun</v>
      </c>
      <c r="F106" s="65">
        <f ca="1">IFERROR(INDIRECT(CONCATENATE("Field!F",A102+5)),"")</f>
        <v>5.65</v>
      </c>
      <c r="G106" s="121" t="str">
        <f ca="1">IFERROR(INDIRECT(CONCATENATE("Field!G",A102+5)),"")</f>
        <v/>
      </c>
      <c r="H106" s="66"/>
      <c r="I106" s="66">
        <f ca="1">IFERROR(INDIRECT(CONCATENATE("Field!I",A102+5)),"")</f>
        <v>4</v>
      </c>
      <c r="J106" s="66" t="str">
        <f ca="1">IFERROR(INDIRECT(CONCATENATE("Field!J",A102+5)),"")</f>
        <v/>
      </c>
      <c r="K106" s="89" t="str">
        <f ca="1">IFERROR(INDIRECT(CONCATENATE("Field!K",A102+5)),"")</f>
        <v/>
      </c>
      <c r="L106" s="89" t="str">
        <f ca="1">IFERROR(INDIRECT(CONCATENATE("Field!L",A102+5)),"")</f>
        <v/>
      </c>
      <c r="M106" s="65" t="str">
        <f ca="1">IFERROR(INDIRECT(CONCATENATE("Field!M",A102+5)),"")</f>
        <v/>
      </c>
      <c r="N106" s="121" t="str">
        <f ca="1">IFERROR(INDIRECT(CONCATENATE("Field!N",A102+5)),"")</f>
        <v/>
      </c>
      <c r="T106" s="64">
        <f t="shared" ca="1" si="4"/>
        <v>3</v>
      </c>
      <c r="U106" s="64" t="str">
        <f t="shared" ca="1" si="5"/>
        <v/>
      </c>
      <c r="V106" s="422">
        <f ca="1">IF(OR(D106=0,D106="",D106="Athlete"),"",COUNTIF($D$4:$D106,D106))</f>
        <v>1</v>
      </c>
      <c r="W106" s="422" t="str">
        <f t="shared" ca="1" si="6"/>
        <v>Scun</v>
      </c>
      <c r="Z106" s="422" t="str">
        <f t="shared" ca="1" si="7"/>
        <v/>
      </c>
    </row>
    <row r="107" spans="1:26" x14ac:dyDescent="0.35">
      <c r="B107" s="66">
        <f ca="1">IFERROR(INDIRECT(CONCATENATE("Field!B",A102+6)),"")</f>
        <v>5</v>
      </c>
      <c r="C107" s="66">
        <f ca="1">IFERROR(INDIRECT(CONCATENATE("Field!C",A102+6)),"")</f>
        <v>22</v>
      </c>
      <c r="D107" s="89" t="str">
        <f ca="1">IFERROR(INDIRECT(CONCATENATE("Field!D",A102+6)),"")</f>
        <v>SCOTT Violet</v>
      </c>
      <c r="E107" s="89" t="str">
        <f ca="1">IFERROR(INDIRECT(CONCATENATE("Field!E",A102+6)),"")</f>
        <v>Sheff+D</v>
      </c>
      <c r="F107" s="65">
        <f ca="1">IFERROR(INDIRECT(CONCATENATE("Field!F",A102+6)),"")</f>
        <v>3.59</v>
      </c>
      <c r="G107" s="121" t="str">
        <f ca="1">IFERROR(INDIRECT(CONCATENATE("Field!G",A102+6)),"")</f>
        <v/>
      </c>
      <c r="H107" s="66"/>
      <c r="I107" s="66">
        <f ca="1">IFERROR(INDIRECT(CONCATENATE("Field!I",A102+6)),"")</f>
        <v>5</v>
      </c>
      <c r="J107" s="66" t="str">
        <f ca="1">IFERROR(INDIRECT(CONCATENATE("Field!J",A102+6)),"")</f>
        <v/>
      </c>
      <c r="K107" s="89" t="str">
        <f ca="1">IFERROR(INDIRECT(CONCATENATE("Field!K",A102+6)),"")</f>
        <v/>
      </c>
      <c r="L107" s="89" t="str">
        <f ca="1">IFERROR(INDIRECT(CONCATENATE("Field!L",A102+6)),"")</f>
        <v/>
      </c>
      <c r="M107" s="65" t="str">
        <f ca="1">IFERROR(INDIRECT(CONCATENATE("Field!M",A102+6)),"")</f>
        <v/>
      </c>
      <c r="N107" s="121" t="str">
        <f ca="1">IFERROR(INDIRECT(CONCATENATE("Field!N",A102+6)),"")</f>
        <v/>
      </c>
      <c r="T107" s="64">
        <f t="shared" ca="1" si="4"/>
        <v>1</v>
      </c>
      <c r="U107" s="64" t="str">
        <f t="shared" ca="1" si="5"/>
        <v/>
      </c>
      <c r="V107" s="422">
        <f ca="1">IF(OR(D107=0,D107="",D107="Athlete"),"",COUNTIF($D$4:$D107,D107))</f>
        <v>1</v>
      </c>
      <c r="W107" s="422" t="str">
        <f t="shared" ca="1" si="6"/>
        <v>Sheff+D</v>
      </c>
      <c r="Z107" s="422" t="str">
        <f t="shared" ca="1" si="7"/>
        <v/>
      </c>
    </row>
    <row r="108" spans="1:26" x14ac:dyDescent="0.35">
      <c r="B108" s="66">
        <f ca="1">IFERROR(INDIRECT(CONCATENATE("Field!B",A102+7)),"")</f>
        <v>6</v>
      </c>
      <c r="C108" s="66" t="str">
        <f ca="1">IFERROR(INDIRECT(CONCATENATE("Field!C",A102+7)),"")</f>
        <v/>
      </c>
      <c r="D108" s="89" t="str">
        <f ca="1">IFERROR(INDIRECT(CONCATENATE("Field!D",A102+7)),"")</f>
        <v/>
      </c>
      <c r="E108" s="89" t="str">
        <f ca="1">IFERROR(INDIRECT(CONCATENATE("Field!E",A102+7)),"")</f>
        <v/>
      </c>
      <c r="F108" s="65" t="str">
        <f ca="1">IFERROR(INDIRECT(CONCATENATE("Field!F",A102+7)),"")</f>
        <v/>
      </c>
      <c r="G108" s="121" t="str">
        <f ca="1">IFERROR(INDIRECT(CONCATENATE("Field!G",A102+7)),"")</f>
        <v/>
      </c>
      <c r="H108" s="66"/>
      <c r="I108" s="66">
        <f ca="1">IFERROR(INDIRECT(CONCATENATE("Field!I",A102+7)),"")</f>
        <v>6</v>
      </c>
      <c r="J108" s="66" t="str">
        <f ca="1">IFERROR(INDIRECT(CONCATENATE("Field!J",A102+7)),"")</f>
        <v/>
      </c>
      <c r="K108" s="89" t="str">
        <f ca="1">IFERROR(INDIRECT(CONCATENATE("Field!K",A102+7)),"")</f>
        <v/>
      </c>
      <c r="L108" s="89" t="str">
        <f ca="1">IFERROR(INDIRECT(CONCATENATE("Field!L",A102+7)),"")</f>
        <v/>
      </c>
      <c r="M108" s="65" t="str">
        <f ca="1">IFERROR(INDIRECT(CONCATENATE("Field!M",A102+7)),"")</f>
        <v/>
      </c>
      <c r="N108" s="121" t="str">
        <f ca="1">IFERROR(INDIRECT(CONCATENATE("Field!N",A102+7)),"")</f>
        <v/>
      </c>
      <c r="T108" s="64" t="str">
        <f t="shared" ca="1" si="4"/>
        <v/>
      </c>
      <c r="U108" s="64" t="str">
        <f t="shared" ca="1" si="5"/>
        <v/>
      </c>
      <c r="V108" s="422" t="str">
        <f ca="1">IF(OR(D108=0,D108="",D108="Athlete"),"",COUNTIF($D$4:$D108,D108))</f>
        <v/>
      </c>
      <c r="W108" s="422" t="str">
        <f t="shared" ca="1" si="6"/>
        <v/>
      </c>
      <c r="Z108" s="422" t="str">
        <f t="shared" ca="1" si="7"/>
        <v/>
      </c>
    </row>
    <row r="109" spans="1:26" x14ac:dyDescent="0.35">
      <c r="B109" s="66">
        <f ca="1">IFERROR(INDIRECT(CONCATENATE("Field!B",A102+8)),"")</f>
        <v>7</v>
      </c>
      <c r="C109" s="66" t="str">
        <f ca="1">IFERROR(INDIRECT(CONCATENATE("Field!C",A102+8)),"")</f>
        <v/>
      </c>
      <c r="D109" s="89" t="str">
        <f ca="1">IFERROR(INDIRECT(CONCATENATE("Field!D",A102+8)),"")</f>
        <v/>
      </c>
      <c r="E109" s="89" t="str">
        <f ca="1">IFERROR(INDIRECT(CONCATENATE("Field!E",A102+8)),"")</f>
        <v/>
      </c>
      <c r="F109" s="65" t="str">
        <f ca="1">IFERROR(INDIRECT(CONCATENATE("Field!F",A102+8)),"")</f>
        <v/>
      </c>
      <c r="G109" s="121" t="str">
        <f ca="1">IFERROR(INDIRECT(CONCATENATE("Field!G",A102+8)),"")</f>
        <v/>
      </c>
      <c r="H109" s="66"/>
      <c r="I109" s="66">
        <f ca="1">IFERROR(INDIRECT(CONCATENATE("Field!I",A102+8)),"")</f>
        <v>7</v>
      </c>
      <c r="J109" s="66" t="str">
        <f ca="1">IFERROR(INDIRECT(CONCATENATE("Field!J",A102+8)),"")</f>
        <v/>
      </c>
      <c r="K109" s="89" t="str">
        <f ca="1">IFERROR(INDIRECT(CONCATENATE("Field!K",A102+8)),"")</f>
        <v/>
      </c>
      <c r="L109" s="89" t="str">
        <f ca="1">IFERROR(INDIRECT(CONCATENATE("Field!L",A102+8)),"")</f>
        <v/>
      </c>
      <c r="M109" s="65" t="str">
        <f ca="1">IFERROR(INDIRECT(CONCATENATE("Field!M",A102+8)),"")</f>
        <v/>
      </c>
      <c r="N109" s="121" t="str">
        <f ca="1">IFERROR(INDIRECT(CONCATENATE("Field!N",A102+8)),"")</f>
        <v/>
      </c>
      <c r="T109" s="64" t="str">
        <f t="shared" ca="1" si="4"/>
        <v/>
      </c>
      <c r="U109" s="64" t="str">
        <f t="shared" ca="1" si="5"/>
        <v/>
      </c>
      <c r="V109" s="422" t="str">
        <f ca="1">IF(OR(D109=0,D109="",D109="Athlete"),"",COUNTIF($D$4:$D109,D109))</f>
        <v/>
      </c>
      <c r="W109" s="422" t="str">
        <f t="shared" ca="1" si="6"/>
        <v/>
      </c>
      <c r="Z109" s="422" t="str">
        <f t="shared" ca="1" si="7"/>
        <v/>
      </c>
    </row>
    <row r="110" spans="1:26" x14ac:dyDescent="0.35">
      <c r="B110" s="66">
        <f ca="1">IFERROR(INDIRECT(CONCATENATE("Field!B",A102+9)),"")</f>
        <v>8</v>
      </c>
      <c r="C110" s="66" t="str">
        <f ca="1">IFERROR(INDIRECT(CONCATENATE("Field!C",A102+9)),"")</f>
        <v/>
      </c>
      <c r="D110" s="89" t="str">
        <f ca="1">IFERROR(INDIRECT(CONCATENATE("Field!D",A102+9)),"")</f>
        <v/>
      </c>
      <c r="E110" s="89" t="str">
        <f ca="1">IFERROR(INDIRECT(CONCATENATE("Field!E",A102+9)),"")</f>
        <v/>
      </c>
      <c r="F110" s="65" t="str">
        <f ca="1">IFERROR(INDIRECT(CONCATENATE("Field!F",A102+9)),"")</f>
        <v/>
      </c>
      <c r="G110" s="121" t="str">
        <f ca="1">IFERROR(INDIRECT(CONCATENATE("Field!G",A102+9)),"")</f>
        <v/>
      </c>
      <c r="H110" s="66"/>
      <c r="I110" s="66">
        <f ca="1">IFERROR(INDIRECT(CONCATENATE("Field!I",A102+9)),"")</f>
        <v>8</v>
      </c>
      <c r="J110" s="66" t="str">
        <f ca="1">IFERROR(INDIRECT(CONCATENATE("Field!J",A102+9)),"")</f>
        <v/>
      </c>
      <c r="K110" s="89" t="str">
        <f ca="1">IFERROR(INDIRECT(CONCATENATE("Field!K",A102+9)),"")</f>
        <v/>
      </c>
      <c r="L110" s="89" t="str">
        <f ca="1">IFERROR(INDIRECT(CONCATENATE("Field!L",A102+9)),"")</f>
        <v/>
      </c>
      <c r="M110" s="65" t="str">
        <f ca="1">IFERROR(INDIRECT(CONCATENATE("Field!M",A102+9)),"")</f>
        <v/>
      </c>
      <c r="N110" s="121" t="str">
        <f ca="1">IFERROR(INDIRECT(CONCATENATE("Field!N",A102+9)),"")</f>
        <v/>
      </c>
      <c r="T110" s="64" t="str">
        <f t="shared" ca="1" si="4"/>
        <v/>
      </c>
      <c r="U110" s="64" t="str">
        <f t="shared" ca="1" si="5"/>
        <v/>
      </c>
      <c r="V110" s="422" t="str">
        <f ca="1">IF(OR(D110=0,D110="",D110="Athlete"),"",COUNTIF($D$4:$D110,D110))</f>
        <v/>
      </c>
      <c r="W110" s="422" t="str">
        <f t="shared" ca="1" si="6"/>
        <v/>
      </c>
      <c r="Z110" s="422" t="str">
        <f t="shared" ca="1" si="7"/>
        <v/>
      </c>
    </row>
    <row r="111" spans="1:26" x14ac:dyDescent="0.35">
      <c r="T111" s="64" t="str">
        <f t="shared" si="4"/>
        <v/>
      </c>
      <c r="U111" s="64" t="str">
        <f t="shared" si="5"/>
        <v/>
      </c>
      <c r="V111" s="422" t="str">
        <f>IF(OR(D111=0,D111="",D111="Athlete"),"",COUNTIF($D$4:$D111,D111))</f>
        <v/>
      </c>
      <c r="W111" s="422" t="str">
        <f t="shared" si="6"/>
        <v/>
      </c>
      <c r="Z111" s="422" t="str">
        <f t="shared" si="7"/>
        <v/>
      </c>
    </row>
    <row r="112" spans="1:26" x14ac:dyDescent="0.35">
      <c r="A112" s="66" t="s">
        <v>248</v>
      </c>
      <c r="B112" s="115" t="str">
        <f ca="1">IFERROR(INDIRECT(CONCATENATE("Field!B",A113)),"")</f>
        <v>Javelin U13 Girls A</v>
      </c>
      <c r="G112" s="121" t="str">
        <f ca="1">IFERROR(INDIRECT(CONCATENATE("Field!g",A113)),"")</f>
        <v/>
      </c>
      <c r="I112" s="115" t="str">
        <f ca="1">IFERROR(INDIRECT(CONCATENATE("Field!I",A113)),"")</f>
        <v>Javelin U13 Girls B</v>
      </c>
      <c r="T112" s="64" t="str">
        <f t="shared" si="4"/>
        <v/>
      </c>
      <c r="U112" s="64" t="str">
        <f t="shared" si="5"/>
        <v/>
      </c>
      <c r="V112" s="422" t="str">
        <f>IF(OR(D112=0,D112="",D112="Athlete"),"",COUNTIF($D$4:$D112,D112))</f>
        <v/>
      </c>
      <c r="W112" s="422" t="str">
        <f t="shared" si="6"/>
        <v/>
      </c>
      <c r="Z112" s="422" t="str">
        <f t="shared" ca="1" si="7"/>
        <v/>
      </c>
    </row>
    <row r="113" spans="1:26" x14ac:dyDescent="0.35">
      <c r="A113" s="66">
        <f>IFERROR(MATCH(A112,Field!A:A,0),"")</f>
        <v>123</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c r="T113" s="64" t="str">
        <f t="shared" ca="1" si="4"/>
        <v/>
      </c>
      <c r="U113" s="64" t="str">
        <f t="shared" ca="1" si="5"/>
        <v/>
      </c>
      <c r="V113" s="422" t="str">
        <f ca="1">IF(OR(D113=0,D113="",D113="Athlete"),"",COUNTIF($D$4:$D113,D113))</f>
        <v/>
      </c>
      <c r="W113" s="422" t="str">
        <f t="shared" ca="1" si="6"/>
        <v/>
      </c>
      <c r="Z113" s="422">
        <f t="shared" ca="1" si="7"/>
        <v>0</v>
      </c>
    </row>
    <row r="114" spans="1:26" x14ac:dyDescent="0.35">
      <c r="B114" s="66">
        <f ca="1">IFERROR(INDIRECT(CONCATENATE("Field!B",A113+2)),"")</f>
        <v>1</v>
      </c>
      <c r="C114" s="66">
        <f ca="1">IFERROR(INDIRECT(CONCATENATE("Field!C",A113+2)),"")</f>
        <v>1</v>
      </c>
      <c r="D114" s="89" t="str">
        <f ca="1">IFERROR(INDIRECT(CONCATENATE("Field!D",A113+2)),"")</f>
        <v>FELLOWS Isabelle</v>
      </c>
      <c r="E114" s="89" t="str">
        <f ca="1">IFERROR(INDIRECT(CONCATENATE("Field!E",A113+2)),"")</f>
        <v>C'field</v>
      </c>
      <c r="F114" s="65">
        <f ca="1">IFERROR(INDIRECT(CONCATENATE("Field!F",A113+2)),"")</f>
        <v>29.04</v>
      </c>
      <c r="G114" s="121">
        <f ca="1">IFERROR(INDIRECT(CONCATENATE("Field!G",A113+2)),"")</f>
        <v>1</v>
      </c>
      <c r="H114" s="66"/>
      <c r="I114" s="66">
        <f ca="1">IFERROR(INDIRECT(CONCATENATE("Field!I",A113+2)),"")</f>
        <v>1</v>
      </c>
      <c r="J114" s="66">
        <f ca="1">IFERROR(INDIRECT(CONCATENATE("Field!J",A113+2)),"")</f>
        <v>11</v>
      </c>
      <c r="K114" s="89" t="str">
        <f ca="1">IFERROR(INDIRECT(CONCATENATE("Field!K",A113+2)),"")</f>
        <v>HALL Lottie</v>
      </c>
      <c r="L114" s="89" t="str">
        <f ca="1">IFERROR(INDIRECT(CONCATENATE("Field!L",A113+2)),"")</f>
        <v>C'field</v>
      </c>
      <c r="M114" s="65">
        <f ca="1">IFERROR(INDIRECT(CONCATENATE("Field!M",A113+2)),"")</f>
        <v>28.98</v>
      </c>
      <c r="N114" s="121">
        <f ca="1">IFERROR(INDIRECT(CONCATENATE("Field!N",A113+2)),"")</f>
        <v>1</v>
      </c>
      <c r="R114" s="219">
        <f ca="1">IFERROR(INDIRECT(CONCATENATE("Field!r",A113+2)),"")</f>
        <v>1</v>
      </c>
      <c r="T114" s="64">
        <f t="shared" ca="1" si="4"/>
        <v>3</v>
      </c>
      <c r="U114" s="64">
        <f t="shared" ca="1" si="5"/>
        <v>3</v>
      </c>
      <c r="V114" s="422">
        <f ca="1">IF(OR(D114=0,D114="",D114="Athlete"),"",COUNTIF($D$4:$D114,D114))</f>
        <v>3</v>
      </c>
      <c r="W114" s="422" t="str">
        <f t="shared" ca="1" si="6"/>
        <v>C'field</v>
      </c>
      <c r="Z114" s="422">
        <f t="shared" ca="1" si="7"/>
        <v>0</v>
      </c>
    </row>
    <row r="115" spans="1:26" x14ac:dyDescent="0.35">
      <c r="B115" s="66">
        <f ca="1">IFERROR(INDIRECT(CONCATENATE("Field!B",A113+3)),"")</f>
        <v>2</v>
      </c>
      <c r="C115" s="66">
        <f ca="1">IFERROR(INDIRECT(CONCATENATE("Field!C",A113+3)),"")</f>
        <v>3</v>
      </c>
      <c r="D115" s="89" t="str">
        <f ca="1">IFERROR(INDIRECT(CONCATENATE("Field!D",A113+3)),"")</f>
        <v>CLAGUE Kathryn</v>
      </c>
      <c r="E115" s="89" t="str">
        <f ca="1">IFERROR(INDIRECT(CONCATENATE("Field!E",A113+3)),"")</f>
        <v>York</v>
      </c>
      <c r="F115" s="65">
        <f ca="1">IFERROR(INDIRECT(CONCATENATE("Field!F",A113+3)),"")</f>
        <v>24.68</v>
      </c>
      <c r="G115" s="121">
        <f ca="1">IFERROR(INDIRECT(CONCATENATE("Field!G",A113+3)),"")</f>
        <v>2</v>
      </c>
      <c r="H115" s="66"/>
      <c r="I115" s="66">
        <f ca="1">IFERROR(INDIRECT(CONCATENATE("Field!I",A113+3)),"")</f>
        <v>2</v>
      </c>
      <c r="J115" s="66">
        <f ca="1">IFERROR(INDIRECT(CONCATENATE("Field!J",A113+3)),"")</f>
        <v>33</v>
      </c>
      <c r="K115" s="89" t="str">
        <f ca="1">IFERROR(INDIRECT(CONCATENATE("Field!K",A113+3)),"")</f>
        <v>WRIGHT Ella</v>
      </c>
      <c r="L115" s="89" t="str">
        <f ca="1">IFERROR(INDIRECT(CONCATENATE("Field!L",A113+3)),"")</f>
        <v>York</v>
      </c>
      <c r="M115" s="65">
        <f ca="1">IFERROR(INDIRECT(CONCATENATE("Field!M",A113+3)),"")</f>
        <v>10.85</v>
      </c>
      <c r="N115" s="121" t="str">
        <f ca="1">IFERROR(INDIRECT(CONCATENATE("Field!N",A113+3)),"")</f>
        <v/>
      </c>
      <c r="T115" s="64">
        <f t="shared" ca="1" si="4"/>
        <v>3</v>
      </c>
      <c r="U115" s="64">
        <f t="shared" ca="1" si="5"/>
        <v>3</v>
      </c>
      <c r="V115" s="422">
        <f ca="1">IF(OR(D115=0,D115="",D115="Athlete"),"",COUNTIF($D$4:$D115,D115))</f>
        <v>2</v>
      </c>
      <c r="W115" s="422" t="str">
        <f t="shared" ca="1" si="6"/>
        <v>York</v>
      </c>
      <c r="Z115" s="422">
        <f t="shared" ca="1" si="7"/>
        <v>0</v>
      </c>
    </row>
    <row r="116" spans="1:26" x14ac:dyDescent="0.35">
      <c r="B116" s="66">
        <f ca="1">IFERROR(INDIRECT(CONCATENATE("Field!B",A113+4)),"")</f>
        <v>3</v>
      </c>
      <c r="C116" s="66">
        <f ca="1">IFERROR(INDIRECT(CONCATENATE("Field!C",A113+4)),"")</f>
        <v>2</v>
      </c>
      <c r="D116" s="89" t="str">
        <f ca="1">IFERROR(INDIRECT(CONCATENATE("Field!D",A113+4)),"")</f>
        <v>ROBERTS Eve</v>
      </c>
      <c r="E116" s="89" t="str">
        <f ca="1">IFERROR(INDIRECT(CONCATENATE("Field!E",A113+4)),"")</f>
        <v>Sheff+D</v>
      </c>
      <c r="F116" s="65">
        <f ca="1">IFERROR(INDIRECT(CONCATENATE("Field!F",A113+4)),"")</f>
        <v>13.37</v>
      </c>
      <c r="G116" s="121" t="str">
        <f ca="1">IFERROR(INDIRECT(CONCATENATE("Field!G",A113+4)),"")</f>
        <v/>
      </c>
      <c r="H116" s="66"/>
      <c r="I116" s="66">
        <f ca="1">IFERROR(INDIRECT(CONCATENATE("Field!I",A113+4)),"")</f>
        <v>3</v>
      </c>
      <c r="J116" s="66" t="str">
        <f ca="1">IFERROR(INDIRECT(CONCATENATE("Field!J",A113+4)),"")</f>
        <v/>
      </c>
      <c r="K116" s="89" t="str">
        <f ca="1">IFERROR(INDIRECT(CONCATENATE("Field!K",A113+4)),"")</f>
        <v/>
      </c>
      <c r="L116" s="89" t="str">
        <f ca="1">IFERROR(INDIRECT(CONCATENATE("Field!L",A113+4)),"")</f>
        <v/>
      </c>
      <c r="M116" s="65" t="str">
        <f ca="1">IFERROR(INDIRECT(CONCATENATE("Field!M",A113+4)),"")</f>
        <v/>
      </c>
      <c r="N116" s="121" t="str">
        <f ca="1">IFERROR(INDIRECT(CONCATENATE("Field!N",A113+4)),"")</f>
        <v/>
      </c>
      <c r="T116" s="64">
        <f t="shared" ca="1" si="4"/>
        <v>3</v>
      </c>
      <c r="U116" s="64" t="str">
        <f t="shared" ca="1" si="5"/>
        <v/>
      </c>
      <c r="V116" s="422">
        <f ca="1">IF(OR(D116=0,D116="",D116="Athlete"),"",COUNTIF($D$4:$D116,D116))</f>
        <v>2</v>
      </c>
      <c r="W116" s="422" t="str">
        <f t="shared" ca="1" si="6"/>
        <v>Sheff+D</v>
      </c>
      <c r="Z116" s="422" t="str">
        <f t="shared" ca="1" si="7"/>
        <v/>
      </c>
    </row>
    <row r="117" spans="1:26" x14ac:dyDescent="0.35">
      <c r="B117" s="66">
        <f ca="1">IFERROR(INDIRECT(CONCATENATE("Field!B",A113+5)),"")</f>
        <v>4</v>
      </c>
      <c r="C117" s="66" t="str">
        <f ca="1">IFERROR(INDIRECT(CONCATENATE("Field!C",A113+5)),"")</f>
        <v/>
      </c>
      <c r="D117" s="89" t="str">
        <f ca="1">IFERROR(INDIRECT(CONCATENATE("Field!D",A113+5)),"")</f>
        <v/>
      </c>
      <c r="E117" s="89" t="str">
        <f ca="1">IFERROR(INDIRECT(CONCATENATE("Field!E",A113+5)),"")</f>
        <v/>
      </c>
      <c r="F117" s="65" t="str">
        <f ca="1">IFERROR(INDIRECT(CONCATENATE("Field!F",A113+5)),"")</f>
        <v/>
      </c>
      <c r="G117" s="121" t="str">
        <f ca="1">IFERROR(INDIRECT(CONCATENATE("Field!G",A113+5)),"")</f>
        <v/>
      </c>
      <c r="H117" s="66"/>
      <c r="I117" s="66">
        <f ca="1">IFERROR(INDIRECT(CONCATENATE("Field!I",A113+5)),"")</f>
        <v>4</v>
      </c>
      <c r="J117" s="66" t="str">
        <f ca="1">IFERROR(INDIRECT(CONCATENATE("Field!J",A113+5)),"")</f>
        <v/>
      </c>
      <c r="K117" s="89" t="str">
        <f ca="1">IFERROR(INDIRECT(CONCATENATE("Field!K",A113+5)),"")</f>
        <v/>
      </c>
      <c r="L117" s="89" t="str">
        <f ca="1">IFERROR(INDIRECT(CONCATENATE("Field!L",A113+5)),"")</f>
        <v/>
      </c>
      <c r="M117" s="65" t="str">
        <f ca="1">IFERROR(INDIRECT(CONCATENATE("Field!M",A113+5)),"")</f>
        <v/>
      </c>
      <c r="N117" s="121" t="str">
        <f ca="1">IFERROR(INDIRECT(CONCATENATE("Field!N",A113+5)),"")</f>
        <v/>
      </c>
      <c r="T117" s="64" t="str">
        <f t="shared" ca="1" si="4"/>
        <v/>
      </c>
      <c r="U117" s="64" t="str">
        <f t="shared" ca="1" si="5"/>
        <v/>
      </c>
      <c r="V117" s="422" t="str">
        <f ca="1">IF(OR(D117=0,D117="",D117="Athlete"),"",COUNTIF($D$4:$D117,D117))</f>
        <v/>
      </c>
      <c r="W117" s="422" t="str">
        <f t="shared" ca="1" si="6"/>
        <v/>
      </c>
      <c r="Z117" s="422" t="str">
        <f t="shared" ca="1" si="7"/>
        <v/>
      </c>
    </row>
    <row r="118" spans="1:26" x14ac:dyDescent="0.35">
      <c r="B118" s="66">
        <f ca="1">IFERROR(INDIRECT(CONCATENATE("Field!B",A113+6)),"")</f>
        <v>5</v>
      </c>
      <c r="C118" s="66" t="str">
        <f ca="1">IFERROR(INDIRECT(CONCATENATE("Field!C",A113+6)),"")</f>
        <v/>
      </c>
      <c r="D118" s="89" t="str">
        <f ca="1">IFERROR(INDIRECT(CONCATENATE("Field!D",A113+6)),"")</f>
        <v/>
      </c>
      <c r="E118" s="89" t="str">
        <f ca="1">IFERROR(INDIRECT(CONCATENATE("Field!E",A113+6)),"")</f>
        <v/>
      </c>
      <c r="F118" s="65" t="str">
        <f ca="1">IFERROR(INDIRECT(CONCATENATE("Field!F",A113+6)),"")</f>
        <v/>
      </c>
      <c r="G118" s="121" t="str">
        <f ca="1">IFERROR(INDIRECT(CONCATENATE("Field!G",A113+6)),"")</f>
        <v/>
      </c>
      <c r="H118" s="66"/>
      <c r="I118" s="66">
        <f ca="1">IFERROR(INDIRECT(CONCATENATE("Field!I",A113+6)),"")</f>
        <v>5</v>
      </c>
      <c r="J118" s="66" t="str">
        <f ca="1">IFERROR(INDIRECT(CONCATENATE("Field!J",A113+6)),"")</f>
        <v/>
      </c>
      <c r="K118" s="89" t="str">
        <f ca="1">IFERROR(INDIRECT(CONCATENATE("Field!K",A113+6)),"")</f>
        <v/>
      </c>
      <c r="L118" s="89" t="str">
        <f ca="1">IFERROR(INDIRECT(CONCATENATE("Field!L",A113+6)),"")</f>
        <v/>
      </c>
      <c r="M118" s="65" t="str">
        <f ca="1">IFERROR(INDIRECT(CONCATENATE("Field!M",A113+6)),"")</f>
        <v/>
      </c>
      <c r="N118" s="121" t="str">
        <f ca="1">IFERROR(INDIRECT(CONCATENATE("Field!N",A113+6)),"")</f>
        <v/>
      </c>
      <c r="T118" s="64" t="str">
        <f t="shared" ca="1" si="4"/>
        <v/>
      </c>
      <c r="U118" s="64" t="str">
        <f t="shared" ca="1" si="5"/>
        <v/>
      </c>
      <c r="V118" s="422" t="str">
        <f ca="1">IF(OR(D118=0,D118="",D118="Athlete"),"",COUNTIF($D$4:$D118,D118))</f>
        <v/>
      </c>
      <c r="W118" s="422" t="str">
        <f t="shared" ca="1" si="6"/>
        <v/>
      </c>
      <c r="Z118" s="422" t="str">
        <f t="shared" ca="1" si="7"/>
        <v/>
      </c>
    </row>
    <row r="119" spans="1:26" x14ac:dyDescent="0.35">
      <c r="B119" s="66">
        <f ca="1">IFERROR(INDIRECT(CONCATENATE("Field!B",A113+7)),"")</f>
        <v>6</v>
      </c>
      <c r="C119" s="66" t="str">
        <f ca="1">IFERROR(INDIRECT(CONCATENATE("Field!C",A113+7)),"")</f>
        <v/>
      </c>
      <c r="D119" s="89" t="str">
        <f ca="1">IFERROR(INDIRECT(CONCATENATE("Field!D",A113+7)),"")</f>
        <v/>
      </c>
      <c r="E119" s="89" t="str">
        <f ca="1">IFERROR(INDIRECT(CONCATENATE("Field!E",A113+7)),"")</f>
        <v/>
      </c>
      <c r="F119" s="65" t="str">
        <f ca="1">IFERROR(INDIRECT(CONCATENATE("Field!F",A113+7)),"")</f>
        <v/>
      </c>
      <c r="G119" s="121" t="str">
        <f ca="1">IFERROR(INDIRECT(CONCATENATE("Field!G",A113+7)),"")</f>
        <v/>
      </c>
      <c r="H119" s="66"/>
      <c r="I119" s="66">
        <f ca="1">IFERROR(INDIRECT(CONCATENATE("Field!I",A113+7)),"")</f>
        <v>6</v>
      </c>
      <c r="J119" s="66" t="str">
        <f ca="1">IFERROR(INDIRECT(CONCATENATE("Field!J",A113+7)),"")</f>
        <v/>
      </c>
      <c r="K119" s="89" t="str">
        <f ca="1">IFERROR(INDIRECT(CONCATENATE("Field!K",A113+7)),"")</f>
        <v/>
      </c>
      <c r="L119" s="89" t="str">
        <f ca="1">IFERROR(INDIRECT(CONCATENATE("Field!L",A113+7)),"")</f>
        <v/>
      </c>
      <c r="M119" s="65" t="str">
        <f ca="1">IFERROR(INDIRECT(CONCATENATE("Field!M",A113+7)),"")</f>
        <v/>
      </c>
      <c r="N119" s="121" t="str">
        <f ca="1">IFERROR(INDIRECT(CONCATENATE("Field!N",A113+7)),"")</f>
        <v/>
      </c>
      <c r="T119" s="64" t="str">
        <f t="shared" ca="1" si="4"/>
        <v/>
      </c>
      <c r="U119" s="64" t="str">
        <f t="shared" ca="1" si="5"/>
        <v/>
      </c>
      <c r="V119" s="422" t="str">
        <f ca="1">IF(OR(D119=0,D119="",D119="Athlete"),"",COUNTIF($D$4:$D119,D119))</f>
        <v/>
      </c>
      <c r="W119" s="422" t="str">
        <f t="shared" ca="1" si="6"/>
        <v/>
      </c>
      <c r="Z119" s="422" t="str">
        <f t="shared" ca="1" si="7"/>
        <v/>
      </c>
    </row>
    <row r="120" spans="1:26" x14ac:dyDescent="0.35">
      <c r="B120" s="66">
        <f ca="1">IFERROR(INDIRECT(CONCATENATE("Field!B",A113+8)),"")</f>
        <v>7</v>
      </c>
      <c r="C120" s="66" t="str">
        <f ca="1">IFERROR(INDIRECT(CONCATENATE("Field!C",A113+8)),"")</f>
        <v/>
      </c>
      <c r="D120" s="89" t="str">
        <f ca="1">IFERROR(INDIRECT(CONCATENATE("Field!D",A113+8)),"")</f>
        <v/>
      </c>
      <c r="E120" s="89" t="str">
        <f ca="1">IFERROR(INDIRECT(CONCATENATE("Field!E",A113+8)),"")</f>
        <v/>
      </c>
      <c r="F120" s="65" t="str">
        <f ca="1">IFERROR(INDIRECT(CONCATENATE("Field!F",A113+8)),"")</f>
        <v/>
      </c>
      <c r="G120" s="121" t="str">
        <f ca="1">IFERROR(INDIRECT(CONCATENATE("Field!G",A113+8)),"")</f>
        <v/>
      </c>
      <c r="H120" s="66"/>
      <c r="I120" s="66">
        <f ca="1">IFERROR(INDIRECT(CONCATENATE("Field!I",A113+8)),"")</f>
        <v>7</v>
      </c>
      <c r="J120" s="66" t="str">
        <f ca="1">IFERROR(INDIRECT(CONCATENATE("Field!J",A113+8)),"")</f>
        <v/>
      </c>
      <c r="K120" s="89" t="str">
        <f ca="1">IFERROR(INDIRECT(CONCATENATE("Field!K",A113+8)),"")</f>
        <v/>
      </c>
      <c r="L120" s="89" t="str">
        <f ca="1">IFERROR(INDIRECT(CONCATENATE("Field!L",A113+8)),"")</f>
        <v/>
      </c>
      <c r="M120" s="65" t="str">
        <f ca="1">IFERROR(INDIRECT(CONCATENATE("Field!M",A113+8)),"")</f>
        <v/>
      </c>
      <c r="N120" s="121" t="str">
        <f ca="1">IFERROR(INDIRECT(CONCATENATE("Field!N",A113+8)),"")</f>
        <v/>
      </c>
      <c r="T120" s="64" t="str">
        <f t="shared" ca="1" si="4"/>
        <v/>
      </c>
      <c r="U120" s="64" t="str">
        <f t="shared" ca="1" si="5"/>
        <v/>
      </c>
      <c r="V120" s="422" t="str">
        <f ca="1">IF(OR(D120=0,D120="",D120="Athlete"),"",COUNTIF($D$4:$D120,D120))</f>
        <v/>
      </c>
      <c r="W120" s="422" t="str">
        <f t="shared" ca="1" si="6"/>
        <v/>
      </c>
      <c r="Z120" s="422" t="str">
        <f t="shared" ca="1" si="7"/>
        <v/>
      </c>
    </row>
    <row r="121" spans="1:26" x14ac:dyDescent="0.35">
      <c r="B121" s="66">
        <f ca="1">IFERROR(INDIRECT(CONCATENATE("Field!B",A113+9)),"")</f>
        <v>8</v>
      </c>
      <c r="C121" s="66" t="str">
        <f ca="1">IFERROR(INDIRECT(CONCATENATE("Field!C",A113+9)),"")</f>
        <v/>
      </c>
      <c r="D121" s="89" t="str">
        <f ca="1">IFERROR(INDIRECT(CONCATENATE("Field!D",A113+9)),"")</f>
        <v/>
      </c>
      <c r="E121" s="89" t="str">
        <f ca="1">IFERROR(INDIRECT(CONCATENATE("Field!E",A113+9)),"")</f>
        <v/>
      </c>
      <c r="F121" s="65" t="str">
        <f ca="1">IFERROR(INDIRECT(CONCATENATE("Field!F",A113+9)),"")</f>
        <v/>
      </c>
      <c r="G121" s="121" t="str">
        <f ca="1">IFERROR(INDIRECT(CONCATENATE("Field!G",A113+9)),"")</f>
        <v/>
      </c>
      <c r="H121" s="66"/>
      <c r="I121" s="66">
        <f ca="1">IFERROR(INDIRECT(CONCATENATE("Field!I",A113+9)),"")</f>
        <v>8</v>
      </c>
      <c r="J121" s="66" t="str">
        <f ca="1">IFERROR(INDIRECT(CONCATENATE("Field!J",A113+9)),"")</f>
        <v/>
      </c>
      <c r="K121" s="89" t="str">
        <f ca="1">IFERROR(INDIRECT(CONCATENATE("Field!K",A113+9)),"")</f>
        <v/>
      </c>
      <c r="L121" s="89" t="str">
        <f ca="1">IFERROR(INDIRECT(CONCATENATE("Field!L",A113+9)),"")</f>
        <v/>
      </c>
      <c r="M121" s="65" t="str">
        <f ca="1">IFERROR(INDIRECT(CONCATENATE("Field!M",A113+9)),"")</f>
        <v/>
      </c>
      <c r="N121" s="121" t="str">
        <f ca="1">IFERROR(INDIRECT(CONCATENATE("Field!N",A113+9)),"")</f>
        <v/>
      </c>
      <c r="T121" s="64" t="str">
        <f t="shared" ca="1" si="4"/>
        <v/>
      </c>
      <c r="U121" s="64" t="str">
        <f t="shared" ca="1" si="5"/>
        <v/>
      </c>
      <c r="V121" s="422" t="str">
        <f ca="1">IF(OR(D121=0,D121="",D121="Athlete"),"",COUNTIF($D$4:$D121,D121))</f>
        <v/>
      </c>
      <c r="W121" s="422" t="str">
        <f t="shared" ca="1" si="6"/>
        <v/>
      </c>
      <c r="Z121" s="422" t="str">
        <f t="shared" ca="1" si="7"/>
        <v/>
      </c>
    </row>
    <row r="122" spans="1:26" x14ac:dyDescent="0.35">
      <c r="T122" s="64" t="str">
        <f t="shared" si="4"/>
        <v/>
      </c>
      <c r="U122" s="64" t="str">
        <f t="shared" si="5"/>
        <v/>
      </c>
      <c r="V122" s="422" t="str">
        <f>IF(OR(D122=0,D122="",D122="Athlete"),"",COUNTIF($D$4:$D122,D122))</f>
        <v/>
      </c>
      <c r="W122" s="422" t="str">
        <f t="shared" si="6"/>
        <v/>
      </c>
      <c r="Z122" s="422" t="str">
        <f t="shared" si="7"/>
        <v/>
      </c>
    </row>
    <row r="123" spans="1:26" x14ac:dyDescent="0.35">
      <c r="A123" s="66" t="s">
        <v>315</v>
      </c>
      <c r="B123" s="115" t="str">
        <f ca="1">IFERROR(INDIRECT(CONCATENATE("Relays!B",A124)),"")</f>
        <v xml:space="preserve"> 4 x 100m U13 Girls A</v>
      </c>
      <c r="M123" s="149" t="str">
        <f ca="1">IFERROR(INDIRECT(CONCATENATE("Relays!i",A124)),"")</f>
        <v/>
      </c>
      <c r="T123" s="64" t="str">
        <f t="shared" si="4"/>
        <v/>
      </c>
      <c r="U123" s="64" t="str">
        <f t="shared" si="5"/>
        <v/>
      </c>
      <c r="V123" s="422" t="str">
        <f>IF(OR(D123=0,D123="",D123="Athlete"),"",COUNTIF($D$4:$D123,D123))</f>
        <v/>
      </c>
      <c r="W123" s="422" t="str">
        <f t="shared" si="6"/>
        <v/>
      </c>
      <c r="Z123" s="422" t="str">
        <f t="shared" si="7"/>
        <v/>
      </c>
    </row>
    <row r="124" spans="1:26" x14ac:dyDescent="0.35">
      <c r="A124" s="66">
        <f>IFERROR(MATCH(A123,Relays!A:A,0),"")</f>
        <v>2</v>
      </c>
      <c r="B124" s="45" t="str">
        <f ca="1">IFERROR(INDIRECT(CONCATENATE("Relays!B",A124+1)),"")</f>
        <v>Posn</v>
      </c>
      <c r="C124" s="45" t="str">
        <f ca="1">IFERROR(INDIRECT(CONCATENATE("Relays!C",A124+1)),"")</f>
        <v>No.</v>
      </c>
      <c r="D124" s="182" t="s">
        <v>783</v>
      </c>
      <c r="G124" s="45"/>
      <c r="K124" s="45"/>
      <c r="L124" s="182" t="str">
        <f ca="1">IFERROR(INDIRECT(CONCATENATE("Relays!D",A124+1)),"")</f>
        <v>Club</v>
      </c>
      <c r="M124" s="149" t="str">
        <f ca="1">IFERROR(INDIRECT(CONCATENATE("Relays!i",A124+1)),"")</f>
        <v>Perf</v>
      </c>
      <c r="T124" s="64">
        <f t="shared" ref="T124:T132" ca="1" si="8">IF(OR(L124=0,L124="",L124="Athlete"),"",COUNTIF($D$4:$D$352,L124))</f>
        <v>0</v>
      </c>
      <c r="U124" s="64" t="str">
        <f t="shared" si="5"/>
        <v/>
      </c>
      <c r="V124" s="422">
        <f ca="1">IF(OR(L124=0,L124="",L124="Athlete"),"",COUNTIF($D$4:$D123,L124))</f>
        <v>0</v>
      </c>
      <c r="W124" s="422" t="str">
        <f t="shared" ref="W124:W132" ca="1" si="9">IF(OR(L124=0,L124="",L124="Athlete"),"",D124)</f>
        <v>Runners</v>
      </c>
      <c r="Z124" s="422" t="str">
        <f t="shared" si="7"/>
        <v/>
      </c>
    </row>
    <row r="125" spans="1:26" x14ac:dyDescent="0.35">
      <c r="B125" s="66">
        <f ca="1">IFERROR(INDIRECT(CONCATENATE("Relays!B",A124+2)),"")</f>
        <v>1</v>
      </c>
      <c r="C125" s="66">
        <f ca="1">IFERROR(INDIRECT(CONCATENATE("Relays!C",A124+2)),"")</f>
        <v>3</v>
      </c>
      <c r="D125" s="89" t="str">
        <f ca="1">IFERROR(IF(INDIRECT(CONCATENATE("Relays!e",A124+2))="","",INDIRECT(CONCATENATE("Relays!e",A124+2))&amp;", "&amp;INDIRECT(CONCATENATE("Relays!f",A124+2))&amp;", "&amp;INDIRECT(CONCATENATE("Relays!g",A124+2))&amp;", "&amp;INDIRECT(CONCATENATE("Relays!h",A124+2))),"")</f>
        <v>POUNDER Esme, MAUDE Emily, GREEN-HEMMINGS Grace, MARSHALL Nancy</v>
      </c>
      <c r="G125" s="66"/>
      <c r="K125" s="66"/>
      <c r="L125" s="89" t="str">
        <f ca="1">IFERROR(INDIRECT(CONCATENATE("Relays!D",A124+2)),"")</f>
        <v>York</v>
      </c>
      <c r="M125" s="65">
        <f ca="1">IFERROR(INDIRECT(CONCATENATE("Relays!i",A124+2)),"")</f>
        <v>56.8</v>
      </c>
      <c r="R125" s="66">
        <f ca="1">IFERROR(INDIRECT(CONCATENATE("Relays!M",A124+2)),"")</f>
        <v>1</v>
      </c>
      <c r="T125" s="64">
        <f t="shared" ca="1" si="8"/>
        <v>0</v>
      </c>
      <c r="U125" s="64" t="str">
        <f t="shared" si="5"/>
        <v/>
      </c>
      <c r="V125" s="422">
        <f ca="1">IF(OR(L125=0,L125="",L125="Athlete"),"",COUNTIF($D$4:$D123,L125))</f>
        <v>0</v>
      </c>
      <c r="W125" s="422" t="str">
        <f t="shared" ca="1" si="9"/>
        <v>POUNDER Esme, MAUDE Emily, GREEN-HEMMINGS Grace, MARSHALL Nancy</v>
      </c>
      <c r="Z125" s="422" t="str">
        <f t="shared" si="7"/>
        <v/>
      </c>
    </row>
    <row r="126" spans="1:26" x14ac:dyDescent="0.35">
      <c r="B126" s="66">
        <f ca="1">IFERROR(INDIRECT(CONCATENATE("Relays!B",A124+3)),"")</f>
        <v>2</v>
      </c>
      <c r="C126" s="66">
        <f ca="1">IFERROR(INDIRECT(CONCATENATE("Relays!C",A124+3)),"")</f>
        <v>4</v>
      </c>
      <c r="D126" s="89" t="str">
        <f ca="1">IFERROR(IF(INDIRECT(CONCATENATE("Relays!e",A124+3))="","",INDIRECT(CONCATENATE("Relays!e",A124+3))&amp;", "&amp;INDIRECT(CONCATENATE("Relays!f",A124+3))&amp;", "&amp;INDIRECT(CONCATENATE("Relays!g",A124+3))&amp;", "&amp;INDIRECT(CONCATENATE("Relays!h",A124+3))),"")</f>
        <v>LILLIE Freya, SEDGWICK Emma, SULLOCK Beth, WILMOT Amy</v>
      </c>
      <c r="G126" s="66"/>
      <c r="K126" s="66"/>
      <c r="L126" s="89" t="str">
        <f ca="1">IFERROR(INDIRECT(CONCATENATE("Relays!D",A124+3)),"")</f>
        <v>M'bro</v>
      </c>
      <c r="M126" s="65">
        <f ca="1">IFERROR(INDIRECT(CONCATENATE("Relays!i",A124+3)),"")</f>
        <v>58</v>
      </c>
      <c r="T126" s="64">
        <f t="shared" ca="1" si="8"/>
        <v>0</v>
      </c>
      <c r="U126" s="64" t="str">
        <f t="shared" si="5"/>
        <v/>
      </c>
      <c r="V126" s="422">
        <f ca="1">IF(OR(L126=0,L126="",L126="Athlete"),"",COUNTIF($D$4:$D123,L126))</f>
        <v>0</v>
      </c>
      <c r="W126" s="422" t="str">
        <f t="shared" ca="1" si="9"/>
        <v>LILLIE Freya, SEDGWICK Emma, SULLOCK Beth, WILMOT Amy</v>
      </c>
      <c r="Z126" s="422" t="str">
        <f t="shared" si="7"/>
        <v/>
      </c>
    </row>
    <row r="127" spans="1:26" x14ac:dyDescent="0.35">
      <c r="B127" s="66">
        <f ca="1">IFERROR(INDIRECT(CONCATENATE("Relays!B",A124+4)),"")</f>
        <v>3</v>
      </c>
      <c r="C127" s="66">
        <f ca="1">IFERROR(INDIRECT(CONCATENATE("Relays!C",A124+4)),"")</f>
        <v>2</v>
      </c>
      <c r="D127" s="89" t="str">
        <f ca="1">IFERROR(IF(INDIRECT(CONCATENATE("Relays!e",A124+4))="","",INDIRECT(CONCATENATE("Relays!e",A124+4))&amp;", "&amp;INDIRECT(CONCATENATE("Relays!f",A124+4))&amp;", "&amp;INDIRECT(CONCATENATE("Relays!g",A124+4))&amp;", "&amp;INDIRECT(CONCATENATE("Relays!h",A124+4))),"")</f>
        <v>GROVE Abigail, GRAY Molly, ROBERTS Eve, SCOTT Violet</v>
      </c>
      <c r="G127" s="66"/>
      <c r="K127" s="66"/>
      <c r="L127" s="89" t="str">
        <f ca="1">IFERROR(INDIRECT(CONCATENATE("Relays!D",A124+4)),"")</f>
        <v>Sheff+D</v>
      </c>
      <c r="M127" s="65">
        <f ca="1">IFERROR(INDIRECT(CONCATENATE("Relays!i",A124+4)),"")</f>
        <v>62.3</v>
      </c>
      <c r="T127" s="64">
        <f t="shared" ca="1" si="8"/>
        <v>0</v>
      </c>
      <c r="U127" s="64" t="str">
        <f t="shared" si="5"/>
        <v/>
      </c>
      <c r="V127" s="422">
        <f ca="1">IF(OR(L127=0,L127="",L127="Athlete"),"",COUNTIF($D$4:$D123,L127))</f>
        <v>0</v>
      </c>
      <c r="W127" s="422" t="str">
        <f t="shared" ca="1" si="9"/>
        <v>GROVE Abigail, GRAY Molly, ROBERTS Eve, SCOTT Violet</v>
      </c>
      <c r="Z127" s="422" t="str">
        <f t="shared" si="7"/>
        <v/>
      </c>
    </row>
    <row r="128" spans="1:26" x14ac:dyDescent="0.35">
      <c r="B128" s="66">
        <f ca="1">IFERROR(INDIRECT(CONCATENATE("Relays!B",A124+5)),"")</f>
        <v>4</v>
      </c>
      <c r="C128" s="66">
        <f ca="1">IFERROR(INDIRECT(CONCATENATE("Relays!C",A124+5)),"")</f>
        <v>1</v>
      </c>
      <c r="D128" s="89" t="str">
        <f ca="1">IFERROR(IF(INDIRECT(CONCATENATE("Relays!e",A124+5))="","",INDIRECT(CONCATENATE("Relays!e",A124+5))&amp;", "&amp;INDIRECT(CONCATENATE("Relays!f",A124+5))&amp;", "&amp;INDIRECT(CONCATENATE("Relays!g",A124+5))&amp;", "&amp;INDIRECT(CONCATENATE("Relays!h",A124+5))),"")</f>
        <v>HAILEY Faye, GRIFFIN Lydia, PELL Gracie, SAS Evelyn</v>
      </c>
      <c r="G128" s="66"/>
      <c r="K128" s="66"/>
      <c r="L128" s="89" t="str">
        <f ca="1">IFERROR(INDIRECT(CONCATENATE("Relays!D",A124+5)),"")</f>
        <v>C'field</v>
      </c>
      <c r="M128" s="65">
        <f ca="1">IFERROR(INDIRECT(CONCATENATE("Relays!i",A124+5)),"")</f>
        <v>63</v>
      </c>
      <c r="T128" s="64">
        <f t="shared" ca="1" si="8"/>
        <v>0</v>
      </c>
      <c r="U128" s="64" t="str">
        <f t="shared" si="5"/>
        <v/>
      </c>
      <c r="V128" s="422">
        <f ca="1">IF(OR(L128=0,L128="",L128="Athlete"),"",COUNTIF($D$4:$D123,L128))</f>
        <v>0</v>
      </c>
      <c r="W128" s="422" t="str">
        <f t="shared" ca="1" si="9"/>
        <v>HAILEY Faye, GRIFFIN Lydia, PELL Gracie, SAS Evelyn</v>
      </c>
      <c r="Z128" s="422" t="str">
        <f t="shared" si="7"/>
        <v/>
      </c>
    </row>
    <row r="129" spans="2:26" x14ac:dyDescent="0.35">
      <c r="B129" s="66">
        <f ca="1">IFERROR(INDIRECT(CONCATENATE("Relays!B",A124+6)),"")</f>
        <v>5</v>
      </c>
      <c r="C129" s="66">
        <f ca="1">IFERROR(INDIRECT(CONCATENATE("Relays!C",A124+6)),"")</f>
        <v>0</v>
      </c>
      <c r="D129" s="89" t="str">
        <f ca="1">IFERROR(IF(INDIRECT(CONCATENATE("Relays!e",A124+6))="","",INDIRECT(CONCATENATE("Relays!e",A124+6))&amp;", "&amp;INDIRECT(CONCATENATE("Relays!f",A124+6))&amp;", "&amp;INDIRECT(CONCATENATE("Relays!g",A124+6))&amp;", "&amp;INDIRECT(CONCATENATE("Relays!h",A124+6))),"")</f>
        <v/>
      </c>
      <c r="G129" s="66"/>
      <c r="K129" s="66"/>
      <c r="L129" s="89" t="str">
        <f ca="1">IFERROR(INDIRECT(CONCATENATE("Relays!D",A124+6)),"")</f>
        <v/>
      </c>
      <c r="M129" s="65">
        <f ca="1">IFERROR(INDIRECT(CONCATENATE("Relays!i",A124+6)),"")</f>
        <v>0</v>
      </c>
      <c r="T129" s="64" t="str">
        <f t="shared" ca="1" si="8"/>
        <v/>
      </c>
      <c r="U129" s="64" t="str">
        <f t="shared" si="5"/>
        <v/>
      </c>
      <c r="V129" s="422" t="str">
        <f ca="1">IF(OR(L129=0,L129="",L129="Athlete"),"",COUNTIF($D$4:$D123,L129))</f>
        <v/>
      </c>
      <c r="W129" s="422" t="str">
        <f t="shared" ca="1" si="9"/>
        <v/>
      </c>
      <c r="Z129" s="422" t="str">
        <f t="shared" si="7"/>
        <v/>
      </c>
    </row>
    <row r="130" spans="2:26" x14ac:dyDescent="0.35">
      <c r="B130" s="66">
        <f ca="1">IFERROR(INDIRECT(CONCATENATE("Relays!B",A124+7)),"")</f>
        <v>6</v>
      </c>
      <c r="C130" s="66">
        <f ca="1">IFERROR(INDIRECT(CONCATENATE("Relays!C",A124+7)),"")</f>
        <v>0</v>
      </c>
      <c r="D130" s="89" t="str">
        <f ca="1">IFERROR(IF(INDIRECT(CONCATENATE("Relays!e",A124+7))="","",INDIRECT(CONCATENATE("Relays!e",A124+7))&amp;", "&amp;INDIRECT(CONCATENATE("Relays!f",A124+7))&amp;", "&amp;INDIRECT(CONCATENATE("Relays!g",A124+7))&amp;", "&amp;INDIRECT(CONCATENATE("Relays!h",A124+7))),"")</f>
        <v/>
      </c>
      <c r="G130" s="66"/>
      <c r="K130" s="66"/>
      <c r="L130" s="89" t="str">
        <f ca="1">IFERROR(INDIRECT(CONCATENATE("Relays!D",A124+7)),"")</f>
        <v/>
      </c>
      <c r="M130" s="65">
        <f ca="1">IFERROR(INDIRECT(CONCATENATE("Relays!i",A124+7)),"")</f>
        <v>0</v>
      </c>
      <c r="T130" s="64" t="str">
        <f t="shared" ca="1" si="8"/>
        <v/>
      </c>
      <c r="U130" s="64" t="str">
        <f t="shared" si="5"/>
        <v/>
      </c>
      <c r="V130" s="422" t="str">
        <f ca="1">IF(OR(L130=0,L130="",L130="Athlete"),"",COUNTIF($D$4:$D123,L130))</f>
        <v/>
      </c>
      <c r="W130" s="422" t="str">
        <f t="shared" ca="1" si="9"/>
        <v/>
      </c>
      <c r="Z130" s="422" t="str">
        <f t="shared" si="7"/>
        <v/>
      </c>
    </row>
    <row r="131" spans="2:26" x14ac:dyDescent="0.35">
      <c r="B131" s="66">
        <f ca="1">IFERROR(INDIRECT(CONCATENATE("Relays!B",A124+8)),"")</f>
        <v>7</v>
      </c>
      <c r="C131" s="66">
        <f ca="1">IFERROR(INDIRECT(CONCATENATE("Relays!C",A124+8)),"")</f>
        <v>0</v>
      </c>
      <c r="D131" s="89" t="str">
        <f ca="1">IFERROR(IF(INDIRECT(CONCATENATE("Relays!e",A124+8))="","",INDIRECT(CONCATENATE("Relays!e",A124+8))&amp;", "&amp;INDIRECT(CONCATENATE("Relays!f",A124+8))&amp;", "&amp;INDIRECT(CONCATENATE("Relays!g",A124+8))&amp;", "&amp;INDIRECT(CONCATENATE("Relays!h",A124+8))),"")</f>
        <v/>
      </c>
      <c r="G131" s="66"/>
      <c r="K131" s="66"/>
      <c r="L131" s="89" t="str">
        <f ca="1">IFERROR(INDIRECT(CONCATENATE("Relays!D",A124+8)),"")</f>
        <v/>
      </c>
      <c r="M131" s="65">
        <f ca="1">IFERROR(INDIRECT(CONCATENATE("Relays!i",A124+8)),"")</f>
        <v>0</v>
      </c>
      <c r="T131" s="64" t="str">
        <f t="shared" ca="1" si="8"/>
        <v/>
      </c>
      <c r="U131" s="64" t="str">
        <f t="shared" si="5"/>
        <v/>
      </c>
      <c r="V131" s="422" t="str">
        <f ca="1">IF(OR(L131=0,L131="",L131="Athlete"),"",COUNTIF($D$4:$D123,L131))</f>
        <v/>
      </c>
      <c r="W131" s="422" t="str">
        <f t="shared" ca="1" si="9"/>
        <v/>
      </c>
      <c r="Z131" s="422" t="str">
        <f t="shared" si="7"/>
        <v/>
      </c>
    </row>
    <row r="132" spans="2:26" x14ac:dyDescent="0.35">
      <c r="B132" s="66">
        <f ca="1">IFERROR(INDIRECT(CONCATENATE("Relays!B",A124+9)),"")</f>
        <v>8</v>
      </c>
      <c r="C132" s="66">
        <f ca="1">IFERROR(INDIRECT(CONCATENATE("Relays!C",A124+9)),"")</f>
        <v>0</v>
      </c>
      <c r="D132" s="89" t="str">
        <f ca="1">IFERROR(IF(INDIRECT(CONCATENATE("Relays!e",A124+9))="","",INDIRECT(CONCATENATE("Relays!e",A124+9))&amp;", "&amp;INDIRECT(CONCATENATE("Relays!f",A124+9))&amp;", "&amp;INDIRECT(CONCATENATE("Relays!g",A124+9))&amp;", "&amp;INDIRECT(CONCATENATE("Relays!h",A124+9))),"")</f>
        <v/>
      </c>
      <c r="G132" s="66"/>
      <c r="K132" s="66"/>
      <c r="L132" s="89" t="str">
        <f ca="1">IFERROR(INDIRECT(CONCATENATE("Relays!D",A124+9)),"")</f>
        <v/>
      </c>
      <c r="M132" s="65">
        <f ca="1">IFERROR(INDIRECT(CONCATENATE("Relays!i",A124+9)),"")</f>
        <v>0</v>
      </c>
      <c r="T132" s="64" t="str">
        <f t="shared" ca="1" si="8"/>
        <v/>
      </c>
      <c r="U132" s="64" t="str">
        <f t="shared" si="5"/>
        <v/>
      </c>
      <c r="V132" s="422" t="str">
        <f ca="1">IF(OR(L132=0,L132="",L132="Athlete"),"",COUNTIF($D$4:$D132,L132))</f>
        <v/>
      </c>
      <c r="W132" s="422" t="str">
        <f t="shared" ca="1" si="9"/>
        <v/>
      </c>
      <c r="Z132" s="422" t="str">
        <f t="shared" si="7"/>
        <v/>
      </c>
    </row>
    <row r="133" spans="2:26" x14ac:dyDescent="0.35">
      <c r="T133" s="64" t="str">
        <f t="shared" ref="T133:T196" si="10">IF(OR(D133=0,D133="",D133="Athlete"),"",COUNTIF($D$4:$D$352,D133))</f>
        <v/>
      </c>
      <c r="U133" s="64" t="str">
        <f t="shared" ref="U133:U196" si="11">IF(OR(K133=0,K133="",K133="Athlete"),"",COUNTIF($D$4:$D$352,K133))</f>
        <v/>
      </c>
      <c r="V133" s="422" t="str">
        <f>IF(OR(D133=0,D133="",D133="Athlete"),"",COUNTIF($D$4:$D133,D133))</f>
        <v/>
      </c>
      <c r="W133" s="422" t="str">
        <f t="shared" ref="W133:W165" si="12">IF(OR(D133=0,D133="",D133="Athlete"),"",E133)</f>
        <v/>
      </c>
      <c r="Z133" s="422" t="str">
        <f t="shared" ref="Z133:Z165" si="13">IF(OR(G133=0,G133="",G133="Athlete"),"",H133)</f>
        <v/>
      </c>
    </row>
    <row r="134" spans="2:26" x14ac:dyDescent="0.35">
      <c r="T134" s="64" t="str">
        <f t="shared" si="10"/>
        <v/>
      </c>
      <c r="U134" s="64" t="str">
        <f t="shared" si="11"/>
        <v/>
      </c>
      <c r="V134" s="422" t="str">
        <f>IF(OR(D134=0,D134="",D134="Athlete"),"",COUNTIF($D$4:$D134,D134))</f>
        <v/>
      </c>
      <c r="W134" s="422" t="str">
        <f t="shared" si="12"/>
        <v/>
      </c>
      <c r="Z134" s="422" t="str">
        <f t="shared" si="13"/>
        <v/>
      </c>
    </row>
    <row r="135" spans="2:26" x14ac:dyDescent="0.35">
      <c r="T135" s="64" t="str">
        <f t="shared" si="10"/>
        <v/>
      </c>
      <c r="U135" s="64" t="str">
        <f t="shared" si="11"/>
        <v/>
      </c>
      <c r="V135" s="422" t="str">
        <f>IF(OR(D135=0,D135="",D135="Athlete"),"",COUNTIF($D$4:$D135,D135))</f>
        <v/>
      </c>
      <c r="W135" s="422" t="str">
        <f t="shared" si="12"/>
        <v/>
      </c>
      <c r="Z135" s="422" t="str">
        <f t="shared" si="13"/>
        <v/>
      </c>
    </row>
    <row r="136" spans="2:26" x14ac:dyDescent="0.35">
      <c r="T136" s="64" t="str">
        <f t="shared" si="10"/>
        <v/>
      </c>
      <c r="U136" s="64" t="str">
        <f t="shared" si="11"/>
        <v/>
      </c>
      <c r="V136" s="422" t="str">
        <f>IF(OR(D136=0,D136="",D136="Athlete"),"",COUNTIF($D$4:$D136,D136))</f>
        <v/>
      </c>
      <c r="W136" s="422" t="str">
        <f t="shared" si="12"/>
        <v/>
      </c>
      <c r="Z136" s="422" t="str">
        <f t="shared" si="13"/>
        <v/>
      </c>
    </row>
    <row r="137" spans="2:26" x14ac:dyDescent="0.35">
      <c r="T137" s="64" t="str">
        <f t="shared" si="10"/>
        <v/>
      </c>
      <c r="U137" s="64" t="str">
        <f t="shared" si="11"/>
        <v/>
      </c>
      <c r="V137" s="422" t="str">
        <f>IF(OR(D137=0,D137="",D137="Athlete"),"",COUNTIF($D$4:$D137,D137))</f>
        <v/>
      </c>
      <c r="W137" s="422" t="str">
        <f t="shared" si="12"/>
        <v/>
      </c>
      <c r="Z137" s="422" t="str">
        <f t="shared" si="13"/>
        <v/>
      </c>
    </row>
    <row r="138" spans="2:26" x14ac:dyDescent="0.35">
      <c r="T138" s="64" t="str">
        <f t="shared" si="10"/>
        <v/>
      </c>
      <c r="U138" s="64" t="str">
        <f t="shared" si="11"/>
        <v/>
      </c>
      <c r="V138" s="422" t="str">
        <f>IF(OR(D138=0,D138="",D138="Athlete"),"",COUNTIF($D$4:$D138,D138))</f>
        <v/>
      </c>
      <c r="W138" s="422" t="str">
        <f t="shared" si="12"/>
        <v/>
      </c>
      <c r="Z138" s="422" t="str">
        <f t="shared" si="13"/>
        <v/>
      </c>
    </row>
    <row r="139" spans="2:26" x14ac:dyDescent="0.35">
      <c r="T139" s="64" t="str">
        <f t="shared" si="10"/>
        <v/>
      </c>
      <c r="U139" s="64" t="str">
        <f t="shared" si="11"/>
        <v/>
      </c>
      <c r="V139" s="422" t="str">
        <f>IF(OR(D139=0,D139="",D139="Athlete"),"",COUNTIF($D$4:$D139,D139))</f>
        <v/>
      </c>
      <c r="W139" s="422" t="str">
        <f t="shared" si="12"/>
        <v/>
      </c>
      <c r="Z139" s="422" t="str">
        <f t="shared" si="13"/>
        <v/>
      </c>
    </row>
    <row r="140" spans="2:26" x14ac:dyDescent="0.35">
      <c r="T140" s="64" t="str">
        <f t="shared" si="10"/>
        <v/>
      </c>
      <c r="U140" s="64" t="str">
        <f t="shared" si="11"/>
        <v/>
      </c>
      <c r="V140" s="422" t="str">
        <f>IF(OR(D140=0,D140="",D140="Athlete"),"",COUNTIF($D$4:$D140,D140))</f>
        <v/>
      </c>
      <c r="W140" s="422" t="str">
        <f t="shared" si="12"/>
        <v/>
      </c>
      <c r="Z140" s="422" t="str">
        <f t="shared" si="13"/>
        <v/>
      </c>
    </row>
    <row r="141" spans="2:26" x14ac:dyDescent="0.35">
      <c r="T141" s="64" t="str">
        <f t="shared" si="10"/>
        <v/>
      </c>
      <c r="U141" s="64" t="str">
        <f t="shared" si="11"/>
        <v/>
      </c>
      <c r="V141" s="422" t="str">
        <f>IF(OR(D141=0,D141="",D141="Athlete"),"",COUNTIF($D$4:$D141,D141))</f>
        <v/>
      </c>
      <c r="W141" s="422" t="str">
        <f t="shared" si="12"/>
        <v/>
      </c>
      <c r="Z141" s="422" t="str">
        <f t="shared" si="13"/>
        <v/>
      </c>
    </row>
    <row r="142" spans="2:26" x14ac:dyDescent="0.35">
      <c r="T142" s="64" t="str">
        <f t="shared" si="10"/>
        <v/>
      </c>
      <c r="U142" s="64" t="str">
        <f t="shared" si="11"/>
        <v/>
      </c>
      <c r="V142" s="422" t="str">
        <f>IF(OR(D142=0,D142="",D142="Athlete"),"",COUNTIF($D$4:$D142,D142))</f>
        <v/>
      </c>
      <c r="W142" s="422" t="str">
        <f t="shared" si="12"/>
        <v/>
      </c>
      <c r="Z142" s="422" t="str">
        <f t="shared" si="13"/>
        <v/>
      </c>
    </row>
    <row r="143" spans="2:26" x14ac:dyDescent="0.35">
      <c r="T143" s="64" t="str">
        <f t="shared" si="10"/>
        <v/>
      </c>
      <c r="U143" s="64" t="str">
        <f t="shared" si="11"/>
        <v/>
      </c>
      <c r="V143" s="422" t="str">
        <f>IF(OR(D143=0,D143="",D143="Athlete"),"",COUNTIF($D$4:$D143,D143))</f>
        <v/>
      </c>
      <c r="W143" s="422" t="str">
        <f t="shared" si="12"/>
        <v/>
      </c>
      <c r="Z143" s="422" t="str">
        <f t="shared" si="13"/>
        <v/>
      </c>
    </row>
    <row r="144" spans="2:26" x14ac:dyDescent="0.35">
      <c r="T144" s="64" t="str">
        <f t="shared" si="10"/>
        <v/>
      </c>
      <c r="U144" s="64" t="str">
        <f t="shared" si="11"/>
        <v/>
      </c>
      <c r="V144" s="422" t="str">
        <f>IF(OR(D144=0,D144="",D144="Athlete"),"",COUNTIF($D$4:$D144,D144))</f>
        <v/>
      </c>
      <c r="W144" s="422" t="str">
        <f t="shared" si="12"/>
        <v/>
      </c>
      <c r="Z144" s="422" t="str">
        <f t="shared" si="13"/>
        <v/>
      </c>
    </row>
    <row r="145" spans="20:26" x14ac:dyDescent="0.35">
      <c r="T145" s="64" t="str">
        <f t="shared" si="10"/>
        <v/>
      </c>
      <c r="U145" s="64" t="str">
        <f t="shared" si="11"/>
        <v/>
      </c>
      <c r="V145" s="422" t="str">
        <f>IF(OR(D145=0,D145="",D145="Athlete"),"",COUNTIF($D$4:$D145,D145))</f>
        <v/>
      </c>
      <c r="W145" s="422" t="str">
        <f t="shared" si="12"/>
        <v/>
      </c>
      <c r="Z145" s="422" t="str">
        <f t="shared" si="13"/>
        <v/>
      </c>
    </row>
    <row r="146" spans="20:26" x14ac:dyDescent="0.35">
      <c r="T146" s="64" t="str">
        <f t="shared" si="10"/>
        <v/>
      </c>
      <c r="U146" s="64" t="str">
        <f t="shared" si="11"/>
        <v/>
      </c>
      <c r="V146" s="422" t="str">
        <f>IF(OR(D146=0,D146="",D146="Athlete"),"",COUNTIF($D$4:$D146,D146))</f>
        <v/>
      </c>
      <c r="W146" s="422" t="str">
        <f t="shared" si="12"/>
        <v/>
      </c>
      <c r="Z146" s="422" t="str">
        <f t="shared" si="13"/>
        <v/>
      </c>
    </row>
    <row r="147" spans="20:26" x14ac:dyDescent="0.35">
      <c r="T147" s="64" t="str">
        <f t="shared" si="10"/>
        <v/>
      </c>
      <c r="U147" s="64" t="str">
        <f t="shared" si="11"/>
        <v/>
      </c>
      <c r="V147" s="422" t="str">
        <f>IF(OR(D147=0,D147="",D147="Athlete"),"",COUNTIF($D$4:$D147,D147))</f>
        <v/>
      </c>
      <c r="W147" s="422" t="str">
        <f t="shared" si="12"/>
        <v/>
      </c>
      <c r="Z147" s="422" t="str">
        <f t="shared" si="13"/>
        <v/>
      </c>
    </row>
    <row r="148" spans="20:26" x14ac:dyDescent="0.35">
      <c r="T148" s="64" t="str">
        <f t="shared" si="10"/>
        <v/>
      </c>
      <c r="U148" s="64" t="str">
        <f t="shared" si="11"/>
        <v/>
      </c>
      <c r="V148" s="422" t="str">
        <f>IF(OR(D148=0,D148="",D148="Athlete"),"",COUNTIF($D$4:$D148,D148))</f>
        <v/>
      </c>
      <c r="W148" s="422" t="str">
        <f t="shared" si="12"/>
        <v/>
      </c>
      <c r="Z148" s="422" t="str">
        <f t="shared" si="13"/>
        <v/>
      </c>
    </row>
    <row r="149" spans="20:26" x14ac:dyDescent="0.35">
      <c r="T149" s="64" t="str">
        <f t="shared" si="10"/>
        <v/>
      </c>
      <c r="U149" s="64" t="str">
        <f t="shared" si="11"/>
        <v/>
      </c>
      <c r="V149" s="422" t="str">
        <f>IF(OR(D149=0,D149="",D149="Athlete"),"",COUNTIF($D$4:$D149,D149))</f>
        <v/>
      </c>
      <c r="W149" s="422" t="str">
        <f t="shared" si="12"/>
        <v/>
      </c>
      <c r="Z149" s="422" t="str">
        <f t="shared" si="13"/>
        <v/>
      </c>
    </row>
    <row r="150" spans="20:26" x14ac:dyDescent="0.35">
      <c r="T150" s="64" t="str">
        <f t="shared" si="10"/>
        <v/>
      </c>
      <c r="U150" s="64" t="str">
        <f t="shared" si="11"/>
        <v/>
      </c>
      <c r="V150" s="422" t="str">
        <f>IF(OR(D150=0,D150="",D150="Athlete"),"",COUNTIF($D$4:$D150,D150))</f>
        <v/>
      </c>
      <c r="W150" s="422" t="str">
        <f t="shared" si="12"/>
        <v/>
      </c>
      <c r="Z150" s="422" t="str">
        <f t="shared" si="13"/>
        <v/>
      </c>
    </row>
    <row r="151" spans="20:26" x14ac:dyDescent="0.35">
      <c r="T151" s="64" t="str">
        <f t="shared" si="10"/>
        <v/>
      </c>
      <c r="U151" s="64" t="str">
        <f t="shared" si="11"/>
        <v/>
      </c>
      <c r="V151" s="422" t="str">
        <f>IF(OR(D151=0,D151="",D151="Athlete"),"",COUNTIF($D$4:$D151,D151))</f>
        <v/>
      </c>
      <c r="W151" s="422" t="str">
        <f t="shared" si="12"/>
        <v/>
      </c>
      <c r="Z151" s="422" t="str">
        <f t="shared" si="13"/>
        <v/>
      </c>
    </row>
    <row r="152" spans="20:26" x14ac:dyDescent="0.35">
      <c r="T152" s="64" t="str">
        <f t="shared" si="10"/>
        <v/>
      </c>
      <c r="U152" s="64" t="str">
        <f t="shared" si="11"/>
        <v/>
      </c>
      <c r="V152" s="422" t="str">
        <f>IF(OR(D152=0,D152="",D152="Athlete"),"",COUNTIF($D$4:$D152,D152))</f>
        <v/>
      </c>
      <c r="W152" s="422" t="str">
        <f t="shared" si="12"/>
        <v/>
      </c>
      <c r="Z152" s="422" t="str">
        <f t="shared" si="13"/>
        <v/>
      </c>
    </row>
    <row r="153" spans="20:26" x14ac:dyDescent="0.35">
      <c r="T153" s="64" t="str">
        <f t="shared" si="10"/>
        <v/>
      </c>
      <c r="U153" s="64" t="str">
        <f t="shared" si="11"/>
        <v/>
      </c>
      <c r="V153" s="422" t="str">
        <f>IF(OR(D153=0,D153="",D153="Athlete"),"",COUNTIF($D$4:$D153,D153))</f>
        <v/>
      </c>
      <c r="W153" s="422" t="str">
        <f t="shared" si="12"/>
        <v/>
      </c>
      <c r="Z153" s="422" t="str">
        <f t="shared" si="13"/>
        <v/>
      </c>
    </row>
    <row r="154" spans="20:26" x14ac:dyDescent="0.35">
      <c r="T154" s="64" t="str">
        <f t="shared" si="10"/>
        <v/>
      </c>
      <c r="U154" s="64" t="str">
        <f t="shared" si="11"/>
        <v/>
      </c>
      <c r="V154" s="422" t="str">
        <f>IF(OR(D154=0,D154="",D154="Athlete"),"",COUNTIF($D$4:$D154,D154))</f>
        <v/>
      </c>
      <c r="W154" s="422" t="str">
        <f t="shared" si="12"/>
        <v/>
      </c>
      <c r="Z154" s="422" t="str">
        <f t="shared" si="13"/>
        <v/>
      </c>
    </row>
    <row r="155" spans="20:26" x14ac:dyDescent="0.35">
      <c r="T155" s="64" t="str">
        <f t="shared" si="10"/>
        <v/>
      </c>
      <c r="U155" s="64" t="str">
        <f t="shared" si="11"/>
        <v/>
      </c>
      <c r="V155" s="422" t="str">
        <f>IF(OR(D155=0,D155="",D155="Athlete"),"",COUNTIF($D$4:$D155,D155))</f>
        <v/>
      </c>
      <c r="W155" s="422" t="str">
        <f t="shared" si="12"/>
        <v/>
      </c>
      <c r="Z155" s="422" t="str">
        <f t="shared" si="13"/>
        <v/>
      </c>
    </row>
    <row r="156" spans="20:26" x14ac:dyDescent="0.35">
      <c r="T156" s="64" t="str">
        <f t="shared" si="10"/>
        <v/>
      </c>
      <c r="U156" s="64" t="str">
        <f t="shared" si="11"/>
        <v/>
      </c>
      <c r="V156" s="422" t="str">
        <f>IF(OR(D156=0,D156="",D156="Athlete"),"",COUNTIF($D$4:$D156,D156))</f>
        <v/>
      </c>
      <c r="W156" s="422" t="str">
        <f t="shared" si="12"/>
        <v/>
      </c>
      <c r="Z156" s="422" t="str">
        <f t="shared" si="13"/>
        <v/>
      </c>
    </row>
    <row r="157" spans="20:26" x14ac:dyDescent="0.35">
      <c r="T157" s="64" t="str">
        <f t="shared" si="10"/>
        <v/>
      </c>
      <c r="U157" s="64" t="str">
        <f t="shared" si="11"/>
        <v/>
      </c>
      <c r="V157" s="422" t="str">
        <f>IF(OR(D157=0,D157="",D157="Athlete"),"",COUNTIF($D$4:$D157,D157))</f>
        <v/>
      </c>
      <c r="W157" s="422" t="str">
        <f t="shared" si="12"/>
        <v/>
      </c>
      <c r="Z157" s="422" t="str">
        <f t="shared" si="13"/>
        <v/>
      </c>
    </row>
    <row r="158" spans="20:26" x14ac:dyDescent="0.35">
      <c r="T158" s="64" t="str">
        <f t="shared" si="10"/>
        <v/>
      </c>
      <c r="U158" s="64" t="str">
        <f t="shared" si="11"/>
        <v/>
      </c>
      <c r="V158" s="422" t="str">
        <f>IF(OR(D158=0,D158="",D158="Athlete"),"",COUNTIF($D$4:$D158,D158))</f>
        <v/>
      </c>
      <c r="W158" s="422" t="str">
        <f t="shared" si="12"/>
        <v/>
      </c>
      <c r="Z158" s="422" t="str">
        <f t="shared" si="13"/>
        <v/>
      </c>
    </row>
    <row r="159" spans="20:26" x14ac:dyDescent="0.35">
      <c r="T159" s="64" t="str">
        <f t="shared" si="10"/>
        <v/>
      </c>
      <c r="U159" s="64" t="str">
        <f t="shared" si="11"/>
        <v/>
      </c>
      <c r="V159" s="422" t="str">
        <f>IF(OR(D159=0,D159="",D159="Athlete"),"",COUNTIF($D$4:$D159,D159))</f>
        <v/>
      </c>
      <c r="W159" s="422" t="str">
        <f t="shared" si="12"/>
        <v/>
      </c>
      <c r="Z159" s="422" t="str">
        <f t="shared" si="13"/>
        <v/>
      </c>
    </row>
    <row r="160" spans="20:26" x14ac:dyDescent="0.35">
      <c r="T160" s="64" t="str">
        <f t="shared" si="10"/>
        <v/>
      </c>
      <c r="U160" s="64" t="str">
        <f t="shared" si="11"/>
        <v/>
      </c>
      <c r="V160" s="422" t="str">
        <f>IF(OR(D160=0,D160="",D160="Athlete"),"",COUNTIF($D$4:$D160,D160))</f>
        <v/>
      </c>
      <c r="W160" s="422" t="str">
        <f t="shared" si="12"/>
        <v/>
      </c>
      <c r="Z160" s="422" t="str">
        <f t="shared" si="13"/>
        <v/>
      </c>
    </row>
    <row r="161" spans="20:26" x14ac:dyDescent="0.35">
      <c r="T161" s="64" t="str">
        <f t="shared" si="10"/>
        <v/>
      </c>
      <c r="U161" s="64" t="str">
        <f t="shared" si="11"/>
        <v/>
      </c>
      <c r="V161" s="422" t="str">
        <f>IF(OR(D161=0,D161="",D161="Athlete"),"",COUNTIF($D$4:$D161,D161))</f>
        <v/>
      </c>
      <c r="W161" s="422" t="str">
        <f t="shared" si="12"/>
        <v/>
      </c>
      <c r="Z161" s="422" t="str">
        <f t="shared" si="13"/>
        <v/>
      </c>
    </row>
    <row r="162" spans="20:26" x14ac:dyDescent="0.35">
      <c r="T162" s="64" t="str">
        <f t="shared" si="10"/>
        <v/>
      </c>
      <c r="U162" s="64" t="str">
        <f t="shared" si="11"/>
        <v/>
      </c>
      <c r="V162" s="422" t="str">
        <f>IF(OR(D162=0,D162="",D162="Athlete"),"",COUNTIF($D$4:$D162,D162))</f>
        <v/>
      </c>
      <c r="W162" s="422" t="str">
        <f t="shared" si="12"/>
        <v/>
      </c>
      <c r="Z162" s="422" t="str">
        <f t="shared" si="13"/>
        <v/>
      </c>
    </row>
    <row r="163" spans="20:26" x14ac:dyDescent="0.35">
      <c r="T163" s="64" t="str">
        <f t="shared" si="10"/>
        <v/>
      </c>
      <c r="U163" s="64" t="str">
        <f t="shared" si="11"/>
        <v/>
      </c>
      <c r="V163" s="422" t="str">
        <f>IF(OR(D163=0,D163="",D163="Athlete"),"",COUNTIF($D$4:$D163,D163))</f>
        <v/>
      </c>
      <c r="W163" s="422" t="str">
        <f t="shared" si="12"/>
        <v/>
      </c>
      <c r="Z163" s="422" t="str">
        <f t="shared" si="13"/>
        <v/>
      </c>
    </row>
    <row r="164" spans="20:26" x14ac:dyDescent="0.35">
      <c r="T164" s="64" t="str">
        <f t="shared" si="10"/>
        <v/>
      </c>
      <c r="U164" s="64" t="str">
        <f t="shared" si="11"/>
        <v/>
      </c>
      <c r="V164" s="422" t="str">
        <f>IF(OR(D164=0,D164="",D164="Athlete"),"",COUNTIF($D$4:$D164,D164))</f>
        <v/>
      </c>
      <c r="W164" s="422" t="str">
        <f t="shared" si="12"/>
        <v/>
      </c>
      <c r="Z164" s="422" t="str">
        <f t="shared" si="13"/>
        <v/>
      </c>
    </row>
    <row r="165" spans="20:26" x14ac:dyDescent="0.35">
      <c r="T165" s="64" t="str">
        <f t="shared" si="10"/>
        <v/>
      </c>
      <c r="U165" s="64" t="str">
        <f t="shared" si="11"/>
        <v/>
      </c>
      <c r="V165" s="422" t="str">
        <f>IF(OR(D165=0,D165="",D165="Athlete"),"",COUNTIF($D$4:$D165,D165))</f>
        <v/>
      </c>
      <c r="W165" s="422" t="str">
        <f t="shared" si="12"/>
        <v/>
      </c>
      <c r="Z165" s="422" t="str">
        <f t="shared" si="13"/>
        <v/>
      </c>
    </row>
    <row r="166" spans="20:26" x14ac:dyDescent="0.35">
      <c r="T166" s="64" t="str">
        <f t="shared" si="10"/>
        <v/>
      </c>
      <c r="U166" s="64" t="str">
        <f t="shared" si="11"/>
        <v/>
      </c>
      <c r="V166" s="422" t="str">
        <f>IF(OR(D166=0,D166="",D166="Athlete"),"",COUNTIF($D$4:$D166,D166))</f>
        <v/>
      </c>
    </row>
    <row r="167" spans="20:26" x14ac:dyDescent="0.35">
      <c r="T167" s="64" t="str">
        <f t="shared" si="10"/>
        <v/>
      </c>
      <c r="U167" s="64" t="str">
        <f t="shared" si="11"/>
        <v/>
      </c>
      <c r="V167" s="422" t="str">
        <f>IF(OR(D167=0,D167="",D167="Athlete"),"",COUNTIF($D$4:$D167,D167))</f>
        <v/>
      </c>
    </row>
    <row r="168" spans="20:26" x14ac:dyDescent="0.35">
      <c r="T168" s="64" t="str">
        <f t="shared" si="10"/>
        <v/>
      </c>
      <c r="U168" s="64" t="str">
        <f t="shared" si="11"/>
        <v/>
      </c>
    </row>
    <row r="169" spans="20:26" x14ac:dyDescent="0.35">
      <c r="T169" s="64" t="str">
        <f t="shared" si="10"/>
        <v/>
      </c>
      <c r="U169" s="64" t="str">
        <f t="shared" si="11"/>
        <v/>
      </c>
    </row>
    <row r="170" spans="20:26" x14ac:dyDescent="0.35">
      <c r="T170" s="64" t="str">
        <f t="shared" si="10"/>
        <v/>
      </c>
      <c r="U170" s="64" t="str">
        <f t="shared" si="11"/>
        <v/>
      </c>
    </row>
    <row r="171" spans="20:26" x14ac:dyDescent="0.35">
      <c r="T171" s="64" t="str">
        <f t="shared" si="10"/>
        <v/>
      </c>
      <c r="U171" s="64" t="str">
        <f t="shared" si="11"/>
        <v/>
      </c>
    </row>
    <row r="172" spans="20:26" x14ac:dyDescent="0.35">
      <c r="T172" s="64" t="str">
        <f t="shared" si="10"/>
        <v/>
      </c>
      <c r="U172" s="64" t="str">
        <f t="shared" si="11"/>
        <v/>
      </c>
    </row>
    <row r="173" spans="20:26" x14ac:dyDescent="0.35">
      <c r="T173" s="64" t="str">
        <f t="shared" si="10"/>
        <v/>
      </c>
      <c r="U173" s="64" t="str">
        <f t="shared" si="11"/>
        <v/>
      </c>
    </row>
    <row r="174" spans="20:26" x14ac:dyDescent="0.35">
      <c r="T174" s="64" t="str">
        <f t="shared" si="10"/>
        <v/>
      </c>
      <c r="U174" s="64" t="str">
        <f t="shared" si="11"/>
        <v/>
      </c>
    </row>
    <row r="175" spans="20:26" x14ac:dyDescent="0.35">
      <c r="T175" s="64" t="str">
        <f t="shared" si="10"/>
        <v/>
      </c>
      <c r="U175" s="64" t="str">
        <f t="shared" si="11"/>
        <v/>
      </c>
    </row>
    <row r="176" spans="20:26" x14ac:dyDescent="0.35">
      <c r="T176" s="64" t="str">
        <f t="shared" si="10"/>
        <v/>
      </c>
      <c r="U176" s="64" t="str">
        <f t="shared" si="11"/>
        <v/>
      </c>
    </row>
    <row r="177" spans="4:22" x14ac:dyDescent="0.35">
      <c r="T177" s="64" t="str">
        <f t="shared" si="10"/>
        <v/>
      </c>
      <c r="U177" s="64" t="str">
        <f t="shared" si="11"/>
        <v/>
      </c>
    </row>
    <row r="178" spans="4:22" x14ac:dyDescent="0.35">
      <c r="T178" s="64" t="str">
        <f t="shared" si="10"/>
        <v/>
      </c>
      <c r="U178" s="64" t="str">
        <f t="shared" si="11"/>
        <v/>
      </c>
    </row>
    <row r="179" spans="4:22" x14ac:dyDescent="0.35">
      <c r="T179" s="64" t="str">
        <f t="shared" si="10"/>
        <v/>
      </c>
      <c r="U179" s="64" t="str">
        <f t="shared" si="11"/>
        <v/>
      </c>
    </row>
    <row r="180" spans="4:22" x14ac:dyDescent="0.35">
      <c r="T180" s="64" t="str">
        <f t="shared" si="10"/>
        <v/>
      </c>
      <c r="U180" s="64" t="str">
        <f t="shared" si="11"/>
        <v/>
      </c>
    </row>
    <row r="181" spans="4:22" x14ac:dyDescent="0.35">
      <c r="T181" s="64" t="str">
        <f t="shared" si="10"/>
        <v/>
      </c>
      <c r="U181" s="64" t="str">
        <f t="shared" si="11"/>
        <v/>
      </c>
    </row>
    <row r="182" spans="4:22" x14ac:dyDescent="0.35">
      <c r="T182" s="64" t="str">
        <f t="shared" si="10"/>
        <v/>
      </c>
      <c r="U182" s="64" t="str">
        <f t="shared" si="11"/>
        <v/>
      </c>
    </row>
    <row r="183" spans="4:22" x14ac:dyDescent="0.35">
      <c r="T183" s="64" t="str">
        <f t="shared" si="10"/>
        <v/>
      </c>
      <c r="U183" s="64" t="str">
        <f t="shared" si="11"/>
        <v/>
      </c>
    </row>
    <row r="184" spans="4:22" x14ac:dyDescent="0.35">
      <c r="T184" s="64" t="str">
        <f t="shared" si="10"/>
        <v/>
      </c>
      <c r="U184" s="64" t="str">
        <f t="shared" si="11"/>
        <v/>
      </c>
    </row>
    <row r="185" spans="4:22" x14ac:dyDescent="0.35">
      <c r="T185" s="64" t="str">
        <f t="shared" si="10"/>
        <v/>
      </c>
      <c r="U185" s="64" t="str">
        <f t="shared" si="11"/>
        <v/>
      </c>
    </row>
    <row r="186" spans="4:22" x14ac:dyDescent="0.35">
      <c r="T186" s="64" t="str">
        <f t="shared" si="10"/>
        <v/>
      </c>
      <c r="U186" s="64" t="str">
        <f t="shared" si="11"/>
        <v/>
      </c>
    </row>
    <row r="187" spans="4:22" x14ac:dyDescent="0.35">
      <c r="T187" s="64" t="str">
        <f t="shared" si="10"/>
        <v/>
      </c>
      <c r="U187" s="64" t="str">
        <f t="shared" si="11"/>
        <v/>
      </c>
    </row>
    <row r="188" spans="4:22" x14ac:dyDescent="0.35">
      <c r="T188" s="64" t="str">
        <f t="shared" si="10"/>
        <v/>
      </c>
      <c r="U188" s="64" t="str">
        <f t="shared" si="11"/>
        <v/>
      </c>
      <c r="V188" s="422" t="str">
        <f>IF(OR(D188=0,D188="",D188="Athlete"),"",COUNTIF($D$4:$D188,D188))</f>
        <v/>
      </c>
    </row>
    <row r="189" spans="4:22" x14ac:dyDescent="0.35">
      <c r="T189" s="64" t="str">
        <f t="shared" si="10"/>
        <v/>
      </c>
      <c r="U189" s="64" t="str">
        <f t="shared" si="11"/>
        <v/>
      </c>
      <c r="V189" s="422" t="str">
        <f>IF(OR(D189=0,D189="",D189="Athlete"),"",COUNTIF($D$4:$D189,D189))</f>
        <v/>
      </c>
    </row>
    <row r="190" spans="4:22" x14ac:dyDescent="0.35">
      <c r="T190" s="64" t="str">
        <f t="shared" si="10"/>
        <v/>
      </c>
      <c r="U190" s="64" t="str">
        <f t="shared" si="11"/>
        <v/>
      </c>
      <c r="V190" s="422" t="str">
        <f>IF(OR(D190=0,D190="",D190="Athlete"),"",COUNTIF($D$4:$D190,D190))</f>
        <v/>
      </c>
    </row>
    <row r="191" spans="4:22" hidden="1" x14ac:dyDescent="0.35">
      <c r="D191" s="89" t="str">
        <f ca="1">K4</f>
        <v>SIGSWORTH Martha</v>
      </c>
      <c r="E191" s="89" t="str">
        <f ca="1">L4</f>
        <v>York</v>
      </c>
      <c r="T191" s="64">
        <f t="shared" ca="1" si="10"/>
        <v>2</v>
      </c>
      <c r="U191" s="64" t="str">
        <f t="shared" si="11"/>
        <v/>
      </c>
      <c r="V191" s="422">
        <f ca="1">IF(OR(D191=0,D191="",D191="Athlete"),"",COUNTIF($D$4:$D191,D191))</f>
        <v>2</v>
      </c>
    </row>
    <row r="192" spans="4:22" hidden="1" x14ac:dyDescent="0.35">
      <c r="D192" s="89" t="str">
        <f t="shared" ref="D192:E192" ca="1" si="14">K5</f>
        <v>SULLOCK Beth</v>
      </c>
      <c r="E192" s="89" t="str">
        <f t="shared" ca="1" si="14"/>
        <v>M'bro</v>
      </c>
      <c r="T192" s="64">
        <f t="shared" ca="1" si="10"/>
        <v>3</v>
      </c>
      <c r="U192" s="64" t="str">
        <f t="shared" si="11"/>
        <v/>
      </c>
      <c r="V192" s="422">
        <f ca="1">IF(OR(D192=0,D192="",D192="Athlete"),"",COUNTIF($D$4:$D192,D192))</f>
        <v>2</v>
      </c>
    </row>
    <row r="193" spans="4:22" hidden="1" x14ac:dyDescent="0.35">
      <c r="D193" s="89" t="str">
        <f t="shared" ref="D193:E193" ca="1" si="15">K6</f>
        <v>PELL Gracie</v>
      </c>
      <c r="E193" s="89" t="str">
        <f t="shared" ca="1" si="15"/>
        <v>C'field</v>
      </c>
      <c r="T193" s="64">
        <f t="shared" ca="1" si="10"/>
        <v>2</v>
      </c>
      <c r="U193" s="64" t="str">
        <f t="shared" si="11"/>
        <v/>
      </c>
      <c r="V193" s="422">
        <f ca="1">IF(OR(D193=0,D193="",D193="Athlete"),"",COUNTIF($D$4:$D193,D193))</f>
        <v>1</v>
      </c>
    </row>
    <row r="194" spans="4:22" hidden="1" x14ac:dyDescent="0.35">
      <c r="D194" s="89" t="str">
        <f t="shared" ref="D194:E194" ca="1" si="16">K7</f>
        <v>ROBERTS Eve</v>
      </c>
      <c r="E194" s="89" t="str">
        <f t="shared" ca="1" si="16"/>
        <v>Sheff+D</v>
      </c>
      <c r="T194" s="64">
        <f t="shared" ca="1" si="10"/>
        <v>3</v>
      </c>
      <c r="U194" s="64" t="str">
        <f t="shared" si="11"/>
        <v/>
      </c>
      <c r="V194" s="422">
        <f ca="1">IF(OR(D194=0,D194="",D194="Athlete"),"",COUNTIF($D$4:$D194,D194))</f>
        <v>3</v>
      </c>
    </row>
    <row r="195" spans="4:22" hidden="1" x14ac:dyDescent="0.35">
      <c r="D195" s="89" t="str">
        <f t="shared" ref="D195:E195" ca="1" si="17">K8</f>
        <v>ABDI Zulekha</v>
      </c>
      <c r="E195" s="89" t="str">
        <f t="shared" ca="1" si="17"/>
        <v>Scun</v>
      </c>
      <c r="T195" s="64">
        <f t="shared" ca="1" si="10"/>
        <v>2</v>
      </c>
      <c r="U195" s="64" t="str">
        <f t="shared" si="11"/>
        <v/>
      </c>
      <c r="V195" s="422">
        <f ca="1">IF(OR(D195=0,D195="",D195="Athlete"),"",COUNTIF($D$4:$D195,D195))</f>
        <v>2</v>
      </c>
    </row>
    <row r="196" spans="4:22" hidden="1" x14ac:dyDescent="0.35">
      <c r="D196" s="89" t="str">
        <f t="shared" ref="D196:E196" ca="1" si="18">K9</f>
        <v/>
      </c>
      <c r="E196" s="89" t="str">
        <f t="shared" ca="1" si="18"/>
        <v/>
      </c>
      <c r="T196" s="64" t="str">
        <f t="shared" ca="1" si="10"/>
        <v/>
      </c>
      <c r="U196" s="64" t="str">
        <f t="shared" si="11"/>
        <v/>
      </c>
      <c r="V196" s="422" t="str">
        <f ca="1">IF(OR(D196=0,D196="",D196="Athlete"),"",COUNTIF($D$4:$D196,D196))</f>
        <v/>
      </c>
    </row>
    <row r="197" spans="4:22" hidden="1" x14ac:dyDescent="0.35">
      <c r="D197" s="89" t="str">
        <f t="shared" ref="D197:E197" ca="1" si="19">K10</f>
        <v/>
      </c>
      <c r="E197" s="89" t="str">
        <f t="shared" ca="1" si="19"/>
        <v/>
      </c>
      <c r="T197" s="64" t="str">
        <f t="shared" ref="T197:T260" ca="1" si="20">IF(OR(D197=0,D197="",D197="Athlete"),"",COUNTIF($D$4:$D$352,D197))</f>
        <v/>
      </c>
      <c r="U197" s="64" t="str">
        <f t="shared" ref="U197:U260" si="21">IF(OR(K197=0,K197="",K197="Athlete"),"",COUNTIF($D$4:$D$352,K197))</f>
        <v/>
      </c>
      <c r="V197" s="422" t="str">
        <f ca="1">IF(OR(D197=0,D197="",D197="Athlete"),"",COUNTIF($D$4:$D197,D197))</f>
        <v/>
      </c>
    </row>
    <row r="198" spans="4:22" hidden="1" x14ac:dyDescent="0.35">
      <c r="D198" s="89" t="str">
        <f t="shared" ref="D198:E198" ca="1" si="22">K11</f>
        <v/>
      </c>
      <c r="E198" s="89" t="str">
        <f t="shared" ca="1" si="22"/>
        <v/>
      </c>
      <c r="T198" s="64" t="str">
        <f t="shared" ca="1" si="20"/>
        <v/>
      </c>
      <c r="U198" s="64" t="str">
        <f t="shared" si="21"/>
        <v/>
      </c>
      <c r="V198" s="422" t="str">
        <f ca="1">IF(OR(D198=0,D198="",D198="Athlete"),"",COUNTIF($D$4:$D198,D198))</f>
        <v/>
      </c>
    </row>
    <row r="199" spans="4:22" hidden="1" x14ac:dyDescent="0.35">
      <c r="D199" s="89">
        <f t="shared" ref="D199:E199" si="23">K12</f>
        <v>0</v>
      </c>
      <c r="E199" s="89">
        <f t="shared" si="23"/>
        <v>0</v>
      </c>
      <c r="T199" s="64" t="str">
        <f t="shared" si="20"/>
        <v/>
      </c>
      <c r="U199" s="64" t="str">
        <f t="shared" si="21"/>
        <v/>
      </c>
      <c r="V199" s="422" t="str">
        <f>IF(OR(D199=0,D199="",D199="Athlete"),"",COUNTIF($D$4:$D199,D199))</f>
        <v/>
      </c>
    </row>
    <row r="200" spans="4:22" hidden="1" x14ac:dyDescent="0.35">
      <c r="D200" s="89">
        <f t="shared" ref="D200:E200" si="24">K13</f>
        <v>0</v>
      </c>
      <c r="E200" s="89" t="str">
        <f t="shared" si="24"/>
        <v>Wind</v>
      </c>
      <c r="T200" s="64" t="str">
        <f t="shared" si="20"/>
        <v/>
      </c>
      <c r="U200" s="64" t="str">
        <f t="shared" si="21"/>
        <v/>
      </c>
      <c r="V200" s="422" t="str">
        <f>IF(OR(D200=0,D200="",D200="Athlete"),"",COUNTIF($D$4:$D200,D200))</f>
        <v/>
      </c>
    </row>
    <row r="201" spans="4:22" hidden="1" x14ac:dyDescent="0.35">
      <c r="D201" s="89" t="str">
        <f t="shared" ref="D201:E201" ca="1" si="25">K14</f>
        <v>Athlete</v>
      </c>
      <c r="E201" s="89" t="str">
        <f t="shared" ca="1" si="25"/>
        <v>Club</v>
      </c>
      <c r="T201" s="64" t="str">
        <f t="shared" ca="1" si="20"/>
        <v/>
      </c>
      <c r="U201" s="64" t="str">
        <f t="shared" si="21"/>
        <v/>
      </c>
      <c r="V201" s="422" t="str">
        <f ca="1">IF(OR(D201=0,D201="",D201="Athlete"),"",COUNTIF($D$4:$D201,D201))</f>
        <v/>
      </c>
    </row>
    <row r="202" spans="4:22" hidden="1" x14ac:dyDescent="0.35">
      <c r="D202" s="89" t="str">
        <f t="shared" ref="D202:E202" ca="1" si="26">K15</f>
        <v/>
      </c>
      <c r="E202" s="89" t="str">
        <f t="shared" ca="1" si="26"/>
        <v/>
      </c>
      <c r="T202" s="64" t="str">
        <f t="shared" ca="1" si="20"/>
        <v/>
      </c>
      <c r="U202" s="64" t="str">
        <f t="shared" si="21"/>
        <v/>
      </c>
      <c r="V202" s="422" t="str">
        <f ca="1">IF(OR(D202=0,D202="",D202="Athlete"),"",COUNTIF($D$4:$D202,D202))</f>
        <v/>
      </c>
    </row>
    <row r="203" spans="4:22" hidden="1" x14ac:dyDescent="0.35">
      <c r="D203" s="89" t="str">
        <f t="shared" ref="D203:E203" ca="1" si="27">K16</f>
        <v/>
      </c>
      <c r="E203" s="89" t="str">
        <f t="shared" ca="1" si="27"/>
        <v/>
      </c>
      <c r="T203" s="64" t="str">
        <f t="shared" ca="1" si="20"/>
        <v/>
      </c>
      <c r="U203" s="64" t="str">
        <f t="shared" si="21"/>
        <v/>
      </c>
      <c r="V203" s="422" t="str">
        <f ca="1">IF(OR(D203=0,D203="",D203="Athlete"),"",COUNTIF($D$4:$D203,D203))</f>
        <v/>
      </c>
    </row>
    <row r="204" spans="4:22" hidden="1" x14ac:dyDescent="0.35">
      <c r="D204" s="89" t="str">
        <f t="shared" ref="D204:E204" ca="1" si="28">K17</f>
        <v/>
      </c>
      <c r="E204" s="89" t="str">
        <f t="shared" ca="1" si="28"/>
        <v/>
      </c>
      <c r="T204" s="64" t="str">
        <f t="shared" ca="1" si="20"/>
        <v/>
      </c>
      <c r="U204" s="64" t="str">
        <f t="shared" si="21"/>
        <v/>
      </c>
      <c r="V204" s="422" t="str">
        <f ca="1">IF(OR(D204=0,D204="",D204="Athlete"),"",COUNTIF($D$4:$D204,D204))</f>
        <v/>
      </c>
    </row>
    <row r="205" spans="4:22" hidden="1" x14ac:dyDescent="0.35">
      <c r="D205" s="89" t="str">
        <f t="shared" ref="D205:E205" ca="1" si="29">K18</f>
        <v/>
      </c>
      <c r="E205" s="89" t="str">
        <f t="shared" ca="1" si="29"/>
        <v/>
      </c>
      <c r="T205" s="64" t="str">
        <f t="shared" ca="1" si="20"/>
        <v/>
      </c>
      <c r="U205" s="64" t="str">
        <f t="shared" si="21"/>
        <v/>
      </c>
      <c r="V205" s="422" t="str">
        <f ca="1">IF(OR(D205=0,D205="",D205="Athlete"),"",COUNTIF($D$4:$D205,D205))</f>
        <v/>
      </c>
    </row>
    <row r="206" spans="4:22" hidden="1" x14ac:dyDescent="0.35">
      <c r="D206" s="89" t="str">
        <f t="shared" ref="D206:E206" ca="1" si="30">K19</f>
        <v/>
      </c>
      <c r="E206" s="89" t="str">
        <f t="shared" ca="1" si="30"/>
        <v/>
      </c>
      <c r="T206" s="64" t="str">
        <f t="shared" ca="1" si="20"/>
        <v/>
      </c>
      <c r="U206" s="64" t="str">
        <f t="shared" si="21"/>
        <v/>
      </c>
      <c r="V206" s="422" t="str">
        <f ca="1">IF(OR(D206=0,D206="",D206="Athlete"),"",COUNTIF($D$4:$D206,D206))</f>
        <v/>
      </c>
    </row>
    <row r="207" spans="4:22" hidden="1" x14ac:dyDescent="0.35">
      <c r="D207" s="89" t="str">
        <f t="shared" ref="D207:E207" ca="1" si="31">K20</f>
        <v/>
      </c>
      <c r="E207" s="89" t="str">
        <f t="shared" ca="1" si="31"/>
        <v/>
      </c>
      <c r="T207" s="64" t="str">
        <f t="shared" ca="1" si="20"/>
        <v/>
      </c>
      <c r="U207" s="64" t="str">
        <f t="shared" si="21"/>
        <v/>
      </c>
      <c r="V207" s="422" t="str">
        <f ca="1">IF(OR(D207=0,D207="",D207="Athlete"),"",COUNTIF($D$4:$D207,D207))</f>
        <v/>
      </c>
    </row>
    <row r="208" spans="4:22" hidden="1" x14ac:dyDescent="0.35">
      <c r="D208" s="89" t="str">
        <f t="shared" ref="D208:E208" ca="1" si="32">K21</f>
        <v/>
      </c>
      <c r="E208" s="89" t="str">
        <f t="shared" ca="1" si="32"/>
        <v/>
      </c>
      <c r="T208" s="64" t="str">
        <f t="shared" ca="1" si="20"/>
        <v/>
      </c>
      <c r="U208" s="64" t="str">
        <f t="shared" si="21"/>
        <v/>
      </c>
      <c r="V208" s="422" t="str">
        <f ca="1">IF(OR(D208=0,D208="",D208="Athlete"),"",COUNTIF($D$4:$D208,D208))</f>
        <v/>
      </c>
    </row>
    <row r="209" spans="4:22" hidden="1" x14ac:dyDescent="0.35">
      <c r="D209" s="89" t="str">
        <f t="shared" ref="D209:E209" ca="1" si="33">K22</f>
        <v/>
      </c>
      <c r="E209" s="89" t="str">
        <f t="shared" ca="1" si="33"/>
        <v/>
      </c>
      <c r="T209" s="64" t="str">
        <f t="shared" ca="1" si="20"/>
        <v/>
      </c>
      <c r="U209" s="64" t="str">
        <f t="shared" si="21"/>
        <v/>
      </c>
      <c r="V209" s="422" t="str">
        <f ca="1">IF(OR(D209=0,D209="",D209="Athlete"),"",COUNTIF($D$4:$D209,D209))</f>
        <v/>
      </c>
    </row>
    <row r="210" spans="4:22" hidden="1" x14ac:dyDescent="0.35">
      <c r="D210" s="89">
        <f t="shared" ref="D210:E210" si="34">K23</f>
        <v>0</v>
      </c>
      <c r="E210" s="89">
        <f t="shared" si="34"/>
        <v>0</v>
      </c>
      <c r="T210" s="64" t="str">
        <f t="shared" si="20"/>
        <v/>
      </c>
      <c r="U210" s="64" t="str">
        <f t="shared" si="21"/>
        <v/>
      </c>
      <c r="V210" s="422" t="str">
        <f>IF(OR(D210=0,D210="",D210="Athlete"),"",COUNTIF($D$4:$D210,D210))</f>
        <v/>
      </c>
    </row>
    <row r="211" spans="4:22" hidden="1" x14ac:dyDescent="0.35">
      <c r="D211" s="89">
        <f t="shared" ref="D211:E211" si="35">K24</f>
        <v>0</v>
      </c>
      <c r="E211" s="89" t="str">
        <f t="shared" si="35"/>
        <v>Wind</v>
      </c>
      <c r="T211" s="64" t="str">
        <f t="shared" si="20"/>
        <v/>
      </c>
      <c r="U211" s="64" t="str">
        <f t="shared" si="21"/>
        <v/>
      </c>
      <c r="V211" s="422" t="str">
        <f>IF(OR(D211=0,D211="",D211="Athlete"),"",COUNTIF($D$4:$D211,D211))</f>
        <v/>
      </c>
    </row>
    <row r="212" spans="4:22" hidden="1" x14ac:dyDescent="0.35">
      <c r="D212" s="89" t="str">
        <f t="shared" ref="D212:E212" ca="1" si="36">K25</f>
        <v>Athlete</v>
      </c>
      <c r="E212" s="89" t="str">
        <f t="shared" ca="1" si="36"/>
        <v>Club</v>
      </c>
      <c r="T212" s="64" t="str">
        <f t="shared" ca="1" si="20"/>
        <v/>
      </c>
      <c r="U212" s="64" t="str">
        <f t="shared" si="21"/>
        <v/>
      </c>
      <c r="V212" s="422" t="str">
        <f ca="1">IF(OR(D212=0,D212="",D212="Athlete"),"",COUNTIF($D$4:$D212,D212))</f>
        <v/>
      </c>
    </row>
    <row r="213" spans="4:22" hidden="1" x14ac:dyDescent="0.35">
      <c r="D213" s="89" t="str">
        <f t="shared" ref="D213:E213" ca="1" si="37">K26</f>
        <v>HARTLEY Eleanor</v>
      </c>
      <c r="E213" s="89" t="str">
        <f t="shared" ca="1" si="37"/>
        <v>Sheff+D</v>
      </c>
      <c r="T213" s="64">
        <f t="shared" ca="1" si="20"/>
        <v>3</v>
      </c>
      <c r="U213" s="64" t="str">
        <f t="shared" si="21"/>
        <v/>
      </c>
      <c r="V213" s="422">
        <f ca="1">IF(OR(D213=0,D213="",D213="Athlete"),"",COUNTIF($D$4:$D213,D213))</f>
        <v>2</v>
      </c>
    </row>
    <row r="214" spans="4:22" hidden="1" x14ac:dyDescent="0.35">
      <c r="D214" s="89" t="str">
        <f t="shared" ref="D214:E214" ca="1" si="38">K27</f>
        <v>SEDGWICK Emma</v>
      </c>
      <c r="E214" s="89" t="str">
        <f t="shared" ca="1" si="38"/>
        <v>M'bro</v>
      </c>
      <c r="T214" s="64">
        <f t="shared" ca="1" si="20"/>
        <v>3</v>
      </c>
      <c r="U214" s="64" t="str">
        <f t="shared" si="21"/>
        <v/>
      </c>
      <c r="V214" s="422">
        <f ca="1">IF(OR(D214=0,D214="",D214="Athlete"),"",COUNTIF($D$4:$D214,D214))</f>
        <v>3</v>
      </c>
    </row>
    <row r="215" spans="4:22" hidden="1" x14ac:dyDescent="0.35">
      <c r="D215" s="89" t="str">
        <f t="shared" ref="D215:E215" ca="1" si="39">K28</f>
        <v>BIRCH Louisa</v>
      </c>
      <c r="E215" s="89" t="str">
        <f t="shared" ca="1" si="39"/>
        <v>York</v>
      </c>
      <c r="T215" s="64">
        <f t="shared" ca="1" si="20"/>
        <v>1</v>
      </c>
      <c r="U215" s="64" t="str">
        <f t="shared" si="21"/>
        <v/>
      </c>
      <c r="V215" s="422">
        <f ca="1">IF(OR(D215=0,D215="",D215="Athlete"),"",COUNTIF($D$4:$D215,D215))</f>
        <v>1</v>
      </c>
    </row>
    <row r="216" spans="4:22" hidden="1" x14ac:dyDescent="0.35">
      <c r="D216" s="89" t="str">
        <f t="shared" ref="D216:E216" ca="1" si="40">K29</f>
        <v>SAS Evelyn</v>
      </c>
      <c r="E216" s="89" t="str">
        <f t="shared" ca="1" si="40"/>
        <v>C'field</v>
      </c>
      <c r="T216" s="64">
        <f t="shared" ca="1" si="20"/>
        <v>1</v>
      </c>
      <c r="U216" s="64" t="str">
        <f t="shared" si="21"/>
        <v/>
      </c>
      <c r="V216" s="422">
        <f ca="1">IF(OR(D216=0,D216="",D216="Athlete"),"",COUNTIF($D$4:$D216,D216))</f>
        <v>1</v>
      </c>
    </row>
    <row r="217" spans="4:22" hidden="1" x14ac:dyDescent="0.35">
      <c r="D217" s="89" t="str">
        <f t="shared" ref="D217:E217" ca="1" si="41">K30</f>
        <v>HAYES Zara</v>
      </c>
      <c r="E217" s="89" t="str">
        <f t="shared" ca="1" si="41"/>
        <v>Scun</v>
      </c>
      <c r="T217" s="64">
        <f t="shared" ca="1" si="20"/>
        <v>3</v>
      </c>
      <c r="U217" s="64" t="str">
        <f t="shared" si="21"/>
        <v/>
      </c>
      <c r="V217" s="422">
        <f ca="1">IF(OR(D217=0,D217="",D217="Athlete"),"",COUNTIF($D$4:$D217,D217))</f>
        <v>2</v>
      </c>
    </row>
    <row r="218" spans="4:22" hidden="1" x14ac:dyDescent="0.35">
      <c r="D218" s="89" t="str">
        <f t="shared" ref="D218:E218" ca="1" si="42">K31</f>
        <v/>
      </c>
      <c r="E218" s="89" t="str">
        <f t="shared" ca="1" si="42"/>
        <v/>
      </c>
      <c r="T218" s="64" t="str">
        <f t="shared" ca="1" si="20"/>
        <v/>
      </c>
      <c r="U218" s="64" t="str">
        <f t="shared" si="21"/>
        <v/>
      </c>
      <c r="V218" s="422" t="str">
        <f ca="1">IF(OR(D218=0,D218="",D218="Athlete"),"",COUNTIF($D$4:$D218,D218))</f>
        <v/>
      </c>
    </row>
    <row r="219" spans="4:22" hidden="1" x14ac:dyDescent="0.35">
      <c r="D219" s="89" t="str">
        <f t="shared" ref="D219:E219" ca="1" si="43">K32</f>
        <v/>
      </c>
      <c r="E219" s="89" t="str">
        <f t="shared" ca="1" si="43"/>
        <v/>
      </c>
      <c r="T219" s="64" t="str">
        <f t="shared" ca="1" si="20"/>
        <v/>
      </c>
      <c r="U219" s="64" t="str">
        <f t="shared" si="21"/>
        <v/>
      </c>
      <c r="V219" s="422" t="str">
        <f ca="1">IF(OR(D219=0,D219="",D219="Athlete"),"",COUNTIF($D$4:$D219,D219))</f>
        <v/>
      </c>
    </row>
    <row r="220" spans="4:22" hidden="1" x14ac:dyDescent="0.35">
      <c r="D220" s="89" t="str">
        <f t="shared" ref="D220:E220" ca="1" si="44">K33</f>
        <v/>
      </c>
      <c r="E220" s="89" t="str">
        <f t="shared" ca="1" si="44"/>
        <v/>
      </c>
      <c r="T220" s="64" t="str">
        <f t="shared" ca="1" si="20"/>
        <v/>
      </c>
      <c r="U220" s="64" t="str">
        <f t="shared" si="21"/>
        <v/>
      </c>
      <c r="V220" s="422" t="str">
        <f ca="1">IF(OR(D220=0,D220="",D220="Athlete"),"",COUNTIF($D$4:$D220,D220))</f>
        <v/>
      </c>
    </row>
    <row r="221" spans="4:22" hidden="1" x14ac:dyDescent="0.35">
      <c r="D221" s="89">
        <f t="shared" ref="D221:E221" si="45">K34</f>
        <v>0</v>
      </c>
      <c r="E221" s="89">
        <f t="shared" si="45"/>
        <v>0</v>
      </c>
      <c r="T221" s="64" t="str">
        <f t="shared" si="20"/>
        <v/>
      </c>
      <c r="U221" s="64" t="str">
        <f t="shared" si="21"/>
        <v/>
      </c>
      <c r="V221" s="422" t="str">
        <f>IF(OR(D221=0,D221="",D221="Athlete"),"",COUNTIF($D$4:$D221,D221))</f>
        <v/>
      </c>
    </row>
    <row r="222" spans="4:22" hidden="1" x14ac:dyDescent="0.35">
      <c r="D222" s="89">
        <f t="shared" ref="D222:E222" si="46">K35</f>
        <v>0</v>
      </c>
      <c r="E222" s="89">
        <f t="shared" si="46"/>
        <v>0</v>
      </c>
      <c r="T222" s="64" t="str">
        <f t="shared" si="20"/>
        <v/>
      </c>
      <c r="U222" s="64" t="str">
        <f t="shared" si="21"/>
        <v/>
      </c>
      <c r="V222" s="422" t="str">
        <f>IF(OR(D222=0,D222="",D222="Athlete"),"",COUNTIF($D$4:$D222,D222))</f>
        <v/>
      </c>
    </row>
    <row r="223" spans="4:22" hidden="1" x14ac:dyDescent="0.35">
      <c r="D223" s="89" t="str">
        <f t="shared" ref="D223:E223" ca="1" si="47">K36</f>
        <v>Athlete</v>
      </c>
      <c r="E223" s="89" t="str">
        <f t="shared" ca="1" si="47"/>
        <v>Club</v>
      </c>
      <c r="T223" s="64" t="str">
        <f t="shared" ca="1" si="20"/>
        <v/>
      </c>
      <c r="U223" s="64" t="str">
        <f t="shared" si="21"/>
        <v/>
      </c>
      <c r="V223" s="422" t="str">
        <f ca="1">IF(OR(D223=0,D223="",D223="Athlete"),"",COUNTIF($D$4:$D223,D223))</f>
        <v/>
      </c>
    </row>
    <row r="224" spans="4:22" hidden="1" x14ac:dyDescent="0.35">
      <c r="D224" s="89" t="str">
        <f t="shared" ref="D224:E224" ca="1" si="48">K37</f>
        <v>BROOKS Laura</v>
      </c>
      <c r="E224" s="89" t="str">
        <f t="shared" ca="1" si="48"/>
        <v>York</v>
      </c>
      <c r="T224" s="64">
        <f t="shared" ca="1" si="20"/>
        <v>1</v>
      </c>
      <c r="U224" s="64" t="str">
        <f t="shared" si="21"/>
        <v/>
      </c>
      <c r="V224" s="422">
        <f ca="1">IF(OR(D224=0,D224="",D224="Athlete"),"",COUNTIF($D$4:$D224,D224))</f>
        <v>1</v>
      </c>
    </row>
    <row r="225" spans="4:22" hidden="1" x14ac:dyDescent="0.35">
      <c r="D225" s="89" t="str">
        <f t="shared" ref="D225:E225" ca="1" si="49">K38</f>
        <v>PELL Gracie</v>
      </c>
      <c r="E225" s="89" t="str">
        <f t="shared" ca="1" si="49"/>
        <v>C'field</v>
      </c>
      <c r="T225" s="64">
        <f t="shared" ca="1" si="20"/>
        <v>2</v>
      </c>
      <c r="U225" s="64" t="str">
        <f t="shared" si="21"/>
        <v/>
      </c>
      <c r="V225" s="422">
        <f ca="1">IF(OR(D225=0,D225="",D225="Athlete"),"",COUNTIF($D$4:$D225,D225))</f>
        <v>2</v>
      </c>
    </row>
    <row r="226" spans="4:22" hidden="1" x14ac:dyDescent="0.35">
      <c r="D226" s="89" t="str">
        <f t="shared" ref="D226:E226" ca="1" si="50">K39</f>
        <v/>
      </c>
      <c r="E226" s="89" t="str">
        <f t="shared" ca="1" si="50"/>
        <v/>
      </c>
      <c r="T226" s="64" t="str">
        <f t="shared" ca="1" si="20"/>
        <v/>
      </c>
      <c r="U226" s="64" t="str">
        <f t="shared" si="21"/>
        <v/>
      </c>
      <c r="V226" s="422" t="str">
        <f ca="1">IF(OR(D226=0,D226="",D226="Athlete"),"",COUNTIF($D$4:$D226,D226))</f>
        <v/>
      </c>
    </row>
    <row r="227" spans="4:22" hidden="1" x14ac:dyDescent="0.35">
      <c r="D227" s="89" t="str">
        <f t="shared" ref="D227:E227" ca="1" si="51">K40</f>
        <v/>
      </c>
      <c r="E227" s="89" t="str">
        <f t="shared" ca="1" si="51"/>
        <v/>
      </c>
      <c r="T227" s="64" t="str">
        <f t="shared" ca="1" si="20"/>
        <v/>
      </c>
      <c r="U227" s="64" t="str">
        <f t="shared" si="21"/>
        <v/>
      </c>
      <c r="V227" s="422" t="str">
        <f ca="1">IF(OR(D227=0,D227="",D227="Athlete"),"",COUNTIF($D$4:$D227,D227))</f>
        <v/>
      </c>
    </row>
    <row r="228" spans="4:22" hidden="1" x14ac:dyDescent="0.35">
      <c r="D228" s="89" t="str">
        <f t="shared" ref="D228:E228" ca="1" si="52">K41</f>
        <v/>
      </c>
      <c r="E228" s="89" t="str">
        <f t="shared" ca="1" si="52"/>
        <v/>
      </c>
      <c r="T228" s="64" t="str">
        <f t="shared" ca="1" si="20"/>
        <v/>
      </c>
      <c r="U228" s="64" t="str">
        <f t="shared" si="21"/>
        <v/>
      </c>
      <c r="V228" s="422" t="str">
        <f ca="1">IF(OR(D228=0,D228="",D228="Athlete"),"",COUNTIF($D$4:$D228,D228))</f>
        <v/>
      </c>
    </row>
    <row r="229" spans="4:22" hidden="1" x14ac:dyDescent="0.35">
      <c r="D229" s="89" t="str">
        <f t="shared" ref="D229:E229" ca="1" si="53">K42</f>
        <v/>
      </c>
      <c r="E229" s="89" t="str">
        <f t="shared" ca="1" si="53"/>
        <v/>
      </c>
      <c r="T229" s="64" t="str">
        <f t="shared" ca="1" si="20"/>
        <v/>
      </c>
      <c r="U229" s="64" t="str">
        <f t="shared" si="21"/>
        <v/>
      </c>
      <c r="V229" s="422" t="str">
        <f ca="1">IF(OR(D229=0,D229="",D229="Athlete"),"",COUNTIF($D$4:$D229,D229))</f>
        <v/>
      </c>
    </row>
    <row r="230" spans="4:22" hidden="1" x14ac:dyDescent="0.35">
      <c r="D230" s="89" t="str">
        <f t="shared" ref="D230:E230" ca="1" si="54">K43</f>
        <v/>
      </c>
      <c r="E230" s="89" t="str">
        <f t="shared" ca="1" si="54"/>
        <v/>
      </c>
      <c r="T230" s="64" t="str">
        <f t="shared" ca="1" si="20"/>
        <v/>
      </c>
      <c r="U230" s="64" t="str">
        <f t="shared" si="21"/>
        <v/>
      </c>
      <c r="V230" s="422" t="str">
        <f ca="1">IF(OR(D230=0,D230="",D230="Athlete"),"",COUNTIF($D$4:$D230,D230))</f>
        <v/>
      </c>
    </row>
    <row r="231" spans="4:22" hidden="1" x14ac:dyDescent="0.35">
      <c r="D231" s="89" t="str">
        <f t="shared" ref="D231:E231" ca="1" si="55">K44</f>
        <v/>
      </c>
      <c r="E231" s="89" t="str">
        <f t="shared" ca="1" si="55"/>
        <v/>
      </c>
      <c r="T231" s="64" t="str">
        <f t="shared" ca="1" si="20"/>
        <v/>
      </c>
      <c r="U231" s="64" t="str">
        <f t="shared" si="21"/>
        <v/>
      </c>
      <c r="V231" s="422" t="str">
        <f ca="1">IF(OR(D231=0,D231="",D231="Athlete"),"",COUNTIF($D$4:$D231,D231))</f>
        <v/>
      </c>
    </row>
    <row r="232" spans="4:22" hidden="1" x14ac:dyDescent="0.35">
      <c r="D232" s="89">
        <f t="shared" ref="D232:E232" si="56">K45</f>
        <v>0</v>
      </c>
      <c r="E232" s="89">
        <f t="shared" si="56"/>
        <v>0</v>
      </c>
      <c r="T232" s="64" t="str">
        <f t="shared" si="20"/>
        <v/>
      </c>
      <c r="U232" s="64" t="str">
        <f t="shared" si="21"/>
        <v/>
      </c>
      <c r="V232" s="422" t="str">
        <f>IF(OR(D232=0,D232="",D232="Athlete"),"",COUNTIF($D$4:$D232,D232))</f>
        <v/>
      </c>
    </row>
    <row r="233" spans="4:22" hidden="1" x14ac:dyDescent="0.35">
      <c r="D233" s="89">
        <f t="shared" ref="D233:E233" si="57">K46</f>
        <v>0</v>
      </c>
      <c r="E233" s="89">
        <f t="shared" si="57"/>
        <v>0</v>
      </c>
      <c r="T233" s="64" t="str">
        <f t="shared" si="20"/>
        <v/>
      </c>
      <c r="U233" s="64" t="str">
        <f t="shared" si="21"/>
        <v/>
      </c>
      <c r="V233" s="422" t="str">
        <f>IF(OR(D233=0,D233="",D233="Athlete"),"",COUNTIF($D$4:$D233,D233))</f>
        <v/>
      </c>
    </row>
    <row r="234" spans="4:22" hidden="1" x14ac:dyDescent="0.35">
      <c r="D234" s="89" t="str">
        <f t="shared" ref="D234:E234" ca="1" si="58">K47</f>
        <v>Athlete</v>
      </c>
      <c r="E234" s="89" t="str">
        <f t="shared" ca="1" si="58"/>
        <v>Club</v>
      </c>
      <c r="T234" s="64" t="str">
        <f t="shared" ca="1" si="20"/>
        <v/>
      </c>
      <c r="U234" s="64" t="str">
        <f t="shared" si="21"/>
        <v/>
      </c>
      <c r="V234" s="422" t="str">
        <f ca="1">IF(OR(D234=0,D234="",D234="Athlete"),"",COUNTIF($D$4:$D234,D234))</f>
        <v/>
      </c>
    </row>
    <row r="235" spans="4:22" hidden="1" x14ac:dyDescent="0.35">
      <c r="D235" s="89" t="str">
        <f t="shared" ref="D235:E235" ca="1" si="59">K48</f>
        <v/>
      </c>
      <c r="E235" s="89" t="str">
        <f t="shared" ca="1" si="59"/>
        <v/>
      </c>
      <c r="T235" s="64" t="str">
        <f t="shared" ca="1" si="20"/>
        <v/>
      </c>
      <c r="U235" s="64" t="str">
        <f t="shared" si="21"/>
        <v/>
      </c>
      <c r="V235" s="422" t="str">
        <f ca="1">IF(OR(D235=0,D235="",D235="Athlete"),"",COUNTIF($D$4:$D235,D235))</f>
        <v/>
      </c>
    </row>
    <row r="236" spans="4:22" hidden="1" x14ac:dyDescent="0.35">
      <c r="D236" s="89" t="str">
        <f t="shared" ref="D236:E236" ca="1" si="60">K49</f>
        <v/>
      </c>
      <c r="E236" s="89" t="str">
        <f t="shared" ca="1" si="60"/>
        <v/>
      </c>
      <c r="T236" s="64" t="str">
        <f t="shared" ca="1" si="20"/>
        <v/>
      </c>
      <c r="U236" s="64" t="str">
        <f t="shared" si="21"/>
        <v/>
      </c>
      <c r="V236" s="422" t="str">
        <f ca="1">IF(OR(D236=0,D236="",D236="Athlete"),"",COUNTIF($D$4:$D236,D236))</f>
        <v/>
      </c>
    </row>
    <row r="237" spans="4:22" hidden="1" x14ac:dyDescent="0.35">
      <c r="D237" s="89" t="str">
        <f t="shared" ref="D237:E237" ca="1" si="61">K50</f>
        <v/>
      </c>
      <c r="E237" s="89" t="str">
        <f t="shared" ca="1" si="61"/>
        <v/>
      </c>
      <c r="T237" s="64" t="str">
        <f t="shared" ca="1" si="20"/>
        <v/>
      </c>
      <c r="U237" s="64" t="str">
        <f t="shared" si="21"/>
        <v/>
      </c>
      <c r="V237" s="422" t="str">
        <f ca="1">IF(OR(D237=0,D237="",D237="Athlete"),"",COUNTIF($D$4:$D237,D237))</f>
        <v/>
      </c>
    </row>
    <row r="238" spans="4:22" hidden="1" x14ac:dyDescent="0.35">
      <c r="D238" s="89" t="str">
        <f t="shared" ref="D238:E238" ca="1" si="62">K51</f>
        <v/>
      </c>
      <c r="E238" s="89" t="str">
        <f t="shared" ca="1" si="62"/>
        <v/>
      </c>
      <c r="T238" s="64" t="str">
        <f t="shared" ca="1" si="20"/>
        <v/>
      </c>
      <c r="U238" s="64" t="str">
        <f t="shared" si="21"/>
        <v/>
      </c>
      <c r="V238" s="422" t="str">
        <f ca="1">IF(OR(D238=0,D238="",D238="Athlete"),"",COUNTIF($D$4:$D238,D238))</f>
        <v/>
      </c>
    </row>
    <row r="239" spans="4:22" hidden="1" x14ac:dyDescent="0.35">
      <c r="D239" s="89" t="str">
        <f t="shared" ref="D239:E239" ca="1" si="63">K52</f>
        <v/>
      </c>
      <c r="E239" s="89" t="str">
        <f t="shared" ca="1" si="63"/>
        <v/>
      </c>
      <c r="T239" s="64" t="str">
        <f t="shared" ca="1" si="20"/>
        <v/>
      </c>
      <c r="U239" s="64" t="str">
        <f t="shared" si="21"/>
        <v/>
      </c>
      <c r="V239" s="422" t="str">
        <f ca="1">IF(OR(D239=0,D239="",D239="Athlete"),"",COUNTIF($D$4:$D239,D239))</f>
        <v/>
      </c>
    </row>
    <row r="240" spans="4:22" hidden="1" x14ac:dyDescent="0.35">
      <c r="D240" s="89" t="str">
        <f t="shared" ref="D240:E240" ca="1" si="64">K53</f>
        <v/>
      </c>
      <c r="E240" s="89" t="str">
        <f t="shared" ca="1" si="64"/>
        <v/>
      </c>
      <c r="T240" s="64" t="str">
        <f t="shared" ca="1" si="20"/>
        <v/>
      </c>
      <c r="U240" s="64" t="str">
        <f t="shared" si="21"/>
        <v/>
      </c>
      <c r="V240" s="422" t="str">
        <f ca="1">IF(OR(D240=0,D240="",D240="Athlete"),"",COUNTIF($D$4:$D240,D240))</f>
        <v/>
      </c>
    </row>
    <row r="241" spans="4:22" hidden="1" x14ac:dyDescent="0.35">
      <c r="D241" s="89" t="str">
        <f t="shared" ref="D241:E241" ca="1" si="65">K54</f>
        <v/>
      </c>
      <c r="E241" s="89" t="str">
        <f t="shared" ca="1" si="65"/>
        <v/>
      </c>
      <c r="T241" s="64" t="str">
        <f t="shared" ca="1" si="20"/>
        <v/>
      </c>
      <c r="U241" s="64" t="str">
        <f t="shared" si="21"/>
        <v/>
      </c>
      <c r="V241" s="422" t="str">
        <f ca="1">IF(OR(D241=0,D241="",D241="Athlete"),"",COUNTIF($D$4:$D241,D241))</f>
        <v/>
      </c>
    </row>
    <row r="242" spans="4:22" hidden="1" x14ac:dyDescent="0.35">
      <c r="D242" s="89" t="str">
        <f t="shared" ref="D242:E242" ca="1" si="66">K55</f>
        <v/>
      </c>
      <c r="E242" s="89" t="str">
        <f t="shared" ca="1" si="66"/>
        <v/>
      </c>
      <c r="T242" s="64" t="str">
        <f t="shared" ca="1" si="20"/>
        <v/>
      </c>
      <c r="U242" s="64" t="str">
        <f t="shared" si="21"/>
        <v/>
      </c>
      <c r="V242" s="422" t="str">
        <f ca="1">IF(OR(D242=0,D242="",D242="Athlete"),"",COUNTIF($D$4:$D242,D242))</f>
        <v/>
      </c>
    </row>
    <row r="243" spans="4:22" hidden="1" x14ac:dyDescent="0.35">
      <c r="D243" s="89">
        <f t="shared" ref="D243:E243" si="67">K56</f>
        <v>0</v>
      </c>
      <c r="E243" s="89">
        <f t="shared" si="67"/>
        <v>0</v>
      </c>
      <c r="T243" s="64" t="str">
        <f t="shared" si="20"/>
        <v/>
      </c>
      <c r="U243" s="64" t="str">
        <f t="shared" si="21"/>
        <v/>
      </c>
      <c r="V243" s="422" t="str">
        <f>IF(OR(D243=0,D243="",D243="Athlete"),"",COUNTIF($D$4:$D243,D243))</f>
        <v/>
      </c>
    </row>
    <row r="244" spans="4:22" hidden="1" x14ac:dyDescent="0.35">
      <c r="D244" s="89">
        <f t="shared" ref="D244:E244" si="68">K57</f>
        <v>0</v>
      </c>
      <c r="E244" s="89">
        <f t="shared" si="68"/>
        <v>0</v>
      </c>
      <c r="T244" s="64" t="str">
        <f t="shared" si="20"/>
        <v/>
      </c>
      <c r="U244" s="64" t="str">
        <f t="shared" si="21"/>
        <v/>
      </c>
      <c r="V244" s="422" t="str">
        <f>IF(OR(D244=0,D244="",D244="Athlete"),"",COUNTIF($D$4:$D244,D244))</f>
        <v/>
      </c>
    </row>
    <row r="245" spans="4:22" hidden="1" x14ac:dyDescent="0.35">
      <c r="D245" s="89" t="str">
        <f t="shared" ref="D245:E245" ca="1" si="69">K58</f>
        <v>Athlete</v>
      </c>
      <c r="E245" s="89" t="str">
        <f t="shared" ca="1" si="69"/>
        <v>Club</v>
      </c>
      <c r="T245" s="64" t="str">
        <f t="shared" ca="1" si="20"/>
        <v/>
      </c>
      <c r="U245" s="64" t="str">
        <f t="shared" si="21"/>
        <v/>
      </c>
      <c r="V245" s="422" t="str">
        <f ca="1">IF(OR(D245=0,D245="",D245="Athlete"),"",COUNTIF($D$4:$D245,D245))</f>
        <v/>
      </c>
    </row>
    <row r="246" spans="4:22" hidden="1" x14ac:dyDescent="0.35">
      <c r="D246" s="89" t="str">
        <f t="shared" ref="D246:E246" ca="1" si="70">K59</f>
        <v>KENNEDY Amy</v>
      </c>
      <c r="E246" s="89" t="str">
        <f t="shared" ca="1" si="70"/>
        <v>York</v>
      </c>
      <c r="T246" s="64">
        <f t="shared" ca="1" si="20"/>
        <v>1</v>
      </c>
      <c r="U246" s="64" t="str">
        <f t="shared" si="21"/>
        <v/>
      </c>
      <c r="V246" s="422">
        <f ca="1">IF(OR(D246=0,D246="",D246="Athlete"),"",COUNTIF($D$4:$D246,D246))</f>
        <v>1</v>
      </c>
    </row>
    <row r="247" spans="4:22" hidden="1" x14ac:dyDescent="0.35">
      <c r="D247" s="89" t="str">
        <f t="shared" ref="D247:E247" ca="1" si="71">K60</f>
        <v>GRIFFIN Lydia</v>
      </c>
      <c r="E247" s="89" t="str">
        <f t="shared" ca="1" si="71"/>
        <v>C'field</v>
      </c>
      <c r="T247" s="64">
        <f t="shared" ca="1" si="20"/>
        <v>2</v>
      </c>
      <c r="U247" s="64" t="str">
        <f t="shared" si="21"/>
        <v/>
      </c>
      <c r="V247" s="422">
        <f ca="1">IF(OR(D247=0,D247="",D247="Athlete"),"",COUNTIF($D$4:$D247,D247))</f>
        <v>2</v>
      </c>
    </row>
    <row r="248" spans="4:22" hidden="1" x14ac:dyDescent="0.35">
      <c r="D248" s="89" t="str">
        <f t="shared" ref="D248:E248" ca="1" si="72">K61</f>
        <v/>
      </c>
      <c r="E248" s="89" t="str">
        <f t="shared" ca="1" si="72"/>
        <v/>
      </c>
      <c r="T248" s="64" t="str">
        <f t="shared" ca="1" si="20"/>
        <v/>
      </c>
      <c r="U248" s="64" t="str">
        <f t="shared" si="21"/>
        <v/>
      </c>
      <c r="V248" s="422" t="str">
        <f ca="1">IF(OR(D248=0,D248="",D248="Athlete"),"",COUNTIF($D$4:$D248,D248))</f>
        <v/>
      </c>
    </row>
    <row r="249" spans="4:22" hidden="1" x14ac:dyDescent="0.35">
      <c r="D249" s="89" t="str">
        <f t="shared" ref="D249:E249" ca="1" si="73">K62</f>
        <v/>
      </c>
      <c r="E249" s="89" t="str">
        <f t="shared" ca="1" si="73"/>
        <v/>
      </c>
      <c r="T249" s="64" t="str">
        <f t="shared" ca="1" si="20"/>
        <v/>
      </c>
      <c r="U249" s="64" t="str">
        <f t="shared" si="21"/>
        <v/>
      </c>
      <c r="V249" s="422" t="str">
        <f ca="1">IF(OR(D249=0,D249="",D249="Athlete"),"",COUNTIF($D$4:$D249,D249))</f>
        <v/>
      </c>
    </row>
    <row r="250" spans="4:22" hidden="1" x14ac:dyDescent="0.35">
      <c r="D250" s="89" t="str">
        <f t="shared" ref="D250:E250" ca="1" si="74">K63</f>
        <v/>
      </c>
      <c r="E250" s="89" t="str">
        <f t="shared" ca="1" si="74"/>
        <v/>
      </c>
      <c r="T250" s="64" t="str">
        <f t="shared" ca="1" si="20"/>
        <v/>
      </c>
      <c r="U250" s="64" t="str">
        <f t="shared" si="21"/>
        <v/>
      </c>
      <c r="V250" s="422" t="str">
        <f ca="1">IF(OR(D250=0,D250="",D250="Athlete"),"",COUNTIF($D$4:$D250,D250))</f>
        <v/>
      </c>
    </row>
    <row r="251" spans="4:22" hidden="1" x14ac:dyDescent="0.35">
      <c r="D251" s="89" t="str">
        <f t="shared" ref="D251:E251" ca="1" si="75">K64</f>
        <v/>
      </c>
      <c r="E251" s="89" t="str">
        <f t="shared" ca="1" si="75"/>
        <v/>
      </c>
      <c r="T251" s="64" t="str">
        <f t="shared" ca="1" si="20"/>
        <v/>
      </c>
      <c r="U251" s="64" t="str">
        <f t="shared" si="21"/>
        <v/>
      </c>
      <c r="V251" s="422" t="str">
        <f ca="1">IF(OR(D251=0,D251="",D251="Athlete"),"",COUNTIF($D$4:$D251,D251))</f>
        <v/>
      </c>
    </row>
    <row r="252" spans="4:22" hidden="1" x14ac:dyDescent="0.35">
      <c r="D252" s="89" t="str">
        <f t="shared" ref="D252:E252" ca="1" si="76">K65</f>
        <v/>
      </c>
      <c r="E252" s="89" t="str">
        <f t="shared" ca="1" si="76"/>
        <v/>
      </c>
      <c r="T252" s="64" t="str">
        <f t="shared" ca="1" si="20"/>
        <v/>
      </c>
      <c r="U252" s="64" t="str">
        <f t="shared" si="21"/>
        <v/>
      </c>
      <c r="V252" s="422" t="str">
        <f ca="1">IF(OR(D252=0,D252="",D252="Athlete"),"",COUNTIF($D$4:$D252,D252))</f>
        <v/>
      </c>
    </row>
    <row r="253" spans="4:22" hidden="1" x14ac:dyDescent="0.35">
      <c r="D253" s="89" t="str">
        <f t="shared" ref="D253:E253" ca="1" si="77">K66</f>
        <v/>
      </c>
      <c r="E253" s="89" t="str">
        <f t="shared" ca="1" si="77"/>
        <v/>
      </c>
      <c r="T253" s="64" t="str">
        <f t="shared" ca="1" si="20"/>
        <v/>
      </c>
      <c r="U253" s="64" t="str">
        <f t="shared" si="21"/>
        <v/>
      </c>
      <c r="V253" s="422" t="str">
        <f ca="1">IF(OR(D253=0,D253="",D253="Athlete"),"",COUNTIF($D$4:$D253,D253))</f>
        <v/>
      </c>
    </row>
    <row r="254" spans="4:22" hidden="1" x14ac:dyDescent="0.35">
      <c r="D254" s="89">
        <f t="shared" ref="D254:E254" si="78">K67</f>
        <v>0</v>
      </c>
      <c r="E254" s="89">
        <f t="shared" si="78"/>
        <v>0</v>
      </c>
      <c r="T254" s="64" t="str">
        <f t="shared" si="20"/>
        <v/>
      </c>
      <c r="U254" s="64" t="str">
        <f t="shared" si="21"/>
        <v/>
      </c>
      <c r="V254" s="422" t="str">
        <f>IF(OR(D254=0,D254="",D254="Athlete"),"",COUNTIF($D$4:$D254,D254))</f>
        <v/>
      </c>
    </row>
    <row r="255" spans="4:22" hidden="1" x14ac:dyDescent="0.35">
      <c r="D255" s="89">
        <f t="shared" ref="D255:E255" si="79">K68</f>
        <v>0</v>
      </c>
      <c r="E255" s="89" t="str">
        <f t="shared" si="79"/>
        <v>Wind</v>
      </c>
      <c r="T255" s="64" t="str">
        <f t="shared" si="20"/>
        <v/>
      </c>
      <c r="U255" s="64" t="str">
        <f t="shared" si="21"/>
        <v/>
      </c>
      <c r="V255" s="422" t="str">
        <f>IF(OR(D255=0,D255="",D255="Athlete"),"",COUNTIF($D$4:$D255,D255))</f>
        <v/>
      </c>
    </row>
    <row r="256" spans="4:22" hidden="1" x14ac:dyDescent="0.35">
      <c r="D256" s="89" t="str">
        <f t="shared" ref="D256:E256" ca="1" si="80">K69</f>
        <v>Athlete</v>
      </c>
      <c r="E256" s="89" t="str">
        <f t="shared" ca="1" si="80"/>
        <v>Club</v>
      </c>
      <c r="T256" s="64" t="str">
        <f t="shared" ca="1" si="20"/>
        <v/>
      </c>
      <c r="U256" s="64" t="str">
        <f t="shared" si="21"/>
        <v/>
      </c>
      <c r="V256" s="422" t="str">
        <f ca="1">IF(OR(D256=0,D256="",D256="Athlete"),"",COUNTIF($D$4:$D256,D256))</f>
        <v/>
      </c>
    </row>
    <row r="257" spans="4:22" hidden="1" x14ac:dyDescent="0.35">
      <c r="D257" s="89" t="str">
        <f t="shared" ref="D257:E257" ca="1" si="81">K70</f>
        <v>GREEN-HEMMINGS Grace</v>
      </c>
      <c r="E257" s="89" t="str">
        <f t="shared" ca="1" si="81"/>
        <v>York</v>
      </c>
      <c r="T257" s="64">
        <f t="shared" ca="1" si="20"/>
        <v>1</v>
      </c>
      <c r="U257" s="64" t="str">
        <f t="shared" si="21"/>
        <v/>
      </c>
      <c r="V257" s="422">
        <f ca="1">IF(OR(D257=0,D257="",D257="Athlete"),"",COUNTIF($D$4:$D257,D257))</f>
        <v>1</v>
      </c>
    </row>
    <row r="258" spans="4:22" hidden="1" x14ac:dyDescent="0.35">
      <c r="D258" s="89" t="str">
        <f t="shared" ref="D258:E258" ca="1" si="82">K71</f>
        <v>HALL Lottie</v>
      </c>
      <c r="E258" s="89" t="str">
        <f t="shared" ca="1" si="82"/>
        <v>C'field</v>
      </c>
      <c r="T258" s="64">
        <f t="shared" ca="1" si="20"/>
        <v>3</v>
      </c>
      <c r="U258" s="64" t="str">
        <f t="shared" si="21"/>
        <v/>
      </c>
      <c r="V258" s="422">
        <f ca="1">IF(OR(D258=0,D258="",D258="Athlete"),"",COUNTIF($D$4:$D258,D258))</f>
        <v>1</v>
      </c>
    </row>
    <row r="259" spans="4:22" hidden="1" x14ac:dyDescent="0.35">
      <c r="D259" s="89" t="str">
        <f t="shared" ref="D259:E259" ca="1" si="83">K72</f>
        <v/>
      </c>
      <c r="E259" s="89" t="str">
        <f t="shared" ca="1" si="83"/>
        <v/>
      </c>
      <c r="T259" s="64" t="str">
        <f t="shared" ca="1" si="20"/>
        <v/>
      </c>
      <c r="U259" s="64" t="str">
        <f t="shared" si="21"/>
        <v/>
      </c>
      <c r="V259" s="422" t="str">
        <f ca="1">IF(OR(D259=0,D259="",D259="Athlete"),"",COUNTIF($D$4:$D259,D259))</f>
        <v/>
      </c>
    </row>
    <row r="260" spans="4:22" hidden="1" x14ac:dyDescent="0.35">
      <c r="D260" s="89" t="str">
        <f t="shared" ref="D260:E260" ca="1" si="84">K73</f>
        <v/>
      </c>
      <c r="E260" s="89" t="str">
        <f t="shared" ca="1" si="84"/>
        <v/>
      </c>
      <c r="T260" s="64" t="str">
        <f t="shared" ca="1" si="20"/>
        <v/>
      </c>
      <c r="U260" s="64" t="str">
        <f t="shared" si="21"/>
        <v/>
      </c>
      <c r="V260" s="422" t="str">
        <f ca="1">IF(OR(D260=0,D260="",D260="Athlete"),"",COUNTIF($D$4:$D260,D260))</f>
        <v/>
      </c>
    </row>
    <row r="261" spans="4:22" hidden="1" x14ac:dyDescent="0.35">
      <c r="D261" s="89" t="str">
        <f t="shared" ref="D261:E261" ca="1" si="85">K74</f>
        <v/>
      </c>
      <c r="E261" s="89" t="str">
        <f t="shared" ca="1" si="85"/>
        <v/>
      </c>
      <c r="T261" s="64" t="str">
        <f t="shared" ref="T261:T324" ca="1" si="86">IF(OR(D261=0,D261="",D261="Athlete"),"",COUNTIF($D$4:$D$352,D261))</f>
        <v/>
      </c>
      <c r="U261" s="64" t="str">
        <f t="shared" ref="U261:U324" si="87">IF(OR(K261=0,K261="",K261="Athlete"),"",COUNTIF($D$4:$D$352,K261))</f>
        <v/>
      </c>
      <c r="V261" s="422" t="str">
        <f ca="1">IF(OR(D261=0,D261="",D261="Athlete"),"",COUNTIF($D$4:$D261,D261))</f>
        <v/>
      </c>
    </row>
    <row r="262" spans="4:22" hidden="1" x14ac:dyDescent="0.35">
      <c r="D262" s="89" t="str">
        <f t="shared" ref="D262:E262" ca="1" si="88">K75</f>
        <v/>
      </c>
      <c r="E262" s="89" t="str">
        <f t="shared" ca="1" si="88"/>
        <v/>
      </c>
      <c r="T262" s="64" t="str">
        <f t="shared" ca="1" si="86"/>
        <v/>
      </c>
      <c r="U262" s="64" t="str">
        <f t="shared" si="87"/>
        <v/>
      </c>
      <c r="V262" s="422" t="str">
        <f ca="1">IF(OR(D262=0,D262="",D262="Athlete"),"",COUNTIF($D$4:$D262,D262))</f>
        <v/>
      </c>
    </row>
    <row r="263" spans="4:22" hidden="1" x14ac:dyDescent="0.35">
      <c r="D263" s="89" t="str">
        <f t="shared" ref="D263:E263" ca="1" si="89">K76</f>
        <v/>
      </c>
      <c r="E263" s="89" t="str">
        <f t="shared" ca="1" si="89"/>
        <v/>
      </c>
      <c r="T263" s="64" t="str">
        <f t="shared" ca="1" si="86"/>
        <v/>
      </c>
      <c r="U263" s="64" t="str">
        <f t="shared" si="87"/>
        <v/>
      </c>
      <c r="V263" s="422" t="str">
        <f ca="1">IF(OR(D263=0,D263="",D263="Athlete"),"",COUNTIF($D$4:$D263,D263))</f>
        <v/>
      </c>
    </row>
    <row r="264" spans="4:22" hidden="1" x14ac:dyDescent="0.35">
      <c r="D264" s="89" t="str">
        <f t="shared" ref="D264:E264" ca="1" si="90">K77</f>
        <v/>
      </c>
      <c r="E264" s="89" t="str">
        <f t="shared" ca="1" si="90"/>
        <v/>
      </c>
      <c r="T264" s="64" t="str">
        <f t="shared" ca="1" si="86"/>
        <v/>
      </c>
      <c r="U264" s="64" t="str">
        <f t="shared" si="87"/>
        <v/>
      </c>
      <c r="V264" s="422" t="str">
        <f ca="1">IF(OR(D264=0,D264="",D264="Athlete"),"",COUNTIF($D$4:$D264,D264))</f>
        <v/>
      </c>
    </row>
    <row r="265" spans="4:22" hidden="1" x14ac:dyDescent="0.35">
      <c r="D265" s="89">
        <f t="shared" ref="D265:E265" si="91">K78</f>
        <v>0</v>
      </c>
      <c r="E265" s="89">
        <f t="shared" si="91"/>
        <v>0</v>
      </c>
      <c r="T265" s="64" t="str">
        <f t="shared" si="86"/>
        <v/>
      </c>
      <c r="U265" s="64" t="str">
        <f t="shared" si="87"/>
        <v/>
      </c>
      <c r="V265" s="422" t="str">
        <f>IF(OR(D265=0,D265="",D265="Athlete"),"",COUNTIF($D$4:$D265,D265))</f>
        <v/>
      </c>
    </row>
    <row r="266" spans="4:22" hidden="1" x14ac:dyDescent="0.35">
      <c r="D266" s="89">
        <f t="shared" ref="D266:E266" si="92">K79</f>
        <v>0</v>
      </c>
      <c r="E266" s="89">
        <f t="shared" si="92"/>
        <v>0</v>
      </c>
      <c r="T266" s="64" t="str">
        <f t="shared" si="86"/>
        <v/>
      </c>
      <c r="U266" s="64" t="str">
        <f t="shared" si="87"/>
        <v/>
      </c>
      <c r="V266" s="422" t="str">
        <f>IF(OR(D266=0,D266="",D266="Athlete"),"",COUNTIF($D$4:$D266,D266))</f>
        <v/>
      </c>
    </row>
    <row r="267" spans="4:22" hidden="1" x14ac:dyDescent="0.35">
      <c r="D267" s="89" t="str">
        <f t="shared" ref="D267:E267" ca="1" si="93">K80</f>
        <v>Athlete</v>
      </c>
      <c r="E267" s="89" t="str">
        <f t="shared" ca="1" si="93"/>
        <v>Club</v>
      </c>
      <c r="T267" s="64" t="str">
        <f t="shared" ca="1" si="86"/>
        <v/>
      </c>
      <c r="U267" s="64" t="str">
        <f t="shared" si="87"/>
        <v/>
      </c>
      <c r="V267" s="422" t="str">
        <f ca="1">IF(OR(D267=0,D267="",D267="Athlete"),"",COUNTIF($D$4:$D267,D267))</f>
        <v/>
      </c>
    </row>
    <row r="268" spans="4:22" hidden="1" x14ac:dyDescent="0.35">
      <c r="D268" s="89" t="str">
        <f t="shared" ref="D268:E268" ca="1" si="94">K81</f>
        <v>WRIGHT Ella</v>
      </c>
      <c r="E268" s="89" t="str">
        <f t="shared" ca="1" si="94"/>
        <v>York</v>
      </c>
      <c r="T268" s="64">
        <f t="shared" ca="1" si="86"/>
        <v>3</v>
      </c>
      <c r="U268" s="64" t="str">
        <f t="shared" si="87"/>
        <v/>
      </c>
      <c r="V268" s="422">
        <f ca="1">IF(OR(D268=0,D268="",D268="Athlete"),"",COUNTIF($D$4:$D268,D268))</f>
        <v>1</v>
      </c>
    </row>
    <row r="269" spans="4:22" hidden="1" x14ac:dyDescent="0.35">
      <c r="D269" s="89" t="str">
        <f t="shared" ref="D269:E269" ca="1" si="95">K82</f>
        <v>HUMPHREYS Melissa</v>
      </c>
      <c r="E269" s="89" t="str">
        <f t="shared" ca="1" si="95"/>
        <v>C'field</v>
      </c>
      <c r="T269" s="64">
        <f t="shared" ca="1" si="86"/>
        <v>3</v>
      </c>
      <c r="U269" s="64" t="str">
        <f t="shared" si="87"/>
        <v/>
      </c>
      <c r="V269" s="422">
        <f ca="1">IF(OR(D269=0,D269="",D269="Athlete"),"",COUNTIF($D$4:$D269,D269))</f>
        <v>2</v>
      </c>
    </row>
    <row r="270" spans="4:22" hidden="1" x14ac:dyDescent="0.35">
      <c r="D270" s="89" t="str">
        <f t="shared" ref="D270:E270" ca="1" si="96">K83</f>
        <v>SULLOCK Beth</v>
      </c>
      <c r="E270" s="89" t="str">
        <f t="shared" ca="1" si="96"/>
        <v>M'bro</v>
      </c>
      <c r="T270" s="64">
        <f t="shared" ca="1" si="86"/>
        <v>3</v>
      </c>
      <c r="U270" s="64" t="str">
        <f t="shared" si="87"/>
        <v/>
      </c>
      <c r="V270" s="422">
        <f ca="1">IF(OR(D270=0,D270="",D270="Athlete"),"",COUNTIF($D$4:$D270,D270))</f>
        <v>3</v>
      </c>
    </row>
    <row r="271" spans="4:22" hidden="1" x14ac:dyDescent="0.35">
      <c r="D271" s="89" t="str">
        <f t="shared" ref="D271:E271" ca="1" si="97">K84</f>
        <v>COOPER Amy</v>
      </c>
      <c r="E271" s="89" t="str">
        <f t="shared" ca="1" si="97"/>
        <v>Sheff+D</v>
      </c>
      <c r="T271" s="64">
        <f t="shared" ca="1" si="86"/>
        <v>2</v>
      </c>
      <c r="U271" s="64" t="str">
        <f t="shared" si="87"/>
        <v/>
      </c>
      <c r="V271" s="422">
        <f ca="1">IF(OR(D271=0,D271="",D271="Athlete"),"",COUNTIF($D$4:$D271,D271))</f>
        <v>2</v>
      </c>
    </row>
    <row r="272" spans="4:22" hidden="1" x14ac:dyDescent="0.35">
      <c r="D272" s="89" t="str">
        <f t="shared" ref="D272:E272" ca="1" si="98">K85</f>
        <v>HAYES Zara</v>
      </c>
      <c r="E272" s="89" t="str">
        <f t="shared" ca="1" si="98"/>
        <v>Scun</v>
      </c>
      <c r="T272" s="64">
        <f t="shared" ca="1" si="86"/>
        <v>3</v>
      </c>
      <c r="U272" s="64" t="str">
        <f t="shared" si="87"/>
        <v/>
      </c>
      <c r="V272" s="422">
        <f ca="1">IF(OR(D272=0,D272="",D272="Athlete"),"",COUNTIF($D$4:$D272,D272))</f>
        <v>3</v>
      </c>
    </row>
    <row r="273" spans="4:22" hidden="1" x14ac:dyDescent="0.35">
      <c r="D273" s="89" t="str">
        <f t="shared" ref="D273:E273" ca="1" si="99">K86</f>
        <v/>
      </c>
      <c r="E273" s="89" t="str">
        <f t="shared" ca="1" si="99"/>
        <v/>
      </c>
      <c r="T273" s="64" t="str">
        <f t="shared" ca="1" si="86"/>
        <v/>
      </c>
      <c r="U273" s="64" t="str">
        <f t="shared" si="87"/>
        <v/>
      </c>
      <c r="V273" s="422" t="str">
        <f ca="1">IF(OR(D273=0,D273="",D273="Athlete"),"",COUNTIF($D$4:$D273,D273))</f>
        <v/>
      </c>
    </row>
    <row r="274" spans="4:22" hidden="1" x14ac:dyDescent="0.35">
      <c r="D274" s="89" t="str">
        <f t="shared" ref="D274:E274" ca="1" si="100">K87</f>
        <v/>
      </c>
      <c r="E274" s="89" t="str">
        <f t="shared" ca="1" si="100"/>
        <v/>
      </c>
      <c r="T274" s="64" t="str">
        <f t="shared" ca="1" si="86"/>
        <v/>
      </c>
      <c r="U274" s="64" t="str">
        <f t="shared" si="87"/>
        <v/>
      </c>
      <c r="V274" s="422" t="str">
        <f ca="1">IF(OR(D274=0,D274="",D274="Athlete"),"",COUNTIF($D$4:$D274,D274))</f>
        <v/>
      </c>
    </row>
    <row r="275" spans="4:22" hidden="1" x14ac:dyDescent="0.35">
      <c r="D275" s="89" t="str">
        <f t="shared" ref="D275:E275" ca="1" si="101">K88</f>
        <v/>
      </c>
      <c r="E275" s="89" t="str">
        <f t="shared" ca="1" si="101"/>
        <v/>
      </c>
      <c r="T275" s="64" t="str">
        <f t="shared" ca="1" si="86"/>
        <v/>
      </c>
      <c r="U275" s="64" t="str">
        <f t="shared" si="87"/>
        <v/>
      </c>
      <c r="V275" s="422" t="str">
        <f ca="1">IF(OR(D275=0,D275="",D275="Athlete"),"",COUNTIF($D$4:$D275,D275))</f>
        <v/>
      </c>
    </row>
    <row r="276" spans="4:22" hidden="1" x14ac:dyDescent="0.35">
      <c r="D276" s="89">
        <f t="shared" ref="D276:E276" si="102">K89</f>
        <v>0</v>
      </c>
      <c r="E276" s="89">
        <f t="shared" si="102"/>
        <v>0</v>
      </c>
      <c r="T276" s="64" t="str">
        <f t="shared" si="86"/>
        <v/>
      </c>
      <c r="U276" s="64" t="str">
        <f t="shared" si="87"/>
        <v/>
      </c>
      <c r="V276" s="422" t="str">
        <f>IF(OR(D276=0,D276="",D276="Athlete"),"",COUNTIF($D$4:$D276,D276))</f>
        <v/>
      </c>
    </row>
    <row r="277" spans="4:22" hidden="1" x14ac:dyDescent="0.35">
      <c r="D277" s="89">
        <f t="shared" ref="D277:E277" si="103">K90</f>
        <v>0</v>
      </c>
      <c r="E277" s="89">
        <f t="shared" si="103"/>
        <v>0</v>
      </c>
      <c r="T277" s="64" t="str">
        <f t="shared" si="86"/>
        <v/>
      </c>
      <c r="U277" s="64" t="str">
        <f t="shared" si="87"/>
        <v/>
      </c>
      <c r="V277" s="422" t="str">
        <f>IF(OR(D277=0,D277="",D277="Athlete"),"",COUNTIF($D$4:$D277,D277))</f>
        <v/>
      </c>
    </row>
    <row r="278" spans="4:22" hidden="1" x14ac:dyDescent="0.35">
      <c r="D278" s="89" t="str">
        <f t="shared" ref="D278:E278" ca="1" si="104">K91</f>
        <v>Athlete</v>
      </c>
      <c r="E278" s="89" t="str">
        <f t="shared" ca="1" si="104"/>
        <v>Club</v>
      </c>
      <c r="T278" s="64" t="str">
        <f t="shared" ca="1" si="86"/>
        <v/>
      </c>
      <c r="U278" s="64" t="str">
        <f t="shared" si="87"/>
        <v/>
      </c>
      <c r="V278" s="422" t="str">
        <f ca="1">IF(OR(D278=0,D278="",D278="Athlete"),"",COUNTIF($D$4:$D278,D278))</f>
        <v/>
      </c>
    </row>
    <row r="279" spans="4:22" hidden="1" x14ac:dyDescent="0.35">
      <c r="D279" s="89" t="str">
        <f t="shared" ref="D279:E279" ca="1" si="105">K92</f>
        <v>CLAGUE Kathryn</v>
      </c>
      <c r="E279" s="89" t="str">
        <f t="shared" ca="1" si="105"/>
        <v>York</v>
      </c>
      <c r="T279" s="64">
        <f t="shared" ca="1" si="86"/>
        <v>3</v>
      </c>
      <c r="U279" s="64" t="str">
        <f t="shared" si="87"/>
        <v/>
      </c>
      <c r="V279" s="422">
        <f ca="1">IF(OR(D279=0,D279="",D279="Athlete"),"",COUNTIF($D$4:$D279,D279))</f>
        <v>3</v>
      </c>
    </row>
    <row r="280" spans="4:22" hidden="1" x14ac:dyDescent="0.35">
      <c r="D280" s="89" t="str">
        <f t="shared" ref="D280:E280" ca="1" si="106">K93</f>
        <v>HUMPHREYS Melissa</v>
      </c>
      <c r="E280" s="89" t="str">
        <f t="shared" ca="1" si="106"/>
        <v>C'field</v>
      </c>
      <c r="T280" s="64">
        <f t="shared" ca="1" si="86"/>
        <v>3</v>
      </c>
      <c r="U280" s="64" t="str">
        <f t="shared" si="87"/>
        <v/>
      </c>
      <c r="V280" s="422">
        <f ca="1">IF(OR(D280=0,D280="",D280="Athlete"),"",COUNTIF($D$4:$D280,D280))</f>
        <v>3</v>
      </c>
    </row>
    <row r="281" spans="4:22" hidden="1" x14ac:dyDescent="0.35">
      <c r="D281" s="89" t="str">
        <f t="shared" ref="D281:E281" ca="1" si="107">K94</f>
        <v>HARTLEY Eleanor</v>
      </c>
      <c r="E281" s="89" t="str">
        <f t="shared" ca="1" si="107"/>
        <v>Sheff+D</v>
      </c>
      <c r="T281" s="64">
        <f t="shared" ca="1" si="86"/>
        <v>3</v>
      </c>
      <c r="U281" s="64" t="str">
        <f t="shared" si="87"/>
        <v/>
      </c>
      <c r="V281" s="422">
        <f ca="1">IF(OR(D281=0,D281="",D281="Athlete"),"",COUNTIF($D$4:$D281,D281))</f>
        <v>3</v>
      </c>
    </row>
    <row r="282" spans="4:22" hidden="1" x14ac:dyDescent="0.35">
      <c r="D282" s="89" t="str">
        <f t="shared" ref="D282:E282" ca="1" si="108">K95</f>
        <v/>
      </c>
      <c r="E282" s="89" t="str">
        <f t="shared" ca="1" si="108"/>
        <v/>
      </c>
      <c r="T282" s="64" t="str">
        <f t="shared" ca="1" si="86"/>
        <v/>
      </c>
      <c r="U282" s="64" t="str">
        <f t="shared" si="87"/>
        <v/>
      </c>
      <c r="V282" s="422" t="str">
        <f ca="1">IF(OR(D282=0,D282="",D282="Athlete"),"",COUNTIF($D$4:$D282,D282))</f>
        <v/>
      </c>
    </row>
    <row r="283" spans="4:22" hidden="1" x14ac:dyDescent="0.35">
      <c r="D283" s="89" t="str">
        <f t="shared" ref="D283:E283" ca="1" si="109">K96</f>
        <v/>
      </c>
      <c r="E283" s="89" t="str">
        <f t="shared" ca="1" si="109"/>
        <v/>
      </c>
      <c r="T283" s="64" t="str">
        <f t="shared" ca="1" si="86"/>
        <v/>
      </c>
      <c r="U283" s="64" t="str">
        <f t="shared" si="87"/>
        <v/>
      </c>
      <c r="V283" s="422" t="str">
        <f ca="1">IF(OR(D283=0,D283="",D283="Athlete"),"",COUNTIF($D$4:$D283,D283))</f>
        <v/>
      </c>
    </row>
    <row r="284" spans="4:22" hidden="1" x14ac:dyDescent="0.35">
      <c r="D284" s="89" t="str">
        <f t="shared" ref="D284:E284" ca="1" si="110">K97</f>
        <v/>
      </c>
      <c r="E284" s="89" t="str">
        <f t="shared" ca="1" si="110"/>
        <v/>
      </c>
      <c r="T284" s="64" t="str">
        <f t="shared" ca="1" si="86"/>
        <v/>
      </c>
      <c r="U284" s="64" t="str">
        <f t="shared" si="87"/>
        <v/>
      </c>
      <c r="V284" s="422" t="str">
        <f ca="1">IF(OR(D284=0,D284="",D284="Athlete"),"",COUNTIF($D$4:$D284,D284))</f>
        <v/>
      </c>
    </row>
    <row r="285" spans="4:22" hidden="1" x14ac:dyDescent="0.35">
      <c r="D285" s="89" t="str">
        <f t="shared" ref="D285:E285" ca="1" si="111">K98</f>
        <v/>
      </c>
      <c r="E285" s="89" t="str">
        <f t="shared" ca="1" si="111"/>
        <v/>
      </c>
      <c r="T285" s="64" t="str">
        <f t="shared" ca="1" si="86"/>
        <v/>
      </c>
      <c r="U285" s="64" t="str">
        <f t="shared" si="87"/>
        <v/>
      </c>
      <c r="V285" s="422" t="str">
        <f ca="1">IF(OR(D285=0,D285="",D285="Athlete"),"",COUNTIF($D$4:$D285,D285))</f>
        <v/>
      </c>
    </row>
    <row r="286" spans="4:22" hidden="1" x14ac:dyDescent="0.35">
      <c r="D286" s="89" t="str">
        <f t="shared" ref="D286:E286" ca="1" si="112">K99</f>
        <v/>
      </c>
      <c r="E286" s="89" t="str">
        <f t="shared" ca="1" si="112"/>
        <v/>
      </c>
      <c r="T286" s="64" t="str">
        <f t="shared" ca="1" si="86"/>
        <v/>
      </c>
      <c r="U286" s="64" t="str">
        <f t="shared" si="87"/>
        <v/>
      </c>
      <c r="V286" s="422" t="str">
        <f ca="1">IF(OR(D286=0,D286="",D286="Athlete"),"",COUNTIF($D$4:$D286,D286))</f>
        <v/>
      </c>
    </row>
    <row r="287" spans="4:22" hidden="1" x14ac:dyDescent="0.35">
      <c r="D287" s="89">
        <f t="shared" ref="D287:E287" si="113">K100</f>
        <v>0</v>
      </c>
      <c r="E287" s="89">
        <f t="shared" si="113"/>
        <v>0</v>
      </c>
      <c r="T287" s="64" t="str">
        <f t="shared" si="86"/>
        <v/>
      </c>
      <c r="U287" s="64" t="str">
        <f t="shared" si="87"/>
        <v/>
      </c>
      <c r="V287" s="422" t="str">
        <f>IF(OR(D287=0,D287="",D287="Athlete"),"",COUNTIF($D$4:$D287,D287))</f>
        <v/>
      </c>
    </row>
    <row r="288" spans="4:22" hidden="1" x14ac:dyDescent="0.35">
      <c r="D288" s="89">
        <f t="shared" ref="D288:E288" si="114">K101</f>
        <v>0</v>
      </c>
      <c r="E288" s="89">
        <f t="shared" si="114"/>
        <v>0</v>
      </c>
      <c r="T288" s="64" t="str">
        <f t="shared" si="86"/>
        <v/>
      </c>
      <c r="U288" s="64" t="str">
        <f t="shared" si="87"/>
        <v/>
      </c>
      <c r="V288" s="422" t="str">
        <f>IF(OR(D288=0,D288="",D288="Athlete"),"",COUNTIF($D$4:$D288,D288))</f>
        <v/>
      </c>
    </row>
    <row r="289" spans="4:22" hidden="1" x14ac:dyDescent="0.35">
      <c r="D289" s="89" t="str">
        <f t="shared" ref="D289:E289" ca="1" si="115">K102</f>
        <v>Athlete</v>
      </c>
      <c r="E289" s="89" t="str">
        <f t="shared" ca="1" si="115"/>
        <v>Club</v>
      </c>
      <c r="T289" s="64" t="str">
        <f t="shared" ca="1" si="86"/>
        <v/>
      </c>
      <c r="U289" s="64" t="str">
        <f t="shared" si="87"/>
        <v/>
      </c>
      <c r="V289" s="422" t="str">
        <f ca="1">IF(OR(D289=0,D289="",D289="Athlete"),"",COUNTIF($D$4:$D289,D289))</f>
        <v/>
      </c>
    </row>
    <row r="290" spans="4:22" hidden="1" x14ac:dyDescent="0.35">
      <c r="D290" s="89" t="str">
        <f t="shared" ref="D290:E290" ca="1" si="116">K103</f>
        <v>WRIGHT Ella</v>
      </c>
      <c r="E290" s="89" t="str">
        <f t="shared" ca="1" si="116"/>
        <v>York</v>
      </c>
      <c r="T290" s="64">
        <f t="shared" ca="1" si="86"/>
        <v>3</v>
      </c>
      <c r="U290" s="64" t="str">
        <f t="shared" si="87"/>
        <v/>
      </c>
      <c r="V290" s="422">
        <f ca="1">IF(OR(D290=0,D290="",D290="Athlete"),"",COUNTIF($D$4:$D290,D290))</f>
        <v>2</v>
      </c>
    </row>
    <row r="291" spans="4:22" hidden="1" x14ac:dyDescent="0.35">
      <c r="D291" s="89" t="str">
        <f t="shared" ref="D291:E291" ca="1" si="117">K104</f>
        <v>HALL Lottie</v>
      </c>
      <c r="E291" s="89" t="str">
        <f t="shared" ca="1" si="117"/>
        <v>C'field</v>
      </c>
      <c r="T291" s="64">
        <f t="shared" ca="1" si="86"/>
        <v>3</v>
      </c>
      <c r="U291" s="64" t="str">
        <f t="shared" si="87"/>
        <v/>
      </c>
      <c r="V291" s="422">
        <f ca="1">IF(OR(D291=0,D291="",D291="Athlete"),"",COUNTIF($D$4:$D291,D291))</f>
        <v>2</v>
      </c>
    </row>
    <row r="292" spans="4:22" hidden="1" x14ac:dyDescent="0.35">
      <c r="D292" s="89" t="str">
        <f t="shared" ref="D292:E292" ca="1" si="118">K105</f>
        <v>CRESSEY Evie</v>
      </c>
      <c r="E292" s="89" t="str">
        <f t="shared" ca="1" si="118"/>
        <v>Scun</v>
      </c>
      <c r="T292" s="64">
        <f t="shared" ca="1" si="86"/>
        <v>2</v>
      </c>
      <c r="U292" s="64" t="str">
        <f t="shared" si="87"/>
        <v/>
      </c>
      <c r="V292" s="422">
        <f ca="1">IF(OR(D292=0,D292="",D292="Athlete"),"",COUNTIF($D$4:$D292,D292))</f>
        <v>2</v>
      </c>
    </row>
    <row r="293" spans="4:22" hidden="1" x14ac:dyDescent="0.35">
      <c r="D293" s="89" t="str">
        <f t="shared" ref="D293:E293" ca="1" si="119">K106</f>
        <v/>
      </c>
      <c r="E293" s="89" t="str">
        <f t="shared" ca="1" si="119"/>
        <v/>
      </c>
      <c r="T293" s="64" t="str">
        <f t="shared" ca="1" si="86"/>
        <v/>
      </c>
      <c r="U293" s="64" t="str">
        <f t="shared" si="87"/>
        <v/>
      </c>
      <c r="V293" s="422" t="str">
        <f ca="1">IF(OR(D293=0,D293="",D293="Athlete"),"",COUNTIF($D$4:$D293,D293))</f>
        <v/>
      </c>
    </row>
    <row r="294" spans="4:22" hidden="1" x14ac:dyDescent="0.35">
      <c r="D294" s="89" t="str">
        <f t="shared" ref="D294:E294" ca="1" si="120">K107</f>
        <v/>
      </c>
      <c r="E294" s="89" t="str">
        <f t="shared" ca="1" si="120"/>
        <v/>
      </c>
      <c r="T294" s="64" t="str">
        <f t="shared" ca="1" si="86"/>
        <v/>
      </c>
      <c r="U294" s="64" t="str">
        <f t="shared" si="87"/>
        <v/>
      </c>
      <c r="V294" s="422" t="str">
        <f ca="1">IF(OR(D294=0,D294="",D294="Athlete"),"",COUNTIF($D$4:$D294,D294))</f>
        <v/>
      </c>
    </row>
    <row r="295" spans="4:22" hidden="1" x14ac:dyDescent="0.35">
      <c r="D295" s="89" t="str">
        <f t="shared" ref="D295:E295" ca="1" si="121">K108</f>
        <v/>
      </c>
      <c r="E295" s="89" t="str">
        <f t="shared" ca="1" si="121"/>
        <v/>
      </c>
      <c r="T295" s="64" t="str">
        <f t="shared" ca="1" si="86"/>
        <v/>
      </c>
      <c r="U295" s="64" t="str">
        <f t="shared" si="87"/>
        <v/>
      </c>
      <c r="V295" s="422" t="str">
        <f ca="1">IF(OR(D295=0,D295="",D295="Athlete"),"",COUNTIF($D$4:$D295,D295))</f>
        <v/>
      </c>
    </row>
    <row r="296" spans="4:22" hidden="1" x14ac:dyDescent="0.35">
      <c r="D296" s="89" t="str">
        <f t="shared" ref="D296:E296" ca="1" si="122">K109</f>
        <v/>
      </c>
      <c r="E296" s="89" t="str">
        <f t="shared" ca="1" si="122"/>
        <v/>
      </c>
      <c r="T296" s="64" t="str">
        <f t="shared" ca="1" si="86"/>
        <v/>
      </c>
      <c r="U296" s="64" t="str">
        <f t="shared" si="87"/>
        <v/>
      </c>
      <c r="V296" s="422" t="str">
        <f ca="1">IF(OR(D296=0,D296="",D296="Athlete"),"",COUNTIF($D$4:$D296,D296))</f>
        <v/>
      </c>
    </row>
    <row r="297" spans="4:22" hidden="1" x14ac:dyDescent="0.35">
      <c r="D297" s="89" t="str">
        <f t="shared" ref="D297:E297" ca="1" si="123">K110</f>
        <v/>
      </c>
      <c r="E297" s="89" t="str">
        <f t="shared" ca="1" si="123"/>
        <v/>
      </c>
      <c r="T297" s="64" t="str">
        <f t="shared" ca="1" si="86"/>
        <v/>
      </c>
      <c r="U297" s="64" t="str">
        <f t="shared" si="87"/>
        <v/>
      </c>
      <c r="V297" s="422" t="str">
        <f ca="1">IF(OR(D297=0,D297="",D297="Athlete"),"",COUNTIF($D$4:$D297,D297))</f>
        <v/>
      </c>
    </row>
    <row r="298" spans="4:22" hidden="1" x14ac:dyDescent="0.35">
      <c r="D298" s="89">
        <f t="shared" ref="D298:E298" si="124">K111</f>
        <v>0</v>
      </c>
      <c r="E298" s="89">
        <f t="shared" si="124"/>
        <v>0</v>
      </c>
      <c r="T298" s="64" t="str">
        <f t="shared" si="86"/>
        <v/>
      </c>
      <c r="U298" s="64" t="str">
        <f t="shared" si="87"/>
        <v/>
      </c>
      <c r="V298" s="422" t="str">
        <f>IF(OR(D298=0,D298="",D298="Athlete"),"",COUNTIF($D$4:$D298,D298))</f>
        <v/>
      </c>
    </row>
    <row r="299" spans="4:22" hidden="1" x14ac:dyDescent="0.35">
      <c r="D299" s="89">
        <f t="shared" ref="D299:E299" si="125">K112</f>
        <v>0</v>
      </c>
      <c r="E299" s="89">
        <f t="shared" si="125"/>
        <v>0</v>
      </c>
      <c r="T299" s="64" t="str">
        <f t="shared" si="86"/>
        <v/>
      </c>
      <c r="U299" s="64" t="str">
        <f t="shared" si="87"/>
        <v/>
      </c>
      <c r="V299" s="422" t="str">
        <f>IF(OR(D299=0,D299="",D299="Athlete"),"",COUNTIF($D$4:$D299,D299))</f>
        <v/>
      </c>
    </row>
    <row r="300" spans="4:22" hidden="1" x14ac:dyDescent="0.35">
      <c r="D300" s="89" t="str">
        <f t="shared" ref="D300:E300" ca="1" si="126">K113</f>
        <v>Athlete</v>
      </c>
      <c r="E300" s="89" t="str">
        <f t="shared" ca="1" si="126"/>
        <v>Club</v>
      </c>
      <c r="T300" s="64" t="str">
        <f t="shared" ca="1" si="86"/>
        <v/>
      </c>
      <c r="U300" s="64" t="str">
        <f t="shared" si="87"/>
        <v/>
      </c>
      <c r="V300" s="422" t="str">
        <f ca="1">IF(OR(D300=0,D300="",D300="Athlete"),"",COUNTIF($D$4:$D300,D300))</f>
        <v/>
      </c>
    </row>
    <row r="301" spans="4:22" hidden="1" x14ac:dyDescent="0.35">
      <c r="D301" s="89" t="str">
        <f t="shared" ref="D301:E301" ca="1" si="127">K114</f>
        <v>HALL Lottie</v>
      </c>
      <c r="E301" s="89" t="str">
        <f t="shared" ca="1" si="127"/>
        <v>C'field</v>
      </c>
      <c r="T301" s="64">
        <f t="shared" ca="1" si="86"/>
        <v>3</v>
      </c>
      <c r="U301" s="64" t="str">
        <f t="shared" si="87"/>
        <v/>
      </c>
      <c r="V301" s="422">
        <f ca="1">IF(OR(D301=0,D301="",D301="Athlete"),"",COUNTIF($D$4:$D301,D301))</f>
        <v>3</v>
      </c>
    </row>
    <row r="302" spans="4:22" hidden="1" x14ac:dyDescent="0.35">
      <c r="D302" s="89" t="str">
        <f t="shared" ref="D302:E302" ca="1" si="128">K115</f>
        <v>WRIGHT Ella</v>
      </c>
      <c r="E302" s="89" t="str">
        <f t="shared" ca="1" si="128"/>
        <v>York</v>
      </c>
      <c r="T302" s="64">
        <f t="shared" ca="1" si="86"/>
        <v>3</v>
      </c>
      <c r="U302" s="64" t="str">
        <f t="shared" si="87"/>
        <v/>
      </c>
      <c r="V302" s="422">
        <f ca="1">IF(OR(D302=0,D302="",D302="Athlete"),"",COUNTIF($D$4:$D302,D302))</f>
        <v>3</v>
      </c>
    </row>
    <row r="303" spans="4:22" hidden="1" x14ac:dyDescent="0.35">
      <c r="D303" s="89" t="str">
        <f t="shared" ref="D303:E303" ca="1" si="129">K116</f>
        <v/>
      </c>
      <c r="E303" s="89" t="str">
        <f t="shared" ca="1" si="129"/>
        <v/>
      </c>
      <c r="T303" s="64" t="str">
        <f t="shared" ca="1" si="86"/>
        <v/>
      </c>
      <c r="U303" s="64" t="str">
        <f t="shared" si="87"/>
        <v/>
      </c>
      <c r="V303" s="422" t="str">
        <f ca="1">IF(OR(D303=0,D303="",D303="Athlete"),"",COUNTIF($D$4:$D303,D303))</f>
        <v/>
      </c>
    </row>
    <row r="304" spans="4:22" hidden="1" x14ac:dyDescent="0.35">
      <c r="D304" s="89" t="str">
        <f t="shared" ref="D304:E304" ca="1" si="130">K117</f>
        <v/>
      </c>
      <c r="E304" s="89" t="str">
        <f t="shared" ca="1" si="130"/>
        <v/>
      </c>
      <c r="T304" s="64" t="str">
        <f t="shared" ca="1" si="86"/>
        <v/>
      </c>
      <c r="U304" s="64" t="str">
        <f t="shared" si="87"/>
        <v/>
      </c>
      <c r="V304" s="422" t="str">
        <f ca="1">IF(OR(D304=0,D304="",D304="Athlete"),"",COUNTIF($D$4:$D304,D304))</f>
        <v/>
      </c>
    </row>
    <row r="305" spans="4:22" hidden="1" x14ac:dyDescent="0.35">
      <c r="D305" s="89" t="str">
        <f t="shared" ref="D305:E305" ca="1" si="131">K118</f>
        <v/>
      </c>
      <c r="E305" s="89" t="str">
        <f t="shared" ca="1" si="131"/>
        <v/>
      </c>
      <c r="T305" s="64" t="str">
        <f t="shared" ca="1" si="86"/>
        <v/>
      </c>
      <c r="U305" s="64" t="str">
        <f t="shared" si="87"/>
        <v/>
      </c>
      <c r="V305" s="422" t="str">
        <f ca="1">IF(OR(D305=0,D305="",D305="Athlete"),"",COUNTIF($D$4:$D305,D305))</f>
        <v/>
      </c>
    </row>
    <row r="306" spans="4:22" hidden="1" x14ac:dyDescent="0.35">
      <c r="D306" s="89" t="str">
        <f t="shared" ref="D306:E306" ca="1" si="132">K119</f>
        <v/>
      </c>
      <c r="E306" s="89" t="str">
        <f t="shared" ca="1" si="132"/>
        <v/>
      </c>
      <c r="T306" s="64" t="str">
        <f t="shared" ca="1" si="86"/>
        <v/>
      </c>
      <c r="U306" s="64" t="str">
        <f t="shared" si="87"/>
        <v/>
      </c>
      <c r="V306" s="422" t="str">
        <f ca="1">IF(OR(D306=0,D306="",D306="Athlete"),"",COUNTIF($D$4:$D306,D306))</f>
        <v/>
      </c>
    </row>
    <row r="307" spans="4:22" hidden="1" x14ac:dyDescent="0.35">
      <c r="D307" s="89" t="str">
        <f t="shared" ref="D307:E307" ca="1" si="133">K120</f>
        <v/>
      </c>
      <c r="E307" s="89" t="str">
        <f t="shared" ca="1" si="133"/>
        <v/>
      </c>
      <c r="T307" s="64" t="str">
        <f t="shared" ca="1" si="86"/>
        <v/>
      </c>
      <c r="U307" s="64" t="str">
        <f t="shared" si="87"/>
        <v/>
      </c>
      <c r="V307" s="422" t="str">
        <f ca="1">IF(OR(D307=0,D307="",D307="Athlete"),"",COUNTIF($D$4:$D307,D307))</f>
        <v/>
      </c>
    </row>
    <row r="308" spans="4:22" hidden="1" x14ac:dyDescent="0.35">
      <c r="D308" s="89" t="str">
        <f t="shared" ref="D308:E308" ca="1" si="134">K121</f>
        <v/>
      </c>
      <c r="E308" s="89" t="str">
        <f t="shared" ca="1" si="134"/>
        <v/>
      </c>
      <c r="T308" s="64" t="str">
        <f t="shared" ca="1" si="86"/>
        <v/>
      </c>
      <c r="U308" s="64" t="str">
        <f t="shared" si="87"/>
        <v/>
      </c>
      <c r="V308" s="422" t="str">
        <f ca="1">IF(OR(D308=0,D308="",D308="Athlete"),"",COUNTIF($D$4:$D308,D308))</f>
        <v/>
      </c>
    </row>
    <row r="309" spans="4:22" hidden="1" x14ac:dyDescent="0.35">
      <c r="D309" s="89">
        <f t="shared" ref="D309:E309" si="135">K122</f>
        <v>0</v>
      </c>
      <c r="E309" s="89">
        <f t="shared" si="135"/>
        <v>0</v>
      </c>
      <c r="T309" s="64" t="str">
        <f t="shared" si="86"/>
        <v/>
      </c>
      <c r="U309" s="64" t="str">
        <f t="shared" si="87"/>
        <v/>
      </c>
      <c r="V309" s="422" t="str">
        <f>IF(OR(D309=0,D309="",D309="Athlete"),"",COUNTIF($D$4:$D309,D309))</f>
        <v/>
      </c>
    </row>
    <row r="310" spans="4:22" hidden="1" x14ac:dyDescent="0.35">
      <c r="D310" s="89">
        <f t="shared" ref="D310:E310" si="136">K123</f>
        <v>0</v>
      </c>
      <c r="E310" s="89">
        <f t="shared" si="136"/>
        <v>0</v>
      </c>
      <c r="T310" s="64" t="str">
        <f t="shared" si="86"/>
        <v/>
      </c>
      <c r="U310" s="64" t="str">
        <f t="shared" si="87"/>
        <v/>
      </c>
      <c r="V310" s="422" t="str">
        <f>IF(OR(D310=0,D310="",D310="Athlete"),"",COUNTIF($D$4:$D310,D310))</f>
        <v/>
      </c>
    </row>
    <row r="311" spans="4:22" hidden="1" x14ac:dyDescent="0.35">
      <c r="D311" s="89">
        <f t="shared" ref="D311" si="137">K124</f>
        <v>0</v>
      </c>
      <c r="E311" s="89" t="e">
        <f>#REF!</f>
        <v>#REF!</v>
      </c>
      <c r="T311" s="64" t="str">
        <f t="shared" si="86"/>
        <v/>
      </c>
      <c r="U311" s="64" t="str">
        <f t="shared" si="87"/>
        <v/>
      </c>
      <c r="V311" s="422" t="str">
        <f>IF(OR(D311=0,D311="",D311="Athlete"),"",COUNTIF($D$4:$D311,D311))</f>
        <v/>
      </c>
    </row>
    <row r="312" spans="4:22" hidden="1" x14ac:dyDescent="0.35">
      <c r="D312" s="89">
        <f t="shared" ref="D312" si="138">K125</f>
        <v>0</v>
      </c>
      <c r="E312" s="89" t="e">
        <f>#REF!</f>
        <v>#REF!</v>
      </c>
      <c r="T312" s="64" t="str">
        <f t="shared" si="86"/>
        <v/>
      </c>
      <c r="U312" s="64" t="str">
        <f t="shared" si="87"/>
        <v/>
      </c>
      <c r="V312" s="422" t="str">
        <f>IF(OR(D312=0,D312="",D312="Athlete"),"",COUNTIF($D$4:$D312,D312))</f>
        <v/>
      </c>
    </row>
    <row r="313" spans="4:22" hidden="1" x14ac:dyDescent="0.35">
      <c r="D313" s="89">
        <f t="shared" ref="D313" si="139">K126</f>
        <v>0</v>
      </c>
      <c r="E313" s="89" t="e">
        <f>#REF!</f>
        <v>#REF!</v>
      </c>
      <c r="T313" s="64" t="str">
        <f t="shared" si="86"/>
        <v/>
      </c>
      <c r="U313" s="64" t="str">
        <f t="shared" si="87"/>
        <v/>
      </c>
      <c r="V313" s="422" t="str">
        <f>IF(OR(D313=0,D313="",D313="Athlete"),"",COUNTIF($D$4:$D313,D313))</f>
        <v/>
      </c>
    </row>
    <row r="314" spans="4:22" hidden="1" x14ac:dyDescent="0.35">
      <c r="D314" s="89">
        <f t="shared" ref="D314" si="140">K127</f>
        <v>0</v>
      </c>
      <c r="E314" s="89" t="e">
        <f>#REF!</f>
        <v>#REF!</v>
      </c>
      <c r="T314" s="64" t="str">
        <f t="shared" si="86"/>
        <v/>
      </c>
      <c r="U314" s="64" t="str">
        <f t="shared" si="87"/>
        <v/>
      </c>
      <c r="V314" s="422" t="str">
        <f>IF(OR(D314=0,D314="",D314="Athlete"),"",COUNTIF($D$4:$D314,D314))</f>
        <v/>
      </c>
    </row>
    <row r="315" spans="4:22" hidden="1" x14ac:dyDescent="0.35">
      <c r="D315" s="89">
        <f t="shared" ref="D315" si="141">K128</f>
        <v>0</v>
      </c>
      <c r="E315" s="89" t="e">
        <f>#REF!</f>
        <v>#REF!</v>
      </c>
      <c r="T315" s="64" t="str">
        <f t="shared" si="86"/>
        <v/>
      </c>
      <c r="U315" s="64" t="str">
        <f t="shared" si="87"/>
        <v/>
      </c>
      <c r="V315" s="422" t="str">
        <f>IF(OR(D315=0,D315="",D315="Athlete"),"",COUNTIF($D$4:$D315,D315))</f>
        <v/>
      </c>
    </row>
    <row r="316" spans="4:22" hidden="1" x14ac:dyDescent="0.35">
      <c r="D316" s="89">
        <f t="shared" ref="D316" si="142">K129</f>
        <v>0</v>
      </c>
      <c r="E316" s="89" t="e">
        <f>#REF!</f>
        <v>#REF!</v>
      </c>
      <c r="T316" s="64" t="str">
        <f t="shared" si="86"/>
        <v/>
      </c>
      <c r="U316" s="64" t="str">
        <f t="shared" si="87"/>
        <v/>
      </c>
      <c r="V316" s="422" t="str">
        <f>IF(OR(D316=0,D316="",D316="Athlete"),"",COUNTIF($D$4:$D316,D316))</f>
        <v/>
      </c>
    </row>
    <row r="317" spans="4:22" hidden="1" x14ac:dyDescent="0.35">
      <c r="D317" s="89">
        <f t="shared" ref="D317" si="143">K130</f>
        <v>0</v>
      </c>
      <c r="E317" s="89" t="e">
        <f>#REF!</f>
        <v>#REF!</v>
      </c>
      <c r="T317" s="64" t="str">
        <f t="shared" si="86"/>
        <v/>
      </c>
      <c r="U317" s="64" t="str">
        <f t="shared" si="87"/>
        <v/>
      </c>
      <c r="V317" s="422" t="str">
        <f>IF(OR(D317=0,D317="",D317="Athlete"),"",COUNTIF($D$4:$D317,D317))</f>
        <v/>
      </c>
    </row>
    <row r="318" spans="4:22" hidden="1" x14ac:dyDescent="0.35">
      <c r="D318" s="89">
        <f t="shared" ref="D318" si="144">K131</f>
        <v>0</v>
      </c>
      <c r="E318" s="89" t="e">
        <f>#REF!</f>
        <v>#REF!</v>
      </c>
      <c r="T318" s="64" t="str">
        <f t="shared" si="86"/>
        <v/>
      </c>
      <c r="U318" s="64" t="str">
        <f t="shared" si="87"/>
        <v/>
      </c>
      <c r="V318" s="422" t="str">
        <f>IF(OR(D318=0,D318="",D318="Athlete"),"",COUNTIF($D$4:$D318,D318))</f>
        <v/>
      </c>
    </row>
    <row r="319" spans="4:22" hidden="1" x14ac:dyDescent="0.35">
      <c r="D319" s="89">
        <f t="shared" ref="D319" si="145">K132</f>
        <v>0</v>
      </c>
      <c r="E319" s="89" t="e">
        <f>#REF!</f>
        <v>#REF!</v>
      </c>
      <c r="T319" s="64" t="str">
        <f t="shared" si="86"/>
        <v/>
      </c>
      <c r="U319" s="64" t="str">
        <f t="shared" si="87"/>
        <v/>
      </c>
      <c r="V319" s="422" t="str">
        <f>IF(OR(D319=0,D319="",D319="Athlete"),"",COUNTIF($D$4:$D319,D319))</f>
        <v/>
      </c>
    </row>
    <row r="320" spans="4:22" hidden="1" x14ac:dyDescent="0.35">
      <c r="D320" s="89">
        <f t="shared" ref="D320:E320" si="146">K133</f>
        <v>0</v>
      </c>
      <c r="E320" s="89">
        <f t="shared" si="146"/>
        <v>0</v>
      </c>
      <c r="T320" s="64" t="str">
        <f t="shared" si="86"/>
        <v/>
      </c>
      <c r="U320" s="64" t="str">
        <f t="shared" si="87"/>
        <v/>
      </c>
      <c r="V320" s="422" t="str">
        <f>IF(OR(D320=0,D320="",D320="Athlete"),"",COUNTIF($D$4:$D320,D320))</f>
        <v/>
      </c>
    </row>
    <row r="321" spans="4:22" hidden="1" x14ac:dyDescent="0.35">
      <c r="D321" s="89">
        <f t="shared" ref="D321:E321" si="147">K134</f>
        <v>0</v>
      </c>
      <c r="E321" s="89">
        <f t="shared" si="147"/>
        <v>0</v>
      </c>
      <c r="T321" s="64" t="str">
        <f t="shared" si="86"/>
        <v/>
      </c>
      <c r="U321" s="64" t="str">
        <f t="shared" si="87"/>
        <v/>
      </c>
      <c r="V321" s="422" t="str">
        <f>IF(OR(D321=0,D321="",D321="Athlete"),"",COUNTIF($D$4:$D321,D321))</f>
        <v/>
      </c>
    </row>
    <row r="322" spans="4:22" hidden="1" x14ac:dyDescent="0.35">
      <c r="D322" s="89">
        <f t="shared" ref="D322:E322" si="148">K135</f>
        <v>0</v>
      </c>
      <c r="E322" s="89">
        <f t="shared" si="148"/>
        <v>0</v>
      </c>
      <c r="T322" s="64" t="str">
        <f t="shared" si="86"/>
        <v/>
      </c>
      <c r="U322" s="64" t="str">
        <f t="shared" si="87"/>
        <v/>
      </c>
      <c r="V322" s="422" t="str">
        <f>IF(OR(D322=0,D322="",D322="Athlete"),"",COUNTIF($D$4:$D322,D322))</f>
        <v/>
      </c>
    </row>
    <row r="323" spans="4:22" hidden="1" x14ac:dyDescent="0.35">
      <c r="D323" s="89">
        <f t="shared" ref="D323:E323" si="149">K136</f>
        <v>0</v>
      </c>
      <c r="E323" s="89">
        <f t="shared" si="149"/>
        <v>0</v>
      </c>
      <c r="T323" s="64" t="str">
        <f t="shared" si="86"/>
        <v/>
      </c>
      <c r="U323" s="64" t="str">
        <f t="shared" si="87"/>
        <v/>
      </c>
      <c r="V323" s="422" t="str">
        <f>IF(OR(D323=0,D323="",D323="Athlete"),"",COUNTIF($D$4:$D323,D323))</f>
        <v/>
      </c>
    </row>
    <row r="324" spans="4:22" hidden="1" x14ac:dyDescent="0.35">
      <c r="D324" s="89">
        <f t="shared" ref="D324:E324" si="150">K137</f>
        <v>0</v>
      </c>
      <c r="E324" s="89">
        <f t="shared" si="150"/>
        <v>0</v>
      </c>
      <c r="T324" s="64" t="str">
        <f t="shared" si="86"/>
        <v/>
      </c>
      <c r="U324" s="64" t="str">
        <f t="shared" si="87"/>
        <v/>
      </c>
      <c r="V324" s="422" t="str">
        <f>IF(OR(D324=0,D324="",D324="Athlete"),"",COUNTIF($D$4:$D324,D324))</f>
        <v/>
      </c>
    </row>
    <row r="325" spans="4:22" hidden="1" x14ac:dyDescent="0.35">
      <c r="D325" s="89">
        <f t="shared" ref="D325:E325" si="151">K138</f>
        <v>0</v>
      </c>
      <c r="E325" s="89">
        <f t="shared" si="151"/>
        <v>0</v>
      </c>
      <c r="T325" s="64" t="str">
        <f t="shared" ref="T325:T352" si="152">IF(OR(D325=0,D325="",D325="Athlete"),"",COUNTIF($D$4:$D$352,D325))</f>
        <v/>
      </c>
      <c r="U325" s="64" t="str">
        <f t="shared" ref="U325:U352" si="153">IF(OR(K325=0,K325="",K325="Athlete"),"",COUNTIF($D$4:$D$352,K325))</f>
        <v/>
      </c>
      <c r="V325" s="422" t="str">
        <f>IF(OR(D325=0,D325="",D325="Athlete"),"",COUNTIF($D$4:$D325,D325))</f>
        <v/>
      </c>
    </row>
    <row r="326" spans="4:22" hidden="1" x14ac:dyDescent="0.35">
      <c r="D326" s="89">
        <f t="shared" ref="D326:E326" si="154">K139</f>
        <v>0</v>
      </c>
      <c r="E326" s="89">
        <f t="shared" si="154"/>
        <v>0</v>
      </c>
      <c r="T326" s="64" t="str">
        <f t="shared" si="152"/>
        <v/>
      </c>
      <c r="U326" s="64" t="str">
        <f t="shared" si="153"/>
        <v/>
      </c>
      <c r="V326" s="422" t="str">
        <f>IF(OR(D326=0,D326="",D326="Athlete"),"",COUNTIF($D$4:$D326,D326))</f>
        <v/>
      </c>
    </row>
    <row r="327" spans="4:22" hidden="1" x14ac:dyDescent="0.35">
      <c r="D327" s="89">
        <f t="shared" ref="D327:E327" si="155">K140</f>
        <v>0</v>
      </c>
      <c r="E327" s="89">
        <f t="shared" si="155"/>
        <v>0</v>
      </c>
      <c r="T327" s="64" t="str">
        <f t="shared" si="152"/>
        <v/>
      </c>
      <c r="U327" s="64" t="str">
        <f t="shared" si="153"/>
        <v/>
      </c>
      <c r="V327" s="422" t="str">
        <f>IF(OR(D327=0,D327="",D327="Athlete"),"",COUNTIF($D$4:$D327,D327))</f>
        <v/>
      </c>
    </row>
    <row r="328" spans="4:22" hidden="1" x14ac:dyDescent="0.35">
      <c r="D328" s="89">
        <f t="shared" ref="D328:E328" si="156">K141</f>
        <v>0</v>
      </c>
      <c r="E328" s="89">
        <f t="shared" si="156"/>
        <v>0</v>
      </c>
      <c r="T328" s="64" t="str">
        <f t="shared" si="152"/>
        <v/>
      </c>
      <c r="U328" s="64" t="str">
        <f t="shared" si="153"/>
        <v/>
      </c>
      <c r="V328" s="422" t="str">
        <f>IF(OR(D328=0,D328="",D328="Athlete"),"",COUNTIF($D$4:$D328,D328))</f>
        <v/>
      </c>
    </row>
    <row r="329" spans="4:22" hidden="1" x14ac:dyDescent="0.35">
      <c r="D329" s="89">
        <f t="shared" ref="D329:E329" si="157">K142</f>
        <v>0</v>
      </c>
      <c r="E329" s="89">
        <f t="shared" si="157"/>
        <v>0</v>
      </c>
      <c r="T329" s="64" t="str">
        <f t="shared" si="152"/>
        <v/>
      </c>
      <c r="U329" s="64" t="str">
        <f t="shared" si="153"/>
        <v/>
      </c>
      <c r="V329" s="422" t="str">
        <f>IF(OR(D329=0,D329="",D329="Athlete"),"",COUNTIF($D$4:$D329,D329))</f>
        <v/>
      </c>
    </row>
    <row r="330" spans="4:22" hidden="1" x14ac:dyDescent="0.35">
      <c r="D330" s="89">
        <f t="shared" ref="D330:E330" si="158">K143</f>
        <v>0</v>
      </c>
      <c r="E330" s="89">
        <f t="shared" si="158"/>
        <v>0</v>
      </c>
      <c r="T330" s="64" t="str">
        <f t="shared" si="152"/>
        <v/>
      </c>
      <c r="U330" s="64" t="str">
        <f t="shared" si="153"/>
        <v/>
      </c>
      <c r="V330" s="422" t="str">
        <f>IF(OR(D330=0,D330="",D330="Athlete"),"",COUNTIF($D$4:$D330,D330))</f>
        <v/>
      </c>
    </row>
    <row r="331" spans="4:22" hidden="1" x14ac:dyDescent="0.35">
      <c r="D331" s="89">
        <f t="shared" ref="D331:E331" si="159">K144</f>
        <v>0</v>
      </c>
      <c r="E331" s="89">
        <f t="shared" si="159"/>
        <v>0</v>
      </c>
      <c r="T331" s="64" t="str">
        <f t="shared" si="152"/>
        <v/>
      </c>
      <c r="U331" s="64" t="str">
        <f t="shared" si="153"/>
        <v/>
      </c>
      <c r="V331" s="422" t="str">
        <f>IF(OR(D331=0,D331="",D331="Athlete"),"",COUNTIF($D$4:$D331,D331))</f>
        <v/>
      </c>
    </row>
    <row r="332" spans="4:22" hidden="1" x14ac:dyDescent="0.35">
      <c r="D332" s="89">
        <f t="shared" ref="D332:E332" si="160">K145</f>
        <v>0</v>
      </c>
      <c r="E332" s="89">
        <f t="shared" si="160"/>
        <v>0</v>
      </c>
      <c r="T332" s="64" t="str">
        <f t="shared" si="152"/>
        <v/>
      </c>
      <c r="U332" s="64" t="str">
        <f t="shared" si="153"/>
        <v/>
      </c>
      <c r="V332" s="422" t="str">
        <f>IF(OR(D332=0,D332="",D332="Athlete"),"",COUNTIF($D$4:$D332,D332))</f>
        <v/>
      </c>
    </row>
    <row r="333" spans="4:22" hidden="1" x14ac:dyDescent="0.35">
      <c r="D333" s="89">
        <f t="shared" ref="D333:E333" si="161">K146</f>
        <v>0</v>
      </c>
      <c r="E333" s="89">
        <f t="shared" si="161"/>
        <v>0</v>
      </c>
      <c r="T333" s="64" t="str">
        <f t="shared" si="152"/>
        <v/>
      </c>
      <c r="U333" s="64" t="str">
        <f t="shared" si="153"/>
        <v/>
      </c>
      <c r="V333" s="422" t="str">
        <f>IF(OR(D333=0,D333="",D333="Athlete"),"",COUNTIF($D$4:$D333,D333))</f>
        <v/>
      </c>
    </row>
    <row r="334" spans="4:22" hidden="1" x14ac:dyDescent="0.35">
      <c r="D334" s="89">
        <f t="shared" ref="D334:E334" si="162">K147</f>
        <v>0</v>
      </c>
      <c r="E334" s="89">
        <f t="shared" si="162"/>
        <v>0</v>
      </c>
      <c r="T334" s="64" t="str">
        <f t="shared" si="152"/>
        <v/>
      </c>
      <c r="U334" s="64" t="str">
        <f t="shared" si="153"/>
        <v/>
      </c>
      <c r="V334" s="422" t="str">
        <f>IF(OR(D334=0,D334="",D334="Athlete"),"",COUNTIF($D$4:$D334,D334))</f>
        <v/>
      </c>
    </row>
    <row r="335" spans="4:22" hidden="1" x14ac:dyDescent="0.35">
      <c r="D335" s="89">
        <f t="shared" ref="D335:E335" si="163">K148</f>
        <v>0</v>
      </c>
      <c r="E335" s="89">
        <f t="shared" si="163"/>
        <v>0</v>
      </c>
      <c r="T335" s="64" t="str">
        <f t="shared" si="152"/>
        <v/>
      </c>
      <c r="U335" s="64" t="str">
        <f t="shared" si="153"/>
        <v/>
      </c>
      <c r="V335" s="422" t="str">
        <f>IF(OR(D335=0,D335="",D335="Athlete"),"",COUNTIF($D$4:$D335,D335))</f>
        <v/>
      </c>
    </row>
    <row r="336" spans="4:22" hidden="1" x14ac:dyDescent="0.35">
      <c r="D336" s="89">
        <f t="shared" ref="D336:E336" si="164">K149</f>
        <v>0</v>
      </c>
      <c r="E336" s="89">
        <f t="shared" si="164"/>
        <v>0</v>
      </c>
      <c r="T336" s="64" t="str">
        <f t="shared" si="152"/>
        <v/>
      </c>
      <c r="U336" s="64" t="str">
        <f t="shared" si="153"/>
        <v/>
      </c>
      <c r="V336" s="422" t="str">
        <f>IF(OR(D336=0,D336="",D336="Athlete"),"",COUNTIF($D$4:$D336,D336))</f>
        <v/>
      </c>
    </row>
    <row r="337" spans="4:22" hidden="1" x14ac:dyDescent="0.35">
      <c r="D337" s="89">
        <f t="shared" ref="D337:E337" si="165">K150</f>
        <v>0</v>
      </c>
      <c r="E337" s="89">
        <f t="shared" si="165"/>
        <v>0</v>
      </c>
      <c r="T337" s="64" t="str">
        <f t="shared" si="152"/>
        <v/>
      </c>
      <c r="U337" s="64" t="str">
        <f t="shared" si="153"/>
        <v/>
      </c>
      <c r="V337" s="422" t="str">
        <f>IF(OR(D337=0,D337="",D337="Athlete"),"",COUNTIF($D$4:$D337,D337))</f>
        <v/>
      </c>
    </row>
    <row r="338" spans="4:22" hidden="1" x14ac:dyDescent="0.35">
      <c r="D338" s="89">
        <f t="shared" ref="D338:E338" si="166">K151</f>
        <v>0</v>
      </c>
      <c r="E338" s="89">
        <f t="shared" si="166"/>
        <v>0</v>
      </c>
      <c r="T338" s="64" t="str">
        <f t="shared" si="152"/>
        <v/>
      </c>
      <c r="U338" s="64" t="str">
        <f t="shared" si="153"/>
        <v/>
      </c>
      <c r="V338" s="422" t="str">
        <f>IF(OR(D338=0,D338="",D338="Athlete"),"",COUNTIF($D$4:$D338,D338))</f>
        <v/>
      </c>
    </row>
    <row r="339" spans="4:22" hidden="1" x14ac:dyDescent="0.35">
      <c r="D339" s="89">
        <f t="shared" ref="D339:E339" si="167">K152</f>
        <v>0</v>
      </c>
      <c r="E339" s="89">
        <f t="shared" si="167"/>
        <v>0</v>
      </c>
      <c r="T339" s="64" t="str">
        <f t="shared" si="152"/>
        <v/>
      </c>
      <c r="U339" s="64" t="str">
        <f t="shared" si="153"/>
        <v/>
      </c>
      <c r="V339" s="422" t="str">
        <f>IF(OR(D339=0,D339="",D339="Athlete"),"",COUNTIF($D$4:$D339,D339))</f>
        <v/>
      </c>
    </row>
    <row r="340" spans="4:22" hidden="1" x14ac:dyDescent="0.35">
      <c r="D340" s="89">
        <f t="shared" ref="D340:E340" si="168">K153</f>
        <v>0</v>
      </c>
      <c r="E340" s="89">
        <f t="shared" si="168"/>
        <v>0</v>
      </c>
      <c r="T340" s="64" t="str">
        <f t="shared" si="152"/>
        <v/>
      </c>
      <c r="U340" s="64" t="str">
        <f t="shared" si="153"/>
        <v/>
      </c>
      <c r="V340" s="422" t="str">
        <f>IF(OR(D340=0,D340="",D340="Athlete"),"",COUNTIF($D$4:$D340,D340))</f>
        <v/>
      </c>
    </row>
    <row r="341" spans="4:22" hidden="1" x14ac:dyDescent="0.35">
      <c r="D341" s="89">
        <f t="shared" ref="D341:E341" si="169">K154</f>
        <v>0</v>
      </c>
      <c r="E341" s="89">
        <f t="shared" si="169"/>
        <v>0</v>
      </c>
      <c r="T341" s="64" t="str">
        <f t="shared" si="152"/>
        <v/>
      </c>
      <c r="U341" s="64" t="str">
        <f t="shared" si="153"/>
        <v/>
      </c>
      <c r="V341" s="422" t="str">
        <f>IF(OR(D341=0,D341="",D341="Athlete"),"",COUNTIF($D$4:$D341,D341))</f>
        <v/>
      </c>
    </row>
    <row r="342" spans="4:22" hidden="1" x14ac:dyDescent="0.35">
      <c r="D342" s="89">
        <f t="shared" ref="D342:E342" si="170">K155</f>
        <v>0</v>
      </c>
      <c r="E342" s="89">
        <f t="shared" si="170"/>
        <v>0</v>
      </c>
      <c r="T342" s="64" t="str">
        <f t="shared" si="152"/>
        <v/>
      </c>
      <c r="U342" s="64" t="str">
        <f t="shared" si="153"/>
        <v/>
      </c>
      <c r="V342" s="422" t="str">
        <f>IF(OR(D342=0,D342="",D342="Athlete"),"",COUNTIF($D$4:$D342,D342))</f>
        <v/>
      </c>
    </row>
    <row r="343" spans="4:22" hidden="1" x14ac:dyDescent="0.35">
      <c r="D343" s="89">
        <f t="shared" ref="D343:E343" si="171">K156</f>
        <v>0</v>
      </c>
      <c r="E343" s="89">
        <f t="shared" si="171"/>
        <v>0</v>
      </c>
      <c r="T343" s="64" t="str">
        <f t="shared" si="152"/>
        <v/>
      </c>
      <c r="U343" s="64" t="str">
        <f t="shared" si="153"/>
        <v/>
      </c>
      <c r="V343" s="422" t="str">
        <f>IF(OR(D343=0,D343="",D343="Athlete"),"",COUNTIF($D$4:$D343,D343))</f>
        <v/>
      </c>
    </row>
    <row r="344" spans="4:22" hidden="1" x14ac:dyDescent="0.35">
      <c r="D344" s="89">
        <f t="shared" ref="D344:E344" si="172">K157</f>
        <v>0</v>
      </c>
      <c r="E344" s="89">
        <f t="shared" si="172"/>
        <v>0</v>
      </c>
      <c r="T344" s="64" t="str">
        <f t="shared" si="152"/>
        <v/>
      </c>
      <c r="U344" s="64" t="str">
        <f t="shared" si="153"/>
        <v/>
      </c>
      <c r="V344" s="422" t="str">
        <f>IF(OR(D344=0,D344="",D344="Athlete"),"",COUNTIF($D$4:$D344,D344))</f>
        <v/>
      </c>
    </row>
    <row r="345" spans="4:22" hidden="1" x14ac:dyDescent="0.35">
      <c r="D345" s="89">
        <f t="shared" ref="D345:E345" si="173">K158</f>
        <v>0</v>
      </c>
      <c r="E345" s="89">
        <f t="shared" si="173"/>
        <v>0</v>
      </c>
      <c r="T345" s="64" t="str">
        <f t="shared" si="152"/>
        <v/>
      </c>
      <c r="U345" s="64" t="str">
        <f t="shared" si="153"/>
        <v/>
      </c>
      <c r="V345" s="422" t="str">
        <f>IF(OR(D345=0,D345="",D345="Athlete"),"",COUNTIF($D$4:$D345,D345))</f>
        <v/>
      </c>
    </row>
    <row r="346" spans="4:22" hidden="1" x14ac:dyDescent="0.35">
      <c r="D346" s="89">
        <f t="shared" ref="D346:E346" si="174">K159</f>
        <v>0</v>
      </c>
      <c r="E346" s="89">
        <f t="shared" si="174"/>
        <v>0</v>
      </c>
      <c r="T346" s="64" t="str">
        <f t="shared" si="152"/>
        <v/>
      </c>
      <c r="U346" s="64" t="str">
        <f t="shared" si="153"/>
        <v/>
      </c>
      <c r="V346" s="422" t="str">
        <f>IF(OR(D346=0,D346="",D346="Athlete"),"",COUNTIF($D$4:$D346,D346))</f>
        <v/>
      </c>
    </row>
    <row r="347" spans="4:22" hidden="1" x14ac:dyDescent="0.35">
      <c r="D347" s="89">
        <f t="shared" ref="D347:E347" si="175">K160</f>
        <v>0</v>
      </c>
      <c r="E347" s="89">
        <f t="shared" si="175"/>
        <v>0</v>
      </c>
      <c r="T347" s="64" t="str">
        <f t="shared" si="152"/>
        <v/>
      </c>
      <c r="U347" s="64" t="str">
        <f t="shared" si="153"/>
        <v/>
      </c>
      <c r="V347" s="422" t="str">
        <f>IF(OR(D347=0,D347="",D347="Athlete"),"",COUNTIF($D$4:$D347,D347))</f>
        <v/>
      </c>
    </row>
    <row r="348" spans="4:22" hidden="1" x14ac:dyDescent="0.35">
      <c r="D348" s="89">
        <f t="shared" ref="D348:E348" si="176">K161</f>
        <v>0</v>
      </c>
      <c r="E348" s="89">
        <f t="shared" si="176"/>
        <v>0</v>
      </c>
      <c r="T348" s="64" t="str">
        <f t="shared" si="152"/>
        <v/>
      </c>
      <c r="U348" s="64" t="str">
        <f t="shared" si="153"/>
        <v/>
      </c>
      <c r="V348" s="422" t="str">
        <f>IF(OR(D348=0,D348="",D348="Athlete"),"",COUNTIF($D$4:$D348,D348))</f>
        <v/>
      </c>
    </row>
    <row r="349" spans="4:22" hidden="1" x14ac:dyDescent="0.35">
      <c r="D349" s="89">
        <f t="shared" ref="D349:E349" si="177">K162</f>
        <v>0</v>
      </c>
      <c r="E349" s="89">
        <f t="shared" si="177"/>
        <v>0</v>
      </c>
      <c r="T349" s="64" t="str">
        <f t="shared" si="152"/>
        <v/>
      </c>
      <c r="U349" s="64" t="str">
        <f t="shared" si="153"/>
        <v/>
      </c>
      <c r="V349" s="422" t="str">
        <f>IF(OR(D349=0,D349="",D349="Athlete"),"",COUNTIF($D$4:$D349,D349))</f>
        <v/>
      </c>
    </row>
    <row r="350" spans="4:22" hidden="1" x14ac:dyDescent="0.35">
      <c r="D350" s="89">
        <f t="shared" ref="D350:E350" si="178">K163</f>
        <v>0</v>
      </c>
      <c r="E350" s="89">
        <f t="shared" si="178"/>
        <v>0</v>
      </c>
      <c r="T350" s="64" t="str">
        <f t="shared" si="152"/>
        <v/>
      </c>
      <c r="U350" s="64" t="str">
        <f t="shared" si="153"/>
        <v/>
      </c>
      <c r="V350" s="422" t="str">
        <f>IF(OR(D350=0,D350="",D350="Athlete"),"",COUNTIF($D$4:$D350,D350))</f>
        <v/>
      </c>
    </row>
    <row r="351" spans="4:22" hidden="1" x14ac:dyDescent="0.35">
      <c r="D351" s="89">
        <f t="shared" ref="D351:E351" si="179">K164</f>
        <v>0</v>
      </c>
      <c r="E351" s="89">
        <f t="shared" si="179"/>
        <v>0</v>
      </c>
      <c r="T351" s="64" t="str">
        <f t="shared" si="152"/>
        <v/>
      </c>
      <c r="U351" s="64" t="str">
        <f t="shared" si="153"/>
        <v/>
      </c>
      <c r="V351" s="422" t="str">
        <f>IF(OR(D351=0,D351="",D351="Athlete"),"",COUNTIF($D$4:$D351,D351))</f>
        <v/>
      </c>
    </row>
    <row r="352" spans="4:22" hidden="1" x14ac:dyDescent="0.35">
      <c r="D352" s="89">
        <f t="shared" ref="D352:E352" si="180">K165</f>
        <v>0</v>
      </c>
      <c r="E352" s="89">
        <f t="shared" si="180"/>
        <v>0</v>
      </c>
      <c r="T352" s="64" t="str">
        <f t="shared" si="152"/>
        <v/>
      </c>
      <c r="U352" s="64" t="str">
        <f t="shared" si="153"/>
        <v/>
      </c>
      <c r="V352" s="422" t="str">
        <f>IF(OR(D352=0,D352="",D352="Athlete"),"",COUNTIF($D$4:$D352,D352))</f>
        <v/>
      </c>
    </row>
  </sheetData>
  <sheetProtection algorithmName="SHA-512" hashValue="cKBTLdm2fKeUxfmpxXW2qLC34wZlaRCFP5VvyxUTNR+Oc6OataHfgkKdgSkduh9KrtGetri10Xt4MmfAg8JaVw==" saltValue="9Weg8xws6OfsV2vgsN6U9Q=="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2" manualBreakCount="2">
    <brk id="45" min="1" max="13" man="1"/>
    <brk id="89" min="1" max="1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tabColor rgb="FF0070C0"/>
  </sheetPr>
  <dimension ref="A1:AH641"/>
  <sheetViews>
    <sheetView showZeros="0" topLeftCell="B1" zoomScaleNormal="100" zoomScaleSheetLayoutView="100" workbookViewId="0">
      <pane ySplit="1" topLeftCell="A517" activePane="bottomLeft" state="frozen"/>
      <selection activeCell="T1" sqref="T1:W1048576"/>
      <selection pane="bottomLeft" activeCell="AD524" sqref="AD524"/>
    </sheetView>
  </sheetViews>
  <sheetFormatPr defaultColWidth="8.86328125" defaultRowHeight="11.65" x14ac:dyDescent="0.35"/>
  <cols>
    <col min="1" max="1" width="8.86328125" style="468" hidden="1" customWidth="1"/>
    <col min="2" max="2" width="4.73046875" style="467" customWidth="1"/>
    <col min="3" max="3" width="3.86328125" style="468" customWidth="1"/>
    <col min="4" max="4" width="23.265625" style="467" bestFit="1" customWidth="1"/>
    <col min="5" max="5" width="7.86328125" style="467" customWidth="1"/>
    <col min="6" max="6" width="5" style="476" bestFit="1" customWidth="1"/>
    <col min="7" max="7" width="1.73046875" style="467" customWidth="1"/>
    <col min="8" max="9" width="3.86328125" style="467" customWidth="1"/>
    <col min="10" max="10" width="23.265625" style="467" bestFit="1" customWidth="1"/>
    <col min="11" max="11" width="7.86328125" style="467" customWidth="1"/>
    <col min="12" max="12" width="8.1328125" style="466" bestFit="1" customWidth="1"/>
    <col min="13" max="13" width="4" style="466" customWidth="1"/>
    <col min="14" max="14" width="4" style="467" customWidth="1"/>
    <col min="15" max="15" width="8.86328125" style="467"/>
    <col min="16" max="17" width="8.86328125" style="467" hidden="1" customWidth="1"/>
    <col min="18" max="18" width="8.86328125" style="468" hidden="1" customWidth="1"/>
    <col min="19" max="20" width="8.86328125" style="467" hidden="1" customWidth="1"/>
    <col min="21" max="21" width="8.86328125" style="468" hidden="1" customWidth="1"/>
    <col min="22" max="25" width="20.73046875" style="467" hidden="1" customWidth="1"/>
    <col min="26" max="29" width="8.86328125" style="467" hidden="1" customWidth="1"/>
    <col min="30" max="33" width="15.73046875" style="456" customWidth="1"/>
    <col min="34" max="34" width="10.73046875" style="456" customWidth="1"/>
    <col min="35" max="16384" width="8.86328125" style="467"/>
  </cols>
  <sheetData>
    <row r="1" spans="1:29" ht="45" customHeight="1" x14ac:dyDescent="0.35">
      <c r="A1" s="159" t="str">
        <f>"UK ATHLETICS :: YOUTH DEVELOPMENT LEAGUE 2017 "</f>
        <v xml:space="preserve">UK ATHLETICS :: YOUTH DEVELOPMENT LEAGUE 2017 </v>
      </c>
      <c r="B1" s="461" t="str">
        <f>MatchDay!C2&amp;" AGE GROUP"&amp;" "&amp;MatchDay!C3&amp;" "&amp;MatchDay!C4</f>
        <v>LOWER AGE GROUP NORTH East 1</v>
      </c>
      <c r="C1" s="462"/>
      <c r="D1" s="463"/>
      <c r="E1" s="463"/>
      <c r="F1" s="464"/>
      <c r="G1" s="463"/>
      <c r="H1" s="463"/>
      <c r="I1" s="463"/>
      <c r="J1" s="465">
        <f>MatchDay!C7</f>
        <v>43582</v>
      </c>
      <c r="K1" s="461" t="str">
        <f>MatchDay!C8</f>
        <v>@ Doncaster</v>
      </c>
      <c r="P1" s="85" t="s">
        <v>952</v>
      </c>
      <c r="Q1" s="85" t="s">
        <v>1963</v>
      </c>
      <c r="R1" s="85"/>
      <c r="T1" s="467" t="s">
        <v>955</v>
      </c>
      <c r="U1" s="468" t="s">
        <v>956</v>
      </c>
      <c r="Z1" s="501" t="s">
        <v>1262</v>
      </c>
      <c r="AA1" s="501"/>
      <c r="AB1" s="501"/>
      <c r="AC1" s="501"/>
    </row>
    <row r="2" spans="1:29" x14ac:dyDescent="0.35">
      <c r="A2" s="111" t="str">
        <f ca="1">IFERROR(INDIRECT(CONCATENATE("'Timetables'!A"&amp;A5)),"")</f>
        <v>LT01</v>
      </c>
      <c r="B2" s="469" t="str">
        <f ca="1">IFERROR(VLOOKUP(A2,timetables,2,FALSE)&amp;" "&amp;VLOOKUP(A2,timetables,3,FALSE)&amp;" A","")</f>
        <v>70m Hurdles U13 Girls A</v>
      </c>
      <c r="C2" s="469"/>
      <c r="E2" s="470" t="str">
        <f ca="1">IFERROR("Starts "&amp;TEXT(VLOOKUP(A2,timetables,7-MatchDay!$U$7,FALSE),"hh:mm"),"")</f>
        <v>Starts 11:30</v>
      </c>
      <c r="F2" s="471"/>
      <c r="H2" s="472" t="str">
        <f ca="1">IFERROR("Rec: "&amp;TEXT(VLOOKUP(A2,records,5,FALSE),"#0.00")&amp;"s, "&amp;VLOOKUP(A2,records,3,FALSE)&amp;", "&amp;VLOOKUP(A2,records,4,FALSE)&amp;", "&amp;VLOOKUP(A2,records,8,FALSE),"")</f>
        <v>Rec: 10.90s, Lia Bonsu, Croydon Harriers, 2018</v>
      </c>
      <c r="K2" s="473"/>
      <c r="L2" s="474"/>
      <c r="M2" s="467"/>
      <c r="P2" s="468" t="str">
        <f>IFERROR(IF(OR(D2=0,D2="-",D2="",D2=" ",D2=" ",D2="Athlete"),"",IF($A10&gt;0,VLOOKUP(D2,female_reg,3,FALSE)-C2*10,VLOOKUP(D2,male_reg,3,FALSE)-C2*10)),"X")</f>
        <v/>
      </c>
      <c r="Q2" s="468" t="str">
        <f>IFERROR(IF(OR(J2=0,J2="-",J2=" ",J2="",J2=" ",J2="Athlete"),"",IF($A10&gt;0,VLOOKUP(J2,female_reg,3,FALSE)-C2*10,VLOOKUP(J2,male_reg,3,FALSE)-C2*10)),"X")</f>
        <v/>
      </c>
    </row>
    <row r="3" spans="1:29" x14ac:dyDescent="0.35">
      <c r="A3" s="85" t="str">
        <f ca="1">MID(A2,2,3)</f>
        <v>T01</v>
      </c>
      <c r="B3" s="9" t="s">
        <v>786</v>
      </c>
      <c r="C3" s="9" t="s">
        <v>183</v>
      </c>
      <c r="D3" s="46" t="s">
        <v>227</v>
      </c>
      <c r="E3" s="46" t="s">
        <v>228</v>
      </c>
      <c r="F3" s="475"/>
      <c r="G3" s="46"/>
      <c r="H3" s="9" t="s">
        <v>786</v>
      </c>
      <c r="I3" s="9" t="s">
        <v>183</v>
      </c>
      <c r="J3" s="46" t="s">
        <v>227</v>
      </c>
      <c r="K3" s="46" t="s">
        <v>228</v>
      </c>
      <c r="L3" s="475"/>
      <c r="M3" s="475"/>
      <c r="N3" s="52"/>
      <c r="P3" s="468" t="str">
        <f>IFERROR(IF(OR(D3=0,D3="-",D3="",D3=" ",D3=" ",D3="Athlete"),"",IF($A10&gt;0,VLOOKUP(D3,female_reg,3,FALSE)-C3*10,VLOOKUP(D3,male_reg,3,FALSE)-C3*10)),"X")</f>
        <v/>
      </c>
      <c r="Q3" s="468" t="str">
        <f>IFERROR(IF(OR(J3=0,J3="-",J3=" ",J3="",J3=" ",J3="Athlete"),"",IF($A10&gt;0,VLOOKUP(J3,female_reg,3,FALSE)-C3*10,VLOOKUP(J3,male_reg,3,FALSE)-C3*10)),"X")</f>
        <v/>
      </c>
      <c r="T3" s="476"/>
    </row>
    <row r="4" spans="1:29" x14ac:dyDescent="0.35">
      <c r="A4" s="181">
        <f ca="1">IFERROR(VLOOKUP(A2,Timetables!$A:$E,5,FALSE)-1,"")</f>
        <v>35</v>
      </c>
      <c r="B4" s="477">
        <v>1</v>
      </c>
      <c r="C4" s="477">
        <f ca="1">IFERROR(IF(B4&gt;MatchDay!$U$2,"",IF(MatchDay!$D$6=2,"",VLOOKUP(A2,Timetables!$A:$DK,MatchDay!$U$4+B4-MatchDay!$D$6,FALSE))),"")</f>
        <v>4</v>
      </c>
      <c r="D4" s="467" t="str">
        <f ca="1">IFERROR(HLOOKUP(C4,Declarations!$D$2:$S$102,A4,FALSE),"")</f>
        <v>SEDGWICK Emma</v>
      </c>
      <c r="E4" s="467" t="str">
        <f ca="1">IFERROR(VLOOKUP(C4,teamlookup,5,FALSE),"")</f>
        <v>M'bro</v>
      </c>
      <c r="F4" s="466"/>
      <c r="G4" s="476"/>
      <c r="H4" s="477">
        <f>B4</f>
        <v>1</v>
      </c>
      <c r="I4" s="477">
        <f ca="1">IFERROR(C4*11,"")</f>
        <v>44</v>
      </c>
      <c r="J4" s="467" t="str">
        <f ca="1">IFERROR(HLOOKUP(I4,Declarations!$D$2:$S$102,$A4,FALSE),"")</f>
        <v>-</v>
      </c>
      <c r="K4" s="467" t="str">
        <f t="shared" ref="K4:K11" ca="1" si="0">IFERROR(VLOOKUP(I4,teamlookup,5,FALSE),"")</f>
        <v>M'bro</v>
      </c>
      <c r="N4" s="478"/>
      <c r="P4" s="468">
        <f ca="1">IFERROR(IF(OR(D4=0,D4="-",D4="",D4=" ",D4=" ",D4="Athlete"),"",IF($A10&gt;0,VLOOKUP(D4,female_reg,3,FALSE)-C4*10,VLOOKUP(D4,male_reg,3,FALSE)-C4*10)),2)</f>
        <v>1</v>
      </c>
      <c r="Q4" s="468" t="str">
        <f ca="1">IFERROR(IF(OR(J4=0,J4="-",J4=" ",J4="",J4=" ",J4="Athlete"),"",IF($A10&gt;0,VLOOKUP(J4,female_reg,3,FALSE)-C4*10,VLOOKUP(J4,male_reg,3,FALSE)-C4*10)),2)</f>
        <v/>
      </c>
      <c r="T4" s="468">
        <f t="shared" ref="T4:T67" ca="1" si="1">IFERROR(IF(V4="X",0,COUNTIF($V$4:$W$573,V4)),0)</f>
        <v>3</v>
      </c>
      <c r="U4" s="468">
        <f t="shared" ref="U4:U67" ca="1" si="2">IFERROR(IF(W4="X",0,COUNTIF($V$4:$W$573,W4)),0)</f>
        <v>0</v>
      </c>
      <c r="V4" s="467" t="str">
        <f ca="1">IFERROR(IF(OR(D4=0,D4="-",D4="",D4=" ",D4=" "),"X",D4&amp;E4),"X")</f>
        <v>SEDGWICK EmmaM'bro</v>
      </c>
      <c r="W4" s="467" t="str">
        <f ca="1">IFERROR(IF(OR(J4=0,J4="-",J4="",J4=" ",J4=" "),"X",J4&amp;K4),"X")</f>
        <v>X</v>
      </c>
      <c r="Z4" s="467">
        <f t="shared" ref="Z4:Z67" ca="1" si="3">IF(V4="X",0,COUNTIF($V$4:$Y$638,V4))</f>
        <v>4</v>
      </c>
      <c r="AA4" s="467">
        <f t="shared" ref="AA4:AA67" ca="1" si="4">IF(W4="X",0,COUNTIF($V$4:$Y$638,W4))</f>
        <v>0</v>
      </c>
    </row>
    <row r="5" spans="1:29" x14ac:dyDescent="0.35">
      <c r="A5" s="468">
        <v>3</v>
      </c>
      <c r="B5" s="477">
        <v>2</v>
      </c>
      <c r="C5" s="477">
        <f ca="1">IFERROR(IF(B5&gt;MatchDay!$U$2+MatchDay!$D$6-1,"",VLOOKUP(A2,Timetables!$A:$DK,MatchDay!$U$4+B5-MatchDay!$D$6,FALSE)),"")</f>
        <v>5</v>
      </c>
      <c r="D5" s="467">
        <f ca="1">IFERROR(HLOOKUP(C5,Declarations!$D$2:$S$102,A4,FALSE),"")</f>
        <v>0</v>
      </c>
      <c r="E5" s="467" t="str">
        <f t="shared" ref="E5:E11" ca="1" si="5">IFERROR(VLOOKUP(C5,teamlookup,5,FALSE),"")</f>
        <v>Scun</v>
      </c>
      <c r="F5" s="466"/>
      <c r="G5" s="476"/>
      <c r="H5" s="477">
        <f t="shared" ref="H5:H11" si="6">B5</f>
        <v>2</v>
      </c>
      <c r="I5" s="477">
        <f t="shared" ref="I5:I11" ca="1" si="7">IFERROR(C5*11,"")</f>
        <v>55</v>
      </c>
      <c r="J5" s="467">
        <f ca="1">IFERROR(HLOOKUP(I5,Declarations!$D$2:$S$102,$A4,FALSE),"")</f>
        <v>0</v>
      </c>
      <c r="K5" s="467" t="str">
        <f t="shared" ca="1" si="0"/>
        <v>Scun</v>
      </c>
      <c r="N5" s="478"/>
      <c r="P5" s="468" t="str">
        <f ca="1">IFERROR(IF(OR(D5=0,D5="-",D5="",D5=" ",D5=" ",D5="Athlete"),"",IF($A10&gt;0,VLOOKUP(D5,female_reg,3,FALSE)-C5*10,VLOOKUP(D5,male_reg,3,FALSE)-C5*10)),2)</f>
        <v/>
      </c>
      <c r="Q5" s="468" t="str">
        <f ca="1">IFERROR(IF(OR(J5=0,J5="-",J5=" ",J5="",J5=" ",J5="Athlete"),"",IF($A10&gt;0,VLOOKUP(J5,female_reg,3,FALSE)-C5*10,VLOOKUP(J5,male_reg,3,FALSE)-C5*10)),2)</f>
        <v/>
      </c>
      <c r="T5" s="468">
        <f t="shared" ca="1" si="1"/>
        <v>0</v>
      </c>
      <c r="U5" s="468">
        <f t="shared" ca="1" si="2"/>
        <v>0</v>
      </c>
      <c r="V5" s="467" t="str">
        <f t="shared" ref="V5:V11" ca="1" si="8">IFERROR(IF(OR(D5=0,D5="-",D5="",D5=" ",D5=" "),"X",D5&amp;E5),"X")</f>
        <v>X</v>
      </c>
      <c r="W5" s="467" t="str">
        <f t="shared" ref="W5:W11" ca="1" si="9">IFERROR(IF(OR(J5=0,J5="-",J5="",J5=" ",J5=" "),"X",J5&amp;K5),"X")</f>
        <v>X</v>
      </c>
      <c r="Z5" s="467">
        <f t="shared" ca="1" si="3"/>
        <v>0</v>
      </c>
      <c r="AA5" s="467">
        <f t="shared" ca="1" si="4"/>
        <v>0</v>
      </c>
    </row>
    <row r="6" spans="1:29" x14ac:dyDescent="0.35">
      <c r="A6" s="118">
        <f ca="1">IFERROR(VLOOKUP(A2,standards,3,FALSE)+0.01,"-")</f>
        <v>11.91</v>
      </c>
      <c r="B6" s="477">
        <v>3</v>
      </c>
      <c r="C6" s="477">
        <f ca="1">IFERROR(IF(B6&gt;MatchDay!$U$2+MatchDay!$D$6-1,"",VLOOKUP(A2,Timetables!$A:$DK,MatchDay!$U$4+B6-MatchDay!$D$6,FALSE)),"")</f>
        <v>1</v>
      </c>
      <c r="D6" s="467" t="str">
        <f ca="1">IFERROR(HLOOKUP(C6,Declarations!$D$2:$S$102,A4,FALSE),"")</f>
        <v>STANILAND Charlotte</v>
      </c>
      <c r="E6" s="467" t="str">
        <f t="shared" ca="1" si="5"/>
        <v>C'field</v>
      </c>
      <c r="F6" s="466"/>
      <c r="G6" s="476"/>
      <c r="H6" s="477">
        <f t="shared" si="6"/>
        <v>3</v>
      </c>
      <c r="I6" s="477">
        <f t="shared" ca="1" si="7"/>
        <v>11</v>
      </c>
      <c r="J6" s="467" t="str">
        <f ca="1">IFERROR(HLOOKUP(I6,Declarations!$D$2:$S$102,$A4,FALSE),"")</f>
        <v>HALL Lottie</v>
      </c>
      <c r="K6" s="467" t="str">
        <f t="shared" ca="1" si="0"/>
        <v>C'field</v>
      </c>
      <c r="N6" s="478"/>
      <c r="P6" s="468">
        <f ca="1">IFERROR(IF(OR(D6=0,D6="-",D6="",D6=" ",D6=" ",D6="Athlete"),"",IF($A10&gt;0,VLOOKUP(D6,female_reg,3,FALSE)-C6*10,VLOOKUP(D6,male_reg,3,FALSE)-C6*10)),2)</f>
        <v>1</v>
      </c>
      <c r="Q6" s="468">
        <f ca="1">IFERROR(IF(OR(J6=0,J6="-",J6=" ",J6="",J6=" ",J6="Athlete"),"",IF($A10&gt;0,VLOOKUP(J6,female_reg,3,FALSE)-C6*10,VLOOKUP(J6,male_reg,3,FALSE)-C6*10)),2)</f>
        <v>1</v>
      </c>
      <c r="T6" s="468">
        <f t="shared" ca="1" si="1"/>
        <v>3</v>
      </c>
      <c r="U6" s="468">
        <f t="shared" ca="1" si="2"/>
        <v>3</v>
      </c>
      <c r="V6" s="467" t="str">
        <f t="shared" ca="1" si="8"/>
        <v>STANILAND CharlotteC'field</v>
      </c>
      <c r="W6" s="467" t="str">
        <f t="shared" ca="1" si="9"/>
        <v>HALL LottieC'field</v>
      </c>
      <c r="Z6" s="467">
        <f t="shared" ca="1" si="3"/>
        <v>3</v>
      </c>
      <c r="AA6" s="467">
        <f t="shared" ca="1" si="4"/>
        <v>3</v>
      </c>
    </row>
    <row r="7" spans="1:29" x14ac:dyDescent="0.35">
      <c r="A7" s="118">
        <f ca="1">IFERROR(VLOOKUP(A2,standards,4,FALSE)+0.01,"-")</f>
        <v>12.209999999999999</v>
      </c>
      <c r="B7" s="477">
        <v>4</v>
      </c>
      <c r="C7" s="477">
        <f ca="1">IFERROR(IF(B7&gt;MatchDay!$U$2+MatchDay!$D$6-1,"",VLOOKUP(A2,Timetables!$A:$DK,MatchDay!$U$4+B7-MatchDay!$D$6,FALSE)),"")</f>
        <v>3</v>
      </c>
      <c r="D7" s="467" t="str">
        <f ca="1">IFERROR(HLOOKUP(C7,Declarations!$D$2:$S$102,A4,FALSE),"")</f>
        <v>POUNDER Esme</v>
      </c>
      <c r="E7" s="467" t="str">
        <f t="shared" ca="1" si="5"/>
        <v>York</v>
      </c>
      <c r="F7" s="466"/>
      <c r="G7" s="476"/>
      <c r="H7" s="477">
        <f t="shared" si="6"/>
        <v>4</v>
      </c>
      <c r="I7" s="477">
        <f t="shared" ca="1" si="7"/>
        <v>33</v>
      </c>
      <c r="J7" s="467" t="str">
        <f ca="1">IFERROR(HLOOKUP(I7,Declarations!$D$2:$S$102,$A4,FALSE),"")</f>
        <v>GREEN-HEMMINGS Grace</v>
      </c>
      <c r="K7" s="467" t="str">
        <f t="shared" ca="1" si="0"/>
        <v>York</v>
      </c>
      <c r="N7" s="478"/>
      <c r="P7" s="468">
        <f ca="1">IFERROR(IF(OR(D7=0,D7="-",D7="",D7=" ",D7=" ",D7="Athlete"),"",IF($A10&gt;0,VLOOKUP(D7,female_reg,3,FALSE)-C7*10,VLOOKUP(D7,male_reg,3,FALSE)-C7*10)),2)</f>
        <v>1</v>
      </c>
      <c r="Q7" s="468">
        <f ca="1">IFERROR(IF(OR(J7=0,J7="-",J7=" ",J7="",J7=" ",J7="Athlete"),"",IF($A10&gt;0,VLOOKUP(J7,female_reg,3,FALSE)-C7*10,VLOOKUP(J7,male_reg,3,FALSE)-C7*10)),2)</f>
        <v>1</v>
      </c>
      <c r="T7" s="468">
        <f t="shared" ca="1" si="1"/>
        <v>3</v>
      </c>
      <c r="U7" s="468">
        <f t="shared" ca="1" si="2"/>
        <v>2</v>
      </c>
      <c r="V7" s="467" t="str">
        <f t="shared" ca="1" si="8"/>
        <v>POUNDER EsmeYork</v>
      </c>
      <c r="W7" s="467" t="str">
        <f t="shared" ca="1" si="9"/>
        <v>GREEN-HEMMINGS GraceYork</v>
      </c>
      <c r="Z7" s="467">
        <f t="shared" ca="1" si="3"/>
        <v>4</v>
      </c>
      <c r="AA7" s="467">
        <f t="shared" ca="1" si="4"/>
        <v>3</v>
      </c>
    </row>
    <row r="8" spans="1:29" x14ac:dyDescent="0.35">
      <c r="A8" s="118">
        <f ca="1">IFERROR(VLOOKUP(A2,standards,5,FALSE)+0.01,"-")</f>
        <v>12.51</v>
      </c>
      <c r="B8" s="477">
        <v>5</v>
      </c>
      <c r="C8" s="477">
        <f ca="1">IFERROR(IF(B8&gt;MatchDay!$U$2+MatchDay!$D$6-1,"",VLOOKUP(A2,Timetables!$A:$DK,MatchDay!$U$4+B8-MatchDay!$D$6,FALSE)),"")</f>
        <v>2</v>
      </c>
      <c r="D8" s="467" t="str">
        <f ca="1">IFERROR(HLOOKUP(C8,Declarations!$D$2:$S$102,A4,FALSE),"")</f>
        <v>COOPER Amy</v>
      </c>
      <c r="E8" s="467" t="str">
        <f t="shared" ca="1" si="5"/>
        <v>Sheff+D</v>
      </c>
      <c r="F8" s="466"/>
      <c r="G8" s="476"/>
      <c r="H8" s="477">
        <f t="shared" si="6"/>
        <v>5</v>
      </c>
      <c r="I8" s="477">
        <f t="shared" ca="1" si="7"/>
        <v>22</v>
      </c>
      <c r="J8" s="467" t="str">
        <f ca="1">IFERROR(HLOOKUP(I8,Declarations!$D$2:$S$102,$A4,FALSE),"")</f>
        <v>GROVE Abigail</v>
      </c>
      <c r="K8" s="467" t="str">
        <f t="shared" ca="1" si="0"/>
        <v>Sheff+D</v>
      </c>
      <c r="N8" s="478"/>
      <c r="P8" s="468">
        <f ca="1">IFERROR(IF(OR(D8=0,D8="-",D8="",D8=" ",D8=" ",D8="Athlete"),"",IF($A10&gt;0,VLOOKUP(D8,female_reg,3,FALSE)-C8*10,VLOOKUP(D8,male_reg,3,FALSE)-C8*10)),2)</f>
        <v>1</v>
      </c>
      <c r="Q8" s="468">
        <f ca="1">IFERROR(IF(OR(J8=0,J8="-",J8=" ",J8="",J8=" ",J8="Athlete"),"",IF($A10&gt;0,VLOOKUP(J8,female_reg,3,FALSE)-C8*10,VLOOKUP(J8,male_reg,3,FALSE)-C8*10)),2)</f>
        <v>1</v>
      </c>
      <c r="T8" s="468">
        <f t="shared" ca="1" si="1"/>
        <v>2</v>
      </c>
      <c r="U8" s="468">
        <f t="shared" ca="1" si="2"/>
        <v>3</v>
      </c>
      <c r="V8" s="467" t="str">
        <f t="shared" ca="1" si="8"/>
        <v>COOPER AmySheff+D</v>
      </c>
      <c r="W8" s="467" t="str">
        <f ca="1">IFERROR(IF(OR(J8=0,J8="-",J8="",J8=" ",J8=" "),"X",J8&amp;K8),"X")</f>
        <v>GROVE AbigailSheff+D</v>
      </c>
      <c r="Z8" s="467">
        <f t="shared" ca="1" si="3"/>
        <v>2</v>
      </c>
      <c r="AA8" s="467">
        <f t="shared" ca="1" si="4"/>
        <v>4</v>
      </c>
    </row>
    <row r="9" spans="1:29" x14ac:dyDescent="0.35">
      <c r="A9" s="118">
        <f ca="1">IFERROR(VLOOKUP(A2,standards,6,FALSE)+0.01,"-")</f>
        <v>13.31</v>
      </c>
      <c r="B9" s="477">
        <v>6</v>
      </c>
      <c r="C9" s="477" t="str">
        <f>IFERROR(IF(B9&gt;MatchDay!$U$2+MatchDay!$D$6-1,"",VLOOKUP(A2,Timetables!$A:$DK,MatchDay!$U$4+B9-MatchDay!$D$6,FALSE)),"")</f>
        <v/>
      </c>
      <c r="D9" s="467" t="str">
        <f>IFERROR(HLOOKUP(C9,Declarations!$D$2:$S$102,A4,FALSE),"")</f>
        <v/>
      </c>
      <c r="E9" s="467" t="str">
        <f t="shared" si="5"/>
        <v/>
      </c>
      <c r="F9" s="466"/>
      <c r="G9" s="476"/>
      <c r="H9" s="477">
        <f t="shared" si="6"/>
        <v>6</v>
      </c>
      <c r="I9" s="477" t="str">
        <f t="shared" si="7"/>
        <v/>
      </c>
      <c r="J9" s="467" t="str">
        <f>IFERROR(HLOOKUP(I9,Declarations!$D$2:$S$102,$A4,FALSE),"")</f>
        <v/>
      </c>
      <c r="K9" s="467" t="str">
        <f t="shared" si="0"/>
        <v/>
      </c>
      <c r="N9" s="478"/>
      <c r="P9" s="468" t="str">
        <f>IFERROR(IF(OR(D9=0,D9="-",D9="",D9=" ",D9=" ",D9="Athlete"),"",IF($A10&gt;0,VLOOKUP(D9,female_reg,3,FALSE)-C9*10,VLOOKUP(D9,male_reg,3,FALSE)-C9*10)),2)</f>
        <v/>
      </c>
      <c r="Q9" s="468" t="str">
        <f>IFERROR(IF(OR(J9=0,J9="-",J9=" ",J9="",J9=" ",J9="Athlete"),"",IF($A10&gt;0,VLOOKUP(J9,female_reg,3,FALSE)-C9*10,VLOOKUP(J9,male_reg,3,FALSE)-C9*10)),2)</f>
        <v/>
      </c>
      <c r="T9" s="468">
        <f t="shared" si="1"/>
        <v>0</v>
      </c>
      <c r="U9" s="468">
        <f t="shared" si="2"/>
        <v>0</v>
      </c>
      <c r="V9" s="467" t="str">
        <f t="shared" si="8"/>
        <v>X</v>
      </c>
      <c r="W9" s="467" t="str">
        <f t="shared" si="9"/>
        <v>X</v>
      </c>
      <c r="Z9" s="467">
        <f t="shared" si="3"/>
        <v>0</v>
      </c>
      <c r="AA9" s="467">
        <f t="shared" si="4"/>
        <v>0</v>
      </c>
    </row>
    <row r="10" spans="1:29" x14ac:dyDescent="0.35">
      <c r="A10" s="479">
        <f ca="1">IFERROR(SEARCH("Girls",B2),0)</f>
        <v>17</v>
      </c>
      <c r="B10" s="477">
        <v>7</v>
      </c>
      <c r="C10" s="477" t="str">
        <f>IFERROR(IF(B10&gt;MatchDay!$U$2+MatchDay!$D$6-1,"",VLOOKUP(A2,Timetables!$A:$DK,MatchDay!$U$4+B10-MatchDay!$D$6,FALSE)),"")</f>
        <v/>
      </c>
      <c r="D10" s="467" t="str">
        <f>IFERROR(HLOOKUP(C10,Declarations!$D$2:$S$102,A4,FALSE),"")</f>
        <v/>
      </c>
      <c r="E10" s="467" t="str">
        <f t="shared" si="5"/>
        <v/>
      </c>
      <c r="F10" s="466"/>
      <c r="G10" s="476"/>
      <c r="H10" s="477">
        <f t="shared" si="6"/>
        <v>7</v>
      </c>
      <c r="I10" s="477" t="str">
        <f t="shared" si="7"/>
        <v/>
      </c>
      <c r="J10" s="467" t="str">
        <f>IFERROR(HLOOKUP(I10,Declarations!$D$2:$S$102,$A4,FALSE),"")</f>
        <v/>
      </c>
      <c r="K10" s="467" t="str">
        <f t="shared" si="0"/>
        <v/>
      </c>
      <c r="N10" s="478"/>
      <c r="P10" s="468" t="str">
        <f>IFERROR(IF(OR(D10=0,D10="-",D10="",D10=" ",D10=" ",D10="Athlete"),"",IF($A10&gt;0,VLOOKUP(D10,female_reg,3,FALSE)-C10*10,VLOOKUP(D10,male_reg,3,FALSE)-C10*10)),2)</f>
        <v/>
      </c>
      <c r="Q10" s="468" t="str">
        <f>IFERROR(IF(OR(J10=0,J10="-",J10=" ",J10="",J10=" ",J10="Athlete"),"",IF($A10&gt;0,VLOOKUP(J10,female_reg,3,FALSE)-C10*10,VLOOKUP(J10,male_reg,3,FALSE)-C10*10)),2)</f>
        <v/>
      </c>
      <c r="T10" s="468">
        <f t="shared" si="1"/>
        <v>0</v>
      </c>
      <c r="U10" s="468">
        <f t="shared" si="2"/>
        <v>0</v>
      </c>
      <c r="V10" s="467" t="str">
        <f t="shared" si="8"/>
        <v>X</v>
      </c>
      <c r="W10" s="467" t="str">
        <f t="shared" si="9"/>
        <v>X</v>
      </c>
      <c r="Z10" s="467">
        <f t="shared" si="3"/>
        <v>0</v>
      </c>
      <c r="AA10" s="467">
        <f t="shared" si="4"/>
        <v>0</v>
      </c>
    </row>
    <row r="11" spans="1:29" x14ac:dyDescent="0.35">
      <c r="A11" s="116">
        <f ca="1">IFERROR(VLOOKUP(A2,records,5,FALSE),"")</f>
        <v>10.9</v>
      </c>
      <c r="B11" s="477">
        <v>8</v>
      </c>
      <c r="C11" s="477" t="str">
        <f>IFERROR(IF(B11&gt;MatchDay!$U$2+MatchDay!$D$6-1,"",VLOOKUP(A2,Timetables!$A:$DK,MatchDay!$U$4+B11-MatchDay!$D$6,FALSE)),"")</f>
        <v/>
      </c>
      <c r="D11" s="467" t="str">
        <f>IFERROR(HLOOKUP(C11,Declarations!$D$2:$S$102,A4,FALSE),"")</f>
        <v/>
      </c>
      <c r="E11" s="467" t="str">
        <f t="shared" si="5"/>
        <v/>
      </c>
      <c r="F11" s="466"/>
      <c r="G11" s="476"/>
      <c r="H11" s="477">
        <f t="shared" si="6"/>
        <v>8</v>
      </c>
      <c r="I11" s="477" t="str">
        <f t="shared" si="7"/>
        <v/>
      </c>
      <c r="J11" s="467" t="str">
        <f>IFERROR(HLOOKUP(I11,Declarations!$D$2:$S$102,$A4,FALSE),"")</f>
        <v/>
      </c>
      <c r="K11" s="467" t="str">
        <f t="shared" si="0"/>
        <v/>
      </c>
      <c r="N11" s="478"/>
      <c r="P11" s="468" t="str">
        <f>IFERROR(IF(OR(D11=0,D11="-",D11="",D11=" ",D11=" ",D11="Athlete"),"",IF($A10&gt;0,VLOOKUP(D11,female_reg,3,FALSE)-C11*10,VLOOKUP(D11,male_reg,3,FALSE)-C11*10)),2)</f>
        <v/>
      </c>
      <c r="Q11" s="468" t="str">
        <f>IFERROR(IF(OR(J11=0,J11="-",J11=" ",J11="",J11=" ",J11="Athlete"),"",IF($A10&gt;0,VLOOKUP(J11,female_reg,3,FALSE)-C11*10,VLOOKUP(J11,male_reg,3,FALSE)-C11*10)),2)</f>
        <v/>
      </c>
      <c r="T11" s="468">
        <f t="shared" si="1"/>
        <v>0</v>
      </c>
      <c r="U11" s="468">
        <f t="shared" si="2"/>
        <v>0</v>
      </c>
      <c r="V11" s="467" t="str">
        <f t="shared" si="8"/>
        <v>X</v>
      </c>
      <c r="W11" s="467" t="str">
        <f t="shared" si="9"/>
        <v>X</v>
      </c>
      <c r="Z11" s="467">
        <f t="shared" si="3"/>
        <v>0</v>
      </c>
      <c r="AA11" s="467">
        <f t="shared" si="4"/>
        <v>0</v>
      </c>
    </row>
    <row r="12" spans="1:29" x14ac:dyDescent="0.35">
      <c r="P12" s="468" t="str">
        <f>IFERROR(IF(OR(D12=0,D12="-",D12="",D12=" ",D12=" ",D12="Athlete"),"",IF($A10&gt;0,VLOOKUP(D12,female_reg,3,FALSE)-C12*10,VLOOKUP(D12,male_reg,3,FALSE)-C12*10)),"X")</f>
        <v/>
      </c>
      <c r="Q12" s="468" t="str">
        <f>IFERROR(IF(OR(J12=0,J12="-",J12=" ",J12="",J12=" ",J12="Athlete"),"",IF($A10&gt;0,VLOOKUP(J12,female_reg,3,FALSE)-C12*10,VLOOKUP(J12,male_reg,3,FALSE)-C12*10)),"X")</f>
        <v/>
      </c>
      <c r="T12" s="468">
        <f t="shared" ca="1" si="1"/>
        <v>0</v>
      </c>
      <c r="U12" s="468">
        <f t="shared" ca="1" si="2"/>
        <v>0</v>
      </c>
      <c r="Z12" s="467">
        <f t="shared" ca="1" si="3"/>
        <v>0</v>
      </c>
      <c r="AA12" s="467">
        <f t="shared" ca="1" si="4"/>
        <v>0</v>
      </c>
    </row>
    <row r="13" spans="1:29" x14ac:dyDescent="0.35">
      <c r="A13" s="111" t="str">
        <f ca="1">IFERROR(INDIRECT(CONCATENATE("'Timetables'!A"&amp;A16)),"")</f>
        <v>LT02</v>
      </c>
      <c r="B13" s="469" t="str">
        <f ca="1">IFERROR(VLOOKUP(A13,timetables,2,FALSE)&amp;" "&amp;VLOOKUP(A13,timetables,3,FALSE)&amp;" A","")</f>
        <v>75m Hurdles U13 Boys A</v>
      </c>
      <c r="C13" s="469"/>
      <c r="E13" s="470" t="str">
        <f ca="1">IFERROR("Starts "&amp;TEXT(VLOOKUP(A13,timetables,7-MatchDay!$U$7,FALSE),"hh:mm"),"")</f>
        <v>Starts 11:40</v>
      </c>
      <c r="F13" s="471"/>
      <c r="H13" s="472" t="str">
        <f ca="1">IFERROR("Rec: "&amp;TEXT(VLOOKUP(A13,records,5,FALSE),"#0.00")&amp;"s, "&amp;VLOOKUP(A13,records,3,FALSE)&amp;", "&amp;VLOOKUP(A13,records,4,FALSE)&amp;", "&amp;VLOOKUP(A13,records,8,FALSE),"")</f>
        <v>Rec: 11.15s, Reggie Lucas-Merry, Basildon, 2018</v>
      </c>
      <c r="K13" s="473"/>
      <c r="L13" s="474"/>
      <c r="M13" s="467"/>
      <c r="P13" s="468" t="str">
        <f>IFERROR(IF(OR(D13=0,D13="-",D13="",D13=" ",D13=" ",D13="Athlete"),"",IF($A21&gt;0,VLOOKUP(D13,female_reg,3,FALSE)-C13*10,VLOOKUP(D13,male_reg,3,FALSE)-C13*10)),"X")</f>
        <v/>
      </c>
      <c r="Q13" s="468" t="str">
        <f>IFERROR(IF(OR(J13=0,J13="-",J13=" ",J13="",J13=" ",J13="Athlete"),"",IF($A21&gt;0,VLOOKUP(J13,female_reg,3,FALSE)-C13*10,VLOOKUP(J13,male_reg,3,FALSE)-C13*10)),"X")</f>
        <v/>
      </c>
      <c r="T13" s="468">
        <f t="shared" ca="1" si="1"/>
        <v>0</v>
      </c>
      <c r="U13" s="468">
        <f t="shared" ca="1" si="2"/>
        <v>0</v>
      </c>
      <c r="Z13" s="467">
        <f t="shared" ca="1" si="3"/>
        <v>0</v>
      </c>
      <c r="AA13" s="467">
        <f t="shared" ca="1" si="4"/>
        <v>0</v>
      </c>
    </row>
    <row r="14" spans="1:29" x14ac:dyDescent="0.35">
      <c r="A14" s="85" t="str">
        <f ca="1">MID(A13,2,3)</f>
        <v>T02</v>
      </c>
      <c r="B14" s="9" t="s">
        <v>786</v>
      </c>
      <c r="C14" s="9" t="s">
        <v>183</v>
      </c>
      <c r="D14" s="46" t="s">
        <v>227</v>
      </c>
      <c r="E14" s="46" t="s">
        <v>228</v>
      </c>
      <c r="F14" s="475"/>
      <c r="G14" s="46"/>
      <c r="H14" s="9" t="s">
        <v>786</v>
      </c>
      <c r="I14" s="9" t="s">
        <v>183</v>
      </c>
      <c r="J14" s="46" t="s">
        <v>227</v>
      </c>
      <c r="K14" s="46" t="s">
        <v>228</v>
      </c>
      <c r="L14" s="475"/>
      <c r="M14" s="475"/>
      <c r="N14" s="52"/>
      <c r="P14" s="468" t="str">
        <f>IFERROR(IF(OR(D14=0,D14="-",D14="",D14=" ",D14=" ",D14="Athlete"),"",IF($A21&gt;0,VLOOKUP(D14,female_reg,3,FALSE)-C14*10,VLOOKUP(D14,male_reg,3,FALSE)-C14*10)),"X")</f>
        <v/>
      </c>
      <c r="Q14" s="468" t="str">
        <f>IFERROR(IF(OR(J14=0,J14="-",J14=" ",J14="",J14=" ",J14="Athlete"),"",IF($A21&gt;0,VLOOKUP(J14,female_reg,3,FALSE)-C14*10,VLOOKUP(J14,male_reg,3,FALSE)-C14*10)),"X")</f>
        <v/>
      </c>
      <c r="T14" s="468">
        <f t="shared" ca="1" si="1"/>
        <v>0</v>
      </c>
      <c r="U14" s="468">
        <f t="shared" ca="1" si="2"/>
        <v>0</v>
      </c>
      <c r="Z14" s="467">
        <f t="shared" ca="1" si="3"/>
        <v>0</v>
      </c>
      <c r="AA14" s="467">
        <f t="shared" ca="1" si="4"/>
        <v>0</v>
      </c>
    </row>
    <row r="15" spans="1:29" x14ac:dyDescent="0.35">
      <c r="A15" s="181">
        <f ca="1">IFERROR(VLOOKUP(A13,Timetables!$A:$E,5,FALSE)-1,"")</f>
        <v>85</v>
      </c>
      <c r="B15" s="477">
        <v>1</v>
      </c>
      <c r="C15" s="477">
        <f ca="1">IFERROR(IF(B15&gt;MatchDay!$U$2,"",IF(MatchDay!$D$6=2,"",VLOOKUP(A13,Timetables!$A:$DK,MatchDay!$U$4+B15-MatchDay!$D$6,FALSE))),"")</f>
        <v>4</v>
      </c>
      <c r="D15" s="467" t="str">
        <f ca="1">IFERROR(HLOOKUP(C15,Declarations!$D$2:$S$102,A15,FALSE),"")</f>
        <v>BAKER Edward</v>
      </c>
      <c r="E15" s="467" t="str">
        <f ca="1">IFERROR(VLOOKUP(C15,teamlookup,5,FALSE),"")</f>
        <v>M'bro</v>
      </c>
      <c r="F15" s="466"/>
      <c r="G15" s="476"/>
      <c r="H15" s="477">
        <v>1</v>
      </c>
      <c r="I15" s="477">
        <f ca="1">IFERROR(C15*11,"")</f>
        <v>44</v>
      </c>
      <c r="J15" s="467" t="str">
        <f ca="1">IFERROR(HLOOKUP(I15,Declarations!$D$2:$S$102,$A15,FALSE),"")</f>
        <v>-</v>
      </c>
      <c r="K15" s="467" t="str">
        <f t="shared" ref="K15:K22" ca="1" si="10">IFERROR(VLOOKUP(I15,teamlookup,5,FALSE),"")</f>
        <v>M'bro</v>
      </c>
      <c r="N15" s="478"/>
      <c r="P15" s="468">
        <f ca="1">IFERROR(IF(OR(D15=0,D15="-",D15="",D15=" ",D15=" ",D15="Athlete"),"",IF($A21&gt;0,VLOOKUP(D15,female_reg,3,FALSE)-C15*10,VLOOKUP(D15,male_reg,3,FALSE)-C15*10)),2)</f>
        <v>1</v>
      </c>
      <c r="Q15" s="468" t="str">
        <f ca="1">IFERROR(IF(OR(J15=0,J15="-",J15=" ",J15="",J15=" ",J15="Athlete"),"",IF($A21&gt;0,VLOOKUP(J15,female_reg,3,FALSE)-C15*10,VLOOKUP(J15,male_reg,3,FALSE)-C15*10)),2)</f>
        <v/>
      </c>
      <c r="T15" s="468">
        <f t="shared" ca="1" si="1"/>
        <v>3</v>
      </c>
      <c r="U15" s="468">
        <f t="shared" ca="1" si="2"/>
        <v>0</v>
      </c>
      <c r="V15" s="467" t="str">
        <f t="shared" ref="V15:V22" ca="1" si="11">IFERROR(IF(OR(D15=0,D15="-",D15="",D15=" ",D15=" "),"X",D15&amp;E15),"X")</f>
        <v>BAKER EdwardM'bro</v>
      </c>
      <c r="W15" s="467" t="str">
        <f t="shared" ref="W15:W22" ca="1" si="12">IFERROR(IF(OR(J15=0,J15="-",J15="",J15=" ",J15=" "),"X",J15&amp;K15),"X")</f>
        <v>X</v>
      </c>
      <c r="Z15" s="467">
        <f t="shared" ca="1" si="3"/>
        <v>3</v>
      </c>
      <c r="AA15" s="467">
        <f t="shared" ca="1" si="4"/>
        <v>0</v>
      </c>
    </row>
    <row r="16" spans="1:29" x14ac:dyDescent="0.35">
      <c r="A16" s="468">
        <f>A5+1</f>
        <v>4</v>
      </c>
      <c r="B16" s="477">
        <v>2</v>
      </c>
      <c r="C16" s="477">
        <f ca="1">IFERROR(IF(B16&gt;MatchDay!$U$2+MatchDay!$D$6-1,"",VLOOKUP(A13,Timetables!$A:$DK,MatchDay!$U$4+B16-MatchDay!$D$6,FALSE)),"")</f>
        <v>5</v>
      </c>
      <c r="D16" s="467">
        <f ca="1">IFERROR(HLOOKUP(C16,Declarations!$D$2:$S$102,A15,FALSE),"")</f>
        <v>0</v>
      </c>
      <c r="E16" s="467" t="str">
        <f t="shared" ref="E16:E22" ca="1" si="13">IFERROR(VLOOKUP(C16,teamlookup,5,FALSE),"")</f>
        <v>Scun</v>
      </c>
      <c r="F16" s="466"/>
      <c r="G16" s="476"/>
      <c r="H16" s="477">
        <v>2</v>
      </c>
      <c r="I16" s="477">
        <f t="shared" ref="I16:I22" ca="1" si="14">IFERROR(C16*11,"")</f>
        <v>55</v>
      </c>
      <c r="J16" s="467">
        <f ca="1">IFERROR(HLOOKUP(I16,Declarations!$D$2:$S$102,$A15,FALSE),"")</f>
        <v>0</v>
      </c>
      <c r="K16" s="467" t="str">
        <f t="shared" ca="1" si="10"/>
        <v>Scun</v>
      </c>
      <c r="N16" s="478"/>
      <c r="P16" s="468" t="str">
        <f ca="1">IFERROR(IF(OR(D16=0,D16="-",D16="",D16=" ",D16=" ",D16="Athlete"),"",IF($A21&gt;0,VLOOKUP(D16,female_reg,3,FALSE)-C16*10,VLOOKUP(D16,male_reg,3,FALSE)-C16*10)),2)</f>
        <v/>
      </c>
      <c r="Q16" s="468" t="str">
        <f ca="1">IFERROR(IF(OR(J16=0,J16="-",J16=" ",J16="",J16=" ",J16="Athlete"),"",IF($A21&gt;0,VLOOKUP(J16,female_reg,3,FALSE)-C16*10,VLOOKUP(J16,male_reg,3,FALSE)-C16*10)),2)</f>
        <v/>
      </c>
      <c r="T16" s="468">
        <f t="shared" ca="1" si="1"/>
        <v>0</v>
      </c>
      <c r="U16" s="468">
        <f t="shared" ca="1" si="2"/>
        <v>0</v>
      </c>
      <c r="V16" s="467" t="str">
        <f t="shared" ca="1" si="11"/>
        <v>X</v>
      </c>
      <c r="W16" s="467" t="str">
        <f t="shared" ca="1" si="12"/>
        <v>X</v>
      </c>
      <c r="Z16" s="467">
        <f t="shared" ca="1" si="3"/>
        <v>0</v>
      </c>
      <c r="AA16" s="467">
        <f t="shared" ca="1" si="4"/>
        <v>0</v>
      </c>
    </row>
    <row r="17" spans="1:27" x14ac:dyDescent="0.35">
      <c r="A17" s="118">
        <f ca="1">IFERROR(VLOOKUP(A13,standards,3,FALSE)+0.01,"-")</f>
        <v>12.91</v>
      </c>
      <c r="B17" s="477">
        <v>3</v>
      </c>
      <c r="C17" s="477">
        <f ca="1">IFERROR(IF(B17&gt;MatchDay!$U$2+MatchDay!$D$6-1,"",VLOOKUP(A13,Timetables!$A:$DK,MatchDay!$U$4+B17-MatchDay!$D$6,FALSE)),"")</f>
        <v>1</v>
      </c>
      <c r="D17" s="467">
        <f ca="1">IFERROR(HLOOKUP(C17,Declarations!$D$2:$S$102,A15,FALSE),"")</f>
        <v>0</v>
      </c>
      <c r="E17" s="467" t="str">
        <f t="shared" ca="1" si="13"/>
        <v>C'field</v>
      </c>
      <c r="F17" s="466"/>
      <c r="G17" s="476"/>
      <c r="H17" s="477">
        <v>3</v>
      </c>
      <c r="I17" s="477">
        <f t="shared" ca="1" si="14"/>
        <v>11</v>
      </c>
      <c r="J17" s="467">
        <f ca="1">IFERROR(HLOOKUP(I17,Declarations!$D$2:$S$102,$A15,FALSE),"")</f>
        <v>0</v>
      </c>
      <c r="K17" s="467" t="str">
        <f t="shared" ca="1" si="10"/>
        <v>C'field</v>
      </c>
      <c r="N17" s="478"/>
      <c r="P17" s="468" t="str">
        <f ca="1">IFERROR(IF(OR(D17=0,D17="-",D17="",D17=" ",D17=" ",D17="Athlete"),"",IF($A21&gt;0,VLOOKUP(D17,female_reg,3,FALSE)-C17*10,VLOOKUP(D17,male_reg,3,FALSE)-C17*10)),2)</f>
        <v/>
      </c>
      <c r="Q17" s="468" t="str">
        <f ca="1">IFERROR(IF(OR(J17=0,J17="-",J17=" ",J17="",J17=" ",J17="Athlete"),"",IF($A21&gt;0,VLOOKUP(J17,female_reg,3,FALSE)-C17*10,VLOOKUP(J17,male_reg,3,FALSE)-C17*10)),2)</f>
        <v/>
      </c>
      <c r="T17" s="468">
        <f t="shared" ca="1" si="1"/>
        <v>0</v>
      </c>
      <c r="U17" s="468">
        <f t="shared" ca="1" si="2"/>
        <v>0</v>
      </c>
      <c r="V17" s="467" t="str">
        <f t="shared" ca="1" si="11"/>
        <v>X</v>
      </c>
      <c r="W17" s="467" t="str">
        <f t="shared" ca="1" si="12"/>
        <v>X</v>
      </c>
      <c r="Z17" s="467">
        <f t="shared" ca="1" si="3"/>
        <v>0</v>
      </c>
      <c r="AA17" s="467">
        <f t="shared" ca="1" si="4"/>
        <v>0</v>
      </c>
    </row>
    <row r="18" spans="1:27" x14ac:dyDescent="0.35">
      <c r="A18" s="118">
        <f ca="1">IFERROR(VLOOKUP(A13,standards,4,FALSE)+0.01,"-")</f>
        <v>13.31</v>
      </c>
      <c r="B18" s="477">
        <v>4</v>
      </c>
      <c r="C18" s="477">
        <f ca="1">IFERROR(IF(B18&gt;MatchDay!$U$2+MatchDay!$D$6-1,"",VLOOKUP(A13,Timetables!$A:$DK,MatchDay!$U$4+B18-MatchDay!$D$6,FALSE)),"")</f>
        <v>3</v>
      </c>
      <c r="D18" s="467" t="str">
        <f ca="1">IFERROR(HLOOKUP(C18,Declarations!$D$2:$S$102,A15,FALSE),"")</f>
        <v>HICKLING William</v>
      </c>
      <c r="E18" s="467" t="str">
        <f t="shared" ca="1" si="13"/>
        <v>York</v>
      </c>
      <c r="F18" s="466"/>
      <c r="G18" s="476"/>
      <c r="H18" s="477">
        <v>4</v>
      </c>
      <c r="I18" s="477">
        <f t="shared" ca="1" si="14"/>
        <v>33</v>
      </c>
      <c r="J18" s="467" t="str">
        <f ca="1">IFERROR(HLOOKUP(I18,Declarations!$D$2:$S$102,$A15,FALSE),"")</f>
        <v>JONES Alex</v>
      </c>
      <c r="K18" s="467" t="str">
        <f t="shared" ca="1" si="10"/>
        <v>York</v>
      </c>
      <c r="N18" s="478"/>
      <c r="P18" s="468">
        <f ca="1">IFERROR(IF(OR(D18=0,D18="-",D18="",D18=" ",D18=" ",D18="Athlete"),"",IF($A21&gt;0,VLOOKUP(D18,female_reg,3,FALSE)-C18*10,VLOOKUP(D18,male_reg,3,FALSE)-C18*10)),2)</f>
        <v>0</v>
      </c>
      <c r="Q18" s="468">
        <f ca="1">IFERROR(IF(OR(J18=0,J18="-",J18=" ",J18="",J18=" ",J18="Athlete"),"",IF($A21&gt;0,VLOOKUP(J18,female_reg,3,FALSE)-C18*10,VLOOKUP(J18,male_reg,3,FALSE)-C18*10)),2)</f>
        <v>1</v>
      </c>
      <c r="T18" s="468">
        <f t="shared" ca="1" si="1"/>
        <v>2</v>
      </c>
      <c r="U18" s="468">
        <f t="shared" ca="1" si="2"/>
        <v>3</v>
      </c>
      <c r="V18" s="467" t="str">
        <f t="shared" ca="1" si="11"/>
        <v>HICKLING WilliamYork</v>
      </c>
      <c r="W18" s="467" t="str">
        <f t="shared" ca="1" si="12"/>
        <v>JONES AlexYork</v>
      </c>
      <c r="Z18" s="467">
        <f t="shared" ca="1" si="3"/>
        <v>3</v>
      </c>
      <c r="AA18" s="467">
        <f t="shared" ca="1" si="4"/>
        <v>3</v>
      </c>
    </row>
    <row r="19" spans="1:27" x14ac:dyDescent="0.35">
      <c r="A19" s="118">
        <f ca="1">IFERROR(VLOOKUP(A13,standards,5,FALSE)+0.01,"-")</f>
        <v>14.209999999999999</v>
      </c>
      <c r="B19" s="477">
        <v>5</v>
      </c>
      <c r="C19" s="477">
        <f ca="1">IFERROR(IF(B19&gt;MatchDay!$U$2+MatchDay!$D$6-1,"",VLOOKUP(A13,Timetables!$A:$DK,MatchDay!$U$4+B19-MatchDay!$D$6,FALSE)),"")</f>
        <v>2</v>
      </c>
      <c r="D19" s="467" t="str">
        <f ca="1">IFERROR(HLOOKUP(C19,Declarations!$D$2:$S$102,A15,FALSE),"")</f>
        <v>MAY Rudi</v>
      </c>
      <c r="E19" s="467" t="str">
        <f t="shared" ca="1" si="13"/>
        <v>Sheff+D</v>
      </c>
      <c r="F19" s="466"/>
      <c r="G19" s="476"/>
      <c r="H19" s="477">
        <v>5</v>
      </c>
      <c r="I19" s="477">
        <f t="shared" ca="1" si="14"/>
        <v>22</v>
      </c>
      <c r="J19" s="467" t="str">
        <f ca="1">IFERROR(HLOOKUP(I19,Declarations!$D$2:$S$102,$A15,FALSE),"")</f>
        <v>REILLY Arthur</v>
      </c>
      <c r="K19" s="467" t="str">
        <f t="shared" ca="1" si="10"/>
        <v>Sheff+D</v>
      </c>
      <c r="N19" s="478"/>
      <c r="P19" s="468">
        <f ca="1">IFERROR(IF(OR(D19=0,D19="-",D19="",D19=" ",D19=" ",D19="Athlete"),"",IF($A21&gt;0,VLOOKUP(D19,female_reg,3,FALSE)-C19*10,VLOOKUP(D19,male_reg,3,FALSE)-C19*10)),2)</f>
        <v>1</v>
      </c>
      <c r="Q19" s="468">
        <f ca="1">IFERROR(IF(OR(J19=0,J19="-",J19=" ",J19="",J19=" ",J19="Athlete"),"",IF($A21&gt;0,VLOOKUP(J19,female_reg,3,FALSE)-C19*10,VLOOKUP(J19,male_reg,3,FALSE)-C19*10)),2)</f>
        <v>1</v>
      </c>
      <c r="T19" s="468">
        <f t="shared" ca="1" si="1"/>
        <v>3</v>
      </c>
      <c r="U19" s="468">
        <f t="shared" ca="1" si="2"/>
        <v>3</v>
      </c>
      <c r="V19" s="467" t="str">
        <f t="shared" ca="1" si="11"/>
        <v>MAY RudiSheff+D</v>
      </c>
      <c r="W19" s="467" t="str">
        <f t="shared" ca="1" si="12"/>
        <v>REILLY ArthurSheff+D</v>
      </c>
      <c r="Z19" s="467">
        <f t="shared" ca="1" si="3"/>
        <v>4</v>
      </c>
      <c r="AA19" s="467">
        <f t="shared" ca="1" si="4"/>
        <v>4</v>
      </c>
    </row>
    <row r="20" spans="1:27" x14ac:dyDescent="0.35">
      <c r="A20" s="118">
        <f ca="1">IFERROR(VLOOKUP(A13,standards,6,FALSE)+0.01,"-")</f>
        <v>15.31</v>
      </c>
      <c r="B20" s="477">
        <v>6</v>
      </c>
      <c r="C20" s="477" t="str">
        <f>IFERROR(IF(B20&gt;MatchDay!$U$2+MatchDay!$D$6-1,"",VLOOKUP(A13,Timetables!$A:$DK,MatchDay!$U$4+B20-MatchDay!$D$6,FALSE)),"")</f>
        <v/>
      </c>
      <c r="D20" s="467" t="str">
        <f>IFERROR(HLOOKUP(C20,Declarations!$D$2:$S$102,A15,FALSE),"")</f>
        <v/>
      </c>
      <c r="E20" s="467" t="str">
        <f t="shared" si="13"/>
        <v/>
      </c>
      <c r="F20" s="466"/>
      <c r="G20" s="476"/>
      <c r="H20" s="477">
        <v>6</v>
      </c>
      <c r="I20" s="477" t="str">
        <f t="shared" si="14"/>
        <v/>
      </c>
      <c r="J20" s="467" t="str">
        <f>IFERROR(HLOOKUP(I20,Declarations!$D$2:$S$102,$A15,FALSE),"")</f>
        <v/>
      </c>
      <c r="K20" s="467" t="str">
        <f t="shared" si="10"/>
        <v/>
      </c>
      <c r="N20" s="478"/>
      <c r="P20" s="468" t="str">
        <f>IFERROR(IF(OR(D20=0,D20="-",D20="",D20=" ",D20=" ",D20="Athlete"),"",IF($A21&gt;0,VLOOKUP(D20,female_reg,3,FALSE)-C20*10,VLOOKUP(D20,male_reg,3,FALSE)-C20*10)),2)</f>
        <v/>
      </c>
      <c r="Q20" s="468" t="str">
        <f>IFERROR(IF(OR(J20=0,J20="-",J20=" ",J20="",J20=" ",J20="Athlete"),"",IF($A21&gt;0,VLOOKUP(J20,female_reg,3,FALSE)-C20*10,VLOOKUP(J20,male_reg,3,FALSE)-C20*10)),2)</f>
        <v/>
      </c>
      <c r="T20" s="468">
        <f t="shared" si="1"/>
        <v>0</v>
      </c>
      <c r="U20" s="468">
        <f t="shared" si="2"/>
        <v>0</v>
      </c>
      <c r="V20" s="467" t="str">
        <f t="shared" si="11"/>
        <v>X</v>
      </c>
      <c r="W20" s="467" t="str">
        <f t="shared" si="12"/>
        <v>X</v>
      </c>
      <c r="Z20" s="467">
        <f t="shared" si="3"/>
        <v>0</v>
      </c>
      <c r="AA20" s="467">
        <f t="shared" si="4"/>
        <v>0</v>
      </c>
    </row>
    <row r="21" spans="1:27" x14ac:dyDescent="0.35">
      <c r="A21" s="479">
        <f ca="1">IFERROR(SEARCH("Girls",B13),0)</f>
        <v>0</v>
      </c>
      <c r="B21" s="477">
        <v>7</v>
      </c>
      <c r="C21" s="477" t="str">
        <f>IFERROR(IF(B21&gt;MatchDay!$U$2+MatchDay!$D$6-1,"",VLOOKUP(A13,Timetables!$A:$DK,MatchDay!$U$4+B21-MatchDay!$D$6,FALSE)),"")</f>
        <v/>
      </c>
      <c r="D21" s="467" t="str">
        <f>IFERROR(HLOOKUP(C21,Declarations!$D$2:$S$102,A15,FALSE),"")</f>
        <v/>
      </c>
      <c r="E21" s="467" t="str">
        <f t="shared" si="13"/>
        <v/>
      </c>
      <c r="F21" s="466"/>
      <c r="G21" s="476"/>
      <c r="H21" s="477">
        <v>7</v>
      </c>
      <c r="I21" s="477" t="str">
        <f t="shared" si="14"/>
        <v/>
      </c>
      <c r="J21" s="467" t="str">
        <f>IFERROR(HLOOKUP(I21,Declarations!$D$2:$S$102,$A15,FALSE),"")</f>
        <v/>
      </c>
      <c r="K21" s="467" t="str">
        <f t="shared" si="10"/>
        <v/>
      </c>
      <c r="N21" s="478"/>
      <c r="P21" s="468" t="str">
        <f>IFERROR(IF(OR(D21=0,D21="-",D21="",D21=" ",D21=" ",D21="Athlete"),"",IF($A21&gt;0,VLOOKUP(D21,female_reg,3,FALSE)-C21*10,VLOOKUP(D21,male_reg,3,FALSE)-C21*10)),2)</f>
        <v/>
      </c>
      <c r="Q21" s="468" t="str">
        <f>IFERROR(IF(OR(J21=0,J21="-",J21=" ",J21="",J21=" ",J21="Athlete"),"",IF($A21&gt;0,VLOOKUP(J21,female_reg,3,FALSE)-C21*10,VLOOKUP(J21,male_reg,3,FALSE)-C21*10)),2)</f>
        <v/>
      </c>
      <c r="T21" s="468">
        <f t="shared" si="1"/>
        <v>0</v>
      </c>
      <c r="U21" s="468">
        <f t="shared" si="2"/>
        <v>0</v>
      </c>
      <c r="V21" s="467" t="str">
        <f t="shared" si="11"/>
        <v>X</v>
      </c>
      <c r="W21" s="467" t="str">
        <f t="shared" si="12"/>
        <v>X</v>
      </c>
      <c r="Z21" s="467">
        <f t="shared" si="3"/>
        <v>0</v>
      </c>
      <c r="AA21" s="467">
        <f t="shared" si="4"/>
        <v>0</v>
      </c>
    </row>
    <row r="22" spans="1:27" x14ac:dyDescent="0.35">
      <c r="A22" s="116">
        <f ca="1">IFERROR(VLOOKUP(A13,records,5,FALSE),"")</f>
        <v>11.15</v>
      </c>
      <c r="B22" s="477">
        <v>8</v>
      </c>
      <c r="C22" s="477" t="str">
        <f>IFERROR(IF(B22&gt;MatchDay!$U$2+MatchDay!$D$6-1,"",VLOOKUP(A13,Timetables!$A:$DK,MatchDay!$U$4+B22-MatchDay!$D$6,FALSE)),"")</f>
        <v/>
      </c>
      <c r="D22" s="467" t="str">
        <f>IFERROR(HLOOKUP(C22,Declarations!$D$2:$S$102,A15,FALSE),"")</f>
        <v/>
      </c>
      <c r="E22" s="467" t="str">
        <f t="shared" si="13"/>
        <v/>
      </c>
      <c r="F22" s="466"/>
      <c r="G22" s="476"/>
      <c r="H22" s="477">
        <v>8</v>
      </c>
      <c r="I22" s="477" t="str">
        <f t="shared" si="14"/>
        <v/>
      </c>
      <c r="J22" s="467" t="str">
        <f>IFERROR(HLOOKUP(I22,Declarations!$D$2:$S$102,$A15,FALSE),"")</f>
        <v/>
      </c>
      <c r="K22" s="467" t="str">
        <f t="shared" si="10"/>
        <v/>
      </c>
      <c r="N22" s="478"/>
      <c r="P22" s="468" t="str">
        <f>IFERROR(IF(OR(D22=0,D22="-",D22="",D22=" ",D22=" ",D22="Athlete"),"",IF($A21&gt;0,VLOOKUP(D22,female_reg,3,FALSE)-C22*10,VLOOKUP(D22,male_reg,3,FALSE)-C22*10)),2)</f>
        <v/>
      </c>
      <c r="Q22" s="468" t="str">
        <f>IFERROR(IF(OR(J22=0,J22="-",J22=" ",J22="",J22=" ",J22="Athlete"),"",IF($A21&gt;0,VLOOKUP(J22,female_reg,3,FALSE)-C22*10,VLOOKUP(J22,male_reg,3,FALSE)-C22*10)),2)</f>
        <v/>
      </c>
      <c r="T22" s="468">
        <f t="shared" si="1"/>
        <v>0</v>
      </c>
      <c r="U22" s="468">
        <f t="shared" si="2"/>
        <v>0</v>
      </c>
      <c r="V22" s="467" t="str">
        <f t="shared" si="11"/>
        <v>X</v>
      </c>
      <c r="W22" s="467" t="str">
        <f t="shared" si="12"/>
        <v>X</v>
      </c>
      <c r="Z22" s="467">
        <f t="shared" si="3"/>
        <v>0</v>
      </c>
      <c r="AA22" s="467">
        <f t="shared" si="4"/>
        <v>0</v>
      </c>
    </row>
    <row r="23" spans="1:27" x14ac:dyDescent="0.35">
      <c r="P23" s="468" t="str">
        <f>IFERROR(IF(OR(D23=0,D23="-",D23="",D23=" ",D23=" ",D23="Athlete"),"",IF($A21&gt;0,VLOOKUP(D23,female_reg,3,FALSE)-C23*10,VLOOKUP(D23,male_reg,3,FALSE)-C23*10)),"X")</f>
        <v/>
      </c>
      <c r="Q23" s="468" t="str">
        <f>IFERROR(IF(OR(J23=0,J23="-",J23=" ",J23="",J23=" ",J23="Athlete"),"",IF($A21&gt;0,VLOOKUP(J23,female_reg,3,FALSE)-C23*10,VLOOKUP(J23,male_reg,3,FALSE)-C23*10)),"X")</f>
        <v/>
      </c>
      <c r="T23" s="468">
        <f t="shared" ca="1" si="1"/>
        <v>0</v>
      </c>
      <c r="U23" s="468">
        <f t="shared" ca="1" si="2"/>
        <v>0</v>
      </c>
      <c r="Z23" s="467">
        <f t="shared" ca="1" si="3"/>
        <v>0</v>
      </c>
      <c r="AA23" s="467">
        <f t="shared" ca="1" si="4"/>
        <v>0</v>
      </c>
    </row>
    <row r="24" spans="1:27" x14ac:dyDescent="0.35">
      <c r="A24" s="111" t="str">
        <f ca="1">IFERROR(INDIRECT(CONCATENATE("'Timetables'!A"&amp;A27)),"")</f>
        <v>LT03</v>
      </c>
      <c r="B24" s="469" t="str">
        <f ca="1">IFERROR(VLOOKUP(A24,timetables,2,FALSE)&amp;" "&amp;VLOOKUP(A24,timetables,3,FALSE)&amp;" A","")</f>
        <v>75m Hurdles U15 Girls A</v>
      </c>
      <c r="C24" s="469"/>
      <c r="E24" s="470" t="str">
        <f ca="1">"Starts "&amp;TEXT(VLOOKUP(A24,timetables,7-MatchDay!$U$7,FALSE),"hh:mm")</f>
        <v>Starts 11:50</v>
      </c>
      <c r="F24" s="471"/>
      <c r="H24" s="472" t="str">
        <f ca="1">IFERROR("Rec: "&amp;TEXT(VLOOKUP(A24,records,5,FALSE),"#0.00")&amp;"s, "&amp;VLOOKUP(A24,records,3,FALSE)&amp;", "&amp;VLOOKUP(A24,records,4,FALSE)&amp;", "&amp;VLOOKUP(A24,records,8,FALSE),"")</f>
        <v>Rec: 11.10s, Niamh McGuigan, Hillingdon AC, 2013</v>
      </c>
      <c r="K24" s="473"/>
      <c r="L24" s="474"/>
      <c r="M24" s="467"/>
      <c r="P24" s="468" t="str">
        <f>IFERROR(IF(OR(D24=0,D24="-",D24="",D24=" ",D24=" ",D24="Athlete"),"",IF($A32&gt;0,VLOOKUP(D24,female_reg,3,FALSE)-C24*10,VLOOKUP(D24,male_reg,3,FALSE)-C24*10)),"X")</f>
        <v/>
      </c>
      <c r="Q24" s="468" t="str">
        <f>IFERROR(IF(OR(J24=0,J24="-",J24=" ",J24="",J24=" ",J24="Athlete"),"",IF($A32&gt;0,VLOOKUP(J24,female_reg,3,FALSE)-C24*10,VLOOKUP(J24,male_reg,3,FALSE)-C24*10)),"X")</f>
        <v/>
      </c>
      <c r="T24" s="468">
        <f t="shared" ca="1" si="1"/>
        <v>0</v>
      </c>
      <c r="U24" s="468">
        <f t="shared" ca="1" si="2"/>
        <v>0</v>
      </c>
      <c r="Z24" s="467">
        <f t="shared" ca="1" si="3"/>
        <v>0</v>
      </c>
      <c r="AA24" s="467">
        <f t="shared" ca="1" si="4"/>
        <v>0</v>
      </c>
    </row>
    <row r="25" spans="1:27" x14ac:dyDescent="0.35">
      <c r="A25" s="85" t="str">
        <f ca="1">MID(A24,2,3)</f>
        <v>T03</v>
      </c>
      <c r="B25" s="9" t="s">
        <v>786</v>
      </c>
      <c r="C25" s="9" t="s">
        <v>183</v>
      </c>
      <c r="D25" s="46" t="s">
        <v>227</v>
      </c>
      <c r="E25" s="46" t="s">
        <v>228</v>
      </c>
      <c r="F25" s="475"/>
      <c r="G25" s="46"/>
      <c r="H25" s="9" t="s">
        <v>786</v>
      </c>
      <c r="I25" s="9" t="s">
        <v>183</v>
      </c>
      <c r="J25" s="46" t="s">
        <v>227</v>
      </c>
      <c r="K25" s="46" t="s">
        <v>228</v>
      </c>
      <c r="L25" s="475"/>
      <c r="M25" s="475"/>
      <c r="N25" s="52"/>
      <c r="P25" s="468" t="str">
        <f>IFERROR(IF(OR(D25=0,D25="-",D25="",D25=" ",D25=" ",D25="Athlete"),"",IF($A32&gt;0,VLOOKUP(D25,female_reg,3,FALSE)-C25*10,VLOOKUP(D25,male_reg,3,FALSE)-C25*10)),"X")</f>
        <v/>
      </c>
      <c r="Q25" s="468" t="str">
        <f>IFERROR(IF(OR(J25=0,J25="-",J25=" ",J25="",J25=" ",J25="Athlete"),"",IF($A32&gt;0,VLOOKUP(J25,female_reg,3,FALSE)-C25*10,VLOOKUP(J25,male_reg,3,FALSE)-C25*10)),"X")</f>
        <v/>
      </c>
      <c r="T25" s="468">
        <f t="shared" ca="1" si="1"/>
        <v>0</v>
      </c>
      <c r="U25" s="468">
        <f t="shared" ca="1" si="2"/>
        <v>0</v>
      </c>
      <c r="Z25" s="467">
        <f t="shared" ca="1" si="3"/>
        <v>0</v>
      </c>
      <c r="AA25" s="467">
        <f t="shared" ca="1" si="4"/>
        <v>0</v>
      </c>
    </row>
    <row r="26" spans="1:27" x14ac:dyDescent="0.35">
      <c r="A26" s="181">
        <f ca="1">IFERROR(VLOOKUP(A24,Timetables!$A:$E,5,FALSE)-1,"")</f>
        <v>10</v>
      </c>
      <c r="B26" s="477">
        <v>1</v>
      </c>
      <c r="C26" s="477">
        <f ca="1">IFERROR(IF(B26&gt;MatchDay!$U$2,"",IF(MatchDay!$D$6=2,"",VLOOKUP(A24,Timetables!$A:$DK,MatchDay!$U$4+B26-MatchDay!$D$6,FALSE))),"")</f>
        <v>4</v>
      </c>
      <c r="D26" s="467" t="str">
        <f ca="1">IFERROR(HLOOKUP(C26,Declarations!$D$2:$S$102,A26,FALSE),"")</f>
        <v>-</v>
      </c>
      <c r="E26" s="467" t="str">
        <f ca="1">IFERROR(VLOOKUP(C26,teamlookup,5,FALSE),"")</f>
        <v>M'bro</v>
      </c>
      <c r="F26" s="466"/>
      <c r="G26" s="476"/>
      <c r="H26" s="477">
        <v>1</v>
      </c>
      <c r="I26" s="477">
        <f ca="1">IFERROR(C26*11,"")</f>
        <v>44</v>
      </c>
      <c r="J26" s="467" t="str">
        <f ca="1">IFERROR(HLOOKUP(I26,Declarations!$D$2:$S$102,$A26,FALSE),"")</f>
        <v>-</v>
      </c>
      <c r="K26" s="467" t="str">
        <f t="shared" ref="K26:K33" ca="1" si="15">IFERROR(VLOOKUP(I26,teamlookup,5,FALSE),"")</f>
        <v>M'bro</v>
      </c>
      <c r="N26" s="478"/>
      <c r="P26" s="468" t="str">
        <f ca="1">IFERROR(IF(OR(D26=0,D26="-",D26="",D26=" ",D26=" ",D26="Athlete"),"",IF($A32&gt;0,VLOOKUP(D26,female_reg,3,FALSE)-C26*10,VLOOKUP(D26,male_reg,3,FALSE)-C26*10)),2)</f>
        <v/>
      </c>
      <c r="Q26" s="468" t="str">
        <f ca="1">IFERROR(IF(OR(J26=0,J26="-",J26=" ",J26="",J26=" ",J26="Athlete"),"",IF($A32&gt;0,VLOOKUP(J26,female_reg,3,FALSE)-C26*10,VLOOKUP(J26,male_reg,3,FALSE)-C26*10)),2)</f>
        <v/>
      </c>
      <c r="T26" s="468">
        <f t="shared" ca="1" si="1"/>
        <v>0</v>
      </c>
      <c r="U26" s="468">
        <f t="shared" ca="1" si="2"/>
        <v>0</v>
      </c>
      <c r="V26" s="467" t="str">
        <f t="shared" ref="V26:V33" ca="1" si="16">IFERROR(IF(OR(D26=0,D26="-",D26="",D26=" ",D26=" "),"X",D26&amp;E26),"X")</f>
        <v>X</v>
      </c>
      <c r="W26" s="467" t="str">
        <f t="shared" ref="W26:W33" ca="1" si="17">IFERROR(IF(OR(J26=0,J26="-",J26="",J26=" ",J26=" "),"X",J26&amp;K26),"X")</f>
        <v>X</v>
      </c>
      <c r="Z26" s="467">
        <f t="shared" ca="1" si="3"/>
        <v>0</v>
      </c>
      <c r="AA26" s="467">
        <f t="shared" ca="1" si="4"/>
        <v>0</v>
      </c>
    </row>
    <row r="27" spans="1:27" x14ac:dyDescent="0.35">
      <c r="A27" s="468">
        <f>A16+1</f>
        <v>5</v>
      </c>
      <c r="B27" s="477">
        <v>2</v>
      </c>
      <c r="C27" s="477">
        <f ca="1">IFERROR(IF(B27&gt;MatchDay!$U$2+MatchDay!$D$6-1,"",VLOOKUP(A24,Timetables!$A:$DK,MatchDay!$U$4+B27-MatchDay!$D$6,FALSE)),"")</f>
        <v>5</v>
      </c>
      <c r="D27" s="467" t="str">
        <f ca="1">IFERROR(HLOOKUP(C27,Declarations!$D$2:$S$102,A26,FALSE),"")</f>
        <v>-</v>
      </c>
      <c r="E27" s="467" t="str">
        <f t="shared" ref="E27:E33" ca="1" si="18">IFERROR(VLOOKUP(C27,teamlookup,5,FALSE),"")</f>
        <v>Scun</v>
      </c>
      <c r="F27" s="466"/>
      <c r="G27" s="476"/>
      <c r="H27" s="477">
        <v>2</v>
      </c>
      <c r="I27" s="477">
        <f t="shared" ref="I27:I33" ca="1" si="19">IFERROR(C27*11,"")</f>
        <v>55</v>
      </c>
      <c r="J27" s="467">
        <f ca="1">IFERROR(HLOOKUP(I27,Declarations!$D$2:$S$102,$A26,FALSE),"")</f>
        <v>0</v>
      </c>
      <c r="K27" s="467" t="str">
        <f t="shared" ca="1" si="15"/>
        <v>Scun</v>
      </c>
      <c r="N27" s="478"/>
      <c r="P27" s="468" t="str">
        <f ca="1">IFERROR(IF(OR(D27=0,D27="-",D27="",D27=" ",D27=" ",D27="Athlete"),"",IF($A32&gt;0,VLOOKUP(D27,female_reg,3,FALSE)-C27*10,VLOOKUP(D27,male_reg,3,FALSE)-C27*10)),2)</f>
        <v/>
      </c>
      <c r="Q27" s="468" t="str">
        <f ca="1">IFERROR(IF(OR(J27=0,J27="-",J27=" ",J27="",J27=" ",J27="Athlete"),"",IF($A32&gt;0,VLOOKUP(J27,female_reg,3,FALSE)-C27*10,VLOOKUP(J27,male_reg,3,FALSE)-C27*10)),2)</f>
        <v/>
      </c>
      <c r="T27" s="468">
        <f t="shared" ca="1" si="1"/>
        <v>0</v>
      </c>
      <c r="U27" s="468">
        <f t="shared" ca="1" si="2"/>
        <v>0</v>
      </c>
      <c r="V27" s="467" t="str">
        <f t="shared" ca="1" si="16"/>
        <v>X</v>
      </c>
      <c r="W27" s="467" t="str">
        <f t="shared" ca="1" si="17"/>
        <v>X</v>
      </c>
      <c r="Z27" s="467">
        <f t="shared" ca="1" si="3"/>
        <v>0</v>
      </c>
      <c r="AA27" s="467">
        <f t="shared" ca="1" si="4"/>
        <v>0</v>
      </c>
    </row>
    <row r="28" spans="1:27" x14ac:dyDescent="0.35">
      <c r="A28" s="118">
        <f ca="1">IFERROR(VLOOKUP(A24,standards,3,FALSE)+0.01,"-")</f>
        <v>11.91</v>
      </c>
      <c r="B28" s="477">
        <v>3</v>
      </c>
      <c r="C28" s="477">
        <f ca="1">IFERROR(IF(B28&gt;MatchDay!$U$2+MatchDay!$D$6-1,"",VLOOKUP(A24,Timetables!$A:$DK,MatchDay!$U$4+B28-MatchDay!$D$6,FALSE)),"")</f>
        <v>1</v>
      </c>
      <c r="D28" s="467" t="str">
        <f ca="1">IFERROR(HLOOKUP(C28,Declarations!$D$2:$S$102,A26,FALSE),"")</f>
        <v>LABAN Ella</v>
      </c>
      <c r="E28" s="467" t="str">
        <f t="shared" ca="1" si="18"/>
        <v>C'field</v>
      </c>
      <c r="F28" s="466"/>
      <c r="G28" s="476"/>
      <c r="H28" s="477">
        <v>3</v>
      </c>
      <c r="I28" s="477">
        <f t="shared" ca="1" si="19"/>
        <v>11</v>
      </c>
      <c r="J28" s="467" t="str">
        <f ca="1">IFERROR(HLOOKUP(I28,Declarations!$D$2:$S$102,$A26,FALSE),"")</f>
        <v>ROGERS Emily</v>
      </c>
      <c r="K28" s="467" t="str">
        <f t="shared" ca="1" si="15"/>
        <v>C'field</v>
      </c>
      <c r="N28" s="478"/>
      <c r="P28" s="468">
        <f ca="1">IFERROR(IF(OR(D28=0,D28="-",D28="",D28=" ",D28=" ",D28="Athlete"),"",IF($A32&gt;0,VLOOKUP(D28,female_reg,3,FALSE)-C28*10,VLOOKUP(D28,male_reg,3,FALSE)-C28*10)),2)</f>
        <v>1</v>
      </c>
      <c r="Q28" s="468">
        <f ca="1">IFERROR(IF(OR(J28=0,J28="-",J28=" ",J28="",J28=" ",J28="Athlete"),"",IF($A32&gt;0,VLOOKUP(J28,female_reg,3,FALSE)-C28*10,VLOOKUP(J28,male_reg,3,FALSE)-C28*10)),2)</f>
        <v>1</v>
      </c>
      <c r="T28" s="468">
        <f t="shared" ca="1" si="1"/>
        <v>3</v>
      </c>
      <c r="U28" s="468">
        <f t="shared" ca="1" si="2"/>
        <v>3</v>
      </c>
      <c r="V28" s="467" t="str">
        <f t="shared" ca="1" si="16"/>
        <v>LABAN EllaC'field</v>
      </c>
      <c r="W28" s="467" t="str">
        <f t="shared" ca="1" si="17"/>
        <v>ROGERS EmilyC'field</v>
      </c>
      <c r="Z28" s="467">
        <f t="shared" ca="1" si="3"/>
        <v>4</v>
      </c>
      <c r="AA28" s="467">
        <f t="shared" ca="1" si="4"/>
        <v>3</v>
      </c>
    </row>
    <row r="29" spans="1:27" x14ac:dyDescent="0.35">
      <c r="A29" s="118">
        <f ca="1">IFERROR(VLOOKUP(A24,standards,4,FALSE)+0.01,"-")</f>
        <v>12.209999999999999</v>
      </c>
      <c r="B29" s="477">
        <v>4</v>
      </c>
      <c r="C29" s="477">
        <f ca="1">IFERROR(IF(B29&gt;MatchDay!$U$2+MatchDay!$D$6-1,"",VLOOKUP(A24,Timetables!$A:$DK,MatchDay!$U$4+B29-MatchDay!$D$6,FALSE)),"")</f>
        <v>3</v>
      </c>
      <c r="D29" s="467" t="str">
        <f ca="1">IFERROR(HLOOKUP(C29,Declarations!$D$2:$S$102,A26,FALSE),"")</f>
        <v>MAUDE Charlotte</v>
      </c>
      <c r="E29" s="467" t="str">
        <f t="shared" ca="1" si="18"/>
        <v>York</v>
      </c>
      <c r="F29" s="466"/>
      <c r="G29" s="476"/>
      <c r="H29" s="477">
        <v>4</v>
      </c>
      <c r="I29" s="477">
        <f t="shared" ca="1" si="19"/>
        <v>33</v>
      </c>
      <c r="J29" s="467" t="str">
        <f ca="1">IFERROR(HLOOKUP(I29,Declarations!$D$2:$S$102,$A26,FALSE),"")</f>
        <v>CROSSAN Lily</v>
      </c>
      <c r="K29" s="467" t="str">
        <f t="shared" ca="1" si="15"/>
        <v>York</v>
      </c>
      <c r="N29" s="478"/>
      <c r="P29" s="468">
        <f ca="1">IFERROR(IF(OR(D29=0,D29="-",D29="",D29=" ",D29=" ",D29="Athlete"),"",IF($A32&gt;0,VLOOKUP(D29,female_reg,3,FALSE)-C29*10,VLOOKUP(D29,male_reg,3,FALSE)-C29*10)),2)</f>
        <v>1</v>
      </c>
      <c r="Q29" s="468">
        <f ca="1">IFERROR(IF(OR(J29=0,J29="-",J29=" ",J29="",J29=" ",J29="Athlete"),"",IF($A32&gt;0,VLOOKUP(J29,female_reg,3,FALSE)-C29*10,VLOOKUP(J29,male_reg,3,FALSE)-C29*10)),2)</f>
        <v>1</v>
      </c>
      <c r="T29" s="468">
        <f t="shared" ca="1" si="1"/>
        <v>2</v>
      </c>
      <c r="U29" s="468">
        <f t="shared" ca="1" si="2"/>
        <v>1</v>
      </c>
      <c r="V29" s="467" t="str">
        <f t="shared" ca="1" si="16"/>
        <v>MAUDE CharlotteYork</v>
      </c>
      <c r="W29" s="467" t="str">
        <f t="shared" ca="1" si="17"/>
        <v>CROSSAN LilyYork</v>
      </c>
      <c r="Z29" s="467">
        <f t="shared" ca="1" si="3"/>
        <v>3</v>
      </c>
      <c r="AA29" s="467">
        <f t="shared" ca="1" si="4"/>
        <v>1</v>
      </c>
    </row>
    <row r="30" spans="1:27" x14ac:dyDescent="0.35">
      <c r="A30" s="118">
        <f ca="1">IFERROR(VLOOKUP(A24,standards,5,FALSE)+0.01,"-")</f>
        <v>12.61</v>
      </c>
      <c r="B30" s="477">
        <v>5</v>
      </c>
      <c r="C30" s="477">
        <f ca="1">IFERROR(IF(B30&gt;MatchDay!$U$2+MatchDay!$D$6-1,"",VLOOKUP(A24,Timetables!$A:$DK,MatchDay!$U$4+B30-MatchDay!$D$6,FALSE)),"")</f>
        <v>2</v>
      </c>
      <c r="D30" s="467" t="str">
        <f ca="1">IFERROR(HLOOKUP(C30,Declarations!$D$2:$S$102,A26,FALSE),"")</f>
        <v>PADDON Freya</v>
      </c>
      <c r="E30" s="467" t="str">
        <f t="shared" ca="1" si="18"/>
        <v>Sheff+D</v>
      </c>
      <c r="F30" s="466"/>
      <c r="G30" s="476"/>
      <c r="H30" s="477">
        <v>5</v>
      </c>
      <c r="I30" s="477">
        <f t="shared" ca="1" si="19"/>
        <v>22</v>
      </c>
      <c r="J30" s="467" t="str">
        <f ca="1">IFERROR(HLOOKUP(I30,Declarations!$D$2:$S$102,$A26,FALSE),"")</f>
        <v>PADDON Olivia</v>
      </c>
      <c r="K30" s="467" t="str">
        <f t="shared" ca="1" si="15"/>
        <v>Sheff+D</v>
      </c>
      <c r="N30" s="478"/>
      <c r="P30" s="468">
        <f ca="1">IFERROR(IF(OR(D30=0,D30="-",D30="",D30=" ",D30=" ",D30="Athlete"),"",IF($A32&gt;0,VLOOKUP(D30,female_reg,3,FALSE)-C30*10,VLOOKUP(D30,male_reg,3,FALSE)-C30*10)),2)</f>
        <v>1</v>
      </c>
      <c r="Q30" s="468">
        <f ca="1">IFERROR(IF(OR(J30=0,J30="-",J30=" ",J30="",J30=" ",J30="Athlete"),"",IF($A32&gt;0,VLOOKUP(J30,female_reg,3,FALSE)-C30*10,VLOOKUP(J30,male_reg,3,FALSE)-C30*10)),2)</f>
        <v>1</v>
      </c>
      <c r="T30" s="468">
        <f t="shared" ca="1" si="1"/>
        <v>3</v>
      </c>
      <c r="U30" s="468">
        <f t="shared" ca="1" si="2"/>
        <v>3</v>
      </c>
      <c r="V30" s="467" t="str">
        <f t="shared" ca="1" si="16"/>
        <v>PADDON FreyaSheff+D</v>
      </c>
      <c r="W30" s="467" t="str">
        <f t="shared" ca="1" si="17"/>
        <v>PADDON OliviaSheff+D</v>
      </c>
      <c r="Z30" s="467">
        <f t="shared" ca="1" si="3"/>
        <v>4</v>
      </c>
      <c r="AA30" s="467">
        <f t="shared" ca="1" si="4"/>
        <v>4</v>
      </c>
    </row>
    <row r="31" spans="1:27" x14ac:dyDescent="0.35">
      <c r="A31" s="118">
        <f ca="1">IFERROR(VLOOKUP(A24,standards,6,FALSE)+0.01,"-")</f>
        <v>13.41</v>
      </c>
      <c r="B31" s="477">
        <v>6</v>
      </c>
      <c r="C31" s="477" t="str">
        <f>IFERROR(IF(B31&gt;MatchDay!$U$2+MatchDay!$D$6-1,"",VLOOKUP(A24,Timetables!$A:$DK,MatchDay!$U$4+B31-MatchDay!$D$6,FALSE)),"")</f>
        <v/>
      </c>
      <c r="D31" s="467" t="str">
        <f>IFERROR(HLOOKUP(C31,Declarations!$D$2:$S$102,A26,FALSE),"")</f>
        <v/>
      </c>
      <c r="E31" s="467" t="str">
        <f t="shared" si="18"/>
        <v/>
      </c>
      <c r="F31" s="466"/>
      <c r="G31" s="476"/>
      <c r="H31" s="477">
        <v>6</v>
      </c>
      <c r="I31" s="477" t="str">
        <f t="shared" si="19"/>
        <v/>
      </c>
      <c r="J31" s="467" t="str">
        <f>IFERROR(HLOOKUP(I31,Declarations!$D$2:$S$102,$A26,FALSE),"")</f>
        <v/>
      </c>
      <c r="K31" s="467" t="str">
        <f t="shared" si="15"/>
        <v/>
      </c>
      <c r="N31" s="478"/>
      <c r="P31" s="468" t="str">
        <f>IFERROR(IF(OR(D31=0,D31="-",D31="",D31=" ",D31=" ",D31="Athlete"),"",IF($A32&gt;0,VLOOKUP(D31,female_reg,3,FALSE)-C31*10,VLOOKUP(D31,male_reg,3,FALSE)-C31*10)),2)</f>
        <v/>
      </c>
      <c r="Q31" s="468" t="str">
        <f>IFERROR(IF(OR(J31=0,J31="-",J31=" ",J31="",J31=" ",J31="Athlete"),"",IF($A32&gt;0,VLOOKUP(J31,female_reg,3,FALSE)-C31*10,VLOOKUP(J31,male_reg,3,FALSE)-C31*10)),2)</f>
        <v/>
      </c>
      <c r="T31" s="468">
        <f t="shared" si="1"/>
        <v>0</v>
      </c>
      <c r="U31" s="468">
        <f t="shared" si="2"/>
        <v>0</v>
      </c>
      <c r="V31" s="467" t="str">
        <f t="shared" si="16"/>
        <v>X</v>
      </c>
      <c r="W31" s="467" t="str">
        <f t="shared" si="17"/>
        <v>X</v>
      </c>
      <c r="Z31" s="467">
        <f t="shared" si="3"/>
        <v>0</v>
      </c>
      <c r="AA31" s="467">
        <f t="shared" si="4"/>
        <v>0</v>
      </c>
    </row>
    <row r="32" spans="1:27" x14ac:dyDescent="0.35">
      <c r="A32" s="479">
        <f ca="1">IFERROR(SEARCH("Girls",B24),0)</f>
        <v>17</v>
      </c>
      <c r="B32" s="477">
        <v>7</v>
      </c>
      <c r="C32" s="477" t="str">
        <f>IFERROR(IF(B32&gt;MatchDay!$U$2+MatchDay!$D$6-1,"",VLOOKUP(A24,Timetables!$A:$DK,MatchDay!$U$4+B32-MatchDay!$D$6,FALSE)),"")</f>
        <v/>
      </c>
      <c r="D32" s="467" t="str">
        <f>IFERROR(HLOOKUP(C32,Declarations!$D$2:$S$102,A26,FALSE),"")</f>
        <v/>
      </c>
      <c r="E32" s="467" t="str">
        <f t="shared" si="18"/>
        <v/>
      </c>
      <c r="F32" s="466"/>
      <c r="G32" s="476"/>
      <c r="H32" s="477">
        <v>7</v>
      </c>
      <c r="I32" s="477" t="str">
        <f t="shared" si="19"/>
        <v/>
      </c>
      <c r="J32" s="467" t="str">
        <f>IFERROR(HLOOKUP(I32,Declarations!$D$2:$S$102,$A26,FALSE),"")</f>
        <v/>
      </c>
      <c r="K32" s="467" t="str">
        <f t="shared" si="15"/>
        <v/>
      </c>
      <c r="N32" s="478"/>
      <c r="P32" s="468" t="str">
        <f>IFERROR(IF(OR(D32=0,D32="-",D32="",D32=" ",D32=" ",D32="Athlete"),"",IF($A32&gt;0,VLOOKUP(D32,female_reg,3,FALSE)-C32*10,VLOOKUP(D32,male_reg,3,FALSE)-C32*10)),2)</f>
        <v/>
      </c>
      <c r="Q32" s="468" t="str">
        <f>IFERROR(IF(OR(J32=0,J32="-",J32=" ",J32="",J32=" ",J32="Athlete"),"",IF($A32&gt;0,VLOOKUP(J32,female_reg,3,FALSE)-C32*10,VLOOKUP(J32,male_reg,3,FALSE)-C32*10)),2)</f>
        <v/>
      </c>
      <c r="T32" s="468">
        <f t="shared" si="1"/>
        <v>0</v>
      </c>
      <c r="U32" s="468">
        <f t="shared" si="2"/>
        <v>0</v>
      </c>
      <c r="V32" s="467" t="str">
        <f t="shared" si="16"/>
        <v>X</v>
      </c>
      <c r="W32" s="467" t="str">
        <f t="shared" si="17"/>
        <v>X</v>
      </c>
      <c r="Z32" s="467">
        <f t="shared" si="3"/>
        <v>0</v>
      </c>
      <c r="AA32" s="467">
        <f t="shared" si="4"/>
        <v>0</v>
      </c>
    </row>
    <row r="33" spans="1:27" x14ac:dyDescent="0.35">
      <c r="A33" s="116">
        <f ca="1">IFERROR(VLOOKUP(A24,records,5,FALSE),"")</f>
        <v>11.1</v>
      </c>
      <c r="B33" s="477">
        <v>8</v>
      </c>
      <c r="C33" s="477" t="str">
        <f>IFERROR(IF(B33&gt;MatchDay!$U$2+MatchDay!$D$6-1,"",VLOOKUP(A24,Timetables!$A:$DK,MatchDay!$U$4+B33-MatchDay!$D$6,FALSE)),"")</f>
        <v/>
      </c>
      <c r="D33" s="467" t="str">
        <f>IFERROR(HLOOKUP(C33,Declarations!$D$2:$S$102,A26,FALSE),"")</f>
        <v/>
      </c>
      <c r="E33" s="467" t="str">
        <f t="shared" si="18"/>
        <v/>
      </c>
      <c r="F33" s="466"/>
      <c r="G33" s="476"/>
      <c r="H33" s="477">
        <v>8</v>
      </c>
      <c r="I33" s="477" t="str">
        <f t="shared" si="19"/>
        <v/>
      </c>
      <c r="J33" s="467" t="str">
        <f>IFERROR(HLOOKUP(I33,Declarations!$D$2:$S$102,$A26,FALSE),"")</f>
        <v/>
      </c>
      <c r="K33" s="467" t="str">
        <f t="shared" si="15"/>
        <v/>
      </c>
      <c r="N33" s="478"/>
      <c r="P33" s="468" t="str">
        <f>IFERROR(IF(OR(D33=0,D33="-",D33="",D33=" ",D33=" ",D33="Athlete"),"",IF($A32&gt;0,VLOOKUP(D33,female_reg,3,FALSE)-C33*10,VLOOKUP(D33,male_reg,3,FALSE)-C33*10)),2)</f>
        <v/>
      </c>
      <c r="Q33" s="468" t="str">
        <f>IFERROR(IF(OR(J33=0,J33="-",J33=" ",J33="",J33=" ",J33="Athlete"),"",IF($A32&gt;0,VLOOKUP(J33,female_reg,3,FALSE)-C33*10,VLOOKUP(J33,male_reg,3,FALSE)-C33*10)),2)</f>
        <v/>
      </c>
      <c r="T33" s="468">
        <f t="shared" si="1"/>
        <v>0</v>
      </c>
      <c r="U33" s="468">
        <f t="shared" si="2"/>
        <v>0</v>
      </c>
      <c r="V33" s="467" t="str">
        <f t="shared" si="16"/>
        <v>X</v>
      </c>
      <c r="W33" s="467" t="str">
        <f t="shared" si="17"/>
        <v>X</v>
      </c>
      <c r="Z33" s="467">
        <f t="shared" si="3"/>
        <v>0</v>
      </c>
      <c r="AA33" s="467">
        <f t="shared" si="4"/>
        <v>0</v>
      </c>
    </row>
    <row r="34" spans="1:27" x14ac:dyDescent="0.35">
      <c r="P34" s="468" t="str">
        <f>IFERROR(IF(OR(D34=0,D34="-",D34="",D34=" ",D34=" ",D34="Athlete"),"",IF($A32&gt;0,VLOOKUP(D34,female_reg,3,FALSE)-C34*10,VLOOKUP(D34,male_reg,3,FALSE)-C34*10)),"X")</f>
        <v/>
      </c>
      <c r="Q34" s="468" t="str">
        <f>IFERROR(IF(OR(J34=0,J34="-",J34=" ",J34="",J34=" ",J34="Athlete"),"",IF($A32&gt;0,VLOOKUP(J34,female_reg,3,FALSE)-C34*10,VLOOKUP(J34,male_reg,3,FALSE)-C34*10)),"X")</f>
        <v/>
      </c>
      <c r="T34" s="468">
        <f t="shared" ca="1" si="1"/>
        <v>0</v>
      </c>
      <c r="U34" s="468">
        <f t="shared" ca="1" si="2"/>
        <v>0</v>
      </c>
      <c r="Z34" s="467">
        <f t="shared" ca="1" si="3"/>
        <v>0</v>
      </c>
      <c r="AA34" s="467">
        <f t="shared" ca="1" si="4"/>
        <v>0</v>
      </c>
    </row>
    <row r="35" spans="1:27" x14ac:dyDescent="0.35">
      <c r="A35" s="111" t="str">
        <f ca="1">IFERROR(INDIRECT(CONCATENATE("'Timetables'!A"&amp;A38)),"")</f>
        <v>LT04</v>
      </c>
      <c r="B35" s="469" t="str">
        <f ca="1">IFERROR(VLOOKUP(A35,timetables,2,FALSE)&amp;" "&amp;VLOOKUP(A35,timetables,3,FALSE)&amp;" A","")</f>
        <v>80m Hurdles U15 Boys A</v>
      </c>
      <c r="C35" s="469"/>
      <c r="E35" s="470" t="str">
        <f ca="1">"Starts "&amp;TEXT(VLOOKUP(A35,timetables,7-MatchDay!$U$7,FALSE),"hh:mm")</f>
        <v>Starts 12:00</v>
      </c>
      <c r="F35" s="471"/>
      <c r="H35" s="472" t="str">
        <f ca="1">IFERROR("Rec: "&amp;TEXT(VLOOKUP(A35,records,5,FALSE),"#0.00")&amp;"s, "&amp;VLOOKUP(A35,records,3,FALSE)&amp;", "&amp;VLOOKUP(A35,records,4,FALSE)&amp;", "&amp;VLOOKUP(A35,records,8,FALSE),"")</f>
        <v>Rec: 11.00s, Joseph Harding, Basildon AC, 2017</v>
      </c>
      <c r="K35" s="473"/>
      <c r="L35" s="474"/>
      <c r="M35" s="467"/>
      <c r="P35" s="468" t="str">
        <f>IFERROR(IF(OR(D35=0,D35="-",D35="",D35=" ",D35=" ",D35="Athlete"),"",IF($A43&gt;0,VLOOKUP(D35,female_reg,3,FALSE)-C35*10,VLOOKUP(D35,male_reg,3,FALSE)-C35*10)),"X")</f>
        <v/>
      </c>
      <c r="Q35" s="468" t="str">
        <f>IFERROR(IF(OR(J35=0,J35="-",J35=" ",J35="",J35=" ",J35="Athlete"),"",IF($A43&gt;0,VLOOKUP(J35,female_reg,3,FALSE)-C35*10,VLOOKUP(J35,male_reg,3,FALSE)-C35*10)),"X")</f>
        <v/>
      </c>
      <c r="T35" s="468">
        <f t="shared" ca="1" si="1"/>
        <v>0</v>
      </c>
      <c r="U35" s="468">
        <f t="shared" ca="1" si="2"/>
        <v>0</v>
      </c>
      <c r="Z35" s="467">
        <f t="shared" ca="1" si="3"/>
        <v>0</v>
      </c>
      <c r="AA35" s="467">
        <f t="shared" ca="1" si="4"/>
        <v>0</v>
      </c>
    </row>
    <row r="36" spans="1:27" x14ac:dyDescent="0.35">
      <c r="A36" s="85" t="str">
        <f ca="1">MID(A35,2,3)</f>
        <v>T04</v>
      </c>
      <c r="B36" s="9" t="s">
        <v>786</v>
      </c>
      <c r="C36" s="9" t="s">
        <v>183</v>
      </c>
      <c r="D36" s="46" t="s">
        <v>227</v>
      </c>
      <c r="E36" s="46" t="s">
        <v>228</v>
      </c>
      <c r="F36" s="475"/>
      <c r="G36" s="46"/>
      <c r="H36" s="9" t="s">
        <v>786</v>
      </c>
      <c r="I36" s="9" t="s">
        <v>183</v>
      </c>
      <c r="J36" s="46" t="s">
        <v>227</v>
      </c>
      <c r="K36" s="46" t="s">
        <v>228</v>
      </c>
      <c r="L36" s="475"/>
      <c r="M36" s="475"/>
      <c r="N36" s="52"/>
      <c r="P36" s="468" t="str">
        <f>IFERROR(IF(OR(D36=0,D36="-",D36="",D36=" ",D36=" ",D36="Athlete"),"",IF($A43&gt;0,VLOOKUP(D36,female_reg,3,FALSE)-C36*10,VLOOKUP(D36,male_reg,3,FALSE)-C36*10)),"X")</f>
        <v/>
      </c>
      <c r="Q36" s="468" t="str">
        <f>IFERROR(IF(OR(J36=0,J36="-",J36=" ",J36="",J36=" ",J36="Athlete"),"",IF($A43&gt;0,VLOOKUP(J36,female_reg,3,FALSE)-C36*10,VLOOKUP(J36,male_reg,3,FALSE)-C36*10)),"X")</f>
        <v/>
      </c>
      <c r="T36" s="468">
        <f t="shared" ca="1" si="1"/>
        <v>0</v>
      </c>
      <c r="U36" s="468">
        <f t="shared" ca="1" si="2"/>
        <v>0</v>
      </c>
      <c r="Z36" s="467">
        <f t="shared" ca="1" si="3"/>
        <v>0</v>
      </c>
      <c r="AA36" s="467">
        <f t="shared" ca="1" si="4"/>
        <v>0</v>
      </c>
    </row>
    <row r="37" spans="1:27" x14ac:dyDescent="0.35">
      <c r="A37" s="181">
        <f ca="1">IFERROR(VLOOKUP(A35,Timetables!$A:$E,5,FALSE)-1,"")</f>
        <v>60</v>
      </c>
      <c r="B37" s="477">
        <v>1</v>
      </c>
      <c r="C37" s="477">
        <f ca="1">IFERROR(IF(B37&gt;MatchDay!$U$2,"",IF(MatchDay!$D$6=2,"",VLOOKUP(A35,Timetables!$A:$DK,MatchDay!$U$4+B37-MatchDay!$D$6,FALSE))),"")</f>
        <v>4</v>
      </c>
      <c r="D37" s="467" t="str">
        <f ca="1">IFERROR(HLOOKUP(C37,Declarations!$D$2:$S$102,A37,FALSE),"")</f>
        <v>-</v>
      </c>
      <c r="E37" s="467" t="str">
        <f ca="1">IFERROR(VLOOKUP(C37,teamlookup,5,FALSE),"")</f>
        <v>M'bro</v>
      </c>
      <c r="F37" s="466"/>
      <c r="G37" s="476"/>
      <c r="H37" s="477">
        <v>1</v>
      </c>
      <c r="I37" s="477">
        <f ca="1">IFERROR(C37*11,"")</f>
        <v>44</v>
      </c>
      <c r="J37" s="467" t="str">
        <f ca="1">IFERROR(HLOOKUP(I37,Declarations!$D$2:$S$102,$A37,FALSE),"")</f>
        <v>-</v>
      </c>
      <c r="K37" s="467" t="str">
        <f t="shared" ref="K37:K44" ca="1" si="20">IFERROR(VLOOKUP(I37,teamlookup,5,FALSE),"")</f>
        <v>M'bro</v>
      </c>
      <c r="N37" s="478"/>
      <c r="P37" s="468" t="str">
        <f ca="1">IFERROR(IF(OR(D37=0,D37="-",D37="",D37=" ",D37=" ",D37="Athlete"),"",IF($A43&gt;0,VLOOKUP(D37,female_reg,3,FALSE)-C37*10,VLOOKUP(D37,male_reg,3,FALSE)-C37*10)),2)</f>
        <v/>
      </c>
      <c r="Q37" s="468" t="str">
        <f ca="1">IFERROR(IF(OR(J37=0,J37="-",J37=" ",J37="",J37=" ",J37="Athlete"),"",IF($A43&gt;0,VLOOKUP(J37,female_reg,3,FALSE)-C37*10,VLOOKUP(J37,male_reg,3,FALSE)-C37*10)),2)</f>
        <v/>
      </c>
      <c r="T37" s="468">
        <f t="shared" ca="1" si="1"/>
        <v>0</v>
      </c>
      <c r="U37" s="468">
        <f t="shared" ca="1" si="2"/>
        <v>0</v>
      </c>
      <c r="V37" s="467" t="str">
        <f t="shared" ref="V37:V44" ca="1" si="21">IFERROR(IF(OR(D37=0,D37="-",D37="",D37=" ",D37=" "),"X",D37&amp;E37),"X")</f>
        <v>X</v>
      </c>
      <c r="W37" s="467" t="str">
        <f t="shared" ref="W37:W44" ca="1" si="22">IFERROR(IF(OR(J37=0,J37="-",J37="",J37=" ",J37=" "),"X",J37&amp;K37),"X")</f>
        <v>X</v>
      </c>
      <c r="Z37" s="467">
        <f t="shared" ca="1" si="3"/>
        <v>0</v>
      </c>
      <c r="AA37" s="467">
        <f t="shared" ca="1" si="4"/>
        <v>0</v>
      </c>
    </row>
    <row r="38" spans="1:27" x14ac:dyDescent="0.35">
      <c r="A38" s="468">
        <f>A27+1</f>
        <v>6</v>
      </c>
      <c r="B38" s="477">
        <v>2</v>
      </c>
      <c r="C38" s="477">
        <f ca="1">IFERROR(IF(B38&gt;MatchDay!$U$2+MatchDay!$D$6-1,"",VLOOKUP(A35,Timetables!$A:$DK,MatchDay!$U$4+B38-MatchDay!$D$6,FALSE)),"")</f>
        <v>5</v>
      </c>
      <c r="D38" s="467">
        <f ca="1">IFERROR(HLOOKUP(C38,Declarations!$D$2:$S$102,A37,FALSE),"")</f>
        <v>0</v>
      </c>
      <c r="E38" s="467" t="str">
        <f t="shared" ref="E38:E44" ca="1" si="23">IFERROR(VLOOKUP(C38,teamlookup,5,FALSE),"")</f>
        <v>Scun</v>
      </c>
      <c r="F38" s="466"/>
      <c r="G38" s="476"/>
      <c r="H38" s="477">
        <v>2</v>
      </c>
      <c r="I38" s="477">
        <f t="shared" ref="I38:I44" ca="1" si="24">IFERROR(C38*11,"")</f>
        <v>55</v>
      </c>
      <c r="J38" s="467">
        <f ca="1">IFERROR(HLOOKUP(I38,Declarations!$D$2:$S$102,$A37,FALSE),"")</f>
        <v>0</v>
      </c>
      <c r="K38" s="467" t="str">
        <f t="shared" ca="1" si="20"/>
        <v>Scun</v>
      </c>
      <c r="N38" s="478"/>
      <c r="P38" s="468" t="str">
        <f ca="1">IFERROR(IF(OR(D38=0,D38="-",D38="",D38=" ",D38=" ",D38="Athlete"),"",IF($A43&gt;0,VLOOKUP(D38,female_reg,3,FALSE)-C38*10,VLOOKUP(D38,male_reg,3,FALSE)-C38*10)),2)</f>
        <v/>
      </c>
      <c r="Q38" s="468" t="str">
        <f ca="1">IFERROR(IF(OR(J38=0,J38="-",J38=" ",J38="",J38=" ",J38="Athlete"),"",IF($A43&gt;0,VLOOKUP(J38,female_reg,3,FALSE)-C38*10,VLOOKUP(J38,male_reg,3,FALSE)-C38*10)),2)</f>
        <v/>
      </c>
      <c r="T38" s="468">
        <f t="shared" ca="1" si="1"/>
        <v>0</v>
      </c>
      <c r="U38" s="468">
        <f t="shared" ca="1" si="2"/>
        <v>0</v>
      </c>
      <c r="V38" s="467" t="str">
        <f t="shared" ca="1" si="21"/>
        <v>X</v>
      </c>
      <c r="W38" s="467" t="str">
        <f t="shared" ca="1" si="22"/>
        <v>X</v>
      </c>
      <c r="Z38" s="467">
        <f t="shared" ca="1" si="3"/>
        <v>0</v>
      </c>
      <c r="AA38" s="467">
        <f t="shared" ca="1" si="4"/>
        <v>0</v>
      </c>
    </row>
    <row r="39" spans="1:27" x14ac:dyDescent="0.35">
      <c r="A39" s="118">
        <f ca="1">IFERROR(VLOOKUP(A35,standards,3,FALSE)+0.01,"-")</f>
        <v>11.91</v>
      </c>
      <c r="B39" s="477">
        <v>3</v>
      </c>
      <c r="C39" s="477">
        <f ca="1">IFERROR(IF(B39&gt;MatchDay!$U$2+MatchDay!$D$6-1,"",VLOOKUP(A35,Timetables!$A:$DK,MatchDay!$U$4+B39-MatchDay!$D$6,FALSE)),"")</f>
        <v>1</v>
      </c>
      <c r="D39" s="467" t="str">
        <f ca="1">IFERROR(HLOOKUP(C39,Declarations!$D$2:$S$102,A37,FALSE),"")</f>
        <v>MARRIOTT Thomas</v>
      </c>
      <c r="E39" s="467" t="str">
        <f t="shared" ca="1" si="23"/>
        <v>C'field</v>
      </c>
      <c r="F39" s="466"/>
      <c r="G39" s="476"/>
      <c r="H39" s="477">
        <v>3</v>
      </c>
      <c r="I39" s="477">
        <f t="shared" ca="1" si="24"/>
        <v>11</v>
      </c>
      <c r="J39" s="467" t="str">
        <f ca="1">IFERROR(HLOOKUP(I39,Declarations!$D$2:$S$102,$A37,FALSE),"")</f>
        <v>FOOT James</v>
      </c>
      <c r="K39" s="467" t="str">
        <f t="shared" ca="1" si="20"/>
        <v>C'field</v>
      </c>
      <c r="N39" s="478"/>
      <c r="P39" s="468">
        <f ca="1">IFERROR(IF(OR(D39=0,D39="-",D39="",D39=" ",D39=" ",D39="Athlete"),"",IF($A43&gt;0,VLOOKUP(D39,female_reg,3,FALSE)-C39*10,VLOOKUP(D39,male_reg,3,FALSE)-C39*10)),2)</f>
        <v>1</v>
      </c>
      <c r="Q39" s="468">
        <f ca="1">IFERROR(IF(OR(J39=0,J39="-",J39=" ",J39="",J39=" ",J39="Athlete"),"",IF($A43&gt;0,VLOOKUP(J39,female_reg,3,FALSE)-C39*10,VLOOKUP(J39,male_reg,3,FALSE)-C39*10)),2)</f>
        <v>1</v>
      </c>
      <c r="T39" s="468">
        <f t="shared" ca="1" si="1"/>
        <v>3</v>
      </c>
      <c r="U39" s="468">
        <f t="shared" ca="1" si="2"/>
        <v>3</v>
      </c>
      <c r="V39" s="467" t="str">
        <f t="shared" ca="1" si="21"/>
        <v>MARRIOTT ThomasC'field</v>
      </c>
      <c r="W39" s="467" t="str">
        <f t="shared" ca="1" si="22"/>
        <v>FOOT JamesC'field</v>
      </c>
      <c r="Z39" s="467">
        <f t="shared" ca="1" si="3"/>
        <v>4</v>
      </c>
      <c r="AA39" s="467">
        <f t="shared" ca="1" si="4"/>
        <v>4</v>
      </c>
    </row>
    <row r="40" spans="1:27" x14ac:dyDescent="0.35">
      <c r="A40" s="118">
        <f ca="1">IFERROR(VLOOKUP(A35,standards,4,FALSE)+0.01,"-")</f>
        <v>12.209999999999999</v>
      </c>
      <c r="B40" s="477">
        <v>4</v>
      </c>
      <c r="C40" s="477">
        <f ca="1">IFERROR(IF(B40&gt;MatchDay!$U$2+MatchDay!$D$6-1,"",VLOOKUP(A35,Timetables!$A:$DK,MatchDay!$U$4+B40-MatchDay!$D$6,FALSE)),"")</f>
        <v>3</v>
      </c>
      <c r="D40" s="467" t="str">
        <f ca="1">IFERROR(HLOOKUP(C40,Declarations!$D$2:$S$102,A37,FALSE),"")</f>
        <v>HENSON Isaac</v>
      </c>
      <c r="E40" s="467" t="str">
        <f t="shared" ca="1" si="23"/>
        <v>York</v>
      </c>
      <c r="F40" s="466"/>
      <c r="G40" s="476"/>
      <c r="H40" s="477">
        <v>4</v>
      </c>
      <c r="I40" s="477">
        <f t="shared" ca="1" si="24"/>
        <v>33</v>
      </c>
      <c r="J40" s="467" t="str">
        <f ca="1">IFERROR(HLOOKUP(I40,Declarations!$D$2:$S$102,$A37,FALSE),"")</f>
        <v>LANSFORD Hollis</v>
      </c>
      <c r="K40" s="467" t="str">
        <f t="shared" ca="1" si="20"/>
        <v>York</v>
      </c>
      <c r="N40" s="478"/>
      <c r="P40" s="468">
        <f ca="1">IFERROR(IF(OR(D40=0,D40="-",D40="",D40=" ",D40=" ",D40="Athlete"),"",IF($A43&gt;0,VLOOKUP(D40,female_reg,3,FALSE)-C40*10,VLOOKUP(D40,male_reg,3,FALSE)-C40*10)),2)</f>
        <v>1</v>
      </c>
      <c r="Q40" s="468">
        <f ca="1">IFERROR(IF(OR(J40=0,J40="-",J40=" ",J40="",J40=" ",J40="Athlete"),"",IF($A43&gt;0,VLOOKUP(J40,female_reg,3,FALSE)-C40*10,VLOOKUP(J40,male_reg,3,FALSE)-C40*10)),2)</f>
        <v>1</v>
      </c>
      <c r="T40" s="468">
        <f t="shared" ca="1" si="1"/>
        <v>3</v>
      </c>
      <c r="U40" s="468">
        <f t="shared" ca="1" si="2"/>
        <v>2</v>
      </c>
      <c r="V40" s="467" t="str">
        <f t="shared" ca="1" si="21"/>
        <v>HENSON IsaacYork</v>
      </c>
      <c r="W40" s="467" t="str">
        <f t="shared" ca="1" si="22"/>
        <v>LANSFORD HollisYork</v>
      </c>
      <c r="Z40" s="467">
        <f t="shared" ca="1" si="3"/>
        <v>4</v>
      </c>
      <c r="AA40" s="467">
        <f t="shared" ca="1" si="4"/>
        <v>3</v>
      </c>
    </row>
    <row r="41" spans="1:27" x14ac:dyDescent="0.35">
      <c r="A41" s="118">
        <f ca="1">IFERROR(VLOOKUP(A35,standards,5,FALSE)+0.01,"-")</f>
        <v>12.709999999999999</v>
      </c>
      <c r="B41" s="477">
        <v>5</v>
      </c>
      <c r="C41" s="477">
        <f ca="1">IFERROR(IF(B41&gt;MatchDay!$U$2+MatchDay!$D$6-1,"",VLOOKUP(A35,Timetables!$A:$DK,MatchDay!$U$4+B41-MatchDay!$D$6,FALSE)),"")</f>
        <v>2</v>
      </c>
      <c r="D41" s="467" t="str">
        <f ca="1">IFERROR(HLOOKUP(C41,Declarations!$D$2:$S$102,A37,FALSE),"")</f>
        <v>BENTLEY Tom</v>
      </c>
      <c r="E41" s="467" t="str">
        <f t="shared" ca="1" si="23"/>
        <v>Sheff+D</v>
      </c>
      <c r="F41" s="466"/>
      <c r="G41" s="476"/>
      <c r="H41" s="477">
        <v>5</v>
      </c>
      <c r="I41" s="477">
        <f t="shared" ca="1" si="24"/>
        <v>22</v>
      </c>
      <c r="J41" s="467" t="str">
        <f ca="1">IFERROR(HLOOKUP(I41,Declarations!$D$2:$S$102,$A37,FALSE),"")</f>
        <v>SCOTT Leni</v>
      </c>
      <c r="K41" s="467" t="str">
        <f t="shared" ca="1" si="20"/>
        <v>Sheff+D</v>
      </c>
      <c r="N41" s="478"/>
      <c r="P41" s="468">
        <f ca="1">IFERROR(IF(OR(D41=0,D41="-",D41="",D41=" ",D41=" ",D41="Athlete"),"",IF($A43&gt;0,VLOOKUP(D41,female_reg,3,FALSE)-C41*10,VLOOKUP(D41,male_reg,3,FALSE)-C41*10)),2)</f>
        <v>1</v>
      </c>
      <c r="Q41" s="468">
        <f ca="1">IFERROR(IF(OR(J41=0,J41="-",J41=" ",J41="",J41=" ",J41="Athlete"),"",IF($A43&gt;0,VLOOKUP(J41,female_reg,3,FALSE)-C41*10,VLOOKUP(J41,male_reg,3,FALSE)-C41*10)),2)</f>
        <v>1</v>
      </c>
      <c r="T41" s="468">
        <f t="shared" ca="1" si="1"/>
        <v>3</v>
      </c>
      <c r="U41" s="468">
        <f t="shared" ca="1" si="2"/>
        <v>3</v>
      </c>
      <c r="V41" s="467" t="str">
        <f t="shared" ca="1" si="21"/>
        <v>BENTLEY TomSheff+D</v>
      </c>
      <c r="W41" s="467" t="str">
        <f t="shared" ca="1" si="22"/>
        <v>SCOTT LeniSheff+D</v>
      </c>
      <c r="Z41" s="467">
        <f t="shared" ca="1" si="3"/>
        <v>4</v>
      </c>
      <c r="AA41" s="467">
        <f t="shared" ca="1" si="4"/>
        <v>3</v>
      </c>
    </row>
    <row r="42" spans="1:27" x14ac:dyDescent="0.35">
      <c r="A42" s="118">
        <f ca="1">IFERROR(VLOOKUP(A35,standards,6,FALSE)+0.01,"-")</f>
        <v>13.41</v>
      </c>
      <c r="B42" s="477">
        <v>6</v>
      </c>
      <c r="C42" s="477" t="str">
        <f>IFERROR(IF(B42&gt;MatchDay!$U$2+MatchDay!$D$6-1,"",VLOOKUP(A35,Timetables!$A:$DK,MatchDay!$U$4+B42-MatchDay!$D$6,FALSE)),"")</f>
        <v/>
      </c>
      <c r="D42" s="467" t="str">
        <f>IFERROR(HLOOKUP(C42,Declarations!$D$2:$S$102,A37,FALSE),"")</f>
        <v/>
      </c>
      <c r="E42" s="467" t="str">
        <f t="shared" si="23"/>
        <v/>
      </c>
      <c r="F42" s="466"/>
      <c r="G42" s="476"/>
      <c r="H42" s="477">
        <v>6</v>
      </c>
      <c r="I42" s="477" t="str">
        <f t="shared" si="24"/>
        <v/>
      </c>
      <c r="J42" s="467" t="str">
        <f>IFERROR(HLOOKUP(I42,Declarations!$D$2:$S$102,$A37,FALSE),"")</f>
        <v/>
      </c>
      <c r="K42" s="467" t="str">
        <f t="shared" si="20"/>
        <v/>
      </c>
      <c r="N42" s="478"/>
      <c r="P42" s="468" t="str">
        <f>IFERROR(IF(OR(D42=0,D42="-",D42="",D42=" ",D42=" ",D42="Athlete"),"",IF($A43&gt;0,VLOOKUP(D42,female_reg,3,FALSE)-C42*10,VLOOKUP(D42,male_reg,3,FALSE)-C42*10)),2)</f>
        <v/>
      </c>
      <c r="Q42" s="468" t="str">
        <f>IFERROR(IF(OR(J42=0,J42="-",J42=" ",J42="",J42=" ",J42="Athlete"),"",IF($A43&gt;0,VLOOKUP(J42,female_reg,3,FALSE)-C42*10,VLOOKUP(J42,male_reg,3,FALSE)-C42*10)),2)</f>
        <v/>
      </c>
      <c r="T42" s="468">
        <f t="shared" si="1"/>
        <v>0</v>
      </c>
      <c r="U42" s="468">
        <f t="shared" si="2"/>
        <v>0</v>
      </c>
      <c r="V42" s="467" t="str">
        <f t="shared" si="21"/>
        <v>X</v>
      </c>
      <c r="W42" s="467" t="str">
        <f t="shared" si="22"/>
        <v>X</v>
      </c>
      <c r="Z42" s="467">
        <f t="shared" si="3"/>
        <v>0</v>
      </c>
      <c r="AA42" s="467">
        <f t="shared" si="4"/>
        <v>0</v>
      </c>
    </row>
    <row r="43" spans="1:27" x14ac:dyDescent="0.35">
      <c r="A43" s="479">
        <f ca="1">IFERROR(SEARCH("Girls",B35),0)</f>
        <v>0</v>
      </c>
      <c r="B43" s="477">
        <v>7</v>
      </c>
      <c r="C43" s="477" t="str">
        <f>IFERROR(IF(B43&gt;MatchDay!$U$2+MatchDay!$D$6-1,"",VLOOKUP(A35,Timetables!$A:$DK,MatchDay!$U$4+B43-MatchDay!$D$6,FALSE)),"")</f>
        <v/>
      </c>
      <c r="D43" s="467" t="str">
        <f>IFERROR(HLOOKUP(C43,Declarations!$D$2:$S$102,A37,FALSE),"")</f>
        <v/>
      </c>
      <c r="E43" s="467" t="str">
        <f t="shared" si="23"/>
        <v/>
      </c>
      <c r="F43" s="466"/>
      <c r="G43" s="476"/>
      <c r="H43" s="477">
        <v>7</v>
      </c>
      <c r="I43" s="477" t="str">
        <f t="shared" si="24"/>
        <v/>
      </c>
      <c r="J43" s="467" t="str">
        <f>IFERROR(HLOOKUP(I43,Declarations!$D$2:$S$102,$A37,FALSE),"")</f>
        <v/>
      </c>
      <c r="K43" s="467" t="str">
        <f t="shared" si="20"/>
        <v/>
      </c>
      <c r="N43" s="478"/>
      <c r="P43" s="468" t="str">
        <f>IFERROR(IF(OR(D43=0,D43="-",D43="",D43=" ",D43=" ",D43="Athlete"),"",IF($A43&gt;0,VLOOKUP(D43,female_reg,3,FALSE)-C43*10,VLOOKUP(D43,male_reg,3,FALSE)-C43*10)),2)</f>
        <v/>
      </c>
      <c r="Q43" s="468" t="str">
        <f>IFERROR(IF(OR(J43=0,J43="-",J43=" ",J43="",J43=" ",J43="Athlete"),"",IF($A43&gt;0,VLOOKUP(J43,female_reg,3,FALSE)-C43*10,VLOOKUP(J43,male_reg,3,FALSE)-C43*10)),2)</f>
        <v/>
      </c>
      <c r="T43" s="468">
        <f t="shared" si="1"/>
        <v>0</v>
      </c>
      <c r="U43" s="468">
        <f t="shared" si="2"/>
        <v>0</v>
      </c>
      <c r="V43" s="467" t="str">
        <f t="shared" si="21"/>
        <v>X</v>
      </c>
      <c r="W43" s="467" t="str">
        <f t="shared" si="22"/>
        <v>X</v>
      </c>
      <c r="Z43" s="467">
        <f t="shared" si="3"/>
        <v>0</v>
      </c>
      <c r="AA43" s="467">
        <f t="shared" si="4"/>
        <v>0</v>
      </c>
    </row>
    <row r="44" spans="1:27" x14ac:dyDescent="0.35">
      <c r="A44" s="116">
        <f ca="1">IFERROR(VLOOKUP(A35,records,5,FALSE),"")</f>
        <v>11</v>
      </c>
      <c r="B44" s="477">
        <v>8</v>
      </c>
      <c r="C44" s="477" t="str">
        <f>IFERROR(IF(B44&gt;MatchDay!$U$2+MatchDay!$D$6-1,"",VLOOKUP(A35,Timetables!$A:$DK,MatchDay!$U$4+B44-MatchDay!$D$6,FALSE)),"")</f>
        <v/>
      </c>
      <c r="D44" s="467" t="str">
        <f>IFERROR(HLOOKUP(C44,Declarations!$D$2:$S$102,A37,FALSE),"")</f>
        <v/>
      </c>
      <c r="E44" s="467" t="str">
        <f t="shared" si="23"/>
        <v/>
      </c>
      <c r="F44" s="466"/>
      <c r="G44" s="476"/>
      <c r="H44" s="477">
        <v>8</v>
      </c>
      <c r="I44" s="477" t="str">
        <f t="shared" si="24"/>
        <v/>
      </c>
      <c r="J44" s="467" t="str">
        <f>IFERROR(HLOOKUP(I44,Declarations!$D$2:$S$102,$A37,FALSE),"")</f>
        <v/>
      </c>
      <c r="K44" s="467" t="str">
        <f t="shared" si="20"/>
        <v/>
      </c>
      <c r="N44" s="478"/>
      <c r="P44" s="468" t="str">
        <f>IFERROR(IF(OR(D44=0,D44="-",D44="",D44=" ",D44=" ",D44="Athlete"),"",IF($A43&gt;0,VLOOKUP(D44,female_reg,3,FALSE)-C44*10,VLOOKUP(D44,male_reg,3,FALSE)-C44*10)),2)</f>
        <v/>
      </c>
      <c r="Q44" s="468" t="str">
        <f>IFERROR(IF(OR(J44=0,J44="-",J44=" ",J44="",J44=" ",J44="Athlete"),"",IF($A43&gt;0,VLOOKUP(J44,female_reg,3,FALSE)-C44*10,VLOOKUP(J44,male_reg,3,FALSE)-C44*10)),2)</f>
        <v/>
      </c>
      <c r="T44" s="468">
        <f t="shared" si="1"/>
        <v>0</v>
      </c>
      <c r="U44" s="468">
        <f t="shared" si="2"/>
        <v>0</v>
      </c>
      <c r="V44" s="467" t="str">
        <f t="shared" si="21"/>
        <v>X</v>
      </c>
      <c r="W44" s="467" t="str">
        <f t="shared" si="22"/>
        <v>X</v>
      </c>
      <c r="Z44" s="467">
        <f t="shared" si="3"/>
        <v>0</v>
      </c>
      <c r="AA44" s="467">
        <f t="shared" si="4"/>
        <v>0</v>
      </c>
    </row>
    <row r="45" spans="1:27" x14ac:dyDescent="0.35">
      <c r="P45" s="468" t="str">
        <f>IFERROR(IF(OR(D45=0,D45="-",D45="",D45=" ",D45=" ",D45="Athlete"),"",IF($A43&gt;0,VLOOKUP(D45,female_reg,3,FALSE)-C45*10,VLOOKUP(D45,male_reg,3,FALSE)-C45*10)),"X")</f>
        <v/>
      </c>
      <c r="Q45" s="468" t="str">
        <f>IFERROR(IF(OR(J45=0,J45="-",J45=" ",J45="",J45=" ",J45="Athlete"),"",IF($A43&gt;0,VLOOKUP(J45,female_reg,3,FALSE)-C45*10,VLOOKUP(J45,male_reg,3,FALSE)-C45*10)),"X")</f>
        <v/>
      </c>
      <c r="T45" s="468">
        <f t="shared" ca="1" si="1"/>
        <v>0</v>
      </c>
      <c r="U45" s="468">
        <f t="shared" ca="1" si="2"/>
        <v>0</v>
      </c>
      <c r="Z45" s="467">
        <f t="shared" ca="1" si="3"/>
        <v>0</v>
      </c>
      <c r="AA45" s="467">
        <f t="shared" ca="1" si="4"/>
        <v>0</v>
      </c>
    </row>
    <row r="46" spans="1:27" x14ac:dyDescent="0.35">
      <c r="A46" s="111" t="str">
        <f ca="1">IFERROR(INDIRECT(CONCATENATE("'Timetables'!A"&amp;A49)),"")</f>
        <v>LT05</v>
      </c>
      <c r="B46" s="469" t="str">
        <f ca="1">IFERROR(VLOOKUP(A46,timetables,2,FALSE)&amp;" "&amp;VLOOKUP(A46,timetables,3,FALSE)&amp;" A","")</f>
        <v>150m U13 Girls A</v>
      </c>
      <c r="C46" s="469"/>
      <c r="E46" s="470" t="str">
        <f ca="1">"Starts "&amp;TEXT(VLOOKUP(A46,timetables,7-MatchDay!$U$7,FALSE),"hh:mm")</f>
        <v>Starts 12:15</v>
      </c>
      <c r="F46" s="471"/>
      <c r="H46" s="472" t="str">
        <f ca="1">IFERROR("Rec: "&amp;TEXT(VLOOKUP(A46,records,5,FALSE),"#0.00")&amp;"s, "&amp;VLOOKUP(A46,records,3,FALSE)&amp;", "&amp;VLOOKUP(A46,records,4,FALSE)&amp;", "&amp;VLOOKUP(A46,records,8,FALSE),"")</f>
        <v>Rec: 18.70s, Alicia Regis, Enfield &amp; Haringey AC, 2014</v>
      </c>
      <c r="K46" s="473"/>
      <c r="L46" s="474"/>
      <c r="M46" s="467"/>
      <c r="P46" s="468" t="str">
        <f>IFERROR(IF(OR(D46=0,D46="-",D46="",D46=" ",D46=" ",D46="Athlete"),"",IF($A54&gt;0,VLOOKUP(D46,female_reg,3,FALSE)-C46*10,VLOOKUP(D46,male_reg,3,FALSE)-C46*10)),"X")</f>
        <v/>
      </c>
      <c r="Q46" s="468" t="str">
        <f>IFERROR(IF(OR(J46=0,J46="-",J46=" ",J46="",J46=" ",J46="Athlete"),"",IF($A54&gt;0,VLOOKUP(J46,female_reg,3,FALSE)-C46*10,VLOOKUP(J46,male_reg,3,FALSE)-C46*10)),"X")</f>
        <v/>
      </c>
      <c r="T46" s="468">
        <f t="shared" ca="1" si="1"/>
        <v>0</v>
      </c>
      <c r="U46" s="468">
        <f t="shared" ca="1" si="2"/>
        <v>0</v>
      </c>
      <c r="Z46" s="467">
        <f t="shared" ca="1" si="3"/>
        <v>0</v>
      </c>
      <c r="AA46" s="467">
        <f t="shared" ca="1" si="4"/>
        <v>0</v>
      </c>
    </row>
    <row r="47" spans="1:27" x14ac:dyDescent="0.35">
      <c r="A47" s="85" t="str">
        <f ca="1">MID(A46,2,3)</f>
        <v>T05</v>
      </c>
      <c r="B47" s="9" t="s">
        <v>786</v>
      </c>
      <c r="C47" s="9" t="s">
        <v>183</v>
      </c>
      <c r="D47" s="46" t="s">
        <v>227</v>
      </c>
      <c r="E47" s="46" t="s">
        <v>228</v>
      </c>
      <c r="F47" s="475"/>
      <c r="G47" s="46"/>
      <c r="H47" s="9" t="s">
        <v>786</v>
      </c>
      <c r="I47" s="9" t="s">
        <v>183</v>
      </c>
      <c r="J47" s="46" t="s">
        <v>227</v>
      </c>
      <c r="K47" s="46" t="s">
        <v>228</v>
      </c>
      <c r="L47" s="475"/>
      <c r="M47" s="475"/>
      <c r="N47" s="52"/>
      <c r="P47" s="468" t="str">
        <f>IFERROR(IF(OR(D47=0,D47="-",D47="",D47=" ",D47=" ",D47="Athlete"),"",IF($A54&gt;0,VLOOKUP(D47,female_reg,3,FALSE)-C47*10,VLOOKUP(D47,male_reg,3,FALSE)-C47*10)),"X")</f>
        <v/>
      </c>
      <c r="Q47" s="468" t="str">
        <f>IFERROR(IF(OR(J47=0,J47="-",J47=" ",J47="",J47=" ",J47="Athlete"),"",IF($A54&gt;0,VLOOKUP(J47,female_reg,3,FALSE)-C47*10,VLOOKUP(J47,male_reg,3,FALSE)-C47*10)),"X")</f>
        <v/>
      </c>
      <c r="T47" s="468">
        <f t="shared" ca="1" si="1"/>
        <v>0</v>
      </c>
      <c r="U47" s="468">
        <f t="shared" ca="1" si="2"/>
        <v>0</v>
      </c>
      <c r="Z47" s="467">
        <f t="shared" ca="1" si="3"/>
        <v>0</v>
      </c>
      <c r="AA47" s="467">
        <f t="shared" ca="1" si="4"/>
        <v>0</v>
      </c>
    </row>
    <row r="48" spans="1:27" x14ac:dyDescent="0.35">
      <c r="A48" s="181">
        <f ca="1">IFERROR(VLOOKUP(A46,Timetables!$A:$E,5,FALSE)-1,"")</f>
        <v>30</v>
      </c>
      <c r="B48" s="477">
        <v>1</v>
      </c>
      <c r="C48" s="477">
        <f ca="1">IFERROR(IF(B48&gt;MatchDay!$U$2,"",IF(MatchDay!$D$6=2,"",VLOOKUP(A46,Timetables!$A:$DK,MatchDay!$U$4+B48-MatchDay!$D$6,FALSE))),"")</f>
        <v>2</v>
      </c>
      <c r="D48" s="467" t="str">
        <f ca="1">IFERROR(HLOOKUP(C48,Declarations!$D$2:$S$102,A48,FALSE),"")</f>
        <v>GROVE Abigail</v>
      </c>
      <c r="E48" s="467" t="str">
        <f ca="1">IFERROR(VLOOKUP(C48,teamlookup,5,FALSE),"")</f>
        <v>Sheff+D</v>
      </c>
      <c r="F48" s="466"/>
      <c r="G48" s="476"/>
      <c r="H48" s="477">
        <v>1</v>
      </c>
      <c r="I48" s="477">
        <f ca="1">IFERROR(C48*11,"")</f>
        <v>22</v>
      </c>
      <c r="J48" s="467" t="str">
        <f ca="1">IFERROR(HLOOKUP(I48,Declarations!$D$2:$S$102,$A48,FALSE),"")</f>
        <v>HARTLEY Eleanor</v>
      </c>
      <c r="K48" s="467" t="str">
        <f t="shared" ref="K48:K55" ca="1" si="25">IFERROR(VLOOKUP(I48,teamlookup,5,FALSE),"")</f>
        <v>Sheff+D</v>
      </c>
      <c r="N48" s="478"/>
      <c r="P48" s="468">
        <f ca="1">IFERROR(IF(OR(D48=0,D48="-",D48="",D48=" ",D48=" ",D48="Athlete"),"",IF($A54&gt;0,VLOOKUP(D48,female_reg,3,FALSE)-C48*10,VLOOKUP(D48,male_reg,3,FALSE)-C48*10)),2)</f>
        <v>1</v>
      </c>
      <c r="Q48" s="468">
        <f ca="1">IFERROR(IF(OR(J48=0,J48="-",J48=" ",J48="",J48=" ",J48="Athlete"),"",IF($A54&gt;0,VLOOKUP(J48,female_reg,3,FALSE)-C48*10,VLOOKUP(J48,male_reg,3,FALSE)-C48*10)),2)</f>
        <v>1</v>
      </c>
      <c r="T48" s="468">
        <f t="shared" ca="1" si="1"/>
        <v>3</v>
      </c>
      <c r="U48" s="468">
        <f t="shared" ca="1" si="2"/>
        <v>3</v>
      </c>
      <c r="V48" s="467" t="str">
        <f t="shared" ref="V48:V55" ca="1" si="26">IFERROR(IF(OR(D48=0,D48="-",D48="",D48=" ",D48=" "),"X",D48&amp;E48),"X")</f>
        <v>GROVE AbigailSheff+D</v>
      </c>
      <c r="W48" s="467" t="str">
        <f t="shared" ref="W48:W55" ca="1" si="27">IFERROR(IF(OR(J48=0,J48="-",J48="",J48=" ",J48=" "),"X",J48&amp;K48),"X")</f>
        <v>HARTLEY EleanorSheff+D</v>
      </c>
      <c r="Z48" s="467">
        <f t="shared" ca="1" si="3"/>
        <v>4</v>
      </c>
      <c r="AA48" s="467">
        <f t="shared" ca="1" si="4"/>
        <v>3</v>
      </c>
    </row>
    <row r="49" spans="1:27" x14ac:dyDescent="0.35">
      <c r="A49" s="468">
        <f>A38+1</f>
        <v>7</v>
      </c>
      <c r="B49" s="477">
        <v>2</v>
      </c>
      <c r="C49" s="477">
        <f ca="1">IFERROR(IF(B49&gt;MatchDay!$U$2+MatchDay!$D$6-1,"",VLOOKUP(A46,Timetables!$A:$DK,MatchDay!$U$4+B49-MatchDay!$D$6,FALSE)),"")</f>
        <v>5</v>
      </c>
      <c r="D49" s="467" t="str">
        <f ca="1">IFERROR(HLOOKUP(C49,Declarations!$D$2:$S$102,A48,FALSE),"")</f>
        <v>LINGARD Beatrice</v>
      </c>
      <c r="E49" s="467" t="str">
        <f t="shared" ref="E49:E55" ca="1" si="28">IFERROR(VLOOKUP(C49,teamlookup,5,FALSE),"")</f>
        <v>Scun</v>
      </c>
      <c r="F49" s="466"/>
      <c r="G49" s="476"/>
      <c r="H49" s="477">
        <v>2</v>
      </c>
      <c r="I49" s="477">
        <f t="shared" ref="I49:I55" ca="1" si="29">IFERROR(C49*11,"")</f>
        <v>55</v>
      </c>
      <c r="J49" s="467" t="str">
        <f ca="1">IFERROR(HLOOKUP(I49,Declarations!$D$2:$S$102,$A48,FALSE),"")</f>
        <v>HAYES Zara</v>
      </c>
      <c r="K49" s="467" t="str">
        <f t="shared" ca="1" si="25"/>
        <v>Scun</v>
      </c>
      <c r="N49" s="478"/>
      <c r="P49" s="468">
        <f ca="1">IFERROR(IF(OR(D49=0,D49="-",D49="",D49=" ",D49=" ",D49="Athlete"),"",IF($A54&gt;0,VLOOKUP(D49,female_reg,3,FALSE)-C49*10,VLOOKUP(D49,male_reg,3,FALSE)-C49*10)),2)</f>
        <v>1</v>
      </c>
      <c r="Q49" s="468">
        <f ca="1">IFERROR(IF(OR(J49=0,J49="-",J49=" ",J49="",J49=" ",J49="Athlete"),"",IF($A54&gt;0,VLOOKUP(J49,female_reg,3,FALSE)-C49*10,VLOOKUP(J49,male_reg,3,FALSE)-C49*10)),2)</f>
        <v>1</v>
      </c>
      <c r="T49" s="468">
        <f t="shared" ca="1" si="1"/>
        <v>1</v>
      </c>
      <c r="U49" s="468">
        <f t="shared" ca="1" si="2"/>
        <v>3</v>
      </c>
      <c r="V49" s="467" t="str">
        <f t="shared" ca="1" si="26"/>
        <v>LINGARD BeatriceScun</v>
      </c>
      <c r="W49" s="467" t="str">
        <f t="shared" ca="1" si="27"/>
        <v>HAYES ZaraScun</v>
      </c>
      <c r="Z49" s="467">
        <f t="shared" ca="1" si="3"/>
        <v>1</v>
      </c>
      <c r="AA49" s="467">
        <f t="shared" ca="1" si="4"/>
        <v>3</v>
      </c>
    </row>
    <row r="50" spans="1:27" x14ac:dyDescent="0.35">
      <c r="A50" s="118">
        <f ca="1">IFERROR(VLOOKUP(A46,standards,3,FALSE)+0.01,"-")</f>
        <v>20.51</v>
      </c>
      <c r="B50" s="477">
        <v>3</v>
      </c>
      <c r="C50" s="477">
        <f ca="1">IFERROR(IF(B50&gt;MatchDay!$U$2+MatchDay!$D$6-1,"",VLOOKUP(A46,Timetables!$A:$DK,MatchDay!$U$4+B50-MatchDay!$D$6,FALSE)),"")</f>
        <v>3</v>
      </c>
      <c r="D50" s="467" t="str">
        <f ca="1">IFERROR(HLOOKUP(C50,Declarations!$D$2:$S$102,A48,FALSE),"")</f>
        <v>MARSHALL Nancy</v>
      </c>
      <c r="E50" s="467" t="str">
        <f t="shared" ca="1" si="28"/>
        <v>York</v>
      </c>
      <c r="F50" s="466"/>
      <c r="G50" s="476"/>
      <c r="H50" s="477">
        <v>3</v>
      </c>
      <c r="I50" s="477">
        <f t="shared" ca="1" si="29"/>
        <v>33</v>
      </c>
      <c r="J50" s="467" t="str">
        <f ca="1">IFERROR(HLOOKUP(I50,Declarations!$D$2:$S$102,$A48,FALSE),"")</f>
        <v>BIRCH Louisa</v>
      </c>
      <c r="K50" s="467" t="str">
        <f t="shared" ca="1" si="25"/>
        <v>York</v>
      </c>
      <c r="N50" s="478"/>
      <c r="P50" s="468">
        <f ca="1">IFERROR(IF(OR(D50=0,D50="-",D50="",D50=" ",D50=" ",D50="Athlete"),"",IF($A54&gt;0,VLOOKUP(D50,female_reg,3,FALSE)-C50*10,VLOOKUP(D50,male_reg,3,FALSE)-C50*10)),2)</f>
        <v>0</v>
      </c>
      <c r="Q50" s="468">
        <f ca="1">IFERROR(IF(OR(J50=0,J50="-",J50=" ",J50="",J50=" ",J50="Athlete"),"",IF($A54&gt;0,VLOOKUP(J50,female_reg,3,FALSE)-C50*10,VLOOKUP(J50,male_reg,3,FALSE)-C50*10)),2)</f>
        <v>1</v>
      </c>
      <c r="T50" s="468">
        <f t="shared" ca="1" si="1"/>
        <v>1</v>
      </c>
      <c r="U50" s="468">
        <f t="shared" ca="1" si="2"/>
        <v>2</v>
      </c>
      <c r="V50" s="467" t="str">
        <f t="shared" ca="1" si="26"/>
        <v>MARSHALL NancyYork</v>
      </c>
      <c r="W50" s="467" t="str">
        <f t="shared" ca="1" si="27"/>
        <v>BIRCH LouisaYork</v>
      </c>
      <c r="Z50" s="467">
        <f t="shared" ca="1" si="3"/>
        <v>2</v>
      </c>
      <c r="AA50" s="467">
        <f t="shared" ca="1" si="4"/>
        <v>2</v>
      </c>
    </row>
    <row r="51" spans="1:27" x14ac:dyDescent="0.35">
      <c r="A51" s="118">
        <f ca="1">IFERROR(VLOOKUP(A46,standards,4,FALSE)+0.01,"-")</f>
        <v>21.01</v>
      </c>
      <c r="B51" s="477">
        <v>4</v>
      </c>
      <c r="C51" s="477">
        <f ca="1">IFERROR(IF(B51&gt;MatchDay!$U$2+MatchDay!$D$6-1,"",VLOOKUP(A46,Timetables!$A:$DK,MatchDay!$U$4+B51-MatchDay!$D$6,FALSE)),"")</f>
        <v>4</v>
      </c>
      <c r="D51" s="467" t="str">
        <f ca="1">IFERROR(HLOOKUP(C51,Declarations!$D$2:$S$102,A48,FALSE),"")</f>
        <v>SULLOCK Beth</v>
      </c>
      <c r="E51" s="467" t="str">
        <f t="shared" ca="1" si="28"/>
        <v>M'bro</v>
      </c>
      <c r="F51" s="466"/>
      <c r="G51" s="476"/>
      <c r="H51" s="477">
        <v>4</v>
      </c>
      <c r="I51" s="477">
        <f t="shared" ca="1" si="29"/>
        <v>44</v>
      </c>
      <c r="J51" s="467" t="str">
        <f ca="1">IFERROR(HLOOKUP(I51,Declarations!$D$2:$S$102,$A48,FALSE),"")</f>
        <v>SEDGWICK Emma</v>
      </c>
      <c r="K51" s="467" t="str">
        <f t="shared" ca="1" si="25"/>
        <v>M'bro</v>
      </c>
      <c r="N51" s="478"/>
      <c r="P51" s="468">
        <f ca="1">IFERROR(IF(OR(D51=0,D51="-",D51="",D51=" ",D51=" ",D51="Athlete"),"",IF($A54&gt;0,VLOOKUP(D51,female_reg,3,FALSE)-C51*10,VLOOKUP(D51,male_reg,3,FALSE)-C51*10)),2)</f>
        <v>1</v>
      </c>
      <c r="Q51" s="468">
        <f ca="1">IFERROR(IF(OR(J51=0,J51="-",J51=" ",J51="",J51=" ",J51="Athlete"),"",IF($A54&gt;0,VLOOKUP(J51,female_reg,3,FALSE)-C51*10,VLOOKUP(J51,male_reg,3,FALSE)-C51*10)),2)</f>
        <v>1</v>
      </c>
      <c r="T51" s="468">
        <f t="shared" ca="1" si="1"/>
        <v>3</v>
      </c>
      <c r="U51" s="468">
        <f t="shared" ca="1" si="2"/>
        <v>3</v>
      </c>
      <c r="V51" s="467" t="str">
        <f t="shared" ca="1" si="26"/>
        <v>SULLOCK BethM'bro</v>
      </c>
      <c r="W51" s="467" t="str">
        <f t="shared" ca="1" si="27"/>
        <v>SEDGWICK EmmaM'bro</v>
      </c>
      <c r="Z51" s="467">
        <f t="shared" ca="1" si="3"/>
        <v>4</v>
      </c>
      <c r="AA51" s="467">
        <f t="shared" ca="1" si="4"/>
        <v>4</v>
      </c>
    </row>
    <row r="52" spans="1:27" x14ac:dyDescent="0.35">
      <c r="A52" s="118">
        <f ca="1">IFERROR(VLOOKUP(A46,standards,5,FALSE)+0.01,"-")</f>
        <v>21.51</v>
      </c>
      <c r="B52" s="477">
        <v>5</v>
      </c>
      <c r="C52" s="477">
        <f ca="1">IFERROR(IF(B52&gt;MatchDay!$U$2+MatchDay!$D$6-1,"",VLOOKUP(A46,Timetables!$A:$DK,MatchDay!$U$4+B52-MatchDay!$D$6,FALSE)),"")</f>
        <v>1</v>
      </c>
      <c r="D52" s="467" t="str">
        <f ca="1">IFERROR(HLOOKUP(C52,Declarations!$D$2:$S$102,A48,FALSE),"")</f>
        <v>GRIFFIN Lydia</v>
      </c>
      <c r="E52" s="467" t="str">
        <f t="shared" ca="1" si="28"/>
        <v>C'field</v>
      </c>
      <c r="F52" s="466"/>
      <c r="G52" s="476"/>
      <c r="H52" s="477">
        <v>5</v>
      </c>
      <c r="I52" s="477">
        <f t="shared" ca="1" si="29"/>
        <v>11</v>
      </c>
      <c r="J52" s="467" t="str">
        <f ca="1">IFERROR(HLOOKUP(I52,Declarations!$D$2:$S$102,$A48,FALSE),"")</f>
        <v>SAS Evelyn</v>
      </c>
      <c r="K52" s="467" t="str">
        <f t="shared" ca="1" si="25"/>
        <v>C'field</v>
      </c>
      <c r="N52" s="478"/>
      <c r="P52" s="468">
        <f ca="1">IFERROR(IF(OR(D52=0,D52="-",D52="",D52=" ",D52=" ",D52="Athlete"),"",IF($A54&gt;0,VLOOKUP(D52,female_reg,3,FALSE)-C52*10,VLOOKUP(D52,male_reg,3,FALSE)-C52*10)),2)</f>
        <v>1</v>
      </c>
      <c r="Q52" s="468">
        <f ca="1">IFERROR(IF(OR(J52=0,J52="-",J52=" ",J52="",J52=" ",J52="Athlete"),"",IF($A54&gt;0,VLOOKUP(J52,female_reg,3,FALSE)-C52*10,VLOOKUP(J52,male_reg,3,FALSE)-C52*10)),2)</f>
        <v>1</v>
      </c>
      <c r="T52" s="468">
        <f t="shared" ca="1" si="1"/>
        <v>2</v>
      </c>
      <c r="U52" s="468">
        <f t="shared" ca="1" si="2"/>
        <v>1</v>
      </c>
      <c r="V52" s="467" t="str">
        <f t="shared" ca="1" si="26"/>
        <v>GRIFFIN LydiaC'field</v>
      </c>
      <c r="W52" s="467" t="str">
        <f t="shared" ca="1" si="27"/>
        <v>SAS EvelynC'field</v>
      </c>
      <c r="Z52" s="467">
        <f t="shared" ca="1" si="3"/>
        <v>3</v>
      </c>
      <c r="AA52" s="467">
        <f t="shared" ca="1" si="4"/>
        <v>2</v>
      </c>
    </row>
    <row r="53" spans="1:27" x14ac:dyDescent="0.35">
      <c r="A53" s="118">
        <f ca="1">IFERROR(VLOOKUP(A46,standards,6,FALSE)+0.01,"-")</f>
        <v>22.41</v>
      </c>
      <c r="B53" s="477">
        <v>6</v>
      </c>
      <c r="C53" s="477" t="str">
        <f>IFERROR(IF(B53&gt;MatchDay!$U$2+MatchDay!$D$6-1,"",VLOOKUP(A46,Timetables!$A:$DK,MatchDay!$U$4+B53-MatchDay!$D$6,FALSE)),"")</f>
        <v/>
      </c>
      <c r="D53" s="467" t="str">
        <f>IFERROR(HLOOKUP(C53,Declarations!$D$2:$S$102,A48,FALSE),"")</f>
        <v/>
      </c>
      <c r="E53" s="467" t="str">
        <f t="shared" si="28"/>
        <v/>
      </c>
      <c r="F53" s="466"/>
      <c r="G53" s="476"/>
      <c r="H53" s="477">
        <v>6</v>
      </c>
      <c r="I53" s="477" t="str">
        <f t="shared" si="29"/>
        <v/>
      </c>
      <c r="J53" s="467" t="str">
        <f>IFERROR(HLOOKUP(I53,Declarations!$D$2:$S$102,$A48,FALSE),"")</f>
        <v/>
      </c>
      <c r="K53" s="467" t="str">
        <f t="shared" si="25"/>
        <v/>
      </c>
      <c r="N53" s="478"/>
      <c r="P53" s="468" t="str">
        <f>IFERROR(IF(OR(D53=0,D53="-",D53="",D53=" ",D53=" ",D53="Athlete"),"",IF($A54&gt;0,VLOOKUP(D53,female_reg,3,FALSE)-C53*10,VLOOKUP(D53,male_reg,3,FALSE)-C53*10)),2)</f>
        <v/>
      </c>
      <c r="Q53" s="468" t="str">
        <f>IFERROR(IF(OR(J53=0,J53="-",J53=" ",J53="",J53=" ",J53="Athlete"),"",IF($A54&gt;0,VLOOKUP(J53,female_reg,3,FALSE)-C53*10,VLOOKUP(J53,male_reg,3,FALSE)-C53*10)),2)</f>
        <v/>
      </c>
      <c r="T53" s="468">
        <f t="shared" si="1"/>
        <v>0</v>
      </c>
      <c r="U53" s="468">
        <f t="shared" si="2"/>
        <v>0</v>
      </c>
      <c r="V53" s="467" t="str">
        <f t="shared" si="26"/>
        <v>X</v>
      </c>
      <c r="W53" s="467" t="str">
        <f t="shared" si="27"/>
        <v>X</v>
      </c>
      <c r="Z53" s="467">
        <f t="shared" si="3"/>
        <v>0</v>
      </c>
      <c r="AA53" s="467">
        <f t="shared" si="4"/>
        <v>0</v>
      </c>
    </row>
    <row r="54" spans="1:27" x14ac:dyDescent="0.35">
      <c r="A54" s="479">
        <f ca="1">IFERROR(SEARCH("Girls",B46),0)</f>
        <v>10</v>
      </c>
      <c r="B54" s="477">
        <v>7</v>
      </c>
      <c r="C54" s="477" t="str">
        <f>IFERROR(IF(B54&gt;MatchDay!$U$2+MatchDay!$D$6-1,"",VLOOKUP(A46,Timetables!$A:$DK,MatchDay!$U$4+B54-MatchDay!$D$6,FALSE)),"")</f>
        <v/>
      </c>
      <c r="D54" s="467" t="str">
        <f>IFERROR(HLOOKUP(C54,Declarations!$D$2:$S$102,A48,FALSE),"")</f>
        <v/>
      </c>
      <c r="E54" s="467" t="str">
        <f t="shared" si="28"/>
        <v/>
      </c>
      <c r="F54" s="466"/>
      <c r="G54" s="476"/>
      <c r="H54" s="477">
        <v>7</v>
      </c>
      <c r="I54" s="477" t="str">
        <f t="shared" si="29"/>
        <v/>
      </c>
      <c r="J54" s="467" t="str">
        <f>IFERROR(HLOOKUP(I54,Declarations!$D$2:$S$102,$A48,FALSE),"")</f>
        <v/>
      </c>
      <c r="K54" s="467" t="str">
        <f t="shared" si="25"/>
        <v/>
      </c>
      <c r="N54" s="478"/>
      <c r="P54" s="468" t="str">
        <f>IFERROR(IF(OR(D54=0,D54="-",D54="",D54=" ",D54=" ",D54="Athlete"),"",IF($A54&gt;0,VLOOKUP(D54,female_reg,3,FALSE)-C54*10,VLOOKUP(D54,male_reg,3,FALSE)-C54*10)),2)</f>
        <v/>
      </c>
      <c r="Q54" s="468" t="str">
        <f>IFERROR(IF(OR(J54=0,J54="-",J54=" ",J54="",J54=" ",J54="Athlete"),"",IF($A54&gt;0,VLOOKUP(J54,female_reg,3,FALSE)-C54*10,VLOOKUP(J54,male_reg,3,FALSE)-C54*10)),2)</f>
        <v/>
      </c>
      <c r="T54" s="468">
        <f t="shared" si="1"/>
        <v>0</v>
      </c>
      <c r="U54" s="468">
        <f t="shared" si="2"/>
        <v>0</v>
      </c>
      <c r="V54" s="467" t="str">
        <f t="shared" si="26"/>
        <v>X</v>
      </c>
      <c r="W54" s="467" t="str">
        <f t="shared" si="27"/>
        <v>X</v>
      </c>
      <c r="Z54" s="467">
        <f t="shared" si="3"/>
        <v>0</v>
      </c>
      <c r="AA54" s="467">
        <f t="shared" si="4"/>
        <v>0</v>
      </c>
    </row>
    <row r="55" spans="1:27" x14ac:dyDescent="0.35">
      <c r="A55" s="116">
        <f ca="1">IFERROR(VLOOKUP(A46,records,5,FALSE),"")</f>
        <v>18.7</v>
      </c>
      <c r="B55" s="477">
        <v>8</v>
      </c>
      <c r="C55" s="477" t="str">
        <f>IFERROR(IF(B55&gt;MatchDay!$U$2+MatchDay!$D$6-1,"",VLOOKUP(A46,Timetables!$A:$DK,MatchDay!$U$4+B55-MatchDay!$D$6,FALSE)),"")</f>
        <v/>
      </c>
      <c r="D55" s="467" t="str">
        <f>IFERROR(HLOOKUP(C55,Declarations!$D$2:$S$102,A48,FALSE),"")</f>
        <v/>
      </c>
      <c r="E55" s="467" t="str">
        <f t="shared" si="28"/>
        <v/>
      </c>
      <c r="F55" s="466"/>
      <c r="G55" s="476"/>
      <c r="H55" s="477">
        <v>8</v>
      </c>
      <c r="I55" s="477" t="str">
        <f t="shared" si="29"/>
        <v/>
      </c>
      <c r="J55" s="467" t="str">
        <f>IFERROR(HLOOKUP(I55,Declarations!$D$2:$S$102,$A48,FALSE),"")</f>
        <v/>
      </c>
      <c r="K55" s="467" t="str">
        <f t="shared" si="25"/>
        <v/>
      </c>
      <c r="N55" s="478"/>
      <c r="P55" s="468" t="str">
        <f>IFERROR(IF(OR(D55=0,D55="-",D55="",D55=" ",D55=" ",D55="Athlete"),"",IF($A54&gt;0,VLOOKUP(D55,female_reg,3,FALSE)-C55*10,VLOOKUP(D55,male_reg,3,FALSE)-C55*10)),2)</f>
        <v/>
      </c>
      <c r="Q55" s="468" t="str">
        <f>IFERROR(IF(OR(J55=0,J55="-",J55=" ",J55="",J55=" ",J55="Athlete"),"",IF($A54&gt;0,VLOOKUP(J55,female_reg,3,FALSE)-C55*10,VLOOKUP(J55,male_reg,3,FALSE)-C55*10)),2)</f>
        <v/>
      </c>
      <c r="T55" s="468">
        <f t="shared" si="1"/>
        <v>0</v>
      </c>
      <c r="U55" s="468">
        <f t="shared" si="2"/>
        <v>0</v>
      </c>
      <c r="V55" s="467" t="str">
        <f t="shared" si="26"/>
        <v>X</v>
      </c>
      <c r="W55" s="467" t="str">
        <f t="shared" si="27"/>
        <v>X</v>
      </c>
      <c r="Z55" s="467">
        <f t="shared" si="3"/>
        <v>0</v>
      </c>
      <c r="AA55" s="467">
        <f t="shared" si="4"/>
        <v>0</v>
      </c>
    </row>
    <row r="56" spans="1:27" x14ac:dyDescent="0.35">
      <c r="P56" s="468" t="str">
        <f>IFERROR(IF(OR(D56=0,D56="-",D56="",D56=" ",D56=" ",D56="Athlete"),"",IF($A54&gt;0,VLOOKUP(D56,female_reg,3,FALSE)-C56*10,VLOOKUP(D56,male_reg,3,FALSE)-C56*10)),"X")</f>
        <v/>
      </c>
      <c r="Q56" s="468" t="str">
        <f>IFERROR(IF(OR(J56=0,J56="-",J56=" ",J56="",J56=" ",J56="Athlete"),"",IF($A54&gt;0,VLOOKUP(J56,female_reg,3,FALSE)-C56*10,VLOOKUP(J56,male_reg,3,FALSE)-C56*10)),"X")</f>
        <v/>
      </c>
      <c r="T56" s="468">
        <f t="shared" ca="1" si="1"/>
        <v>0</v>
      </c>
      <c r="U56" s="468">
        <f t="shared" ca="1" si="2"/>
        <v>0</v>
      </c>
      <c r="Z56" s="467">
        <f t="shared" ca="1" si="3"/>
        <v>0</v>
      </c>
      <c r="AA56" s="467">
        <f t="shared" ca="1" si="4"/>
        <v>0</v>
      </c>
    </row>
    <row r="57" spans="1:27" x14ac:dyDescent="0.35">
      <c r="A57" s="111" t="str">
        <f ca="1">IFERROR(INDIRECT(CONCATENATE("'Timetables'!A"&amp;A60)),"")</f>
        <v>LT06</v>
      </c>
      <c r="B57" s="469" t="str">
        <f ca="1">IFERROR(VLOOKUP(A57,timetables,2,FALSE)&amp;" "&amp;VLOOKUP(A57,timetables,3,FALSE)&amp;" A","")</f>
        <v>200m U13 Boys A</v>
      </c>
      <c r="C57" s="469"/>
      <c r="E57" s="470" t="str">
        <f ca="1">"Starts "&amp;TEXT(VLOOKUP(A57,timetables,7-MatchDay!$U$7,FALSE),"hh:mm")</f>
        <v>Starts 12:25</v>
      </c>
      <c r="F57" s="471"/>
      <c r="H57" s="472" t="str">
        <f ca="1">IFERROR("Rec: "&amp;TEXT(VLOOKUP(A57,records,5,FALSE),"#0.00")&amp;"s, "&amp;VLOOKUP(A57,records,3,FALSE)&amp;", "&amp;VLOOKUP(A57,records,4,FALSE)&amp;", "&amp;VLOOKUP(A57,records,8,FALSE),"")</f>
        <v>Rec: 24.34s, Yaw Afirifah-Mensah, Notts AC, 2018</v>
      </c>
      <c r="K57" s="473"/>
      <c r="L57" s="474"/>
      <c r="M57" s="467"/>
      <c r="P57" s="468" t="str">
        <f>IFERROR(IF(OR(D57=0,D57="-",D57="",D57=" ",D57=" ",D57="Athlete"),"",IF($A65&gt;0,VLOOKUP(D57,female_reg,3,FALSE)-C57*10,VLOOKUP(D57,male_reg,3,FALSE)-C57*10)),"X")</f>
        <v/>
      </c>
      <c r="Q57" s="468" t="str">
        <f>IFERROR(IF(OR(J57=0,J57="-",J57=" ",J57="",J57=" ",J57="Athlete"),"",IF($A65&gt;0,VLOOKUP(J57,female_reg,3,FALSE)-C57*10,VLOOKUP(J57,male_reg,3,FALSE)-C57*10)),"X")</f>
        <v/>
      </c>
      <c r="T57" s="468">
        <f t="shared" ca="1" si="1"/>
        <v>0</v>
      </c>
      <c r="U57" s="468">
        <f t="shared" ca="1" si="2"/>
        <v>0</v>
      </c>
      <c r="Z57" s="467">
        <f t="shared" ca="1" si="3"/>
        <v>0</v>
      </c>
      <c r="AA57" s="467">
        <f t="shared" ca="1" si="4"/>
        <v>0</v>
      </c>
    </row>
    <row r="58" spans="1:27" x14ac:dyDescent="0.35">
      <c r="A58" s="85" t="str">
        <f ca="1">MID(A57,2,3)</f>
        <v>T06</v>
      </c>
      <c r="B58" s="9" t="s">
        <v>786</v>
      </c>
      <c r="C58" s="9" t="s">
        <v>183</v>
      </c>
      <c r="D58" s="46" t="s">
        <v>227</v>
      </c>
      <c r="E58" s="46" t="s">
        <v>228</v>
      </c>
      <c r="F58" s="475"/>
      <c r="G58" s="46"/>
      <c r="H58" s="9" t="s">
        <v>786</v>
      </c>
      <c r="I58" s="9" t="s">
        <v>183</v>
      </c>
      <c r="J58" s="46" t="s">
        <v>227</v>
      </c>
      <c r="K58" s="46" t="s">
        <v>228</v>
      </c>
      <c r="L58" s="475"/>
      <c r="M58" s="475"/>
      <c r="N58" s="52"/>
      <c r="P58" s="468" t="str">
        <f>IFERROR(IF(OR(D58=0,D58="-",D58="",D58=" ",D58=" ",D58="Athlete"),"",IF($A65&gt;0,VLOOKUP(D58,female_reg,3,FALSE)-C58*10,VLOOKUP(D58,male_reg,3,FALSE)-C58*10)),"X")</f>
        <v/>
      </c>
      <c r="Q58" s="468" t="str">
        <f>IFERROR(IF(OR(J58=0,J58="-",J58=" ",J58="",J58=" ",J58="Athlete"),"",IF($A65&gt;0,VLOOKUP(J58,female_reg,3,FALSE)-C58*10,VLOOKUP(J58,male_reg,3,FALSE)-C58*10)),"X")</f>
        <v/>
      </c>
      <c r="T58" s="468">
        <f t="shared" ca="1" si="1"/>
        <v>0</v>
      </c>
      <c r="U58" s="468">
        <f t="shared" ca="1" si="2"/>
        <v>0</v>
      </c>
      <c r="Z58" s="467">
        <f t="shared" ca="1" si="3"/>
        <v>0</v>
      </c>
      <c r="AA58" s="467">
        <f t="shared" ca="1" si="4"/>
        <v>0</v>
      </c>
    </row>
    <row r="59" spans="1:27" x14ac:dyDescent="0.35">
      <c r="A59" s="181">
        <f ca="1">IFERROR(VLOOKUP(A57,Timetables!$A:$E,5,FALSE)-1,"")</f>
        <v>80</v>
      </c>
      <c r="B59" s="477">
        <v>1</v>
      </c>
      <c r="C59" s="477">
        <f ca="1">IFERROR(IF(B59&gt;MatchDay!$U$2,"",IF(MatchDay!$D$6=2,"",VLOOKUP(A57,Timetables!$A:$DK,MatchDay!$U$4+B59-MatchDay!$D$6,FALSE))),"")</f>
        <v>2</v>
      </c>
      <c r="D59" s="467" t="str">
        <f ca="1">IFERROR(HLOOKUP(C59,Declarations!$D$2:$S$102,A59,FALSE),"")</f>
        <v>WINGFIELD Tyler</v>
      </c>
      <c r="E59" s="467" t="str">
        <f ca="1">IFERROR(VLOOKUP(C59,teamlookup,5,FALSE),"")</f>
        <v>Sheff+D</v>
      </c>
      <c r="F59" s="466"/>
      <c r="G59" s="476"/>
      <c r="H59" s="477">
        <v>1</v>
      </c>
      <c r="I59" s="477">
        <f ca="1">IFERROR(C59*11,"")</f>
        <v>22</v>
      </c>
      <c r="J59" s="467" t="str">
        <f ca="1">IFERROR(HLOOKUP(I59,Declarations!$D$2:$S$102,$A59,FALSE),"")</f>
        <v>MAY Rudi</v>
      </c>
      <c r="K59" s="467" t="str">
        <f t="shared" ref="K59:K66" ca="1" si="30">IFERROR(VLOOKUP(I59,teamlookup,5,FALSE),"")</f>
        <v>Sheff+D</v>
      </c>
      <c r="N59" s="478"/>
      <c r="P59" s="468">
        <f ca="1">IFERROR(IF(OR(D59=0,D59="-",D59="",D59=" ",D59=" ",D59="Athlete"),"",IF($A65&gt;0,VLOOKUP(D59,female_reg,3,FALSE)-C59*10,VLOOKUP(D59,male_reg,3,FALSE)-C59*10)),2)</f>
        <v>1</v>
      </c>
      <c r="Q59" s="468">
        <f ca="1">IFERROR(IF(OR(J59=0,J59="-",J59=" ",J59="",J59=" ",J59="Athlete"),"",IF($A65&gt;0,VLOOKUP(J59,female_reg,3,FALSE)-C59*10,VLOOKUP(J59,male_reg,3,FALSE)-C59*10)),2)</f>
        <v>1</v>
      </c>
      <c r="T59" s="468">
        <f t="shared" ca="1" si="1"/>
        <v>2</v>
      </c>
      <c r="U59" s="468">
        <f t="shared" ca="1" si="2"/>
        <v>3</v>
      </c>
      <c r="V59" s="467" t="str">
        <f t="shared" ref="V59:V66" ca="1" si="31">IFERROR(IF(OR(D59=0,D59="-",D59="",D59=" ",D59=" "),"X",D59&amp;E59),"X")</f>
        <v>WINGFIELD TylerSheff+D</v>
      </c>
      <c r="W59" s="467" t="str">
        <f t="shared" ref="W59:W66" ca="1" si="32">IFERROR(IF(OR(J59=0,J59="-",J59="",J59=" ",J59=" "),"X",J59&amp;K59),"X")</f>
        <v>MAY RudiSheff+D</v>
      </c>
      <c r="Z59" s="467">
        <f t="shared" ca="1" si="3"/>
        <v>3</v>
      </c>
      <c r="AA59" s="467">
        <f t="shared" ca="1" si="4"/>
        <v>4</v>
      </c>
    </row>
    <row r="60" spans="1:27" x14ac:dyDescent="0.35">
      <c r="A60" s="468">
        <f>A49+1</f>
        <v>8</v>
      </c>
      <c r="B60" s="477">
        <v>2</v>
      </c>
      <c r="C60" s="477">
        <f ca="1">IFERROR(IF(B60&gt;MatchDay!$U$2+MatchDay!$D$6-1,"",VLOOKUP(A57,Timetables!$A:$DK,MatchDay!$U$4+B60-MatchDay!$D$6,FALSE)),"")</f>
        <v>5</v>
      </c>
      <c r="D60" s="467" t="str">
        <f ca="1">IFERROR(HLOOKUP(C60,Declarations!$D$2:$S$102,A59,FALSE),"")</f>
        <v>LANGTON Cody</v>
      </c>
      <c r="E60" s="467" t="str">
        <f t="shared" ref="E60:E66" ca="1" si="33">IFERROR(VLOOKUP(C60,teamlookup,5,FALSE),"")</f>
        <v>Scun</v>
      </c>
      <c r="F60" s="466"/>
      <c r="G60" s="476"/>
      <c r="H60" s="477">
        <v>2</v>
      </c>
      <c r="I60" s="477">
        <f t="shared" ref="I60:I66" ca="1" si="34">IFERROR(C60*11,"")</f>
        <v>55</v>
      </c>
      <c r="J60" s="467" t="str">
        <f ca="1">IFERROR(HLOOKUP(I60,Declarations!$D$2:$S$102,$A59,FALSE),"")</f>
        <v>-</v>
      </c>
      <c r="K60" s="467" t="str">
        <f t="shared" ca="1" si="30"/>
        <v>Scun</v>
      </c>
      <c r="N60" s="478"/>
      <c r="P60" s="468">
        <f ca="1">IFERROR(IF(OR(D60=0,D60="-",D60="",D60=" ",D60=" ",D60="Athlete"),"",IF($A65&gt;0,VLOOKUP(D60,female_reg,3,FALSE)-C60*10,VLOOKUP(D60,male_reg,3,FALSE)-C60*10)),2)</f>
        <v>1</v>
      </c>
      <c r="Q60" s="468" t="str">
        <f ca="1">IFERROR(IF(OR(J60=0,J60="-",J60=" ",J60="",J60=" ",J60="Athlete"),"",IF($A65&gt;0,VLOOKUP(J60,female_reg,3,FALSE)-C60*10,VLOOKUP(J60,male_reg,3,FALSE)-C60*10)),2)</f>
        <v/>
      </c>
      <c r="T60" s="468">
        <f t="shared" ca="1" si="1"/>
        <v>3</v>
      </c>
      <c r="U60" s="468">
        <f t="shared" ca="1" si="2"/>
        <v>0</v>
      </c>
      <c r="V60" s="467" t="str">
        <f t="shared" ca="1" si="31"/>
        <v>LANGTON CodyScun</v>
      </c>
      <c r="W60" s="467" t="str">
        <f t="shared" ca="1" si="32"/>
        <v>X</v>
      </c>
      <c r="Z60" s="467">
        <f t="shared" ca="1" si="3"/>
        <v>3</v>
      </c>
      <c r="AA60" s="467">
        <f t="shared" ca="1" si="4"/>
        <v>0</v>
      </c>
    </row>
    <row r="61" spans="1:27" x14ac:dyDescent="0.35">
      <c r="A61" s="118">
        <f ca="1">IFERROR(VLOOKUP(A57,standards,3,FALSE)+0.01,"-")</f>
        <v>26.810000000000002</v>
      </c>
      <c r="B61" s="477">
        <v>3</v>
      </c>
      <c r="C61" s="477">
        <f ca="1">IFERROR(IF(B61&gt;MatchDay!$U$2+MatchDay!$D$6-1,"",VLOOKUP(A57,Timetables!$A:$DK,MatchDay!$U$4+B61-MatchDay!$D$6,FALSE)),"")</f>
        <v>3</v>
      </c>
      <c r="D61" s="467" t="str">
        <f ca="1">IFERROR(HLOOKUP(C61,Declarations!$D$2:$S$102,A59,FALSE),"")</f>
        <v>MARSHALL Syd</v>
      </c>
      <c r="E61" s="467" t="str">
        <f t="shared" ca="1" si="33"/>
        <v>York</v>
      </c>
      <c r="F61" s="466"/>
      <c r="G61" s="476"/>
      <c r="H61" s="477">
        <v>3</v>
      </c>
      <c r="I61" s="477">
        <f t="shared" ca="1" si="34"/>
        <v>33</v>
      </c>
      <c r="J61" s="467" t="str">
        <f ca="1">IFERROR(HLOOKUP(I61,Declarations!$D$2:$S$102,$A59,FALSE),"")</f>
        <v>BASTOW Isaac</v>
      </c>
      <c r="K61" s="467" t="str">
        <f t="shared" ca="1" si="30"/>
        <v>York</v>
      </c>
      <c r="N61" s="478"/>
      <c r="P61" s="468">
        <f ca="1">IFERROR(IF(OR(D61=0,D61="-",D61="",D61=" ",D61=" ",D61="Athlete"),"",IF($A65&gt;0,VLOOKUP(D61,female_reg,3,FALSE)-C61*10,VLOOKUP(D61,male_reg,3,FALSE)-C61*10)),2)</f>
        <v>0</v>
      </c>
      <c r="Q61" s="468">
        <f ca="1">IFERROR(IF(OR(J61=0,J61="-",J61=" ",J61="",J61=" ",J61="Athlete"),"",IF($A65&gt;0,VLOOKUP(J61,female_reg,3,FALSE)-C61*10,VLOOKUP(J61,male_reg,3,FALSE)-C61*10)),2)</f>
        <v>1</v>
      </c>
      <c r="T61" s="468">
        <f t="shared" ca="1" si="1"/>
        <v>2</v>
      </c>
      <c r="U61" s="468">
        <f t="shared" ca="1" si="2"/>
        <v>3</v>
      </c>
      <c r="V61" s="467" t="str">
        <f t="shared" ca="1" si="31"/>
        <v>MARSHALL SydYork</v>
      </c>
      <c r="W61" s="467" t="str">
        <f t="shared" ca="1" si="32"/>
        <v>BASTOW IsaacYork</v>
      </c>
      <c r="Z61" s="467">
        <f t="shared" ca="1" si="3"/>
        <v>3</v>
      </c>
      <c r="AA61" s="467">
        <f t="shared" ca="1" si="4"/>
        <v>4</v>
      </c>
    </row>
    <row r="62" spans="1:27" x14ac:dyDescent="0.35">
      <c r="A62" s="118">
        <f ca="1">IFERROR(VLOOKUP(A57,standards,4,FALSE)+0.01,"-")</f>
        <v>27.41</v>
      </c>
      <c r="B62" s="477">
        <v>4</v>
      </c>
      <c r="C62" s="477">
        <f ca="1">IFERROR(IF(B62&gt;MatchDay!$U$2+MatchDay!$D$6-1,"",VLOOKUP(A57,Timetables!$A:$DK,MatchDay!$U$4+B62-MatchDay!$D$6,FALSE)),"")</f>
        <v>4</v>
      </c>
      <c r="D62" s="467" t="str">
        <f ca="1">IFERROR(HLOOKUP(C62,Declarations!$D$2:$S$102,A59,FALSE),"")</f>
        <v>MAYNARD Finley</v>
      </c>
      <c r="E62" s="467" t="str">
        <f t="shared" ca="1" si="33"/>
        <v>M'bro</v>
      </c>
      <c r="F62" s="466"/>
      <c r="G62" s="476"/>
      <c r="H62" s="477">
        <v>4</v>
      </c>
      <c r="I62" s="477">
        <f t="shared" ca="1" si="34"/>
        <v>44</v>
      </c>
      <c r="J62" s="467" t="str">
        <f ca="1">IFERROR(HLOOKUP(I62,Declarations!$D$2:$S$102,$A59,FALSE),"")</f>
        <v>HONEYMAN Leo</v>
      </c>
      <c r="K62" s="467" t="str">
        <f t="shared" ca="1" si="30"/>
        <v>M'bro</v>
      </c>
      <c r="N62" s="478"/>
      <c r="P62" s="468">
        <f ca="1">IFERROR(IF(OR(D62=0,D62="-",D62="",D62=" ",D62=" ",D62="Athlete"),"",IF($A65&gt;0,VLOOKUP(D62,female_reg,3,FALSE)-C62*10,VLOOKUP(D62,male_reg,3,FALSE)-C62*10)),2)</f>
        <v>1</v>
      </c>
      <c r="Q62" s="468">
        <f ca="1">IFERROR(IF(OR(J62=0,J62="-",J62=" ",J62="",J62=" ",J62="Athlete"),"",IF($A65&gt;0,VLOOKUP(J62,female_reg,3,FALSE)-C62*10,VLOOKUP(J62,male_reg,3,FALSE)-C62*10)),2)</f>
        <v>0</v>
      </c>
      <c r="T62" s="468">
        <f t="shared" ca="1" si="1"/>
        <v>3</v>
      </c>
      <c r="U62" s="468">
        <f t="shared" ca="1" si="2"/>
        <v>2</v>
      </c>
      <c r="V62" s="467" t="str">
        <f t="shared" ca="1" si="31"/>
        <v>MAYNARD FinleyM'bro</v>
      </c>
      <c r="W62" s="467" t="str">
        <f t="shared" ca="1" si="32"/>
        <v>HONEYMAN LeoM'bro</v>
      </c>
      <c r="Z62" s="467">
        <f t="shared" ca="1" si="3"/>
        <v>4</v>
      </c>
      <c r="AA62" s="467">
        <f t="shared" ca="1" si="4"/>
        <v>3</v>
      </c>
    </row>
    <row r="63" spans="1:27" x14ac:dyDescent="0.35">
      <c r="A63" s="118">
        <f ca="1">IFERROR(VLOOKUP(A57,standards,5,FALSE)+0.01,"-")</f>
        <v>28.110000000000003</v>
      </c>
      <c r="B63" s="477">
        <v>5</v>
      </c>
      <c r="C63" s="477">
        <f ca="1">IFERROR(IF(B63&gt;MatchDay!$U$2+MatchDay!$D$6-1,"",VLOOKUP(A57,Timetables!$A:$DK,MatchDay!$U$4+B63-MatchDay!$D$6,FALSE)),"")</f>
        <v>1</v>
      </c>
      <c r="D63" s="467" t="str">
        <f ca="1">IFERROR(HLOOKUP(C63,Declarations!$D$2:$S$102,A59,FALSE),"")</f>
        <v>GASKIN Nathanael</v>
      </c>
      <c r="E63" s="467" t="str">
        <f t="shared" ca="1" si="33"/>
        <v>C'field</v>
      </c>
      <c r="F63" s="466"/>
      <c r="G63" s="476"/>
      <c r="H63" s="477">
        <v>5</v>
      </c>
      <c r="I63" s="477">
        <f t="shared" ca="1" si="34"/>
        <v>11</v>
      </c>
      <c r="J63" s="467" t="str">
        <f ca="1">IFERROR(HLOOKUP(I63,Declarations!$D$2:$S$102,$A59,FALSE),"")</f>
        <v>LOWE Seth</v>
      </c>
      <c r="K63" s="467" t="str">
        <f t="shared" ca="1" si="30"/>
        <v>C'field</v>
      </c>
      <c r="N63" s="478"/>
      <c r="P63" s="468">
        <f ca="1">IFERROR(IF(OR(D63=0,D63="-",D63="",D63=" ",D63=" ",D63="Athlete"),"",IF($A65&gt;0,VLOOKUP(D63,female_reg,3,FALSE)-C63*10,VLOOKUP(D63,male_reg,3,FALSE)-C63*10)),2)</f>
        <v>1</v>
      </c>
      <c r="Q63" s="468">
        <f ca="1">IFERROR(IF(OR(J63=0,J63="-",J63=" ",J63="",J63=" ",J63="Athlete"),"",IF($A65&gt;0,VLOOKUP(J63,female_reg,3,FALSE)-C63*10,VLOOKUP(J63,male_reg,3,FALSE)-C63*10)),2)</f>
        <v>1</v>
      </c>
      <c r="T63" s="468">
        <f t="shared" ca="1" si="1"/>
        <v>3</v>
      </c>
      <c r="U63" s="468">
        <f t="shared" ca="1" si="2"/>
        <v>3</v>
      </c>
      <c r="V63" s="467" t="str">
        <f t="shared" ca="1" si="31"/>
        <v>GASKIN NathanaelC'field</v>
      </c>
      <c r="W63" s="467" t="str">
        <f t="shared" ca="1" si="32"/>
        <v>LOWE SethC'field</v>
      </c>
      <c r="Z63" s="467">
        <f t="shared" ca="1" si="3"/>
        <v>4</v>
      </c>
      <c r="AA63" s="467">
        <f t="shared" ca="1" si="4"/>
        <v>4</v>
      </c>
    </row>
    <row r="64" spans="1:27" x14ac:dyDescent="0.35">
      <c r="A64" s="118">
        <f ca="1">IFERROR(VLOOKUP(A57,standards,6,FALSE)+0.01,"-")</f>
        <v>29.110000000000003</v>
      </c>
      <c r="B64" s="477">
        <v>6</v>
      </c>
      <c r="C64" s="477" t="str">
        <f>IFERROR(IF(B64&gt;MatchDay!$U$2+MatchDay!$D$6-1,"",VLOOKUP(A57,Timetables!$A:$DK,MatchDay!$U$4+B64-MatchDay!$D$6,FALSE)),"")</f>
        <v/>
      </c>
      <c r="D64" s="467" t="str">
        <f>IFERROR(HLOOKUP(C64,Declarations!$D$2:$S$102,A59,FALSE),"")</f>
        <v/>
      </c>
      <c r="E64" s="467" t="str">
        <f t="shared" si="33"/>
        <v/>
      </c>
      <c r="F64" s="466"/>
      <c r="G64" s="476"/>
      <c r="H64" s="477">
        <v>6</v>
      </c>
      <c r="I64" s="477" t="str">
        <f t="shared" si="34"/>
        <v/>
      </c>
      <c r="J64" s="467" t="str">
        <f>IFERROR(HLOOKUP(I64,Declarations!$D$2:$S$102,$A59,FALSE),"")</f>
        <v/>
      </c>
      <c r="K64" s="467" t="str">
        <f t="shared" si="30"/>
        <v/>
      </c>
      <c r="N64" s="478"/>
      <c r="P64" s="468" t="str">
        <f>IFERROR(IF(OR(D64=0,D64="-",D64="",D64=" ",D64=" ",D64="Athlete"),"",IF($A65&gt;0,VLOOKUP(D64,female_reg,3,FALSE)-C64*10,VLOOKUP(D64,male_reg,3,FALSE)-C64*10)),2)</f>
        <v/>
      </c>
      <c r="Q64" s="468" t="str">
        <f>IFERROR(IF(OR(J64=0,J64="-",J64=" ",J64="",J64=" ",J64="Athlete"),"",IF($A65&gt;0,VLOOKUP(J64,female_reg,3,FALSE)-C64*10,VLOOKUP(J64,male_reg,3,FALSE)-C64*10)),2)</f>
        <v/>
      </c>
      <c r="T64" s="468">
        <f t="shared" si="1"/>
        <v>0</v>
      </c>
      <c r="U64" s="468">
        <f t="shared" si="2"/>
        <v>0</v>
      </c>
      <c r="V64" s="467" t="str">
        <f t="shared" si="31"/>
        <v>X</v>
      </c>
      <c r="W64" s="467" t="str">
        <f t="shared" si="32"/>
        <v>X</v>
      </c>
      <c r="Z64" s="467">
        <f t="shared" si="3"/>
        <v>0</v>
      </c>
      <c r="AA64" s="467">
        <f t="shared" si="4"/>
        <v>0</v>
      </c>
    </row>
    <row r="65" spans="1:27" x14ac:dyDescent="0.35">
      <c r="A65" s="479">
        <f ca="1">IFERROR(SEARCH("Girls",B57),0)</f>
        <v>0</v>
      </c>
      <c r="B65" s="477">
        <v>7</v>
      </c>
      <c r="C65" s="477" t="str">
        <f>IFERROR(IF(B65&gt;MatchDay!$U$2+MatchDay!$D$6-1,"",VLOOKUP(A57,Timetables!$A:$DK,MatchDay!$U$4+B65-MatchDay!$D$6,FALSE)),"")</f>
        <v/>
      </c>
      <c r="D65" s="467" t="str">
        <f>IFERROR(HLOOKUP(C65,Declarations!$D$2:$S$102,A59,FALSE),"")</f>
        <v/>
      </c>
      <c r="E65" s="467" t="str">
        <f t="shared" si="33"/>
        <v/>
      </c>
      <c r="F65" s="466"/>
      <c r="G65" s="476"/>
      <c r="H65" s="477">
        <v>7</v>
      </c>
      <c r="I65" s="477" t="str">
        <f t="shared" si="34"/>
        <v/>
      </c>
      <c r="J65" s="467" t="str">
        <f>IFERROR(HLOOKUP(I65,Declarations!$D$2:$S$102,$A59,FALSE),"")</f>
        <v/>
      </c>
      <c r="K65" s="467" t="str">
        <f t="shared" si="30"/>
        <v/>
      </c>
      <c r="N65" s="478"/>
      <c r="P65" s="468" t="str">
        <f>IFERROR(IF(OR(D65=0,D65="-",D65="",D65=" ",D65=" ",D65="Athlete"),"",IF($A65&gt;0,VLOOKUP(D65,female_reg,3,FALSE)-C65*10,VLOOKUP(D65,male_reg,3,FALSE)-C65*10)),2)</f>
        <v/>
      </c>
      <c r="Q65" s="468" t="str">
        <f>IFERROR(IF(OR(J65=0,J65="-",J65=" ",J65="",J65=" ",J65="Athlete"),"",IF($A65&gt;0,VLOOKUP(J65,female_reg,3,FALSE)-C65*10,VLOOKUP(J65,male_reg,3,FALSE)-C65*10)),2)</f>
        <v/>
      </c>
      <c r="T65" s="468">
        <f t="shared" si="1"/>
        <v>0</v>
      </c>
      <c r="U65" s="468">
        <f t="shared" si="2"/>
        <v>0</v>
      </c>
      <c r="V65" s="467" t="str">
        <f t="shared" si="31"/>
        <v>X</v>
      </c>
      <c r="W65" s="467" t="str">
        <f t="shared" si="32"/>
        <v>X</v>
      </c>
      <c r="Z65" s="467">
        <f t="shared" si="3"/>
        <v>0</v>
      </c>
      <c r="AA65" s="467">
        <f t="shared" si="4"/>
        <v>0</v>
      </c>
    </row>
    <row r="66" spans="1:27" x14ac:dyDescent="0.35">
      <c r="A66" s="116">
        <f ca="1">IFERROR(VLOOKUP(A57,records,5,FALSE),"")</f>
        <v>24.34</v>
      </c>
      <c r="B66" s="477">
        <v>8</v>
      </c>
      <c r="C66" s="477" t="str">
        <f>IFERROR(IF(B66&gt;MatchDay!$U$2+MatchDay!$D$6-1,"",VLOOKUP(A57,Timetables!$A:$DK,MatchDay!$U$4+B66-MatchDay!$D$6,FALSE)),"")</f>
        <v/>
      </c>
      <c r="D66" s="467" t="str">
        <f>IFERROR(HLOOKUP(C66,Declarations!$D$2:$S$102,A59,FALSE),"")</f>
        <v/>
      </c>
      <c r="E66" s="467" t="str">
        <f t="shared" si="33"/>
        <v/>
      </c>
      <c r="F66" s="466"/>
      <c r="G66" s="476"/>
      <c r="H66" s="477">
        <v>8</v>
      </c>
      <c r="I66" s="477" t="str">
        <f t="shared" si="34"/>
        <v/>
      </c>
      <c r="J66" s="467" t="str">
        <f>IFERROR(HLOOKUP(I66,Declarations!$D$2:$S$102,$A59,FALSE),"")</f>
        <v/>
      </c>
      <c r="K66" s="467" t="str">
        <f t="shared" si="30"/>
        <v/>
      </c>
      <c r="N66" s="478"/>
      <c r="P66" s="468" t="str">
        <f>IFERROR(IF(OR(D66=0,D66="-",D66="",D66=" ",D66=" ",D66="Athlete"),"",IF($A65&gt;0,VLOOKUP(D66,female_reg,3,FALSE)-C66*10,VLOOKUP(D66,male_reg,3,FALSE)-C66*10)),2)</f>
        <v/>
      </c>
      <c r="Q66" s="468" t="str">
        <f>IFERROR(IF(OR(J66=0,J66="-",J66=" ",J66="",J66=" ",J66="Athlete"),"",IF($A65&gt;0,VLOOKUP(J66,female_reg,3,FALSE)-C66*10,VLOOKUP(J66,male_reg,3,FALSE)-C66*10)),2)</f>
        <v/>
      </c>
      <c r="T66" s="468">
        <f t="shared" si="1"/>
        <v>0</v>
      </c>
      <c r="U66" s="468">
        <f t="shared" si="2"/>
        <v>0</v>
      </c>
      <c r="V66" s="467" t="str">
        <f t="shared" si="31"/>
        <v>X</v>
      </c>
      <c r="W66" s="467" t="str">
        <f t="shared" si="32"/>
        <v>X</v>
      </c>
      <c r="Z66" s="467">
        <f t="shared" si="3"/>
        <v>0</v>
      </c>
      <c r="AA66" s="467">
        <f t="shared" si="4"/>
        <v>0</v>
      </c>
    </row>
    <row r="67" spans="1:27" x14ac:dyDescent="0.35">
      <c r="P67" s="468" t="str">
        <f>IFERROR(IF(OR(D67=0,D67="-",D67="",D67=" ",D67=" ",D67="Athlete"),"",IF($A65&gt;0,VLOOKUP(D67,female_reg,3,FALSE)-C67*10,VLOOKUP(D67,male_reg,3,FALSE)-C67*10)),"X")</f>
        <v/>
      </c>
      <c r="Q67" s="468" t="str">
        <f>IFERROR(IF(OR(J67=0,J67="-",J67=" ",J67="",J67=" ",J67="Athlete"),"",IF($A65&gt;0,VLOOKUP(J67,female_reg,3,FALSE)-C67*10,VLOOKUP(J67,male_reg,3,FALSE)-C67*10)),"X")</f>
        <v/>
      </c>
      <c r="T67" s="468">
        <f t="shared" ca="1" si="1"/>
        <v>0</v>
      </c>
      <c r="U67" s="468">
        <f t="shared" ca="1" si="2"/>
        <v>0</v>
      </c>
      <c r="Z67" s="467">
        <f t="shared" ca="1" si="3"/>
        <v>0</v>
      </c>
      <c r="AA67" s="467">
        <f t="shared" ca="1" si="4"/>
        <v>0</v>
      </c>
    </row>
    <row r="68" spans="1:27" x14ac:dyDescent="0.35">
      <c r="A68" s="111" t="str">
        <f ca="1">IFERROR(INDIRECT(CONCATENATE("'Timetables'!A"&amp;A71)),"")</f>
        <v>LT07</v>
      </c>
      <c r="B68" s="469" t="str">
        <f ca="1">IFERROR(VLOOKUP(A68,timetables,2,FALSE)&amp;" "&amp;VLOOKUP(A68,timetables,3,FALSE)&amp;" A","")</f>
        <v>200m U15 Girls A</v>
      </c>
      <c r="C68" s="469"/>
      <c r="E68" s="470" t="str">
        <f ca="1">"Starts "&amp;TEXT(VLOOKUP(A68,timetables,7-MatchDay!$U$7,FALSE),"hh:mm")</f>
        <v>Starts 12:35</v>
      </c>
      <c r="F68" s="471"/>
      <c r="H68" s="472" t="str">
        <f ca="1">IFERROR("Rec: "&amp;TEXT(VLOOKUP(A68,records,5,FALSE),"#0.00")&amp;"s, "&amp;VLOOKUP(A68,records,3,FALSE)&amp;", "&amp;VLOOKUP(A68,records,4,FALSE)&amp;", "&amp;VLOOKUP(A68,records,8,FALSE),"")</f>
        <v>Rec: 24.60s, Ashlyn Bland, Gateshead Harriers, 2013</v>
      </c>
      <c r="K68" s="473"/>
      <c r="L68" s="474"/>
      <c r="M68" s="467"/>
      <c r="P68" s="468" t="str">
        <f>IFERROR(IF(OR(D68=0,D68="-",D68="",D68=" ",D68=" ",D68="Athlete"),"",IF($A76&gt;0,VLOOKUP(D68,female_reg,3,FALSE)-C68*10,VLOOKUP(D68,male_reg,3,FALSE)-C68*10)),"X")</f>
        <v/>
      </c>
      <c r="Q68" s="468" t="str">
        <f>IFERROR(IF(OR(J68=0,J68="-",J68=" ",J68="",J68=" ",J68="Athlete"),"",IF($A76&gt;0,VLOOKUP(J68,female_reg,3,FALSE)-C68*10,VLOOKUP(J68,male_reg,3,FALSE)-C68*10)),"X")</f>
        <v/>
      </c>
      <c r="T68" s="468">
        <f t="shared" ref="T68:T131" ca="1" si="35">IFERROR(IF(V68="X",0,COUNTIF($V$4:$W$573,V68)),0)</f>
        <v>0</v>
      </c>
      <c r="U68" s="468">
        <f t="shared" ref="U68:U131" ca="1" si="36">IFERROR(IF(W68="X",0,COUNTIF($V$4:$W$573,W68)),0)</f>
        <v>0</v>
      </c>
      <c r="Z68" s="467">
        <f t="shared" ref="Z68:Z131" ca="1" si="37">IF(V68="X",0,COUNTIF($V$4:$Y$638,V68))</f>
        <v>0</v>
      </c>
      <c r="AA68" s="467">
        <f t="shared" ref="AA68:AA131" ca="1" si="38">IF(W68="X",0,COUNTIF($V$4:$Y$638,W68))</f>
        <v>0</v>
      </c>
    </row>
    <row r="69" spans="1:27" x14ac:dyDescent="0.35">
      <c r="A69" s="85" t="str">
        <f ca="1">MID(A68,2,3)</f>
        <v>T07</v>
      </c>
      <c r="B69" s="9" t="s">
        <v>786</v>
      </c>
      <c r="C69" s="9" t="s">
        <v>183</v>
      </c>
      <c r="D69" s="46" t="s">
        <v>227</v>
      </c>
      <c r="E69" s="46" t="s">
        <v>228</v>
      </c>
      <c r="F69" s="475"/>
      <c r="G69" s="46"/>
      <c r="H69" s="9" t="s">
        <v>786</v>
      </c>
      <c r="I69" s="9" t="s">
        <v>183</v>
      </c>
      <c r="J69" s="46" t="s">
        <v>227</v>
      </c>
      <c r="K69" s="46" t="s">
        <v>228</v>
      </c>
      <c r="L69" s="475"/>
      <c r="M69" s="475"/>
      <c r="N69" s="52"/>
      <c r="P69" s="468" t="str">
        <f>IFERROR(IF(OR(D69=0,D69="-",D69="",D69=" ",D69=" ",D69="Athlete"),"",IF($A76&gt;0,VLOOKUP(D69,female_reg,3,FALSE)-C69*10,VLOOKUP(D69,male_reg,3,FALSE)-C69*10)),"X")</f>
        <v/>
      </c>
      <c r="Q69" s="468" t="str">
        <f>IFERROR(IF(OR(J69=0,J69="-",J69=" ",J69="",J69=" ",J69="Athlete"),"",IF($A76&gt;0,VLOOKUP(J69,female_reg,3,FALSE)-C69*10,VLOOKUP(J69,male_reg,3,FALSE)-C69*10)),"X")</f>
        <v/>
      </c>
      <c r="T69" s="468">
        <f t="shared" ca="1" si="35"/>
        <v>0</v>
      </c>
      <c r="U69" s="468">
        <f t="shared" ca="1" si="36"/>
        <v>0</v>
      </c>
      <c r="Z69" s="467">
        <f t="shared" ca="1" si="37"/>
        <v>0</v>
      </c>
      <c r="AA69" s="467">
        <f t="shared" ca="1" si="38"/>
        <v>0</v>
      </c>
    </row>
    <row r="70" spans="1:27" x14ac:dyDescent="0.35">
      <c r="A70" s="181">
        <f ca="1">IFERROR(VLOOKUP(A68,Timetables!$A:$E,5,FALSE)-1,"")</f>
        <v>5</v>
      </c>
      <c r="B70" s="477">
        <v>1</v>
      </c>
      <c r="C70" s="477">
        <f ca="1">IFERROR(IF(B70&gt;MatchDay!$U$2,"",IF(MatchDay!$D$6=2,"",VLOOKUP(A68,Timetables!$A:$DK,MatchDay!$U$4+B70-MatchDay!$D$6,FALSE))),"")</f>
        <v>2</v>
      </c>
      <c r="D70" s="467" t="str">
        <f ca="1">IFERROR(HLOOKUP(C70,Declarations!$D$2:$S$102,A70,FALSE),"")</f>
        <v>ADEBAYO Daphney</v>
      </c>
      <c r="E70" s="467" t="str">
        <f ca="1">IFERROR(VLOOKUP(C70,teamlookup,5,FALSE),"")</f>
        <v>Sheff+D</v>
      </c>
      <c r="F70" s="466"/>
      <c r="G70" s="476"/>
      <c r="H70" s="477">
        <v>1</v>
      </c>
      <c r="I70" s="477">
        <f ca="1">IFERROR(C70*11,"")</f>
        <v>22</v>
      </c>
      <c r="J70" s="467" t="str">
        <f ca="1">IFERROR(HLOOKUP(I70,Declarations!$D$2:$S$102,$A70,FALSE),"")</f>
        <v>PADDON Olivia</v>
      </c>
      <c r="K70" s="467" t="str">
        <f t="shared" ref="K70:K77" ca="1" si="39">IFERROR(VLOOKUP(I70,teamlookup,5,FALSE),"")</f>
        <v>Sheff+D</v>
      </c>
      <c r="N70" s="478"/>
      <c r="P70" s="468">
        <f ca="1">IFERROR(IF(OR(D70=0,D70="-",D70="",D70=" ",D70=" ",D70="Athlete"),"",IF($A76&gt;0,VLOOKUP(D70,female_reg,3,FALSE)-C70*10,VLOOKUP(D70,male_reg,3,FALSE)-C70*10)),2)</f>
        <v>1</v>
      </c>
      <c r="Q70" s="468">
        <f ca="1">IFERROR(IF(OR(J70=0,J70="-",J70=" ",J70="",J70=" ",J70="Athlete"),"",IF($A76&gt;0,VLOOKUP(J70,female_reg,3,FALSE)-C70*10,VLOOKUP(J70,male_reg,3,FALSE)-C70*10)),2)</f>
        <v>1</v>
      </c>
      <c r="T70" s="468">
        <f t="shared" ca="1" si="35"/>
        <v>3</v>
      </c>
      <c r="U70" s="468">
        <f t="shared" ca="1" si="36"/>
        <v>3</v>
      </c>
      <c r="V70" s="467" t="str">
        <f t="shared" ref="V70:V77" ca="1" si="40">IFERROR(IF(OR(D70=0,D70="-",D70="",D70=" ",D70=" "),"X",D70&amp;E70),"X")</f>
        <v>ADEBAYO DaphneySheff+D</v>
      </c>
      <c r="W70" s="467" t="str">
        <f t="shared" ref="W70:W77" ca="1" si="41">IFERROR(IF(OR(J70=0,J70="-",J70="",J70=" ",J70=" "),"X",J70&amp;K70),"X")</f>
        <v>PADDON OliviaSheff+D</v>
      </c>
      <c r="Z70" s="467">
        <f t="shared" ca="1" si="37"/>
        <v>4</v>
      </c>
      <c r="AA70" s="467">
        <f t="shared" ca="1" si="38"/>
        <v>4</v>
      </c>
    </row>
    <row r="71" spans="1:27" x14ac:dyDescent="0.35">
      <c r="A71" s="468">
        <f>A60+1</f>
        <v>9</v>
      </c>
      <c r="B71" s="477">
        <v>2</v>
      </c>
      <c r="C71" s="477">
        <f ca="1">IFERROR(IF(B71&gt;MatchDay!$U$2+MatchDay!$D$6-1,"",VLOOKUP(A68,Timetables!$A:$DK,MatchDay!$U$4+B71-MatchDay!$D$6,FALSE)),"")</f>
        <v>5</v>
      </c>
      <c r="D71" s="467" t="str">
        <f ca="1">IFERROR(HLOOKUP(C71,Declarations!$D$2:$S$102,A70,FALSE),"")</f>
        <v>LINGARD Alice</v>
      </c>
      <c r="E71" s="467" t="str">
        <f t="shared" ref="E71:E77" ca="1" si="42">IFERROR(VLOOKUP(C71,teamlookup,5,FALSE),"")</f>
        <v>Scun</v>
      </c>
      <c r="F71" s="466"/>
      <c r="G71" s="476"/>
      <c r="H71" s="477">
        <v>2</v>
      </c>
      <c r="I71" s="477">
        <f t="shared" ref="I71:I77" ca="1" si="43">IFERROR(C71*11,"")</f>
        <v>55</v>
      </c>
      <c r="J71" s="467" t="str">
        <f ca="1">IFERROR(HLOOKUP(I71,Declarations!$D$2:$S$102,$A70,FALSE),"")</f>
        <v>-</v>
      </c>
      <c r="K71" s="467" t="str">
        <f t="shared" ca="1" si="39"/>
        <v>Scun</v>
      </c>
      <c r="N71" s="478"/>
      <c r="P71" s="468">
        <f ca="1">IFERROR(IF(OR(D71=0,D71="-",D71="",D71=" ",D71=" ",D71="Athlete"),"",IF($A76&gt;0,VLOOKUP(D71,female_reg,3,FALSE)-C71*10,VLOOKUP(D71,male_reg,3,FALSE)-C71*10)),2)</f>
        <v>1</v>
      </c>
      <c r="Q71" s="468" t="str">
        <f ca="1">IFERROR(IF(OR(J71=0,J71="-",J71=" ",J71="",J71=" ",J71="Athlete"),"",IF($A76&gt;0,VLOOKUP(J71,female_reg,3,FALSE)-C71*10,VLOOKUP(J71,male_reg,3,FALSE)-C71*10)),2)</f>
        <v/>
      </c>
      <c r="T71" s="468">
        <f t="shared" ca="1" si="35"/>
        <v>2</v>
      </c>
      <c r="U71" s="468">
        <f t="shared" ca="1" si="36"/>
        <v>0</v>
      </c>
      <c r="V71" s="467" t="str">
        <f t="shared" ca="1" si="40"/>
        <v>LINGARD AliceScun</v>
      </c>
      <c r="W71" s="467" t="str">
        <f t="shared" ca="1" si="41"/>
        <v>X</v>
      </c>
      <c r="Z71" s="467">
        <f t="shared" ca="1" si="37"/>
        <v>2</v>
      </c>
      <c r="AA71" s="467">
        <f t="shared" ca="1" si="38"/>
        <v>0</v>
      </c>
    </row>
    <row r="72" spans="1:27" x14ac:dyDescent="0.35">
      <c r="A72" s="118">
        <f ca="1">IFERROR(VLOOKUP(A68,standards,3,FALSE)+0.01,"-")</f>
        <v>26.310000000000002</v>
      </c>
      <c r="B72" s="477">
        <v>3</v>
      </c>
      <c r="C72" s="477">
        <f ca="1">IFERROR(IF(B72&gt;MatchDay!$U$2+MatchDay!$D$6-1,"",VLOOKUP(A68,Timetables!$A:$DK,MatchDay!$U$4+B72-MatchDay!$D$6,FALSE)),"")</f>
        <v>3</v>
      </c>
      <c r="D72" s="467" t="str">
        <f ca="1">IFERROR(HLOOKUP(C72,Declarations!$D$2:$S$102,A70,FALSE),"")</f>
        <v>HOGG Frances</v>
      </c>
      <c r="E72" s="467" t="str">
        <f t="shared" ca="1" si="42"/>
        <v>York</v>
      </c>
      <c r="F72" s="466"/>
      <c r="G72" s="476"/>
      <c r="H72" s="477">
        <v>3</v>
      </c>
      <c r="I72" s="477">
        <f t="shared" ca="1" si="43"/>
        <v>33</v>
      </c>
      <c r="J72" s="467" t="str">
        <f ca="1">IFERROR(HLOOKUP(I72,Declarations!$D$2:$S$102,$A70,FALSE),"")</f>
        <v>HASTIE Eve</v>
      </c>
      <c r="K72" s="467" t="str">
        <f t="shared" ca="1" si="39"/>
        <v>York</v>
      </c>
      <c r="N72" s="478"/>
      <c r="P72" s="468">
        <f ca="1">IFERROR(IF(OR(D72=0,D72="-",D72="",D72=" ",D72=" ",D72="Athlete"),"",IF($A76&gt;0,VLOOKUP(D72,female_reg,3,FALSE)-C72*10,VLOOKUP(D72,male_reg,3,FALSE)-C72*10)),2)</f>
        <v>1</v>
      </c>
      <c r="Q72" s="468">
        <f ca="1">IFERROR(IF(OR(J72=0,J72="-",J72=" ",J72="",J72=" ",J72="Athlete"),"",IF($A76&gt;0,VLOOKUP(J72,female_reg,3,FALSE)-C72*10,VLOOKUP(J72,male_reg,3,FALSE)-C72*10)),2)</f>
        <v>1</v>
      </c>
      <c r="T72" s="468">
        <f t="shared" ca="1" si="35"/>
        <v>3</v>
      </c>
      <c r="U72" s="468">
        <f t="shared" ca="1" si="36"/>
        <v>3</v>
      </c>
      <c r="V72" s="467" t="str">
        <f t="shared" ca="1" si="40"/>
        <v>HOGG FrancesYork</v>
      </c>
      <c r="W72" s="467" t="str">
        <f t="shared" ca="1" si="41"/>
        <v>HASTIE EveYork</v>
      </c>
      <c r="Z72" s="467">
        <f t="shared" ca="1" si="37"/>
        <v>4</v>
      </c>
      <c r="AA72" s="467">
        <f t="shared" ca="1" si="38"/>
        <v>4</v>
      </c>
    </row>
    <row r="73" spans="1:27" x14ac:dyDescent="0.35">
      <c r="A73" s="118">
        <f ca="1">IFERROR(VLOOKUP(A68,standards,4,FALSE)+0.01,"-")</f>
        <v>26.71</v>
      </c>
      <c r="B73" s="477">
        <v>4</v>
      </c>
      <c r="C73" s="477">
        <f ca="1">IFERROR(IF(B73&gt;MatchDay!$U$2+MatchDay!$D$6-1,"",VLOOKUP(A68,Timetables!$A:$DK,MatchDay!$U$4+B73-MatchDay!$D$6,FALSE)),"")</f>
        <v>4</v>
      </c>
      <c r="D73" s="467" t="str">
        <f ca="1">IFERROR(HLOOKUP(C73,Declarations!$D$2:$S$102,A70,FALSE),"")</f>
        <v>PYE Naiomi</v>
      </c>
      <c r="E73" s="467" t="str">
        <f t="shared" ca="1" si="42"/>
        <v>M'bro</v>
      </c>
      <c r="F73" s="466"/>
      <c r="G73" s="476"/>
      <c r="H73" s="477">
        <v>4</v>
      </c>
      <c r="I73" s="477">
        <f t="shared" ca="1" si="43"/>
        <v>44</v>
      </c>
      <c r="J73" s="467" t="str">
        <f ca="1">IFERROR(HLOOKUP(I73,Declarations!$D$2:$S$102,$A70,FALSE),"")</f>
        <v>PYE Leoni</v>
      </c>
      <c r="K73" s="467" t="str">
        <f t="shared" ca="1" si="39"/>
        <v>M'bro</v>
      </c>
      <c r="N73" s="478"/>
      <c r="P73" s="468">
        <f ca="1">IFERROR(IF(OR(D73=0,D73="-",D73="",D73=" ",D73=" ",D73="Athlete"),"",IF($A76&gt;0,VLOOKUP(D73,female_reg,3,FALSE)-C73*10,VLOOKUP(D73,male_reg,3,FALSE)-C73*10)),2)</f>
        <v>1</v>
      </c>
      <c r="Q73" s="468">
        <f ca="1">IFERROR(IF(OR(J73=0,J73="-",J73=" ",J73="",J73=" ",J73="Athlete"),"",IF($A76&gt;0,VLOOKUP(J73,female_reg,3,FALSE)-C73*10,VLOOKUP(J73,male_reg,3,FALSE)-C73*10)),2)</f>
        <v>1</v>
      </c>
      <c r="T73" s="468">
        <f t="shared" ca="1" si="35"/>
        <v>2</v>
      </c>
      <c r="U73" s="468">
        <f t="shared" ca="1" si="36"/>
        <v>2</v>
      </c>
      <c r="V73" s="467" t="str">
        <f t="shared" ca="1" si="40"/>
        <v>PYE NaiomiM'bro</v>
      </c>
      <c r="W73" s="467" t="str">
        <f t="shared" ca="1" si="41"/>
        <v>PYE LeoniM'bro</v>
      </c>
      <c r="Z73" s="467">
        <f t="shared" ca="1" si="37"/>
        <v>3</v>
      </c>
      <c r="AA73" s="467">
        <f t="shared" ca="1" si="38"/>
        <v>3</v>
      </c>
    </row>
    <row r="74" spans="1:27" x14ac:dyDescent="0.35">
      <c r="A74" s="118">
        <f ca="1">IFERROR(VLOOKUP(A68,standards,5,FALSE)+0.01,"-")</f>
        <v>27.21</v>
      </c>
      <c r="B74" s="477">
        <v>5</v>
      </c>
      <c r="C74" s="477">
        <f ca="1">IFERROR(IF(B74&gt;MatchDay!$U$2+MatchDay!$D$6-1,"",VLOOKUP(A68,Timetables!$A:$DK,MatchDay!$U$4+B74-MatchDay!$D$6,FALSE)),"")</f>
        <v>1</v>
      </c>
      <c r="D74" s="467" t="str">
        <f ca="1">IFERROR(HLOOKUP(C74,Declarations!$D$2:$S$102,A70,FALSE),"")</f>
        <v>BRIDDON Missy</v>
      </c>
      <c r="E74" s="467" t="str">
        <f t="shared" ca="1" si="42"/>
        <v>C'field</v>
      </c>
      <c r="F74" s="466"/>
      <c r="G74" s="476"/>
      <c r="H74" s="477">
        <v>5</v>
      </c>
      <c r="I74" s="477">
        <f t="shared" ca="1" si="43"/>
        <v>11</v>
      </c>
      <c r="J74" s="467" t="str">
        <f ca="1">IFERROR(HLOOKUP(I74,Declarations!$D$2:$S$102,$A70,FALSE),"")</f>
        <v>ROGERS Emily</v>
      </c>
      <c r="K74" s="467" t="str">
        <f t="shared" ca="1" si="39"/>
        <v>C'field</v>
      </c>
      <c r="N74" s="478"/>
      <c r="P74" s="468">
        <f ca="1">IFERROR(IF(OR(D74=0,D74="-",D74="",D74=" ",D74=" ",D74="Athlete"),"",IF($A76&gt;0,VLOOKUP(D74,female_reg,3,FALSE)-C74*10,VLOOKUP(D74,male_reg,3,FALSE)-C74*10)),2)</f>
        <v>1</v>
      </c>
      <c r="Q74" s="468">
        <f ca="1">IFERROR(IF(OR(J74=0,J74="-",J74=" ",J74="",J74=" ",J74="Athlete"),"",IF($A76&gt;0,VLOOKUP(J74,female_reg,3,FALSE)-C74*10,VLOOKUP(J74,male_reg,3,FALSE)-C74*10)),2)</f>
        <v>1</v>
      </c>
      <c r="T74" s="468">
        <f t="shared" ca="1" si="35"/>
        <v>3</v>
      </c>
      <c r="U74" s="468">
        <f t="shared" ca="1" si="36"/>
        <v>3</v>
      </c>
      <c r="V74" s="467" t="str">
        <f t="shared" ca="1" si="40"/>
        <v>BRIDDON MissyC'field</v>
      </c>
      <c r="W74" s="467" t="str">
        <f t="shared" ca="1" si="41"/>
        <v>ROGERS EmilyC'field</v>
      </c>
      <c r="Z74" s="467">
        <f t="shared" ca="1" si="37"/>
        <v>4</v>
      </c>
      <c r="AA74" s="467">
        <f t="shared" ca="1" si="38"/>
        <v>3</v>
      </c>
    </row>
    <row r="75" spans="1:27" x14ac:dyDescent="0.35">
      <c r="A75" s="118">
        <f ca="1">IFERROR(VLOOKUP(A68,standards,6,FALSE)+0.01,"-")</f>
        <v>28.01</v>
      </c>
      <c r="B75" s="477">
        <v>6</v>
      </c>
      <c r="C75" s="477" t="str">
        <f>IFERROR(IF(B75&gt;MatchDay!$U$2+MatchDay!$D$6-1,"",VLOOKUP(A68,Timetables!$A:$DK,MatchDay!$U$4+B75-MatchDay!$D$6,FALSE)),"")</f>
        <v/>
      </c>
      <c r="D75" s="467" t="str">
        <f>IFERROR(HLOOKUP(C75,Declarations!$D$2:$S$102,A70,FALSE),"")</f>
        <v/>
      </c>
      <c r="E75" s="467" t="str">
        <f t="shared" si="42"/>
        <v/>
      </c>
      <c r="F75" s="466"/>
      <c r="G75" s="476"/>
      <c r="H75" s="477">
        <v>6</v>
      </c>
      <c r="I75" s="477" t="str">
        <f t="shared" si="43"/>
        <v/>
      </c>
      <c r="J75" s="467" t="str">
        <f>IFERROR(HLOOKUP(I75,Declarations!$D$2:$S$102,$A70,FALSE),"")</f>
        <v/>
      </c>
      <c r="K75" s="467" t="str">
        <f t="shared" si="39"/>
        <v/>
      </c>
      <c r="N75" s="478"/>
      <c r="P75" s="468" t="str">
        <f>IFERROR(IF(OR(D75=0,D75="-",D75="",D75=" ",D75=" ",D75="Athlete"),"",IF($A76&gt;0,VLOOKUP(D75,female_reg,3,FALSE)-C75*10,VLOOKUP(D75,male_reg,3,FALSE)-C75*10)),2)</f>
        <v/>
      </c>
      <c r="Q75" s="468" t="str">
        <f>IFERROR(IF(OR(J75=0,J75="-",J75=" ",J75="",J75=" ",J75="Athlete"),"",IF($A76&gt;0,VLOOKUP(J75,female_reg,3,FALSE)-C75*10,VLOOKUP(J75,male_reg,3,FALSE)-C75*10)),2)</f>
        <v/>
      </c>
      <c r="T75" s="468">
        <f t="shared" si="35"/>
        <v>0</v>
      </c>
      <c r="U75" s="468">
        <f t="shared" si="36"/>
        <v>0</v>
      </c>
      <c r="V75" s="467" t="str">
        <f t="shared" si="40"/>
        <v>X</v>
      </c>
      <c r="W75" s="467" t="str">
        <f t="shared" si="41"/>
        <v>X</v>
      </c>
      <c r="Z75" s="467">
        <f t="shared" si="37"/>
        <v>0</v>
      </c>
      <c r="AA75" s="467">
        <f t="shared" si="38"/>
        <v>0</v>
      </c>
    </row>
    <row r="76" spans="1:27" x14ac:dyDescent="0.35">
      <c r="A76" s="479">
        <f ca="1">IFERROR(SEARCH("Girls",B68),0)</f>
        <v>10</v>
      </c>
      <c r="B76" s="477">
        <v>7</v>
      </c>
      <c r="C76" s="477" t="str">
        <f>IFERROR(IF(B76&gt;MatchDay!$U$2+MatchDay!$D$6-1,"",VLOOKUP(A68,Timetables!$A:$DK,MatchDay!$U$4+B76-MatchDay!$D$6,FALSE)),"")</f>
        <v/>
      </c>
      <c r="D76" s="467" t="str">
        <f>IFERROR(HLOOKUP(C76,Declarations!$D$2:$S$102,A70,FALSE),"")</f>
        <v/>
      </c>
      <c r="E76" s="467" t="str">
        <f t="shared" si="42"/>
        <v/>
      </c>
      <c r="F76" s="466"/>
      <c r="G76" s="476"/>
      <c r="H76" s="477">
        <v>7</v>
      </c>
      <c r="I76" s="477" t="str">
        <f t="shared" si="43"/>
        <v/>
      </c>
      <c r="J76" s="467" t="str">
        <f>IFERROR(HLOOKUP(I76,Declarations!$D$2:$S$102,$A70,FALSE),"")</f>
        <v/>
      </c>
      <c r="K76" s="467" t="str">
        <f t="shared" si="39"/>
        <v/>
      </c>
      <c r="N76" s="478"/>
      <c r="P76" s="468" t="str">
        <f>IFERROR(IF(OR(D76=0,D76="-",D76="",D76=" ",D76=" ",D76="Athlete"),"",IF($A76&gt;0,VLOOKUP(D76,female_reg,3,FALSE)-C76*10,VLOOKUP(D76,male_reg,3,FALSE)-C76*10)),2)</f>
        <v/>
      </c>
      <c r="Q76" s="468" t="str">
        <f>IFERROR(IF(OR(J76=0,J76="-",J76=" ",J76="",J76=" ",J76="Athlete"),"",IF($A76&gt;0,VLOOKUP(J76,female_reg,3,FALSE)-C76*10,VLOOKUP(J76,male_reg,3,FALSE)-C76*10)),2)</f>
        <v/>
      </c>
      <c r="T76" s="468">
        <f t="shared" si="35"/>
        <v>0</v>
      </c>
      <c r="U76" s="468">
        <f t="shared" si="36"/>
        <v>0</v>
      </c>
      <c r="V76" s="467" t="str">
        <f t="shared" si="40"/>
        <v>X</v>
      </c>
      <c r="W76" s="467" t="str">
        <f t="shared" si="41"/>
        <v>X</v>
      </c>
      <c r="Z76" s="467">
        <f t="shared" si="37"/>
        <v>0</v>
      </c>
      <c r="AA76" s="467">
        <f t="shared" si="38"/>
        <v>0</v>
      </c>
    </row>
    <row r="77" spans="1:27" x14ac:dyDescent="0.35">
      <c r="A77" s="116">
        <f ca="1">IFERROR(VLOOKUP(A68,records,5,FALSE),"")</f>
        <v>24.6</v>
      </c>
      <c r="B77" s="477">
        <v>8</v>
      </c>
      <c r="C77" s="477" t="str">
        <f>IFERROR(IF(B77&gt;MatchDay!$U$2+MatchDay!$D$6-1,"",VLOOKUP(A68,Timetables!$A:$DK,MatchDay!$U$4+B77-MatchDay!$D$6,FALSE)),"")</f>
        <v/>
      </c>
      <c r="D77" s="467" t="str">
        <f>IFERROR(HLOOKUP(C77,Declarations!$D$2:$S$102,A70,FALSE),"")</f>
        <v/>
      </c>
      <c r="E77" s="467" t="str">
        <f t="shared" si="42"/>
        <v/>
      </c>
      <c r="F77" s="466"/>
      <c r="G77" s="476"/>
      <c r="H77" s="477">
        <v>8</v>
      </c>
      <c r="I77" s="477" t="str">
        <f t="shared" si="43"/>
        <v/>
      </c>
      <c r="J77" s="467" t="str">
        <f>IFERROR(HLOOKUP(I77,Declarations!$D$2:$S$102,$A70,FALSE),"")</f>
        <v/>
      </c>
      <c r="K77" s="467" t="str">
        <f t="shared" si="39"/>
        <v/>
      </c>
      <c r="N77" s="478"/>
      <c r="P77" s="468" t="str">
        <f>IFERROR(IF(OR(D77=0,D77="-",D77="",D77=" ",D77=" ",D77="Athlete"),"",IF($A76&gt;0,VLOOKUP(D77,female_reg,3,FALSE)-C77*10,VLOOKUP(D77,male_reg,3,FALSE)-C77*10)),2)</f>
        <v/>
      </c>
      <c r="Q77" s="468" t="str">
        <f>IFERROR(IF(OR(J77=0,J77="-",J77=" ",J77="",J77=" ",J77="Athlete"),"",IF($A76&gt;0,VLOOKUP(J77,female_reg,3,FALSE)-C77*10,VLOOKUP(J77,male_reg,3,FALSE)-C77*10)),2)</f>
        <v/>
      </c>
      <c r="T77" s="468">
        <f t="shared" si="35"/>
        <v>0</v>
      </c>
      <c r="U77" s="468">
        <f t="shared" si="36"/>
        <v>0</v>
      </c>
      <c r="V77" s="467" t="str">
        <f t="shared" si="40"/>
        <v>X</v>
      </c>
      <c r="W77" s="467" t="str">
        <f t="shared" si="41"/>
        <v>X</v>
      </c>
      <c r="Z77" s="467">
        <f t="shared" si="37"/>
        <v>0</v>
      </c>
      <c r="AA77" s="467">
        <f t="shared" si="38"/>
        <v>0</v>
      </c>
    </row>
    <row r="78" spans="1:27" x14ac:dyDescent="0.35">
      <c r="P78" s="468" t="str">
        <f>IFERROR(IF(OR(D78=0,D78="-",D78="",D78=" ",D78=" ",D78="Athlete"),"",IF($A76&gt;0,VLOOKUP(D78,female_reg,3,FALSE)-C78*10,VLOOKUP(D78,male_reg,3,FALSE)-C78*10)),"X")</f>
        <v/>
      </c>
      <c r="Q78" s="468" t="str">
        <f>IFERROR(IF(OR(J78=0,J78="-",J78=" ",J78="",J78=" ",J78="Athlete"),"",IF($A76&gt;0,VLOOKUP(J78,female_reg,3,FALSE)-C78*10,VLOOKUP(J78,male_reg,3,FALSE)-C78*10)),"X")</f>
        <v/>
      </c>
      <c r="T78" s="468">
        <f t="shared" ca="1" si="35"/>
        <v>0</v>
      </c>
      <c r="U78" s="468">
        <f t="shared" ca="1" si="36"/>
        <v>0</v>
      </c>
      <c r="Z78" s="467">
        <f t="shared" ca="1" si="37"/>
        <v>0</v>
      </c>
      <c r="AA78" s="467">
        <f t="shared" ca="1" si="38"/>
        <v>0</v>
      </c>
    </row>
    <row r="79" spans="1:27" x14ac:dyDescent="0.35">
      <c r="A79" s="111" t="str">
        <f ca="1">IFERROR(INDIRECT(CONCATENATE("'Timetables'!A"&amp;A82)),"")</f>
        <v>LT08</v>
      </c>
      <c r="B79" s="469" t="str">
        <f ca="1">IFERROR(VLOOKUP(A79,timetables,2,FALSE)&amp;" "&amp;VLOOKUP(A79,timetables,3,FALSE)&amp;" A","")</f>
        <v>200m U15 Boys A</v>
      </c>
      <c r="C79" s="469"/>
      <c r="E79" s="470" t="str">
        <f ca="1">"Starts "&amp;TEXT(VLOOKUP(A79,timetables,7-MatchDay!$U$7,FALSE),"hh:mm")</f>
        <v>Starts 12:45</v>
      </c>
      <c r="F79" s="471"/>
      <c r="H79" s="472" t="str">
        <f ca="1">IFERROR("Rec: "&amp;TEXT(VLOOKUP(A79,records,5,FALSE),"#0.00")&amp;"s, "&amp;VLOOKUP(A79,records,3,FALSE)&amp;", "&amp;VLOOKUP(A79,records,4,FALSE)&amp;", "&amp;VLOOKUP(A79,records,8,FALSE),"")</f>
        <v>Rec: 22.20s, Jona Efoloko, Sale Harriers, 2014</v>
      </c>
      <c r="K79" s="473"/>
      <c r="L79" s="474"/>
      <c r="M79" s="467"/>
      <c r="P79" s="468" t="str">
        <f>IFERROR(IF(OR(D79=0,D79="-",D79="",D79=" ",D79=" ",D79="Athlete"),"",IF($A87&gt;0,VLOOKUP(D79,female_reg,3,FALSE)-C79*10,VLOOKUP(D79,male_reg,3,FALSE)-C79*10)),"X")</f>
        <v/>
      </c>
      <c r="Q79" s="468" t="str">
        <f>IFERROR(IF(OR(J79=0,J79="-",J79=" ",J79="",J79=" ",J79="Athlete"),"",IF($A87&gt;0,VLOOKUP(J79,female_reg,3,FALSE)-C79*10,VLOOKUP(J79,male_reg,3,FALSE)-C79*10)),"X")</f>
        <v/>
      </c>
      <c r="T79" s="468">
        <f t="shared" ca="1" si="35"/>
        <v>0</v>
      </c>
      <c r="U79" s="468">
        <f t="shared" ca="1" si="36"/>
        <v>0</v>
      </c>
      <c r="Z79" s="467">
        <f t="shared" ca="1" si="37"/>
        <v>0</v>
      </c>
      <c r="AA79" s="467">
        <f t="shared" ca="1" si="38"/>
        <v>0</v>
      </c>
    </row>
    <row r="80" spans="1:27" x14ac:dyDescent="0.35">
      <c r="A80" s="85" t="str">
        <f ca="1">MID(A79,2,3)</f>
        <v>T08</v>
      </c>
      <c r="B80" s="9" t="s">
        <v>786</v>
      </c>
      <c r="C80" s="9" t="s">
        <v>183</v>
      </c>
      <c r="D80" s="46" t="s">
        <v>227</v>
      </c>
      <c r="E80" s="46" t="s">
        <v>228</v>
      </c>
      <c r="F80" s="475"/>
      <c r="G80" s="46"/>
      <c r="H80" s="9" t="s">
        <v>786</v>
      </c>
      <c r="I80" s="9" t="s">
        <v>183</v>
      </c>
      <c r="J80" s="46" t="s">
        <v>227</v>
      </c>
      <c r="K80" s="46" t="s">
        <v>228</v>
      </c>
      <c r="L80" s="475"/>
      <c r="M80" s="475"/>
      <c r="N80" s="52"/>
      <c r="P80" s="468" t="str">
        <f>IFERROR(IF(OR(D80=0,D80="-",D80="",D80=" ",D80=" ",D80="Athlete"),"",IF($A87&gt;0,VLOOKUP(D80,female_reg,3,FALSE)-C80*10,VLOOKUP(D80,male_reg,3,FALSE)-C80*10)),"X")</f>
        <v/>
      </c>
      <c r="Q80" s="468" t="str">
        <f>IFERROR(IF(OR(J80=0,J80="-",J80=" ",J80="",J80=" ",J80="Athlete"),"",IF($A87&gt;0,VLOOKUP(J80,female_reg,3,FALSE)-C80*10,VLOOKUP(J80,male_reg,3,FALSE)-C80*10)),"X")</f>
        <v/>
      </c>
      <c r="T80" s="468">
        <f t="shared" ca="1" si="35"/>
        <v>0</v>
      </c>
      <c r="U80" s="468">
        <f t="shared" ca="1" si="36"/>
        <v>0</v>
      </c>
      <c r="Z80" s="467">
        <f t="shared" ca="1" si="37"/>
        <v>0</v>
      </c>
      <c r="AA80" s="467">
        <f t="shared" ca="1" si="38"/>
        <v>0</v>
      </c>
    </row>
    <row r="81" spans="1:27" x14ac:dyDescent="0.35">
      <c r="A81" s="181">
        <f ca="1">IFERROR(VLOOKUP(A79,Timetables!$A:$E,5,FALSE)-1,"")</f>
        <v>55</v>
      </c>
      <c r="B81" s="477">
        <v>1</v>
      </c>
      <c r="C81" s="477">
        <f ca="1">IFERROR(IF(B81&gt;MatchDay!$U$2,"",IF(MatchDay!$D$6=2,"",VLOOKUP(A79,Timetables!$A:$DK,MatchDay!$U$4+B81-MatchDay!$D$6,FALSE))),"")</f>
        <v>2</v>
      </c>
      <c r="D81" s="467" t="str">
        <f ca="1">IFERROR(HLOOKUP(C81,Declarations!$D$2:$S$102,A81,FALSE),"")</f>
        <v>OR KAM FAT Matteo</v>
      </c>
      <c r="E81" s="467" t="str">
        <f ca="1">IFERROR(VLOOKUP(C81,teamlookup,5,FALSE),"")</f>
        <v>Sheff+D</v>
      </c>
      <c r="F81" s="466"/>
      <c r="G81" s="476"/>
      <c r="H81" s="477">
        <v>1</v>
      </c>
      <c r="I81" s="477">
        <f ca="1">IFERROR(C81*11,"")</f>
        <v>22</v>
      </c>
      <c r="J81" s="467" t="str">
        <f ca="1">IFERROR(HLOOKUP(I81,Declarations!$D$2:$S$102,$A81,FALSE),"")</f>
        <v>BENTLEY Tom</v>
      </c>
      <c r="K81" s="467" t="str">
        <f t="shared" ref="K81:K88" ca="1" si="44">IFERROR(VLOOKUP(I81,teamlookup,5,FALSE),"")</f>
        <v>Sheff+D</v>
      </c>
      <c r="N81" s="478"/>
      <c r="P81" s="468">
        <f ca="1">IFERROR(IF(OR(D81=0,D81="-",D81="",D81=" ",D81=" ",D81="Athlete"),"",IF($A87&gt;0,VLOOKUP(D81,female_reg,3,FALSE)-C81*10,VLOOKUP(D81,male_reg,3,FALSE)-C81*10)),2)</f>
        <v>1</v>
      </c>
      <c r="Q81" s="468">
        <f ca="1">IFERROR(IF(OR(J81=0,J81="-",J81=" ",J81="",J81=" ",J81="Athlete"),"",IF($A87&gt;0,VLOOKUP(J81,female_reg,3,FALSE)-C81*10,VLOOKUP(J81,male_reg,3,FALSE)-C81*10)),2)</f>
        <v>1</v>
      </c>
      <c r="T81" s="468">
        <f t="shared" ca="1" si="35"/>
        <v>1</v>
      </c>
      <c r="U81" s="468">
        <f t="shared" ca="1" si="36"/>
        <v>3</v>
      </c>
      <c r="V81" s="467" t="str">
        <f t="shared" ref="V81:V88" ca="1" si="45">IFERROR(IF(OR(D81=0,D81="-",D81="",D81=" ",D81=" "),"X",D81&amp;E81),"X")</f>
        <v>OR KAM FAT MatteoSheff+D</v>
      </c>
      <c r="W81" s="467" t="str">
        <f t="shared" ref="W81:W88" ca="1" si="46">IFERROR(IF(OR(J81=0,J81="-",J81="",J81=" ",J81=" "),"X",J81&amp;K81),"X")</f>
        <v>BENTLEY TomSheff+D</v>
      </c>
      <c r="Z81" s="467">
        <f t="shared" ca="1" si="37"/>
        <v>2</v>
      </c>
      <c r="AA81" s="467">
        <f t="shared" ca="1" si="38"/>
        <v>4</v>
      </c>
    </row>
    <row r="82" spans="1:27" x14ac:dyDescent="0.35">
      <c r="A82" s="468">
        <f>A71+1</f>
        <v>10</v>
      </c>
      <c r="B82" s="477">
        <v>2</v>
      </c>
      <c r="C82" s="477">
        <f ca="1">IFERROR(IF(B82&gt;MatchDay!$U$2+MatchDay!$D$6-1,"",VLOOKUP(A79,Timetables!$A:$DK,MatchDay!$U$4+B82-MatchDay!$D$6,FALSE)),"")</f>
        <v>5</v>
      </c>
      <c r="D82" s="467">
        <f ca="1">IFERROR(HLOOKUP(C82,Declarations!$D$2:$S$102,A81,FALSE),"")</f>
        <v>0</v>
      </c>
      <c r="E82" s="467" t="str">
        <f t="shared" ref="E82:E88" ca="1" si="47">IFERROR(VLOOKUP(C82,teamlookup,5,FALSE),"")</f>
        <v>Scun</v>
      </c>
      <c r="F82" s="466"/>
      <c r="G82" s="476"/>
      <c r="H82" s="477">
        <v>2</v>
      </c>
      <c r="I82" s="477">
        <f t="shared" ref="I82:I88" ca="1" si="48">IFERROR(C82*11,"")</f>
        <v>55</v>
      </c>
      <c r="J82" s="467">
        <f ca="1">IFERROR(HLOOKUP(I82,Declarations!$D$2:$S$102,$A81,FALSE),"")</f>
        <v>0</v>
      </c>
      <c r="K82" s="467" t="str">
        <f t="shared" ca="1" si="44"/>
        <v>Scun</v>
      </c>
      <c r="N82" s="478"/>
      <c r="P82" s="468" t="str">
        <f ca="1">IFERROR(IF(OR(D82=0,D82="-",D82="",D82=" ",D82=" ",D82="Athlete"),"",IF($A87&gt;0,VLOOKUP(D82,female_reg,3,FALSE)-C82*10,VLOOKUP(D82,male_reg,3,FALSE)-C82*10)),2)</f>
        <v/>
      </c>
      <c r="Q82" s="468" t="str">
        <f ca="1">IFERROR(IF(OR(J82=0,J82="-",J82=" ",J82="",J82=" ",J82="Athlete"),"",IF($A87&gt;0,VLOOKUP(J82,female_reg,3,FALSE)-C82*10,VLOOKUP(J82,male_reg,3,FALSE)-C82*10)),2)</f>
        <v/>
      </c>
      <c r="T82" s="468">
        <f t="shared" ca="1" si="35"/>
        <v>0</v>
      </c>
      <c r="U82" s="468">
        <f t="shared" ca="1" si="36"/>
        <v>0</v>
      </c>
      <c r="V82" s="467" t="str">
        <f t="shared" ca="1" si="45"/>
        <v>X</v>
      </c>
      <c r="W82" s="467" t="str">
        <f t="shared" ca="1" si="46"/>
        <v>X</v>
      </c>
      <c r="Z82" s="467">
        <f t="shared" ca="1" si="37"/>
        <v>0</v>
      </c>
      <c r="AA82" s="467">
        <f t="shared" ca="1" si="38"/>
        <v>0</v>
      </c>
    </row>
    <row r="83" spans="1:27" x14ac:dyDescent="0.35">
      <c r="A83" s="118">
        <f ca="1">IFERROR(VLOOKUP(A79,standards,3,FALSE)+0.01,"-")</f>
        <v>24.01</v>
      </c>
      <c r="B83" s="477">
        <v>3</v>
      </c>
      <c r="C83" s="477">
        <f ca="1">IFERROR(IF(B83&gt;MatchDay!$U$2+MatchDay!$D$6-1,"",VLOOKUP(A79,Timetables!$A:$DK,MatchDay!$U$4+B83-MatchDay!$D$6,FALSE)),"")</f>
        <v>3</v>
      </c>
      <c r="D83" s="467" t="str">
        <f ca="1">IFERROR(HLOOKUP(C83,Declarations!$D$2:$S$102,A81,FALSE),"")</f>
        <v>HOW Louis</v>
      </c>
      <c r="E83" s="467" t="str">
        <f t="shared" ca="1" si="47"/>
        <v>York</v>
      </c>
      <c r="F83" s="466"/>
      <c r="G83" s="476"/>
      <c r="H83" s="477">
        <v>3</v>
      </c>
      <c r="I83" s="477">
        <f t="shared" ca="1" si="48"/>
        <v>33</v>
      </c>
      <c r="J83" s="467" t="str">
        <f ca="1">IFERROR(HLOOKUP(I83,Declarations!$D$2:$S$102,$A81,FALSE),"")</f>
        <v>PYE George</v>
      </c>
      <c r="K83" s="467" t="str">
        <f t="shared" ca="1" si="44"/>
        <v>York</v>
      </c>
      <c r="N83" s="478"/>
      <c r="P83" s="468">
        <f ca="1">IFERROR(IF(OR(D83=0,D83="-",D83="",D83=" ",D83=" ",D83="Athlete"),"",IF($A87&gt;0,VLOOKUP(D83,female_reg,3,FALSE)-C83*10,VLOOKUP(D83,male_reg,3,FALSE)-C83*10)),2)</f>
        <v>1</v>
      </c>
      <c r="Q83" s="468">
        <f ca="1">IFERROR(IF(OR(J83=0,J83="-",J83=" ",J83="",J83=" ",J83="Athlete"),"",IF($A87&gt;0,VLOOKUP(J83,female_reg,3,FALSE)-C83*10,VLOOKUP(J83,male_reg,3,FALSE)-C83*10)),2)</f>
        <v>1</v>
      </c>
      <c r="T83" s="468">
        <f t="shared" ca="1" si="35"/>
        <v>2</v>
      </c>
      <c r="U83" s="468">
        <f t="shared" ca="1" si="36"/>
        <v>2</v>
      </c>
      <c r="V83" s="467" t="str">
        <f t="shared" ca="1" si="45"/>
        <v>HOW LouisYork</v>
      </c>
      <c r="W83" s="467" t="str">
        <f t="shared" ca="1" si="46"/>
        <v>PYE GeorgeYork</v>
      </c>
      <c r="Z83" s="467">
        <f t="shared" ca="1" si="37"/>
        <v>3</v>
      </c>
      <c r="AA83" s="467">
        <f t="shared" ca="1" si="38"/>
        <v>3</v>
      </c>
    </row>
    <row r="84" spans="1:27" x14ac:dyDescent="0.35">
      <c r="A84" s="118">
        <f ca="1">IFERROR(VLOOKUP(A79,standards,4,FALSE)+0.01,"-")</f>
        <v>24.310000000000002</v>
      </c>
      <c r="B84" s="477">
        <v>4</v>
      </c>
      <c r="C84" s="477">
        <f ca="1">IFERROR(IF(B84&gt;MatchDay!$U$2+MatchDay!$D$6-1,"",VLOOKUP(A79,Timetables!$A:$DK,MatchDay!$U$4+B84-MatchDay!$D$6,FALSE)),"")</f>
        <v>4</v>
      </c>
      <c r="D84" s="467" t="str">
        <f ca="1">IFERROR(HLOOKUP(C84,Declarations!$D$2:$S$102,A81,FALSE),"")</f>
        <v>MAYNARD Tom</v>
      </c>
      <c r="E84" s="467" t="str">
        <f t="shared" ca="1" si="47"/>
        <v>M'bro</v>
      </c>
      <c r="F84" s="466"/>
      <c r="G84" s="476"/>
      <c r="H84" s="477">
        <v>4</v>
      </c>
      <c r="I84" s="477">
        <f t="shared" ca="1" si="48"/>
        <v>44</v>
      </c>
      <c r="J84" s="467" t="str">
        <f ca="1">IFERROR(HLOOKUP(I84,Declarations!$D$2:$S$102,$A81,FALSE),"")</f>
        <v>CHINNERY Norton</v>
      </c>
      <c r="K84" s="467" t="str">
        <f t="shared" ca="1" si="44"/>
        <v>M'bro</v>
      </c>
      <c r="N84" s="478"/>
      <c r="P84" s="468">
        <f ca="1">IFERROR(IF(OR(D84=0,D84="-",D84="",D84=" ",D84=" ",D84="Athlete"),"",IF($A87&gt;0,VLOOKUP(D84,female_reg,3,FALSE)-C84*10,VLOOKUP(D84,male_reg,3,FALSE)-C84*10)),2)</f>
        <v>1</v>
      </c>
      <c r="Q84" s="468">
        <f ca="1">IFERROR(IF(OR(J84=0,J84="-",J84=" ",J84="",J84=" ",J84="Athlete"),"",IF($A87&gt;0,VLOOKUP(J84,female_reg,3,FALSE)-C84*10,VLOOKUP(J84,male_reg,3,FALSE)-C84*10)),2)</f>
        <v>1</v>
      </c>
      <c r="T84" s="468">
        <f t="shared" ca="1" si="35"/>
        <v>2</v>
      </c>
      <c r="U84" s="468">
        <f t="shared" ca="1" si="36"/>
        <v>3</v>
      </c>
      <c r="V84" s="467" t="str">
        <f t="shared" ca="1" si="45"/>
        <v>MAYNARD TomM'bro</v>
      </c>
      <c r="W84" s="467" t="str">
        <f t="shared" ca="1" si="46"/>
        <v>CHINNERY NortonM'bro</v>
      </c>
      <c r="Z84" s="467">
        <f t="shared" ca="1" si="37"/>
        <v>3</v>
      </c>
      <c r="AA84" s="467">
        <f t="shared" ca="1" si="38"/>
        <v>4</v>
      </c>
    </row>
    <row r="85" spans="1:27" x14ac:dyDescent="0.35">
      <c r="A85" s="118">
        <f ca="1">IFERROR(VLOOKUP(A79,standards,5,FALSE)+0.01,"-")</f>
        <v>24.810000000000002</v>
      </c>
      <c r="B85" s="477">
        <v>5</v>
      </c>
      <c r="C85" s="477">
        <f ca="1">IFERROR(IF(B85&gt;MatchDay!$U$2+MatchDay!$D$6-1,"",VLOOKUP(A79,Timetables!$A:$DK,MatchDay!$U$4+B85-MatchDay!$D$6,FALSE)),"")</f>
        <v>1</v>
      </c>
      <c r="D85" s="467" t="str">
        <f ca="1">IFERROR(HLOOKUP(C85,Declarations!$D$2:$S$102,A81,FALSE),"")</f>
        <v>FOGDEN Ben</v>
      </c>
      <c r="E85" s="467" t="str">
        <f t="shared" ca="1" si="47"/>
        <v>C'field</v>
      </c>
      <c r="F85" s="466"/>
      <c r="G85" s="476"/>
      <c r="H85" s="477">
        <v>5</v>
      </c>
      <c r="I85" s="477">
        <f t="shared" ca="1" si="48"/>
        <v>11</v>
      </c>
      <c r="J85" s="467" t="str">
        <f ca="1">IFERROR(HLOOKUP(I85,Declarations!$D$2:$S$102,$A81,FALSE),"")</f>
        <v>SAS Reuben</v>
      </c>
      <c r="K85" s="467" t="str">
        <f t="shared" ca="1" si="44"/>
        <v>C'field</v>
      </c>
      <c r="N85" s="478"/>
      <c r="P85" s="468">
        <f ca="1">IFERROR(IF(OR(D85=0,D85="-",D85="",D85=" ",D85=" ",D85="Athlete"),"",IF($A87&gt;0,VLOOKUP(D85,female_reg,3,FALSE)-C85*10,VLOOKUP(D85,male_reg,3,FALSE)-C85*10)),2)</f>
        <v>1</v>
      </c>
      <c r="Q85" s="468">
        <f ca="1">IFERROR(IF(OR(J85=0,J85="-",J85=" ",J85="",J85=" ",J85="Athlete"),"",IF($A87&gt;0,VLOOKUP(J85,female_reg,3,FALSE)-C85*10,VLOOKUP(J85,male_reg,3,FALSE)-C85*10)),2)</f>
        <v>1</v>
      </c>
      <c r="T85" s="468">
        <f t="shared" ca="1" si="35"/>
        <v>3</v>
      </c>
      <c r="U85" s="468">
        <f t="shared" ca="1" si="36"/>
        <v>3</v>
      </c>
      <c r="V85" s="467" t="str">
        <f t="shared" ca="1" si="45"/>
        <v>FOGDEN BenC'field</v>
      </c>
      <c r="W85" s="467" t="str">
        <f t="shared" ca="1" si="46"/>
        <v>SAS ReubenC'field</v>
      </c>
      <c r="Z85" s="467">
        <f t="shared" ca="1" si="37"/>
        <v>4</v>
      </c>
      <c r="AA85" s="467">
        <f t="shared" ca="1" si="38"/>
        <v>4</v>
      </c>
    </row>
    <row r="86" spans="1:27" x14ac:dyDescent="0.35">
      <c r="A86" s="118">
        <f ca="1">IFERROR(VLOOKUP(A79,standards,6,FALSE)+0.01,"-")</f>
        <v>25.610000000000003</v>
      </c>
      <c r="B86" s="477">
        <v>6</v>
      </c>
      <c r="C86" s="477" t="str">
        <f>IFERROR(IF(B86&gt;MatchDay!$U$2+MatchDay!$D$6-1,"",VLOOKUP(A79,Timetables!$A:$DK,MatchDay!$U$4+B86-MatchDay!$D$6,FALSE)),"")</f>
        <v/>
      </c>
      <c r="D86" s="467" t="str">
        <f>IFERROR(HLOOKUP(C86,Declarations!$D$2:$S$102,A81,FALSE),"")</f>
        <v/>
      </c>
      <c r="E86" s="467" t="str">
        <f t="shared" si="47"/>
        <v/>
      </c>
      <c r="F86" s="466"/>
      <c r="G86" s="476"/>
      <c r="H86" s="477">
        <v>6</v>
      </c>
      <c r="I86" s="477" t="str">
        <f t="shared" si="48"/>
        <v/>
      </c>
      <c r="J86" s="467" t="str">
        <f>IFERROR(HLOOKUP(I86,Declarations!$D$2:$S$102,$A81,FALSE),"")</f>
        <v/>
      </c>
      <c r="K86" s="467" t="str">
        <f t="shared" si="44"/>
        <v/>
      </c>
      <c r="N86" s="478"/>
      <c r="P86" s="468" t="str">
        <f>IFERROR(IF(OR(D86=0,D86="-",D86="",D86=" ",D86=" ",D86="Athlete"),"",IF($A87&gt;0,VLOOKUP(D86,female_reg,3,FALSE)-C86*10,VLOOKUP(D86,male_reg,3,FALSE)-C86*10)),2)</f>
        <v/>
      </c>
      <c r="Q86" s="468" t="str">
        <f>IFERROR(IF(OR(J86=0,J86="-",J86=" ",J86="",J86=" ",J86="Athlete"),"",IF($A87&gt;0,VLOOKUP(J86,female_reg,3,FALSE)-C86*10,VLOOKUP(J86,male_reg,3,FALSE)-C86*10)),2)</f>
        <v/>
      </c>
      <c r="T86" s="468">
        <f t="shared" si="35"/>
        <v>0</v>
      </c>
      <c r="U86" s="468">
        <f t="shared" si="36"/>
        <v>0</v>
      </c>
      <c r="V86" s="467" t="str">
        <f t="shared" si="45"/>
        <v>X</v>
      </c>
      <c r="W86" s="467" t="str">
        <f t="shared" si="46"/>
        <v>X</v>
      </c>
      <c r="Z86" s="467">
        <f t="shared" si="37"/>
        <v>0</v>
      </c>
      <c r="AA86" s="467">
        <f t="shared" si="38"/>
        <v>0</v>
      </c>
    </row>
    <row r="87" spans="1:27" x14ac:dyDescent="0.35">
      <c r="A87" s="479">
        <f ca="1">IFERROR(SEARCH("Girls",B79),0)</f>
        <v>0</v>
      </c>
      <c r="B87" s="477">
        <v>7</v>
      </c>
      <c r="C87" s="477" t="str">
        <f>IFERROR(IF(B87&gt;MatchDay!$U$2+MatchDay!$D$6-1,"",VLOOKUP(A79,Timetables!$A:$DK,MatchDay!$U$4+B87-MatchDay!$D$6,FALSE)),"")</f>
        <v/>
      </c>
      <c r="D87" s="467" t="str">
        <f>IFERROR(HLOOKUP(C87,Declarations!$D$2:$S$102,A81,FALSE),"")</f>
        <v/>
      </c>
      <c r="E87" s="467" t="str">
        <f t="shared" si="47"/>
        <v/>
      </c>
      <c r="F87" s="466"/>
      <c r="G87" s="476"/>
      <c r="H87" s="477">
        <v>7</v>
      </c>
      <c r="I87" s="477" t="str">
        <f t="shared" si="48"/>
        <v/>
      </c>
      <c r="J87" s="467" t="str">
        <f>IFERROR(HLOOKUP(I87,Declarations!$D$2:$S$102,$A81,FALSE),"")</f>
        <v/>
      </c>
      <c r="K87" s="467" t="str">
        <f t="shared" si="44"/>
        <v/>
      </c>
      <c r="N87" s="478"/>
      <c r="P87" s="468" t="str">
        <f>IFERROR(IF(OR(D87=0,D87="-",D87="",D87=" ",D87=" ",D87="Athlete"),"",IF($A87&gt;0,VLOOKUP(D87,female_reg,3,FALSE)-C87*10,VLOOKUP(D87,male_reg,3,FALSE)-C87*10)),2)</f>
        <v/>
      </c>
      <c r="Q87" s="468" t="str">
        <f>IFERROR(IF(OR(J87=0,J87="-",J87=" ",J87="",J87=" ",J87="Athlete"),"",IF($A87&gt;0,VLOOKUP(J87,female_reg,3,FALSE)-C87*10,VLOOKUP(J87,male_reg,3,FALSE)-C87*10)),2)</f>
        <v/>
      </c>
      <c r="T87" s="468">
        <f t="shared" si="35"/>
        <v>0</v>
      </c>
      <c r="U87" s="468">
        <f t="shared" si="36"/>
        <v>0</v>
      </c>
      <c r="V87" s="467" t="str">
        <f t="shared" si="45"/>
        <v>X</v>
      </c>
      <c r="W87" s="467" t="str">
        <f t="shared" si="46"/>
        <v>X</v>
      </c>
      <c r="Z87" s="467">
        <f t="shared" si="37"/>
        <v>0</v>
      </c>
      <c r="AA87" s="467">
        <f t="shared" si="38"/>
        <v>0</v>
      </c>
    </row>
    <row r="88" spans="1:27" x14ac:dyDescent="0.35">
      <c r="A88" s="116">
        <f ca="1">IFERROR(VLOOKUP(A79,records,5,FALSE),"")</f>
        <v>22.2</v>
      </c>
      <c r="B88" s="477">
        <v>8</v>
      </c>
      <c r="C88" s="477" t="str">
        <f>IFERROR(IF(B88&gt;MatchDay!$U$2+MatchDay!$D$6-1,"",VLOOKUP(A79,Timetables!$A:$DK,MatchDay!$U$4+B88-MatchDay!$D$6,FALSE)),"")</f>
        <v/>
      </c>
      <c r="D88" s="467" t="str">
        <f>IFERROR(HLOOKUP(C88,Declarations!$D$2:$S$102,A81,FALSE),"")</f>
        <v/>
      </c>
      <c r="E88" s="467" t="str">
        <f t="shared" si="47"/>
        <v/>
      </c>
      <c r="F88" s="466"/>
      <c r="G88" s="476"/>
      <c r="H88" s="477">
        <v>8</v>
      </c>
      <c r="I88" s="477" t="str">
        <f t="shared" si="48"/>
        <v/>
      </c>
      <c r="J88" s="467" t="str">
        <f>IFERROR(HLOOKUP(I88,Declarations!$D$2:$S$102,$A81,FALSE),"")</f>
        <v/>
      </c>
      <c r="K88" s="467" t="str">
        <f t="shared" si="44"/>
        <v/>
      </c>
      <c r="N88" s="478"/>
      <c r="P88" s="468" t="str">
        <f>IFERROR(IF(OR(D88=0,D88="-",D88="",D88=" ",D88=" ",D88="Athlete"),"",IF($A87&gt;0,VLOOKUP(D88,female_reg,3,FALSE)-C88*10,VLOOKUP(D88,male_reg,3,FALSE)-C88*10)),2)</f>
        <v/>
      </c>
      <c r="Q88" s="468" t="str">
        <f>IFERROR(IF(OR(J88=0,J88="-",J88=" ",J88="",J88=" ",J88="Athlete"),"",IF($A87&gt;0,VLOOKUP(J88,female_reg,3,FALSE)-C88*10,VLOOKUP(J88,male_reg,3,FALSE)-C88*10)),2)</f>
        <v/>
      </c>
      <c r="T88" s="468">
        <f t="shared" si="35"/>
        <v>0</v>
      </c>
      <c r="U88" s="468">
        <f t="shared" si="36"/>
        <v>0</v>
      </c>
      <c r="V88" s="467" t="str">
        <f t="shared" si="45"/>
        <v>X</v>
      </c>
      <c r="W88" s="467" t="str">
        <f t="shared" si="46"/>
        <v>X</v>
      </c>
      <c r="Z88" s="467">
        <f t="shared" si="37"/>
        <v>0</v>
      </c>
      <c r="AA88" s="467">
        <f t="shared" si="38"/>
        <v>0</v>
      </c>
    </row>
    <row r="89" spans="1:27" x14ac:dyDescent="0.35">
      <c r="P89" s="468" t="str">
        <f>IFERROR(IF(OR(D89=0,D89="-",D89="",D89=" ",D89=" ",D89="Athlete"),"",IF($A87&gt;0,VLOOKUP(D89,female_reg,3,FALSE)-C89*10,VLOOKUP(D89,male_reg,3,FALSE)-C89*10)),"X")</f>
        <v/>
      </c>
      <c r="Q89" s="468" t="str">
        <f>IFERROR(IF(OR(J89=0,J89="-",J89=" ",J89="",J89=" ",J89="Athlete"),"",IF($A87&gt;0,VLOOKUP(J89,female_reg,3,FALSE)-C89*10,VLOOKUP(J89,male_reg,3,FALSE)-C89*10)),"X")</f>
        <v/>
      </c>
      <c r="T89" s="468">
        <f t="shared" ca="1" si="35"/>
        <v>0</v>
      </c>
      <c r="U89" s="468">
        <f t="shared" ca="1" si="36"/>
        <v>0</v>
      </c>
      <c r="Z89" s="467">
        <f t="shared" ca="1" si="37"/>
        <v>0</v>
      </c>
      <c r="AA89" s="467">
        <f t="shared" ca="1" si="38"/>
        <v>0</v>
      </c>
    </row>
    <row r="90" spans="1:27" x14ac:dyDescent="0.35">
      <c r="A90" s="111" t="str">
        <f ca="1">IFERROR(INDIRECT(CONCATENATE("'Timetables'!A"&amp;A93)),"")</f>
        <v>LTD81</v>
      </c>
      <c r="B90" s="469" t="str">
        <f ca="1">IFERROR(VLOOKUP(A90,timetables,2,FALSE)&amp;" "&amp;VLOOKUP(A90,timetables,3,FALSE)&amp;" A","")</f>
        <v>800m U13 Girls A</v>
      </c>
      <c r="C90" s="469"/>
      <c r="E90" s="470" t="str">
        <f ca="1">"Starts "&amp;TEXT(VLOOKUP(A90,timetables,7-MatchDay!$U$7,FALSE),"hh:mm")</f>
        <v>Starts 13:00</v>
      </c>
      <c r="F90" s="471"/>
      <c r="H90" s="472" t="str">
        <f ca="1">IFERROR("Rec: "&amp;TEXT(VLOOKUP(A90,records,5,FALSE),"mm:ss.00")&amp;", "&amp;VLOOKUP(A90,records,3,FALSE)&amp;", "&amp;VLOOKUP(A90,records,4,FALSE)&amp;", "&amp;VLOOKUP(A90,records,8,FALSE),"")</f>
        <v>Rec: 02:20.10, Elizabeth Wilkinson, City of Sheffield, 2014</v>
      </c>
      <c r="K90" s="473"/>
      <c r="L90" s="474"/>
      <c r="M90" s="467"/>
      <c r="P90" s="468" t="str">
        <f>IFERROR(IF(OR(D90=0,D90="-",D90="",D90=" ",D90=" ",D90="Athlete"),"",IF($A98&gt;0,VLOOKUP(D90,female_reg,3,FALSE)-C90*10,VLOOKUP(D90,male_reg,3,FALSE)-C90*10)),"X")</f>
        <v/>
      </c>
      <c r="Q90" s="468" t="str">
        <f>IFERROR(IF(OR(J90=0,J90="-",J90=" ",J90="",J90=" ",J90="Athlete"),"",IF($A98&gt;0,VLOOKUP(J90,female_reg,3,FALSE)-C90*10,VLOOKUP(J90,male_reg,3,FALSE)-C90*10)),"X")</f>
        <v/>
      </c>
      <c r="T90" s="468">
        <f t="shared" ca="1" si="35"/>
        <v>0</v>
      </c>
      <c r="U90" s="468">
        <f t="shared" ca="1" si="36"/>
        <v>0</v>
      </c>
      <c r="Z90" s="467">
        <f t="shared" ca="1" si="37"/>
        <v>0</v>
      </c>
      <c r="AA90" s="467">
        <f t="shared" ca="1" si="38"/>
        <v>0</v>
      </c>
    </row>
    <row r="91" spans="1:27" x14ac:dyDescent="0.35">
      <c r="A91" s="85" t="str">
        <f ca="1">MID(A90,2,3)</f>
        <v>TD8</v>
      </c>
      <c r="B91" s="9" t="s">
        <v>786</v>
      </c>
      <c r="C91" s="9" t="s">
        <v>183</v>
      </c>
      <c r="D91" s="46" t="s">
        <v>227</v>
      </c>
      <c r="E91" s="46" t="s">
        <v>228</v>
      </c>
      <c r="F91" s="475"/>
      <c r="G91" s="46"/>
      <c r="H91" s="9" t="s">
        <v>786</v>
      </c>
      <c r="I91" s="9" t="s">
        <v>183</v>
      </c>
      <c r="J91" s="46" t="s">
        <v>227</v>
      </c>
      <c r="K91" s="46" t="s">
        <v>228</v>
      </c>
      <c r="L91" s="475"/>
      <c r="M91" s="475"/>
      <c r="N91" s="52"/>
      <c r="P91" s="468" t="str">
        <f>IFERROR(IF(OR(D91=0,D91="-",D91="",D91=" ",D91=" ",D91="Athlete"),"",IF($A98&gt;0,VLOOKUP(D91,female_reg,3,FALSE)-C91*10,VLOOKUP(D91,male_reg,3,FALSE)-C91*10)),"X")</f>
        <v/>
      </c>
      <c r="Q91" s="468" t="str">
        <f>IFERROR(IF(OR(J91=0,J91="-",J91=" ",J91="",J91=" ",J91="Athlete"),"",IF($A98&gt;0,VLOOKUP(J91,female_reg,3,FALSE)-C91*10,VLOOKUP(J91,male_reg,3,FALSE)-C91*10)),"X")</f>
        <v/>
      </c>
      <c r="T91" s="468">
        <f t="shared" ca="1" si="35"/>
        <v>0</v>
      </c>
      <c r="U91" s="468">
        <f t="shared" ca="1" si="36"/>
        <v>0</v>
      </c>
      <c r="Z91" s="467">
        <f t="shared" ca="1" si="37"/>
        <v>0</v>
      </c>
      <c r="AA91" s="467">
        <f t="shared" ca="1" si="38"/>
        <v>0</v>
      </c>
    </row>
    <row r="92" spans="1:27" x14ac:dyDescent="0.35">
      <c r="A92" s="181">
        <f ca="1">IFERROR(VLOOKUP(A90,Timetables!$A:$E,5,FALSE)-1,"")</f>
        <v>32</v>
      </c>
      <c r="B92" s="477">
        <v>1</v>
      </c>
      <c r="C92" s="477">
        <f ca="1">IFERROR(IF(B92&gt;MatchDay!$U$2,"",IF(MatchDay!$D$6=2,"",VLOOKUP(A90,Timetables!$A:$DK,MatchDay!$U$4+B92-MatchDay!$D$6,FALSE))),"")</f>
        <v>3</v>
      </c>
      <c r="D92" s="467" t="str">
        <f ca="1">IFERROR(HLOOKUP(C92,Declarations!$D$2:$S$102,A92,FALSE),"")</f>
        <v>SIGSWORTH Martha</v>
      </c>
      <c r="E92" s="467" t="str">
        <f ca="1">IFERROR(VLOOKUP(C92,teamlookup,5,FALSE),"")</f>
        <v>York</v>
      </c>
      <c r="F92" s="466"/>
      <c r="G92" s="476"/>
      <c r="H92" s="477">
        <v>1</v>
      </c>
      <c r="I92" s="477">
        <f ca="1">IFERROR(C92*11,"")</f>
        <v>33</v>
      </c>
      <c r="J92" s="467" t="str">
        <f ca="1">IFERROR(HLOOKUP(I92,Declarations!$D$2:$S$102,$A92,FALSE),"")</f>
        <v>BROOKS Laura</v>
      </c>
      <c r="K92" s="467" t="str">
        <f t="shared" ref="K92:K99" ca="1" si="49">IFERROR(VLOOKUP(I92,teamlookup,5,FALSE),"")</f>
        <v>York</v>
      </c>
      <c r="N92" s="478"/>
      <c r="P92" s="468">
        <f ca="1">IFERROR(IF(OR(D92=0,D92="-",D92="",D92=" ",D92=" ",D92="Athlete"),"",IF($A98&gt;0,VLOOKUP(D92,female_reg,3,FALSE)-C92*10,VLOOKUP(D92,male_reg,3,FALSE)-C92*10)),2)</f>
        <v>0</v>
      </c>
      <c r="Q92" s="468">
        <f ca="1">IFERROR(IF(OR(J92=0,J92="-",J92=" ",J92="",J92=" ",J92="Athlete"),"",IF($A98&gt;0,VLOOKUP(J92,female_reg,3,FALSE)-C92*10,VLOOKUP(J92,male_reg,3,FALSE)-C92*10)),2)</f>
        <v>0</v>
      </c>
      <c r="T92" s="468">
        <f t="shared" ca="1" si="35"/>
        <v>2</v>
      </c>
      <c r="U92" s="468">
        <f t="shared" ca="1" si="36"/>
        <v>2</v>
      </c>
      <c r="V92" s="467" t="str">
        <f t="shared" ref="V92:V99" ca="1" si="50">IFERROR(IF(OR(D92=0,D92="-",D92="",D92=" ",D92=" "),"X",D92&amp;E92),"X")</f>
        <v>SIGSWORTH MarthaYork</v>
      </c>
      <c r="W92" s="467" t="str">
        <f t="shared" ref="W92:W99" ca="1" si="51">IFERROR(IF(OR(J92=0,J92="-",J92="",J92=" ",J92=" "),"X",J92&amp;K92),"X")</f>
        <v>BROOKS LauraYork</v>
      </c>
      <c r="Z92" s="467">
        <f t="shared" ca="1" si="37"/>
        <v>2</v>
      </c>
      <c r="AA92" s="467">
        <f t="shared" ca="1" si="38"/>
        <v>2</v>
      </c>
    </row>
    <row r="93" spans="1:27" x14ac:dyDescent="0.35">
      <c r="A93" s="468">
        <f>A82+1</f>
        <v>11</v>
      </c>
      <c r="B93" s="477">
        <v>2</v>
      </c>
      <c r="C93" s="477">
        <f ca="1">IFERROR(IF(B93&gt;MatchDay!$U$2+MatchDay!$D$6-1,"",VLOOKUP(A90,Timetables!$A:$DK,MatchDay!$U$4+B93-MatchDay!$D$6,FALSE)),"")</f>
        <v>5</v>
      </c>
      <c r="D93" s="467" t="str">
        <f ca="1">IFERROR(HLOOKUP(C93,Declarations!$D$2:$S$102,A92,FALSE),"")</f>
        <v>ABDI Zulekha</v>
      </c>
      <c r="E93" s="467" t="str">
        <f t="shared" ref="E93:E99" ca="1" si="52">IFERROR(VLOOKUP(C93,teamlookup,5,FALSE),"")</f>
        <v>Scun</v>
      </c>
      <c r="F93" s="466"/>
      <c r="G93" s="476"/>
      <c r="H93" s="477">
        <v>2</v>
      </c>
      <c r="I93" s="477">
        <f t="shared" ref="I93:I99" ca="1" si="53">IFERROR(C93*11,"")</f>
        <v>55</v>
      </c>
      <c r="J93" s="467">
        <f ca="1">IFERROR(HLOOKUP(I93,Declarations!$D$2:$S$102,$A92,FALSE),"")</f>
        <v>0</v>
      </c>
      <c r="K93" s="467" t="str">
        <f t="shared" ca="1" si="49"/>
        <v>Scun</v>
      </c>
      <c r="N93" s="478"/>
      <c r="P93" s="468">
        <f ca="1">IFERROR(IF(OR(D93=0,D93="-",D93="",D93=" ",D93=" ",D93="Athlete"),"",IF($A98&gt;0,VLOOKUP(D93,female_reg,3,FALSE)-C93*10,VLOOKUP(D93,male_reg,3,FALSE)-C93*10)),2)</f>
        <v>1</v>
      </c>
      <c r="Q93" s="468" t="str">
        <f ca="1">IFERROR(IF(OR(J93=0,J93="-",J93=" ",J93="",J93=" ",J93="Athlete"),"",IF($A98&gt;0,VLOOKUP(J93,female_reg,3,FALSE)-C93*10,VLOOKUP(J93,male_reg,3,FALSE)-C93*10)),2)</f>
        <v/>
      </c>
      <c r="T93" s="468">
        <f t="shared" ca="1" si="35"/>
        <v>2</v>
      </c>
      <c r="U93" s="468">
        <f t="shared" ca="1" si="36"/>
        <v>0</v>
      </c>
      <c r="V93" s="467" t="str">
        <f t="shared" ca="1" si="50"/>
        <v>ABDI ZulekhaScun</v>
      </c>
      <c r="W93" s="467" t="str">
        <f t="shared" ca="1" si="51"/>
        <v>X</v>
      </c>
      <c r="Z93" s="467">
        <f t="shared" ca="1" si="37"/>
        <v>2</v>
      </c>
      <c r="AA93" s="467">
        <f t="shared" ca="1" si="38"/>
        <v>0</v>
      </c>
    </row>
    <row r="94" spans="1:27" x14ac:dyDescent="0.35">
      <c r="A94" s="118">
        <f ca="1">IFERROR(VLOOKUP(A90,standards,3,FALSE)+0.01,"-")</f>
        <v>2.2949999999999999</v>
      </c>
      <c r="B94" s="477">
        <v>3</v>
      </c>
      <c r="C94" s="477">
        <f ca="1">IFERROR(IF(B94&gt;MatchDay!$U$2+MatchDay!$D$6-1,"",VLOOKUP(A90,Timetables!$A:$DK,MatchDay!$U$4+B94-MatchDay!$D$6,FALSE)),"")</f>
        <v>2</v>
      </c>
      <c r="D94" s="467" t="str">
        <f ca="1">IFERROR(HLOOKUP(C94,Declarations!$D$2:$S$102,A92,FALSE),"")</f>
        <v>SCOTT Violet</v>
      </c>
      <c r="E94" s="467" t="str">
        <f t="shared" ca="1" si="52"/>
        <v>Sheff+D</v>
      </c>
      <c r="F94" s="466"/>
      <c r="G94" s="476"/>
      <c r="H94" s="477">
        <v>3</v>
      </c>
      <c r="I94" s="477">
        <f t="shared" ca="1" si="53"/>
        <v>22</v>
      </c>
      <c r="J94" s="467" t="str">
        <f ca="1">IFERROR(HLOOKUP(I94,Declarations!$D$2:$S$102,$A92,FALSE),"")</f>
        <v>BERRY Heather</v>
      </c>
      <c r="K94" s="467" t="str">
        <f t="shared" ca="1" si="49"/>
        <v>Sheff+D</v>
      </c>
      <c r="N94" s="478"/>
      <c r="P94" s="468">
        <f ca="1">IFERROR(IF(OR(D94=0,D94="-",D94="",D94=" ",D94=" ",D94="Athlete"),"",IF($A98&gt;0,VLOOKUP(D94,female_reg,3,FALSE)-C94*10,VLOOKUP(D94,male_reg,3,FALSE)-C94*10)),2)</f>
        <v>1</v>
      </c>
      <c r="Q94" s="468">
        <f ca="1">IFERROR(IF(OR(J94=0,J94="-",J94=" ",J94="",J94=" ",J94="Athlete"),"",IF($A98&gt;0,VLOOKUP(J94,female_reg,3,FALSE)-C94*10,VLOOKUP(J94,male_reg,3,FALSE)-C94*10)),2)</f>
        <v>2</v>
      </c>
      <c r="T94" s="468">
        <f t="shared" ca="1" si="35"/>
        <v>2</v>
      </c>
      <c r="U94" s="468">
        <f t="shared" ca="1" si="36"/>
        <v>3</v>
      </c>
      <c r="V94" s="467" t="str">
        <f t="shared" ca="1" si="50"/>
        <v>SCOTT VioletSheff+D</v>
      </c>
      <c r="W94" s="467" t="str">
        <f t="shared" ca="1" si="51"/>
        <v>BERRY HeatherSheff+D</v>
      </c>
      <c r="Z94" s="467">
        <f t="shared" ca="1" si="37"/>
        <v>3</v>
      </c>
      <c r="AA94" s="467">
        <f t="shared" ca="1" si="38"/>
        <v>3</v>
      </c>
    </row>
    <row r="95" spans="1:27" x14ac:dyDescent="0.35">
      <c r="A95" s="118">
        <f ca="1">IFERROR(VLOOKUP(A90,standards,4,FALSE)+0.01,"-")</f>
        <v>2.3249999999999997</v>
      </c>
      <c r="B95" s="477">
        <v>4</v>
      </c>
      <c r="C95" s="477">
        <f ca="1">IFERROR(IF(B95&gt;MatchDay!$U$2+MatchDay!$D$6-1,"",VLOOKUP(A90,Timetables!$A:$DK,MatchDay!$U$4+B95-MatchDay!$D$6,FALSE)),"")</f>
        <v>4</v>
      </c>
      <c r="D95" s="467" t="str">
        <f ca="1">IFERROR(HLOOKUP(C95,Declarations!$D$2:$S$102,A92,FALSE),"")</f>
        <v>LILLIE Freya</v>
      </c>
      <c r="E95" s="467" t="str">
        <f t="shared" ca="1" si="52"/>
        <v>M'bro</v>
      </c>
      <c r="F95" s="466"/>
      <c r="G95" s="476"/>
      <c r="H95" s="477">
        <v>4</v>
      </c>
      <c r="I95" s="477">
        <f t="shared" ca="1" si="53"/>
        <v>44</v>
      </c>
      <c r="J95" s="467" t="str">
        <f ca="1">IFERROR(HLOOKUP(I95,Declarations!$D$2:$S$102,$A92,FALSE),"")</f>
        <v>-</v>
      </c>
      <c r="K95" s="467" t="str">
        <f t="shared" ca="1" si="49"/>
        <v>M'bro</v>
      </c>
      <c r="N95" s="478"/>
      <c r="P95" s="468">
        <f ca="1">IFERROR(IF(OR(D95=0,D95="-",D95="",D95=" ",D95=" ",D95="Athlete"),"",IF($A98&gt;0,VLOOKUP(D95,female_reg,3,FALSE)-C95*10,VLOOKUP(D95,male_reg,3,FALSE)-C95*10)),2)</f>
        <v>1</v>
      </c>
      <c r="Q95" s="468" t="str">
        <f ca="1">IFERROR(IF(OR(J95=0,J95="-",J95=" ",J95="",J95=" ",J95="Athlete"),"",IF($A98&gt;0,VLOOKUP(J95,female_reg,3,FALSE)-C95*10,VLOOKUP(J95,male_reg,3,FALSE)-C95*10)),2)</f>
        <v/>
      </c>
      <c r="T95" s="468">
        <f t="shared" ca="1" si="35"/>
        <v>1</v>
      </c>
      <c r="U95" s="468">
        <f t="shared" ca="1" si="36"/>
        <v>0</v>
      </c>
      <c r="V95" s="467" t="str">
        <f t="shared" ca="1" si="50"/>
        <v>LILLIE FreyaM'bro</v>
      </c>
      <c r="W95" s="467" t="str">
        <f t="shared" ca="1" si="51"/>
        <v>X</v>
      </c>
      <c r="Z95" s="467">
        <f t="shared" ca="1" si="37"/>
        <v>2</v>
      </c>
      <c r="AA95" s="467">
        <f t="shared" ca="1" si="38"/>
        <v>0</v>
      </c>
    </row>
    <row r="96" spans="1:27" x14ac:dyDescent="0.35">
      <c r="A96" s="118">
        <f ca="1">IFERROR(VLOOKUP(A90,standards,5,FALSE)+0.01,"-")</f>
        <v>2.36</v>
      </c>
      <c r="B96" s="477">
        <v>5</v>
      </c>
      <c r="C96" s="477">
        <f ca="1">IFERROR(IF(B96&gt;MatchDay!$U$2+MatchDay!$D$6-1,"",VLOOKUP(A90,Timetables!$A:$DK,MatchDay!$U$4+B96-MatchDay!$D$6,FALSE)),"")</f>
        <v>1</v>
      </c>
      <c r="D96" s="467" t="str">
        <f ca="1">IFERROR(HLOOKUP(C96,Declarations!$D$2:$S$102,A92,FALSE),"")</f>
        <v>STANILAND Charlotte</v>
      </c>
      <c r="E96" s="467" t="str">
        <f t="shared" ca="1" si="52"/>
        <v>C'field</v>
      </c>
      <c r="F96" s="466"/>
      <c r="G96" s="476"/>
      <c r="H96" s="477">
        <v>5</v>
      </c>
      <c r="I96" s="477">
        <f t="shared" ca="1" si="53"/>
        <v>11</v>
      </c>
      <c r="J96" s="467" t="str">
        <f ca="1">IFERROR(HLOOKUP(I96,Declarations!$D$2:$S$102,$A92,FALSE),"")</f>
        <v>PELL Gracie</v>
      </c>
      <c r="K96" s="467" t="str">
        <f t="shared" ca="1" si="49"/>
        <v>C'field</v>
      </c>
      <c r="N96" s="478"/>
      <c r="P96" s="468">
        <f ca="1">IFERROR(IF(OR(D96=0,D96="-",D96="",D96=" ",D96=" ",D96="Athlete"),"",IF($A98&gt;0,VLOOKUP(D96,female_reg,3,FALSE)-C96*10,VLOOKUP(D96,male_reg,3,FALSE)-C96*10)),2)</f>
        <v>1</v>
      </c>
      <c r="Q96" s="468">
        <f ca="1">IFERROR(IF(OR(J96=0,J96="-",J96=" ",J96="",J96=" ",J96="Athlete"),"",IF($A98&gt;0,VLOOKUP(J96,female_reg,3,FALSE)-C96*10,VLOOKUP(J96,male_reg,3,FALSE)-C96*10)),2)</f>
        <v>1</v>
      </c>
      <c r="T96" s="468">
        <f t="shared" ca="1" si="35"/>
        <v>3</v>
      </c>
      <c r="U96" s="468">
        <f t="shared" ca="1" si="36"/>
        <v>2</v>
      </c>
      <c r="V96" s="467" t="str">
        <f t="shared" ca="1" si="50"/>
        <v>STANILAND CharlotteC'field</v>
      </c>
      <c r="W96" s="467" t="str">
        <f t="shared" ca="1" si="51"/>
        <v>PELL GracieC'field</v>
      </c>
      <c r="Z96" s="467">
        <f t="shared" ca="1" si="37"/>
        <v>3</v>
      </c>
      <c r="AA96" s="467">
        <f t="shared" ca="1" si="38"/>
        <v>3</v>
      </c>
    </row>
    <row r="97" spans="1:27" x14ac:dyDescent="0.35">
      <c r="A97" s="118">
        <f ca="1">IFERROR(VLOOKUP(A90,standards,6,FALSE)+0.01,"-")</f>
        <v>2.4229999999999996</v>
      </c>
      <c r="B97" s="477">
        <v>6</v>
      </c>
      <c r="C97" s="477" t="str">
        <f>IFERROR(IF(B97&gt;MatchDay!$U$2+MatchDay!$D$6-1,"",VLOOKUP(A90,Timetables!$A:$DK,MatchDay!$U$4+B97-MatchDay!$D$6,FALSE)),"")</f>
        <v/>
      </c>
      <c r="D97" s="467" t="str">
        <f>IFERROR(HLOOKUP(C97,Declarations!$D$2:$S$102,A92,FALSE),"")</f>
        <v/>
      </c>
      <c r="E97" s="467" t="str">
        <f t="shared" si="52"/>
        <v/>
      </c>
      <c r="F97" s="466"/>
      <c r="G97" s="476"/>
      <c r="H97" s="477">
        <v>6</v>
      </c>
      <c r="I97" s="477" t="str">
        <f t="shared" si="53"/>
        <v/>
      </c>
      <c r="J97" s="467" t="str">
        <f>IFERROR(HLOOKUP(I97,Declarations!$D$2:$S$102,$A92,FALSE),"")</f>
        <v/>
      </c>
      <c r="K97" s="467" t="str">
        <f t="shared" si="49"/>
        <v/>
      </c>
      <c r="N97" s="478"/>
      <c r="P97" s="468" t="str">
        <f>IFERROR(IF(OR(D97=0,D97="-",D97="",D97=" ",D97=" ",D97="Athlete"),"",IF($A98&gt;0,VLOOKUP(D97,female_reg,3,FALSE)-C97*10,VLOOKUP(D97,male_reg,3,FALSE)-C97*10)),2)</f>
        <v/>
      </c>
      <c r="Q97" s="468" t="str">
        <f>IFERROR(IF(OR(J97=0,J97="-",J97=" ",J97="",J97=" ",J97="Athlete"),"",IF($A98&gt;0,VLOOKUP(J97,female_reg,3,FALSE)-C97*10,VLOOKUP(J97,male_reg,3,FALSE)-C97*10)),2)</f>
        <v/>
      </c>
      <c r="T97" s="468">
        <f t="shared" si="35"/>
        <v>0</v>
      </c>
      <c r="U97" s="468">
        <f t="shared" si="36"/>
        <v>0</v>
      </c>
      <c r="V97" s="467" t="str">
        <f t="shared" si="50"/>
        <v>X</v>
      </c>
      <c r="W97" s="467" t="str">
        <f t="shared" si="51"/>
        <v>X</v>
      </c>
      <c r="Z97" s="467">
        <f t="shared" si="37"/>
        <v>0</v>
      </c>
      <c r="AA97" s="467">
        <f t="shared" si="38"/>
        <v>0</v>
      </c>
    </row>
    <row r="98" spans="1:27" x14ac:dyDescent="0.35">
      <c r="A98" s="479">
        <f ca="1">IFERROR(SEARCH("Girls",B90),0)</f>
        <v>10</v>
      </c>
      <c r="B98" s="477">
        <v>7</v>
      </c>
      <c r="C98" s="477" t="str">
        <f>IFERROR(IF(B98&gt;MatchDay!$U$2+MatchDay!$D$6-1,"",VLOOKUP(A90,Timetables!$A:$DK,MatchDay!$U$4+B98-MatchDay!$D$6,FALSE)),"")</f>
        <v/>
      </c>
      <c r="D98" s="467" t="str">
        <f>IFERROR(HLOOKUP(C98,Declarations!$D$2:$S$102,A92,FALSE),"")</f>
        <v/>
      </c>
      <c r="E98" s="467" t="str">
        <f t="shared" si="52"/>
        <v/>
      </c>
      <c r="F98" s="466"/>
      <c r="G98" s="476"/>
      <c r="H98" s="477">
        <v>7</v>
      </c>
      <c r="I98" s="477" t="str">
        <f t="shared" si="53"/>
        <v/>
      </c>
      <c r="J98" s="467" t="str">
        <f>IFERROR(HLOOKUP(I98,Declarations!$D$2:$S$102,$A92,FALSE),"")</f>
        <v/>
      </c>
      <c r="K98" s="467" t="str">
        <f t="shared" si="49"/>
        <v/>
      </c>
      <c r="N98" s="478"/>
      <c r="P98" s="468" t="str">
        <f>IFERROR(IF(OR(D98=0,D98="-",D98="",D98=" ",D98=" ",D98="Athlete"),"",IF($A98&gt;0,VLOOKUP(D98,female_reg,3,FALSE)-C98*10,VLOOKUP(D98,male_reg,3,FALSE)-C98*10)),2)</f>
        <v/>
      </c>
      <c r="Q98" s="468" t="str">
        <f>IFERROR(IF(OR(J98=0,J98="-",J98=" ",J98="",J98=" ",J98="Athlete"),"",IF($A98&gt;0,VLOOKUP(J98,female_reg,3,FALSE)-C98*10,VLOOKUP(J98,male_reg,3,FALSE)-C98*10)),2)</f>
        <v/>
      </c>
      <c r="T98" s="468">
        <f t="shared" si="35"/>
        <v>0</v>
      </c>
      <c r="U98" s="468">
        <f t="shared" si="36"/>
        <v>0</v>
      </c>
      <c r="V98" s="467" t="str">
        <f t="shared" si="50"/>
        <v>X</v>
      </c>
      <c r="W98" s="467" t="str">
        <f t="shared" si="51"/>
        <v>X</v>
      </c>
      <c r="Z98" s="467">
        <f t="shared" si="37"/>
        <v>0</v>
      </c>
      <c r="AA98" s="467">
        <f t="shared" si="38"/>
        <v>0</v>
      </c>
    </row>
    <row r="99" spans="1:27" x14ac:dyDescent="0.35">
      <c r="A99" s="116">
        <f ca="1">IFERROR(VLOOKUP(A90,records,5,FALSE),"")</f>
        <v>1.6215277777777779E-3</v>
      </c>
      <c r="B99" s="477">
        <v>8</v>
      </c>
      <c r="C99" s="477" t="str">
        <f>IFERROR(IF(B99&gt;MatchDay!$U$2+MatchDay!$D$6-1,"",VLOOKUP(A90,Timetables!$A:$DK,MatchDay!$U$4+B99-MatchDay!$D$6,FALSE)),"")</f>
        <v/>
      </c>
      <c r="D99" s="467" t="str">
        <f>IFERROR(HLOOKUP(C99,Declarations!$D$2:$S$102,A92,FALSE),"")</f>
        <v/>
      </c>
      <c r="E99" s="467" t="str">
        <f t="shared" si="52"/>
        <v/>
      </c>
      <c r="F99" s="466"/>
      <c r="G99" s="476"/>
      <c r="H99" s="477">
        <v>8</v>
      </c>
      <c r="I99" s="477" t="str">
        <f t="shared" si="53"/>
        <v/>
      </c>
      <c r="J99" s="467" t="str">
        <f>IFERROR(HLOOKUP(I99,Declarations!$D$2:$S$102,$A92,FALSE),"")</f>
        <v/>
      </c>
      <c r="K99" s="467" t="str">
        <f t="shared" si="49"/>
        <v/>
      </c>
      <c r="N99" s="478"/>
      <c r="P99" s="468" t="str">
        <f>IFERROR(IF(OR(D99=0,D99="-",D99="",D99=" ",D99=" ",D99="Athlete"),"",IF($A98&gt;0,VLOOKUP(D99,female_reg,3,FALSE)-C99*10,VLOOKUP(D99,male_reg,3,FALSE)-C99*10)),2)</f>
        <v/>
      </c>
      <c r="Q99" s="468" t="str">
        <f>IFERROR(IF(OR(J99=0,J99="-",J99=" ",J99="",J99=" ",J99="Athlete"),"",IF($A98&gt;0,VLOOKUP(J99,female_reg,3,FALSE)-C99*10,VLOOKUP(J99,male_reg,3,FALSE)-C99*10)),2)</f>
        <v/>
      </c>
      <c r="T99" s="468">
        <f t="shared" si="35"/>
        <v>0</v>
      </c>
      <c r="U99" s="468">
        <f t="shared" si="36"/>
        <v>0</v>
      </c>
      <c r="V99" s="467" t="str">
        <f t="shared" si="50"/>
        <v>X</v>
      </c>
      <c r="W99" s="467" t="str">
        <f t="shared" si="51"/>
        <v>X</v>
      </c>
      <c r="Z99" s="467">
        <f t="shared" si="37"/>
        <v>0</v>
      </c>
      <c r="AA99" s="467">
        <f t="shared" si="38"/>
        <v>0</v>
      </c>
    </row>
    <row r="100" spans="1:27" x14ac:dyDescent="0.35">
      <c r="P100" s="468" t="str">
        <f>IFERROR(IF(OR(D100=0,D100="-",D100="",D100=" ",D100=" ",D100="Athlete"),"",IF($A98&gt;0,VLOOKUP(D100,female_reg,3,FALSE)-C100*10,VLOOKUP(D100,male_reg,3,FALSE)-C100*10)),"X")</f>
        <v/>
      </c>
      <c r="Q100" s="468" t="str">
        <f>IFERROR(IF(OR(J100=0,J100="-",J100=" ",J100="",J100=" ",J100="Athlete"),"",IF($A98&gt;0,VLOOKUP(J100,female_reg,3,FALSE)-C100*10,VLOOKUP(J100,male_reg,3,FALSE)-C100*10)),"X")</f>
        <v/>
      </c>
      <c r="T100" s="468">
        <f t="shared" ca="1" si="35"/>
        <v>0</v>
      </c>
      <c r="U100" s="468">
        <f t="shared" ca="1" si="36"/>
        <v>0</v>
      </c>
      <c r="Z100" s="467">
        <f t="shared" ca="1" si="37"/>
        <v>0</v>
      </c>
      <c r="AA100" s="467">
        <f t="shared" ca="1" si="38"/>
        <v>0</v>
      </c>
    </row>
    <row r="101" spans="1:27" x14ac:dyDescent="0.35">
      <c r="A101" s="111" t="str">
        <f ca="1">IFERROR(INDIRECT(CONCATENATE("'Timetables'!A"&amp;A104)),"")</f>
        <v>LTD82</v>
      </c>
      <c r="B101" s="469" t="str">
        <f ca="1">IFERROR(VLOOKUP(A101,timetables,2,FALSE)&amp;" "&amp;VLOOKUP(A101,timetables,3,FALSE)&amp;" A","")</f>
        <v>800m U13 Boys A</v>
      </c>
      <c r="C101" s="469"/>
      <c r="E101" s="470" t="str">
        <f ca="1">"Starts "&amp;TEXT(VLOOKUP(A101,timetables,7-MatchDay!$U$7,FALSE),"hh:mm")</f>
        <v>Starts 13:15</v>
      </c>
      <c r="F101" s="471"/>
      <c r="H101" s="472" t="str">
        <f ca="1">IFERROR("Rec: "&amp;TEXT(VLOOKUP(A101,records,5,FALSE),"mm:ss.00")&amp;", "&amp;VLOOKUP(A101,records,3,FALSE)&amp;", "&amp;VLOOKUP(A101,records,4,FALSE)&amp;", "&amp;VLOOKUP(A101,records,8,FALSE),"")</f>
        <v>Rec: 02:09.50, Jaden Kennedy, Herne Hill Harriers, 2016</v>
      </c>
      <c r="K101" s="473"/>
      <c r="L101" s="474"/>
      <c r="M101" s="467"/>
      <c r="P101" s="468" t="str">
        <f>IFERROR(IF(OR(D101=0,D101="-",D101="",D101=" ",D101=" ",D101="Athlete"),"",IF($A109&gt;0,VLOOKUP(D101,female_reg,3,FALSE)-C101*10,VLOOKUP(D101,male_reg,3,FALSE)-C101*10)),"X")</f>
        <v/>
      </c>
      <c r="Q101" s="468" t="str">
        <f>IFERROR(IF(OR(J101=0,J101="-",J101=" ",J101="",J101=" ",J101="Athlete"),"",IF($A109&gt;0,VLOOKUP(J101,female_reg,3,FALSE)-C101*10,VLOOKUP(J101,male_reg,3,FALSE)-C101*10)),"X")</f>
        <v/>
      </c>
      <c r="T101" s="468">
        <f t="shared" ca="1" si="35"/>
        <v>0</v>
      </c>
      <c r="U101" s="468">
        <f t="shared" ca="1" si="36"/>
        <v>0</v>
      </c>
      <c r="Z101" s="467">
        <f t="shared" ca="1" si="37"/>
        <v>0</v>
      </c>
      <c r="AA101" s="467">
        <f t="shared" ca="1" si="38"/>
        <v>0</v>
      </c>
    </row>
    <row r="102" spans="1:27" x14ac:dyDescent="0.35">
      <c r="A102" s="85" t="str">
        <f ca="1">MID(A101,2,3)</f>
        <v>TD8</v>
      </c>
      <c r="B102" s="9" t="s">
        <v>786</v>
      </c>
      <c r="C102" s="9" t="s">
        <v>183</v>
      </c>
      <c r="D102" s="46" t="s">
        <v>227</v>
      </c>
      <c r="E102" s="46" t="s">
        <v>228</v>
      </c>
      <c r="F102" s="475"/>
      <c r="G102" s="46"/>
      <c r="H102" s="9" t="s">
        <v>786</v>
      </c>
      <c r="I102" s="9" t="s">
        <v>183</v>
      </c>
      <c r="J102" s="46" t="s">
        <v>227</v>
      </c>
      <c r="K102" s="46" t="s">
        <v>228</v>
      </c>
      <c r="L102" s="475"/>
      <c r="M102" s="475"/>
      <c r="N102" s="52"/>
      <c r="P102" s="468" t="str">
        <f>IFERROR(IF(OR(D102=0,D102="-",D102="",D102=" ",D102=" ",D102="Athlete"),"",IF($A109&gt;0,VLOOKUP(D102,female_reg,3,FALSE)-C102*10,VLOOKUP(D102,male_reg,3,FALSE)-C102*10)),"X")</f>
        <v/>
      </c>
      <c r="Q102" s="468" t="str">
        <f>IFERROR(IF(OR(J102=0,J102="-",J102=" ",J102="",J102=" ",J102="Athlete"),"",IF($A109&gt;0,VLOOKUP(J102,female_reg,3,FALSE)-C102*10,VLOOKUP(J102,male_reg,3,FALSE)-C102*10)),"X")</f>
        <v/>
      </c>
      <c r="T102" s="468">
        <f t="shared" ca="1" si="35"/>
        <v>0</v>
      </c>
      <c r="U102" s="468">
        <f t="shared" ca="1" si="36"/>
        <v>0</v>
      </c>
      <c r="Z102" s="467">
        <f t="shared" ca="1" si="37"/>
        <v>0</v>
      </c>
      <c r="AA102" s="467">
        <f t="shared" ca="1" si="38"/>
        <v>0</v>
      </c>
    </row>
    <row r="103" spans="1:27" x14ac:dyDescent="0.35">
      <c r="A103" s="181">
        <f ca="1">IFERROR(VLOOKUP(A101,Timetables!$A:$E,5,FALSE)-1,"")</f>
        <v>82</v>
      </c>
      <c r="B103" s="477">
        <v>1</v>
      </c>
      <c r="C103" s="477">
        <f ca="1">IFERROR(IF(B103&gt;MatchDay!$U$2,"",IF(MatchDay!$D$6=2,"",VLOOKUP(A101,Timetables!$A:$DK,MatchDay!$U$4+B103-MatchDay!$D$6,FALSE))),"")</f>
        <v>3</v>
      </c>
      <c r="D103" s="467" t="str">
        <f ca="1">IFERROR(HLOOKUP(C103,Declarations!$D$2:$S$102,A103,FALSE),"")</f>
        <v>SANDWELL Joshua</v>
      </c>
      <c r="E103" s="467" t="str">
        <f ca="1">IFERROR(VLOOKUP(C103,teamlookup,5,FALSE),"")</f>
        <v>York</v>
      </c>
      <c r="F103" s="466"/>
      <c r="G103" s="476"/>
      <c r="H103" s="477">
        <v>1</v>
      </c>
      <c r="I103" s="477">
        <f ca="1">IFERROR(C103*11,"")</f>
        <v>33</v>
      </c>
      <c r="J103" s="467" t="str">
        <f ca="1">IFERROR(HLOOKUP(I103,Declarations!$D$2:$S$102,$A103,FALSE),"")</f>
        <v>JONES Alex</v>
      </c>
      <c r="K103" s="467" t="str">
        <f t="shared" ref="K103:K110" ca="1" si="54">IFERROR(VLOOKUP(I103,teamlookup,5,FALSE),"")</f>
        <v>York</v>
      </c>
      <c r="N103" s="478"/>
      <c r="P103" s="468">
        <f ca="1">IFERROR(IF(OR(D103=0,D103="-",D103="",D103=" ",D103=" ",D103="Athlete"),"",IF($A109&gt;0,VLOOKUP(D103,female_reg,3,FALSE)-C103*10,VLOOKUP(D103,male_reg,3,FALSE)-C103*10)),2)</f>
        <v>1</v>
      </c>
      <c r="Q103" s="468">
        <f ca="1">IFERROR(IF(OR(J103=0,J103="-",J103=" ",J103="",J103=" ",J103="Athlete"),"",IF($A109&gt;0,VLOOKUP(J103,female_reg,3,FALSE)-C103*10,VLOOKUP(J103,male_reg,3,FALSE)-C103*10)),2)</f>
        <v>1</v>
      </c>
      <c r="T103" s="468">
        <f t="shared" ca="1" si="35"/>
        <v>1</v>
      </c>
      <c r="U103" s="468">
        <f t="shared" ca="1" si="36"/>
        <v>3</v>
      </c>
      <c r="V103" s="467" t="str">
        <f t="shared" ref="V103:V110" ca="1" si="55">IFERROR(IF(OR(D103=0,D103="-",D103="",D103=" ",D103=" "),"X",D103&amp;E103),"X")</f>
        <v>SANDWELL JoshuaYork</v>
      </c>
      <c r="W103" s="467" t="str">
        <f t="shared" ref="W103:W110" ca="1" si="56">IFERROR(IF(OR(J103=0,J103="-",J103="",J103=" ",J103=" "),"X",J103&amp;K103),"X")</f>
        <v>JONES AlexYork</v>
      </c>
      <c r="Z103" s="467">
        <f t="shared" ca="1" si="37"/>
        <v>1</v>
      </c>
      <c r="AA103" s="467">
        <f t="shared" ca="1" si="38"/>
        <v>3</v>
      </c>
    </row>
    <row r="104" spans="1:27" x14ac:dyDescent="0.35">
      <c r="A104" s="468">
        <f>A93+1</f>
        <v>12</v>
      </c>
      <c r="B104" s="477">
        <v>2</v>
      </c>
      <c r="C104" s="477">
        <f ca="1">IFERROR(IF(B104&gt;MatchDay!$U$2+MatchDay!$D$6-1,"",VLOOKUP(A101,Timetables!$A:$DK,MatchDay!$U$4+B104-MatchDay!$D$6,FALSE)),"")</f>
        <v>5</v>
      </c>
      <c r="D104" s="467" t="str">
        <f ca="1">IFERROR(HLOOKUP(C104,Declarations!$D$2:$S$102,A103,FALSE),"")</f>
        <v>-</v>
      </c>
      <c r="E104" s="467" t="str">
        <f t="shared" ref="E104:E110" ca="1" si="57">IFERROR(VLOOKUP(C104,teamlookup,5,FALSE),"")</f>
        <v>Scun</v>
      </c>
      <c r="F104" s="466"/>
      <c r="G104" s="476"/>
      <c r="H104" s="477">
        <v>2</v>
      </c>
      <c r="I104" s="477">
        <f t="shared" ref="I104:I110" ca="1" si="58">IFERROR(C104*11,"")</f>
        <v>55</v>
      </c>
      <c r="J104" s="467">
        <f ca="1">IFERROR(HLOOKUP(I104,Declarations!$D$2:$S$102,$A103,FALSE),"")</f>
        <v>0</v>
      </c>
      <c r="K104" s="467" t="str">
        <f t="shared" ca="1" si="54"/>
        <v>Scun</v>
      </c>
      <c r="N104" s="478"/>
      <c r="P104" s="468" t="str">
        <f ca="1">IFERROR(IF(OR(D104=0,D104="-",D104="",D104=" ",D104=" ",D104="Athlete"),"",IF($A109&gt;0,VLOOKUP(D104,female_reg,3,FALSE)-C104*10,VLOOKUP(D104,male_reg,3,FALSE)-C104*10)),2)</f>
        <v/>
      </c>
      <c r="Q104" s="468" t="str">
        <f ca="1">IFERROR(IF(OR(J104=0,J104="-",J104=" ",J104="",J104=" ",J104="Athlete"),"",IF($A109&gt;0,VLOOKUP(J104,female_reg,3,FALSE)-C104*10,VLOOKUP(J104,male_reg,3,FALSE)-C104*10)),2)</f>
        <v/>
      </c>
      <c r="T104" s="468">
        <f t="shared" ca="1" si="35"/>
        <v>0</v>
      </c>
      <c r="U104" s="468">
        <f t="shared" ca="1" si="36"/>
        <v>0</v>
      </c>
      <c r="V104" s="467" t="str">
        <f t="shared" ca="1" si="55"/>
        <v>X</v>
      </c>
      <c r="W104" s="467" t="str">
        <f t="shared" ca="1" si="56"/>
        <v>X</v>
      </c>
      <c r="Z104" s="467">
        <f t="shared" ca="1" si="37"/>
        <v>0</v>
      </c>
      <c r="AA104" s="467">
        <f t="shared" ca="1" si="38"/>
        <v>0</v>
      </c>
    </row>
    <row r="105" spans="1:27" x14ac:dyDescent="0.35">
      <c r="A105" s="118">
        <f ca="1">IFERROR(VLOOKUP(A101,standards,3,FALSE)+0.01,"-")</f>
        <v>2.2349999999999999</v>
      </c>
      <c r="B105" s="477">
        <v>3</v>
      </c>
      <c r="C105" s="477">
        <f ca="1">IFERROR(IF(B105&gt;MatchDay!$U$2+MatchDay!$D$6-1,"",VLOOKUP(A101,Timetables!$A:$DK,MatchDay!$U$4+B105-MatchDay!$D$6,FALSE)),"")</f>
        <v>2</v>
      </c>
      <c r="D105" s="467" t="str">
        <f ca="1">IFERROR(HLOOKUP(C105,Declarations!$D$2:$S$102,A103,FALSE),"")</f>
        <v>PLATTS Will</v>
      </c>
      <c r="E105" s="467" t="str">
        <f t="shared" ca="1" si="57"/>
        <v>Sheff+D</v>
      </c>
      <c r="F105" s="466"/>
      <c r="G105" s="476"/>
      <c r="H105" s="477">
        <v>3</v>
      </c>
      <c r="I105" s="477">
        <f t="shared" ca="1" si="58"/>
        <v>22</v>
      </c>
      <c r="J105" s="467" t="str">
        <f ca="1">IFERROR(HLOOKUP(I105,Declarations!$D$2:$S$102,$A103,FALSE),"")</f>
        <v>REED Elliot</v>
      </c>
      <c r="K105" s="467" t="str">
        <f t="shared" ca="1" si="54"/>
        <v>Sheff+D</v>
      </c>
      <c r="N105" s="478"/>
      <c r="P105" s="468">
        <f ca="1">IFERROR(IF(OR(D105=0,D105="-",D105="",D105=" ",D105=" ",D105="Athlete"),"",IF($A109&gt;0,VLOOKUP(D105,female_reg,3,FALSE)-C105*10,VLOOKUP(D105,male_reg,3,FALSE)-C105*10)),2)</f>
        <v>1</v>
      </c>
      <c r="Q105" s="468">
        <f ca="1">IFERROR(IF(OR(J105=0,J105="-",J105=" ",J105="",J105=" ",J105="Athlete"),"",IF($A109&gt;0,VLOOKUP(J105,female_reg,3,FALSE)-C105*10,VLOOKUP(J105,male_reg,3,FALSE)-C105*10)),2)</f>
        <v>1</v>
      </c>
      <c r="T105" s="468">
        <f t="shared" ca="1" si="35"/>
        <v>1</v>
      </c>
      <c r="U105" s="468">
        <f t="shared" ca="1" si="36"/>
        <v>1</v>
      </c>
      <c r="V105" s="467" t="str">
        <f t="shared" ca="1" si="55"/>
        <v>PLATTS WillSheff+D</v>
      </c>
      <c r="W105" s="467" t="str">
        <f t="shared" ca="1" si="56"/>
        <v>REED ElliotSheff+D</v>
      </c>
      <c r="Z105" s="467">
        <f t="shared" ca="1" si="37"/>
        <v>1</v>
      </c>
      <c r="AA105" s="467">
        <f t="shared" ca="1" si="38"/>
        <v>1</v>
      </c>
    </row>
    <row r="106" spans="1:27" x14ac:dyDescent="0.35">
      <c r="A106" s="118">
        <f ca="1">IFERROR(VLOOKUP(A101,standards,4,FALSE)+0.01,"-")</f>
        <v>2.2549999999999999</v>
      </c>
      <c r="B106" s="477">
        <v>4</v>
      </c>
      <c r="C106" s="477">
        <f ca="1">IFERROR(IF(B106&gt;MatchDay!$U$2+MatchDay!$D$6-1,"",VLOOKUP(A101,Timetables!$A:$DK,MatchDay!$U$4+B106-MatchDay!$D$6,FALSE)),"")</f>
        <v>4</v>
      </c>
      <c r="D106" s="467" t="str">
        <f ca="1">IFERROR(HLOOKUP(C106,Declarations!$D$2:$S$102,A103,FALSE),"")</f>
        <v>FRANCIS Stan</v>
      </c>
      <c r="E106" s="467" t="str">
        <f t="shared" ca="1" si="57"/>
        <v>M'bro</v>
      </c>
      <c r="F106" s="466"/>
      <c r="G106" s="476"/>
      <c r="H106" s="477">
        <v>4</v>
      </c>
      <c r="I106" s="477">
        <f t="shared" ca="1" si="58"/>
        <v>44</v>
      </c>
      <c r="J106" s="467" t="str">
        <f ca="1">IFERROR(HLOOKUP(I106,Declarations!$D$2:$S$102,$A103,FALSE),"")</f>
        <v>CRAGGS George</v>
      </c>
      <c r="K106" s="467" t="str">
        <f t="shared" ca="1" si="54"/>
        <v>M'bro</v>
      </c>
      <c r="N106" s="478"/>
      <c r="P106" s="468">
        <f ca="1">IFERROR(IF(OR(D106=0,D106="-",D106="",D106=" ",D106=" ",D106="Athlete"),"",IF($A109&gt;0,VLOOKUP(D106,female_reg,3,FALSE)-C106*10,VLOOKUP(D106,male_reg,3,FALSE)-C106*10)),2)</f>
        <v>1</v>
      </c>
      <c r="Q106" s="468">
        <f ca="1">IFERROR(IF(OR(J106=0,J106="-",J106=" ",J106="",J106=" ",J106="Athlete"),"",IF($A109&gt;0,VLOOKUP(J106,female_reg,3,FALSE)-C106*10,VLOOKUP(J106,male_reg,3,FALSE)-C106*10)),2)</f>
        <v>1</v>
      </c>
      <c r="T106" s="468">
        <f t="shared" ca="1" si="35"/>
        <v>2</v>
      </c>
      <c r="U106" s="468">
        <f t="shared" ca="1" si="36"/>
        <v>2</v>
      </c>
      <c r="V106" s="467" t="str">
        <f t="shared" ca="1" si="55"/>
        <v>FRANCIS StanM'bro</v>
      </c>
      <c r="W106" s="467" t="str">
        <f t="shared" ca="1" si="56"/>
        <v>CRAGGS GeorgeM'bro</v>
      </c>
      <c r="Z106" s="467">
        <f t="shared" ca="1" si="37"/>
        <v>2</v>
      </c>
      <c r="AA106" s="467">
        <f t="shared" ca="1" si="38"/>
        <v>2</v>
      </c>
    </row>
    <row r="107" spans="1:27" x14ac:dyDescent="0.35">
      <c r="A107" s="118">
        <f ca="1">IFERROR(VLOOKUP(A101,standards,5,FALSE)+0.01,"-")</f>
        <v>2.2849999999999997</v>
      </c>
      <c r="B107" s="477">
        <v>5</v>
      </c>
      <c r="C107" s="477">
        <f ca="1">IFERROR(IF(B107&gt;MatchDay!$U$2+MatchDay!$D$6-1,"",VLOOKUP(A101,Timetables!$A:$DK,MatchDay!$U$4+B107-MatchDay!$D$6,FALSE)),"")</f>
        <v>1</v>
      </c>
      <c r="D107" s="467" t="str">
        <f ca="1">IFERROR(HLOOKUP(C107,Declarations!$D$2:$S$102,A103,FALSE),"")</f>
        <v>LOWE Seth</v>
      </c>
      <c r="E107" s="467" t="str">
        <f t="shared" ca="1" si="57"/>
        <v>C'field</v>
      </c>
      <c r="F107" s="466"/>
      <c r="G107" s="476"/>
      <c r="H107" s="477">
        <v>5</v>
      </c>
      <c r="I107" s="477">
        <f t="shared" ca="1" si="58"/>
        <v>11</v>
      </c>
      <c r="J107" s="467" t="str">
        <f ca="1">IFERROR(HLOOKUP(I107,Declarations!$D$2:$S$102,$A103,FALSE),"")</f>
        <v>STOWELL Callum</v>
      </c>
      <c r="K107" s="467" t="str">
        <f t="shared" ca="1" si="54"/>
        <v>C'field</v>
      </c>
      <c r="N107" s="478"/>
      <c r="P107" s="468">
        <f ca="1">IFERROR(IF(OR(D107=0,D107="-",D107="",D107=" ",D107=" ",D107="Athlete"),"",IF($A109&gt;0,VLOOKUP(D107,female_reg,3,FALSE)-C107*10,VLOOKUP(D107,male_reg,3,FALSE)-C107*10)),2)</f>
        <v>1</v>
      </c>
      <c r="Q107" s="468">
        <f ca="1">IFERROR(IF(OR(J107=0,J107="-",J107=" ",J107="",J107=" ",J107="Athlete"),"",IF($A109&gt;0,VLOOKUP(J107,female_reg,3,FALSE)-C107*10,VLOOKUP(J107,male_reg,3,FALSE)-C107*10)),2)</f>
        <v>1</v>
      </c>
      <c r="T107" s="468">
        <f t="shared" ca="1" si="35"/>
        <v>3</v>
      </c>
      <c r="U107" s="468">
        <f t="shared" ca="1" si="36"/>
        <v>3</v>
      </c>
      <c r="V107" s="467" t="str">
        <f t="shared" ca="1" si="55"/>
        <v>LOWE SethC'field</v>
      </c>
      <c r="W107" s="467" t="str">
        <f t="shared" ca="1" si="56"/>
        <v>STOWELL CallumC'field</v>
      </c>
      <c r="Z107" s="467">
        <f t="shared" ca="1" si="37"/>
        <v>4</v>
      </c>
      <c r="AA107" s="467">
        <f t="shared" ca="1" si="38"/>
        <v>4</v>
      </c>
    </row>
    <row r="108" spans="1:27" x14ac:dyDescent="0.35">
      <c r="A108" s="118">
        <f ca="1">IFERROR(VLOOKUP(A101,standards,6,FALSE)+0.01,"-")</f>
        <v>2.3499999999999996</v>
      </c>
      <c r="B108" s="477">
        <v>6</v>
      </c>
      <c r="C108" s="477" t="str">
        <f>IFERROR(IF(B108&gt;MatchDay!$U$2+MatchDay!$D$6-1,"",VLOOKUP(A101,Timetables!$A:$DK,MatchDay!$U$4+B108-MatchDay!$D$6,FALSE)),"")</f>
        <v/>
      </c>
      <c r="D108" s="467" t="str">
        <f>IFERROR(HLOOKUP(C108,Declarations!$D$2:$S$102,A103,FALSE),"")</f>
        <v/>
      </c>
      <c r="E108" s="467" t="str">
        <f t="shared" si="57"/>
        <v/>
      </c>
      <c r="F108" s="466"/>
      <c r="G108" s="476"/>
      <c r="H108" s="477">
        <v>6</v>
      </c>
      <c r="I108" s="477" t="str">
        <f t="shared" si="58"/>
        <v/>
      </c>
      <c r="J108" s="467" t="str">
        <f>IFERROR(HLOOKUP(I108,Declarations!$D$2:$S$102,$A103,FALSE),"")</f>
        <v/>
      </c>
      <c r="K108" s="467" t="str">
        <f t="shared" si="54"/>
        <v/>
      </c>
      <c r="N108" s="478"/>
      <c r="P108" s="468" t="str">
        <f>IFERROR(IF(OR(D108=0,D108="-",D108="",D108=" ",D108=" ",D108="Athlete"),"",IF($A109&gt;0,VLOOKUP(D108,female_reg,3,FALSE)-C108*10,VLOOKUP(D108,male_reg,3,FALSE)-C108*10)),2)</f>
        <v/>
      </c>
      <c r="Q108" s="468" t="str">
        <f>IFERROR(IF(OR(J108=0,J108="-",J108=" ",J108="",J108=" ",J108="Athlete"),"",IF($A109&gt;0,VLOOKUP(J108,female_reg,3,FALSE)-C108*10,VLOOKUP(J108,male_reg,3,FALSE)-C108*10)),2)</f>
        <v/>
      </c>
      <c r="T108" s="468">
        <f t="shared" si="35"/>
        <v>0</v>
      </c>
      <c r="U108" s="468">
        <f t="shared" si="36"/>
        <v>0</v>
      </c>
      <c r="V108" s="467" t="str">
        <f t="shared" si="55"/>
        <v>X</v>
      </c>
      <c r="W108" s="467" t="str">
        <f t="shared" si="56"/>
        <v>X</v>
      </c>
      <c r="Z108" s="467">
        <f t="shared" si="37"/>
        <v>0</v>
      </c>
      <c r="AA108" s="467">
        <f t="shared" si="38"/>
        <v>0</v>
      </c>
    </row>
    <row r="109" spans="1:27" x14ac:dyDescent="0.35">
      <c r="A109" s="479">
        <f ca="1">IFERROR(SEARCH("Girls",B101),0)</f>
        <v>0</v>
      </c>
      <c r="B109" s="477">
        <v>7</v>
      </c>
      <c r="C109" s="477" t="str">
        <f>IFERROR(IF(B109&gt;MatchDay!$U$2+MatchDay!$D$6-1,"",VLOOKUP(A101,Timetables!$A:$DK,MatchDay!$U$4+B109-MatchDay!$D$6,FALSE)),"")</f>
        <v/>
      </c>
      <c r="D109" s="467" t="str">
        <f>IFERROR(HLOOKUP(C109,Declarations!$D$2:$S$102,A103,FALSE),"")</f>
        <v/>
      </c>
      <c r="E109" s="467" t="str">
        <f t="shared" si="57"/>
        <v/>
      </c>
      <c r="F109" s="466"/>
      <c r="G109" s="476"/>
      <c r="H109" s="477">
        <v>7</v>
      </c>
      <c r="I109" s="477" t="str">
        <f t="shared" si="58"/>
        <v/>
      </c>
      <c r="J109" s="467" t="str">
        <f>IFERROR(HLOOKUP(I109,Declarations!$D$2:$S$102,$A103,FALSE),"")</f>
        <v/>
      </c>
      <c r="K109" s="467" t="str">
        <f t="shared" si="54"/>
        <v/>
      </c>
      <c r="N109" s="478"/>
      <c r="P109" s="468" t="str">
        <f>IFERROR(IF(OR(D109=0,D109="-",D109="",D109=" ",D109=" ",D109="Athlete"),"",IF($A109&gt;0,VLOOKUP(D109,female_reg,3,FALSE)-C109*10,VLOOKUP(D109,male_reg,3,FALSE)-C109*10)),2)</f>
        <v/>
      </c>
      <c r="Q109" s="468" t="str">
        <f>IFERROR(IF(OR(J109=0,J109="-",J109=" ",J109="",J109=" ",J109="Athlete"),"",IF($A109&gt;0,VLOOKUP(J109,female_reg,3,FALSE)-C109*10,VLOOKUP(J109,male_reg,3,FALSE)-C109*10)),2)</f>
        <v/>
      </c>
      <c r="T109" s="468">
        <f t="shared" si="35"/>
        <v>0</v>
      </c>
      <c r="U109" s="468">
        <f t="shared" si="36"/>
        <v>0</v>
      </c>
      <c r="V109" s="467" t="str">
        <f t="shared" si="55"/>
        <v>X</v>
      </c>
      <c r="W109" s="467" t="str">
        <f t="shared" si="56"/>
        <v>X</v>
      </c>
      <c r="Z109" s="467">
        <f t="shared" si="37"/>
        <v>0</v>
      </c>
      <c r="AA109" s="467">
        <f t="shared" si="38"/>
        <v>0</v>
      </c>
    </row>
    <row r="110" spans="1:27" x14ac:dyDescent="0.35">
      <c r="A110" s="116">
        <f ca="1">IFERROR(VLOOKUP(A101,records,5,FALSE),"")</f>
        <v>1.4988425925925924E-3</v>
      </c>
      <c r="B110" s="477">
        <v>8</v>
      </c>
      <c r="C110" s="477" t="str">
        <f>IFERROR(IF(B110&gt;MatchDay!$U$2+MatchDay!$D$6-1,"",VLOOKUP(A101,Timetables!$A:$DK,MatchDay!$U$4+B110-MatchDay!$D$6,FALSE)),"")</f>
        <v/>
      </c>
      <c r="D110" s="467" t="str">
        <f>IFERROR(HLOOKUP(C110,Declarations!$D$2:$S$102,A103,FALSE),"")</f>
        <v/>
      </c>
      <c r="E110" s="467" t="str">
        <f t="shared" si="57"/>
        <v/>
      </c>
      <c r="F110" s="466"/>
      <c r="G110" s="476"/>
      <c r="H110" s="477">
        <v>8</v>
      </c>
      <c r="I110" s="477" t="str">
        <f t="shared" si="58"/>
        <v/>
      </c>
      <c r="J110" s="467" t="str">
        <f>IFERROR(HLOOKUP(I110,Declarations!$D$2:$S$102,$A103,FALSE),"")</f>
        <v/>
      </c>
      <c r="K110" s="467" t="str">
        <f t="shared" si="54"/>
        <v/>
      </c>
      <c r="N110" s="478"/>
      <c r="P110" s="468" t="str">
        <f>IFERROR(IF(OR(D110=0,D110="-",D110="",D110=" ",D110=" ",D110="Athlete"),"",IF($A109&gt;0,VLOOKUP(D110,female_reg,3,FALSE)-C110*10,VLOOKUP(D110,male_reg,3,FALSE)-C110*10)),2)</f>
        <v/>
      </c>
      <c r="Q110" s="468" t="str">
        <f>IFERROR(IF(OR(J110=0,J110="-",J110=" ",J110="",J110=" ",J110="Athlete"),"",IF($A109&gt;0,VLOOKUP(J110,female_reg,3,FALSE)-C110*10,VLOOKUP(J110,male_reg,3,FALSE)-C110*10)),2)</f>
        <v/>
      </c>
      <c r="T110" s="468">
        <f t="shared" si="35"/>
        <v>0</v>
      </c>
      <c r="U110" s="468">
        <f t="shared" si="36"/>
        <v>0</v>
      </c>
      <c r="V110" s="467" t="str">
        <f t="shared" si="55"/>
        <v>X</v>
      </c>
      <c r="W110" s="467" t="str">
        <f t="shared" si="56"/>
        <v>X</v>
      </c>
      <c r="Z110" s="467">
        <f t="shared" si="37"/>
        <v>0</v>
      </c>
      <c r="AA110" s="467">
        <f t="shared" si="38"/>
        <v>0</v>
      </c>
    </row>
    <row r="111" spans="1:27" x14ac:dyDescent="0.35">
      <c r="P111" s="468" t="str">
        <f>IFERROR(IF(OR(D111=0,D111="-",D111="",D111=" ",D111=" ",D111="Athlete"),"",IF($A109&gt;0,VLOOKUP(D111,female_reg,3,FALSE)-C111*10,VLOOKUP(D111,male_reg,3,FALSE)-C111*10)),"X")</f>
        <v/>
      </c>
      <c r="Q111" s="468" t="str">
        <f>IFERROR(IF(OR(J111=0,J111="-",J111=" ",J111="",J111=" ",J111="Athlete"),"",IF($A109&gt;0,VLOOKUP(J111,female_reg,3,FALSE)-C111*10,VLOOKUP(J111,male_reg,3,FALSE)-C111*10)),"X")</f>
        <v/>
      </c>
      <c r="T111" s="468">
        <f t="shared" ca="1" si="35"/>
        <v>0</v>
      </c>
      <c r="U111" s="468">
        <f t="shared" ca="1" si="36"/>
        <v>0</v>
      </c>
      <c r="Z111" s="467">
        <f t="shared" ca="1" si="37"/>
        <v>0</v>
      </c>
      <c r="AA111" s="467">
        <f t="shared" ca="1" si="38"/>
        <v>0</v>
      </c>
    </row>
    <row r="112" spans="1:27" x14ac:dyDescent="0.35">
      <c r="A112" s="111" t="str">
        <f ca="1">IFERROR(INDIRECT(CONCATENATE("'Timetables'!A"&amp;A115)),"")</f>
        <v>LTD83</v>
      </c>
      <c r="B112" s="469" t="str">
        <f ca="1">IFERROR(VLOOKUP(A112,timetables,2,FALSE)&amp;" "&amp;VLOOKUP(A112,timetables,3,FALSE)&amp;" A","")</f>
        <v>800m U15 Girls A</v>
      </c>
      <c r="C112" s="469"/>
      <c r="E112" s="470" t="str">
        <f ca="1">"Starts "&amp;TEXT(VLOOKUP(A112,timetables,7-MatchDay!$U$7,FALSE),"hh:mm")</f>
        <v>Starts 13:30</v>
      </c>
      <c r="F112" s="471"/>
      <c r="H112" s="472" t="str">
        <f ca="1">IFERROR("Rec: "&amp;TEXT(VLOOKUP(A112,records,5,FALSE),"mm:ss.00")&amp;", "&amp;VLOOKUP(A112,records,3,FALSE)&amp;", "&amp;VLOOKUP(A112,records,4,FALSE)&amp;", "&amp;VLOOKUP(A112,records,8,FALSE),"")</f>
        <v>Rec: 02:07.80, Tilly Simpson, Hallamshire Harriers, 2015</v>
      </c>
      <c r="K112" s="473"/>
      <c r="L112" s="474"/>
      <c r="M112" s="467"/>
      <c r="P112" s="468" t="str">
        <f>IFERROR(IF(OR(D112=0,D112="-",D112="",D112=" ",D112=" ",D112="Athlete"),"",IF($A120&gt;0,VLOOKUP(D112,female_reg,3,FALSE)-C112*10,VLOOKUP(D112,male_reg,3,FALSE)-C112*10)),"X")</f>
        <v/>
      </c>
      <c r="Q112" s="468" t="str">
        <f>IFERROR(IF(OR(J112=0,J112="-",J112=" ",J112="",J112=" ",J112="Athlete"),"",IF($A120&gt;0,VLOOKUP(J112,female_reg,3,FALSE)-C112*10,VLOOKUP(J112,male_reg,3,FALSE)-C112*10)),"X")</f>
        <v/>
      </c>
      <c r="T112" s="468">
        <f t="shared" ca="1" si="35"/>
        <v>0</v>
      </c>
      <c r="U112" s="468">
        <f t="shared" ca="1" si="36"/>
        <v>0</v>
      </c>
      <c r="Z112" s="467">
        <f t="shared" ca="1" si="37"/>
        <v>0</v>
      </c>
      <c r="AA112" s="467">
        <f t="shared" ca="1" si="38"/>
        <v>0</v>
      </c>
    </row>
    <row r="113" spans="1:27" x14ac:dyDescent="0.35">
      <c r="A113" s="85" t="str">
        <f ca="1">MID(A112,2,3)</f>
        <v>TD8</v>
      </c>
      <c r="B113" s="9" t="s">
        <v>786</v>
      </c>
      <c r="C113" s="9" t="s">
        <v>183</v>
      </c>
      <c r="D113" s="46" t="s">
        <v>227</v>
      </c>
      <c r="E113" s="46" t="s">
        <v>228</v>
      </c>
      <c r="F113" s="475"/>
      <c r="G113" s="46"/>
      <c r="H113" s="9" t="s">
        <v>786</v>
      </c>
      <c r="I113" s="9" t="s">
        <v>183</v>
      </c>
      <c r="J113" s="46" t="s">
        <v>227</v>
      </c>
      <c r="K113" s="46" t="s">
        <v>228</v>
      </c>
      <c r="L113" s="475"/>
      <c r="M113" s="475"/>
      <c r="N113" s="52"/>
      <c r="P113" s="468" t="str">
        <f>IFERROR(IF(OR(D113=0,D113="-",D113="",D113=" ",D113=" ",D113="Athlete"),"",IF($A120&gt;0,VLOOKUP(D113,female_reg,3,FALSE)-C113*10,VLOOKUP(D113,male_reg,3,FALSE)-C113*10)),"X")</f>
        <v/>
      </c>
      <c r="Q113" s="468" t="str">
        <f>IFERROR(IF(OR(J113=0,J113="-",J113=" ",J113="",J113=" ",J113="Athlete"),"",IF($A120&gt;0,VLOOKUP(J113,female_reg,3,FALSE)-C113*10,VLOOKUP(J113,male_reg,3,FALSE)-C113*10)),"X")</f>
        <v/>
      </c>
      <c r="T113" s="468">
        <f t="shared" ca="1" si="35"/>
        <v>0</v>
      </c>
      <c r="U113" s="468">
        <f t="shared" ca="1" si="36"/>
        <v>0</v>
      </c>
      <c r="Z113" s="467">
        <f t="shared" ca="1" si="37"/>
        <v>0</v>
      </c>
      <c r="AA113" s="467">
        <f t="shared" ca="1" si="38"/>
        <v>0</v>
      </c>
    </row>
    <row r="114" spans="1:27" x14ac:dyDescent="0.35">
      <c r="A114" s="181">
        <f ca="1">IFERROR(VLOOKUP(A112,Timetables!$A:$E,5,FALSE)-1,"")</f>
        <v>7</v>
      </c>
      <c r="B114" s="477">
        <v>1</v>
      </c>
      <c r="C114" s="477">
        <f ca="1">IFERROR(IF(B114&gt;MatchDay!$U$2,"",IF(MatchDay!$D$6=2,"",VLOOKUP(A112,Timetables!$A:$DK,MatchDay!$U$4+B114-MatchDay!$D$6,FALSE))),"")</f>
        <v>3</v>
      </c>
      <c r="D114" s="467" t="str">
        <f ca="1">IFERROR(HLOOKUP(C114,Declarations!$D$2:$S$102,A114,FALSE),"")</f>
        <v>WALSH Tierney</v>
      </c>
      <c r="E114" s="467" t="str">
        <f ca="1">IFERROR(VLOOKUP(C114,teamlookup,5,FALSE),"")</f>
        <v>York</v>
      </c>
      <c r="F114" s="466"/>
      <c r="G114" s="476"/>
      <c r="H114" s="477">
        <v>1</v>
      </c>
      <c r="I114" s="477">
        <f ca="1">IFERROR(C114*11,"")</f>
        <v>33</v>
      </c>
      <c r="J114" s="467" t="str">
        <f ca="1">IFERROR(HLOOKUP(I114,Declarations!$D$2:$S$102,$A114,FALSE),"")</f>
        <v>HOGG Frances</v>
      </c>
      <c r="K114" s="467" t="str">
        <f t="shared" ref="K114:K121" ca="1" si="59">IFERROR(VLOOKUP(I114,teamlookup,5,FALSE),"")</f>
        <v>York</v>
      </c>
      <c r="N114" s="478"/>
      <c r="P114" s="468">
        <f ca="1">IFERROR(IF(OR(D114=0,D114="-",D114="",D114=" ",D114=" ",D114="Athlete"),"",IF($A120&gt;0,VLOOKUP(D114,female_reg,3,FALSE)-C114*10,VLOOKUP(D114,male_reg,3,FALSE)-C114*10)),2)</f>
        <v>1</v>
      </c>
      <c r="Q114" s="468">
        <f ca="1">IFERROR(IF(OR(J114=0,J114="-",J114=" ",J114="",J114=" ",J114="Athlete"),"",IF($A120&gt;0,VLOOKUP(J114,female_reg,3,FALSE)-C114*10,VLOOKUP(J114,male_reg,3,FALSE)-C114*10)),2)</f>
        <v>1</v>
      </c>
      <c r="T114" s="468">
        <f t="shared" ca="1" si="35"/>
        <v>2</v>
      </c>
      <c r="U114" s="468">
        <f t="shared" ca="1" si="36"/>
        <v>3</v>
      </c>
      <c r="V114" s="467" t="str">
        <f t="shared" ref="V114:V121" ca="1" si="60">IFERROR(IF(OR(D114=0,D114="-",D114="",D114=" ",D114=" "),"X",D114&amp;E114),"X")</f>
        <v>WALSH TierneyYork</v>
      </c>
      <c r="W114" s="467" t="str">
        <f t="shared" ref="W114:W121" ca="1" si="61">IFERROR(IF(OR(J114=0,J114="-",J114="",J114=" ",J114=" "),"X",J114&amp;K114),"X")</f>
        <v>HOGG FrancesYork</v>
      </c>
      <c r="Z114" s="467">
        <f t="shared" ca="1" si="37"/>
        <v>3</v>
      </c>
      <c r="AA114" s="467">
        <f t="shared" ca="1" si="38"/>
        <v>4</v>
      </c>
    </row>
    <row r="115" spans="1:27" x14ac:dyDescent="0.35">
      <c r="A115" s="468">
        <f>A104+1</f>
        <v>13</v>
      </c>
      <c r="B115" s="477">
        <v>2</v>
      </c>
      <c r="C115" s="477">
        <f ca="1">IFERROR(IF(B115&gt;MatchDay!$U$2+MatchDay!$D$6-1,"",VLOOKUP(A112,Timetables!$A:$DK,MatchDay!$U$4+B115-MatchDay!$D$6,FALSE)),"")</f>
        <v>5</v>
      </c>
      <c r="D115" s="467" t="str">
        <f ca="1">IFERROR(HLOOKUP(C115,Declarations!$D$2:$S$102,A114,FALSE),"")</f>
        <v>WRIGHT Lucy</v>
      </c>
      <c r="E115" s="467" t="str">
        <f t="shared" ref="E115:E121" ca="1" si="62">IFERROR(VLOOKUP(C115,teamlookup,5,FALSE),"")</f>
        <v>Scun</v>
      </c>
      <c r="F115" s="466"/>
      <c r="G115" s="476"/>
      <c r="H115" s="477">
        <v>2</v>
      </c>
      <c r="I115" s="477">
        <f t="shared" ref="I115:I121" ca="1" si="63">IFERROR(C115*11,"")</f>
        <v>55</v>
      </c>
      <c r="J115" s="467" t="str">
        <f ca="1">IFERROR(HLOOKUP(I115,Declarations!$D$2:$S$102,$A114,FALSE),"")</f>
        <v>BETTS Demi</v>
      </c>
      <c r="K115" s="467" t="str">
        <f t="shared" ca="1" si="59"/>
        <v>Scun</v>
      </c>
      <c r="N115" s="478"/>
      <c r="P115" s="468">
        <f ca="1">IFERROR(IF(OR(D115=0,D115="-",D115="",D115=" ",D115=" ",D115="Athlete"),"",IF($A120&gt;0,VLOOKUP(D115,female_reg,3,FALSE)-C115*10,VLOOKUP(D115,male_reg,3,FALSE)-C115*10)),2)</f>
        <v>1</v>
      </c>
      <c r="Q115" s="468">
        <f ca="1">IFERROR(IF(OR(J115=0,J115="-",J115=" ",J115="",J115=" ",J115="Athlete"),"",IF($A120&gt;0,VLOOKUP(J115,female_reg,3,FALSE)-C115*10,VLOOKUP(J115,male_reg,3,FALSE)-C115*10)),2)</f>
        <v>1</v>
      </c>
      <c r="T115" s="468">
        <f t="shared" ca="1" si="35"/>
        <v>2</v>
      </c>
      <c r="U115" s="468">
        <f t="shared" ca="1" si="36"/>
        <v>3</v>
      </c>
      <c r="V115" s="467" t="str">
        <f t="shared" ca="1" si="60"/>
        <v>WRIGHT LucyScun</v>
      </c>
      <c r="W115" s="467" t="str">
        <f t="shared" ca="1" si="61"/>
        <v>BETTS DemiScun</v>
      </c>
      <c r="Z115" s="467">
        <f t="shared" ca="1" si="37"/>
        <v>3</v>
      </c>
      <c r="AA115" s="467">
        <f t="shared" ca="1" si="38"/>
        <v>4</v>
      </c>
    </row>
    <row r="116" spans="1:27" x14ac:dyDescent="0.35">
      <c r="A116" s="118">
        <f ca="1">IFERROR(VLOOKUP(A112,standards,3,FALSE)+0.01,"-")</f>
        <v>2.2089999999999996</v>
      </c>
      <c r="B116" s="477">
        <v>3</v>
      </c>
      <c r="C116" s="477">
        <f ca="1">IFERROR(IF(B116&gt;MatchDay!$U$2+MatchDay!$D$6-1,"",VLOOKUP(A112,Timetables!$A:$DK,MatchDay!$U$4+B116-MatchDay!$D$6,FALSE)),"")</f>
        <v>2</v>
      </c>
      <c r="D116" s="467" t="str">
        <f ca="1">IFERROR(HLOOKUP(C116,Declarations!$D$2:$S$102,A114,FALSE),"")</f>
        <v>EVANS Rebecca</v>
      </c>
      <c r="E116" s="467" t="str">
        <f t="shared" ca="1" si="62"/>
        <v>Sheff+D</v>
      </c>
      <c r="F116" s="466"/>
      <c r="G116" s="476"/>
      <c r="H116" s="477">
        <v>3</v>
      </c>
      <c r="I116" s="477">
        <f t="shared" ca="1" si="63"/>
        <v>22</v>
      </c>
      <c r="J116" s="467" t="str">
        <f ca="1">IFERROR(HLOOKUP(I116,Declarations!$D$2:$S$102,$A114,FALSE),"")</f>
        <v>FLINDERS Agnes</v>
      </c>
      <c r="K116" s="467" t="str">
        <f t="shared" ca="1" si="59"/>
        <v>Sheff+D</v>
      </c>
      <c r="N116" s="478"/>
      <c r="P116" s="468">
        <f ca="1">IFERROR(IF(OR(D116=0,D116="-",D116="",D116=" ",D116=" ",D116="Athlete"),"",IF($A120&gt;0,VLOOKUP(D116,female_reg,3,FALSE)-C116*10,VLOOKUP(D116,male_reg,3,FALSE)-C116*10)),2)</f>
        <v>1</v>
      </c>
      <c r="Q116" s="468">
        <f ca="1">IFERROR(IF(OR(J116=0,J116="-",J116=" ",J116="",J116=" ",J116="Athlete"),"",IF($A120&gt;0,VLOOKUP(J116,female_reg,3,FALSE)-C116*10,VLOOKUP(J116,male_reg,3,FALSE)-C116*10)),2)</f>
        <v>1</v>
      </c>
      <c r="T116" s="468">
        <f t="shared" ca="1" si="35"/>
        <v>1</v>
      </c>
      <c r="U116" s="468">
        <f t="shared" ca="1" si="36"/>
        <v>1</v>
      </c>
      <c r="V116" s="467" t="str">
        <f t="shared" ca="1" si="60"/>
        <v>EVANS RebeccaSheff+D</v>
      </c>
      <c r="W116" s="467" t="str">
        <f t="shared" ca="1" si="61"/>
        <v>FLINDERS AgnesSheff+D</v>
      </c>
      <c r="Z116" s="467">
        <f t="shared" ca="1" si="37"/>
        <v>1</v>
      </c>
      <c r="AA116" s="467">
        <f t="shared" ca="1" si="38"/>
        <v>1</v>
      </c>
    </row>
    <row r="117" spans="1:27" x14ac:dyDescent="0.35">
      <c r="A117" s="118">
        <f ca="1">IFERROR(VLOOKUP(A112,standards,4,FALSE)+0.01,"-")</f>
        <v>2.2349999999999999</v>
      </c>
      <c r="B117" s="477">
        <v>4</v>
      </c>
      <c r="C117" s="477">
        <f ca="1">IFERROR(IF(B117&gt;MatchDay!$U$2+MatchDay!$D$6-1,"",VLOOKUP(A112,Timetables!$A:$DK,MatchDay!$U$4+B117-MatchDay!$D$6,FALSE)),"")</f>
        <v>4</v>
      </c>
      <c r="D117" s="467" t="str">
        <f ca="1">IFERROR(HLOOKUP(C117,Declarations!$D$2:$S$102,A114,FALSE),"")</f>
        <v>CREASEY Lois</v>
      </c>
      <c r="E117" s="467" t="str">
        <f t="shared" ca="1" si="62"/>
        <v>M'bro</v>
      </c>
      <c r="F117" s="466"/>
      <c r="G117" s="476"/>
      <c r="H117" s="477">
        <v>4</v>
      </c>
      <c r="I117" s="477">
        <f t="shared" ca="1" si="63"/>
        <v>44</v>
      </c>
      <c r="J117" s="467" t="str">
        <f ca="1">IFERROR(HLOOKUP(I117,Declarations!$D$2:$S$102,$A114,FALSE),"")</f>
        <v>LILLIE Imogen</v>
      </c>
      <c r="K117" s="467" t="str">
        <f t="shared" ca="1" si="59"/>
        <v>M'bro</v>
      </c>
      <c r="N117" s="478"/>
      <c r="P117" s="468">
        <f ca="1">IFERROR(IF(OR(D117=0,D117="-",D117="",D117=" ",D117=" ",D117="Athlete"),"",IF($A120&gt;0,VLOOKUP(D117,female_reg,3,FALSE)-C117*10,VLOOKUP(D117,male_reg,3,FALSE)-C117*10)),2)</f>
        <v>1</v>
      </c>
      <c r="Q117" s="468">
        <f ca="1">IFERROR(IF(OR(J117=0,J117="-",J117=" ",J117="",J117=" ",J117="Athlete"),"",IF($A120&gt;0,VLOOKUP(J117,female_reg,3,FALSE)-C117*10,VLOOKUP(J117,male_reg,3,FALSE)-C117*10)),2)</f>
        <v>1</v>
      </c>
      <c r="T117" s="468">
        <f t="shared" ca="1" si="35"/>
        <v>1</v>
      </c>
      <c r="U117" s="468">
        <f t="shared" ca="1" si="36"/>
        <v>1</v>
      </c>
      <c r="V117" s="467" t="str">
        <f t="shared" ca="1" si="60"/>
        <v>CREASEY LoisM'bro</v>
      </c>
      <c r="W117" s="467" t="str">
        <f t="shared" ca="1" si="61"/>
        <v>LILLIE ImogenM'bro</v>
      </c>
      <c r="Z117" s="467">
        <f t="shared" ca="1" si="37"/>
        <v>1</v>
      </c>
      <c r="AA117" s="467">
        <f t="shared" ca="1" si="38"/>
        <v>2</v>
      </c>
    </row>
    <row r="118" spans="1:27" x14ac:dyDescent="0.35">
      <c r="A118" s="118">
        <f ca="1">IFERROR(VLOOKUP(A112,standards,5,FALSE)+0.01,"-")</f>
        <v>2.2649999999999997</v>
      </c>
      <c r="B118" s="477">
        <v>5</v>
      </c>
      <c r="C118" s="477">
        <f ca="1">IFERROR(IF(B118&gt;MatchDay!$U$2+MatchDay!$D$6-1,"",VLOOKUP(A112,Timetables!$A:$DK,MatchDay!$U$4+B118-MatchDay!$D$6,FALSE)),"")</f>
        <v>1</v>
      </c>
      <c r="D118" s="467" t="str">
        <f ca="1">IFERROR(HLOOKUP(C118,Declarations!$D$2:$S$102,A114,FALSE),"")</f>
        <v>PROCTOR Alicia</v>
      </c>
      <c r="E118" s="467" t="str">
        <f t="shared" ca="1" si="62"/>
        <v>C'field</v>
      </c>
      <c r="F118" s="466"/>
      <c r="G118" s="476"/>
      <c r="H118" s="477">
        <v>5</v>
      </c>
      <c r="I118" s="477">
        <f t="shared" ca="1" si="63"/>
        <v>11</v>
      </c>
      <c r="J118" s="467" t="str">
        <f ca="1">IFERROR(HLOOKUP(I118,Declarations!$D$2:$S$102,$A114,FALSE),"")</f>
        <v>DUNKLEY Autum</v>
      </c>
      <c r="K118" s="467" t="str">
        <f t="shared" ca="1" si="59"/>
        <v>C'field</v>
      </c>
      <c r="N118" s="478"/>
      <c r="P118" s="468">
        <f ca="1">IFERROR(IF(OR(D118=0,D118="-",D118="",D118=" ",D118=" ",D118="Athlete"),"",IF($A120&gt;0,VLOOKUP(D118,female_reg,3,FALSE)-C118*10,VLOOKUP(D118,male_reg,3,FALSE)-C118*10)),2)</f>
        <v>1</v>
      </c>
      <c r="Q118" s="468">
        <f ca="1">IFERROR(IF(OR(J118=0,J118="-",J118=" ",J118="",J118=" ",J118="Athlete"),"",IF($A120&gt;0,VLOOKUP(J118,female_reg,3,FALSE)-C118*10,VLOOKUP(J118,male_reg,3,FALSE)-C118*10)),2)</f>
        <v>1</v>
      </c>
      <c r="T118" s="468">
        <f t="shared" ca="1" si="35"/>
        <v>3</v>
      </c>
      <c r="U118" s="468">
        <f t="shared" ca="1" si="36"/>
        <v>1</v>
      </c>
      <c r="V118" s="467" t="str">
        <f t="shared" ca="1" si="60"/>
        <v>PROCTOR AliciaC'field</v>
      </c>
      <c r="W118" s="467" t="str">
        <f t="shared" ca="1" si="61"/>
        <v>DUNKLEY AutumC'field</v>
      </c>
      <c r="Z118" s="467">
        <f t="shared" ca="1" si="37"/>
        <v>4</v>
      </c>
      <c r="AA118" s="467">
        <f t="shared" ca="1" si="38"/>
        <v>3</v>
      </c>
    </row>
    <row r="119" spans="1:27" x14ac:dyDescent="0.35">
      <c r="A119" s="118">
        <f ca="1">IFERROR(VLOOKUP(A112,standards,6,FALSE)+0.01,"-")</f>
        <v>2.3159999999999998</v>
      </c>
      <c r="B119" s="477">
        <v>6</v>
      </c>
      <c r="C119" s="477" t="str">
        <f>IFERROR(IF(B119&gt;MatchDay!$U$2+MatchDay!$D$6-1,"",VLOOKUP(A112,Timetables!$A:$DK,MatchDay!$U$4+B119-MatchDay!$D$6,FALSE)),"")</f>
        <v/>
      </c>
      <c r="D119" s="467" t="str">
        <f>IFERROR(HLOOKUP(C119,Declarations!$D$2:$S$102,A114,FALSE),"")</f>
        <v/>
      </c>
      <c r="E119" s="467" t="str">
        <f t="shared" si="62"/>
        <v/>
      </c>
      <c r="F119" s="466"/>
      <c r="G119" s="476"/>
      <c r="H119" s="477">
        <v>6</v>
      </c>
      <c r="I119" s="477" t="str">
        <f t="shared" si="63"/>
        <v/>
      </c>
      <c r="J119" s="467" t="str">
        <f>IFERROR(HLOOKUP(I119,Declarations!$D$2:$S$102,$A114,FALSE),"")</f>
        <v/>
      </c>
      <c r="K119" s="467" t="str">
        <f t="shared" si="59"/>
        <v/>
      </c>
      <c r="N119" s="478"/>
      <c r="P119" s="468" t="str">
        <f>IFERROR(IF(OR(D119=0,D119="-",D119="",D119=" ",D119=" ",D119="Athlete"),"",IF($A120&gt;0,VLOOKUP(D119,female_reg,3,FALSE)-C119*10,VLOOKUP(D119,male_reg,3,FALSE)-C119*10)),2)</f>
        <v/>
      </c>
      <c r="Q119" s="468" t="str">
        <f>IFERROR(IF(OR(J119=0,J119="-",J119=" ",J119="",J119=" ",J119="Athlete"),"",IF($A120&gt;0,VLOOKUP(J119,female_reg,3,FALSE)-C119*10,VLOOKUP(J119,male_reg,3,FALSE)-C119*10)),2)</f>
        <v/>
      </c>
      <c r="T119" s="468">
        <f t="shared" si="35"/>
        <v>0</v>
      </c>
      <c r="U119" s="468">
        <f t="shared" si="36"/>
        <v>0</v>
      </c>
      <c r="V119" s="467" t="str">
        <f t="shared" si="60"/>
        <v>X</v>
      </c>
      <c r="W119" s="467" t="str">
        <f t="shared" si="61"/>
        <v>X</v>
      </c>
      <c r="Z119" s="467">
        <f t="shared" si="37"/>
        <v>0</v>
      </c>
      <c r="AA119" s="467">
        <f t="shared" si="38"/>
        <v>0</v>
      </c>
    </row>
    <row r="120" spans="1:27" x14ac:dyDescent="0.35">
      <c r="A120" s="479">
        <f ca="1">IFERROR(SEARCH("Girls",B112),0)</f>
        <v>10</v>
      </c>
      <c r="B120" s="477">
        <v>7</v>
      </c>
      <c r="C120" s="477" t="str">
        <f>IFERROR(IF(B120&gt;MatchDay!$U$2+MatchDay!$D$6-1,"",VLOOKUP(A112,Timetables!$A:$DK,MatchDay!$U$4+B120-MatchDay!$D$6,FALSE)),"")</f>
        <v/>
      </c>
      <c r="D120" s="467" t="str">
        <f>IFERROR(HLOOKUP(C120,Declarations!$D$2:$S$102,A114,FALSE),"")</f>
        <v/>
      </c>
      <c r="E120" s="467" t="str">
        <f t="shared" si="62"/>
        <v/>
      </c>
      <c r="F120" s="466"/>
      <c r="G120" s="476"/>
      <c r="H120" s="477">
        <v>7</v>
      </c>
      <c r="I120" s="477" t="str">
        <f t="shared" si="63"/>
        <v/>
      </c>
      <c r="J120" s="467" t="str">
        <f>IFERROR(HLOOKUP(I120,Declarations!$D$2:$S$102,$A114,FALSE),"")</f>
        <v/>
      </c>
      <c r="K120" s="467" t="str">
        <f t="shared" si="59"/>
        <v/>
      </c>
      <c r="N120" s="478"/>
      <c r="P120" s="468" t="str">
        <f>IFERROR(IF(OR(D120=0,D120="-",D120="",D120=" ",D120=" ",D120="Athlete"),"",IF($A120&gt;0,VLOOKUP(D120,female_reg,3,FALSE)-C120*10,VLOOKUP(D120,male_reg,3,FALSE)-C120*10)),2)</f>
        <v/>
      </c>
      <c r="Q120" s="468" t="str">
        <f>IFERROR(IF(OR(J120=0,J120="-",J120=" ",J120="",J120=" ",J120="Athlete"),"",IF($A120&gt;0,VLOOKUP(J120,female_reg,3,FALSE)-C120*10,VLOOKUP(J120,male_reg,3,FALSE)-C120*10)),2)</f>
        <v/>
      </c>
      <c r="T120" s="468">
        <f t="shared" si="35"/>
        <v>0</v>
      </c>
      <c r="U120" s="468">
        <f t="shared" si="36"/>
        <v>0</v>
      </c>
      <c r="V120" s="467" t="str">
        <f t="shared" si="60"/>
        <v>X</v>
      </c>
      <c r="W120" s="467" t="str">
        <f t="shared" si="61"/>
        <v>X</v>
      </c>
      <c r="Z120" s="467">
        <f t="shared" si="37"/>
        <v>0</v>
      </c>
      <c r="AA120" s="467">
        <f t="shared" si="38"/>
        <v>0</v>
      </c>
    </row>
    <row r="121" spans="1:27" x14ac:dyDescent="0.35">
      <c r="A121" s="116">
        <f ca="1">IFERROR(VLOOKUP(A112,records,5,FALSE),"")</f>
        <v>1.4791666666666666E-3</v>
      </c>
      <c r="B121" s="477">
        <v>8</v>
      </c>
      <c r="C121" s="477" t="str">
        <f>IFERROR(IF(B121&gt;MatchDay!$U$2+MatchDay!$D$6-1,"",VLOOKUP(A112,Timetables!$A:$DK,MatchDay!$U$4+B121-MatchDay!$D$6,FALSE)),"")</f>
        <v/>
      </c>
      <c r="D121" s="467" t="str">
        <f>IFERROR(HLOOKUP(C121,Declarations!$D$2:$S$102,A114,FALSE),"")</f>
        <v/>
      </c>
      <c r="E121" s="467" t="str">
        <f t="shared" si="62"/>
        <v/>
      </c>
      <c r="F121" s="466"/>
      <c r="G121" s="476"/>
      <c r="H121" s="477">
        <v>8</v>
      </c>
      <c r="I121" s="477" t="str">
        <f t="shared" si="63"/>
        <v/>
      </c>
      <c r="J121" s="467" t="str">
        <f>IFERROR(HLOOKUP(I121,Declarations!$D$2:$S$102,$A114,FALSE),"")</f>
        <v/>
      </c>
      <c r="K121" s="467" t="str">
        <f t="shared" si="59"/>
        <v/>
      </c>
      <c r="N121" s="478"/>
      <c r="P121" s="468" t="str">
        <f>IFERROR(IF(OR(D121=0,D121="-",D121="",D121=" ",D121=" ",D121="Athlete"),"",IF($A120&gt;0,VLOOKUP(D121,female_reg,3,FALSE)-C121*10,VLOOKUP(D121,male_reg,3,FALSE)-C121*10)),2)</f>
        <v/>
      </c>
      <c r="Q121" s="468" t="str">
        <f>IFERROR(IF(OR(J121=0,J121="-",J121=" ",J121="",J121=" ",J121="Athlete"),"",IF($A120&gt;0,VLOOKUP(J121,female_reg,3,FALSE)-C121*10,VLOOKUP(J121,male_reg,3,FALSE)-C121*10)),2)</f>
        <v/>
      </c>
      <c r="T121" s="468">
        <f t="shared" si="35"/>
        <v>0</v>
      </c>
      <c r="U121" s="468">
        <f t="shared" si="36"/>
        <v>0</v>
      </c>
      <c r="V121" s="467" t="str">
        <f t="shared" si="60"/>
        <v>X</v>
      </c>
      <c r="W121" s="467" t="str">
        <f t="shared" si="61"/>
        <v>X</v>
      </c>
      <c r="Z121" s="467">
        <f t="shared" si="37"/>
        <v>0</v>
      </c>
      <c r="AA121" s="467">
        <f t="shared" si="38"/>
        <v>0</v>
      </c>
    </row>
    <row r="122" spans="1:27" x14ac:dyDescent="0.35">
      <c r="P122" s="468" t="str">
        <f>IFERROR(IF(OR(D122=0,D122="-",D122="",D122=" ",D122=" ",D122="Athlete"),"",IF($A120&gt;0,VLOOKUP(D122,female_reg,3,FALSE)-C122*10,VLOOKUP(D122,male_reg,3,FALSE)-C122*10)),"X")</f>
        <v/>
      </c>
      <c r="Q122" s="468" t="str">
        <f>IFERROR(IF(OR(J122=0,J122="-",J122=" ",J122="",J122=" ",J122="Athlete"),"",IF($A120&gt;0,VLOOKUP(J122,female_reg,3,FALSE)-C122*10,VLOOKUP(J122,male_reg,3,FALSE)-C122*10)),"X")</f>
        <v/>
      </c>
      <c r="T122" s="468">
        <f t="shared" ca="1" si="35"/>
        <v>0</v>
      </c>
      <c r="U122" s="468">
        <f t="shared" ca="1" si="36"/>
        <v>0</v>
      </c>
      <c r="Z122" s="467">
        <f t="shared" ca="1" si="37"/>
        <v>0</v>
      </c>
      <c r="AA122" s="467">
        <f t="shared" ca="1" si="38"/>
        <v>0</v>
      </c>
    </row>
    <row r="123" spans="1:27" x14ac:dyDescent="0.35">
      <c r="A123" s="111" t="str">
        <f ca="1">IFERROR(INDIRECT(CONCATENATE("'Timetables'!A"&amp;A126)),"")</f>
        <v>LTD84</v>
      </c>
      <c r="B123" s="469" t="str">
        <f ca="1">IFERROR(VLOOKUP(A123,timetables,2,FALSE)&amp;" "&amp;VLOOKUP(A123,timetables,3,FALSE)&amp;" A","")</f>
        <v>800m U15 Boys A</v>
      </c>
      <c r="C123" s="469"/>
      <c r="E123" s="470" t="str">
        <f ca="1">"Starts "&amp;TEXT(VLOOKUP(A123,timetables,7-MatchDay!$U$7,FALSE),"hh:mm")</f>
        <v>Starts 13:45</v>
      </c>
      <c r="F123" s="471"/>
      <c r="H123" s="472" t="str">
        <f ca="1">IFERROR("Rec: "&amp;TEXT(VLOOKUP(A123,records,5,FALSE),"mm:ss.00")&amp;", "&amp;VLOOKUP(A123,records,3,FALSE)&amp;", "&amp;VLOOKUP(A123,records,4,FALSE)&amp;", "&amp;VLOOKUP(A123,records,8,FALSE),"")</f>
        <v>Rec: 01:59.70, Keelan Wilson, Rotherham Harriers, 2014</v>
      </c>
      <c r="K123" s="473"/>
      <c r="L123" s="474"/>
      <c r="M123" s="467"/>
      <c r="P123" s="468" t="str">
        <f>IFERROR(IF(OR(D123=0,D123="-",D123="",D123=" ",D123=" ",D123="Athlete"),"",IF($A131&gt;0,VLOOKUP(D123,female_reg,3,FALSE)-C123*10,VLOOKUP(D123,male_reg,3,FALSE)-C123*10)),"X")</f>
        <v/>
      </c>
      <c r="Q123" s="468" t="str">
        <f>IFERROR(IF(OR(J123=0,J123="-",J123=" ",J123="",J123=" ",J123="Athlete"),"",IF($A131&gt;0,VLOOKUP(J123,female_reg,3,FALSE)-C123*10,VLOOKUP(J123,male_reg,3,FALSE)-C123*10)),"X")</f>
        <v/>
      </c>
      <c r="T123" s="468">
        <f t="shared" ca="1" si="35"/>
        <v>0</v>
      </c>
      <c r="U123" s="468">
        <f t="shared" ca="1" si="36"/>
        <v>0</v>
      </c>
      <c r="Z123" s="467">
        <f t="shared" ca="1" si="37"/>
        <v>0</v>
      </c>
      <c r="AA123" s="467">
        <f t="shared" ca="1" si="38"/>
        <v>0</v>
      </c>
    </row>
    <row r="124" spans="1:27" x14ac:dyDescent="0.35">
      <c r="A124" s="85" t="str">
        <f ca="1">MID(A123,2,3)</f>
        <v>TD8</v>
      </c>
      <c r="B124" s="9" t="s">
        <v>786</v>
      </c>
      <c r="C124" s="9" t="s">
        <v>183</v>
      </c>
      <c r="D124" s="46" t="s">
        <v>227</v>
      </c>
      <c r="E124" s="46" t="s">
        <v>228</v>
      </c>
      <c r="F124" s="475"/>
      <c r="G124" s="46"/>
      <c r="H124" s="9" t="s">
        <v>786</v>
      </c>
      <c r="I124" s="9" t="s">
        <v>183</v>
      </c>
      <c r="J124" s="46" t="s">
        <v>227</v>
      </c>
      <c r="K124" s="46" t="s">
        <v>228</v>
      </c>
      <c r="L124" s="475"/>
      <c r="M124" s="475"/>
      <c r="N124" s="52"/>
      <c r="P124" s="468" t="str">
        <f>IFERROR(IF(OR(D124=0,D124="-",D124="",D124=" ",D124=" ",D124="Athlete"),"",IF($A131&gt;0,VLOOKUP(D124,female_reg,3,FALSE)-C124*10,VLOOKUP(D124,male_reg,3,FALSE)-C124*10)),"X")</f>
        <v/>
      </c>
      <c r="Q124" s="468" t="str">
        <f>IFERROR(IF(OR(J124=0,J124="-",J124=" ",J124="",J124=" ",J124="Athlete"),"",IF($A131&gt;0,VLOOKUP(J124,female_reg,3,FALSE)-C124*10,VLOOKUP(J124,male_reg,3,FALSE)-C124*10)),"X")</f>
        <v/>
      </c>
      <c r="T124" s="468">
        <f t="shared" ca="1" si="35"/>
        <v>0</v>
      </c>
      <c r="U124" s="468">
        <f t="shared" ca="1" si="36"/>
        <v>0</v>
      </c>
      <c r="Z124" s="467">
        <f t="shared" ca="1" si="37"/>
        <v>0</v>
      </c>
      <c r="AA124" s="467">
        <f t="shared" ca="1" si="38"/>
        <v>0</v>
      </c>
    </row>
    <row r="125" spans="1:27" x14ac:dyDescent="0.35">
      <c r="A125" s="181">
        <f ca="1">IFERROR(VLOOKUP(A123,Timetables!$A:$E,5,FALSE)-1,"")</f>
        <v>57</v>
      </c>
      <c r="B125" s="477">
        <v>1</v>
      </c>
      <c r="C125" s="477">
        <f ca="1">IFERROR(IF(B125&gt;MatchDay!$U$2,"",IF(MatchDay!$D$6=2,"",VLOOKUP(A123,Timetables!$A:$DK,MatchDay!$U$4+B125-MatchDay!$D$6,FALSE))),"")</f>
        <v>3</v>
      </c>
      <c r="D125" s="467" t="str">
        <f ca="1">IFERROR(HLOOKUP(C125,Declarations!$D$2:$S$102,A125,FALSE),"")</f>
        <v>HOW Louis</v>
      </c>
      <c r="E125" s="467" t="str">
        <f ca="1">IFERROR(VLOOKUP(C125,teamlookup,5,FALSE),"")</f>
        <v>York</v>
      </c>
      <c r="F125" s="466"/>
      <c r="G125" s="476"/>
      <c r="H125" s="477">
        <v>1</v>
      </c>
      <c r="I125" s="477">
        <f ca="1">IFERROR(C125*11,"")</f>
        <v>33</v>
      </c>
      <c r="J125" s="467" t="str">
        <f ca="1">IFERROR(HLOOKUP(I125,Declarations!$D$2:$S$102,$A125,FALSE),"")</f>
        <v>HANLEY Edward</v>
      </c>
      <c r="K125" s="467" t="str">
        <f t="shared" ref="K125:K132" ca="1" si="64">IFERROR(VLOOKUP(I125,teamlookup,5,FALSE),"")</f>
        <v>York</v>
      </c>
      <c r="N125" s="478"/>
      <c r="P125" s="468">
        <f ca="1">IFERROR(IF(OR(D125=0,D125="-",D125="",D125=" ",D125=" ",D125="Athlete"),"",IF($A131&gt;0,VLOOKUP(D125,female_reg,3,FALSE)-C125*10,VLOOKUP(D125,male_reg,3,FALSE)-C125*10)),2)</f>
        <v>1</v>
      </c>
      <c r="Q125" s="468">
        <f ca="1">IFERROR(IF(OR(J125=0,J125="-",J125=" ",J125="",J125=" ",J125="Athlete"),"",IF($A131&gt;0,VLOOKUP(J125,female_reg,3,FALSE)-C125*10,VLOOKUP(J125,male_reg,3,FALSE)-C125*10)),2)</f>
        <v>1</v>
      </c>
      <c r="T125" s="468">
        <f t="shared" ca="1" si="35"/>
        <v>2</v>
      </c>
      <c r="U125" s="468">
        <f t="shared" ca="1" si="36"/>
        <v>1</v>
      </c>
      <c r="V125" s="467" t="str">
        <f t="shared" ref="V125:V132" ca="1" si="65">IFERROR(IF(OR(D125=0,D125="-",D125="",D125=" ",D125=" "),"X",D125&amp;E125),"X")</f>
        <v>HOW LouisYork</v>
      </c>
      <c r="W125" s="467" t="str">
        <f t="shared" ref="W125:W132" ca="1" si="66">IFERROR(IF(OR(J125=0,J125="-",J125="",J125=" ",J125=" "),"X",J125&amp;K125),"X")</f>
        <v>HANLEY EdwardYork</v>
      </c>
      <c r="Z125" s="467">
        <f t="shared" ca="1" si="37"/>
        <v>3</v>
      </c>
      <c r="AA125" s="467">
        <f t="shared" ca="1" si="38"/>
        <v>2</v>
      </c>
    </row>
    <row r="126" spans="1:27" x14ac:dyDescent="0.35">
      <c r="A126" s="468">
        <f>A115+1</f>
        <v>14</v>
      </c>
      <c r="B126" s="477">
        <v>2</v>
      </c>
      <c r="C126" s="477">
        <f ca="1">IFERROR(IF(B126&gt;MatchDay!$U$2+MatchDay!$D$6-1,"",VLOOKUP(A123,Timetables!$A:$DK,MatchDay!$U$4+B126-MatchDay!$D$6,FALSE)),"")</f>
        <v>5</v>
      </c>
      <c r="D126" s="467" t="str">
        <f ca="1">IFERROR(HLOOKUP(C126,Declarations!$D$2:$S$102,A125,FALSE),"")</f>
        <v>OADES Matthew</v>
      </c>
      <c r="E126" s="467" t="str">
        <f t="shared" ref="E126:E132" ca="1" si="67">IFERROR(VLOOKUP(C126,teamlookup,5,FALSE),"")</f>
        <v>Scun</v>
      </c>
      <c r="F126" s="466"/>
      <c r="G126" s="476"/>
      <c r="H126" s="477">
        <v>2</v>
      </c>
      <c r="I126" s="477">
        <f t="shared" ref="I126:I132" ca="1" si="68">IFERROR(C126*11,"")</f>
        <v>55</v>
      </c>
      <c r="J126" s="467">
        <f ca="1">IFERROR(HLOOKUP(I126,Declarations!$D$2:$S$102,$A125,FALSE),"")</f>
        <v>0</v>
      </c>
      <c r="K126" s="467" t="str">
        <f t="shared" ca="1" si="64"/>
        <v>Scun</v>
      </c>
      <c r="N126" s="478"/>
      <c r="P126" s="468">
        <f ca="1">IFERROR(IF(OR(D126=0,D126="-",D126="",D126=" ",D126=" ",D126="Athlete"),"",IF($A131&gt;0,VLOOKUP(D126,female_reg,3,FALSE)-C126*10,VLOOKUP(D126,male_reg,3,FALSE)-C126*10)),2)</f>
        <v>1</v>
      </c>
      <c r="Q126" s="468" t="str">
        <f ca="1">IFERROR(IF(OR(J126=0,J126="-",J126=" ",J126="",J126=" ",J126="Athlete"),"",IF($A131&gt;0,VLOOKUP(J126,female_reg,3,FALSE)-C126*10,VLOOKUP(J126,male_reg,3,FALSE)-C126*10)),2)</f>
        <v/>
      </c>
      <c r="T126" s="468">
        <f t="shared" ca="1" si="35"/>
        <v>4</v>
      </c>
      <c r="U126" s="468">
        <f t="shared" ca="1" si="36"/>
        <v>0</v>
      </c>
      <c r="V126" s="467" t="str">
        <f t="shared" ca="1" si="65"/>
        <v>OADES MatthewScun</v>
      </c>
      <c r="W126" s="467" t="str">
        <f t="shared" ca="1" si="66"/>
        <v>X</v>
      </c>
      <c r="Z126" s="467">
        <f t="shared" ca="1" si="37"/>
        <v>4</v>
      </c>
      <c r="AA126" s="467">
        <f t="shared" ca="1" si="38"/>
        <v>0</v>
      </c>
    </row>
    <row r="127" spans="1:27" x14ac:dyDescent="0.35">
      <c r="A127" s="118">
        <f ca="1">IFERROR(VLOOKUP(A123,standards,3,FALSE)+0.01,"-")</f>
        <v>2.0749999999999997</v>
      </c>
      <c r="B127" s="477">
        <v>3</v>
      </c>
      <c r="C127" s="477">
        <f ca="1">IFERROR(IF(B127&gt;MatchDay!$U$2+MatchDay!$D$6-1,"",VLOOKUP(A123,Timetables!$A:$DK,MatchDay!$U$4+B127-MatchDay!$D$6,FALSE)),"")</f>
        <v>2</v>
      </c>
      <c r="D127" s="467" t="str">
        <f ca="1">IFERROR(HLOOKUP(C127,Declarations!$D$2:$S$102,A125,FALSE),"")</f>
        <v>SCOTT Leni</v>
      </c>
      <c r="E127" s="467" t="str">
        <f t="shared" ca="1" si="67"/>
        <v>Sheff+D</v>
      </c>
      <c r="F127" s="466"/>
      <c r="G127" s="476"/>
      <c r="H127" s="477">
        <v>3</v>
      </c>
      <c r="I127" s="477">
        <f t="shared" ca="1" si="68"/>
        <v>22</v>
      </c>
      <c r="J127" s="467" t="str">
        <f ca="1">IFERROR(HLOOKUP(I127,Declarations!$D$2:$S$102,$A125,FALSE),"")</f>
        <v>KRIEL PARR George</v>
      </c>
      <c r="K127" s="467" t="str">
        <f t="shared" ca="1" si="64"/>
        <v>Sheff+D</v>
      </c>
      <c r="N127" s="478"/>
      <c r="P127" s="468">
        <f ca="1">IFERROR(IF(OR(D127=0,D127="-",D127="",D127=" ",D127=" ",D127="Athlete"),"",IF($A131&gt;0,VLOOKUP(D127,female_reg,3,FALSE)-C127*10,VLOOKUP(D127,male_reg,3,FALSE)-C127*10)),2)</f>
        <v>1</v>
      </c>
      <c r="Q127" s="468">
        <f ca="1">IFERROR(IF(OR(J127=0,J127="-",J127=" ",J127="",J127=" ",J127="Athlete"),"",IF($A131&gt;0,VLOOKUP(J127,female_reg,3,FALSE)-C127*10,VLOOKUP(J127,male_reg,3,FALSE)-C127*10)),2)</f>
        <v>1</v>
      </c>
      <c r="T127" s="468">
        <f t="shared" ca="1" si="35"/>
        <v>3</v>
      </c>
      <c r="U127" s="468">
        <f t="shared" ca="1" si="36"/>
        <v>3</v>
      </c>
      <c r="V127" s="467" t="str">
        <f t="shared" ca="1" si="65"/>
        <v>SCOTT LeniSheff+D</v>
      </c>
      <c r="W127" s="467" t="str">
        <f t="shared" ca="1" si="66"/>
        <v>KRIEL PARR GeorgeSheff+D</v>
      </c>
      <c r="Z127" s="467">
        <f t="shared" ca="1" si="37"/>
        <v>3</v>
      </c>
      <c r="AA127" s="467">
        <f t="shared" ca="1" si="38"/>
        <v>4</v>
      </c>
    </row>
    <row r="128" spans="1:27" x14ac:dyDescent="0.35">
      <c r="A128" s="118">
        <f ca="1">IFERROR(VLOOKUP(A123,standards,4,FALSE)+0.01,"-")</f>
        <v>2.11</v>
      </c>
      <c r="B128" s="477">
        <v>4</v>
      </c>
      <c r="C128" s="477">
        <f ca="1">IFERROR(IF(B128&gt;MatchDay!$U$2+MatchDay!$D$6-1,"",VLOOKUP(A123,Timetables!$A:$DK,MatchDay!$U$4+B128-MatchDay!$D$6,FALSE)),"")</f>
        <v>4</v>
      </c>
      <c r="D128" s="467" t="str">
        <f ca="1">IFERROR(HLOOKUP(C128,Declarations!$D$2:$S$102,A125,FALSE),"")</f>
        <v>BELL Callum</v>
      </c>
      <c r="E128" s="467" t="str">
        <f t="shared" ca="1" si="67"/>
        <v>M'bro</v>
      </c>
      <c r="F128" s="466"/>
      <c r="G128" s="476"/>
      <c r="H128" s="477">
        <v>4</v>
      </c>
      <c r="I128" s="477">
        <f t="shared" ca="1" si="68"/>
        <v>44</v>
      </c>
      <c r="J128" s="467" t="str">
        <f ca="1">IFERROR(HLOOKUP(I128,Declarations!$D$2:$S$102,$A125,FALSE),"")</f>
        <v>-</v>
      </c>
      <c r="K128" s="467" t="str">
        <f t="shared" ca="1" si="64"/>
        <v>M'bro</v>
      </c>
      <c r="N128" s="478"/>
      <c r="P128" s="468">
        <f ca="1">IFERROR(IF(OR(D128=0,D128="-",D128="",D128=" ",D128=" ",D128="Athlete"),"",IF($A131&gt;0,VLOOKUP(D128,female_reg,3,FALSE)-C128*10,VLOOKUP(D128,male_reg,3,FALSE)-C128*10)),2)</f>
        <v>1</v>
      </c>
      <c r="Q128" s="468" t="str">
        <f ca="1">IFERROR(IF(OR(J128=0,J128="-",J128=" ",J128="",J128=" ",J128="Athlete"),"",IF($A131&gt;0,VLOOKUP(J128,female_reg,3,FALSE)-C128*10,VLOOKUP(J128,male_reg,3,FALSE)-C128*10)),2)</f>
        <v/>
      </c>
      <c r="T128" s="468">
        <f t="shared" ca="1" si="35"/>
        <v>2</v>
      </c>
      <c r="U128" s="468">
        <f t="shared" ca="1" si="36"/>
        <v>0</v>
      </c>
      <c r="V128" s="467" t="str">
        <f t="shared" ca="1" si="65"/>
        <v>BELL CallumM'bro</v>
      </c>
      <c r="W128" s="467" t="str">
        <f t="shared" ca="1" si="66"/>
        <v>X</v>
      </c>
      <c r="Z128" s="467">
        <f t="shared" ca="1" si="37"/>
        <v>2</v>
      </c>
      <c r="AA128" s="467">
        <f t="shared" ca="1" si="38"/>
        <v>0</v>
      </c>
    </row>
    <row r="129" spans="1:27" x14ac:dyDescent="0.35">
      <c r="A129" s="118">
        <f ca="1">IFERROR(VLOOKUP(A123,standards,5,FALSE)+0.01,"-")</f>
        <v>2.1399999999999997</v>
      </c>
      <c r="B129" s="477">
        <v>5</v>
      </c>
      <c r="C129" s="477">
        <f ca="1">IFERROR(IF(B129&gt;MatchDay!$U$2+MatchDay!$D$6-1,"",VLOOKUP(A123,Timetables!$A:$DK,MatchDay!$U$4+B129-MatchDay!$D$6,FALSE)),"")</f>
        <v>1</v>
      </c>
      <c r="D129" s="467" t="str">
        <f ca="1">IFERROR(HLOOKUP(C129,Declarations!$D$2:$S$102,A125,FALSE),"")</f>
        <v>MARRIOTT Thomas</v>
      </c>
      <c r="E129" s="467" t="str">
        <f t="shared" ca="1" si="67"/>
        <v>C'field</v>
      </c>
      <c r="F129" s="466"/>
      <c r="G129" s="476"/>
      <c r="H129" s="477">
        <v>5</v>
      </c>
      <c r="I129" s="477">
        <f t="shared" ca="1" si="68"/>
        <v>11</v>
      </c>
      <c r="J129" s="467" t="str">
        <f ca="1">IFERROR(HLOOKUP(I129,Declarations!$D$2:$S$102,$A125,FALSE),"")</f>
        <v>MAZUREK Gracjan</v>
      </c>
      <c r="K129" s="467" t="str">
        <f t="shared" ca="1" si="64"/>
        <v>C'field</v>
      </c>
      <c r="N129" s="478"/>
      <c r="P129" s="468">
        <f ca="1">IFERROR(IF(OR(D129=0,D129="-",D129="",D129=" ",D129=" ",D129="Athlete"),"",IF($A131&gt;0,VLOOKUP(D129,female_reg,3,FALSE)-C129*10,VLOOKUP(D129,male_reg,3,FALSE)-C129*10)),2)</f>
        <v>1</v>
      </c>
      <c r="Q129" s="468">
        <f ca="1">IFERROR(IF(OR(J129=0,J129="-",J129=" ",J129="",J129=" ",J129="Athlete"),"",IF($A131&gt;0,VLOOKUP(J129,female_reg,3,FALSE)-C129*10,VLOOKUP(J129,male_reg,3,FALSE)-C129*10)),2)</f>
        <v>1</v>
      </c>
      <c r="T129" s="468">
        <f t="shared" ca="1" si="35"/>
        <v>3</v>
      </c>
      <c r="U129" s="468">
        <f t="shared" ca="1" si="36"/>
        <v>3</v>
      </c>
      <c r="V129" s="467" t="str">
        <f t="shared" ca="1" si="65"/>
        <v>MARRIOTT ThomasC'field</v>
      </c>
      <c r="W129" s="467" t="str">
        <f t="shared" ca="1" si="66"/>
        <v>MAZUREK GracjanC'field</v>
      </c>
      <c r="Z129" s="467">
        <f t="shared" ca="1" si="37"/>
        <v>4</v>
      </c>
      <c r="AA129" s="467">
        <f t="shared" ca="1" si="38"/>
        <v>4</v>
      </c>
    </row>
    <row r="130" spans="1:27" x14ac:dyDescent="0.35">
      <c r="A130" s="118">
        <f ca="1">IFERROR(VLOOKUP(A123,standards,6,FALSE)+0.01,"-")</f>
        <v>2.19</v>
      </c>
      <c r="B130" s="477">
        <v>6</v>
      </c>
      <c r="C130" s="477" t="str">
        <f>IFERROR(IF(B130&gt;MatchDay!$U$2+MatchDay!$D$6-1,"",VLOOKUP(A123,Timetables!$A:$DK,MatchDay!$U$4+B130-MatchDay!$D$6,FALSE)),"")</f>
        <v/>
      </c>
      <c r="D130" s="467" t="str">
        <f>IFERROR(HLOOKUP(C130,Declarations!$D$2:$S$102,A125,FALSE),"")</f>
        <v/>
      </c>
      <c r="E130" s="467" t="str">
        <f t="shared" si="67"/>
        <v/>
      </c>
      <c r="F130" s="466"/>
      <c r="G130" s="476"/>
      <c r="H130" s="477">
        <v>6</v>
      </c>
      <c r="I130" s="477" t="str">
        <f t="shared" si="68"/>
        <v/>
      </c>
      <c r="J130" s="467" t="str">
        <f>IFERROR(HLOOKUP(I130,Declarations!$D$2:$S$102,$A125,FALSE),"")</f>
        <v/>
      </c>
      <c r="K130" s="467" t="str">
        <f t="shared" si="64"/>
        <v/>
      </c>
      <c r="N130" s="478"/>
      <c r="P130" s="468" t="str">
        <f>IFERROR(IF(OR(D130=0,D130="-",D130="",D130=" ",D130=" ",D130="Athlete"),"",IF($A131&gt;0,VLOOKUP(D130,female_reg,3,FALSE)-C130*10,VLOOKUP(D130,male_reg,3,FALSE)-C130*10)),2)</f>
        <v/>
      </c>
      <c r="Q130" s="468" t="str">
        <f>IFERROR(IF(OR(J130=0,J130="-",J130=" ",J130="",J130=" ",J130="Athlete"),"",IF($A131&gt;0,VLOOKUP(J130,female_reg,3,FALSE)-C130*10,VLOOKUP(J130,male_reg,3,FALSE)-C130*10)),2)</f>
        <v/>
      </c>
      <c r="T130" s="468">
        <f t="shared" si="35"/>
        <v>0</v>
      </c>
      <c r="U130" s="468">
        <f t="shared" si="36"/>
        <v>0</v>
      </c>
      <c r="V130" s="467" t="str">
        <f t="shared" si="65"/>
        <v>X</v>
      </c>
      <c r="W130" s="467" t="str">
        <f t="shared" si="66"/>
        <v>X</v>
      </c>
      <c r="Z130" s="467">
        <f t="shared" si="37"/>
        <v>0</v>
      </c>
      <c r="AA130" s="467">
        <f t="shared" si="38"/>
        <v>0</v>
      </c>
    </row>
    <row r="131" spans="1:27" x14ac:dyDescent="0.35">
      <c r="A131" s="479">
        <f ca="1">IFERROR(SEARCH("Girls",B123),0)</f>
        <v>0</v>
      </c>
      <c r="B131" s="477">
        <v>7</v>
      </c>
      <c r="C131" s="477" t="str">
        <f>IFERROR(IF(B131&gt;MatchDay!$U$2+MatchDay!$D$6-1,"",VLOOKUP(A123,Timetables!$A:$DK,MatchDay!$U$4+B131-MatchDay!$D$6,FALSE)),"")</f>
        <v/>
      </c>
      <c r="D131" s="467" t="str">
        <f>IFERROR(HLOOKUP(C131,Declarations!$D$2:$S$102,A125,FALSE),"")</f>
        <v/>
      </c>
      <c r="E131" s="467" t="str">
        <f t="shared" si="67"/>
        <v/>
      </c>
      <c r="F131" s="466"/>
      <c r="G131" s="476"/>
      <c r="H131" s="477">
        <v>7</v>
      </c>
      <c r="I131" s="477" t="str">
        <f t="shared" si="68"/>
        <v/>
      </c>
      <c r="J131" s="467" t="str">
        <f>IFERROR(HLOOKUP(I131,Declarations!$D$2:$S$102,$A125,FALSE),"")</f>
        <v/>
      </c>
      <c r="K131" s="467" t="str">
        <f t="shared" si="64"/>
        <v/>
      </c>
      <c r="N131" s="478"/>
      <c r="P131" s="468" t="str">
        <f>IFERROR(IF(OR(D131=0,D131="-",D131="",D131=" ",D131=" ",D131="Athlete"),"",IF($A131&gt;0,VLOOKUP(D131,female_reg,3,FALSE)-C131*10,VLOOKUP(D131,male_reg,3,FALSE)-C131*10)),2)</f>
        <v/>
      </c>
      <c r="Q131" s="468" t="str">
        <f>IFERROR(IF(OR(J131=0,J131="-",J131=" ",J131="",J131=" ",J131="Athlete"),"",IF($A131&gt;0,VLOOKUP(J131,female_reg,3,FALSE)-C131*10,VLOOKUP(J131,male_reg,3,FALSE)-C131*10)),2)</f>
        <v/>
      </c>
      <c r="T131" s="468">
        <f t="shared" si="35"/>
        <v>0</v>
      </c>
      <c r="U131" s="468">
        <f t="shared" si="36"/>
        <v>0</v>
      </c>
      <c r="V131" s="467" t="str">
        <f t="shared" si="65"/>
        <v>X</v>
      </c>
      <c r="W131" s="467" t="str">
        <f t="shared" si="66"/>
        <v>X</v>
      </c>
      <c r="Z131" s="467">
        <f t="shared" si="37"/>
        <v>0</v>
      </c>
      <c r="AA131" s="467">
        <f t="shared" si="38"/>
        <v>0</v>
      </c>
    </row>
    <row r="132" spans="1:27" x14ac:dyDescent="0.35">
      <c r="A132" s="116">
        <f ca="1">IFERROR(VLOOKUP(A123,records,5,FALSE),"")</f>
        <v>1.3854166666666667E-3</v>
      </c>
      <c r="B132" s="477">
        <v>8</v>
      </c>
      <c r="C132" s="477" t="str">
        <f>IFERROR(IF(B132&gt;MatchDay!$U$2+MatchDay!$D$6-1,"",VLOOKUP(A123,Timetables!$A:$DK,MatchDay!$U$4+B132-MatchDay!$D$6,FALSE)),"")</f>
        <v/>
      </c>
      <c r="D132" s="467" t="str">
        <f>IFERROR(HLOOKUP(C132,Declarations!$D$2:$S$102,A125,FALSE),"")</f>
        <v/>
      </c>
      <c r="E132" s="467" t="str">
        <f t="shared" si="67"/>
        <v/>
      </c>
      <c r="F132" s="466"/>
      <c r="G132" s="476"/>
      <c r="H132" s="477">
        <v>8</v>
      </c>
      <c r="I132" s="477" t="str">
        <f t="shared" si="68"/>
        <v/>
      </c>
      <c r="J132" s="467" t="str">
        <f>IFERROR(HLOOKUP(I132,Declarations!$D$2:$S$102,$A125,FALSE),"")</f>
        <v/>
      </c>
      <c r="K132" s="467" t="str">
        <f t="shared" si="64"/>
        <v/>
      </c>
      <c r="N132" s="478"/>
      <c r="P132" s="468" t="str">
        <f>IFERROR(IF(OR(D132=0,D132="-",D132="",D132=" ",D132=" ",D132="Athlete"),"",IF($A131&gt;0,VLOOKUP(D132,female_reg,3,FALSE)-C132*10,VLOOKUP(D132,male_reg,3,FALSE)-C132*10)),2)</f>
        <v/>
      </c>
      <c r="Q132" s="468" t="str">
        <f>IFERROR(IF(OR(J132=0,J132="-",J132=" ",J132="",J132=" ",J132="Athlete"),"",IF($A131&gt;0,VLOOKUP(J132,female_reg,3,FALSE)-C132*10,VLOOKUP(J132,male_reg,3,FALSE)-C132*10)),2)</f>
        <v/>
      </c>
      <c r="T132" s="468">
        <f t="shared" ref="T132:T195" si="69">IFERROR(IF(V132="X",0,COUNTIF($V$4:$W$573,V132)),0)</f>
        <v>0</v>
      </c>
      <c r="U132" s="468">
        <f t="shared" ref="U132:U195" si="70">IFERROR(IF(W132="X",0,COUNTIF($V$4:$W$573,W132)),0)</f>
        <v>0</v>
      </c>
      <c r="V132" s="467" t="str">
        <f t="shared" si="65"/>
        <v>X</v>
      </c>
      <c r="W132" s="467" t="str">
        <f t="shared" si="66"/>
        <v>X</v>
      </c>
      <c r="Z132" s="467">
        <f t="shared" ref="Z132:Z195" si="71">IF(V132="X",0,COUNTIF($V$4:$Y$638,V132))</f>
        <v>0</v>
      </c>
      <c r="AA132" s="467">
        <f t="shared" ref="AA132:AA195" si="72">IF(W132="X",0,COUNTIF($V$4:$Y$638,W132))</f>
        <v>0</v>
      </c>
    </row>
    <row r="133" spans="1:27" x14ac:dyDescent="0.35">
      <c r="P133" s="468" t="str">
        <f>IFERROR(IF(OR(D133=0,D133="-",D133="",D133=" ",D133=" ",D133="Athlete"),"",IF($A131&gt;0,VLOOKUP(D133,female_reg,3,FALSE)-C133*10,VLOOKUP(D133,male_reg,3,FALSE)-C133*10)),"X")</f>
        <v/>
      </c>
      <c r="Q133" s="468" t="str">
        <f>IFERROR(IF(OR(J133=0,J133="-",J133=" ",J133="",J133=" ",J133="Athlete"),"",IF($A131&gt;0,VLOOKUP(J133,female_reg,3,FALSE)-C133*10,VLOOKUP(J133,male_reg,3,FALSE)-C133*10)),"X")</f>
        <v/>
      </c>
      <c r="T133" s="468">
        <f t="shared" ca="1" si="69"/>
        <v>0</v>
      </c>
      <c r="U133" s="468">
        <f t="shared" ca="1" si="70"/>
        <v>0</v>
      </c>
      <c r="Z133" s="467">
        <f t="shared" ca="1" si="71"/>
        <v>0</v>
      </c>
      <c r="AA133" s="467">
        <f t="shared" ca="1" si="72"/>
        <v>0</v>
      </c>
    </row>
    <row r="134" spans="1:27" x14ac:dyDescent="0.35">
      <c r="A134" s="111" t="str">
        <f ca="1">IFERROR(INDIRECT(CONCATENATE("'Timetables'!A"&amp;A137)),"")</f>
        <v>LTD85</v>
      </c>
      <c r="B134" s="469" t="str">
        <f ca="1">IFERROR(VLOOKUP(A134,timetables,2,FALSE)&amp;" "&amp;VLOOKUP(A134,timetables,3,FALSE)&amp;" A","")</f>
        <v>800m NS U13 Girls A</v>
      </c>
      <c r="C134" s="469"/>
      <c r="E134" s="470" t="str">
        <f ca="1">"Starts "&amp;TEXT(VLOOKUP(A134,timetables,7-MatchDay!$U$7,FALSE),"hh:mm")</f>
        <v>Starts 13:10</v>
      </c>
      <c r="F134" s="471"/>
      <c r="H134" s="472" t="str">
        <f ca="1">IFERROR("Rec: "&amp;TEXT(VLOOKUP(A134,records,5,FALSE),"mm:ss.00")&amp;", "&amp;VLOOKUP(A134,records,3,FALSE)&amp;", "&amp;VLOOKUP(A134,records,4,FALSE)&amp;", "&amp;VLOOKUP(A134,records,8,FALSE),"")</f>
        <v>Rec: 02:20.10, Elizabeth Wilkinson, City of Sheffield, 2014</v>
      </c>
      <c r="K134" s="473"/>
      <c r="L134" s="474"/>
      <c r="M134" s="467"/>
      <c r="P134" s="468" t="str">
        <f>IFERROR(IF(OR(D134=0,D134="-",D134="",D134=" ",D134=" ",D134="Athlete"),"",IF($A142&gt;0,VLOOKUP(D134,female_reg,3,FALSE)-C134*10,VLOOKUP(D134,male_reg,3,FALSE)-C134*10)),"X")</f>
        <v/>
      </c>
      <c r="Q134" s="468" t="str">
        <f>IFERROR(IF(OR(J134=0,J134="-",J134=" ",J134="",J134=" ",J134="Athlete"),"",IF($A142&gt;0,VLOOKUP(J134,female_reg,3,FALSE)-C134*10,VLOOKUP(J134,male_reg,3,FALSE)-C134*10)),"X")</f>
        <v/>
      </c>
      <c r="T134" s="468">
        <f t="shared" ca="1" si="69"/>
        <v>0</v>
      </c>
      <c r="U134" s="468">
        <f t="shared" ca="1" si="70"/>
        <v>0</v>
      </c>
      <c r="Z134" s="467">
        <f t="shared" ca="1" si="71"/>
        <v>0</v>
      </c>
      <c r="AA134" s="467">
        <f t="shared" ca="1" si="72"/>
        <v>0</v>
      </c>
    </row>
    <row r="135" spans="1:27" x14ac:dyDescent="0.35">
      <c r="A135" s="85" t="str">
        <f ca="1">MID(A134,2,3)</f>
        <v>TD8</v>
      </c>
      <c r="B135" s="9" t="s">
        <v>786</v>
      </c>
      <c r="C135" s="9" t="s">
        <v>183</v>
      </c>
      <c r="D135" s="46" t="s">
        <v>227</v>
      </c>
      <c r="E135" s="46" t="s">
        <v>228</v>
      </c>
      <c r="F135" s="475"/>
      <c r="G135" s="46"/>
      <c r="H135" s="9" t="s">
        <v>786</v>
      </c>
      <c r="I135" s="9" t="s">
        <v>183</v>
      </c>
      <c r="J135" s="46" t="s">
        <v>227</v>
      </c>
      <c r="K135" s="46" t="s">
        <v>228</v>
      </c>
      <c r="L135" s="475"/>
      <c r="M135" s="475"/>
      <c r="N135" s="52"/>
      <c r="P135" s="483" t="str">
        <f>IFERROR(IF(OR(D135=0,D135="-",D135="",D135=" ",D135=" ",D135="Athlete"),"",IF($A142&gt;0,VLOOKUP(D135,female_reg,3,FALSE)-C135*10,VLOOKUP(D135,male_reg,3,FALSE)-C135*10)),"X")</f>
        <v/>
      </c>
      <c r="Q135" s="483" t="str">
        <f>IFERROR(IF(OR(J135=0,J135="-",J135=" ",J135="",J135=" ",J135="Athlete"),"",IF($A142&gt;0,VLOOKUP(J135,female_reg,3,FALSE)-C135*10,VLOOKUP(J135,male_reg,3,FALSE)-C135*10)),"X")</f>
        <v/>
      </c>
      <c r="R135" s="483"/>
      <c r="T135" s="483">
        <f t="shared" ca="1" si="69"/>
        <v>0</v>
      </c>
      <c r="U135" s="483">
        <f t="shared" ca="1" si="70"/>
        <v>0</v>
      </c>
      <c r="Z135" s="467">
        <f t="shared" ca="1" si="71"/>
        <v>0</v>
      </c>
      <c r="AA135" s="467">
        <f t="shared" ca="1" si="72"/>
        <v>0</v>
      </c>
    </row>
    <row r="136" spans="1:27" x14ac:dyDescent="0.35">
      <c r="A136" s="181">
        <f ca="1">IFERROR(VLOOKUP(A134,Timetables!$A:$E,5,FALSE)-1,"")</f>
        <v>33</v>
      </c>
      <c r="B136" s="477">
        <v>1</v>
      </c>
      <c r="C136" s="477">
        <f ca="1">IFERROR(IF(B136&gt;MatchDay!$U$2,"",IF(MatchDay!$D$6=2,"",VLOOKUP(A134,Timetables!$A:$DK,MatchDay!$U$4+B136-MatchDay!$D$6,FALSE))),"")</f>
        <v>3</v>
      </c>
      <c r="D136" s="467" t="str">
        <f ca="1">IFERROR(HLOOKUP(C136,Declarations!$D$2:$S$102,A136,FALSE),"")</f>
        <v>GREEN-HEMMINGS Grace</v>
      </c>
      <c r="E136" s="467" t="str">
        <f ca="1">IFERROR(VLOOKUP(C136,teamlookup,5,FALSE),"")</f>
        <v>York</v>
      </c>
      <c r="F136" s="466"/>
      <c r="G136" s="476"/>
      <c r="H136" s="477">
        <v>1</v>
      </c>
      <c r="I136" s="477">
        <f ca="1">IFERROR(C136*11,"")</f>
        <v>33</v>
      </c>
      <c r="J136" s="467" t="str">
        <f ca="1">IFERROR(HLOOKUP(I136,Declarations!$D$2:$S$102,$A136,FALSE),"")</f>
        <v>BIRCH Louisa</v>
      </c>
      <c r="K136" s="467" t="str">
        <f t="shared" ref="K136:K143" ca="1" si="73">IFERROR(VLOOKUP(I136,teamlookup,5,FALSE),"")</f>
        <v>York</v>
      </c>
      <c r="N136" s="478"/>
      <c r="P136" s="483">
        <f ca="1">IFERROR(IF(OR(D136=0,D136="-",D136="",D136=" ",D136=" ",D136="Athlete"),"",IF($A142&gt;0,VLOOKUP(D136,female_reg,3,FALSE)-C136*10,VLOOKUP(D136,male_reg,3,FALSE)-C136*10)),2)</f>
        <v>1</v>
      </c>
      <c r="Q136" s="483">
        <f ca="1">IFERROR(IF(OR(J136=0,J136="-",J136=" ",J136="",J136=" ",J136="Athlete"),"",IF($A142&gt;0,VLOOKUP(J136,female_reg,3,FALSE)-C136*10,VLOOKUP(J136,male_reg,3,FALSE)-C136*10)),2)</f>
        <v>1</v>
      </c>
      <c r="R136" s="483"/>
      <c r="T136" s="483">
        <f t="shared" ca="1" si="69"/>
        <v>2</v>
      </c>
      <c r="U136" s="483">
        <f t="shared" ca="1" si="70"/>
        <v>2</v>
      </c>
      <c r="V136" s="467" t="str">
        <f t="shared" ref="V136:V143" ca="1" si="74">IFERROR(IF(OR(D136=0,D136="-",D136="",D136=" ",D136=" "),"X",D136&amp;E136),"X")</f>
        <v>GREEN-HEMMINGS GraceYork</v>
      </c>
      <c r="W136" s="467" t="str">
        <f t="shared" ref="W136:W143" ca="1" si="75">IFERROR(IF(OR(J136=0,J136="-",J136="",J136=" ",J136=" "),"X",J136&amp;K136),"X")</f>
        <v>BIRCH LouisaYork</v>
      </c>
      <c r="Z136" s="467">
        <f t="shared" ca="1" si="71"/>
        <v>3</v>
      </c>
      <c r="AA136" s="467">
        <f t="shared" ca="1" si="72"/>
        <v>2</v>
      </c>
    </row>
    <row r="137" spans="1:27" x14ac:dyDescent="0.35">
      <c r="A137" s="483">
        <f>A126+1</f>
        <v>15</v>
      </c>
      <c r="B137" s="477">
        <v>2</v>
      </c>
      <c r="C137" s="477">
        <f ca="1">IFERROR(IF(B137&gt;MatchDay!$U$2+MatchDay!$D$6-1,"",VLOOKUP(A134,Timetables!$A:$DK,MatchDay!$U$4+B137-MatchDay!$D$6,FALSE)),"")</f>
        <v>5</v>
      </c>
      <c r="D137" s="467">
        <f ca="1">IFERROR(HLOOKUP(C137,Declarations!$D$2:$S$102,A136,FALSE),"")</f>
        <v>0</v>
      </c>
      <c r="E137" s="467" t="str">
        <f t="shared" ref="E137:E143" ca="1" si="76">IFERROR(VLOOKUP(C137,teamlookup,5,FALSE),"")</f>
        <v>Scun</v>
      </c>
      <c r="F137" s="466"/>
      <c r="G137" s="476"/>
      <c r="H137" s="477">
        <v>2</v>
      </c>
      <c r="I137" s="477">
        <f t="shared" ref="I137:I143" ca="1" si="77">IFERROR(C137*11,"")</f>
        <v>55</v>
      </c>
      <c r="J137" s="467">
        <f ca="1">IFERROR(HLOOKUP(I137,Declarations!$D$2:$S$102,$A136,FALSE),"")</f>
        <v>0</v>
      </c>
      <c r="K137" s="467" t="str">
        <f t="shared" ca="1" si="73"/>
        <v>Scun</v>
      </c>
      <c r="N137" s="478"/>
      <c r="P137" s="483" t="str">
        <f ca="1">IFERROR(IF(OR(D137=0,D137="-",D137="",D137=" ",D137=" ",D137="Athlete"),"",IF($A142&gt;0,VLOOKUP(D137,female_reg,3,FALSE)-C137*10,VLOOKUP(D137,male_reg,3,FALSE)-C137*10)),2)</f>
        <v/>
      </c>
      <c r="Q137" s="483" t="str">
        <f ca="1">IFERROR(IF(OR(J137=0,J137="-",J137=" ",J137="",J137=" ",J137="Athlete"),"",IF($A142&gt;0,VLOOKUP(J137,female_reg,3,FALSE)-C137*10,VLOOKUP(J137,male_reg,3,FALSE)-C137*10)),2)</f>
        <v/>
      </c>
      <c r="R137" s="483"/>
      <c r="T137" s="483">
        <f t="shared" ca="1" si="69"/>
        <v>0</v>
      </c>
      <c r="U137" s="483">
        <f t="shared" ca="1" si="70"/>
        <v>0</v>
      </c>
      <c r="V137" s="467" t="str">
        <f t="shared" ca="1" si="74"/>
        <v>X</v>
      </c>
      <c r="W137" s="467" t="str">
        <f t="shared" ca="1" si="75"/>
        <v>X</v>
      </c>
      <c r="Z137" s="467">
        <f t="shared" ca="1" si="71"/>
        <v>0</v>
      </c>
      <c r="AA137" s="467">
        <f t="shared" ca="1" si="72"/>
        <v>0</v>
      </c>
    </row>
    <row r="138" spans="1:27" x14ac:dyDescent="0.35">
      <c r="A138" s="118">
        <f ca="1">IFERROR(VLOOKUP(A134,standards,3,FALSE)+0.01,"-")</f>
        <v>1.171875E-2</v>
      </c>
      <c r="B138" s="477">
        <v>3</v>
      </c>
      <c r="C138" s="477">
        <f ca="1">IFERROR(IF(B138&gt;MatchDay!$U$2+MatchDay!$D$6-1,"",VLOOKUP(A134,Timetables!$A:$DK,MatchDay!$U$4+B138-MatchDay!$D$6,FALSE)),"")</f>
        <v>2</v>
      </c>
      <c r="D138" s="467" t="str">
        <f ca="1">IFERROR(HLOOKUP(C138,Declarations!$D$2:$S$102,A136,FALSE),"")</f>
        <v>-</v>
      </c>
      <c r="E138" s="467" t="str">
        <f t="shared" ca="1" si="76"/>
        <v>Sheff+D</v>
      </c>
      <c r="F138" s="466"/>
      <c r="G138" s="476"/>
      <c r="H138" s="477">
        <v>3</v>
      </c>
      <c r="I138" s="477">
        <f t="shared" ca="1" si="77"/>
        <v>22</v>
      </c>
      <c r="J138" s="467">
        <f ca="1">IFERROR(HLOOKUP(I138,Declarations!$D$2:$S$102,$A136,FALSE),"")</f>
        <v>0</v>
      </c>
      <c r="K138" s="467" t="str">
        <f t="shared" ca="1" si="73"/>
        <v>Sheff+D</v>
      </c>
      <c r="N138" s="478"/>
      <c r="P138" s="483" t="str">
        <f ca="1">IFERROR(IF(OR(D138=0,D138="-",D138="",D138=" ",D138=" ",D138="Athlete"),"",IF($A142&gt;0,VLOOKUP(D138,female_reg,3,FALSE)-C138*10,VLOOKUP(D138,male_reg,3,FALSE)-C138*10)),2)</f>
        <v/>
      </c>
      <c r="Q138" s="483" t="str">
        <f ca="1">IFERROR(IF(OR(J138=0,J138="-",J138=" ",J138="",J138=" ",J138="Athlete"),"",IF($A142&gt;0,VLOOKUP(J138,female_reg,3,FALSE)-C138*10,VLOOKUP(J138,male_reg,3,FALSE)-C138*10)),2)</f>
        <v/>
      </c>
      <c r="R138" s="483"/>
      <c r="T138" s="483">
        <f t="shared" ca="1" si="69"/>
        <v>0</v>
      </c>
      <c r="U138" s="483">
        <f t="shared" ca="1" si="70"/>
        <v>0</v>
      </c>
      <c r="V138" s="467" t="str">
        <f t="shared" ca="1" si="74"/>
        <v>X</v>
      </c>
      <c r="W138" s="467" t="str">
        <f t="shared" ca="1" si="75"/>
        <v>X</v>
      </c>
      <c r="Z138" s="467">
        <f t="shared" ca="1" si="71"/>
        <v>0</v>
      </c>
      <c r="AA138" s="467">
        <f t="shared" ca="1" si="72"/>
        <v>0</v>
      </c>
    </row>
    <row r="139" spans="1:27" x14ac:dyDescent="0.35">
      <c r="A139" s="118">
        <f ca="1">IFERROR(VLOOKUP(A134,standards,4,FALSE)+0.01,"-")</f>
        <v>1.1753472222222222E-2</v>
      </c>
      <c r="B139" s="477">
        <v>4</v>
      </c>
      <c r="C139" s="477">
        <f ca="1">IFERROR(IF(B139&gt;MatchDay!$U$2+MatchDay!$D$6-1,"",VLOOKUP(A134,Timetables!$A:$DK,MatchDay!$U$4+B139-MatchDay!$D$6,FALSE)),"")</f>
        <v>4</v>
      </c>
      <c r="D139" s="467" t="str">
        <f ca="1">IFERROR(HLOOKUP(C139,Declarations!$D$2:$S$102,A136,FALSE),"")</f>
        <v>-</v>
      </c>
      <c r="E139" s="467" t="str">
        <f t="shared" ca="1" si="76"/>
        <v>M'bro</v>
      </c>
      <c r="F139" s="466"/>
      <c r="G139" s="476"/>
      <c r="H139" s="477">
        <v>4</v>
      </c>
      <c r="I139" s="477">
        <f t="shared" ca="1" si="77"/>
        <v>44</v>
      </c>
      <c r="J139" s="467" t="str">
        <f ca="1">IFERROR(HLOOKUP(I139,Declarations!$D$2:$S$102,$A136,FALSE),"")</f>
        <v>-</v>
      </c>
      <c r="K139" s="467" t="str">
        <f t="shared" ca="1" si="73"/>
        <v>M'bro</v>
      </c>
      <c r="N139" s="478"/>
      <c r="P139" s="483" t="str">
        <f ca="1">IFERROR(IF(OR(D139=0,D139="-",D139="",D139=" ",D139=" ",D139="Athlete"),"",IF($A142&gt;0,VLOOKUP(D139,female_reg,3,FALSE)-C139*10,VLOOKUP(D139,male_reg,3,FALSE)-C139*10)),2)</f>
        <v/>
      </c>
      <c r="Q139" s="483" t="str">
        <f ca="1">IFERROR(IF(OR(J139=0,J139="-",J139=" ",J139="",J139=" ",J139="Athlete"),"",IF($A142&gt;0,VLOOKUP(J139,female_reg,3,FALSE)-C139*10,VLOOKUP(J139,male_reg,3,FALSE)-C139*10)),2)</f>
        <v/>
      </c>
      <c r="R139" s="483"/>
      <c r="T139" s="483">
        <f t="shared" ca="1" si="69"/>
        <v>0</v>
      </c>
      <c r="U139" s="483">
        <f t="shared" ca="1" si="70"/>
        <v>0</v>
      </c>
      <c r="V139" s="467" t="str">
        <f t="shared" ca="1" si="74"/>
        <v>X</v>
      </c>
      <c r="W139" s="467" t="str">
        <f t="shared" ca="1" si="75"/>
        <v>X</v>
      </c>
      <c r="Z139" s="467">
        <f t="shared" ca="1" si="71"/>
        <v>0</v>
      </c>
      <c r="AA139" s="467">
        <f t="shared" ca="1" si="72"/>
        <v>0</v>
      </c>
    </row>
    <row r="140" spans="1:27" x14ac:dyDescent="0.35">
      <c r="A140" s="118">
        <f ca="1">IFERROR(VLOOKUP(A134,standards,5,FALSE)+0.01,"-")</f>
        <v>1.1793981481481482E-2</v>
      </c>
      <c r="B140" s="477">
        <v>5</v>
      </c>
      <c r="C140" s="477">
        <f ca="1">IFERROR(IF(B140&gt;MatchDay!$U$2+MatchDay!$D$6-1,"",VLOOKUP(A134,Timetables!$A:$DK,MatchDay!$U$4+B140-MatchDay!$D$6,FALSE)),"")</f>
        <v>1</v>
      </c>
      <c r="D140" s="467">
        <f ca="1">IFERROR(HLOOKUP(C140,Declarations!$D$2:$S$102,A136,FALSE),"")</f>
        <v>0</v>
      </c>
      <c r="E140" s="467" t="str">
        <f t="shared" ca="1" si="76"/>
        <v>C'field</v>
      </c>
      <c r="F140" s="466"/>
      <c r="G140" s="476"/>
      <c r="H140" s="477">
        <v>5</v>
      </c>
      <c r="I140" s="477">
        <f t="shared" ca="1" si="77"/>
        <v>11</v>
      </c>
      <c r="J140" s="467">
        <f ca="1">IFERROR(HLOOKUP(I140,Declarations!$D$2:$S$102,$A136,FALSE),"")</f>
        <v>0</v>
      </c>
      <c r="K140" s="467" t="str">
        <f t="shared" ca="1" si="73"/>
        <v>C'field</v>
      </c>
      <c r="N140" s="478"/>
      <c r="P140" s="483" t="str">
        <f ca="1">IFERROR(IF(OR(D140=0,D140="-",D140="",D140=" ",D140=" ",D140="Athlete"),"",IF($A142&gt;0,VLOOKUP(D140,female_reg,3,FALSE)-C140*10,VLOOKUP(D140,male_reg,3,FALSE)-C140*10)),2)</f>
        <v/>
      </c>
      <c r="Q140" s="483" t="str">
        <f ca="1">IFERROR(IF(OR(J140=0,J140="-",J140=" ",J140="",J140=" ",J140="Athlete"),"",IF($A142&gt;0,VLOOKUP(J140,female_reg,3,FALSE)-C140*10,VLOOKUP(J140,male_reg,3,FALSE)-C140*10)),2)</f>
        <v/>
      </c>
      <c r="R140" s="483"/>
      <c r="T140" s="483">
        <f t="shared" ca="1" si="69"/>
        <v>0</v>
      </c>
      <c r="U140" s="483">
        <f t="shared" ca="1" si="70"/>
        <v>0</v>
      </c>
      <c r="V140" s="467" t="str">
        <f t="shared" ca="1" si="74"/>
        <v>X</v>
      </c>
      <c r="W140" s="467" t="str">
        <f t="shared" ca="1" si="75"/>
        <v>X</v>
      </c>
      <c r="Z140" s="467">
        <f t="shared" ca="1" si="71"/>
        <v>0</v>
      </c>
      <c r="AA140" s="467">
        <f t="shared" ca="1" si="72"/>
        <v>0</v>
      </c>
    </row>
    <row r="141" spans="1:27" x14ac:dyDescent="0.35">
      <c r="A141" s="118">
        <f ca="1">IFERROR(VLOOKUP(A134,standards,6,FALSE)+0.01,"-")</f>
        <v>1.1866898148148149E-2</v>
      </c>
      <c r="B141" s="477">
        <v>6</v>
      </c>
      <c r="C141" s="477" t="str">
        <f>IFERROR(IF(B141&gt;MatchDay!$U$2+MatchDay!$D$6-1,"",VLOOKUP(A134,Timetables!$A:$DK,MatchDay!$U$4+B141-MatchDay!$D$6,FALSE)),"")</f>
        <v/>
      </c>
      <c r="D141" s="467" t="str">
        <f>IFERROR(HLOOKUP(C141,Declarations!$D$2:$S$102,A136,FALSE),"")</f>
        <v/>
      </c>
      <c r="E141" s="467" t="str">
        <f t="shared" si="76"/>
        <v/>
      </c>
      <c r="F141" s="466"/>
      <c r="G141" s="476"/>
      <c r="H141" s="477">
        <v>6</v>
      </c>
      <c r="I141" s="477" t="str">
        <f t="shared" si="77"/>
        <v/>
      </c>
      <c r="J141" s="467" t="str">
        <f>IFERROR(HLOOKUP(I141,Declarations!$D$2:$S$102,$A136,FALSE),"")</f>
        <v/>
      </c>
      <c r="K141" s="467" t="str">
        <f t="shared" si="73"/>
        <v/>
      </c>
      <c r="N141" s="478"/>
      <c r="P141" s="483" t="str">
        <f>IFERROR(IF(OR(D141=0,D141="-",D141="",D141=" ",D141=" ",D141="Athlete"),"",IF($A142&gt;0,VLOOKUP(D141,female_reg,3,FALSE)-C141*10,VLOOKUP(D141,male_reg,3,FALSE)-C141*10)),2)</f>
        <v/>
      </c>
      <c r="Q141" s="483" t="str">
        <f>IFERROR(IF(OR(J141=0,J141="-",J141=" ",J141="",J141=" ",J141="Athlete"),"",IF($A142&gt;0,VLOOKUP(J141,female_reg,3,FALSE)-C141*10,VLOOKUP(J141,male_reg,3,FALSE)-C141*10)),2)</f>
        <v/>
      </c>
      <c r="R141" s="483"/>
      <c r="T141" s="483">
        <f t="shared" si="69"/>
        <v>0</v>
      </c>
      <c r="U141" s="483">
        <f t="shared" si="70"/>
        <v>0</v>
      </c>
      <c r="V141" s="467" t="str">
        <f t="shared" si="74"/>
        <v>X</v>
      </c>
      <c r="W141" s="467" t="str">
        <f t="shared" si="75"/>
        <v>X</v>
      </c>
      <c r="Z141" s="467">
        <f t="shared" si="71"/>
        <v>0</v>
      </c>
      <c r="AA141" s="467">
        <f t="shared" si="72"/>
        <v>0</v>
      </c>
    </row>
    <row r="142" spans="1:27" x14ac:dyDescent="0.35">
      <c r="A142" s="479">
        <f ca="1">IFERROR(SEARCH("Girls",B134),0)</f>
        <v>13</v>
      </c>
      <c r="B142" s="477">
        <v>7</v>
      </c>
      <c r="C142" s="477" t="str">
        <f>IFERROR(IF(B142&gt;MatchDay!$U$2+MatchDay!$D$6-1,"",VLOOKUP(A134,Timetables!$A:$DK,MatchDay!$U$4+B142-MatchDay!$D$6,FALSE)),"")</f>
        <v/>
      </c>
      <c r="D142" s="467" t="str">
        <f>IFERROR(HLOOKUP(C142,Declarations!$D$2:$S$102,A136,FALSE),"")</f>
        <v/>
      </c>
      <c r="E142" s="467" t="str">
        <f t="shared" si="76"/>
        <v/>
      </c>
      <c r="F142" s="466"/>
      <c r="G142" s="476"/>
      <c r="H142" s="477">
        <v>7</v>
      </c>
      <c r="I142" s="477" t="str">
        <f t="shared" si="77"/>
        <v/>
      </c>
      <c r="J142" s="467" t="str">
        <f>IFERROR(HLOOKUP(I142,Declarations!$D$2:$S$102,$A136,FALSE),"")</f>
        <v/>
      </c>
      <c r="K142" s="467" t="str">
        <f t="shared" si="73"/>
        <v/>
      </c>
      <c r="N142" s="478"/>
      <c r="P142" s="483" t="str">
        <f>IFERROR(IF(OR(D142=0,D142="-",D142="",D142=" ",D142=" ",D142="Athlete"),"",IF($A142&gt;0,VLOOKUP(D142,female_reg,3,FALSE)-C142*10,VLOOKUP(D142,male_reg,3,FALSE)-C142*10)),2)</f>
        <v/>
      </c>
      <c r="Q142" s="483" t="str">
        <f>IFERROR(IF(OR(J142=0,J142="-",J142=" ",J142="",J142=" ",J142="Athlete"),"",IF($A142&gt;0,VLOOKUP(J142,female_reg,3,FALSE)-C142*10,VLOOKUP(J142,male_reg,3,FALSE)-C142*10)),2)</f>
        <v/>
      </c>
      <c r="R142" s="483"/>
      <c r="T142" s="483">
        <f t="shared" si="69"/>
        <v>0</v>
      </c>
      <c r="U142" s="483">
        <f t="shared" si="70"/>
        <v>0</v>
      </c>
      <c r="V142" s="467" t="str">
        <f t="shared" si="74"/>
        <v>X</v>
      </c>
      <c r="W142" s="467" t="str">
        <f t="shared" si="75"/>
        <v>X</v>
      </c>
      <c r="Z142" s="467">
        <f t="shared" si="71"/>
        <v>0</v>
      </c>
      <c r="AA142" s="467">
        <f t="shared" si="72"/>
        <v>0</v>
      </c>
    </row>
    <row r="143" spans="1:27" x14ac:dyDescent="0.35">
      <c r="A143" s="116">
        <f ca="1">IFERROR(VLOOKUP(A134,records,5,FALSE),"")</f>
        <v>1.6215277777777779E-3</v>
      </c>
      <c r="B143" s="477">
        <v>8</v>
      </c>
      <c r="C143" s="477" t="str">
        <f>IFERROR(IF(B143&gt;MatchDay!$U$2+MatchDay!$D$6-1,"",VLOOKUP(A134,Timetables!$A:$DK,MatchDay!$U$4+B143-MatchDay!$D$6,FALSE)),"")</f>
        <v/>
      </c>
      <c r="D143" s="467" t="str">
        <f>IFERROR(HLOOKUP(C143,Declarations!$D$2:$S$102,A136,FALSE),"")</f>
        <v/>
      </c>
      <c r="E143" s="467" t="str">
        <f t="shared" si="76"/>
        <v/>
      </c>
      <c r="F143" s="466"/>
      <c r="G143" s="476"/>
      <c r="H143" s="477">
        <v>8</v>
      </c>
      <c r="I143" s="477" t="str">
        <f t="shared" si="77"/>
        <v/>
      </c>
      <c r="J143" s="467" t="str">
        <f>IFERROR(HLOOKUP(I143,Declarations!$D$2:$S$102,$A136,FALSE),"")</f>
        <v/>
      </c>
      <c r="K143" s="467" t="str">
        <f t="shared" si="73"/>
        <v/>
      </c>
      <c r="N143" s="478"/>
      <c r="P143" s="483" t="str">
        <f>IFERROR(IF(OR(D143=0,D143="-",D143="",D143=" ",D143=" ",D143="Athlete"),"",IF($A142&gt;0,VLOOKUP(D143,female_reg,3,FALSE)-C143*10,VLOOKUP(D143,male_reg,3,FALSE)-C143*10)),2)</f>
        <v/>
      </c>
      <c r="Q143" s="483" t="str">
        <f>IFERROR(IF(OR(J143=0,J143="-",J143=" ",J143="",J143=" ",J143="Athlete"),"",IF($A142&gt;0,VLOOKUP(J143,female_reg,3,FALSE)-C143*10,VLOOKUP(J143,male_reg,3,FALSE)-C143*10)),2)</f>
        <v/>
      </c>
      <c r="R143" s="483"/>
      <c r="T143" s="483">
        <f t="shared" si="69"/>
        <v>0</v>
      </c>
      <c r="U143" s="483">
        <f t="shared" si="70"/>
        <v>0</v>
      </c>
      <c r="V143" s="467" t="str">
        <f t="shared" si="74"/>
        <v>X</v>
      </c>
      <c r="W143" s="467" t="str">
        <f t="shared" si="75"/>
        <v>X</v>
      </c>
      <c r="Z143" s="467">
        <f t="shared" si="71"/>
        <v>0</v>
      </c>
      <c r="AA143" s="467">
        <f t="shared" si="72"/>
        <v>0</v>
      </c>
    </row>
    <row r="144" spans="1:27" x14ac:dyDescent="0.35">
      <c r="A144" s="483"/>
      <c r="C144" s="483"/>
      <c r="P144" s="483" t="str">
        <f>IFERROR(IF(OR(D144=0,D144="-",D144="",D144=" ",D144=" ",D144="Athlete"),"",IF($A142&gt;0,VLOOKUP(D144,female_reg,3,FALSE)-C144*10,VLOOKUP(D144,male_reg,3,FALSE)-C144*10)),"X")</f>
        <v/>
      </c>
      <c r="Q144" s="483" t="str">
        <f>IFERROR(IF(OR(J144=0,J144="-",J144=" ",J144="",J144=" ",J144="Athlete"),"",IF($A142&gt;0,VLOOKUP(J144,female_reg,3,FALSE)-C144*10,VLOOKUP(J144,male_reg,3,FALSE)-C144*10)),"X")</f>
        <v/>
      </c>
      <c r="R144" s="483"/>
      <c r="T144" s="483">
        <f t="shared" ca="1" si="69"/>
        <v>0</v>
      </c>
      <c r="U144" s="483">
        <f t="shared" ca="1" si="70"/>
        <v>0</v>
      </c>
      <c r="Z144" s="467">
        <f t="shared" ca="1" si="71"/>
        <v>0</v>
      </c>
      <c r="AA144" s="467">
        <f t="shared" ca="1" si="72"/>
        <v>0</v>
      </c>
    </row>
    <row r="145" spans="1:27" x14ac:dyDescent="0.35">
      <c r="A145" s="111" t="str">
        <f ca="1">IFERROR(INDIRECT(CONCATENATE("'Timetables'!A"&amp;A148)),"")</f>
        <v>LTD86</v>
      </c>
      <c r="B145" s="469" t="str">
        <f ca="1">IFERROR(VLOOKUP(A145,timetables,2,FALSE)&amp;" "&amp;VLOOKUP(A145,timetables,3,FALSE)&amp;" A","")</f>
        <v>800m NS U13 Boys A</v>
      </c>
      <c r="C145" s="469"/>
      <c r="E145" s="470" t="str">
        <f ca="1">"Starts "&amp;TEXT(VLOOKUP(A145,timetables,7-MatchDay!$U$7,FALSE),"hh:mm")</f>
        <v>Starts 13:25</v>
      </c>
      <c r="F145" s="471"/>
      <c r="H145" s="472" t="str">
        <f ca="1">IFERROR("Rec: "&amp;TEXT(VLOOKUP(A145,records,5,FALSE),"mm:ss.00")&amp;", "&amp;VLOOKUP(A145,records,3,FALSE)&amp;", "&amp;VLOOKUP(A145,records,4,FALSE)&amp;", "&amp;VLOOKUP(A145,records,8,FALSE),"")</f>
        <v>Rec: 02:09.50, Jaden Kennedy, Herne Hill Harriers, 2016</v>
      </c>
      <c r="K145" s="473"/>
      <c r="L145" s="474"/>
      <c r="M145" s="467"/>
      <c r="P145" s="468" t="str">
        <f>IFERROR(IF(OR(D145=0,D145="-",D145="",D145=" ",D145=" ",D145="Athlete"),"",IF($A153&gt;0,VLOOKUP(D145,female_reg,3,FALSE)-C145*10,VLOOKUP(D145,male_reg,3,FALSE)-C145*10)),"X")</f>
        <v/>
      </c>
      <c r="Q145" s="468" t="str">
        <f>IFERROR(IF(OR(J145=0,J145="-",J145=" ",J145="",J145=" ",J145="Athlete"),"",IF($A153&gt;0,VLOOKUP(J145,female_reg,3,FALSE)-C145*10,VLOOKUP(J145,male_reg,3,FALSE)-C145*10)),"X")</f>
        <v/>
      </c>
      <c r="T145" s="468">
        <f t="shared" ca="1" si="69"/>
        <v>0</v>
      </c>
      <c r="U145" s="468">
        <f t="shared" ca="1" si="70"/>
        <v>0</v>
      </c>
      <c r="Z145" s="467">
        <f t="shared" ca="1" si="71"/>
        <v>0</v>
      </c>
      <c r="AA145" s="467">
        <f t="shared" ca="1" si="72"/>
        <v>0</v>
      </c>
    </row>
    <row r="146" spans="1:27" x14ac:dyDescent="0.35">
      <c r="A146" s="85" t="str">
        <f ca="1">MID(A145,2,3)</f>
        <v>TD8</v>
      </c>
      <c r="B146" s="9" t="s">
        <v>786</v>
      </c>
      <c r="C146" s="9" t="s">
        <v>183</v>
      </c>
      <c r="D146" s="46" t="s">
        <v>227</v>
      </c>
      <c r="E146" s="46" t="s">
        <v>228</v>
      </c>
      <c r="F146" s="475"/>
      <c r="G146" s="46"/>
      <c r="H146" s="9" t="s">
        <v>786</v>
      </c>
      <c r="I146" s="9" t="s">
        <v>183</v>
      </c>
      <c r="J146" s="46" t="s">
        <v>227</v>
      </c>
      <c r="K146" s="46" t="s">
        <v>228</v>
      </c>
      <c r="L146" s="475"/>
      <c r="M146" s="475"/>
      <c r="N146" s="52"/>
      <c r="P146" s="483" t="str">
        <f>IFERROR(IF(OR(D146=0,D146="-",D146="",D146=" ",D146=" ",D146="Athlete"),"",IF($A153&gt;0,VLOOKUP(D146,female_reg,3,FALSE)-C146*10,VLOOKUP(D146,male_reg,3,FALSE)-C146*10)),"X")</f>
        <v/>
      </c>
      <c r="Q146" s="483" t="str">
        <f>IFERROR(IF(OR(J146=0,J146="-",J146=" ",J146="",J146=" ",J146="Athlete"),"",IF($A153&gt;0,VLOOKUP(J146,female_reg,3,FALSE)-C146*10,VLOOKUP(J146,male_reg,3,FALSE)-C146*10)),"X")</f>
        <v/>
      </c>
      <c r="R146" s="483"/>
      <c r="T146" s="483">
        <f t="shared" ca="1" si="69"/>
        <v>0</v>
      </c>
      <c r="U146" s="483">
        <f t="shared" ca="1" si="70"/>
        <v>0</v>
      </c>
      <c r="Z146" s="467">
        <f t="shared" ca="1" si="71"/>
        <v>0</v>
      </c>
      <c r="AA146" s="467">
        <f t="shared" ca="1" si="72"/>
        <v>0</v>
      </c>
    </row>
    <row r="147" spans="1:27" x14ac:dyDescent="0.35">
      <c r="A147" s="181">
        <f ca="1">IFERROR(VLOOKUP(A145,Timetables!$A:$E,5,FALSE)-1,"")</f>
        <v>83</v>
      </c>
      <c r="B147" s="477">
        <v>1</v>
      </c>
      <c r="C147" s="477">
        <f ca="1">IFERROR(IF(B147&gt;MatchDay!$U$2,"",IF(MatchDay!$D$6=2,"",VLOOKUP(A145,Timetables!$A:$DK,MatchDay!$U$4+B147-MatchDay!$D$6,FALSE))),"")</f>
        <v>3</v>
      </c>
      <c r="D147" s="467" t="str">
        <f ca="1">IFERROR(HLOOKUP(C147,Declarations!$D$2:$S$102,A147,FALSE),"")</f>
        <v>-</v>
      </c>
      <c r="E147" s="467" t="str">
        <f ca="1">IFERROR(VLOOKUP(C147,teamlookup,5,FALSE),"")</f>
        <v>York</v>
      </c>
      <c r="F147" s="466"/>
      <c r="G147" s="476"/>
      <c r="H147" s="477">
        <v>1</v>
      </c>
      <c r="I147" s="477">
        <f ca="1">IFERROR(C147*11,"")</f>
        <v>33</v>
      </c>
      <c r="J147" s="467" t="str">
        <f ca="1">IFERROR(HLOOKUP(I147,Declarations!$D$2:$S$102,$A147,FALSE),"")</f>
        <v>-</v>
      </c>
      <c r="K147" s="467" t="str">
        <f t="shared" ref="K147:K154" ca="1" si="78">IFERROR(VLOOKUP(I147,teamlookup,5,FALSE),"")</f>
        <v>York</v>
      </c>
      <c r="N147" s="478"/>
      <c r="P147" s="483" t="str">
        <f ca="1">IFERROR(IF(OR(D147=0,D147="-",D147="",D147=" ",D147=" ",D147="Athlete"),"",IF($A153&gt;0,VLOOKUP(D147,female_reg,3,FALSE)-C147*10,VLOOKUP(D147,male_reg,3,FALSE)-C147*10)),2)</f>
        <v/>
      </c>
      <c r="Q147" s="483" t="str">
        <f ca="1">IFERROR(IF(OR(J147=0,J147="-",J147=" ",J147="",J147=" ",J147="Athlete"),"",IF($A153&gt;0,VLOOKUP(J147,female_reg,3,FALSE)-C147*10,VLOOKUP(J147,male_reg,3,FALSE)-C147*10)),2)</f>
        <v/>
      </c>
      <c r="R147" s="483"/>
      <c r="T147" s="483">
        <f t="shared" ca="1" si="69"/>
        <v>0</v>
      </c>
      <c r="U147" s="483">
        <f t="shared" ca="1" si="70"/>
        <v>0</v>
      </c>
      <c r="V147" s="467" t="str">
        <f t="shared" ref="V147:V154" ca="1" si="79">IFERROR(IF(OR(D147=0,D147="-",D147="",D147=" ",D147=" "),"X",D147&amp;E147),"X")</f>
        <v>X</v>
      </c>
      <c r="W147" s="467" t="str">
        <f t="shared" ref="W147:W154" ca="1" si="80">IFERROR(IF(OR(J147=0,J147="-",J147="",J147=" ",J147=" "),"X",J147&amp;K147),"X")</f>
        <v>X</v>
      </c>
      <c r="Z147" s="467">
        <f t="shared" ca="1" si="71"/>
        <v>0</v>
      </c>
      <c r="AA147" s="467">
        <f t="shared" ca="1" si="72"/>
        <v>0</v>
      </c>
    </row>
    <row r="148" spans="1:27" x14ac:dyDescent="0.35">
      <c r="A148" s="483">
        <f>A137+1</f>
        <v>16</v>
      </c>
      <c r="B148" s="477">
        <v>2</v>
      </c>
      <c r="C148" s="477">
        <f ca="1">IFERROR(IF(B148&gt;MatchDay!$U$2+MatchDay!$D$6-1,"",VLOOKUP(A145,Timetables!$A:$DK,MatchDay!$U$4+B148-MatchDay!$D$6,FALSE)),"")</f>
        <v>5</v>
      </c>
      <c r="D148" s="467">
        <f ca="1">IFERROR(HLOOKUP(C148,Declarations!$D$2:$S$102,A147,FALSE),"")</f>
        <v>0</v>
      </c>
      <c r="E148" s="467" t="str">
        <f t="shared" ref="E148:E154" ca="1" si="81">IFERROR(VLOOKUP(C148,teamlookup,5,FALSE),"")</f>
        <v>Scun</v>
      </c>
      <c r="F148" s="466"/>
      <c r="G148" s="476"/>
      <c r="H148" s="477">
        <v>2</v>
      </c>
      <c r="I148" s="477">
        <f t="shared" ref="I148:I154" ca="1" si="82">IFERROR(C148*11,"")</f>
        <v>55</v>
      </c>
      <c r="J148" s="467">
        <f ca="1">IFERROR(HLOOKUP(I148,Declarations!$D$2:$S$102,$A147,FALSE),"")</f>
        <v>0</v>
      </c>
      <c r="K148" s="467" t="str">
        <f t="shared" ca="1" si="78"/>
        <v>Scun</v>
      </c>
      <c r="N148" s="478"/>
      <c r="P148" s="483" t="str">
        <f ca="1">IFERROR(IF(OR(D148=0,D148="-",D148="",D148=" ",D148=" ",D148="Athlete"),"",IF($A153&gt;0,VLOOKUP(D148,female_reg,3,FALSE)-C148*10,VLOOKUP(D148,male_reg,3,FALSE)-C148*10)),2)</f>
        <v/>
      </c>
      <c r="Q148" s="483" t="str">
        <f ca="1">IFERROR(IF(OR(J148=0,J148="-",J148=" ",J148="",J148=" ",J148="Athlete"),"",IF($A153&gt;0,VLOOKUP(J148,female_reg,3,FALSE)-C148*10,VLOOKUP(J148,male_reg,3,FALSE)-C148*10)),2)</f>
        <v/>
      </c>
      <c r="R148" s="483"/>
      <c r="T148" s="483">
        <f t="shared" ca="1" si="69"/>
        <v>0</v>
      </c>
      <c r="U148" s="483">
        <f t="shared" ca="1" si="70"/>
        <v>0</v>
      </c>
      <c r="V148" s="467" t="str">
        <f t="shared" ca="1" si="79"/>
        <v>X</v>
      </c>
      <c r="W148" s="467" t="str">
        <f t="shared" ca="1" si="80"/>
        <v>X</v>
      </c>
      <c r="Z148" s="467">
        <f t="shared" ca="1" si="71"/>
        <v>0</v>
      </c>
      <c r="AA148" s="467">
        <f t="shared" ca="1" si="72"/>
        <v>0</v>
      </c>
    </row>
    <row r="149" spans="1:27" x14ac:dyDescent="0.35">
      <c r="A149" s="118">
        <f ca="1">IFERROR(VLOOKUP(A145,standards,3,FALSE)+0.01,"-")</f>
        <v>1.1649305555555555E-2</v>
      </c>
      <c r="B149" s="477">
        <v>3</v>
      </c>
      <c r="C149" s="477">
        <f ca="1">IFERROR(IF(B149&gt;MatchDay!$U$2+MatchDay!$D$6-1,"",VLOOKUP(A145,Timetables!$A:$DK,MatchDay!$U$4+B149-MatchDay!$D$6,FALSE)),"")</f>
        <v>2</v>
      </c>
      <c r="D149" s="467" t="str">
        <f ca="1">IFERROR(HLOOKUP(C149,Declarations!$D$2:$S$102,A147,FALSE),"")</f>
        <v>-</v>
      </c>
      <c r="E149" s="467" t="str">
        <f t="shared" ca="1" si="81"/>
        <v>Sheff+D</v>
      </c>
      <c r="F149" s="466"/>
      <c r="G149" s="476"/>
      <c r="H149" s="477">
        <v>3</v>
      </c>
      <c r="I149" s="477">
        <f t="shared" ca="1" si="82"/>
        <v>22</v>
      </c>
      <c r="J149" s="467">
        <f ca="1">IFERROR(HLOOKUP(I149,Declarations!$D$2:$S$102,$A147,FALSE),"")</f>
        <v>0</v>
      </c>
      <c r="K149" s="467" t="str">
        <f t="shared" ca="1" si="78"/>
        <v>Sheff+D</v>
      </c>
      <c r="N149" s="478"/>
      <c r="P149" s="483" t="str">
        <f ca="1">IFERROR(IF(OR(D149=0,D149="-",D149="",D149=" ",D149=" ",D149="Athlete"),"",IF($A153&gt;0,VLOOKUP(D149,female_reg,3,FALSE)-C149*10,VLOOKUP(D149,male_reg,3,FALSE)-C149*10)),2)</f>
        <v/>
      </c>
      <c r="Q149" s="483" t="str">
        <f ca="1">IFERROR(IF(OR(J149=0,J149="-",J149=" ",J149="",J149=" ",J149="Athlete"),"",IF($A153&gt;0,VLOOKUP(J149,female_reg,3,FALSE)-C149*10,VLOOKUP(J149,male_reg,3,FALSE)-C149*10)),2)</f>
        <v/>
      </c>
      <c r="R149" s="483"/>
      <c r="T149" s="483">
        <f t="shared" ca="1" si="69"/>
        <v>0</v>
      </c>
      <c r="U149" s="483">
        <f t="shared" ca="1" si="70"/>
        <v>0</v>
      </c>
      <c r="V149" s="467" t="str">
        <f t="shared" ca="1" si="79"/>
        <v>X</v>
      </c>
      <c r="W149" s="467" t="str">
        <f t="shared" ca="1" si="80"/>
        <v>X</v>
      </c>
      <c r="Z149" s="467">
        <f t="shared" ca="1" si="71"/>
        <v>0</v>
      </c>
      <c r="AA149" s="467">
        <f t="shared" ca="1" si="72"/>
        <v>0</v>
      </c>
    </row>
    <row r="150" spans="1:27" x14ac:dyDescent="0.35">
      <c r="A150" s="118">
        <f ca="1">IFERROR(VLOOKUP(A145,standards,4,FALSE)+0.01,"-")</f>
        <v>1.1672453703703704E-2</v>
      </c>
      <c r="B150" s="477">
        <v>4</v>
      </c>
      <c r="C150" s="477">
        <f ca="1">IFERROR(IF(B150&gt;MatchDay!$U$2+MatchDay!$D$6-1,"",VLOOKUP(A145,Timetables!$A:$DK,MatchDay!$U$4+B150-MatchDay!$D$6,FALSE)),"")</f>
        <v>4</v>
      </c>
      <c r="D150" s="467" t="str">
        <f ca="1">IFERROR(HLOOKUP(C150,Declarations!$D$2:$S$102,A147,FALSE),"")</f>
        <v>-</v>
      </c>
      <c r="E150" s="467" t="str">
        <f t="shared" ca="1" si="81"/>
        <v>M'bro</v>
      </c>
      <c r="F150" s="466"/>
      <c r="G150" s="476"/>
      <c r="H150" s="477">
        <v>4</v>
      </c>
      <c r="I150" s="477">
        <f t="shared" ca="1" si="82"/>
        <v>44</v>
      </c>
      <c r="J150" s="467" t="str">
        <f ca="1">IFERROR(HLOOKUP(I150,Declarations!$D$2:$S$102,$A147,FALSE),"")</f>
        <v>-</v>
      </c>
      <c r="K150" s="467" t="str">
        <f t="shared" ca="1" si="78"/>
        <v>M'bro</v>
      </c>
      <c r="N150" s="478"/>
      <c r="P150" s="483" t="str">
        <f ca="1">IFERROR(IF(OR(D150=0,D150="-",D150="",D150=" ",D150=" ",D150="Athlete"),"",IF($A153&gt;0,VLOOKUP(D150,female_reg,3,FALSE)-C150*10,VLOOKUP(D150,male_reg,3,FALSE)-C150*10)),2)</f>
        <v/>
      </c>
      <c r="Q150" s="483" t="str">
        <f ca="1">IFERROR(IF(OR(J150=0,J150="-",J150=" ",J150="",J150=" ",J150="Athlete"),"",IF($A153&gt;0,VLOOKUP(J150,female_reg,3,FALSE)-C150*10,VLOOKUP(J150,male_reg,3,FALSE)-C150*10)),2)</f>
        <v/>
      </c>
      <c r="R150" s="483"/>
      <c r="T150" s="483">
        <f t="shared" ca="1" si="69"/>
        <v>0</v>
      </c>
      <c r="U150" s="483">
        <f t="shared" ca="1" si="70"/>
        <v>0</v>
      </c>
      <c r="V150" s="467" t="str">
        <f t="shared" ca="1" si="79"/>
        <v>X</v>
      </c>
      <c r="W150" s="467" t="str">
        <f t="shared" ca="1" si="80"/>
        <v>X</v>
      </c>
      <c r="Z150" s="467">
        <f t="shared" ca="1" si="71"/>
        <v>0</v>
      </c>
      <c r="AA150" s="467">
        <f t="shared" ca="1" si="72"/>
        <v>0</v>
      </c>
    </row>
    <row r="151" spans="1:27" x14ac:dyDescent="0.35">
      <c r="A151" s="118">
        <f ca="1">IFERROR(VLOOKUP(A145,standards,5,FALSE)+0.01,"-")</f>
        <v>1.1707175925925926E-2</v>
      </c>
      <c r="B151" s="477">
        <v>5</v>
      </c>
      <c r="C151" s="477">
        <f ca="1">IFERROR(IF(B151&gt;MatchDay!$U$2+MatchDay!$D$6-1,"",VLOOKUP(A145,Timetables!$A:$DK,MatchDay!$U$4+B151-MatchDay!$D$6,FALSE)),"")</f>
        <v>1</v>
      </c>
      <c r="D151" s="467">
        <f ca="1">IFERROR(HLOOKUP(C151,Declarations!$D$2:$S$102,A147,FALSE),"")</f>
        <v>0</v>
      </c>
      <c r="E151" s="467" t="str">
        <f t="shared" ca="1" si="81"/>
        <v>C'field</v>
      </c>
      <c r="F151" s="466"/>
      <c r="G151" s="476"/>
      <c r="H151" s="477">
        <v>5</v>
      </c>
      <c r="I151" s="477">
        <f t="shared" ca="1" si="82"/>
        <v>11</v>
      </c>
      <c r="J151" s="467">
        <f ca="1">IFERROR(HLOOKUP(I151,Declarations!$D$2:$S$102,$A147,FALSE),"")</f>
        <v>0</v>
      </c>
      <c r="K151" s="467" t="str">
        <f t="shared" ca="1" si="78"/>
        <v>C'field</v>
      </c>
      <c r="N151" s="478"/>
      <c r="P151" s="483" t="str">
        <f ca="1">IFERROR(IF(OR(D151=0,D151="-",D151="",D151=" ",D151=" ",D151="Athlete"),"",IF($A153&gt;0,VLOOKUP(D151,female_reg,3,FALSE)-C151*10,VLOOKUP(D151,male_reg,3,FALSE)-C151*10)),2)</f>
        <v/>
      </c>
      <c r="Q151" s="483" t="str">
        <f ca="1">IFERROR(IF(OR(J151=0,J151="-",J151=" ",J151="",J151=" ",J151="Athlete"),"",IF($A153&gt;0,VLOOKUP(J151,female_reg,3,FALSE)-C151*10,VLOOKUP(J151,male_reg,3,FALSE)-C151*10)),2)</f>
        <v/>
      </c>
      <c r="R151" s="483"/>
      <c r="T151" s="483">
        <f t="shared" ca="1" si="69"/>
        <v>0</v>
      </c>
      <c r="U151" s="483">
        <f t="shared" ca="1" si="70"/>
        <v>0</v>
      </c>
      <c r="V151" s="467" t="str">
        <f t="shared" ca="1" si="79"/>
        <v>X</v>
      </c>
      <c r="W151" s="467" t="str">
        <f t="shared" ca="1" si="80"/>
        <v>X</v>
      </c>
      <c r="Z151" s="467">
        <f t="shared" ca="1" si="71"/>
        <v>0</v>
      </c>
      <c r="AA151" s="467">
        <f t="shared" ca="1" si="72"/>
        <v>0</v>
      </c>
    </row>
    <row r="152" spans="1:27" x14ac:dyDescent="0.35">
      <c r="A152" s="118">
        <f ca="1">IFERROR(VLOOKUP(A145,standards,6,FALSE)+0.01,"-")</f>
        <v>1.1782407407407408E-2</v>
      </c>
      <c r="B152" s="477">
        <v>6</v>
      </c>
      <c r="C152" s="477" t="str">
        <f>IFERROR(IF(B152&gt;MatchDay!$U$2+MatchDay!$D$6-1,"",VLOOKUP(A145,Timetables!$A:$DK,MatchDay!$U$4+B152-MatchDay!$D$6,FALSE)),"")</f>
        <v/>
      </c>
      <c r="D152" s="467" t="str">
        <f>IFERROR(HLOOKUP(C152,Declarations!$D$2:$S$102,A147,FALSE),"")</f>
        <v/>
      </c>
      <c r="E152" s="467" t="str">
        <f t="shared" si="81"/>
        <v/>
      </c>
      <c r="F152" s="466"/>
      <c r="G152" s="476"/>
      <c r="H152" s="477">
        <v>6</v>
      </c>
      <c r="I152" s="477" t="str">
        <f t="shared" si="82"/>
        <v/>
      </c>
      <c r="J152" s="467" t="str">
        <f>IFERROR(HLOOKUP(I152,Declarations!$D$2:$S$102,$A147,FALSE),"")</f>
        <v/>
      </c>
      <c r="K152" s="467" t="str">
        <f t="shared" si="78"/>
        <v/>
      </c>
      <c r="N152" s="478"/>
      <c r="P152" s="483" t="str">
        <f>IFERROR(IF(OR(D152=0,D152="-",D152="",D152=" ",D152=" ",D152="Athlete"),"",IF($A153&gt;0,VLOOKUP(D152,female_reg,3,FALSE)-C152*10,VLOOKUP(D152,male_reg,3,FALSE)-C152*10)),2)</f>
        <v/>
      </c>
      <c r="Q152" s="483" t="str">
        <f>IFERROR(IF(OR(J152=0,J152="-",J152=" ",J152="",J152=" ",J152="Athlete"),"",IF($A153&gt;0,VLOOKUP(J152,female_reg,3,FALSE)-C152*10,VLOOKUP(J152,male_reg,3,FALSE)-C152*10)),2)</f>
        <v/>
      </c>
      <c r="R152" s="483"/>
      <c r="T152" s="483">
        <f t="shared" si="69"/>
        <v>0</v>
      </c>
      <c r="U152" s="483">
        <f t="shared" si="70"/>
        <v>0</v>
      </c>
      <c r="V152" s="467" t="str">
        <f t="shared" si="79"/>
        <v>X</v>
      </c>
      <c r="W152" s="467" t="str">
        <f t="shared" si="80"/>
        <v>X</v>
      </c>
      <c r="Z152" s="467">
        <f t="shared" si="71"/>
        <v>0</v>
      </c>
      <c r="AA152" s="467">
        <f t="shared" si="72"/>
        <v>0</v>
      </c>
    </row>
    <row r="153" spans="1:27" x14ac:dyDescent="0.35">
      <c r="A153" s="479">
        <f ca="1">IFERROR(SEARCH("Girls",B145),0)</f>
        <v>0</v>
      </c>
      <c r="B153" s="477">
        <v>7</v>
      </c>
      <c r="C153" s="477" t="str">
        <f>IFERROR(IF(B153&gt;MatchDay!$U$2+MatchDay!$D$6-1,"",VLOOKUP(A145,Timetables!$A:$DK,MatchDay!$U$4+B153-MatchDay!$D$6,FALSE)),"")</f>
        <v/>
      </c>
      <c r="D153" s="467" t="str">
        <f>IFERROR(HLOOKUP(C153,Declarations!$D$2:$S$102,A147,FALSE),"")</f>
        <v/>
      </c>
      <c r="E153" s="467" t="str">
        <f t="shared" si="81"/>
        <v/>
      </c>
      <c r="F153" s="466"/>
      <c r="G153" s="476"/>
      <c r="H153" s="477">
        <v>7</v>
      </c>
      <c r="I153" s="477" t="str">
        <f t="shared" si="82"/>
        <v/>
      </c>
      <c r="J153" s="467" t="str">
        <f>IFERROR(HLOOKUP(I153,Declarations!$D$2:$S$102,$A147,FALSE),"")</f>
        <v/>
      </c>
      <c r="K153" s="467" t="str">
        <f t="shared" si="78"/>
        <v/>
      </c>
      <c r="N153" s="478"/>
      <c r="P153" s="483" t="str">
        <f>IFERROR(IF(OR(D153=0,D153="-",D153="",D153=" ",D153=" ",D153="Athlete"),"",IF($A153&gt;0,VLOOKUP(D153,female_reg,3,FALSE)-C153*10,VLOOKUP(D153,male_reg,3,FALSE)-C153*10)),2)</f>
        <v/>
      </c>
      <c r="Q153" s="483" t="str">
        <f>IFERROR(IF(OR(J153=0,J153="-",J153=" ",J153="",J153=" ",J153="Athlete"),"",IF($A153&gt;0,VLOOKUP(J153,female_reg,3,FALSE)-C153*10,VLOOKUP(J153,male_reg,3,FALSE)-C153*10)),2)</f>
        <v/>
      </c>
      <c r="R153" s="483"/>
      <c r="T153" s="483">
        <f t="shared" si="69"/>
        <v>0</v>
      </c>
      <c r="U153" s="483">
        <f t="shared" si="70"/>
        <v>0</v>
      </c>
      <c r="V153" s="467" t="str">
        <f t="shared" si="79"/>
        <v>X</v>
      </c>
      <c r="W153" s="467" t="str">
        <f t="shared" si="80"/>
        <v>X</v>
      </c>
      <c r="Z153" s="467">
        <f t="shared" si="71"/>
        <v>0</v>
      </c>
      <c r="AA153" s="467">
        <f t="shared" si="72"/>
        <v>0</v>
      </c>
    </row>
    <row r="154" spans="1:27" x14ac:dyDescent="0.35">
      <c r="A154" s="116">
        <f ca="1">IFERROR(VLOOKUP(A145,records,5,FALSE),"")</f>
        <v>1.4988425925925924E-3</v>
      </c>
      <c r="B154" s="477">
        <v>8</v>
      </c>
      <c r="C154" s="477" t="str">
        <f>IFERROR(IF(B154&gt;MatchDay!$U$2+MatchDay!$D$6-1,"",VLOOKUP(A145,Timetables!$A:$DK,MatchDay!$U$4+B154-MatchDay!$D$6,FALSE)),"")</f>
        <v/>
      </c>
      <c r="D154" s="467" t="str">
        <f>IFERROR(HLOOKUP(C154,Declarations!$D$2:$S$102,A147,FALSE),"")</f>
        <v/>
      </c>
      <c r="E154" s="467" t="str">
        <f t="shared" si="81"/>
        <v/>
      </c>
      <c r="F154" s="466"/>
      <c r="G154" s="476"/>
      <c r="H154" s="477">
        <v>8</v>
      </c>
      <c r="I154" s="477" t="str">
        <f t="shared" si="82"/>
        <v/>
      </c>
      <c r="J154" s="467" t="str">
        <f>IFERROR(HLOOKUP(I154,Declarations!$D$2:$S$102,$A147,FALSE),"")</f>
        <v/>
      </c>
      <c r="K154" s="467" t="str">
        <f t="shared" si="78"/>
        <v/>
      </c>
      <c r="N154" s="478"/>
      <c r="P154" s="483" t="str">
        <f>IFERROR(IF(OR(D154=0,D154="-",D154="",D154=" ",D154=" ",D154="Athlete"),"",IF($A153&gt;0,VLOOKUP(D154,female_reg,3,FALSE)-C154*10,VLOOKUP(D154,male_reg,3,FALSE)-C154*10)),2)</f>
        <v/>
      </c>
      <c r="Q154" s="483" t="str">
        <f>IFERROR(IF(OR(J154=0,J154="-",J154=" ",J154="",J154=" ",J154="Athlete"),"",IF($A153&gt;0,VLOOKUP(J154,female_reg,3,FALSE)-C154*10,VLOOKUP(J154,male_reg,3,FALSE)-C154*10)),2)</f>
        <v/>
      </c>
      <c r="R154" s="483"/>
      <c r="T154" s="483">
        <f t="shared" si="69"/>
        <v>0</v>
      </c>
      <c r="U154" s="483">
        <f t="shared" si="70"/>
        <v>0</v>
      </c>
      <c r="V154" s="467" t="str">
        <f t="shared" si="79"/>
        <v>X</v>
      </c>
      <c r="W154" s="467" t="str">
        <f t="shared" si="80"/>
        <v>X</v>
      </c>
      <c r="Z154" s="467">
        <f t="shared" si="71"/>
        <v>0</v>
      </c>
      <c r="AA154" s="467">
        <f t="shared" si="72"/>
        <v>0</v>
      </c>
    </row>
    <row r="155" spans="1:27" x14ac:dyDescent="0.35">
      <c r="A155" s="483"/>
      <c r="C155" s="483"/>
      <c r="P155" s="483" t="str">
        <f>IFERROR(IF(OR(D155=0,D155="-",D155="",D155=" ",D155=" ",D155="Athlete"),"",IF($A153&gt;0,VLOOKUP(D155,female_reg,3,FALSE)-C155*10,VLOOKUP(D155,male_reg,3,FALSE)-C155*10)),"X")</f>
        <v/>
      </c>
      <c r="Q155" s="483" t="str">
        <f>IFERROR(IF(OR(J155=0,J155="-",J155=" ",J155="",J155=" ",J155="Athlete"),"",IF($A153&gt;0,VLOOKUP(J155,female_reg,3,FALSE)-C155*10,VLOOKUP(J155,male_reg,3,FALSE)-C155*10)),"X")</f>
        <v/>
      </c>
      <c r="R155" s="483"/>
      <c r="T155" s="483">
        <f t="shared" ca="1" si="69"/>
        <v>0</v>
      </c>
      <c r="U155" s="483">
        <f t="shared" ca="1" si="70"/>
        <v>0</v>
      </c>
      <c r="Z155" s="467">
        <f t="shared" ca="1" si="71"/>
        <v>0</v>
      </c>
      <c r="AA155" s="467">
        <f t="shared" ca="1" si="72"/>
        <v>0</v>
      </c>
    </row>
    <row r="156" spans="1:27" x14ac:dyDescent="0.35">
      <c r="A156" s="111" t="str">
        <f ca="1">IFERROR(INDIRECT(CONCATENATE("'Timetables'!A"&amp;A159)),"")</f>
        <v>LTD87</v>
      </c>
      <c r="B156" s="469" t="str">
        <f ca="1">IFERROR(VLOOKUP(A156,timetables,2,FALSE)&amp;" "&amp;VLOOKUP(A156,timetables,3,FALSE)&amp;" A","")</f>
        <v>800m NS U15 Girls A</v>
      </c>
      <c r="C156" s="469"/>
      <c r="E156" s="470" t="str">
        <f ca="1">"Starts "&amp;TEXT(VLOOKUP(A156,timetables,7-MatchDay!$U$7,FALSE),"hh:mm")</f>
        <v>Starts 13:40</v>
      </c>
      <c r="F156" s="471"/>
      <c r="H156" s="472" t="str">
        <f ca="1">IFERROR("Rec: "&amp;TEXT(VLOOKUP(A156,records,5,FALSE),"mm:ss.00")&amp;", "&amp;VLOOKUP(A156,records,3,FALSE)&amp;", "&amp;VLOOKUP(A156,records,4,FALSE)&amp;", "&amp;VLOOKUP(A156,records,8,FALSE),"")</f>
        <v>Rec: 02:07.80, Tilly Simpson, Hallamshire Harriers, 2015</v>
      </c>
      <c r="K156" s="473"/>
      <c r="L156" s="474"/>
      <c r="M156" s="467"/>
      <c r="P156" s="468" t="str">
        <f>IFERROR(IF(OR(D156=0,D156="-",D156="",D156=" ",D156=" ",D156="Athlete"),"",IF($A164&gt;0,VLOOKUP(D156,female_reg,3,FALSE)-C156*10,VLOOKUP(D156,male_reg,3,FALSE)-C156*10)),"X")</f>
        <v/>
      </c>
      <c r="Q156" s="468" t="str">
        <f>IFERROR(IF(OR(J156=0,J156="-",J156=" ",J156="",J156=" ",J156="Athlete"),"",IF($A164&gt;0,VLOOKUP(J156,female_reg,3,FALSE)-C156*10,VLOOKUP(J156,male_reg,3,FALSE)-C156*10)),"X")</f>
        <v/>
      </c>
      <c r="T156" s="468">
        <f t="shared" ca="1" si="69"/>
        <v>0</v>
      </c>
      <c r="U156" s="468">
        <f t="shared" ca="1" si="70"/>
        <v>0</v>
      </c>
      <c r="Z156" s="467">
        <f t="shared" ca="1" si="71"/>
        <v>0</v>
      </c>
      <c r="AA156" s="467">
        <f t="shared" ca="1" si="72"/>
        <v>0</v>
      </c>
    </row>
    <row r="157" spans="1:27" x14ac:dyDescent="0.35">
      <c r="A157" s="85" t="str">
        <f ca="1">MID(A156,2,3)</f>
        <v>TD8</v>
      </c>
      <c r="B157" s="9" t="s">
        <v>786</v>
      </c>
      <c r="C157" s="9" t="s">
        <v>183</v>
      </c>
      <c r="D157" s="46" t="s">
        <v>227</v>
      </c>
      <c r="E157" s="46" t="s">
        <v>228</v>
      </c>
      <c r="F157" s="475"/>
      <c r="G157" s="46"/>
      <c r="H157" s="9" t="s">
        <v>786</v>
      </c>
      <c r="I157" s="9" t="s">
        <v>183</v>
      </c>
      <c r="J157" s="46" t="s">
        <v>227</v>
      </c>
      <c r="K157" s="46" t="s">
        <v>228</v>
      </c>
      <c r="L157" s="475"/>
      <c r="M157" s="475"/>
      <c r="N157" s="52"/>
      <c r="P157" s="483" t="str">
        <f>IFERROR(IF(OR(D157=0,D157="-",D157="",D157=" ",D157=" ",D157="Athlete"),"",IF($A164&gt;0,VLOOKUP(D157,female_reg,3,FALSE)-C157*10,VLOOKUP(D157,male_reg,3,FALSE)-C157*10)),"X")</f>
        <v/>
      </c>
      <c r="Q157" s="483" t="str">
        <f>IFERROR(IF(OR(J157=0,J157="-",J157=" ",J157="",J157=" ",J157="Athlete"),"",IF($A164&gt;0,VLOOKUP(J157,female_reg,3,FALSE)-C157*10,VLOOKUP(J157,male_reg,3,FALSE)-C157*10)),"X")</f>
        <v/>
      </c>
      <c r="R157" s="483"/>
      <c r="T157" s="483">
        <f t="shared" ca="1" si="69"/>
        <v>0</v>
      </c>
      <c r="U157" s="483">
        <f t="shared" ca="1" si="70"/>
        <v>0</v>
      </c>
      <c r="Z157" s="467">
        <f t="shared" ca="1" si="71"/>
        <v>0</v>
      </c>
      <c r="AA157" s="467">
        <f t="shared" ca="1" si="72"/>
        <v>0</v>
      </c>
    </row>
    <row r="158" spans="1:27" x14ac:dyDescent="0.35">
      <c r="A158" s="181">
        <f ca="1">IFERROR(VLOOKUP(A156,Timetables!$A:$E,5,FALSE)-1,"")</f>
        <v>8</v>
      </c>
      <c r="B158" s="477">
        <v>1</v>
      </c>
      <c r="C158" s="477">
        <f ca="1">IFERROR(IF(B158&gt;MatchDay!$U$2,"",IF(MatchDay!$D$6=2,"",VLOOKUP(A156,Timetables!$A:$DK,MatchDay!$U$4+B158-MatchDay!$D$6,FALSE))),"")</f>
        <v>3</v>
      </c>
      <c r="D158" s="467" t="str">
        <f ca="1">IFERROR(HLOOKUP(C158,Declarations!$D$2:$S$102,A158,FALSE),"")</f>
        <v>-</v>
      </c>
      <c r="E158" s="467" t="str">
        <f ca="1">IFERROR(VLOOKUP(C158,teamlookup,5,FALSE),"")</f>
        <v>York</v>
      </c>
      <c r="F158" s="466"/>
      <c r="G158" s="476"/>
      <c r="H158" s="477">
        <v>1</v>
      </c>
      <c r="I158" s="477">
        <f ca="1">IFERROR(C158*11,"")</f>
        <v>33</v>
      </c>
      <c r="J158" s="467" t="str">
        <f ca="1">IFERROR(HLOOKUP(I158,Declarations!$D$2:$S$102,$A158,FALSE),"")</f>
        <v>-</v>
      </c>
      <c r="K158" s="467" t="str">
        <f t="shared" ref="K158:K165" ca="1" si="83">IFERROR(VLOOKUP(I158,teamlookup,5,FALSE),"")</f>
        <v>York</v>
      </c>
      <c r="N158" s="478"/>
      <c r="P158" s="483" t="str">
        <f ca="1">IFERROR(IF(OR(D158=0,D158="-",D158="",D158=" ",D158=" ",D158="Athlete"),"",IF($A164&gt;0,VLOOKUP(D158,female_reg,3,FALSE)-C158*10,VLOOKUP(D158,male_reg,3,FALSE)-C158*10)),2)</f>
        <v/>
      </c>
      <c r="Q158" s="483" t="str">
        <f ca="1">IFERROR(IF(OR(J158=0,J158="-",J158=" ",J158="",J158=" ",J158="Athlete"),"",IF($A164&gt;0,VLOOKUP(J158,female_reg,3,FALSE)-C158*10,VLOOKUP(J158,male_reg,3,FALSE)-C158*10)),2)</f>
        <v/>
      </c>
      <c r="R158" s="483"/>
      <c r="T158" s="483">
        <f t="shared" ca="1" si="69"/>
        <v>0</v>
      </c>
      <c r="U158" s="483">
        <f t="shared" ca="1" si="70"/>
        <v>0</v>
      </c>
      <c r="V158" s="467" t="str">
        <f t="shared" ref="V158:V165" ca="1" si="84">IFERROR(IF(OR(D158=0,D158="-",D158="",D158=" ",D158=" "),"X",D158&amp;E158),"X")</f>
        <v>X</v>
      </c>
      <c r="W158" s="467" t="str">
        <f t="shared" ref="W158:W165" ca="1" si="85">IFERROR(IF(OR(J158=0,J158="-",J158="",J158=" ",J158=" "),"X",J158&amp;K158),"X")</f>
        <v>X</v>
      </c>
      <c r="Z158" s="467">
        <f t="shared" ca="1" si="71"/>
        <v>0</v>
      </c>
      <c r="AA158" s="467">
        <f t="shared" ca="1" si="72"/>
        <v>0</v>
      </c>
    </row>
    <row r="159" spans="1:27" x14ac:dyDescent="0.35">
      <c r="A159" s="483">
        <f>A148+1</f>
        <v>17</v>
      </c>
      <c r="B159" s="477">
        <v>2</v>
      </c>
      <c r="C159" s="477">
        <f ca="1">IFERROR(IF(B159&gt;MatchDay!$U$2+MatchDay!$D$6-1,"",VLOOKUP(A156,Timetables!$A:$DK,MatchDay!$U$4+B159-MatchDay!$D$6,FALSE)),"")</f>
        <v>5</v>
      </c>
      <c r="D159" s="467">
        <f ca="1">IFERROR(HLOOKUP(C159,Declarations!$D$2:$S$102,A158,FALSE),"")</f>
        <v>0</v>
      </c>
      <c r="E159" s="467" t="str">
        <f t="shared" ref="E159:E165" ca="1" si="86">IFERROR(VLOOKUP(C159,teamlookup,5,FALSE),"")</f>
        <v>Scun</v>
      </c>
      <c r="F159" s="466"/>
      <c r="G159" s="476"/>
      <c r="H159" s="477">
        <v>2</v>
      </c>
      <c r="I159" s="477">
        <f t="shared" ref="I159:I165" ca="1" si="87">IFERROR(C159*11,"")</f>
        <v>55</v>
      </c>
      <c r="J159" s="467">
        <f ca="1">IFERROR(HLOOKUP(I159,Declarations!$D$2:$S$102,$A158,FALSE),"")</f>
        <v>0</v>
      </c>
      <c r="K159" s="467" t="str">
        <f t="shared" ca="1" si="83"/>
        <v>Scun</v>
      </c>
      <c r="N159" s="478"/>
      <c r="P159" s="483" t="str">
        <f ca="1">IFERROR(IF(OR(D159=0,D159="-",D159="",D159=" ",D159=" ",D159="Athlete"),"",IF($A164&gt;0,VLOOKUP(D159,female_reg,3,FALSE)-C159*10,VLOOKUP(D159,male_reg,3,FALSE)-C159*10)),2)</f>
        <v/>
      </c>
      <c r="Q159" s="483" t="str">
        <f ca="1">IFERROR(IF(OR(J159=0,J159="-",J159=" ",J159="",J159=" ",J159="Athlete"),"",IF($A164&gt;0,VLOOKUP(J159,female_reg,3,FALSE)-C159*10,VLOOKUP(J159,male_reg,3,FALSE)-C159*10)),2)</f>
        <v/>
      </c>
      <c r="R159" s="483"/>
      <c r="T159" s="483">
        <f t="shared" ca="1" si="69"/>
        <v>0</v>
      </c>
      <c r="U159" s="483">
        <f t="shared" ca="1" si="70"/>
        <v>0</v>
      </c>
      <c r="V159" s="467" t="str">
        <f t="shared" ca="1" si="84"/>
        <v>X</v>
      </c>
      <c r="W159" s="467" t="str">
        <f t="shared" ca="1" si="85"/>
        <v>X</v>
      </c>
      <c r="Z159" s="467">
        <f t="shared" ca="1" si="71"/>
        <v>0</v>
      </c>
      <c r="AA159" s="467">
        <f t="shared" ca="1" si="72"/>
        <v>0</v>
      </c>
    </row>
    <row r="160" spans="1:27" x14ac:dyDescent="0.35">
      <c r="A160" s="118">
        <f ca="1">IFERROR(VLOOKUP(A156,standards,3,FALSE)+0.01,"-")</f>
        <v>1.1619212962962963E-2</v>
      </c>
      <c r="B160" s="477">
        <v>3</v>
      </c>
      <c r="C160" s="477">
        <f ca="1">IFERROR(IF(B160&gt;MatchDay!$U$2+MatchDay!$D$6-1,"",VLOOKUP(A156,Timetables!$A:$DK,MatchDay!$U$4+B160-MatchDay!$D$6,FALSE)),"")</f>
        <v>2</v>
      </c>
      <c r="D160" s="467">
        <f ca="1">IFERROR(HLOOKUP(C160,Declarations!$D$2:$S$102,A158,FALSE),"")</f>
        <v>0</v>
      </c>
      <c r="E160" s="467" t="str">
        <f t="shared" ca="1" si="86"/>
        <v>Sheff+D</v>
      </c>
      <c r="F160" s="466"/>
      <c r="G160" s="476"/>
      <c r="H160" s="477">
        <v>3</v>
      </c>
      <c r="I160" s="477">
        <f t="shared" ca="1" si="87"/>
        <v>22</v>
      </c>
      <c r="J160" s="467">
        <f ca="1">IFERROR(HLOOKUP(I160,Declarations!$D$2:$S$102,$A158,FALSE),"")</f>
        <v>0</v>
      </c>
      <c r="K160" s="467" t="str">
        <f t="shared" ca="1" si="83"/>
        <v>Sheff+D</v>
      </c>
      <c r="N160" s="478"/>
      <c r="P160" s="483" t="str">
        <f ca="1">IFERROR(IF(OR(D160=0,D160="-",D160="",D160=" ",D160=" ",D160="Athlete"),"",IF($A164&gt;0,VLOOKUP(D160,female_reg,3,FALSE)-C160*10,VLOOKUP(D160,male_reg,3,FALSE)-C160*10)),2)</f>
        <v/>
      </c>
      <c r="Q160" s="483" t="str">
        <f ca="1">IFERROR(IF(OR(J160=0,J160="-",J160=" ",J160="",J160=" ",J160="Athlete"),"",IF($A164&gt;0,VLOOKUP(J160,female_reg,3,FALSE)-C160*10,VLOOKUP(J160,male_reg,3,FALSE)-C160*10)),2)</f>
        <v/>
      </c>
      <c r="R160" s="483"/>
      <c r="T160" s="483">
        <f t="shared" ca="1" si="69"/>
        <v>0</v>
      </c>
      <c r="U160" s="483">
        <f t="shared" ca="1" si="70"/>
        <v>0</v>
      </c>
      <c r="V160" s="467" t="str">
        <f t="shared" ca="1" si="84"/>
        <v>X</v>
      </c>
      <c r="W160" s="467" t="str">
        <f t="shared" ca="1" si="85"/>
        <v>X</v>
      </c>
      <c r="Z160" s="467">
        <f t="shared" ca="1" si="71"/>
        <v>0</v>
      </c>
      <c r="AA160" s="467">
        <f t="shared" ca="1" si="72"/>
        <v>0</v>
      </c>
    </row>
    <row r="161" spans="1:27" x14ac:dyDescent="0.35">
      <c r="A161" s="118">
        <f ca="1">IFERROR(VLOOKUP(A156,standards,4,FALSE)+0.01,"-")</f>
        <v>1.1649305555555555E-2</v>
      </c>
      <c r="B161" s="477">
        <v>4</v>
      </c>
      <c r="C161" s="477">
        <f ca="1">IFERROR(IF(B161&gt;MatchDay!$U$2+MatchDay!$D$6-1,"",VLOOKUP(A156,Timetables!$A:$DK,MatchDay!$U$4+B161-MatchDay!$D$6,FALSE)),"")</f>
        <v>4</v>
      </c>
      <c r="D161" s="467" t="str">
        <f ca="1">IFERROR(HLOOKUP(C161,Declarations!$D$2:$S$102,A158,FALSE),"")</f>
        <v>-</v>
      </c>
      <c r="E161" s="467" t="str">
        <f t="shared" ca="1" si="86"/>
        <v>M'bro</v>
      </c>
      <c r="F161" s="466"/>
      <c r="G161" s="476"/>
      <c r="H161" s="477">
        <v>4</v>
      </c>
      <c r="I161" s="477">
        <f t="shared" ca="1" si="87"/>
        <v>44</v>
      </c>
      <c r="J161" s="467" t="str">
        <f ca="1">IFERROR(HLOOKUP(I161,Declarations!$D$2:$S$102,$A158,FALSE),"")</f>
        <v>-</v>
      </c>
      <c r="K161" s="467" t="str">
        <f t="shared" ca="1" si="83"/>
        <v>M'bro</v>
      </c>
      <c r="N161" s="478"/>
      <c r="P161" s="483" t="str">
        <f ca="1">IFERROR(IF(OR(D161=0,D161="-",D161="",D161=" ",D161=" ",D161="Athlete"),"",IF($A164&gt;0,VLOOKUP(D161,female_reg,3,FALSE)-C161*10,VLOOKUP(D161,male_reg,3,FALSE)-C161*10)),2)</f>
        <v/>
      </c>
      <c r="Q161" s="483" t="str">
        <f ca="1">IFERROR(IF(OR(J161=0,J161="-",J161=" ",J161="",J161=" ",J161="Athlete"),"",IF($A164&gt;0,VLOOKUP(J161,female_reg,3,FALSE)-C161*10,VLOOKUP(J161,male_reg,3,FALSE)-C161*10)),2)</f>
        <v/>
      </c>
      <c r="R161" s="483"/>
      <c r="T161" s="483">
        <f t="shared" ca="1" si="69"/>
        <v>0</v>
      </c>
      <c r="U161" s="483">
        <f t="shared" ca="1" si="70"/>
        <v>0</v>
      </c>
      <c r="V161" s="467" t="str">
        <f t="shared" ca="1" si="84"/>
        <v>X</v>
      </c>
      <c r="W161" s="467" t="str">
        <f t="shared" ca="1" si="85"/>
        <v>X</v>
      </c>
      <c r="Z161" s="467">
        <f t="shared" ca="1" si="71"/>
        <v>0</v>
      </c>
      <c r="AA161" s="467">
        <f t="shared" ca="1" si="72"/>
        <v>0</v>
      </c>
    </row>
    <row r="162" spans="1:27" x14ac:dyDescent="0.35">
      <c r="A162" s="118">
        <f ca="1">IFERROR(VLOOKUP(A156,standards,5,FALSE)+0.01,"-")</f>
        <v>1.1684027777777778E-2</v>
      </c>
      <c r="B162" s="477">
        <v>5</v>
      </c>
      <c r="C162" s="477">
        <f ca="1">IFERROR(IF(B162&gt;MatchDay!$U$2+MatchDay!$D$6-1,"",VLOOKUP(A156,Timetables!$A:$DK,MatchDay!$U$4+B162-MatchDay!$D$6,FALSE)),"")</f>
        <v>1</v>
      </c>
      <c r="D162" s="467">
        <f ca="1">IFERROR(HLOOKUP(C162,Declarations!$D$2:$S$102,A158,FALSE),"")</f>
        <v>0</v>
      </c>
      <c r="E162" s="467" t="str">
        <f t="shared" ca="1" si="86"/>
        <v>C'field</v>
      </c>
      <c r="F162" s="466"/>
      <c r="G162" s="476"/>
      <c r="H162" s="477">
        <v>5</v>
      </c>
      <c r="I162" s="477">
        <f t="shared" ca="1" si="87"/>
        <v>11</v>
      </c>
      <c r="J162" s="467">
        <f ca="1">IFERROR(HLOOKUP(I162,Declarations!$D$2:$S$102,$A158,FALSE),"")</f>
        <v>0</v>
      </c>
      <c r="K162" s="467" t="str">
        <f t="shared" ca="1" si="83"/>
        <v>C'field</v>
      </c>
      <c r="N162" s="478"/>
      <c r="P162" s="483" t="str">
        <f ca="1">IFERROR(IF(OR(D162=0,D162="-",D162="",D162=" ",D162=" ",D162="Athlete"),"",IF($A164&gt;0,VLOOKUP(D162,female_reg,3,FALSE)-C162*10,VLOOKUP(D162,male_reg,3,FALSE)-C162*10)),2)</f>
        <v/>
      </c>
      <c r="Q162" s="483" t="str">
        <f ca="1">IFERROR(IF(OR(J162=0,J162="-",J162=" ",J162="",J162=" ",J162="Athlete"),"",IF($A164&gt;0,VLOOKUP(J162,female_reg,3,FALSE)-C162*10,VLOOKUP(J162,male_reg,3,FALSE)-C162*10)),2)</f>
        <v/>
      </c>
      <c r="R162" s="483"/>
      <c r="T162" s="483">
        <f t="shared" ca="1" si="69"/>
        <v>0</v>
      </c>
      <c r="U162" s="483">
        <f t="shared" ca="1" si="70"/>
        <v>0</v>
      </c>
      <c r="V162" s="467" t="str">
        <f t="shared" ca="1" si="84"/>
        <v>X</v>
      </c>
      <c r="W162" s="467" t="str">
        <f t="shared" ca="1" si="85"/>
        <v>X</v>
      </c>
      <c r="Z162" s="467">
        <f t="shared" ca="1" si="71"/>
        <v>0</v>
      </c>
      <c r="AA162" s="467">
        <f t="shared" ca="1" si="72"/>
        <v>0</v>
      </c>
    </row>
    <row r="163" spans="1:27" x14ac:dyDescent="0.35">
      <c r="A163" s="118">
        <f ca="1">IFERROR(VLOOKUP(A156,standards,6,FALSE)+0.01,"-")</f>
        <v>1.1743055555555555E-2</v>
      </c>
      <c r="B163" s="477">
        <v>6</v>
      </c>
      <c r="C163" s="477" t="str">
        <f>IFERROR(IF(B163&gt;MatchDay!$U$2+MatchDay!$D$6-1,"",VLOOKUP(A156,Timetables!$A:$DK,MatchDay!$U$4+B163-MatchDay!$D$6,FALSE)),"")</f>
        <v/>
      </c>
      <c r="D163" s="467" t="str">
        <f>IFERROR(HLOOKUP(C163,Declarations!$D$2:$S$102,A158,FALSE),"")</f>
        <v/>
      </c>
      <c r="E163" s="467" t="str">
        <f t="shared" si="86"/>
        <v/>
      </c>
      <c r="F163" s="466"/>
      <c r="G163" s="476"/>
      <c r="H163" s="477">
        <v>6</v>
      </c>
      <c r="I163" s="477" t="str">
        <f t="shared" si="87"/>
        <v/>
      </c>
      <c r="J163" s="467" t="str">
        <f>IFERROR(HLOOKUP(I163,Declarations!$D$2:$S$102,$A158,FALSE),"")</f>
        <v/>
      </c>
      <c r="K163" s="467" t="str">
        <f t="shared" si="83"/>
        <v/>
      </c>
      <c r="N163" s="478"/>
      <c r="P163" s="483" t="str">
        <f>IFERROR(IF(OR(D163=0,D163="-",D163="",D163=" ",D163=" ",D163="Athlete"),"",IF($A164&gt;0,VLOOKUP(D163,female_reg,3,FALSE)-C163*10,VLOOKUP(D163,male_reg,3,FALSE)-C163*10)),2)</f>
        <v/>
      </c>
      <c r="Q163" s="483" t="str">
        <f>IFERROR(IF(OR(J163=0,J163="-",J163=" ",J163="",J163=" ",J163="Athlete"),"",IF($A164&gt;0,VLOOKUP(J163,female_reg,3,FALSE)-C163*10,VLOOKUP(J163,male_reg,3,FALSE)-C163*10)),2)</f>
        <v/>
      </c>
      <c r="R163" s="483"/>
      <c r="T163" s="483">
        <f t="shared" si="69"/>
        <v>0</v>
      </c>
      <c r="U163" s="483">
        <f t="shared" si="70"/>
        <v>0</v>
      </c>
      <c r="V163" s="467" t="str">
        <f t="shared" si="84"/>
        <v>X</v>
      </c>
      <c r="W163" s="467" t="str">
        <f t="shared" si="85"/>
        <v>X</v>
      </c>
      <c r="Z163" s="467">
        <f t="shared" si="71"/>
        <v>0</v>
      </c>
      <c r="AA163" s="467">
        <f t="shared" si="72"/>
        <v>0</v>
      </c>
    </row>
    <row r="164" spans="1:27" x14ac:dyDescent="0.35">
      <c r="A164" s="479">
        <f ca="1">IFERROR(SEARCH("Girls",B156),0)</f>
        <v>13</v>
      </c>
      <c r="B164" s="477">
        <v>7</v>
      </c>
      <c r="C164" s="477" t="str">
        <f>IFERROR(IF(B164&gt;MatchDay!$U$2+MatchDay!$D$6-1,"",VLOOKUP(A156,Timetables!$A:$DK,MatchDay!$U$4+B164-MatchDay!$D$6,FALSE)),"")</f>
        <v/>
      </c>
      <c r="D164" s="467" t="str">
        <f>IFERROR(HLOOKUP(C164,Declarations!$D$2:$S$102,A158,FALSE),"")</f>
        <v/>
      </c>
      <c r="E164" s="467" t="str">
        <f t="shared" si="86"/>
        <v/>
      </c>
      <c r="F164" s="466"/>
      <c r="G164" s="476"/>
      <c r="H164" s="477">
        <v>7</v>
      </c>
      <c r="I164" s="477" t="str">
        <f t="shared" si="87"/>
        <v/>
      </c>
      <c r="J164" s="467" t="str">
        <f>IFERROR(HLOOKUP(I164,Declarations!$D$2:$S$102,$A158,FALSE),"")</f>
        <v/>
      </c>
      <c r="K164" s="467" t="str">
        <f t="shared" si="83"/>
        <v/>
      </c>
      <c r="N164" s="478"/>
      <c r="P164" s="483" t="str">
        <f>IFERROR(IF(OR(D164=0,D164="-",D164="",D164=" ",D164=" ",D164="Athlete"),"",IF($A164&gt;0,VLOOKUP(D164,female_reg,3,FALSE)-C164*10,VLOOKUP(D164,male_reg,3,FALSE)-C164*10)),2)</f>
        <v/>
      </c>
      <c r="Q164" s="483" t="str">
        <f>IFERROR(IF(OR(J164=0,J164="-",J164=" ",J164="",J164=" ",J164="Athlete"),"",IF($A164&gt;0,VLOOKUP(J164,female_reg,3,FALSE)-C164*10,VLOOKUP(J164,male_reg,3,FALSE)-C164*10)),2)</f>
        <v/>
      </c>
      <c r="R164" s="483"/>
      <c r="T164" s="483">
        <f t="shared" si="69"/>
        <v>0</v>
      </c>
      <c r="U164" s="483">
        <f t="shared" si="70"/>
        <v>0</v>
      </c>
      <c r="V164" s="467" t="str">
        <f t="shared" si="84"/>
        <v>X</v>
      </c>
      <c r="W164" s="467" t="str">
        <f t="shared" si="85"/>
        <v>X</v>
      </c>
      <c r="Z164" s="467">
        <f t="shared" si="71"/>
        <v>0</v>
      </c>
      <c r="AA164" s="467">
        <f t="shared" si="72"/>
        <v>0</v>
      </c>
    </row>
    <row r="165" spans="1:27" x14ac:dyDescent="0.35">
      <c r="A165" s="116">
        <f ca="1">IFERROR(VLOOKUP(A156,records,5,FALSE),"")</f>
        <v>1.4791666666666666E-3</v>
      </c>
      <c r="B165" s="477">
        <v>8</v>
      </c>
      <c r="C165" s="477" t="str">
        <f>IFERROR(IF(B165&gt;MatchDay!$U$2+MatchDay!$D$6-1,"",VLOOKUP(A156,Timetables!$A:$DK,MatchDay!$U$4+B165-MatchDay!$D$6,FALSE)),"")</f>
        <v/>
      </c>
      <c r="D165" s="467" t="str">
        <f>IFERROR(HLOOKUP(C165,Declarations!$D$2:$S$102,A158,FALSE),"")</f>
        <v/>
      </c>
      <c r="E165" s="467" t="str">
        <f t="shared" si="86"/>
        <v/>
      </c>
      <c r="F165" s="466"/>
      <c r="G165" s="476"/>
      <c r="H165" s="477">
        <v>8</v>
      </c>
      <c r="I165" s="477" t="str">
        <f t="shared" si="87"/>
        <v/>
      </c>
      <c r="J165" s="467" t="str">
        <f>IFERROR(HLOOKUP(I165,Declarations!$D$2:$S$102,$A158,FALSE),"")</f>
        <v/>
      </c>
      <c r="K165" s="467" t="str">
        <f t="shared" si="83"/>
        <v/>
      </c>
      <c r="N165" s="478"/>
      <c r="P165" s="483" t="str">
        <f>IFERROR(IF(OR(D165=0,D165="-",D165="",D165=" ",D165=" ",D165="Athlete"),"",IF($A164&gt;0,VLOOKUP(D165,female_reg,3,FALSE)-C165*10,VLOOKUP(D165,male_reg,3,FALSE)-C165*10)),2)</f>
        <v/>
      </c>
      <c r="Q165" s="483" t="str">
        <f>IFERROR(IF(OR(J165=0,J165="-",J165=" ",J165="",J165=" ",J165="Athlete"),"",IF($A164&gt;0,VLOOKUP(J165,female_reg,3,FALSE)-C165*10,VLOOKUP(J165,male_reg,3,FALSE)-C165*10)),2)</f>
        <v/>
      </c>
      <c r="R165" s="483"/>
      <c r="T165" s="483">
        <f t="shared" si="69"/>
        <v>0</v>
      </c>
      <c r="U165" s="483">
        <f t="shared" si="70"/>
        <v>0</v>
      </c>
      <c r="V165" s="467" t="str">
        <f t="shared" si="84"/>
        <v>X</v>
      </c>
      <c r="W165" s="467" t="str">
        <f t="shared" si="85"/>
        <v>X</v>
      </c>
      <c r="Z165" s="467">
        <f t="shared" si="71"/>
        <v>0</v>
      </c>
      <c r="AA165" s="467">
        <f t="shared" si="72"/>
        <v>0</v>
      </c>
    </row>
    <row r="166" spans="1:27" x14ac:dyDescent="0.35">
      <c r="A166" s="483"/>
      <c r="C166" s="483"/>
      <c r="P166" s="483" t="str">
        <f>IFERROR(IF(OR(D166=0,D166="-",D166="",D166=" ",D166=" ",D166="Athlete"),"",IF($A164&gt;0,VLOOKUP(D166,female_reg,3,FALSE)-C166*10,VLOOKUP(D166,male_reg,3,FALSE)-C166*10)),"X")</f>
        <v/>
      </c>
      <c r="Q166" s="483" t="str">
        <f>IFERROR(IF(OR(J166=0,J166="-",J166=" ",J166="",J166=" ",J166="Athlete"),"",IF($A164&gt;0,VLOOKUP(J166,female_reg,3,FALSE)-C166*10,VLOOKUP(J166,male_reg,3,FALSE)-C166*10)),"X")</f>
        <v/>
      </c>
      <c r="R166" s="483"/>
      <c r="T166" s="483">
        <f t="shared" ca="1" si="69"/>
        <v>0</v>
      </c>
      <c r="U166" s="483">
        <f t="shared" ca="1" si="70"/>
        <v>0</v>
      </c>
      <c r="Z166" s="467">
        <f t="shared" ca="1" si="71"/>
        <v>0</v>
      </c>
      <c r="AA166" s="467">
        <f t="shared" ca="1" si="72"/>
        <v>0</v>
      </c>
    </row>
    <row r="167" spans="1:27" x14ac:dyDescent="0.35">
      <c r="A167" s="111" t="str">
        <f ca="1">IFERROR(INDIRECT(CONCATENATE("'Timetables'!A"&amp;A170)),"")</f>
        <v>LTD88</v>
      </c>
      <c r="B167" s="469" t="str">
        <f ca="1">IFERROR(VLOOKUP(A167,timetables,2,FALSE)&amp;" "&amp;VLOOKUP(A167,timetables,3,FALSE)&amp;" A","")</f>
        <v>800m NS U15 Boys A</v>
      </c>
      <c r="C167" s="469"/>
      <c r="E167" s="470" t="str">
        <f ca="1">"Starts "&amp;TEXT(VLOOKUP(A167,timetables,7-MatchDay!$U$7,FALSE),"hh:mm")</f>
        <v>Starts 13:55</v>
      </c>
      <c r="F167" s="471"/>
      <c r="H167" s="472" t="str">
        <f ca="1">IFERROR("Rec: "&amp;TEXT(VLOOKUP(A167,records,5,FALSE),"mm:ss.00")&amp;", "&amp;VLOOKUP(A167,records,3,FALSE)&amp;", "&amp;VLOOKUP(A167,records,4,FALSE)&amp;", "&amp;VLOOKUP(A167,records,8,FALSE),"")</f>
        <v>Rec: 01:59.70, Keelan Wilson, Rotherham Harriers, 2014</v>
      </c>
      <c r="K167" s="473"/>
      <c r="L167" s="474"/>
      <c r="M167" s="467"/>
      <c r="P167" s="468" t="str">
        <f>IFERROR(IF(OR(D167=0,D167="-",D167="",D167=" ",D167=" ",D167="Athlete"),"",IF($A175&gt;0,VLOOKUP(D167,female_reg,3,FALSE)-C167*10,VLOOKUP(D167,male_reg,3,FALSE)-C167*10)),"X")</f>
        <v/>
      </c>
      <c r="Q167" s="468" t="str">
        <f>IFERROR(IF(OR(J167=0,J167="-",J167=" ",J167="",J167=" ",J167="Athlete"),"",IF($A175&gt;0,VLOOKUP(J167,female_reg,3,FALSE)-C167*10,VLOOKUP(J167,male_reg,3,FALSE)-C167*10)),"X")</f>
        <v/>
      </c>
      <c r="T167" s="468">
        <f t="shared" ca="1" si="69"/>
        <v>0</v>
      </c>
      <c r="U167" s="468">
        <f t="shared" ca="1" si="70"/>
        <v>0</v>
      </c>
      <c r="Z167" s="467">
        <f t="shared" ca="1" si="71"/>
        <v>0</v>
      </c>
      <c r="AA167" s="467">
        <f t="shared" ca="1" si="72"/>
        <v>0</v>
      </c>
    </row>
    <row r="168" spans="1:27" x14ac:dyDescent="0.35">
      <c r="A168" s="85" t="str">
        <f ca="1">MID(A167,2,3)</f>
        <v>TD8</v>
      </c>
      <c r="B168" s="9" t="s">
        <v>786</v>
      </c>
      <c r="C168" s="9" t="s">
        <v>183</v>
      </c>
      <c r="D168" s="46" t="s">
        <v>227</v>
      </c>
      <c r="E168" s="46" t="s">
        <v>228</v>
      </c>
      <c r="F168" s="475"/>
      <c r="G168" s="46"/>
      <c r="H168" s="9" t="s">
        <v>786</v>
      </c>
      <c r="I168" s="9" t="s">
        <v>183</v>
      </c>
      <c r="J168" s="46" t="s">
        <v>227</v>
      </c>
      <c r="K168" s="46" t="s">
        <v>228</v>
      </c>
      <c r="L168" s="475"/>
      <c r="M168" s="475"/>
      <c r="N168" s="52"/>
      <c r="P168" s="483" t="str">
        <f>IFERROR(IF(OR(D168=0,D168="-",D168="",D168=" ",D168=" ",D168="Athlete"),"",IF($A175&gt;0,VLOOKUP(D168,female_reg,3,FALSE)-C168*10,VLOOKUP(D168,male_reg,3,FALSE)-C168*10)),"X")</f>
        <v/>
      </c>
      <c r="Q168" s="483" t="str">
        <f>IFERROR(IF(OR(J168=0,J168="-",J168=" ",J168="",J168=" ",J168="Athlete"),"",IF($A175&gt;0,VLOOKUP(J168,female_reg,3,FALSE)-C168*10,VLOOKUP(J168,male_reg,3,FALSE)-C168*10)),"X")</f>
        <v/>
      </c>
      <c r="R168" s="483"/>
      <c r="T168" s="483">
        <f t="shared" ca="1" si="69"/>
        <v>0</v>
      </c>
      <c r="U168" s="483">
        <f t="shared" ca="1" si="70"/>
        <v>0</v>
      </c>
      <c r="Z168" s="467">
        <f t="shared" ca="1" si="71"/>
        <v>0</v>
      </c>
      <c r="AA168" s="467">
        <f t="shared" ca="1" si="72"/>
        <v>0</v>
      </c>
    </row>
    <row r="169" spans="1:27" x14ac:dyDescent="0.35">
      <c r="A169" s="181">
        <f ca="1">IFERROR(VLOOKUP(A167,Timetables!$A:$E,5,FALSE)-1,"")</f>
        <v>58</v>
      </c>
      <c r="B169" s="477">
        <v>1</v>
      </c>
      <c r="C169" s="477">
        <f ca="1">IFERROR(IF(B169&gt;MatchDay!$U$2,"",IF(MatchDay!$D$6=2,"",VLOOKUP(A167,Timetables!$A:$DK,MatchDay!$U$4+B169-MatchDay!$D$6,FALSE))),"")</f>
        <v>3</v>
      </c>
      <c r="D169" s="467" t="str">
        <f ca="1">IFERROR(HLOOKUP(C169,Declarations!$D$2:$S$102,A169,FALSE),"")</f>
        <v>-</v>
      </c>
      <c r="E169" s="467" t="str">
        <f ca="1">IFERROR(VLOOKUP(C169,teamlookup,5,FALSE),"")</f>
        <v>York</v>
      </c>
      <c r="F169" s="466"/>
      <c r="G169" s="476"/>
      <c r="H169" s="477">
        <v>1</v>
      </c>
      <c r="I169" s="477">
        <f ca="1">IFERROR(C169*11,"")</f>
        <v>33</v>
      </c>
      <c r="J169" s="467" t="str">
        <f ca="1">IFERROR(HLOOKUP(I169,Declarations!$D$2:$S$102,$A169,FALSE),"")</f>
        <v>-</v>
      </c>
      <c r="K169" s="467" t="str">
        <f t="shared" ref="K169:K176" ca="1" si="88">IFERROR(VLOOKUP(I169,teamlookup,5,FALSE),"")</f>
        <v>York</v>
      </c>
      <c r="N169" s="478"/>
      <c r="P169" s="483" t="str">
        <f ca="1">IFERROR(IF(OR(D169=0,D169="-",D169="",D169=" ",D169=" ",D169="Athlete"),"",IF($A175&gt;0,VLOOKUP(D169,female_reg,3,FALSE)-C169*10,VLOOKUP(D169,male_reg,3,FALSE)-C169*10)),2)</f>
        <v/>
      </c>
      <c r="Q169" s="483" t="str">
        <f ca="1">IFERROR(IF(OR(J169=0,J169="-",J169=" ",J169="",J169=" ",J169="Athlete"),"",IF($A175&gt;0,VLOOKUP(J169,female_reg,3,FALSE)-C169*10,VLOOKUP(J169,male_reg,3,FALSE)-C169*10)),2)</f>
        <v/>
      </c>
      <c r="R169" s="483"/>
      <c r="T169" s="483">
        <f t="shared" ca="1" si="69"/>
        <v>0</v>
      </c>
      <c r="U169" s="483">
        <f t="shared" ca="1" si="70"/>
        <v>0</v>
      </c>
      <c r="V169" s="467" t="str">
        <f t="shared" ref="V169:V176" ca="1" si="89">IFERROR(IF(OR(D169=0,D169="-",D169="",D169=" ",D169=" "),"X",D169&amp;E169),"X")</f>
        <v>X</v>
      </c>
      <c r="W169" s="467" t="str">
        <f t="shared" ref="W169:W176" ca="1" si="90">IFERROR(IF(OR(J169=0,J169="-",J169="",J169=" ",J169=" "),"X",J169&amp;K169),"X")</f>
        <v>X</v>
      </c>
      <c r="Z169" s="467">
        <f t="shared" ca="1" si="71"/>
        <v>0</v>
      </c>
      <c r="AA169" s="467">
        <f t="shared" ca="1" si="72"/>
        <v>0</v>
      </c>
    </row>
    <row r="170" spans="1:27" x14ac:dyDescent="0.35">
      <c r="A170" s="483">
        <f>A159+1</f>
        <v>18</v>
      </c>
      <c r="B170" s="477">
        <v>2</v>
      </c>
      <c r="C170" s="477">
        <f ca="1">IFERROR(IF(B170&gt;MatchDay!$U$2+MatchDay!$D$6-1,"",VLOOKUP(A167,Timetables!$A:$DK,MatchDay!$U$4+B170-MatchDay!$D$6,FALSE)),"")</f>
        <v>5</v>
      </c>
      <c r="D170" s="467">
        <f ca="1">IFERROR(HLOOKUP(C170,Declarations!$D$2:$S$102,A169,FALSE),"")</f>
        <v>0</v>
      </c>
      <c r="E170" s="467" t="str">
        <f t="shared" ref="E170:E176" ca="1" si="91">IFERROR(VLOOKUP(C170,teamlookup,5,FALSE),"")</f>
        <v>Scun</v>
      </c>
      <c r="F170" s="466"/>
      <c r="G170" s="476"/>
      <c r="H170" s="477">
        <v>2</v>
      </c>
      <c r="I170" s="477">
        <f t="shared" ref="I170:I176" ca="1" si="92">IFERROR(C170*11,"")</f>
        <v>55</v>
      </c>
      <c r="J170" s="467">
        <f ca="1">IFERROR(HLOOKUP(I170,Declarations!$D$2:$S$102,$A169,FALSE),"")</f>
        <v>0</v>
      </c>
      <c r="K170" s="467" t="str">
        <f t="shared" ca="1" si="88"/>
        <v>Scun</v>
      </c>
      <c r="N170" s="478"/>
      <c r="P170" s="483" t="str">
        <f ca="1">IFERROR(IF(OR(D170=0,D170="-",D170="",D170=" ",D170=" ",D170="Athlete"),"",IF($A175&gt;0,VLOOKUP(D170,female_reg,3,FALSE)-C170*10,VLOOKUP(D170,male_reg,3,FALSE)-C170*10)),2)</f>
        <v/>
      </c>
      <c r="Q170" s="483" t="str">
        <f ca="1">IFERROR(IF(OR(J170=0,J170="-",J170=" ",J170="",J170=" ",J170="Athlete"),"",IF($A175&gt;0,VLOOKUP(J170,female_reg,3,FALSE)-C170*10,VLOOKUP(J170,male_reg,3,FALSE)-C170*10)),2)</f>
        <v/>
      </c>
      <c r="R170" s="483"/>
      <c r="T170" s="483">
        <f t="shared" ca="1" si="69"/>
        <v>0</v>
      </c>
      <c r="U170" s="483">
        <f t="shared" ca="1" si="70"/>
        <v>0</v>
      </c>
      <c r="V170" s="467" t="str">
        <f t="shared" ca="1" si="89"/>
        <v>X</v>
      </c>
      <c r="W170" s="467" t="str">
        <f t="shared" ca="1" si="90"/>
        <v>X</v>
      </c>
      <c r="Z170" s="467">
        <f t="shared" ca="1" si="71"/>
        <v>0</v>
      </c>
      <c r="AA170" s="467">
        <f t="shared" ca="1" si="72"/>
        <v>0</v>
      </c>
    </row>
    <row r="171" spans="1:27" x14ac:dyDescent="0.35">
      <c r="A171" s="118">
        <f ca="1">IFERROR(VLOOKUP(A167,standards,3,FALSE)+0.01,"-")</f>
        <v>1.1464120370370371E-2</v>
      </c>
      <c r="B171" s="477">
        <v>3</v>
      </c>
      <c r="C171" s="477">
        <f ca="1">IFERROR(IF(B171&gt;MatchDay!$U$2+MatchDay!$D$6-1,"",VLOOKUP(A167,Timetables!$A:$DK,MatchDay!$U$4+B171-MatchDay!$D$6,FALSE)),"")</f>
        <v>2</v>
      </c>
      <c r="D171" s="467">
        <f ca="1">IFERROR(HLOOKUP(C171,Declarations!$D$2:$S$102,A169,FALSE),"")</f>
        <v>0</v>
      </c>
      <c r="E171" s="467" t="str">
        <f t="shared" ca="1" si="91"/>
        <v>Sheff+D</v>
      </c>
      <c r="F171" s="466"/>
      <c r="G171" s="476"/>
      <c r="H171" s="477">
        <v>3</v>
      </c>
      <c r="I171" s="477">
        <f t="shared" ca="1" si="92"/>
        <v>22</v>
      </c>
      <c r="J171" s="467">
        <f ca="1">IFERROR(HLOOKUP(I171,Declarations!$D$2:$S$102,$A169,FALSE),"")</f>
        <v>0</v>
      </c>
      <c r="K171" s="467" t="str">
        <f t="shared" ca="1" si="88"/>
        <v>Sheff+D</v>
      </c>
      <c r="N171" s="478"/>
      <c r="P171" s="483" t="str">
        <f ca="1">IFERROR(IF(OR(D171=0,D171="-",D171="",D171=" ",D171=" ",D171="Athlete"),"",IF($A175&gt;0,VLOOKUP(D171,female_reg,3,FALSE)-C171*10,VLOOKUP(D171,male_reg,3,FALSE)-C171*10)),2)</f>
        <v/>
      </c>
      <c r="Q171" s="483" t="str">
        <f ca="1">IFERROR(IF(OR(J171=0,J171="-",J171=" ",J171="",J171=" ",J171="Athlete"),"",IF($A175&gt;0,VLOOKUP(J171,female_reg,3,FALSE)-C171*10,VLOOKUP(J171,male_reg,3,FALSE)-C171*10)),2)</f>
        <v/>
      </c>
      <c r="R171" s="483"/>
      <c r="T171" s="483">
        <f t="shared" ca="1" si="69"/>
        <v>0</v>
      </c>
      <c r="U171" s="483">
        <f t="shared" ca="1" si="70"/>
        <v>0</v>
      </c>
      <c r="V171" s="467" t="str">
        <f t="shared" ca="1" si="89"/>
        <v>X</v>
      </c>
      <c r="W171" s="467" t="str">
        <f t="shared" ca="1" si="90"/>
        <v>X</v>
      </c>
      <c r="Z171" s="467">
        <f t="shared" ca="1" si="71"/>
        <v>0</v>
      </c>
      <c r="AA171" s="467">
        <f t="shared" ca="1" si="72"/>
        <v>0</v>
      </c>
    </row>
    <row r="172" spans="1:27" x14ac:dyDescent="0.35">
      <c r="A172" s="118">
        <f ca="1">IFERROR(VLOOKUP(A167,standards,4,FALSE)+0.01,"-")</f>
        <v>1.150462962962963E-2</v>
      </c>
      <c r="B172" s="477">
        <v>4</v>
      </c>
      <c r="C172" s="477">
        <f ca="1">IFERROR(IF(B172&gt;MatchDay!$U$2+MatchDay!$D$6-1,"",VLOOKUP(A167,Timetables!$A:$DK,MatchDay!$U$4+B172-MatchDay!$D$6,FALSE)),"")</f>
        <v>4</v>
      </c>
      <c r="D172" s="467" t="str">
        <f ca="1">IFERROR(HLOOKUP(C172,Declarations!$D$2:$S$102,A169,FALSE),"")</f>
        <v>-</v>
      </c>
      <c r="E172" s="467" t="str">
        <f t="shared" ca="1" si="91"/>
        <v>M'bro</v>
      </c>
      <c r="F172" s="466"/>
      <c r="G172" s="476"/>
      <c r="H172" s="477">
        <v>4</v>
      </c>
      <c r="I172" s="477">
        <f t="shared" ca="1" si="92"/>
        <v>44</v>
      </c>
      <c r="J172" s="467" t="str">
        <f ca="1">IFERROR(HLOOKUP(I172,Declarations!$D$2:$S$102,$A169,FALSE),"")</f>
        <v>-</v>
      </c>
      <c r="K172" s="467" t="str">
        <f t="shared" ca="1" si="88"/>
        <v>M'bro</v>
      </c>
      <c r="N172" s="478"/>
      <c r="P172" s="483" t="str">
        <f ca="1">IFERROR(IF(OR(D172=0,D172="-",D172="",D172=" ",D172=" ",D172="Athlete"),"",IF($A175&gt;0,VLOOKUP(D172,female_reg,3,FALSE)-C172*10,VLOOKUP(D172,male_reg,3,FALSE)-C172*10)),2)</f>
        <v/>
      </c>
      <c r="Q172" s="483" t="str">
        <f ca="1">IFERROR(IF(OR(J172=0,J172="-",J172=" ",J172="",J172=" ",J172="Athlete"),"",IF($A175&gt;0,VLOOKUP(J172,female_reg,3,FALSE)-C172*10,VLOOKUP(J172,male_reg,3,FALSE)-C172*10)),2)</f>
        <v/>
      </c>
      <c r="R172" s="483"/>
      <c r="T172" s="483">
        <f t="shared" ca="1" si="69"/>
        <v>0</v>
      </c>
      <c r="U172" s="483">
        <f t="shared" ca="1" si="70"/>
        <v>0</v>
      </c>
      <c r="V172" s="467" t="str">
        <f t="shared" ca="1" si="89"/>
        <v>X</v>
      </c>
      <c r="W172" s="467" t="str">
        <f t="shared" ca="1" si="90"/>
        <v>X</v>
      </c>
      <c r="Z172" s="467">
        <f t="shared" ca="1" si="71"/>
        <v>0</v>
      </c>
      <c r="AA172" s="467">
        <f t="shared" ca="1" si="72"/>
        <v>0</v>
      </c>
    </row>
    <row r="173" spans="1:27" x14ac:dyDescent="0.35">
      <c r="A173" s="118">
        <f ca="1">IFERROR(VLOOKUP(A167,standards,5,FALSE)+0.01,"-")</f>
        <v>1.1541666666666667E-2</v>
      </c>
      <c r="B173" s="477">
        <v>5</v>
      </c>
      <c r="C173" s="477">
        <f ca="1">IFERROR(IF(B173&gt;MatchDay!$U$2+MatchDay!$D$6-1,"",VLOOKUP(A167,Timetables!$A:$DK,MatchDay!$U$4+B173-MatchDay!$D$6,FALSE)),"")</f>
        <v>1</v>
      </c>
      <c r="D173" s="467" t="str">
        <f ca="1">IFERROR(HLOOKUP(C173,Declarations!$D$2:$S$102,A169,FALSE),"")</f>
        <v>BAKER Joseph</v>
      </c>
      <c r="E173" s="467" t="str">
        <f t="shared" ca="1" si="91"/>
        <v>C'field</v>
      </c>
      <c r="F173" s="466"/>
      <c r="G173" s="476"/>
      <c r="H173" s="477">
        <v>5</v>
      </c>
      <c r="I173" s="477">
        <f t="shared" ca="1" si="92"/>
        <v>11</v>
      </c>
      <c r="J173" s="467">
        <f ca="1">IFERROR(HLOOKUP(I173,Declarations!$D$2:$S$102,$A169,FALSE),"")</f>
        <v>0</v>
      </c>
      <c r="K173" s="467" t="str">
        <f t="shared" ca="1" si="88"/>
        <v>C'field</v>
      </c>
      <c r="N173" s="478"/>
      <c r="P173" s="483">
        <f ca="1">IFERROR(IF(OR(D173=0,D173="-",D173="",D173=" ",D173=" ",D173="Athlete"),"",IF($A175&gt;0,VLOOKUP(D173,female_reg,3,FALSE)-C173*10,VLOOKUP(D173,male_reg,3,FALSE)-C173*10)),2)</f>
        <v>1</v>
      </c>
      <c r="Q173" s="483" t="str">
        <f ca="1">IFERROR(IF(OR(J173=0,J173="-",J173=" ",J173="",J173=" ",J173="Athlete"),"",IF($A175&gt;0,VLOOKUP(J173,female_reg,3,FALSE)-C173*10,VLOOKUP(J173,male_reg,3,FALSE)-C173*10)),2)</f>
        <v/>
      </c>
      <c r="R173" s="483"/>
      <c r="T173" s="483">
        <f t="shared" ca="1" si="69"/>
        <v>3</v>
      </c>
      <c r="U173" s="483">
        <f t="shared" ca="1" si="70"/>
        <v>0</v>
      </c>
      <c r="V173" s="467" t="str">
        <f t="shared" ca="1" si="89"/>
        <v>BAKER JosephC'field</v>
      </c>
      <c r="W173" s="467" t="str">
        <f t="shared" ca="1" si="90"/>
        <v>X</v>
      </c>
      <c r="Z173" s="467">
        <f t="shared" ca="1" si="71"/>
        <v>3</v>
      </c>
      <c r="AA173" s="467">
        <f t="shared" ca="1" si="72"/>
        <v>0</v>
      </c>
    </row>
    <row r="174" spans="1:27" x14ac:dyDescent="0.35">
      <c r="A174" s="118">
        <f ca="1">IFERROR(VLOOKUP(A167,standards,6,FALSE)+0.01,"-")</f>
        <v>1.1603009259259259E-2</v>
      </c>
      <c r="B174" s="477">
        <v>6</v>
      </c>
      <c r="C174" s="477" t="str">
        <f>IFERROR(IF(B174&gt;MatchDay!$U$2+MatchDay!$D$6-1,"",VLOOKUP(A167,Timetables!$A:$DK,MatchDay!$U$4+B174-MatchDay!$D$6,FALSE)),"")</f>
        <v/>
      </c>
      <c r="D174" s="467" t="str">
        <f>IFERROR(HLOOKUP(C174,Declarations!$D$2:$S$102,A169,FALSE),"")</f>
        <v/>
      </c>
      <c r="E174" s="467" t="str">
        <f t="shared" si="91"/>
        <v/>
      </c>
      <c r="F174" s="466"/>
      <c r="G174" s="476"/>
      <c r="H174" s="477">
        <v>6</v>
      </c>
      <c r="I174" s="477" t="str">
        <f t="shared" si="92"/>
        <v/>
      </c>
      <c r="J174" s="467" t="str">
        <f>IFERROR(HLOOKUP(I174,Declarations!$D$2:$S$102,$A169,FALSE),"")</f>
        <v/>
      </c>
      <c r="K174" s="467" t="str">
        <f t="shared" si="88"/>
        <v/>
      </c>
      <c r="N174" s="478"/>
      <c r="P174" s="483" t="str">
        <f>IFERROR(IF(OR(D174=0,D174="-",D174="",D174=" ",D174=" ",D174="Athlete"),"",IF($A175&gt;0,VLOOKUP(D174,female_reg,3,FALSE)-C174*10,VLOOKUP(D174,male_reg,3,FALSE)-C174*10)),2)</f>
        <v/>
      </c>
      <c r="Q174" s="483" t="str">
        <f>IFERROR(IF(OR(J174=0,J174="-",J174=" ",J174="",J174=" ",J174="Athlete"),"",IF($A175&gt;0,VLOOKUP(J174,female_reg,3,FALSE)-C174*10,VLOOKUP(J174,male_reg,3,FALSE)-C174*10)),2)</f>
        <v/>
      </c>
      <c r="R174" s="483"/>
      <c r="T174" s="483">
        <f t="shared" si="69"/>
        <v>0</v>
      </c>
      <c r="U174" s="483">
        <f t="shared" si="70"/>
        <v>0</v>
      </c>
      <c r="V174" s="467" t="str">
        <f t="shared" si="89"/>
        <v>X</v>
      </c>
      <c r="W174" s="467" t="str">
        <f t="shared" si="90"/>
        <v>X</v>
      </c>
      <c r="Z174" s="467">
        <f t="shared" si="71"/>
        <v>0</v>
      </c>
      <c r="AA174" s="467">
        <f t="shared" si="72"/>
        <v>0</v>
      </c>
    </row>
    <row r="175" spans="1:27" x14ac:dyDescent="0.35">
      <c r="A175" s="479">
        <f ca="1">IFERROR(SEARCH("Girls",B167),0)</f>
        <v>0</v>
      </c>
      <c r="B175" s="477">
        <v>7</v>
      </c>
      <c r="C175" s="477" t="str">
        <f>IFERROR(IF(B175&gt;MatchDay!$U$2+MatchDay!$D$6-1,"",VLOOKUP(A167,Timetables!$A:$DK,MatchDay!$U$4+B175-MatchDay!$D$6,FALSE)),"")</f>
        <v/>
      </c>
      <c r="D175" s="467" t="str">
        <f>IFERROR(HLOOKUP(C175,Declarations!$D$2:$S$102,A169,FALSE),"")</f>
        <v/>
      </c>
      <c r="E175" s="467" t="str">
        <f t="shared" si="91"/>
        <v/>
      </c>
      <c r="F175" s="466"/>
      <c r="G175" s="476"/>
      <c r="H175" s="477">
        <v>7</v>
      </c>
      <c r="I175" s="477" t="str">
        <f t="shared" si="92"/>
        <v/>
      </c>
      <c r="J175" s="467" t="str">
        <f>IFERROR(HLOOKUP(I175,Declarations!$D$2:$S$102,$A169,FALSE),"")</f>
        <v/>
      </c>
      <c r="K175" s="467" t="str">
        <f t="shared" si="88"/>
        <v/>
      </c>
      <c r="N175" s="478"/>
      <c r="P175" s="483" t="str">
        <f>IFERROR(IF(OR(D175=0,D175="-",D175="",D175=" ",D175=" ",D175="Athlete"),"",IF($A175&gt;0,VLOOKUP(D175,female_reg,3,FALSE)-C175*10,VLOOKUP(D175,male_reg,3,FALSE)-C175*10)),2)</f>
        <v/>
      </c>
      <c r="Q175" s="483" t="str">
        <f>IFERROR(IF(OR(J175=0,J175="-",J175=" ",J175="",J175=" ",J175="Athlete"),"",IF($A175&gt;0,VLOOKUP(J175,female_reg,3,FALSE)-C175*10,VLOOKUP(J175,male_reg,3,FALSE)-C175*10)),2)</f>
        <v/>
      </c>
      <c r="R175" s="483"/>
      <c r="T175" s="483">
        <f t="shared" si="69"/>
        <v>0</v>
      </c>
      <c r="U175" s="483">
        <f t="shared" si="70"/>
        <v>0</v>
      </c>
      <c r="V175" s="467" t="str">
        <f t="shared" si="89"/>
        <v>X</v>
      </c>
      <c r="W175" s="467" t="str">
        <f t="shared" si="90"/>
        <v>X</v>
      </c>
      <c r="Z175" s="467">
        <f t="shared" si="71"/>
        <v>0</v>
      </c>
      <c r="AA175" s="467">
        <f t="shared" si="72"/>
        <v>0</v>
      </c>
    </row>
    <row r="176" spans="1:27" x14ac:dyDescent="0.35">
      <c r="A176" s="116">
        <f ca="1">IFERROR(VLOOKUP(A167,records,5,FALSE),"")</f>
        <v>1.3854166666666667E-3</v>
      </c>
      <c r="B176" s="477">
        <v>8</v>
      </c>
      <c r="C176" s="477" t="str">
        <f>IFERROR(IF(B176&gt;MatchDay!$U$2+MatchDay!$D$6-1,"",VLOOKUP(A167,Timetables!$A:$DK,MatchDay!$U$4+B176-MatchDay!$D$6,FALSE)),"")</f>
        <v/>
      </c>
      <c r="D176" s="467" t="str">
        <f>IFERROR(HLOOKUP(C176,Declarations!$D$2:$S$102,A169,FALSE),"")</f>
        <v/>
      </c>
      <c r="E176" s="467" t="str">
        <f t="shared" si="91"/>
        <v/>
      </c>
      <c r="F176" s="466"/>
      <c r="G176" s="476"/>
      <c r="H176" s="477">
        <v>8</v>
      </c>
      <c r="I176" s="477" t="str">
        <f t="shared" si="92"/>
        <v/>
      </c>
      <c r="J176" s="467" t="str">
        <f>IFERROR(HLOOKUP(I176,Declarations!$D$2:$S$102,$A169,FALSE),"")</f>
        <v/>
      </c>
      <c r="K176" s="467" t="str">
        <f t="shared" si="88"/>
        <v/>
      </c>
      <c r="N176" s="478"/>
      <c r="P176" s="483" t="str">
        <f>IFERROR(IF(OR(D176=0,D176="-",D176="",D176=" ",D176=" ",D176="Athlete"),"",IF($A175&gt;0,VLOOKUP(D176,female_reg,3,FALSE)-C176*10,VLOOKUP(D176,male_reg,3,FALSE)-C176*10)),2)</f>
        <v/>
      </c>
      <c r="Q176" s="483" t="str">
        <f>IFERROR(IF(OR(J176=0,J176="-",J176=" ",J176="",J176=" ",J176="Athlete"),"",IF($A175&gt;0,VLOOKUP(J176,female_reg,3,FALSE)-C176*10,VLOOKUP(J176,male_reg,3,FALSE)-C176*10)),2)</f>
        <v/>
      </c>
      <c r="R176" s="483"/>
      <c r="T176" s="483">
        <f t="shared" si="69"/>
        <v>0</v>
      </c>
      <c r="U176" s="483">
        <f t="shared" si="70"/>
        <v>0</v>
      </c>
      <c r="V176" s="467" t="str">
        <f t="shared" si="89"/>
        <v>X</v>
      </c>
      <c r="W176" s="467" t="str">
        <f t="shared" si="90"/>
        <v>X</v>
      </c>
      <c r="Z176" s="467">
        <f t="shared" si="71"/>
        <v>0</v>
      </c>
      <c r="AA176" s="467">
        <f t="shared" si="72"/>
        <v>0</v>
      </c>
    </row>
    <row r="177" spans="1:27" x14ac:dyDescent="0.35">
      <c r="A177" s="483"/>
      <c r="C177" s="483"/>
      <c r="P177" s="483" t="str">
        <f>IFERROR(IF(OR(D177=0,D177="-",D177="",D177=" ",D177=" ",D177="Athlete"),"",IF($A175&gt;0,VLOOKUP(D177,female_reg,3,FALSE)-C177*10,VLOOKUP(D177,male_reg,3,FALSE)-C177*10)),"X")</f>
        <v/>
      </c>
      <c r="Q177" s="483" t="str">
        <f>IFERROR(IF(OR(J177=0,J177="-",J177=" ",J177="",J177=" ",J177="Athlete"),"",IF($A175&gt;0,VLOOKUP(J177,female_reg,3,FALSE)-C177*10,VLOOKUP(J177,male_reg,3,FALSE)-C177*10)),"X")</f>
        <v/>
      </c>
      <c r="R177" s="483"/>
      <c r="T177" s="483">
        <f t="shared" ca="1" si="69"/>
        <v>0</v>
      </c>
      <c r="U177" s="483">
        <f t="shared" ca="1" si="70"/>
        <v>0</v>
      </c>
      <c r="Z177" s="467">
        <f t="shared" ca="1" si="71"/>
        <v>0</v>
      </c>
      <c r="AA177" s="467">
        <f t="shared" ca="1" si="72"/>
        <v>0</v>
      </c>
    </row>
    <row r="178" spans="1:27" x14ac:dyDescent="0.35">
      <c r="A178" s="111" t="str">
        <f ca="1">IFERROR(INDIRECT(CONCATENATE("'Timetables'!A"&amp;A181)),"")</f>
        <v>LT09</v>
      </c>
      <c r="B178" s="469" t="str">
        <f ca="1">IFERROR(VLOOKUP(A178,timetables,2,FALSE)&amp;" "&amp;VLOOKUP(A178,timetables,3,FALSE)&amp;" A","")</f>
        <v>75m U13 Girls A</v>
      </c>
      <c r="C178" s="469"/>
      <c r="E178" s="470" t="str">
        <f ca="1">"Starts "&amp;TEXT(VLOOKUP(A178,timetables,7-MatchDay!$U$7,FALSE),"hh:mm")</f>
        <v>Starts 14:00</v>
      </c>
      <c r="F178" s="471"/>
      <c r="H178" s="472" t="str">
        <f ca="1">IFERROR("Rec: "&amp;TEXT(VLOOKUP(A178,records,5,FALSE),"#0.00")&amp;"s, "&amp;VLOOKUP(A178,records,3,FALSE)&amp;", "&amp;VLOOKUP(A178,records,4,FALSE)&amp;", "&amp;VLOOKUP(A178,records,8,FALSE),"")</f>
        <v>Rec: 9.50s, Lily Thurbon-Smith, Bournemouth &amp; New Forest Juniors, 2018</v>
      </c>
      <c r="K178" s="473"/>
      <c r="L178" s="474"/>
      <c r="M178" s="467"/>
      <c r="P178" s="468" t="str">
        <f>IFERROR(IF(OR(D178=0,D178="-",D178="",D178=" ",D178=" ",D178="Athlete"),"",IF($A186&gt;0,VLOOKUP(D178,female_reg,3,FALSE)-C178*10,VLOOKUP(D178,male_reg,3,FALSE)-C178*10)),"X")</f>
        <v/>
      </c>
      <c r="Q178" s="468" t="str">
        <f>IFERROR(IF(OR(J178=0,J178="-",J178=" ",J178="",J178=" ",J178="Athlete"),"",IF($A186&gt;0,VLOOKUP(J178,female_reg,3,FALSE)-C178*10,VLOOKUP(J178,male_reg,3,FALSE)-C178*10)),"X")</f>
        <v/>
      </c>
      <c r="T178" s="468">
        <f t="shared" ca="1" si="69"/>
        <v>0</v>
      </c>
      <c r="U178" s="468">
        <f t="shared" ca="1" si="70"/>
        <v>0</v>
      </c>
      <c r="Z178" s="467">
        <f t="shared" ca="1" si="71"/>
        <v>0</v>
      </c>
      <c r="AA178" s="467">
        <f t="shared" ca="1" si="72"/>
        <v>0</v>
      </c>
    </row>
    <row r="179" spans="1:27" x14ac:dyDescent="0.35">
      <c r="A179" s="85" t="str">
        <f ca="1">MID(A178,2,3)</f>
        <v>T09</v>
      </c>
      <c r="B179" s="9" t="s">
        <v>786</v>
      </c>
      <c r="C179" s="9" t="s">
        <v>183</v>
      </c>
      <c r="D179" s="46" t="s">
        <v>227</v>
      </c>
      <c r="E179" s="46" t="s">
        <v>228</v>
      </c>
      <c r="F179" s="475"/>
      <c r="G179" s="46"/>
      <c r="H179" s="9" t="s">
        <v>786</v>
      </c>
      <c r="I179" s="9" t="s">
        <v>183</v>
      </c>
      <c r="J179" s="46" t="s">
        <v>227</v>
      </c>
      <c r="K179" s="46" t="s">
        <v>228</v>
      </c>
      <c r="L179" s="475"/>
      <c r="M179" s="475"/>
      <c r="N179" s="52"/>
      <c r="P179" s="483" t="str">
        <f>IFERROR(IF(OR(D179=0,D179="-",D179="",D179=" ",D179=" ",D179="Athlete"),"",IF($A186&gt;0,VLOOKUP(D179,female_reg,3,FALSE)-C179*10,VLOOKUP(D179,male_reg,3,FALSE)-C179*10)),"X")</f>
        <v/>
      </c>
      <c r="Q179" s="483" t="str">
        <f>IFERROR(IF(OR(J179=0,J179="-",J179=" ",J179="",J179=" ",J179="Athlete"),"",IF($A186&gt;0,VLOOKUP(J179,female_reg,3,FALSE)-C179*10,VLOOKUP(J179,male_reg,3,FALSE)-C179*10)),"X")</f>
        <v/>
      </c>
      <c r="R179" s="483"/>
      <c r="T179" s="483">
        <f t="shared" ca="1" si="69"/>
        <v>0</v>
      </c>
      <c r="U179" s="483">
        <f t="shared" ca="1" si="70"/>
        <v>0</v>
      </c>
      <c r="Z179" s="467">
        <f t="shared" ca="1" si="71"/>
        <v>0</v>
      </c>
      <c r="AA179" s="467">
        <f t="shared" ca="1" si="72"/>
        <v>0</v>
      </c>
    </row>
    <row r="180" spans="1:27" x14ac:dyDescent="0.35">
      <c r="A180" s="181">
        <f ca="1">IFERROR(VLOOKUP(A178,Timetables!$A:$E,5,FALSE)-1,"")</f>
        <v>28</v>
      </c>
      <c r="B180" s="477">
        <v>1</v>
      </c>
      <c r="C180" s="477">
        <f ca="1">IFERROR(IF(B180&gt;MatchDay!$U$2,"",IF(MatchDay!$D$6=2,"",VLOOKUP(A178,Timetables!$A:$DK,MatchDay!$U$4+B180-MatchDay!$D$6,FALSE))),"")</f>
        <v>1</v>
      </c>
      <c r="D180" s="467" t="str">
        <f ca="1">IFERROR(HLOOKUP(C180,Declarations!$D$2:$S$102,A180,FALSE),"")</f>
        <v>HUMPHREYS Melissa</v>
      </c>
      <c r="E180" s="467" t="str">
        <f ca="1">IFERROR(VLOOKUP(C180,teamlookup,5,FALSE),"")</f>
        <v>C'field</v>
      </c>
      <c r="F180" s="466"/>
      <c r="G180" s="476"/>
      <c r="H180" s="477">
        <v>1</v>
      </c>
      <c r="I180" s="477">
        <f ca="1">IFERROR(C180*11,"")</f>
        <v>11</v>
      </c>
      <c r="J180" s="467" t="str">
        <f ca="1">IFERROR(HLOOKUP(I180,Declarations!$D$2:$S$102,$A180,FALSE),"")</f>
        <v>PELL Gracie</v>
      </c>
      <c r="K180" s="467" t="str">
        <f t="shared" ref="K180:K187" ca="1" si="93">IFERROR(VLOOKUP(I180,teamlookup,5,FALSE),"")</f>
        <v>C'field</v>
      </c>
      <c r="N180" s="478"/>
      <c r="P180" s="483">
        <f ca="1">IFERROR(IF(OR(D180=0,D180="-",D180="",D180=" ",D180=" ",D180="Athlete"),"",IF($A186&gt;0,VLOOKUP(D180,female_reg,3,FALSE)-C180*10,VLOOKUP(D180,male_reg,3,FALSE)-C180*10)),2)</f>
        <v>1</v>
      </c>
      <c r="Q180" s="483">
        <f ca="1">IFERROR(IF(OR(J180=0,J180="-",J180=" ",J180="",J180=" ",J180="Athlete"),"",IF($A186&gt;0,VLOOKUP(J180,female_reg,3,FALSE)-C180*10,VLOOKUP(J180,male_reg,3,FALSE)-C180*10)),2)</f>
        <v>1</v>
      </c>
      <c r="R180" s="483"/>
      <c r="T180" s="483">
        <f t="shared" ca="1" si="69"/>
        <v>3</v>
      </c>
      <c r="U180" s="483">
        <f t="shared" ca="1" si="70"/>
        <v>2</v>
      </c>
      <c r="V180" s="467" t="str">
        <f t="shared" ref="V180:V187" ca="1" si="94">IFERROR(IF(OR(D180=0,D180="-",D180="",D180=" ",D180=" "),"X",D180&amp;E180),"X")</f>
        <v>HUMPHREYS MelissaC'field</v>
      </c>
      <c r="W180" s="467" t="str">
        <f t="shared" ref="W180:W187" ca="1" si="95">IFERROR(IF(OR(J180=0,J180="-",J180="",J180=" ",J180=" "),"X",J180&amp;K180),"X")</f>
        <v>PELL GracieC'field</v>
      </c>
      <c r="Z180" s="467">
        <f t="shared" ca="1" si="71"/>
        <v>3</v>
      </c>
      <c r="AA180" s="467">
        <f t="shared" ca="1" si="72"/>
        <v>3</v>
      </c>
    </row>
    <row r="181" spans="1:27" x14ac:dyDescent="0.35">
      <c r="A181" s="483">
        <f>A170+1</f>
        <v>19</v>
      </c>
      <c r="B181" s="477">
        <v>2</v>
      </c>
      <c r="C181" s="477">
        <f ca="1">IFERROR(IF(B181&gt;MatchDay!$U$2+MatchDay!$D$6-1,"",VLOOKUP(A178,Timetables!$A:$DK,MatchDay!$U$4+B181-MatchDay!$D$6,FALSE)),"")</f>
        <v>5</v>
      </c>
      <c r="D181" s="467" t="str">
        <f ca="1">IFERROR(HLOOKUP(C181,Declarations!$D$2:$S$102,A180,FALSE),"")</f>
        <v>STOW Libby</v>
      </c>
      <c r="E181" s="467" t="str">
        <f t="shared" ref="E181:E187" ca="1" si="96">IFERROR(VLOOKUP(C181,teamlookup,5,FALSE),"")</f>
        <v>Scun</v>
      </c>
      <c r="F181" s="466"/>
      <c r="G181" s="476"/>
      <c r="H181" s="477">
        <v>2</v>
      </c>
      <c r="I181" s="477">
        <f t="shared" ref="I181:I187" ca="1" si="97">IFERROR(C181*11,"")</f>
        <v>55</v>
      </c>
      <c r="J181" s="467" t="str">
        <f ca="1">IFERROR(HLOOKUP(I181,Declarations!$D$2:$S$102,$A180,FALSE),"")</f>
        <v>ABDI Zulekha</v>
      </c>
      <c r="K181" s="467" t="str">
        <f t="shared" ca="1" si="93"/>
        <v>Scun</v>
      </c>
      <c r="N181" s="478"/>
      <c r="P181" s="483">
        <f ca="1">IFERROR(IF(OR(D181=0,D181="-",D181="",D181=" ",D181=" ",D181="Athlete"),"",IF($A186&gt;0,VLOOKUP(D181,female_reg,3,FALSE)-C181*10,VLOOKUP(D181,male_reg,3,FALSE)-C181*10)),2)</f>
        <v>1</v>
      </c>
      <c r="Q181" s="483">
        <f ca="1">IFERROR(IF(OR(J181=0,J181="-",J181=" ",J181="",J181=" ",J181="Athlete"),"",IF($A186&gt;0,VLOOKUP(J181,female_reg,3,FALSE)-C181*10,VLOOKUP(J181,male_reg,3,FALSE)-C181*10)),2)</f>
        <v>1</v>
      </c>
      <c r="R181" s="483"/>
      <c r="T181" s="483">
        <f t="shared" ca="1" si="69"/>
        <v>2</v>
      </c>
      <c r="U181" s="483">
        <f t="shared" ca="1" si="70"/>
        <v>2</v>
      </c>
      <c r="V181" s="467" t="str">
        <f t="shared" ca="1" si="94"/>
        <v>STOW LibbyScun</v>
      </c>
      <c r="W181" s="467" t="str">
        <f t="shared" ca="1" si="95"/>
        <v>ABDI ZulekhaScun</v>
      </c>
      <c r="Z181" s="467">
        <f t="shared" ca="1" si="71"/>
        <v>2</v>
      </c>
      <c r="AA181" s="467">
        <f t="shared" ca="1" si="72"/>
        <v>2</v>
      </c>
    </row>
    <row r="182" spans="1:27" x14ac:dyDescent="0.35">
      <c r="A182" s="118">
        <f ca="1">IFERROR(VLOOKUP(A178,standards,3,FALSE)+0.01,"-")</f>
        <v>10.41</v>
      </c>
      <c r="B182" s="477">
        <v>3</v>
      </c>
      <c r="C182" s="477">
        <f ca="1">IFERROR(IF(B182&gt;MatchDay!$U$2+MatchDay!$D$6-1,"",VLOOKUP(A178,Timetables!$A:$DK,MatchDay!$U$4+B182-MatchDay!$D$6,FALSE)),"")</f>
        <v>4</v>
      </c>
      <c r="D182" s="467" t="str">
        <f ca="1">IFERROR(HLOOKUP(C182,Declarations!$D$2:$S$102,A180,FALSE),"")</f>
        <v>WILMOT Amy</v>
      </c>
      <c r="E182" s="467" t="str">
        <f t="shared" ca="1" si="96"/>
        <v>M'bro</v>
      </c>
      <c r="F182" s="466"/>
      <c r="G182" s="476"/>
      <c r="H182" s="477">
        <v>3</v>
      </c>
      <c r="I182" s="477">
        <f t="shared" ca="1" si="97"/>
        <v>44</v>
      </c>
      <c r="J182" s="467" t="str">
        <f ca="1">IFERROR(HLOOKUP(I182,Declarations!$D$2:$S$102,$A180,FALSE),"")</f>
        <v>SULLOCK Beth</v>
      </c>
      <c r="K182" s="467" t="str">
        <f t="shared" ca="1" si="93"/>
        <v>M'bro</v>
      </c>
      <c r="N182" s="478"/>
      <c r="P182" s="483">
        <f ca="1">IFERROR(IF(OR(D182=0,D182="-",D182="",D182=" ",D182=" ",D182="Athlete"),"",IF($A186&gt;0,VLOOKUP(D182,female_reg,3,FALSE)-C182*10,VLOOKUP(D182,male_reg,3,FALSE)-C182*10)),2)</f>
        <v>1</v>
      </c>
      <c r="Q182" s="483">
        <f ca="1">IFERROR(IF(OR(J182=0,J182="-",J182=" ",J182="",J182=" ",J182="Athlete"),"",IF($A186&gt;0,VLOOKUP(J182,female_reg,3,FALSE)-C182*10,VLOOKUP(J182,male_reg,3,FALSE)-C182*10)),2)</f>
        <v>1</v>
      </c>
      <c r="R182" s="483"/>
      <c r="T182" s="483">
        <f t="shared" ca="1" si="69"/>
        <v>2</v>
      </c>
      <c r="U182" s="483">
        <f t="shared" ca="1" si="70"/>
        <v>3</v>
      </c>
      <c r="V182" s="467" t="str">
        <f t="shared" ca="1" si="94"/>
        <v>WILMOT AmyM'bro</v>
      </c>
      <c r="W182" s="467" t="str">
        <f t="shared" ca="1" si="95"/>
        <v>SULLOCK BethM'bro</v>
      </c>
      <c r="Z182" s="467">
        <f t="shared" ca="1" si="71"/>
        <v>3</v>
      </c>
      <c r="AA182" s="467">
        <f t="shared" ca="1" si="72"/>
        <v>4</v>
      </c>
    </row>
    <row r="183" spans="1:27" x14ac:dyDescent="0.35">
      <c r="A183" s="118">
        <f ca="1">IFERROR(VLOOKUP(A178,standards,4,FALSE)+0.01,"-")</f>
        <v>10.61</v>
      </c>
      <c r="B183" s="477">
        <v>4</v>
      </c>
      <c r="C183" s="477">
        <f ca="1">IFERROR(IF(B183&gt;MatchDay!$U$2+MatchDay!$D$6-1,"",VLOOKUP(A178,Timetables!$A:$DK,MatchDay!$U$4+B183-MatchDay!$D$6,FALSE)),"")</f>
        <v>2</v>
      </c>
      <c r="D183" s="467" t="str">
        <f ca="1">IFERROR(HLOOKUP(C183,Declarations!$D$2:$S$102,A180,FALSE),"")</f>
        <v>HARTLEY Eleanor</v>
      </c>
      <c r="E183" s="467" t="str">
        <f t="shared" ca="1" si="96"/>
        <v>Sheff+D</v>
      </c>
      <c r="F183" s="466"/>
      <c r="G183" s="476"/>
      <c r="H183" s="477">
        <v>4</v>
      </c>
      <c r="I183" s="477">
        <f t="shared" ca="1" si="97"/>
        <v>22</v>
      </c>
      <c r="J183" s="467" t="str">
        <f ca="1">IFERROR(HLOOKUP(I183,Declarations!$D$2:$S$102,$A180,FALSE),"")</f>
        <v>ROBERTS Eve</v>
      </c>
      <c r="K183" s="467" t="str">
        <f t="shared" ca="1" si="93"/>
        <v>Sheff+D</v>
      </c>
      <c r="N183" s="478"/>
      <c r="P183" s="483">
        <f ca="1">IFERROR(IF(OR(D183=0,D183="-",D183="",D183=" ",D183=" ",D183="Athlete"),"",IF($A186&gt;0,VLOOKUP(D183,female_reg,3,FALSE)-C183*10,VLOOKUP(D183,male_reg,3,FALSE)-C183*10)),2)</f>
        <v>1</v>
      </c>
      <c r="Q183" s="483">
        <f ca="1">IFERROR(IF(OR(J183=0,J183="-",J183=" ",J183="",J183=" ",J183="Athlete"),"",IF($A186&gt;0,VLOOKUP(J183,female_reg,3,FALSE)-C183*10,VLOOKUP(J183,male_reg,3,FALSE)-C183*10)),2)</f>
        <v>1</v>
      </c>
      <c r="R183" s="483"/>
      <c r="T183" s="483">
        <f t="shared" ca="1" si="69"/>
        <v>3</v>
      </c>
      <c r="U183" s="483">
        <f t="shared" ca="1" si="70"/>
        <v>3</v>
      </c>
      <c r="V183" s="467" t="str">
        <f t="shared" ca="1" si="94"/>
        <v>HARTLEY EleanorSheff+D</v>
      </c>
      <c r="W183" s="467" t="str">
        <f t="shared" ca="1" si="95"/>
        <v>ROBERTS EveSheff+D</v>
      </c>
      <c r="Z183" s="467">
        <f t="shared" ca="1" si="71"/>
        <v>3</v>
      </c>
      <c r="AA183" s="467">
        <f t="shared" ca="1" si="72"/>
        <v>4</v>
      </c>
    </row>
    <row r="184" spans="1:27" x14ac:dyDescent="0.35">
      <c r="A184" s="118">
        <f ca="1">IFERROR(VLOOKUP(A178,standards,5,FALSE)+0.01,"-")</f>
        <v>10.91</v>
      </c>
      <c r="B184" s="477">
        <v>5</v>
      </c>
      <c r="C184" s="477">
        <f ca="1">IFERROR(IF(B184&gt;MatchDay!$U$2+MatchDay!$D$6-1,"",VLOOKUP(A178,Timetables!$A:$DK,MatchDay!$U$4+B184-MatchDay!$D$6,FALSE)),"")</f>
        <v>3</v>
      </c>
      <c r="D184" s="467" t="str">
        <f ca="1">IFERROR(HLOOKUP(C184,Declarations!$D$2:$S$102,A180,FALSE),"")</f>
        <v>MAUDE Emily</v>
      </c>
      <c r="E184" s="467" t="str">
        <f t="shared" ca="1" si="96"/>
        <v>York</v>
      </c>
      <c r="F184" s="466"/>
      <c r="G184" s="476"/>
      <c r="H184" s="477">
        <v>5</v>
      </c>
      <c r="I184" s="477">
        <f t="shared" ca="1" si="97"/>
        <v>33</v>
      </c>
      <c r="J184" s="467" t="str">
        <f ca="1">IFERROR(HLOOKUP(I184,Declarations!$D$2:$S$102,$A180,FALSE),"")</f>
        <v>SIGSWORTH Martha</v>
      </c>
      <c r="K184" s="467" t="str">
        <f t="shared" ca="1" si="93"/>
        <v>York</v>
      </c>
      <c r="N184" s="478"/>
      <c r="P184" s="483">
        <f ca="1">IFERROR(IF(OR(D184=0,D184="-",D184="",D184=" ",D184=" ",D184="Athlete"),"",IF($A186&gt;0,VLOOKUP(D184,female_reg,3,FALSE)-C184*10,VLOOKUP(D184,male_reg,3,FALSE)-C184*10)),2)</f>
        <v>1</v>
      </c>
      <c r="Q184" s="483">
        <f ca="1">IFERROR(IF(OR(J184=0,J184="-",J184=" ",J184="",J184=" ",J184="Athlete"),"",IF($A186&gt;0,VLOOKUP(J184,female_reg,3,FALSE)-C184*10,VLOOKUP(J184,male_reg,3,FALSE)-C184*10)),2)</f>
        <v>0</v>
      </c>
      <c r="R184" s="483"/>
      <c r="T184" s="483">
        <f t="shared" ca="1" si="69"/>
        <v>2</v>
      </c>
      <c r="U184" s="483">
        <f t="shared" ca="1" si="70"/>
        <v>2</v>
      </c>
      <c r="V184" s="467" t="str">
        <f t="shared" ca="1" si="94"/>
        <v>MAUDE EmilyYork</v>
      </c>
      <c r="W184" s="467" t="str">
        <f t="shared" ca="1" si="95"/>
        <v>SIGSWORTH MarthaYork</v>
      </c>
      <c r="Z184" s="467">
        <f t="shared" ca="1" si="71"/>
        <v>3</v>
      </c>
      <c r="AA184" s="467">
        <f t="shared" ca="1" si="72"/>
        <v>2</v>
      </c>
    </row>
    <row r="185" spans="1:27" x14ac:dyDescent="0.35">
      <c r="A185" s="118">
        <f ca="1">IFERROR(VLOOKUP(A178,standards,6,FALSE)+0.01,"-")</f>
        <v>11.31</v>
      </c>
      <c r="B185" s="477">
        <v>6</v>
      </c>
      <c r="C185" s="477" t="str">
        <f>IFERROR(IF(B185&gt;MatchDay!$U$2+MatchDay!$D$6-1,"",VLOOKUP(A178,Timetables!$A:$DK,MatchDay!$U$4+B185-MatchDay!$D$6,FALSE)),"")</f>
        <v/>
      </c>
      <c r="D185" s="467" t="str">
        <f>IFERROR(HLOOKUP(C185,Declarations!$D$2:$S$102,A180,FALSE),"")</f>
        <v/>
      </c>
      <c r="E185" s="467" t="str">
        <f t="shared" si="96"/>
        <v/>
      </c>
      <c r="F185" s="466"/>
      <c r="G185" s="476"/>
      <c r="H185" s="477">
        <v>6</v>
      </c>
      <c r="I185" s="477" t="str">
        <f t="shared" si="97"/>
        <v/>
      </c>
      <c r="J185" s="467" t="str">
        <f>IFERROR(HLOOKUP(I185,Declarations!$D$2:$S$102,$A180,FALSE),"")</f>
        <v/>
      </c>
      <c r="K185" s="467" t="str">
        <f t="shared" si="93"/>
        <v/>
      </c>
      <c r="N185" s="478"/>
      <c r="P185" s="483" t="str">
        <f>IFERROR(IF(OR(D185=0,D185="-",D185="",D185=" ",D185=" ",D185="Athlete"),"",IF($A186&gt;0,VLOOKUP(D185,female_reg,3,FALSE)-C185*10,VLOOKUP(D185,male_reg,3,FALSE)-C185*10)),2)</f>
        <v/>
      </c>
      <c r="Q185" s="483" t="str">
        <f>IFERROR(IF(OR(J185=0,J185="-",J185=" ",J185="",J185=" ",J185="Athlete"),"",IF($A186&gt;0,VLOOKUP(J185,female_reg,3,FALSE)-C185*10,VLOOKUP(J185,male_reg,3,FALSE)-C185*10)),2)</f>
        <v/>
      </c>
      <c r="R185" s="483"/>
      <c r="T185" s="483">
        <f t="shared" si="69"/>
        <v>0</v>
      </c>
      <c r="U185" s="483">
        <f t="shared" si="70"/>
        <v>0</v>
      </c>
      <c r="V185" s="467" t="str">
        <f t="shared" si="94"/>
        <v>X</v>
      </c>
      <c r="W185" s="467" t="str">
        <f t="shared" si="95"/>
        <v>X</v>
      </c>
      <c r="Z185" s="467">
        <f t="shared" si="71"/>
        <v>0</v>
      </c>
      <c r="AA185" s="467">
        <f t="shared" si="72"/>
        <v>0</v>
      </c>
    </row>
    <row r="186" spans="1:27" x14ac:dyDescent="0.35">
      <c r="A186" s="479">
        <f ca="1">IFERROR(SEARCH("Girls",B178),0)</f>
        <v>9</v>
      </c>
      <c r="B186" s="477">
        <v>7</v>
      </c>
      <c r="C186" s="477" t="str">
        <f>IFERROR(IF(B186&gt;MatchDay!$U$2+MatchDay!$D$6-1,"",VLOOKUP(A178,Timetables!$A:$DK,MatchDay!$U$4+B186-MatchDay!$D$6,FALSE)),"")</f>
        <v/>
      </c>
      <c r="D186" s="467" t="str">
        <f>IFERROR(HLOOKUP(C186,Declarations!$D$2:$S$102,A180,FALSE),"")</f>
        <v/>
      </c>
      <c r="E186" s="467" t="str">
        <f t="shared" si="96"/>
        <v/>
      </c>
      <c r="F186" s="466"/>
      <c r="G186" s="476"/>
      <c r="H186" s="477">
        <v>7</v>
      </c>
      <c r="I186" s="477" t="str">
        <f t="shared" si="97"/>
        <v/>
      </c>
      <c r="J186" s="467" t="str">
        <f>IFERROR(HLOOKUP(I186,Declarations!$D$2:$S$102,$A180,FALSE),"")</f>
        <v/>
      </c>
      <c r="K186" s="467" t="str">
        <f t="shared" si="93"/>
        <v/>
      </c>
      <c r="N186" s="478"/>
      <c r="P186" s="483" t="str">
        <f>IFERROR(IF(OR(D186=0,D186="-",D186="",D186=" ",D186=" ",D186="Athlete"),"",IF($A186&gt;0,VLOOKUP(D186,female_reg,3,FALSE)-C186*10,VLOOKUP(D186,male_reg,3,FALSE)-C186*10)),2)</f>
        <v/>
      </c>
      <c r="Q186" s="483" t="str">
        <f>IFERROR(IF(OR(J186=0,J186="-",J186=" ",J186="",J186=" ",J186="Athlete"),"",IF($A186&gt;0,VLOOKUP(J186,female_reg,3,FALSE)-C186*10,VLOOKUP(J186,male_reg,3,FALSE)-C186*10)),2)</f>
        <v/>
      </c>
      <c r="R186" s="483"/>
      <c r="T186" s="483">
        <f t="shared" si="69"/>
        <v>0</v>
      </c>
      <c r="U186" s="483">
        <f t="shared" si="70"/>
        <v>0</v>
      </c>
      <c r="V186" s="467" t="str">
        <f t="shared" si="94"/>
        <v>X</v>
      </c>
      <c r="W186" s="467" t="str">
        <f t="shared" si="95"/>
        <v>X</v>
      </c>
      <c r="Z186" s="467">
        <f t="shared" si="71"/>
        <v>0</v>
      </c>
      <c r="AA186" s="467">
        <f t="shared" si="72"/>
        <v>0</v>
      </c>
    </row>
    <row r="187" spans="1:27" x14ac:dyDescent="0.35">
      <c r="A187" s="116">
        <f ca="1">IFERROR(VLOOKUP(A178,records,5,FALSE),"")</f>
        <v>9.5</v>
      </c>
      <c r="B187" s="477">
        <v>8</v>
      </c>
      <c r="C187" s="477" t="str">
        <f>IFERROR(IF(B187&gt;MatchDay!$U$2+MatchDay!$D$6-1,"",VLOOKUP(A178,Timetables!$A:$DK,MatchDay!$U$4+B187-MatchDay!$D$6,FALSE)),"")</f>
        <v/>
      </c>
      <c r="D187" s="467" t="str">
        <f>IFERROR(HLOOKUP(C187,Declarations!$D$2:$S$102,A180,FALSE),"")</f>
        <v/>
      </c>
      <c r="E187" s="467" t="str">
        <f t="shared" si="96"/>
        <v/>
      </c>
      <c r="F187" s="466"/>
      <c r="G187" s="476"/>
      <c r="H187" s="477">
        <v>8</v>
      </c>
      <c r="I187" s="477" t="str">
        <f t="shared" si="97"/>
        <v/>
      </c>
      <c r="J187" s="467" t="str">
        <f>IFERROR(HLOOKUP(I187,Declarations!$D$2:$S$102,$A180,FALSE),"")</f>
        <v/>
      </c>
      <c r="K187" s="467" t="str">
        <f t="shared" si="93"/>
        <v/>
      </c>
      <c r="N187" s="478"/>
      <c r="P187" s="483" t="str">
        <f>IFERROR(IF(OR(D187=0,D187="-",D187="",D187=" ",D187=" ",D187="Athlete"),"",IF($A186&gt;0,VLOOKUP(D187,female_reg,3,FALSE)-C187*10,VLOOKUP(D187,male_reg,3,FALSE)-C187*10)),2)</f>
        <v/>
      </c>
      <c r="Q187" s="483" t="str">
        <f>IFERROR(IF(OR(J187=0,J187="-",J187=" ",J187="",J187=" ",J187="Athlete"),"",IF($A186&gt;0,VLOOKUP(J187,female_reg,3,FALSE)-C187*10,VLOOKUP(J187,male_reg,3,FALSE)-C187*10)),2)</f>
        <v/>
      </c>
      <c r="R187" s="483"/>
      <c r="T187" s="483">
        <f t="shared" si="69"/>
        <v>0</v>
      </c>
      <c r="U187" s="483">
        <f t="shared" si="70"/>
        <v>0</v>
      </c>
      <c r="V187" s="467" t="str">
        <f t="shared" si="94"/>
        <v>X</v>
      </c>
      <c r="W187" s="467" t="str">
        <f t="shared" si="95"/>
        <v>X</v>
      </c>
      <c r="Z187" s="467">
        <f t="shared" si="71"/>
        <v>0</v>
      </c>
      <c r="AA187" s="467">
        <f t="shared" si="72"/>
        <v>0</v>
      </c>
    </row>
    <row r="188" spans="1:27" x14ac:dyDescent="0.35">
      <c r="A188" s="483"/>
      <c r="C188" s="483"/>
      <c r="P188" s="483" t="str">
        <f>IFERROR(IF(OR(D188=0,D188="-",D188="",D188=" ",D188=" ",D188="Athlete"),"",IF($A186&gt;0,VLOOKUP(D188,female_reg,3,FALSE)-C188*10,VLOOKUP(D188,male_reg,3,FALSE)-C188*10)),"X")</f>
        <v/>
      </c>
      <c r="Q188" s="483" t="str">
        <f>IFERROR(IF(OR(J188=0,J188="-",J188=" ",J188="",J188=" ",J188="Athlete"),"",IF($A186&gt;0,VLOOKUP(J188,female_reg,3,FALSE)-C188*10,VLOOKUP(J188,male_reg,3,FALSE)-C188*10)),"X")</f>
        <v/>
      </c>
      <c r="R188" s="483"/>
      <c r="T188" s="483">
        <f t="shared" ca="1" si="69"/>
        <v>0</v>
      </c>
      <c r="U188" s="483">
        <f t="shared" ca="1" si="70"/>
        <v>0</v>
      </c>
      <c r="Z188" s="467">
        <f t="shared" ca="1" si="71"/>
        <v>0</v>
      </c>
      <c r="AA188" s="467">
        <f t="shared" ca="1" si="72"/>
        <v>0</v>
      </c>
    </row>
    <row r="189" spans="1:27" x14ac:dyDescent="0.35">
      <c r="A189" s="111" t="str">
        <f ca="1">IFERROR(INDIRECT(CONCATENATE("'Timetables'!A"&amp;A192)),"")</f>
        <v>LT10</v>
      </c>
      <c r="B189" s="469" t="str">
        <f ca="1">IFERROR(VLOOKUP(A189,timetables,2,FALSE)&amp;" "&amp;VLOOKUP(A189,timetables,3,FALSE)&amp;" A","")</f>
        <v>75m NS U13 Girls A</v>
      </c>
      <c r="C189" s="469"/>
      <c r="E189" s="470" t="str">
        <f ca="1">"Starts "&amp;TEXT(VLOOKUP(A189,timetables,7-MatchDay!$U$7,FALSE),"hh:mm")</f>
        <v>Starts 14:10</v>
      </c>
      <c r="F189" s="471"/>
      <c r="H189" s="472" t="str">
        <f ca="1">IFERROR("Rec: "&amp;TEXT(VLOOKUP(A189,records,5,FALSE),"#0.00")&amp;"s, "&amp;VLOOKUP(A189,records,3,FALSE)&amp;", "&amp;VLOOKUP(A189,records,4,FALSE)&amp;", "&amp;VLOOKUP(A189,records,8,FALSE),"")</f>
        <v>Rec: 9.50s, Lily Thurbon-Smith, Bournemouth &amp; New Forest Juniors, 2018</v>
      </c>
      <c r="K189" s="473"/>
      <c r="L189" s="474"/>
      <c r="M189" s="467"/>
      <c r="P189" s="468" t="str">
        <f>IFERROR(IF(OR(D189=0,D189="-",D189="",D189=" ",D189=" ",D189="Athlete"),"",IF($A197&gt;0,VLOOKUP(D189,female_reg,3,FALSE)-C189*10,VLOOKUP(D189,male_reg,3,FALSE)-C189*10)),"X")</f>
        <v/>
      </c>
      <c r="Q189" s="468" t="str">
        <f>IFERROR(IF(OR(J189=0,J189="-",J189=" ",J189="",J189=" ",J189="Athlete"),"",IF($A197&gt;0,VLOOKUP(J189,female_reg,3,FALSE)-C189*10,VLOOKUP(J189,male_reg,3,FALSE)-C189*10)),"X")</f>
        <v/>
      </c>
      <c r="T189" s="468">
        <f t="shared" ca="1" si="69"/>
        <v>0</v>
      </c>
      <c r="U189" s="468">
        <f t="shared" ca="1" si="70"/>
        <v>0</v>
      </c>
      <c r="Z189" s="467">
        <f t="shared" ca="1" si="71"/>
        <v>0</v>
      </c>
      <c r="AA189" s="467">
        <f t="shared" ca="1" si="72"/>
        <v>0</v>
      </c>
    </row>
    <row r="190" spans="1:27" x14ac:dyDescent="0.35">
      <c r="A190" s="85" t="str">
        <f ca="1">MID(A189,2,3)</f>
        <v>T10</v>
      </c>
      <c r="B190" s="9" t="s">
        <v>786</v>
      </c>
      <c r="C190" s="9" t="s">
        <v>183</v>
      </c>
      <c r="D190" s="46" t="s">
        <v>227</v>
      </c>
      <c r="E190" s="46" t="s">
        <v>228</v>
      </c>
      <c r="F190" s="475"/>
      <c r="G190" s="46"/>
      <c r="H190" s="9" t="s">
        <v>786</v>
      </c>
      <c r="I190" s="9" t="s">
        <v>183</v>
      </c>
      <c r="J190" s="46" t="s">
        <v>227</v>
      </c>
      <c r="K190" s="46" t="s">
        <v>228</v>
      </c>
      <c r="L190" s="475"/>
      <c r="M190" s="475"/>
      <c r="N190" s="52"/>
      <c r="P190" s="483" t="str">
        <f>IFERROR(IF(OR(D190=0,D190="-",D190="",D190=" ",D190=" ",D190="Athlete"),"",IF($A197&gt;0,VLOOKUP(D190,female_reg,3,FALSE)-C190*10,VLOOKUP(D190,male_reg,3,FALSE)-C190*10)),"X")</f>
        <v/>
      </c>
      <c r="Q190" s="483" t="str">
        <f>IFERROR(IF(OR(J190=0,J190="-",J190=" ",J190="",J190=" ",J190="Athlete"),"",IF($A197&gt;0,VLOOKUP(J190,female_reg,3,FALSE)-C190*10,VLOOKUP(J190,male_reg,3,FALSE)-C190*10)),"X")</f>
        <v/>
      </c>
      <c r="R190" s="483"/>
      <c r="T190" s="483">
        <f t="shared" ca="1" si="69"/>
        <v>0</v>
      </c>
      <c r="U190" s="483">
        <f t="shared" ca="1" si="70"/>
        <v>0</v>
      </c>
      <c r="Z190" s="467">
        <f t="shared" ca="1" si="71"/>
        <v>0</v>
      </c>
      <c r="AA190" s="467">
        <f t="shared" ca="1" si="72"/>
        <v>0</v>
      </c>
    </row>
    <row r="191" spans="1:27" x14ac:dyDescent="0.35">
      <c r="A191" s="181">
        <f ca="1">IFERROR(VLOOKUP(A189,Timetables!$A:$E,5,FALSE)-1,"")</f>
        <v>29</v>
      </c>
      <c r="B191" s="477">
        <v>1</v>
      </c>
      <c r="C191" s="477">
        <f ca="1">IFERROR(IF(B191&gt;MatchDay!$U$2,"",IF(MatchDay!$D$6=2,"",VLOOKUP(A189,Timetables!$A:$DK,MatchDay!$U$4+B191-MatchDay!$D$6,FALSE))),"")</f>
        <v>1</v>
      </c>
      <c r="D191" s="467" t="str">
        <f ca="1">IFERROR(HLOOKUP(C191,Declarations!$D$2:$S$102,A191,FALSE),"")</f>
        <v>HELPS Macy</v>
      </c>
      <c r="E191" s="467" t="str">
        <f ca="1">IFERROR(VLOOKUP(C191,teamlookup,5,FALSE),"")</f>
        <v>C'field</v>
      </c>
      <c r="F191" s="466"/>
      <c r="G191" s="476"/>
      <c r="H191" s="477">
        <v>1</v>
      </c>
      <c r="I191" s="477">
        <f ca="1">IFERROR(C191*11,"")</f>
        <v>11</v>
      </c>
      <c r="J191" s="467" t="str">
        <f ca="1">IFERROR(HLOOKUP(I191,Declarations!$D$2:$S$102,$A191,FALSE),"")</f>
        <v>HAILEY Faye</v>
      </c>
      <c r="K191" s="467" t="str">
        <f t="shared" ref="K191:K198" ca="1" si="98">IFERROR(VLOOKUP(I191,teamlookup,5,FALSE),"")</f>
        <v>C'field</v>
      </c>
      <c r="N191" s="478"/>
      <c r="P191" s="483">
        <f ca="1">IFERROR(IF(OR(D191=0,D191="-",D191="",D191=" ",D191=" ",D191="Athlete"),"",IF($A197&gt;0,VLOOKUP(D191,female_reg,3,FALSE)-C191*10,VLOOKUP(D191,male_reg,3,FALSE)-C191*10)),2)</f>
        <v>1</v>
      </c>
      <c r="Q191" s="483">
        <f ca="1">IFERROR(IF(OR(J191=0,J191="-",J191=" ",J191="",J191=" ",J191="Athlete"),"",IF($A197&gt;0,VLOOKUP(J191,female_reg,3,FALSE)-C191*10,VLOOKUP(J191,male_reg,3,FALSE)-C191*10)),2)</f>
        <v>1</v>
      </c>
      <c r="R191" s="483"/>
      <c r="T191" s="483">
        <f t="shared" ca="1" si="69"/>
        <v>2</v>
      </c>
      <c r="U191" s="483">
        <f t="shared" ca="1" si="70"/>
        <v>1</v>
      </c>
      <c r="V191" s="467" t="str">
        <f t="shared" ref="V191:V198" ca="1" si="99">IFERROR(IF(OR(D191=0,D191="-",D191="",D191=" ",D191=" "),"X",D191&amp;E191),"X")</f>
        <v>HELPS MacyC'field</v>
      </c>
      <c r="W191" s="467" t="str">
        <f t="shared" ref="W191:W198" ca="1" si="100">IFERROR(IF(OR(J191=0,J191="-",J191="",J191=" ",J191=" "),"X",J191&amp;K191),"X")</f>
        <v>HAILEY FayeC'field</v>
      </c>
      <c r="Z191" s="467">
        <f t="shared" ca="1" si="71"/>
        <v>2</v>
      </c>
      <c r="AA191" s="467">
        <f t="shared" ca="1" si="72"/>
        <v>2</v>
      </c>
    </row>
    <row r="192" spans="1:27" x14ac:dyDescent="0.35">
      <c r="A192" s="483">
        <f>A181+1</f>
        <v>20</v>
      </c>
      <c r="B192" s="477">
        <v>2</v>
      </c>
      <c r="C192" s="477">
        <f ca="1">IFERROR(IF(B192&gt;MatchDay!$U$2+MatchDay!$D$6-1,"",VLOOKUP(A189,Timetables!$A:$DK,MatchDay!$U$4+B192-MatchDay!$D$6,FALSE)),"")</f>
        <v>5</v>
      </c>
      <c r="D192" s="467">
        <f ca="1">IFERROR(HLOOKUP(C192,Declarations!$D$2:$S$102,A191,FALSE),"")</f>
        <v>0</v>
      </c>
      <c r="E192" s="467" t="str">
        <f t="shared" ref="E192:E198" ca="1" si="101">IFERROR(VLOOKUP(C192,teamlookup,5,FALSE),"")</f>
        <v>Scun</v>
      </c>
      <c r="F192" s="466"/>
      <c r="G192" s="476"/>
      <c r="H192" s="477">
        <v>2</v>
      </c>
      <c r="I192" s="477">
        <f t="shared" ref="I192:I198" ca="1" si="102">IFERROR(C192*11,"")</f>
        <v>55</v>
      </c>
      <c r="J192" s="467">
        <f ca="1">IFERROR(HLOOKUP(I192,Declarations!$D$2:$S$102,$A191,FALSE),"")</f>
        <v>0</v>
      </c>
      <c r="K192" s="467" t="str">
        <f t="shared" ca="1" si="98"/>
        <v>Scun</v>
      </c>
      <c r="N192" s="478"/>
      <c r="P192" s="483" t="str">
        <f ca="1">IFERROR(IF(OR(D192=0,D192="-",D192="",D192=" ",D192=" ",D192="Athlete"),"",IF($A197&gt;0,VLOOKUP(D192,female_reg,3,FALSE)-C192*10,VLOOKUP(D192,male_reg,3,FALSE)-C192*10)),2)</f>
        <v/>
      </c>
      <c r="Q192" s="483" t="str">
        <f ca="1">IFERROR(IF(OR(J192=0,J192="-",J192=" ",J192="",J192=" ",J192="Athlete"),"",IF($A197&gt;0,VLOOKUP(J192,female_reg,3,FALSE)-C192*10,VLOOKUP(J192,male_reg,3,FALSE)-C192*10)),2)</f>
        <v/>
      </c>
      <c r="R192" s="483"/>
      <c r="T192" s="483">
        <f t="shared" ca="1" si="69"/>
        <v>0</v>
      </c>
      <c r="U192" s="483">
        <f t="shared" ca="1" si="70"/>
        <v>0</v>
      </c>
      <c r="V192" s="467" t="str">
        <f t="shared" ca="1" si="99"/>
        <v>X</v>
      </c>
      <c r="W192" s="467" t="str">
        <f t="shared" ca="1" si="100"/>
        <v>X</v>
      </c>
      <c r="Z192" s="467">
        <f t="shared" ca="1" si="71"/>
        <v>0</v>
      </c>
      <c r="AA192" s="467">
        <f t="shared" ca="1" si="72"/>
        <v>0</v>
      </c>
    </row>
    <row r="193" spans="1:27" x14ac:dyDescent="0.35">
      <c r="A193" s="118">
        <f ca="1">IFERROR(VLOOKUP(A189,standards,3,FALSE)+0.01,"-")</f>
        <v>10.41</v>
      </c>
      <c r="B193" s="477">
        <v>3</v>
      </c>
      <c r="C193" s="477">
        <f ca="1">IFERROR(IF(B193&gt;MatchDay!$U$2+MatchDay!$D$6-1,"",VLOOKUP(A189,Timetables!$A:$DK,MatchDay!$U$4+B193-MatchDay!$D$6,FALSE)),"")</f>
        <v>4</v>
      </c>
      <c r="D193" s="467" t="str">
        <f ca="1">IFERROR(HLOOKUP(C193,Declarations!$D$2:$S$102,A191,FALSE),"")</f>
        <v>OKEY Gift</v>
      </c>
      <c r="E193" s="467" t="str">
        <f t="shared" ca="1" si="101"/>
        <v>M'bro</v>
      </c>
      <c r="F193" s="466"/>
      <c r="G193" s="476"/>
      <c r="H193" s="477">
        <v>3</v>
      </c>
      <c r="I193" s="477">
        <f t="shared" ca="1" si="102"/>
        <v>44</v>
      </c>
      <c r="J193" s="467" t="str">
        <f ca="1">IFERROR(HLOOKUP(I193,Declarations!$D$2:$S$102,$A191,FALSE),"")</f>
        <v>-</v>
      </c>
      <c r="K193" s="467" t="str">
        <f t="shared" ca="1" si="98"/>
        <v>M'bro</v>
      </c>
      <c r="N193" s="478"/>
      <c r="P193" s="483">
        <f ca="1">IFERROR(IF(OR(D193=0,D193="-",D193="",D193=" ",D193=" ",D193="Athlete"),"",IF($A197&gt;0,VLOOKUP(D193,female_reg,3,FALSE)-C193*10,VLOOKUP(D193,male_reg,3,FALSE)-C193*10)),2)</f>
        <v>1</v>
      </c>
      <c r="Q193" s="483" t="str">
        <f ca="1">IFERROR(IF(OR(J193=0,J193="-",J193=" ",J193="",J193=" ",J193="Athlete"),"",IF($A197&gt;0,VLOOKUP(J193,female_reg,3,FALSE)-C193*10,VLOOKUP(J193,male_reg,3,FALSE)-C193*10)),2)</f>
        <v/>
      </c>
      <c r="R193" s="483"/>
      <c r="T193" s="483">
        <f t="shared" ca="1" si="69"/>
        <v>1</v>
      </c>
      <c r="U193" s="483">
        <f t="shared" ca="1" si="70"/>
        <v>0</v>
      </c>
      <c r="V193" s="467" t="str">
        <f t="shared" ca="1" si="99"/>
        <v>OKEY GiftM'bro</v>
      </c>
      <c r="W193" s="467" t="str">
        <f t="shared" ca="1" si="100"/>
        <v>X</v>
      </c>
      <c r="Z193" s="467">
        <f t="shared" ca="1" si="71"/>
        <v>1</v>
      </c>
      <c r="AA193" s="467">
        <f t="shared" ca="1" si="72"/>
        <v>0</v>
      </c>
    </row>
    <row r="194" spans="1:27" x14ac:dyDescent="0.35">
      <c r="A194" s="118">
        <f ca="1">IFERROR(VLOOKUP(A189,standards,4,FALSE)+0.01,"-")</f>
        <v>10.61</v>
      </c>
      <c r="B194" s="477">
        <v>4</v>
      </c>
      <c r="C194" s="477">
        <f ca="1">IFERROR(IF(B194&gt;MatchDay!$U$2+MatchDay!$D$6-1,"",VLOOKUP(A189,Timetables!$A:$DK,MatchDay!$U$4+B194-MatchDay!$D$6,FALSE)),"")</f>
        <v>2</v>
      </c>
      <c r="D194" s="467" t="str">
        <f ca="1">IFERROR(HLOOKUP(C194,Declarations!$D$2:$S$102,A191,FALSE),"")</f>
        <v>BERRY Heather</v>
      </c>
      <c r="E194" s="467" t="str">
        <f t="shared" ca="1" si="101"/>
        <v>Sheff+D</v>
      </c>
      <c r="F194" s="466"/>
      <c r="G194" s="476"/>
      <c r="H194" s="477">
        <v>4</v>
      </c>
      <c r="I194" s="477">
        <f t="shared" ca="1" si="102"/>
        <v>22</v>
      </c>
      <c r="J194" s="467" t="str">
        <f ca="1">IFERROR(HLOOKUP(I194,Declarations!$D$2:$S$102,$A191,FALSE),"")</f>
        <v>GRAY Molly</v>
      </c>
      <c r="K194" s="467" t="str">
        <f t="shared" ca="1" si="98"/>
        <v>Sheff+D</v>
      </c>
      <c r="N194" s="478"/>
      <c r="P194" s="483">
        <f ca="1">IFERROR(IF(OR(D194=0,D194="-",D194="",D194=" ",D194=" ",D194="Athlete"),"",IF($A197&gt;0,VLOOKUP(D194,female_reg,3,FALSE)-C194*10,VLOOKUP(D194,male_reg,3,FALSE)-C194*10)),2)</f>
        <v>2</v>
      </c>
      <c r="Q194" s="483">
        <f ca="1">IFERROR(IF(OR(J194=0,J194="-",J194=" ",J194="",J194=" ",J194="Athlete"),"",IF($A197&gt;0,VLOOKUP(J194,female_reg,3,FALSE)-C194*10,VLOOKUP(J194,male_reg,3,FALSE)-C194*10)),2)</f>
        <v>1</v>
      </c>
      <c r="R194" s="483"/>
      <c r="T194" s="483">
        <f t="shared" ca="1" si="69"/>
        <v>3</v>
      </c>
      <c r="U194" s="483">
        <f t="shared" ca="1" si="70"/>
        <v>2</v>
      </c>
      <c r="V194" s="467" t="str">
        <f t="shared" ca="1" si="99"/>
        <v>BERRY HeatherSheff+D</v>
      </c>
      <c r="W194" s="467" t="str">
        <f t="shared" ca="1" si="100"/>
        <v>GRAY MollySheff+D</v>
      </c>
      <c r="Z194" s="467">
        <f t="shared" ca="1" si="71"/>
        <v>3</v>
      </c>
      <c r="AA194" s="467">
        <f t="shared" ca="1" si="72"/>
        <v>3</v>
      </c>
    </row>
    <row r="195" spans="1:27" x14ac:dyDescent="0.35">
      <c r="A195" s="118">
        <f ca="1">IFERROR(VLOOKUP(A189,standards,5,FALSE)+0.01,"-")</f>
        <v>10.91</v>
      </c>
      <c r="B195" s="477">
        <v>5</v>
      </c>
      <c r="C195" s="477">
        <f ca="1">IFERROR(IF(B195&gt;MatchDay!$U$2+MatchDay!$D$6-1,"",VLOOKUP(A189,Timetables!$A:$DK,MatchDay!$U$4+B195-MatchDay!$D$6,FALSE)),"")</f>
        <v>3</v>
      </c>
      <c r="D195" s="467" t="str">
        <f ca="1">IFERROR(HLOOKUP(C195,Declarations!$D$2:$S$102,A191,FALSE),"")</f>
        <v>BROOKS Laura</v>
      </c>
      <c r="E195" s="467" t="str">
        <f t="shared" ca="1" si="101"/>
        <v>York</v>
      </c>
      <c r="F195" s="466"/>
      <c r="G195" s="476"/>
      <c r="H195" s="477">
        <v>5</v>
      </c>
      <c r="I195" s="477">
        <f t="shared" ca="1" si="102"/>
        <v>33</v>
      </c>
      <c r="J195" s="467" t="str">
        <f ca="1">IFERROR(HLOOKUP(I195,Declarations!$D$2:$S$102,$A191,FALSE),"")</f>
        <v>POUNDER Esme</v>
      </c>
      <c r="K195" s="467" t="str">
        <f t="shared" ca="1" si="98"/>
        <v>York</v>
      </c>
      <c r="N195" s="478"/>
      <c r="P195" s="483">
        <f ca="1">IFERROR(IF(OR(D195=0,D195="-",D195="",D195=" ",D195=" ",D195="Athlete"),"",IF($A197&gt;0,VLOOKUP(D195,female_reg,3,FALSE)-C195*10,VLOOKUP(D195,male_reg,3,FALSE)-C195*10)),2)</f>
        <v>0</v>
      </c>
      <c r="Q195" s="483">
        <f ca="1">IFERROR(IF(OR(J195=0,J195="-",J195=" ",J195="",J195=" ",J195="Athlete"),"",IF($A197&gt;0,VLOOKUP(J195,female_reg,3,FALSE)-C195*10,VLOOKUP(J195,male_reg,3,FALSE)-C195*10)),2)</f>
        <v>1</v>
      </c>
      <c r="R195" s="483"/>
      <c r="T195" s="483">
        <f t="shared" ca="1" si="69"/>
        <v>2</v>
      </c>
      <c r="U195" s="483">
        <f t="shared" ca="1" si="70"/>
        <v>3</v>
      </c>
      <c r="V195" s="467" t="str">
        <f t="shared" ca="1" si="99"/>
        <v>BROOKS LauraYork</v>
      </c>
      <c r="W195" s="467" t="str">
        <f t="shared" ca="1" si="100"/>
        <v>POUNDER EsmeYork</v>
      </c>
      <c r="Z195" s="467">
        <f t="shared" ca="1" si="71"/>
        <v>2</v>
      </c>
      <c r="AA195" s="467">
        <f t="shared" ca="1" si="72"/>
        <v>4</v>
      </c>
    </row>
    <row r="196" spans="1:27" x14ac:dyDescent="0.35">
      <c r="A196" s="118">
        <f ca="1">IFERROR(VLOOKUP(A189,standards,6,FALSE)+0.01,"-")</f>
        <v>11.31</v>
      </c>
      <c r="B196" s="477">
        <v>6</v>
      </c>
      <c r="C196" s="477" t="str">
        <f>IFERROR(IF(B196&gt;MatchDay!$U$2+MatchDay!$D$6-1,"",VLOOKUP(A189,Timetables!$A:$DK,MatchDay!$U$4+B196-MatchDay!$D$6,FALSE)),"")</f>
        <v/>
      </c>
      <c r="D196" s="467" t="str">
        <f>IFERROR(HLOOKUP(C196,Declarations!$D$2:$S$102,A191,FALSE),"")</f>
        <v/>
      </c>
      <c r="E196" s="467" t="str">
        <f t="shared" si="101"/>
        <v/>
      </c>
      <c r="F196" s="466"/>
      <c r="G196" s="476"/>
      <c r="H196" s="477">
        <v>6</v>
      </c>
      <c r="I196" s="477" t="str">
        <f t="shared" si="102"/>
        <v/>
      </c>
      <c r="J196" s="467" t="str">
        <f>IFERROR(HLOOKUP(I196,Declarations!$D$2:$S$102,$A191,FALSE),"")</f>
        <v/>
      </c>
      <c r="K196" s="467" t="str">
        <f t="shared" si="98"/>
        <v/>
      </c>
      <c r="N196" s="478"/>
      <c r="P196" s="483" t="str">
        <f>IFERROR(IF(OR(D196=0,D196="-",D196="",D196=" ",D196=" ",D196="Athlete"),"",IF($A197&gt;0,VLOOKUP(D196,female_reg,3,FALSE)-C196*10,VLOOKUP(D196,male_reg,3,FALSE)-C196*10)),2)</f>
        <v/>
      </c>
      <c r="Q196" s="483" t="str">
        <f>IFERROR(IF(OR(J196=0,J196="-",J196=" ",J196="",J196=" ",J196="Athlete"),"",IF($A197&gt;0,VLOOKUP(J196,female_reg,3,FALSE)-C196*10,VLOOKUP(J196,male_reg,3,FALSE)-C196*10)),2)</f>
        <v/>
      </c>
      <c r="R196" s="483"/>
      <c r="T196" s="483">
        <f t="shared" ref="T196:T199" si="103">IFERROR(IF(V196="X",0,COUNTIF($V$4:$W$573,V196)),0)</f>
        <v>0</v>
      </c>
      <c r="U196" s="483">
        <f t="shared" ref="U196:U199" si="104">IFERROR(IF(W196="X",0,COUNTIF($V$4:$W$573,W196)),0)</f>
        <v>0</v>
      </c>
      <c r="V196" s="467" t="str">
        <f t="shared" si="99"/>
        <v>X</v>
      </c>
      <c r="W196" s="467" t="str">
        <f t="shared" si="100"/>
        <v>X</v>
      </c>
      <c r="Z196" s="467">
        <f t="shared" ref="Z196:Z199" si="105">IF(V196="X",0,COUNTIF($V$4:$Y$638,V196))</f>
        <v>0</v>
      </c>
      <c r="AA196" s="467">
        <f t="shared" ref="AA196:AA199" si="106">IF(W196="X",0,COUNTIF($V$4:$Y$638,W196))</f>
        <v>0</v>
      </c>
    </row>
    <row r="197" spans="1:27" x14ac:dyDescent="0.35">
      <c r="A197" s="479">
        <f ca="1">IFERROR(SEARCH("Girls",B189),0)</f>
        <v>12</v>
      </c>
      <c r="B197" s="477">
        <v>7</v>
      </c>
      <c r="C197" s="477" t="str">
        <f>IFERROR(IF(B197&gt;MatchDay!$U$2+MatchDay!$D$6-1,"",VLOOKUP(A189,Timetables!$A:$DK,MatchDay!$U$4+B197-MatchDay!$D$6,FALSE)),"")</f>
        <v/>
      </c>
      <c r="D197" s="467" t="str">
        <f>IFERROR(HLOOKUP(C197,Declarations!$D$2:$S$102,A191,FALSE),"")</f>
        <v/>
      </c>
      <c r="E197" s="467" t="str">
        <f t="shared" si="101"/>
        <v/>
      </c>
      <c r="F197" s="466"/>
      <c r="G197" s="476"/>
      <c r="H197" s="477">
        <v>7</v>
      </c>
      <c r="I197" s="477" t="str">
        <f t="shared" si="102"/>
        <v/>
      </c>
      <c r="J197" s="467" t="str">
        <f>IFERROR(HLOOKUP(I197,Declarations!$D$2:$S$102,$A191,FALSE),"")</f>
        <v/>
      </c>
      <c r="K197" s="467" t="str">
        <f t="shared" si="98"/>
        <v/>
      </c>
      <c r="N197" s="478"/>
      <c r="P197" s="483" t="str">
        <f>IFERROR(IF(OR(D197=0,D197="-",D197="",D197=" ",D197=" ",D197="Athlete"),"",IF($A197&gt;0,VLOOKUP(D197,female_reg,3,FALSE)-C197*10,VLOOKUP(D197,male_reg,3,FALSE)-C197*10)),2)</f>
        <v/>
      </c>
      <c r="Q197" s="483" t="str">
        <f>IFERROR(IF(OR(J197=0,J197="-",J197=" ",J197="",J197=" ",J197="Athlete"),"",IF($A197&gt;0,VLOOKUP(J197,female_reg,3,FALSE)-C197*10,VLOOKUP(J197,male_reg,3,FALSE)-C197*10)),2)</f>
        <v/>
      </c>
      <c r="R197" s="483"/>
      <c r="T197" s="483">
        <f t="shared" si="103"/>
        <v>0</v>
      </c>
      <c r="U197" s="483">
        <f t="shared" si="104"/>
        <v>0</v>
      </c>
      <c r="V197" s="467" t="str">
        <f t="shared" si="99"/>
        <v>X</v>
      </c>
      <c r="W197" s="467" t="str">
        <f t="shared" si="100"/>
        <v>X</v>
      </c>
      <c r="Z197" s="467">
        <f t="shared" si="105"/>
        <v>0</v>
      </c>
      <c r="AA197" s="467">
        <f t="shared" si="106"/>
        <v>0</v>
      </c>
    </row>
    <row r="198" spans="1:27" x14ac:dyDescent="0.35">
      <c r="A198" s="116">
        <f ca="1">IFERROR(VLOOKUP(A189,records,5,FALSE),"")</f>
        <v>9.5</v>
      </c>
      <c r="B198" s="477">
        <v>8</v>
      </c>
      <c r="C198" s="477" t="str">
        <f>IFERROR(IF(B198&gt;MatchDay!$U$2+MatchDay!$D$6-1,"",VLOOKUP(A189,Timetables!$A:$DK,MatchDay!$U$4+B198-MatchDay!$D$6,FALSE)),"")</f>
        <v/>
      </c>
      <c r="D198" s="467" t="str">
        <f>IFERROR(HLOOKUP(C198,Declarations!$D$2:$S$102,A191,FALSE),"")</f>
        <v/>
      </c>
      <c r="E198" s="467" t="str">
        <f t="shared" si="101"/>
        <v/>
      </c>
      <c r="F198" s="466"/>
      <c r="G198" s="476"/>
      <c r="H198" s="477">
        <v>8</v>
      </c>
      <c r="I198" s="477" t="str">
        <f t="shared" si="102"/>
        <v/>
      </c>
      <c r="J198" s="467" t="str">
        <f>IFERROR(HLOOKUP(I198,Declarations!$D$2:$S$102,$A191,FALSE),"")</f>
        <v/>
      </c>
      <c r="K198" s="467" t="str">
        <f t="shared" si="98"/>
        <v/>
      </c>
      <c r="N198" s="478"/>
      <c r="P198" s="483" t="str">
        <f>IFERROR(IF(OR(D198=0,D198="-",D198="",D198=" ",D198=" ",D198="Athlete"),"",IF($A197&gt;0,VLOOKUP(D198,female_reg,3,FALSE)-C198*10,VLOOKUP(D198,male_reg,3,FALSE)-C198*10)),2)</f>
        <v/>
      </c>
      <c r="Q198" s="483" t="str">
        <f>IFERROR(IF(OR(J198=0,J198="-",J198=" ",J198="",J198=" ",J198="Athlete"),"",IF($A197&gt;0,VLOOKUP(J198,female_reg,3,FALSE)-C198*10,VLOOKUP(J198,male_reg,3,FALSE)-C198*10)),2)</f>
        <v/>
      </c>
      <c r="R198" s="483"/>
      <c r="T198" s="483">
        <f t="shared" si="103"/>
        <v>0</v>
      </c>
      <c r="U198" s="483">
        <f t="shared" si="104"/>
        <v>0</v>
      </c>
      <c r="V198" s="467" t="str">
        <f t="shared" si="99"/>
        <v>X</v>
      </c>
      <c r="W198" s="467" t="str">
        <f t="shared" si="100"/>
        <v>X</v>
      </c>
      <c r="Z198" s="467">
        <f t="shared" si="105"/>
        <v>0</v>
      </c>
      <c r="AA198" s="467">
        <f t="shared" si="106"/>
        <v>0</v>
      </c>
    </row>
    <row r="199" spans="1:27" x14ac:dyDescent="0.35">
      <c r="A199" s="483"/>
      <c r="C199" s="483"/>
      <c r="P199" s="483" t="str">
        <f>IFERROR(IF(OR(D199=0,D199="-",D199="",D199=" ",D199=" ",D199="Athlete"),"",IF($A197&gt;0,VLOOKUP(D199,female_reg,3,FALSE)-C199*10,VLOOKUP(D199,male_reg,3,FALSE)-C199*10)),"X")</f>
        <v/>
      </c>
      <c r="Q199" s="483" t="str">
        <f>IFERROR(IF(OR(J199=0,J199="-",J199=" ",J199="",J199=" ",J199="Athlete"),"",IF($A197&gt;0,VLOOKUP(J199,female_reg,3,FALSE)-C199*10,VLOOKUP(J199,male_reg,3,FALSE)-C199*10)),"X")</f>
        <v/>
      </c>
      <c r="R199" s="483"/>
      <c r="T199" s="483">
        <f t="shared" ca="1" si="103"/>
        <v>0</v>
      </c>
      <c r="U199" s="483">
        <f t="shared" ca="1" si="104"/>
        <v>0</v>
      </c>
      <c r="Z199" s="467">
        <f t="shared" ca="1" si="105"/>
        <v>0</v>
      </c>
      <c r="AA199" s="467">
        <f t="shared" ca="1" si="106"/>
        <v>0</v>
      </c>
    </row>
    <row r="200" spans="1:27" x14ac:dyDescent="0.35">
      <c r="A200" s="111" t="str">
        <f ca="1">IFERROR(INDIRECT(CONCATENATE("'Timetables'!A"&amp;A203)),"")</f>
        <v>LT11</v>
      </c>
      <c r="B200" s="469" t="str">
        <f ca="1">IFERROR(VLOOKUP(A200,timetables,2,FALSE)&amp;" "&amp;VLOOKUP(A200,timetables,3,FALSE)&amp;" A","")</f>
        <v>100m U13 Boys A</v>
      </c>
      <c r="C200" s="469"/>
      <c r="E200" s="470" t="str">
        <f ca="1">"Starts "&amp;TEXT(VLOOKUP(A200,timetables,7-MatchDay!$U$7,FALSE),"hh:mm")</f>
        <v>Starts 14:15</v>
      </c>
      <c r="F200" s="471"/>
      <c r="H200" s="472" t="str">
        <f ca="1">IFERROR("Rec: "&amp;TEXT(VLOOKUP(A200,records,5,FALSE),"#0.00")&amp;"s, "&amp;VLOOKUP(A200,records,3,FALSE)&amp;", "&amp;VLOOKUP(A200,records,4,FALSE)&amp;", "&amp;VLOOKUP(A200,records,8,FALSE),"")</f>
        <v>Rec: 12.00s, Kareem Jerome, Havering AC, 2015</v>
      </c>
      <c r="K200" s="473"/>
      <c r="L200" s="474"/>
      <c r="M200" s="467"/>
      <c r="P200" s="468" t="str">
        <f>IFERROR(IF(OR(D200=0,D200="-",D200="",D200=" ",D200=" ",D200="Athlete"),"",IF($A208&gt;0,VLOOKUP(D200,female_reg,3,FALSE)-C200*10,VLOOKUP(D200,male_reg,3,FALSE)-C200*10)),"X")</f>
        <v/>
      </c>
      <c r="Q200" s="468" t="str">
        <f>IFERROR(IF(OR(J200=0,J200="-",J200=" ",J200="",J200=" ",J200="Athlete"),"",IF($A208&gt;0,VLOOKUP(J200,female_reg,3,FALSE)-C200*10,VLOOKUP(J200,male_reg,3,FALSE)-C200*10)),"X")</f>
        <v/>
      </c>
      <c r="T200" s="468">
        <f t="shared" ref="T200:T255" ca="1" si="107">IFERROR(IF(V200="X",0,COUNTIF($V$4:$W$573,V200)),0)</f>
        <v>0</v>
      </c>
      <c r="U200" s="468">
        <f t="shared" ref="U200:U255" ca="1" si="108">IFERROR(IF(W200="X",0,COUNTIF($V$4:$W$573,W200)),0)</f>
        <v>0</v>
      </c>
      <c r="Z200" s="467">
        <f t="shared" ref="Z200:Z255" ca="1" si="109">IF(V200="X",0,COUNTIF($V$4:$Y$638,V200))</f>
        <v>0</v>
      </c>
      <c r="AA200" s="467">
        <f t="shared" ref="AA200:AA255" ca="1" si="110">IF(W200="X",0,COUNTIF($V$4:$Y$638,W200))</f>
        <v>0</v>
      </c>
    </row>
    <row r="201" spans="1:27" x14ac:dyDescent="0.35">
      <c r="A201" s="85" t="str">
        <f ca="1">MID(A200,2,3)</f>
        <v>T11</v>
      </c>
      <c r="B201" s="9" t="s">
        <v>786</v>
      </c>
      <c r="C201" s="9" t="s">
        <v>183</v>
      </c>
      <c r="D201" s="46" t="s">
        <v>227</v>
      </c>
      <c r="E201" s="46" t="s">
        <v>228</v>
      </c>
      <c r="F201" s="475"/>
      <c r="G201" s="46"/>
      <c r="H201" s="9" t="s">
        <v>786</v>
      </c>
      <c r="I201" s="9" t="s">
        <v>183</v>
      </c>
      <c r="J201" s="46" t="s">
        <v>227</v>
      </c>
      <c r="K201" s="46" t="s">
        <v>228</v>
      </c>
      <c r="L201" s="475"/>
      <c r="M201" s="475"/>
      <c r="N201" s="52"/>
      <c r="P201" s="468" t="str">
        <f>IFERROR(IF(OR(D201=0,D201="-",D201="",D201=" ",D201=" ",D201="Athlete"),"",IF($A208&gt;0,VLOOKUP(D201,female_reg,3,FALSE)-C201*10,VLOOKUP(D201,male_reg,3,FALSE)-C201*10)),"X")</f>
        <v/>
      </c>
      <c r="Q201" s="468" t="str">
        <f>IFERROR(IF(OR(J201=0,J201="-",J201=" ",J201="",J201=" ",J201="Athlete"),"",IF($A208&gt;0,VLOOKUP(J201,female_reg,3,FALSE)-C201*10,VLOOKUP(J201,male_reg,3,FALSE)-C201*10)),"X")</f>
        <v/>
      </c>
      <c r="T201" s="468">
        <f t="shared" ca="1" si="107"/>
        <v>0</v>
      </c>
      <c r="U201" s="468">
        <f t="shared" ca="1" si="108"/>
        <v>0</v>
      </c>
      <c r="Z201" s="467">
        <f t="shared" ca="1" si="109"/>
        <v>0</v>
      </c>
      <c r="AA201" s="467">
        <f t="shared" ca="1" si="110"/>
        <v>0</v>
      </c>
    </row>
    <row r="202" spans="1:27" x14ac:dyDescent="0.35">
      <c r="A202" s="181">
        <f ca="1">IFERROR(VLOOKUP(A200,Timetables!$A:$E,5,FALSE)-1,"")</f>
        <v>78</v>
      </c>
      <c r="B202" s="477">
        <v>1</v>
      </c>
      <c r="C202" s="477">
        <f ca="1">IFERROR(IF(B202&gt;MatchDay!$U$2,"",IF(MatchDay!$D$6=2,"",VLOOKUP(A200,Timetables!$A:$DK,MatchDay!$U$4+B202-MatchDay!$D$6,FALSE))),"")</f>
        <v>1</v>
      </c>
      <c r="D202" s="467" t="str">
        <f ca="1">IFERROR(HLOOKUP(C202,Declarations!$D$2:$S$102,A202,FALSE),"")</f>
        <v>GASKIN Nathanael</v>
      </c>
      <c r="E202" s="467" t="str">
        <f ca="1">IFERROR(VLOOKUP(C202,teamlookup,5,FALSE),"")</f>
        <v>C'field</v>
      </c>
      <c r="F202" s="466"/>
      <c r="G202" s="476"/>
      <c r="H202" s="477">
        <v>1</v>
      </c>
      <c r="I202" s="477">
        <f ca="1">IFERROR(C202*11,"")</f>
        <v>11</v>
      </c>
      <c r="J202" s="467" t="str">
        <f ca="1">IFERROR(HLOOKUP(I202,Declarations!$D$2:$S$102,$A202,FALSE),"")</f>
        <v>DREW Matthew</v>
      </c>
      <c r="K202" s="467" t="str">
        <f t="shared" ref="K202:K209" ca="1" si="111">IFERROR(VLOOKUP(I202,teamlookup,5,FALSE),"")</f>
        <v>C'field</v>
      </c>
      <c r="N202" s="478"/>
      <c r="P202" s="468">
        <f ca="1">IFERROR(IF(OR(D202=0,D202="-",D202="",D202=" ",D202=" ",D202="Athlete"),"",IF($A208&gt;0,VLOOKUP(D202,female_reg,3,FALSE)-C202*10,VLOOKUP(D202,male_reg,3,FALSE)-C202*10)),2)</f>
        <v>1</v>
      </c>
      <c r="Q202" s="468">
        <f ca="1">IFERROR(IF(OR(J202=0,J202="-",J202=" ",J202="",J202=" ",J202="Athlete"),"",IF($A208&gt;0,VLOOKUP(J202,female_reg,3,FALSE)-C202*10,VLOOKUP(J202,male_reg,3,FALSE)-C202*10)),2)</f>
        <v>1</v>
      </c>
      <c r="T202" s="468">
        <f t="shared" ca="1" si="107"/>
        <v>3</v>
      </c>
      <c r="U202" s="468">
        <f t="shared" ca="1" si="108"/>
        <v>3</v>
      </c>
      <c r="V202" s="467" t="str">
        <f t="shared" ref="V202:V209" ca="1" si="112">IFERROR(IF(OR(D202=0,D202="-",D202="",D202=" ",D202=" "),"X",D202&amp;E202),"X")</f>
        <v>GASKIN NathanaelC'field</v>
      </c>
      <c r="W202" s="467" t="str">
        <f t="shared" ref="W202:W209" ca="1" si="113">IFERROR(IF(OR(J202=0,J202="-",J202="",J202=" ",J202=" "),"X",J202&amp;K202),"X")</f>
        <v>DREW MatthewC'field</v>
      </c>
      <c r="Z202" s="467">
        <f t="shared" ca="1" si="109"/>
        <v>4</v>
      </c>
      <c r="AA202" s="467">
        <f t="shared" ca="1" si="110"/>
        <v>4</v>
      </c>
    </row>
    <row r="203" spans="1:27" x14ac:dyDescent="0.35">
      <c r="A203" s="468">
        <f>A192+1</f>
        <v>21</v>
      </c>
      <c r="B203" s="477">
        <v>2</v>
      </c>
      <c r="C203" s="477">
        <f ca="1">IFERROR(IF(B203&gt;MatchDay!$U$2+MatchDay!$D$6-1,"",VLOOKUP(A200,Timetables!$A:$DK,MatchDay!$U$4+B203-MatchDay!$D$6,FALSE)),"")</f>
        <v>5</v>
      </c>
      <c r="D203" s="467" t="str">
        <f ca="1">IFERROR(HLOOKUP(C203,Declarations!$D$2:$S$102,A202,FALSE),"")</f>
        <v>LANGTON Cody</v>
      </c>
      <c r="E203" s="467" t="str">
        <f t="shared" ref="E203:E209" ca="1" si="114">IFERROR(VLOOKUP(C203,teamlookup,5,FALSE),"")</f>
        <v>Scun</v>
      </c>
      <c r="F203" s="466"/>
      <c r="G203" s="476"/>
      <c r="H203" s="477">
        <v>2</v>
      </c>
      <c r="I203" s="477">
        <f t="shared" ref="I203:I209" ca="1" si="115">IFERROR(C203*11,"")</f>
        <v>55</v>
      </c>
      <c r="J203" s="467" t="str">
        <f ca="1">IFERROR(HLOOKUP(I203,Declarations!$D$2:$S$102,$A202,FALSE),"")</f>
        <v>-</v>
      </c>
      <c r="K203" s="467" t="str">
        <f t="shared" ca="1" si="111"/>
        <v>Scun</v>
      </c>
      <c r="N203" s="478"/>
      <c r="P203" s="468">
        <f ca="1">IFERROR(IF(OR(D203=0,D203="-",D203="",D203=" ",D203=" ",D203="Athlete"),"",IF($A208&gt;0,VLOOKUP(D203,female_reg,3,FALSE)-C203*10,VLOOKUP(D203,male_reg,3,FALSE)-C203*10)),2)</f>
        <v>1</v>
      </c>
      <c r="Q203" s="468" t="str">
        <f ca="1">IFERROR(IF(OR(J203=0,J203="-",J203=" ",J203="",J203=" ",J203="Athlete"),"",IF($A208&gt;0,VLOOKUP(J203,female_reg,3,FALSE)-C203*10,VLOOKUP(J203,male_reg,3,FALSE)-C203*10)),2)</f>
        <v/>
      </c>
      <c r="T203" s="468">
        <f t="shared" ca="1" si="107"/>
        <v>3</v>
      </c>
      <c r="U203" s="468">
        <f t="shared" ca="1" si="108"/>
        <v>0</v>
      </c>
      <c r="V203" s="467" t="str">
        <f t="shared" ca="1" si="112"/>
        <v>LANGTON CodyScun</v>
      </c>
      <c r="W203" s="467" t="str">
        <f t="shared" ca="1" si="113"/>
        <v>X</v>
      </c>
      <c r="Z203" s="467">
        <f t="shared" ca="1" si="109"/>
        <v>3</v>
      </c>
      <c r="AA203" s="467">
        <f t="shared" ca="1" si="110"/>
        <v>0</v>
      </c>
    </row>
    <row r="204" spans="1:27" x14ac:dyDescent="0.35">
      <c r="A204" s="118">
        <f ca="1">IFERROR(VLOOKUP(A200,standards,3,FALSE)+0.01,"-")</f>
        <v>13.01</v>
      </c>
      <c r="B204" s="477">
        <v>3</v>
      </c>
      <c r="C204" s="477">
        <f ca="1">IFERROR(IF(B204&gt;MatchDay!$U$2+MatchDay!$D$6-1,"",VLOOKUP(A200,Timetables!$A:$DK,MatchDay!$U$4+B204-MatchDay!$D$6,FALSE)),"")</f>
        <v>4</v>
      </c>
      <c r="D204" s="467" t="str">
        <f ca="1">IFERROR(HLOOKUP(C204,Declarations!$D$2:$S$102,A202,FALSE),"")</f>
        <v>MAYNARD Finley</v>
      </c>
      <c r="E204" s="467" t="str">
        <f t="shared" ca="1" si="114"/>
        <v>M'bro</v>
      </c>
      <c r="F204" s="466"/>
      <c r="G204" s="476"/>
      <c r="H204" s="477">
        <v>3</v>
      </c>
      <c r="I204" s="477">
        <f t="shared" ca="1" si="115"/>
        <v>44</v>
      </c>
      <c r="J204" s="467" t="str">
        <f ca="1">IFERROR(HLOOKUP(I204,Declarations!$D$2:$S$102,$A202,FALSE),"")</f>
        <v>HONEYMAN Leo</v>
      </c>
      <c r="K204" s="467" t="str">
        <f t="shared" ca="1" si="111"/>
        <v>M'bro</v>
      </c>
      <c r="N204" s="478"/>
      <c r="P204" s="468">
        <f ca="1">IFERROR(IF(OR(D204=0,D204="-",D204="",D204=" ",D204=" ",D204="Athlete"),"",IF($A208&gt;0,VLOOKUP(D204,female_reg,3,FALSE)-C204*10,VLOOKUP(D204,male_reg,3,FALSE)-C204*10)),2)</f>
        <v>1</v>
      </c>
      <c r="Q204" s="468">
        <f ca="1">IFERROR(IF(OR(J204=0,J204="-",J204=" ",J204="",J204=" ",J204="Athlete"),"",IF($A208&gt;0,VLOOKUP(J204,female_reg,3,FALSE)-C204*10,VLOOKUP(J204,male_reg,3,FALSE)-C204*10)),2)</f>
        <v>0</v>
      </c>
      <c r="T204" s="468">
        <f t="shared" ca="1" si="107"/>
        <v>3</v>
      </c>
      <c r="U204" s="468">
        <f t="shared" ca="1" si="108"/>
        <v>2</v>
      </c>
      <c r="V204" s="467" t="str">
        <f t="shared" ca="1" si="112"/>
        <v>MAYNARD FinleyM'bro</v>
      </c>
      <c r="W204" s="467" t="str">
        <f t="shared" ca="1" si="113"/>
        <v>HONEYMAN LeoM'bro</v>
      </c>
      <c r="Z204" s="467">
        <f t="shared" ca="1" si="109"/>
        <v>4</v>
      </c>
      <c r="AA204" s="467">
        <f t="shared" ca="1" si="110"/>
        <v>3</v>
      </c>
    </row>
    <row r="205" spans="1:27" x14ac:dyDescent="0.35">
      <c r="A205" s="118">
        <f ca="1">IFERROR(VLOOKUP(A200,standards,4,FALSE)+0.01,"-")</f>
        <v>13.209999999999999</v>
      </c>
      <c r="B205" s="477">
        <v>4</v>
      </c>
      <c r="C205" s="477">
        <f ca="1">IFERROR(IF(B205&gt;MatchDay!$U$2+MatchDay!$D$6-1,"",VLOOKUP(A200,Timetables!$A:$DK,MatchDay!$U$4+B205-MatchDay!$D$6,FALSE)),"")</f>
        <v>2</v>
      </c>
      <c r="D205" s="467" t="str">
        <f ca="1">IFERROR(HLOOKUP(C205,Declarations!$D$2:$S$102,A202,FALSE),"")</f>
        <v>REILLY Arthur</v>
      </c>
      <c r="E205" s="467" t="str">
        <f t="shared" ca="1" si="114"/>
        <v>Sheff+D</v>
      </c>
      <c r="F205" s="466"/>
      <c r="G205" s="476"/>
      <c r="H205" s="477">
        <v>4</v>
      </c>
      <c r="I205" s="477">
        <f t="shared" ca="1" si="115"/>
        <v>22</v>
      </c>
      <c r="J205" s="467" t="str">
        <f ca="1">IFERROR(HLOOKUP(I205,Declarations!$D$2:$S$102,$A202,FALSE),"")</f>
        <v>CONNELLY George</v>
      </c>
      <c r="K205" s="467" t="str">
        <f t="shared" ca="1" si="111"/>
        <v>Sheff+D</v>
      </c>
      <c r="N205" s="478"/>
      <c r="P205" s="468">
        <f ca="1">IFERROR(IF(OR(D205=0,D205="-",D205="",D205=" ",D205=" ",D205="Athlete"),"",IF($A208&gt;0,VLOOKUP(D205,female_reg,3,FALSE)-C205*10,VLOOKUP(D205,male_reg,3,FALSE)-C205*10)),2)</f>
        <v>1</v>
      </c>
      <c r="Q205" s="468">
        <f ca="1">IFERROR(IF(OR(J205=0,J205="-",J205=" ",J205="",J205=" ",J205="Athlete"),"",IF($A208&gt;0,VLOOKUP(J205,female_reg,3,FALSE)-C205*10,VLOOKUP(J205,male_reg,3,FALSE)-C205*10)),2)</f>
        <v>1</v>
      </c>
      <c r="T205" s="468">
        <f t="shared" ca="1" si="107"/>
        <v>3</v>
      </c>
      <c r="U205" s="468">
        <f t="shared" ca="1" si="108"/>
        <v>2</v>
      </c>
      <c r="V205" s="467" t="str">
        <f t="shared" ca="1" si="112"/>
        <v>REILLY ArthurSheff+D</v>
      </c>
      <c r="W205" s="467" t="str">
        <f t="shared" ca="1" si="113"/>
        <v>CONNELLY GeorgeSheff+D</v>
      </c>
      <c r="Z205" s="467">
        <f t="shared" ca="1" si="109"/>
        <v>4</v>
      </c>
      <c r="AA205" s="467">
        <f t="shared" ca="1" si="110"/>
        <v>3</v>
      </c>
    </row>
    <row r="206" spans="1:27" x14ac:dyDescent="0.35">
      <c r="A206" s="118">
        <f ca="1">IFERROR(VLOOKUP(A200,standards,5,FALSE)+0.01,"-")</f>
        <v>13.51</v>
      </c>
      <c r="B206" s="477">
        <v>5</v>
      </c>
      <c r="C206" s="477">
        <f ca="1">IFERROR(IF(B206&gt;MatchDay!$U$2+MatchDay!$D$6-1,"",VLOOKUP(A200,Timetables!$A:$DK,MatchDay!$U$4+B206-MatchDay!$D$6,FALSE)),"")</f>
        <v>3</v>
      </c>
      <c r="D206" s="467" t="str">
        <f ca="1">IFERROR(HLOOKUP(C206,Declarations!$D$2:$S$102,A202,FALSE),"")</f>
        <v>PEARSON Adam</v>
      </c>
      <c r="E206" s="467" t="str">
        <f t="shared" ca="1" si="114"/>
        <v>York</v>
      </c>
      <c r="F206" s="466"/>
      <c r="G206" s="476"/>
      <c r="H206" s="477">
        <v>5</v>
      </c>
      <c r="I206" s="477">
        <f t="shared" ca="1" si="115"/>
        <v>33</v>
      </c>
      <c r="J206" s="467" t="str">
        <f ca="1">IFERROR(HLOOKUP(I206,Declarations!$D$2:$S$102,$A202,FALSE),"")</f>
        <v>HICKLING William</v>
      </c>
      <c r="K206" s="467" t="str">
        <f t="shared" ca="1" si="111"/>
        <v>York</v>
      </c>
      <c r="N206" s="478"/>
      <c r="P206" s="468">
        <f ca="1">IFERROR(IF(OR(D206=0,D206="-",D206="",D206=" ",D206=" ",D206="Athlete"),"",IF($A208&gt;0,VLOOKUP(D206,female_reg,3,FALSE)-C206*10,VLOOKUP(D206,male_reg,3,FALSE)-C206*10)),2)</f>
        <v>1</v>
      </c>
      <c r="Q206" s="468">
        <f ca="1">IFERROR(IF(OR(J206=0,J206="-",J206=" ",J206="",J206=" ",J206="Athlete"),"",IF($A208&gt;0,VLOOKUP(J206,female_reg,3,FALSE)-C206*10,VLOOKUP(J206,male_reg,3,FALSE)-C206*10)),2)</f>
        <v>0</v>
      </c>
      <c r="T206" s="468">
        <f t="shared" ca="1" si="107"/>
        <v>2</v>
      </c>
      <c r="U206" s="468">
        <f t="shared" ca="1" si="108"/>
        <v>2</v>
      </c>
      <c r="V206" s="467" t="str">
        <f t="shared" ca="1" si="112"/>
        <v>PEARSON AdamYork</v>
      </c>
      <c r="W206" s="467" t="str">
        <f t="shared" ca="1" si="113"/>
        <v>HICKLING WilliamYork</v>
      </c>
      <c r="Z206" s="467">
        <f t="shared" ca="1" si="109"/>
        <v>3</v>
      </c>
      <c r="AA206" s="467">
        <f t="shared" ca="1" si="110"/>
        <v>3</v>
      </c>
    </row>
    <row r="207" spans="1:27" x14ac:dyDescent="0.35">
      <c r="A207" s="118">
        <f ca="1">IFERROR(VLOOKUP(A200,standards,6,FALSE)+0.01,"-")</f>
        <v>13.91</v>
      </c>
      <c r="B207" s="477">
        <v>6</v>
      </c>
      <c r="C207" s="477" t="str">
        <f>IFERROR(IF(B207&gt;MatchDay!$U$2+MatchDay!$D$6-1,"",VLOOKUP(A200,Timetables!$A:$DK,MatchDay!$U$4+B207-MatchDay!$D$6,FALSE)),"")</f>
        <v/>
      </c>
      <c r="D207" s="467" t="str">
        <f>IFERROR(HLOOKUP(C207,Declarations!$D$2:$S$102,A202,FALSE),"")</f>
        <v/>
      </c>
      <c r="E207" s="467" t="str">
        <f t="shared" si="114"/>
        <v/>
      </c>
      <c r="F207" s="466"/>
      <c r="G207" s="476"/>
      <c r="H207" s="477">
        <v>6</v>
      </c>
      <c r="I207" s="477" t="str">
        <f t="shared" si="115"/>
        <v/>
      </c>
      <c r="J207" s="467" t="str">
        <f>IFERROR(HLOOKUP(I207,Declarations!$D$2:$S$102,$A202,FALSE),"")</f>
        <v/>
      </c>
      <c r="K207" s="467" t="str">
        <f t="shared" si="111"/>
        <v/>
      </c>
      <c r="N207" s="478"/>
      <c r="P207" s="468" t="str">
        <f>IFERROR(IF(OR(D207=0,D207="-",D207="",D207=" ",D207=" ",D207="Athlete"),"",IF($A208&gt;0,VLOOKUP(D207,female_reg,3,FALSE)-C207*10,VLOOKUP(D207,male_reg,3,FALSE)-C207*10)),2)</f>
        <v/>
      </c>
      <c r="Q207" s="468" t="str">
        <f>IFERROR(IF(OR(J207=0,J207="-",J207=" ",J207="",J207=" ",J207="Athlete"),"",IF($A208&gt;0,VLOOKUP(J207,female_reg,3,FALSE)-C207*10,VLOOKUP(J207,male_reg,3,FALSE)-C207*10)),2)</f>
        <v/>
      </c>
      <c r="T207" s="468">
        <f t="shared" si="107"/>
        <v>0</v>
      </c>
      <c r="U207" s="468">
        <f t="shared" si="108"/>
        <v>0</v>
      </c>
      <c r="V207" s="467" t="str">
        <f t="shared" si="112"/>
        <v>X</v>
      </c>
      <c r="W207" s="467" t="str">
        <f t="shared" si="113"/>
        <v>X</v>
      </c>
      <c r="Z207" s="467">
        <f t="shared" si="109"/>
        <v>0</v>
      </c>
      <c r="AA207" s="467">
        <f t="shared" si="110"/>
        <v>0</v>
      </c>
    </row>
    <row r="208" spans="1:27" x14ac:dyDescent="0.35">
      <c r="A208" s="479">
        <f ca="1">IFERROR(SEARCH("Girls",B200),0)</f>
        <v>0</v>
      </c>
      <c r="B208" s="477">
        <v>7</v>
      </c>
      <c r="C208" s="477" t="str">
        <f>IFERROR(IF(B208&gt;MatchDay!$U$2+MatchDay!$D$6-1,"",VLOOKUP(A200,Timetables!$A:$DK,MatchDay!$U$4+B208-MatchDay!$D$6,FALSE)),"")</f>
        <v/>
      </c>
      <c r="D208" s="467" t="str">
        <f>IFERROR(HLOOKUP(C208,Declarations!$D$2:$S$102,A202,FALSE),"")</f>
        <v/>
      </c>
      <c r="E208" s="467" t="str">
        <f t="shared" si="114"/>
        <v/>
      </c>
      <c r="F208" s="466"/>
      <c r="G208" s="476"/>
      <c r="H208" s="477">
        <v>7</v>
      </c>
      <c r="I208" s="477" t="str">
        <f t="shared" si="115"/>
        <v/>
      </c>
      <c r="J208" s="467" t="str">
        <f>IFERROR(HLOOKUP(I208,Declarations!$D$2:$S$102,$A202,FALSE),"")</f>
        <v/>
      </c>
      <c r="K208" s="467" t="str">
        <f t="shared" si="111"/>
        <v/>
      </c>
      <c r="N208" s="478"/>
      <c r="P208" s="468" t="str">
        <f>IFERROR(IF(OR(D208=0,D208="-",D208="",D208=" ",D208=" ",D208="Athlete"),"",IF($A208&gt;0,VLOOKUP(D208,female_reg,3,FALSE)-C208*10,VLOOKUP(D208,male_reg,3,FALSE)-C208*10)),2)</f>
        <v/>
      </c>
      <c r="Q208" s="468" t="str">
        <f>IFERROR(IF(OR(J208=0,J208="-",J208=" ",J208="",J208=" ",J208="Athlete"),"",IF($A208&gt;0,VLOOKUP(J208,female_reg,3,FALSE)-C208*10,VLOOKUP(J208,male_reg,3,FALSE)-C208*10)),2)</f>
        <v/>
      </c>
      <c r="T208" s="468">
        <f t="shared" si="107"/>
        <v>0</v>
      </c>
      <c r="U208" s="468">
        <f t="shared" si="108"/>
        <v>0</v>
      </c>
      <c r="V208" s="467" t="str">
        <f t="shared" si="112"/>
        <v>X</v>
      </c>
      <c r="W208" s="467" t="str">
        <f t="shared" si="113"/>
        <v>X</v>
      </c>
      <c r="Z208" s="467">
        <f t="shared" si="109"/>
        <v>0</v>
      </c>
      <c r="AA208" s="467">
        <f t="shared" si="110"/>
        <v>0</v>
      </c>
    </row>
    <row r="209" spans="1:27" x14ac:dyDescent="0.35">
      <c r="A209" s="116">
        <f ca="1">IFERROR(VLOOKUP(A200,records,5,FALSE),"")</f>
        <v>12</v>
      </c>
      <c r="B209" s="477">
        <v>8</v>
      </c>
      <c r="C209" s="477" t="str">
        <f>IFERROR(IF(B209&gt;MatchDay!$U$2+MatchDay!$D$6-1,"",VLOOKUP(A200,Timetables!$A:$DK,MatchDay!$U$4+B209-MatchDay!$D$6,FALSE)),"")</f>
        <v/>
      </c>
      <c r="D209" s="467" t="str">
        <f>IFERROR(HLOOKUP(C209,Declarations!$D$2:$S$102,A202,FALSE),"")</f>
        <v/>
      </c>
      <c r="E209" s="467" t="str">
        <f t="shared" si="114"/>
        <v/>
      </c>
      <c r="F209" s="466"/>
      <c r="G209" s="476"/>
      <c r="H209" s="477">
        <v>8</v>
      </c>
      <c r="I209" s="477" t="str">
        <f t="shared" si="115"/>
        <v/>
      </c>
      <c r="J209" s="467" t="str">
        <f>IFERROR(HLOOKUP(I209,Declarations!$D$2:$S$102,$A202,FALSE),"")</f>
        <v/>
      </c>
      <c r="K209" s="467" t="str">
        <f t="shared" si="111"/>
        <v/>
      </c>
      <c r="N209" s="478"/>
      <c r="P209" s="468" t="str">
        <f>IFERROR(IF(OR(D209=0,D209="-",D209="",D209=" ",D209=" ",D209="Athlete"),"",IF($A208&gt;0,VLOOKUP(D209,female_reg,3,FALSE)-C209*10,VLOOKUP(D209,male_reg,3,FALSE)-C209*10)),2)</f>
        <v/>
      </c>
      <c r="Q209" s="468" t="str">
        <f>IFERROR(IF(OR(J209=0,J209="-",J209=" ",J209="",J209=" ",J209="Athlete"),"",IF($A208&gt;0,VLOOKUP(J209,female_reg,3,FALSE)-C209*10,VLOOKUP(J209,male_reg,3,FALSE)-C209*10)),2)</f>
        <v/>
      </c>
      <c r="T209" s="468">
        <f t="shared" si="107"/>
        <v>0</v>
      </c>
      <c r="U209" s="468">
        <f t="shared" si="108"/>
        <v>0</v>
      </c>
      <c r="V209" s="467" t="str">
        <f t="shared" si="112"/>
        <v>X</v>
      </c>
      <c r="W209" s="467" t="str">
        <f t="shared" si="113"/>
        <v>X</v>
      </c>
      <c r="Z209" s="467">
        <f t="shared" si="109"/>
        <v>0</v>
      </c>
      <c r="AA209" s="467">
        <f t="shared" si="110"/>
        <v>0</v>
      </c>
    </row>
    <row r="210" spans="1:27" x14ac:dyDescent="0.35">
      <c r="P210" s="468" t="str">
        <f>IFERROR(IF(OR(D210=0,D210="-",D210="",D210=" ",D210=" ",D210="Athlete"),"",IF($A208&gt;0,VLOOKUP(D210,female_reg,3,FALSE)-C210*10,VLOOKUP(D210,male_reg,3,FALSE)-C210*10)),"X")</f>
        <v/>
      </c>
      <c r="Q210" s="468" t="str">
        <f>IFERROR(IF(OR(J210=0,J210="-",J210=" ",J210="",J210=" ",J210="Athlete"),"",IF($A208&gt;0,VLOOKUP(J210,female_reg,3,FALSE)-C210*10,VLOOKUP(J210,male_reg,3,FALSE)-C210*10)),"X")</f>
        <v/>
      </c>
      <c r="T210" s="468">
        <f t="shared" ca="1" si="107"/>
        <v>0</v>
      </c>
      <c r="U210" s="468">
        <f t="shared" ca="1" si="108"/>
        <v>0</v>
      </c>
      <c r="Z210" s="467">
        <f t="shared" ca="1" si="109"/>
        <v>0</v>
      </c>
      <c r="AA210" s="467">
        <f t="shared" ca="1" si="110"/>
        <v>0</v>
      </c>
    </row>
    <row r="211" spans="1:27" x14ac:dyDescent="0.35">
      <c r="A211" s="111" t="str">
        <f ca="1">IFERROR(INDIRECT(CONCATENATE("'Timetables'!A"&amp;A214)),"")</f>
        <v>LT12</v>
      </c>
      <c r="B211" s="469" t="str">
        <f ca="1">IFERROR(VLOOKUP(A211,timetables,2,FALSE)&amp;" "&amp;VLOOKUP(A211,timetables,3,FALSE)&amp;" A","")</f>
        <v>100m U15 Girls A</v>
      </c>
      <c r="C211" s="469"/>
      <c r="E211" s="470" t="str">
        <f ca="1">"Starts "&amp;TEXT(VLOOKUP(A211,timetables,7-MatchDay!$U$7,FALSE),"hh:mm")</f>
        <v>Starts 14:30</v>
      </c>
      <c r="F211" s="471"/>
      <c r="H211" s="472" t="str">
        <f ca="1">IFERROR("Rec: "&amp;TEXT(VLOOKUP(A211,records,5,FALSE),"#0.00")&amp;"s, "&amp;VLOOKUP(A211,records,3,FALSE)&amp;", "&amp;VLOOKUP(A211,records,4,FALSE)&amp;", "&amp;VLOOKUP(A211,records,8,FALSE),"")</f>
        <v>Rec: 12.10s, Tyra Khambai-Annan, Team Hounslow, 2018</v>
      </c>
      <c r="K211" s="473"/>
      <c r="L211" s="474"/>
      <c r="M211" s="467"/>
      <c r="P211" s="468" t="str">
        <f>IFERROR(IF(OR(D211=0,D211="-",D211="",D211=" ",D211=" ",D211="Athlete"),"",IF($A219&gt;0,VLOOKUP(D211,female_reg,3,FALSE)-C211*10,VLOOKUP(D211,male_reg,3,FALSE)-C211*10)),"X")</f>
        <v/>
      </c>
      <c r="Q211" s="468" t="str">
        <f>IFERROR(IF(OR(J211=0,J211="-",J211=" ",J211="",J211=" ",J211="Athlete"),"",IF($A219&gt;0,VLOOKUP(J211,female_reg,3,FALSE)-C211*10,VLOOKUP(J211,male_reg,3,FALSE)-C211*10)),"X")</f>
        <v/>
      </c>
      <c r="T211" s="468">
        <f t="shared" ca="1" si="107"/>
        <v>0</v>
      </c>
      <c r="U211" s="468">
        <f t="shared" ca="1" si="108"/>
        <v>0</v>
      </c>
      <c r="Z211" s="467">
        <f t="shared" ca="1" si="109"/>
        <v>0</v>
      </c>
      <c r="AA211" s="467">
        <f t="shared" ca="1" si="110"/>
        <v>0</v>
      </c>
    </row>
    <row r="212" spans="1:27" x14ac:dyDescent="0.35">
      <c r="A212" s="85" t="str">
        <f ca="1">MID(A211,2,3)</f>
        <v>T12</v>
      </c>
      <c r="B212" s="9" t="s">
        <v>786</v>
      </c>
      <c r="C212" s="9" t="s">
        <v>183</v>
      </c>
      <c r="D212" s="46" t="s">
        <v>227</v>
      </c>
      <c r="E212" s="46" t="s">
        <v>228</v>
      </c>
      <c r="F212" s="475"/>
      <c r="G212" s="46"/>
      <c r="H212" s="9" t="s">
        <v>786</v>
      </c>
      <c r="I212" s="9" t="s">
        <v>183</v>
      </c>
      <c r="J212" s="46" t="s">
        <v>227</v>
      </c>
      <c r="K212" s="46" t="s">
        <v>228</v>
      </c>
      <c r="L212" s="475"/>
      <c r="M212" s="475"/>
      <c r="N212" s="52"/>
      <c r="P212" s="468" t="str">
        <f>IFERROR(IF(OR(D212=0,D212="-",D212="",D212=" ",D212=" ",D212="Athlete"),"",IF($A219&gt;0,VLOOKUP(D212,female_reg,3,FALSE)-C212*10,VLOOKUP(D212,male_reg,3,FALSE)-C212*10)),"X")</f>
        <v/>
      </c>
      <c r="Q212" s="468" t="str">
        <f>IFERROR(IF(OR(J212=0,J212="-",J212=" ",J212="",J212=" ",J212="Athlete"),"",IF($A219&gt;0,VLOOKUP(J212,female_reg,3,FALSE)-C212*10,VLOOKUP(J212,male_reg,3,FALSE)-C212*10)),"X")</f>
        <v/>
      </c>
      <c r="T212" s="468">
        <f t="shared" ca="1" si="107"/>
        <v>0</v>
      </c>
      <c r="U212" s="468">
        <f t="shared" ca="1" si="108"/>
        <v>0</v>
      </c>
      <c r="Z212" s="467">
        <f t="shared" ca="1" si="109"/>
        <v>0</v>
      </c>
      <c r="AA212" s="467">
        <f t="shared" ca="1" si="110"/>
        <v>0</v>
      </c>
    </row>
    <row r="213" spans="1:27" x14ac:dyDescent="0.35">
      <c r="A213" s="181">
        <f ca="1">IFERROR(VLOOKUP(A211,Timetables!$A:$E,5,FALSE)-1,"")</f>
        <v>3</v>
      </c>
      <c r="B213" s="477">
        <v>1</v>
      </c>
      <c r="C213" s="477">
        <f ca="1">IFERROR(IF(B213&gt;MatchDay!$U$2,"",IF(MatchDay!$D$6=2,"",VLOOKUP(A211,Timetables!$A:$DK,MatchDay!$U$4+B213-MatchDay!$D$6,FALSE))),"")</f>
        <v>1</v>
      </c>
      <c r="D213" s="467" t="str">
        <f ca="1">IFERROR(HLOOKUP(C213,Declarations!$D$2:$S$102,A213,FALSE),"")</f>
        <v>BRIDDON Missy</v>
      </c>
      <c r="E213" s="467" t="str">
        <f ca="1">IFERROR(VLOOKUP(C213,teamlookup,5,FALSE),"")</f>
        <v>C'field</v>
      </c>
      <c r="F213" s="466"/>
      <c r="G213" s="476"/>
      <c r="H213" s="477">
        <v>1</v>
      </c>
      <c r="I213" s="477">
        <f ca="1">IFERROR(C213*11,"")</f>
        <v>11</v>
      </c>
      <c r="J213" s="467" t="str">
        <f ca="1">IFERROR(HLOOKUP(I213,Declarations!$D$2:$S$102,$A213,FALSE),"")</f>
        <v>BAINES Lily</v>
      </c>
      <c r="K213" s="467" t="str">
        <f t="shared" ref="K213:K220" ca="1" si="116">IFERROR(VLOOKUP(I213,teamlookup,5,FALSE),"")</f>
        <v>C'field</v>
      </c>
      <c r="N213" s="478"/>
      <c r="P213" s="468">
        <f ca="1">IFERROR(IF(OR(D213=0,D213="-",D213="",D213=" ",D213=" ",D213="Athlete"),"",IF($A219&gt;0,VLOOKUP(D213,female_reg,3,FALSE)-C213*10,VLOOKUP(D213,male_reg,3,FALSE)-C213*10)),2)</f>
        <v>1</v>
      </c>
      <c r="Q213" s="468">
        <f ca="1">IFERROR(IF(OR(J213=0,J213="-",J213=" ",J213="",J213=" ",J213="Athlete"),"",IF($A219&gt;0,VLOOKUP(J213,female_reg,3,FALSE)-C213*10,VLOOKUP(J213,male_reg,3,FALSE)-C213*10)),2)</f>
        <v>1</v>
      </c>
      <c r="T213" s="468">
        <f t="shared" ca="1" si="107"/>
        <v>3</v>
      </c>
      <c r="U213" s="468">
        <f t="shared" ca="1" si="108"/>
        <v>3</v>
      </c>
      <c r="V213" s="467" t="str">
        <f t="shared" ref="V213:V220" ca="1" si="117">IFERROR(IF(OR(D213=0,D213="-",D213="",D213=" ",D213=" "),"X",D213&amp;E213),"X")</f>
        <v>BRIDDON MissyC'field</v>
      </c>
      <c r="W213" s="467" t="str">
        <f t="shared" ref="W213:W220" ca="1" si="118">IFERROR(IF(OR(J213=0,J213="-",J213="",J213=" ",J213=" "),"X",J213&amp;K213),"X")</f>
        <v>BAINES LilyC'field</v>
      </c>
      <c r="Z213" s="467">
        <f t="shared" ca="1" si="109"/>
        <v>4</v>
      </c>
      <c r="AA213" s="467">
        <f t="shared" ca="1" si="110"/>
        <v>4</v>
      </c>
    </row>
    <row r="214" spans="1:27" x14ac:dyDescent="0.35">
      <c r="A214" s="468">
        <f>A203+1</f>
        <v>22</v>
      </c>
      <c r="B214" s="477">
        <v>2</v>
      </c>
      <c r="C214" s="477">
        <f ca="1">IFERROR(IF(B214&gt;MatchDay!$U$2+MatchDay!$D$6-1,"",VLOOKUP(A211,Timetables!$A:$DK,MatchDay!$U$4+B214-MatchDay!$D$6,FALSE)),"")</f>
        <v>5</v>
      </c>
      <c r="D214" s="467" t="str">
        <f ca="1">IFERROR(HLOOKUP(C214,Declarations!$D$2:$S$102,A213,FALSE),"")</f>
        <v>-</v>
      </c>
      <c r="E214" s="467" t="str">
        <f t="shared" ref="E214:E220" ca="1" si="119">IFERROR(VLOOKUP(C214,teamlookup,5,FALSE),"")</f>
        <v>Scun</v>
      </c>
      <c r="F214" s="466"/>
      <c r="G214" s="476"/>
      <c r="H214" s="477">
        <v>2</v>
      </c>
      <c r="I214" s="477">
        <f t="shared" ref="I214:I220" ca="1" si="120">IFERROR(C214*11,"")</f>
        <v>55</v>
      </c>
      <c r="J214" s="467">
        <f ca="1">IFERROR(HLOOKUP(I214,Declarations!$D$2:$S$102,$A213,FALSE),"")</f>
        <v>0</v>
      </c>
      <c r="K214" s="467" t="str">
        <f t="shared" ca="1" si="116"/>
        <v>Scun</v>
      </c>
      <c r="N214" s="478"/>
      <c r="P214" s="468" t="str">
        <f ca="1">IFERROR(IF(OR(D214=0,D214="-",D214="",D214=" ",D214=" ",D214="Athlete"),"",IF($A219&gt;0,VLOOKUP(D214,female_reg,3,FALSE)-C214*10,VLOOKUP(D214,male_reg,3,FALSE)-C214*10)),2)</f>
        <v/>
      </c>
      <c r="Q214" s="468" t="str">
        <f ca="1">IFERROR(IF(OR(J214=0,J214="-",J214=" ",J214="",J214=" ",J214="Athlete"),"",IF($A219&gt;0,VLOOKUP(J214,female_reg,3,FALSE)-C214*10,VLOOKUP(J214,male_reg,3,FALSE)-C214*10)),2)</f>
        <v/>
      </c>
      <c r="T214" s="468">
        <f t="shared" ca="1" si="107"/>
        <v>0</v>
      </c>
      <c r="U214" s="468">
        <f t="shared" ca="1" si="108"/>
        <v>0</v>
      </c>
      <c r="V214" s="467" t="str">
        <f t="shared" ca="1" si="117"/>
        <v>X</v>
      </c>
      <c r="W214" s="467" t="str">
        <f t="shared" ca="1" si="118"/>
        <v>X</v>
      </c>
      <c r="Z214" s="467">
        <f t="shared" ca="1" si="109"/>
        <v>0</v>
      </c>
      <c r="AA214" s="467">
        <f t="shared" ca="1" si="110"/>
        <v>0</v>
      </c>
    </row>
    <row r="215" spans="1:27" x14ac:dyDescent="0.35">
      <c r="A215" s="118">
        <f ca="1">IFERROR(VLOOKUP(A211,standards,3,FALSE)+0.01,"-")</f>
        <v>12.709999999999999</v>
      </c>
      <c r="B215" s="477">
        <v>3</v>
      </c>
      <c r="C215" s="477">
        <f ca="1">IFERROR(IF(B215&gt;MatchDay!$U$2+MatchDay!$D$6-1,"",VLOOKUP(A211,Timetables!$A:$DK,MatchDay!$U$4+B215-MatchDay!$D$6,FALSE)),"")</f>
        <v>4</v>
      </c>
      <c r="D215" s="467" t="str">
        <f ca="1">IFERROR(HLOOKUP(C215,Declarations!$D$2:$S$102,A213,FALSE),"")</f>
        <v>WYATT Martha</v>
      </c>
      <c r="E215" s="467" t="str">
        <f t="shared" ca="1" si="119"/>
        <v>M'bro</v>
      </c>
      <c r="F215" s="466"/>
      <c r="G215" s="476"/>
      <c r="H215" s="477">
        <v>3</v>
      </c>
      <c r="I215" s="477">
        <f t="shared" ca="1" si="120"/>
        <v>44</v>
      </c>
      <c r="J215" s="467" t="str">
        <f ca="1">IFERROR(HLOOKUP(I215,Declarations!$D$2:$S$102,$A213,FALSE),"")</f>
        <v>GILLIS Madelaine</v>
      </c>
      <c r="K215" s="467" t="str">
        <f t="shared" ca="1" si="116"/>
        <v>M'bro</v>
      </c>
      <c r="N215" s="478"/>
      <c r="P215" s="468">
        <f ca="1">IFERROR(IF(OR(D215=0,D215="-",D215="",D215=" ",D215=" ",D215="Athlete"),"",IF($A219&gt;0,VLOOKUP(D215,female_reg,3,FALSE)-C215*10,VLOOKUP(D215,male_reg,3,FALSE)-C215*10)),2)</f>
        <v>1</v>
      </c>
      <c r="Q215" s="468">
        <f ca="1">IFERROR(IF(OR(J215=0,J215="-",J215=" ",J215="",J215=" ",J215="Athlete"),"",IF($A219&gt;0,VLOOKUP(J215,female_reg,3,FALSE)-C215*10,VLOOKUP(J215,male_reg,3,FALSE)-C215*10)),2)</f>
        <v>1</v>
      </c>
      <c r="T215" s="468">
        <f t="shared" ca="1" si="107"/>
        <v>1</v>
      </c>
      <c r="U215" s="468">
        <f t="shared" ca="1" si="108"/>
        <v>2</v>
      </c>
      <c r="V215" s="467" t="str">
        <f t="shared" ca="1" si="117"/>
        <v>WYATT MarthaM'bro</v>
      </c>
      <c r="W215" s="467" t="str">
        <f t="shared" ca="1" si="118"/>
        <v>GILLIS MadelaineM'bro</v>
      </c>
      <c r="Z215" s="467">
        <f t="shared" ca="1" si="109"/>
        <v>2</v>
      </c>
      <c r="AA215" s="467">
        <f t="shared" ca="1" si="110"/>
        <v>3</v>
      </c>
    </row>
    <row r="216" spans="1:27" x14ac:dyDescent="0.35">
      <c r="A216" s="118">
        <f ca="1">IFERROR(VLOOKUP(A211,standards,4,FALSE)+0.01,"-")</f>
        <v>12.91</v>
      </c>
      <c r="B216" s="477">
        <v>4</v>
      </c>
      <c r="C216" s="477">
        <f ca="1">IFERROR(IF(B216&gt;MatchDay!$U$2+MatchDay!$D$6-1,"",VLOOKUP(A211,Timetables!$A:$DK,MatchDay!$U$4+B216-MatchDay!$D$6,FALSE)),"")</f>
        <v>2</v>
      </c>
      <c r="D216" s="467" t="str">
        <f ca="1">IFERROR(HLOOKUP(C216,Declarations!$D$2:$S$102,A213,FALSE),"")</f>
        <v>MYCROFT Tilly</v>
      </c>
      <c r="E216" s="467" t="str">
        <f t="shared" ca="1" si="119"/>
        <v>Sheff+D</v>
      </c>
      <c r="F216" s="466"/>
      <c r="G216" s="476"/>
      <c r="H216" s="477">
        <v>4</v>
      </c>
      <c r="I216" s="477">
        <f t="shared" ca="1" si="120"/>
        <v>22</v>
      </c>
      <c r="J216" s="467" t="str">
        <f ca="1">IFERROR(HLOOKUP(I216,Declarations!$D$2:$S$102,$A213,FALSE),"")</f>
        <v>JELONKIEWICZ Viktoria</v>
      </c>
      <c r="K216" s="467" t="str">
        <f t="shared" ca="1" si="116"/>
        <v>Sheff+D</v>
      </c>
      <c r="N216" s="478"/>
      <c r="P216" s="468">
        <f ca="1">IFERROR(IF(OR(D216=0,D216="-",D216="",D216=" ",D216=" ",D216="Athlete"),"",IF($A219&gt;0,VLOOKUP(D216,female_reg,3,FALSE)-C216*10,VLOOKUP(D216,male_reg,3,FALSE)-C216*10)),2)</f>
        <v>1</v>
      </c>
      <c r="Q216" s="468">
        <f ca="1">IFERROR(IF(OR(J216=0,J216="-",J216=" ",J216="",J216=" ",J216="Athlete"),"",IF($A219&gt;0,VLOOKUP(J216,female_reg,3,FALSE)-C216*10,VLOOKUP(J216,male_reg,3,FALSE)-C216*10)),2)</f>
        <v>1</v>
      </c>
      <c r="T216" s="468">
        <f t="shared" ca="1" si="107"/>
        <v>3</v>
      </c>
      <c r="U216" s="468">
        <f t="shared" ca="1" si="108"/>
        <v>2</v>
      </c>
      <c r="V216" s="467" t="str">
        <f t="shared" ca="1" si="117"/>
        <v>MYCROFT TillySheff+D</v>
      </c>
      <c r="W216" s="467" t="str">
        <f t="shared" ca="1" si="118"/>
        <v>JELONKIEWICZ ViktoriaSheff+D</v>
      </c>
      <c r="Z216" s="467">
        <f t="shared" ca="1" si="109"/>
        <v>3</v>
      </c>
      <c r="AA216" s="467">
        <f t="shared" ca="1" si="110"/>
        <v>3</v>
      </c>
    </row>
    <row r="217" spans="1:27" x14ac:dyDescent="0.35">
      <c r="A217" s="118">
        <f ca="1">IFERROR(VLOOKUP(A211,standards,5,FALSE)+0.01,"-")</f>
        <v>13.209999999999999</v>
      </c>
      <c r="B217" s="477">
        <v>5</v>
      </c>
      <c r="C217" s="477">
        <f ca="1">IFERROR(IF(B217&gt;MatchDay!$U$2+MatchDay!$D$6-1,"",VLOOKUP(A211,Timetables!$A:$DK,MatchDay!$U$4+B217-MatchDay!$D$6,FALSE)),"")</f>
        <v>3</v>
      </c>
      <c r="D217" s="467" t="str">
        <f ca="1">IFERROR(HLOOKUP(C217,Declarations!$D$2:$S$102,A213,FALSE),"")</f>
        <v>BROOKS Carmen</v>
      </c>
      <c r="E217" s="467" t="str">
        <f t="shared" ca="1" si="119"/>
        <v>York</v>
      </c>
      <c r="F217" s="466"/>
      <c r="G217" s="476"/>
      <c r="H217" s="477">
        <v>5</v>
      </c>
      <c r="I217" s="477">
        <f t="shared" ca="1" si="120"/>
        <v>33</v>
      </c>
      <c r="J217" s="467" t="str">
        <f ca="1">IFERROR(HLOOKUP(I217,Declarations!$D$2:$S$102,$A213,FALSE),"")</f>
        <v>HICKLING Rosie</v>
      </c>
      <c r="K217" s="467" t="str">
        <f t="shared" ca="1" si="116"/>
        <v>York</v>
      </c>
      <c r="N217" s="478"/>
      <c r="P217" s="468">
        <f ca="1">IFERROR(IF(OR(D217=0,D217="-",D217="",D217=" ",D217=" ",D217="Athlete"),"",IF($A219&gt;0,VLOOKUP(D217,female_reg,3,FALSE)-C217*10,VLOOKUP(D217,male_reg,3,FALSE)-C217*10)),2)</f>
        <v>1</v>
      </c>
      <c r="Q217" s="468">
        <f ca="1">IFERROR(IF(OR(J217=0,J217="-",J217=" ",J217="",J217=" ",J217="Athlete"),"",IF($A219&gt;0,VLOOKUP(J217,female_reg,3,FALSE)-C217*10,VLOOKUP(J217,male_reg,3,FALSE)-C217*10)),2)</f>
        <v>1</v>
      </c>
      <c r="T217" s="468">
        <f t="shared" ca="1" si="107"/>
        <v>3</v>
      </c>
      <c r="U217" s="468">
        <f t="shared" ca="1" si="108"/>
        <v>2</v>
      </c>
      <c r="V217" s="467" t="str">
        <f t="shared" ca="1" si="117"/>
        <v>BROOKS CarmenYork</v>
      </c>
      <c r="W217" s="467" t="str">
        <f t="shared" ca="1" si="118"/>
        <v>HICKLING RosieYork</v>
      </c>
      <c r="Z217" s="467">
        <f t="shared" ca="1" si="109"/>
        <v>4</v>
      </c>
      <c r="AA217" s="467">
        <f t="shared" ca="1" si="110"/>
        <v>3</v>
      </c>
    </row>
    <row r="218" spans="1:27" x14ac:dyDescent="0.35">
      <c r="A218" s="118">
        <f ca="1">IFERROR(VLOOKUP(A211,standards,6,FALSE)+0.01,"-")</f>
        <v>13.51</v>
      </c>
      <c r="B218" s="477">
        <v>6</v>
      </c>
      <c r="C218" s="477" t="str">
        <f>IFERROR(IF(B218&gt;MatchDay!$U$2+MatchDay!$D$6-1,"",VLOOKUP(A211,Timetables!$A:$DK,MatchDay!$U$4+B218-MatchDay!$D$6,FALSE)),"")</f>
        <v/>
      </c>
      <c r="D218" s="467" t="str">
        <f>IFERROR(HLOOKUP(C218,Declarations!$D$2:$S$102,A213,FALSE),"")</f>
        <v/>
      </c>
      <c r="E218" s="467" t="str">
        <f t="shared" si="119"/>
        <v/>
      </c>
      <c r="F218" s="466"/>
      <c r="G218" s="476"/>
      <c r="H218" s="477">
        <v>6</v>
      </c>
      <c r="I218" s="477" t="str">
        <f t="shared" si="120"/>
        <v/>
      </c>
      <c r="J218" s="467" t="str">
        <f>IFERROR(HLOOKUP(I218,Declarations!$D$2:$S$102,$A213,FALSE),"")</f>
        <v/>
      </c>
      <c r="K218" s="467" t="str">
        <f t="shared" si="116"/>
        <v/>
      </c>
      <c r="N218" s="478"/>
      <c r="P218" s="468" t="str">
        <f>IFERROR(IF(OR(D218=0,D218="-",D218="",D218=" ",D218=" ",D218="Athlete"),"",IF($A219&gt;0,VLOOKUP(D218,female_reg,3,FALSE)-C218*10,VLOOKUP(D218,male_reg,3,FALSE)-C218*10)),2)</f>
        <v/>
      </c>
      <c r="Q218" s="468" t="str">
        <f>IFERROR(IF(OR(J218=0,J218="-",J218=" ",J218="",J218=" ",J218="Athlete"),"",IF($A219&gt;0,VLOOKUP(J218,female_reg,3,FALSE)-C218*10,VLOOKUP(J218,male_reg,3,FALSE)-C218*10)),2)</f>
        <v/>
      </c>
      <c r="T218" s="468">
        <f t="shared" si="107"/>
        <v>0</v>
      </c>
      <c r="U218" s="468">
        <f t="shared" si="108"/>
        <v>0</v>
      </c>
      <c r="V218" s="467" t="str">
        <f t="shared" si="117"/>
        <v>X</v>
      </c>
      <c r="W218" s="467" t="str">
        <f t="shared" si="118"/>
        <v>X</v>
      </c>
      <c r="Z218" s="467">
        <f t="shared" si="109"/>
        <v>0</v>
      </c>
      <c r="AA218" s="467">
        <f t="shared" si="110"/>
        <v>0</v>
      </c>
    </row>
    <row r="219" spans="1:27" x14ac:dyDescent="0.35">
      <c r="A219" s="479">
        <f ca="1">IFERROR(SEARCH("Girls",B211),0)</f>
        <v>10</v>
      </c>
      <c r="B219" s="477">
        <v>7</v>
      </c>
      <c r="C219" s="477" t="str">
        <f>IFERROR(IF(B219&gt;MatchDay!$U$2+MatchDay!$D$6-1,"",VLOOKUP(A211,Timetables!$A:$DK,MatchDay!$U$4+B219-MatchDay!$D$6,FALSE)),"")</f>
        <v/>
      </c>
      <c r="D219" s="467" t="str">
        <f>IFERROR(HLOOKUP(C219,Declarations!$D$2:$S$102,A213,FALSE),"")</f>
        <v/>
      </c>
      <c r="E219" s="467" t="str">
        <f t="shared" si="119"/>
        <v/>
      </c>
      <c r="F219" s="466"/>
      <c r="G219" s="476"/>
      <c r="H219" s="477">
        <v>7</v>
      </c>
      <c r="I219" s="477" t="str">
        <f t="shared" si="120"/>
        <v/>
      </c>
      <c r="J219" s="467" t="str">
        <f>IFERROR(HLOOKUP(I219,Declarations!$D$2:$S$102,$A213,FALSE),"")</f>
        <v/>
      </c>
      <c r="K219" s="467" t="str">
        <f t="shared" si="116"/>
        <v/>
      </c>
      <c r="N219" s="478"/>
      <c r="P219" s="468" t="str">
        <f>IFERROR(IF(OR(D219=0,D219="-",D219="",D219=" ",D219=" ",D219="Athlete"),"",IF($A219&gt;0,VLOOKUP(D219,female_reg,3,FALSE)-C219*10,VLOOKUP(D219,male_reg,3,FALSE)-C219*10)),2)</f>
        <v/>
      </c>
      <c r="Q219" s="468" t="str">
        <f>IFERROR(IF(OR(J219=0,J219="-",J219=" ",J219="",J219=" ",J219="Athlete"),"",IF($A219&gt;0,VLOOKUP(J219,female_reg,3,FALSE)-C219*10,VLOOKUP(J219,male_reg,3,FALSE)-C219*10)),2)</f>
        <v/>
      </c>
      <c r="T219" s="468">
        <f t="shared" si="107"/>
        <v>0</v>
      </c>
      <c r="U219" s="468">
        <f t="shared" si="108"/>
        <v>0</v>
      </c>
      <c r="V219" s="467" t="str">
        <f t="shared" si="117"/>
        <v>X</v>
      </c>
      <c r="W219" s="467" t="str">
        <f t="shared" si="118"/>
        <v>X</v>
      </c>
      <c r="Z219" s="467">
        <f t="shared" si="109"/>
        <v>0</v>
      </c>
      <c r="AA219" s="467">
        <f t="shared" si="110"/>
        <v>0</v>
      </c>
    </row>
    <row r="220" spans="1:27" x14ac:dyDescent="0.35">
      <c r="A220" s="116">
        <f ca="1">IFERROR(VLOOKUP(A211,records,5,FALSE),"")</f>
        <v>12.1</v>
      </c>
      <c r="B220" s="477">
        <v>8</v>
      </c>
      <c r="C220" s="477" t="str">
        <f>IFERROR(IF(B220&gt;MatchDay!$U$2+MatchDay!$D$6-1,"",VLOOKUP(A211,Timetables!$A:$DK,MatchDay!$U$4+B220-MatchDay!$D$6,FALSE)),"")</f>
        <v/>
      </c>
      <c r="D220" s="467" t="str">
        <f>IFERROR(HLOOKUP(C220,Declarations!$D$2:$S$102,A213,FALSE),"")</f>
        <v/>
      </c>
      <c r="E220" s="467" t="str">
        <f t="shared" si="119"/>
        <v/>
      </c>
      <c r="F220" s="466"/>
      <c r="G220" s="476"/>
      <c r="H220" s="477">
        <v>8</v>
      </c>
      <c r="I220" s="477" t="str">
        <f t="shared" si="120"/>
        <v/>
      </c>
      <c r="J220" s="467" t="str">
        <f>IFERROR(HLOOKUP(I220,Declarations!$D$2:$S$102,$A213,FALSE),"")</f>
        <v/>
      </c>
      <c r="K220" s="467" t="str">
        <f t="shared" si="116"/>
        <v/>
      </c>
      <c r="N220" s="478"/>
      <c r="P220" s="468" t="str">
        <f>IFERROR(IF(OR(D220=0,D220="-",D220="",D220=" ",D220=" ",D220="Athlete"),"",IF($A219&gt;0,VLOOKUP(D220,female_reg,3,FALSE)-C220*10,VLOOKUP(D220,male_reg,3,FALSE)-C220*10)),2)</f>
        <v/>
      </c>
      <c r="Q220" s="468" t="str">
        <f>IFERROR(IF(OR(J220=0,J220="-",J220=" ",J220="",J220=" ",J220="Athlete"),"",IF($A219&gt;0,VLOOKUP(J220,female_reg,3,FALSE)-C220*10,VLOOKUP(J220,male_reg,3,FALSE)-C220*10)),2)</f>
        <v/>
      </c>
      <c r="T220" s="468">
        <f t="shared" si="107"/>
        <v>0</v>
      </c>
      <c r="U220" s="468">
        <f t="shared" si="108"/>
        <v>0</v>
      </c>
      <c r="V220" s="467" t="str">
        <f t="shared" si="117"/>
        <v>X</v>
      </c>
      <c r="W220" s="467" t="str">
        <f t="shared" si="118"/>
        <v>X</v>
      </c>
      <c r="Z220" s="467">
        <f t="shared" si="109"/>
        <v>0</v>
      </c>
      <c r="AA220" s="467">
        <f t="shared" si="110"/>
        <v>0</v>
      </c>
    </row>
    <row r="221" spans="1:27" x14ac:dyDescent="0.35">
      <c r="P221" s="468" t="str">
        <f>IFERROR(IF(OR(D221=0,D221="-",D221="",D221=" ",D221=" ",D221="Athlete"),"",IF($A219&gt;0,VLOOKUP(D221,female_reg,3,FALSE)-C221*10,VLOOKUP(D221,male_reg,3,FALSE)-C221*10)),"X")</f>
        <v/>
      </c>
      <c r="Q221" s="468" t="str">
        <f>IFERROR(IF(OR(J221=0,J221="-",J221=" ",J221="",J221=" ",J221="Athlete"),"",IF($A219&gt;0,VLOOKUP(J221,female_reg,3,FALSE)-C221*10,VLOOKUP(J221,male_reg,3,FALSE)-C221*10)),"X")</f>
        <v/>
      </c>
      <c r="T221" s="468">
        <f t="shared" ca="1" si="107"/>
        <v>0</v>
      </c>
      <c r="U221" s="468">
        <f t="shared" ca="1" si="108"/>
        <v>0</v>
      </c>
      <c r="Z221" s="467">
        <f t="shared" ca="1" si="109"/>
        <v>0</v>
      </c>
      <c r="AA221" s="467">
        <f t="shared" ca="1" si="110"/>
        <v>0</v>
      </c>
    </row>
    <row r="222" spans="1:27" x14ac:dyDescent="0.35">
      <c r="A222" s="111" t="str">
        <f ca="1">IFERROR(INDIRECT(CONCATENATE("'Timetables'!A"&amp;A225)),"")</f>
        <v>LT13</v>
      </c>
      <c r="B222" s="469" t="str">
        <f ca="1">IFERROR(VLOOKUP(A222,timetables,2,FALSE)&amp;" "&amp;VLOOKUP(A222,timetables,3,FALSE)&amp;" A","")</f>
        <v>100m U15 Boys A</v>
      </c>
      <c r="C222" s="469"/>
      <c r="E222" s="470" t="str">
        <f ca="1">"Starts "&amp;TEXT(VLOOKUP(A222,timetables,7-MatchDay!$U$7,FALSE),"hh:mm")</f>
        <v>Starts 14:45</v>
      </c>
      <c r="F222" s="471"/>
      <c r="H222" s="472" t="str">
        <f ca="1">IFERROR("Rec: "&amp;TEXT(VLOOKUP(A222,records,5,FALSE),"#0.00")&amp;"s, "&amp;VLOOKUP(A222,records,3,FALSE)&amp;", "&amp;VLOOKUP(A222,records,4,FALSE)&amp;", "&amp;VLOOKUP(A222,records,8,FALSE),"")</f>
        <v>Rec: 11.00s, Marcus McLean, Sale Harriers, 2018</v>
      </c>
      <c r="K222" s="473"/>
      <c r="L222" s="474"/>
      <c r="M222" s="467"/>
      <c r="P222" s="468" t="str">
        <f>IFERROR(IF(OR(D222=0,D222="-",D222="",D222=" ",D222=" ",D222="Athlete"),"",IF($A230&gt;0,VLOOKUP(D222,female_reg,3,FALSE)-C222*10,VLOOKUP(D222,male_reg,3,FALSE)-C222*10)),"X")</f>
        <v/>
      </c>
      <c r="Q222" s="468" t="str">
        <f>IFERROR(IF(OR(J222=0,J222="-",J222=" ",J222="",J222=" ",J222="Athlete"),"",IF($A230&gt;0,VLOOKUP(J222,female_reg,3,FALSE)-C222*10,VLOOKUP(J222,male_reg,3,FALSE)-C222*10)),"X")</f>
        <v/>
      </c>
      <c r="T222" s="468">
        <f t="shared" ca="1" si="107"/>
        <v>0</v>
      </c>
      <c r="U222" s="468">
        <f t="shared" ca="1" si="108"/>
        <v>0</v>
      </c>
      <c r="Z222" s="467">
        <f t="shared" ca="1" si="109"/>
        <v>0</v>
      </c>
      <c r="AA222" s="467">
        <f t="shared" ca="1" si="110"/>
        <v>0</v>
      </c>
    </row>
    <row r="223" spans="1:27" x14ac:dyDescent="0.35">
      <c r="A223" s="85" t="str">
        <f ca="1">MID(A222,2,3)</f>
        <v>T13</v>
      </c>
      <c r="B223" s="9" t="s">
        <v>786</v>
      </c>
      <c r="C223" s="9" t="s">
        <v>183</v>
      </c>
      <c r="D223" s="46" t="s">
        <v>227</v>
      </c>
      <c r="E223" s="46" t="s">
        <v>228</v>
      </c>
      <c r="F223" s="475"/>
      <c r="G223" s="46"/>
      <c r="H223" s="9" t="s">
        <v>786</v>
      </c>
      <c r="I223" s="9" t="s">
        <v>183</v>
      </c>
      <c r="J223" s="46" t="s">
        <v>227</v>
      </c>
      <c r="K223" s="46" t="s">
        <v>228</v>
      </c>
      <c r="L223" s="475"/>
      <c r="M223" s="475"/>
      <c r="N223" s="52"/>
      <c r="P223" s="468" t="str">
        <f>IFERROR(IF(OR(D223=0,D223="-",D223="",D223=" ",D223=" ",D223="Athlete"),"",IF($A230&gt;0,VLOOKUP(D223,female_reg,3,FALSE)-C223*10,VLOOKUP(D223,male_reg,3,FALSE)-C223*10)),"X")</f>
        <v/>
      </c>
      <c r="Q223" s="468" t="str">
        <f>IFERROR(IF(OR(J223=0,J223="-",J223=" ",J223="",J223=" ",J223="Athlete"),"",IF($A230&gt;0,VLOOKUP(J223,female_reg,3,FALSE)-C223*10,VLOOKUP(J223,male_reg,3,FALSE)-C223*10)),"X")</f>
        <v/>
      </c>
      <c r="T223" s="468">
        <f t="shared" ca="1" si="107"/>
        <v>0</v>
      </c>
      <c r="U223" s="468">
        <f t="shared" ca="1" si="108"/>
        <v>0</v>
      </c>
      <c r="Z223" s="467">
        <f t="shared" ca="1" si="109"/>
        <v>0</v>
      </c>
      <c r="AA223" s="467">
        <f t="shared" ca="1" si="110"/>
        <v>0</v>
      </c>
    </row>
    <row r="224" spans="1:27" x14ac:dyDescent="0.35">
      <c r="A224" s="181">
        <f ca="1">IFERROR(VLOOKUP(A222,Timetables!$A:$E,5,FALSE)-1,"")</f>
        <v>53</v>
      </c>
      <c r="B224" s="477">
        <v>1</v>
      </c>
      <c r="C224" s="477">
        <f ca="1">IFERROR(IF(B224&gt;MatchDay!$U$2,"",IF(MatchDay!$D$6=2,"",VLOOKUP(A222,Timetables!$A:$DK,MatchDay!$U$4+B224-MatchDay!$D$6,FALSE))),"")</f>
        <v>1</v>
      </c>
      <c r="D224" s="467" t="str">
        <f ca="1">IFERROR(HLOOKUP(C224,Declarations!$D$2:$S$102,A224,FALSE),"")</f>
        <v>FOGDEN Ben</v>
      </c>
      <c r="E224" s="467" t="str">
        <f ca="1">IFERROR(VLOOKUP(C224,teamlookup,5,FALSE),"")</f>
        <v>C'field</v>
      </c>
      <c r="F224" s="466"/>
      <c r="G224" s="476"/>
      <c r="H224" s="477">
        <v>1</v>
      </c>
      <c r="I224" s="477">
        <f ca="1">IFERROR(C224*11,"")</f>
        <v>11</v>
      </c>
      <c r="J224" s="467" t="str">
        <f ca="1">IFERROR(HLOOKUP(I224,Declarations!$D$2:$S$102,$A224,FALSE),"")</f>
        <v>COOPER Malachi</v>
      </c>
      <c r="K224" s="467" t="str">
        <f t="shared" ref="K224:K231" ca="1" si="121">IFERROR(VLOOKUP(I224,teamlookup,5,FALSE),"")</f>
        <v>C'field</v>
      </c>
      <c r="N224" s="478"/>
      <c r="P224" s="468">
        <f ca="1">IFERROR(IF(OR(D224=0,D224="-",D224="",D224=" ",D224=" ",D224="Athlete"),"",IF($A230&gt;0,VLOOKUP(D224,female_reg,3,FALSE)-C224*10,VLOOKUP(D224,male_reg,3,FALSE)-C224*10)),2)</f>
        <v>1</v>
      </c>
      <c r="Q224" s="468">
        <f ca="1">IFERROR(IF(OR(J224=0,J224="-",J224=" ",J224="",J224=" ",J224="Athlete"),"",IF($A230&gt;0,VLOOKUP(J224,female_reg,3,FALSE)-C224*10,VLOOKUP(J224,male_reg,3,FALSE)-C224*10)),2)</f>
        <v>1</v>
      </c>
      <c r="T224" s="468">
        <f t="shared" ca="1" si="107"/>
        <v>3</v>
      </c>
      <c r="U224" s="468">
        <f t="shared" ca="1" si="108"/>
        <v>3</v>
      </c>
      <c r="V224" s="467" t="str">
        <f t="shared" ref="V224:V231" ca="1" si="122">IFERROR(IF(OR(D224=0,D224="-",D224="",D224=" ",D224=" "),"X",D224&amp;E224),"X")</f>
        <v>FOGDEN BenC'field</v>
      </c>
      <c r="W224" s="467" t="str">
        <f t="shared" ref="W224:W231" ca="1" si="123">IFERROR(IF(OR(J224=0,J224="-",J224="",J224=" ",J224=" "),"X",J224&amp;K224),"X")</f>
        <v>COOPER MalachiC'field</v>
      </c>
      <c r="Z224" s="467">
        <f t="shared" ca="1" si="109"/>
        <v>4</v>
      </c>
      <c r="AA224" s="467">
        <f t="shared" ca="1" si="110"/>
        <v>4</v>
      </c>
    </row>
    <row r="225" spans="1:27" x14ac:dyDescent="0.35">
      <c r="A225" s="468">
        <f>A214+1</f>
        <v>23</v>
      </c>
      <c r="B225" s="477">
        <v>2</v>
      </c>
      <c r="C225" s="477">
        <f ca="1">IFERROR(IF(B225&gt;MatchDay!$U$2+MatchDay!$D$6-1,"",VLOOKUP(A222,Timetables!$A:$DK,MatchDay!$U$4+B225-MatchDay!$D$6,FALSE)),"")</f>
        <v>5</v>
      </c>
      <c r="D225" s="467">
        <f ca="1">IFERROR(HLOOKUP(C225,Declarations!$D$2:$S$102,A224,FALSE),"")</f>
        <v>0</v>
      </c>
      <c r="E225" s="467" t="str">
        <f t="shared" ref="E225:E231" ca="1" si="124">IFERROR(VLOOKUP(C225,teamlookup,5,FALSE),"")</f>
        <v>Scun</v>
      </c>
      <c r="F225" s="466"/>
      <c r="G225" s="476"/>
      <c r="H225" s="477">
        <v>2</v>
      </c>
      <c r="I225" s="477">
        <f t="shared" ref="I225:I231" ca="1" si="125">IFERROR(C225*11,"")</f>
        <v>55</v>
      </c>
      <c r="J225" s="467">
        <f ca="1">IFERROR(HLOOKUP(I225,Declarations!$D$2:$S$102,$A224,FALSE),"")</f>
        <v>0</v>
      </c>
      <c r="K225" s="467" t="str">
        <f t="shared" ca="1" si="121"/>
        <v>Scun</v>
      </c>
      <c r="N225" s="478"/>
      <c r="P225" s="468" t="str">
        <f ca="1">IFERROR(IF(OR(D225=0,D225="-",D225="",D225=" ",D225=" ",D225="Athlete"),"",IF($A230&gt;0,VLOOKUP(D225,female_reg,3,FALSE)-C225*10,VLOOKUP(D225,male_reg,3,FALSE)-C225*10)),2)</f>
        <v/>
      </c>
      <c r="Q225" s="468" t="str">
        <f ca="1">IFERROR(IF(OR(J225=0,J225="-",J225=" ",J225="",J225=" ",J225="Athlete"),"",IF($A230&gt;0,VLOOKUP(J225,female_reg,3,FALSE)-C225*10,VLOOKUP(J225,male_reg,3,FALSE)-C225*10)),2)</f>
        <v/>
      </c>
      <c r="T225" s="468">
        <f t="shared" ca="1" si="107"/>
        <v>0</v>
      </c>
      <c r="U225" s="468">
        <f t="shared" ca="1" si="108"/>
        <v>0</v>
      </c>
      <c r="V225" s="467" t="str">
        <f t="shared" ca="1" si="122"/>
        <v>X</v>
      </c>
      <c r="W225" s="467" t="str">
        <f t="shared" ca="1" si="123"/>
        <v>X</v>
      </c>
      <c r="Z225" s="467">
        <f t="shared" ca="1" si="109"/>
        <v>0</v>
      </c>
      <c r="AA225" s="467">
        <f t="shared" ca="1" si="110"/>
        <v>0</v>
      </c>
    </row>
    <row r="226" spans="1:27" x14ac:dyDescent="0.35">
      <c r="A226" s="118">
        <f ca="1">IFERROR(VLOOKUP(A222,standards,3,FALSE)+0.01,"-")</f>
        <v>11.709999999999999</v>
      </c>
      <c r="B226" s="477">
        <v>3</v>
      </c>
      <c r="C226" s="477">
        <f ca="1">IFERROR(IF(B226&gt;MatchDay!$U$2+MatchDay!$D$6-1,"",VLOOKUP(A222,Timetables!$A:$DK,MatchDay!$U$4+B226-MatchDay!$D$6,FALSE)),"")</f>
        <v>4</v>
      </c>
      <c r="D226" s="467" t="str">
        <f ca="1">IFERROR(HLOOKUP(C226,Declarations!$D$2:$S$102,A224,FALSE),"")</f>
        <v>MAYNARD Tom</v>
      </c>
      <c r="E226" s="467" t="str">
        <f t="shared" ca="1" si="124"/>
        <v>M'bro</v>
      </c>
      <c r="F226" s="466"/>
      <c r="G226" s="476"/>
      <c r="H226" s="477">
        <v>3</v>
      </c>
      <c r="I226" s="477">
        <f t="shared" ca="1" si="125"/>
        <v>44</v>
      </c>
      <c r="J226" s="467" t="str">
        <f ca="1">IFERROR(HLOOKUP(I226,Declarations!$D$2:$S$102,$A224,FALSE),"")</f>
        <v>OKEY Chieme</v>
      </c>
      <c r="K226" s="467" t="str">
        <f t="shared" ca="1" si="121"/>
        <v>M'bro</v>
      </c>
      <c r="N226" s="478"/>
      <c r="P226" s="468">
        <f ca="1">IFERROR(IF(OR(D226=0,D226="-",D226="",D226=" ",D226=" ",D226="Athlete"),"",IF($A230&gt;0,VLOOKUP(D226,female_reg,3,FALSE)-C226*10,VLOOKUP(D226,male_reg,3,FALSE)-C226*10)),2)</f>
        <v>1</v>
      </c>
      <c r="Q226" s="468">
        <f ca="1">IFERROR(IF(OR(J226=0,J226="-",J226=" ",J226="",J226=" ",J226="Athlete"),"",IF($A230&gt;0,VLOOKUP(J226,female_reg,3,FALSE)-C226*10,VLOOKUP(J226,male_reg,3,FALSE)-C226*10)),2)</f>
        <v>1</v>
      </c>
      <c r="T226" s="468">
        <f t="shared" ca="1" si="107"/>
        <v>2</v>
      </c>
      <c r="U226" s="468">
        <f t="shared" ca="1" si="108"/>
        <v>1</v>
      </c>
      <c r="V226" s="467" t="str">
        <f t="shared" ca="1" si="122"/>
        <v>MAYNARD TomM'bro</v>
      </c>
      <c r="W226" s="467" t="str">
        <f t="shared" ca="1" si="123"/>
        <v>OKEY ChiemeM'bro</v>
      </c>
      <c r="Z226" s="467">
        <f t="shared" ca="1" si="109"/>
        <v>3</v>
      </c>
      <c r="AA226" s="467">
        <f t="shared" ca="1" si="110"/>
        <v>2</v>
      </c>
    </row>
    <row r="227" spans="1:27" x14ac:dyDescent="0.35">
      <c r="A227" s="118">
        <f ca="1">IFERROR(VLOOKUP(A222,standards,4,FALSE)+0.01,"-")</f>
        <v>11.91</v>
      </c>
      <c r="B227" s="477">
        <v>4</v>
      </c>
      <c r="C227" s="477">
        <f ca="1">IFERROR(IF(B227&gt;MatchDay!$U$2+MatchDay!$D$6-1,"",VLOOKUP(A222,Timetables!$A:$DK,MatchDay!$U$4+B227-MatchDay!$D$6,FALSE)),"")</f>
        <v>2</v>
      </c>
      <c r="D227" s="467" t="str">
        <f ca="1">IFERROR(HLOOKUP(C227,Declarations!$D$2:$S$102,A224,FALSE),"")</f>
        <v>WAINWRIGHT James</v>
      </c>
      <c r="E227" s="467" t="str">
        <f t="shared" ca="1" si="124"/>
        <v>Sheff+D</v>
      </c>
      <c r="F227" s="466"/>
      <c r="G227" s="476"/>
      <c r="H227" s="477">
        <v>4</v>
      </c>
      <c r="I227" s="477">
        <f t="shared" ca="1" si="125"/>
        <v>22</v>
      </c>
      <c r="J227" s="467" t="str">
        <f ca="1">IFERROR(HLOOKUP(I227,Declarations!$D$2:$S$102,$A224,FALSE),"")</f>
        <v>-</v>
      </c>
      <c r="K227" s="467" t="str">
        <f t="shared" ca="1" si="121"/>
        <v>Sheff+D</v>
      </c>
      <c r="N227" s="478"/>
      <c r="P227" s="468">
        <f ca="1">IFERROR(IF(OR(D227=0,D227="-",D227="",D227=" ",D227=" ",D227="Athlete"),"",IF($A230&gt;0,VLOOKUP(D227,female_reg,3,FALSE)-C227*10,VLOOKUP(D227,male_reg,3,FALSE)-C227*10)),2)</f>
        <v>1</v>
      </c>
      <c r="Q227" s="468" t="str">
        <f ca="1">IFERROR(IF(OR(J227=0,J227="-",J227=" ",J227="",J227=" ",J227="Athlete"),"",IF($A230&gt;0,VLOOKUP(J227,female_reg,3,FALSE)-C227*10,VLOOKUP(J227,male_reg,3,FALSE)-C227*10)),2)</f>
        <v/>
      </c>
      <c r="T227" s="468">
        <f t="shared" ca="1" si="107"/>
        <v>3</v>
      </c>
      <c r="U227" s="468">
        <f t="shared" ca="1" si="108"/>
        <v>0</v>
      </c>
      <c r="V227" s="467" t="str">
        <f t="shared" ca="1" si="122"/>
        <v>WAINWRIGHT JamesSheff+D</v>
      </c>
      <c r="W227" s="467" t="str">
        <f t="shared" ca="1" si="123"/>
        <v>X</v>
      </c>
      <c r="Z227" s="467">
        <f t="shared" ca="1" si="109"/>
        <v>4</v>
      </c>
      <c r="AA227" s="467">
        <f t="shared" ca="1" si="110"/>
        <v>0</v>
      </c>
    </row>
    <row r="228" spans="1:27" x14ac:dyDescent="0.35">
      <c r="A228" s="118">
        <f ca="1">IFERROR(VLOOKUP(A222,standards,5,FALSE)+0.01,"-")</f>
        <v>12.11</v>
      </c>
      <c r="B228" s="477">
        <v>5</v>
      </c>
      <c r="C228" s="477">
        <f ca="1">IFERROR(IF(B228&gt;MatchDay!$U$2+MatchDay!$D$6-1,"",VLOOKUP(A222,Timetables!$A:$DK,MatchDay!$U$4+B228-MatchDay!$D$6,FALSE)),"")</f>
        <v>3</v>
      </c>
      <c r="D228" s="467" t="str">
        <f ca="1">IFERROR(HLOOKUP(C228,Declarations!$D$2:$S$102,A224,FALSE),"")</f>
        <v>MEIGH William</v>
      </c>
      <c r="E228" s="467" t="str">
        <f t="shared" ca="1" si="124"/>
        <v>York</v>
      </c>
      <c r="F228" s="466"/>
      <c r="G228" s="476"/>
      <c r="H228" s="477">
        <v>5</v>
      </c>
      <c r="I228" s="477">
        <f t="shared" ca="1" si="125"/>
        <v>33</v>
      </c>
      <c r="J228" s="467" t="str">
        <f ca="1">IFERROR(HLOOKUP(I228,Declarations!$D$2:$S$102,$A224,FALSE),"")</f>
        <v>PYE George</v>
      </c>
      <c r="K228" s="467" t="str">
        <f t="shared" ca="1" si="121"/>
        <v>York</v>
      </c>
      <c r="N228" s="478"/>
      <c r="P228" s="468">
        <f ca="1">IFERROR(IF(OR(D228=0,D228="-",D228="",D228=" ",D228=" ",D228="Athlete"),"",IF($A230&gt;0,VLOOKUP(D228,female_reg,3,FALSE)-C228*10,VLOOKUP(D228,male_reg,3,FALSE)-C228*10)),2)</f>
        <v>1</v>
      </c>
      <c r="Q228" s="468">
        <f ca="1">IFERROR(IF(OR(J228=0,J228="-",J228=" ",J228="",J228=" ",J228="Athlete"),"",IF($A230&gt;0,VLOOKUP(J228,female_reg,3,FALSE)-C228*10,VLOOKUP(J228,male_reg,3,FALSE)-C228*10)),2)</f>
        <v>1</v>
      </c>
      <c r="T228" s="468">
        <f t="shared" ca="1" si="107"/>
        <v>3</v>
      </c>
      <c r="U228" s="468">
        <f t="shared" ca="1" si="108"/>
        <v>2</v>
      </c>
      <c r="V228" s="467" t="str">
        <f t="shared" ca="1" si="122"/>
        <v>MEIGH WilliamYork</v>
      </c>
      <c r="W228" s="467" t="str">
        <f t="shared" ca="1" si="123"/>
        <v>PYE GeorgeYork</v>
      </c>
      <c r="Z228" s="467">
        <f t="shared" ca="1" si="109"/>
        <v>4</v>
      </c>
      <c r="AA228" s="467">
        <f t="shared" ca="1" si="110"/>
        <v>3</v>
      </c>
    </row>
    <row r="229" spans="1:27" x14ac:dyDescent="0.35">
      <c r="A229" s="118">
        <f ca="1">IFERROR(VLOOKUP(A222,standards,6,FALSE)+0.01,"-")</f>
        <v>12.51</v>
      </c>
      <c r="B229" s="477">
        <v>6</v>
      </c>
      <c r="C229" s="477" t="str">
        <f>IFERROR(IF(B229&gt;MatchDay!$U$2+MatchDay!$D$6-1,"",VLOOKUP(A222,Timetables!$A:$DK,MatchDay!$U$4+B229-MatchDay!$D$6,FALSE)),"")</f>
        <v/>
      </c>
      <c r="D229" s="467" t="str">
        <f>IFERROR(HLOOKUP(C229,Declarations!$D$2:$S$102,A224,FALSE),"")</f>
        <v/>
      </c>
      <c r="E229" s="467" t="str">
        <f t="shared" si="124"/>
        <v/>
      </c>
      <c r="F229" s="466"/>
      <c r="G229" s="476"/>
      <c r="H229" s="477">
        <v>6</v>
      </c>
      <c r="I229" s="477" t="str">
        <f t="shared" si="125"/>
        <v/>
      </c>
      <c r="J229" s="467" t="str">
        <f>IFERROR(HLOOKUP(I229,Declarations!$D$2:$S$102,$A224,FALSE),"")</f>
        <v/>
      </c>
      <c r="K229" s="467" t="str">
        <f t="shared" si="121"/>
        <v/>
      </c>
      <c r="N229" s="478"/>
      <c r="P229" s="468" t="str">
        <f>IFERROR(IF(OR(D229=0,D229="-",D229="",D229=" ",D229=" ",D229="Athlete"),"",IF($A230&gt;0,VLOOKUP(D229,female_reg,3,FALSE)-C229*10,VLOOKUP(D229,male_reg,3,FALSE)-C229*10)),2)</f>
        <v/>
      </c>
      <c r="Q229" s="468" t="str">
        <f>IFERROR(IF(OR(J229=0,J229="-",J229=" ",J229="",J229=" ",J229="Athlete"),"",IF($A230&gt;0,VLOOKUP(J229,female_reg,3,FALSE)-C229*10,VLOOKUP(J229,male_reg,3,FALSE)-C229*10)),2)</f>
        <v/>
      </c>
      <c r="T229" s="468">
        <f t="shared" si="107"/>
        <v>0</v>
      </c>
      <c r="U229" s="468">
        <f t="shared" si="108"/>
        <v>0</v>
      </c>
      <c r="V229" s="467" t="str">
        <f t="shared" si="122"/>
        <v>X</v>
      </c>
      <c r="W229" s="467" t="str">
        <f t="shared" si="123"/>
        <v>X</v>
      </c>
      <c r="Z229" s="467">
        <f t="shared" si="109"/>
        <v>0</v>
      </c>
      <c r="AA229" s="467">
        <f t="shared" si="110"/>
        <v>0</v>
      </c>
    </row>
    <row r="230" spans="1:27" x14ac:dyDescent="0.35">
      <c r="A230" s="479">
        <f ca="1">IFERROR(SEARCH("Girls",B222),0)</f>
        <v>0</v>
      </c>
      <c r="B230" s="477">
        <v>7</v>
      </c>
      <c r="C230" s="477" t="str">
        <f>IFERROR(IF(B230&gt;MatchDay!$U$2+MatchDay!$D$6-1,"",VLOOKUP(A222,Timetables!$A:$DK,MatchDay!$U$4+B230-MatchDay!$D$6,FALSE)),"")</f>
        <v/>
      </c>
      <c r="D230" s="467" t="str">
        <f>IFERROR(HLOOKUP(C230,Declarations!$D$2:$S$102,A224,FALSE),"")</f>
        <v/>
      </c>
      <c r="E230" s="467" t="str">
        <f t="shared" si="124"/>
        <v/>
      </c>
      <c r="F230" s="466"/>
      <c r="G230" s="476"/>
      <c r="H230" s="477">
        <v>7</v>
      </c>
      <c r="I230" s="477" t="str">
        <f t="shared" si="125"/>
        <v/>
      </c>
      <c r="J230" s="467" t="str">
        <f>IFERROR(HLOOKUP(I230,Declarations!$D$2:$S$102,$A224,FALSE),"")</f>
        <v/>
      </c>
      <c r="K230" s="467" t="str">
        <f t="shared" si="121"/>
        <v/>
      </c>
      <c r="N230" s="478"/>
      <c r="P230" s="468" t="str">
        <f>IFERROR(IF(OR(D230=0,D230="-",D230="",D230=" ",D230=" ",D230="Athlete"),"",IF($A230&gt;0,VLOOKUP(D230,female_reg,3,FALSE)-C230*10,VLOOKUP(D230,male_reg,3,FALSE)-C230*10)),2)</f>
        <v/>
      </c>
      <c r="Q230" s="468" t="str">
        <f>IFERROR(IF(OR(J230=0,J230="-",J230=" ",J230="",J230=" ",J230="Athlete"),"",IF($A230&gt;0,VLOOKUP(J230,female_reg,3,FALSE)-C230*10,VLOOKUP(J230,male_reg,3,FALSE)-C230*10)),2)</f>
        <v/>
      </c>
      <c r="T230" s="468">
        <f t="shared" si="107"/>
        <v>0</v>
      </c>
      <c r="U230" s="468">
        <f t="shared" si="108"/>
        <v>0</v>
      </c>
      <c r="V230" s="467" t="str">
        <f t="shared" si="122"/>
        <v>X</v>
      </c>
      <c r="W230" s="467" t="str">
        <f t="shared" si="123"/>
        <v>X</v>
      </c>
      <c r="Z230" s="467">
        <f t="shared" si="109"/>
        <v>0</v>
      </c>
      <c r="AA230" s="467">
        <f t="shared" si="110"/>
        <v>0</v>
      </c>
    </row>
    <row r="231" spans="1:27" x14ac:dyDescent="0.35">
      <c r="A231" s="116">
        <f ca="1">IFERROR(VLOOKUP(A222,records,5,FALSE),"")</f>
        <v>11</v>
      </c>
      <c r="B231" s="477">
        <v>8</v>
      </c>
      <c r="C231" s="477" t="str">
        <f>IFERROR(IF(B231&gt;MatchDay!$U$2+MatchDay!$D$6-1,"",VLOOKUP(A222,Timetables!$A:$DK,MatchDay!$U$4+B231-MatchDay!$D$6,FALSE)),"")</f>
        <v/>
      </c>
      <c r="D231" s="467" t="str">
        <f>IFERROR(HLOOKUP(C231,Declarations!$D$2:$S$102,A224,FALSE),"")</f>
        <v/>
      </c>
      <c r="E231" s="467" t="str">
        <f t="shared" si="124"/>
        <v/>
      </c>
      <c r="F231" s="466"/>
      <c r="G231" s="476"/>
      <c r="H231" s="477">
        <v>8</v>
      </c>
      <c r="I231" s="477" t="str">
        <f t="shared" si="125"/>
        <v/>
      </c>
      <c r="J231" s="467" t="str">
        <f>IFERROR(HLOOKUP(I231,Declarations!$D$2:$S$102,$A224,FALSE),"")</f>
        <v/>
      </c>
      <c r="K231" s="467" t="str">
        <f t="shared" si="121"/>
        <v/>
      </c>
      <c r="N231" s="478"/>
      <c r="P231" s="468" t="str">
        <f>IFERROR(IF(OR(D231=0,D231="-",D231="",D231=" ",D231=" ",D231="Athlete"),"",IF($A230&gt;0,VLOOKUP(D231,female_reg,3,FALSE)-C231*10,VLOOKUP(D231,male_reg,3,FALSE)-C231*10)),2)</f>
        <v/>
      </c>
      <c r="Q231" s="468" t="str">
        <f>IFERROR(IF(OR(J231=0,J231="-",J231=" ",J231="",J231=" ",J231="Athlete"),"",IF($A230&gt;0,VLOOKUP(J231,female_reg,3,FALSE)-C231*10,VLOOKUP(J231,male_reg,3,FALSE)-C231*10)),2)</f>
        <v/>
      </c>
      <c r="T231" s="468">
        <f t="shared" si="107"/>
        <v>0</v>
      </c>
      <c r="U231" s="468">
        <f t="shared" si="108"/>
        <v>0</v>
      </c>
      <c r="V231" s="467" t="str">
        <f t="shared" si="122"/>
        <v>X</v>
      </c>
      <c r="W231" s="467" t="str">
        <f t="shared" si="123"/>
        <v>X</v>
      </c>
      <c r="Z231" s="467">
        <f t="shared" si="109"/>
        <v>0</v>
      </c>
      <c r="AA231" s="467">
        <f t="shared" si="110"/>
        <v>0</v>
      </c>
    </row>
    <row r="232" spans="1:27" x14ac:dyDescent="0.35">
      <c r="P232" s="468" t="str">
        <f>IFERROR(IF(OR(D232=0,D232="-",D232="",D232=" ",D232=" ",D232="Athlete"),"",IF($A230&gt;0,VLOOKUP(D232,female_reg,3,FALSE)-C232*10,VLOOKUP(D232,male_reg,3,FALSE)-C232*10)),"X")</f>
        <v/>
      </c>
      <c r="Q232" s="468" t="str">
        <f>IFERROR(IF(OR(J232=0,J232="-",J232=" ",J232="",J232=" ",J232="Athlete"),"",IF($A230&gt;0,VLOOKUP(J232,female_reg,3,FALSE)-C232*10,VLOOKUP(J232,male_reg,3,FALSE)-C232*10)),"X")</f>
        <v/>
      </c>
      <c r="T232" s="468">
        <f t="shared" ca="1" si="107"/>
        <v>0</v>
      </c>
      <c r="U232" s="468">
        <f t="shared" ca="1" si="108"/>
        <v>0</v>
      </c>
      <c r="Z232" s="467">
        <f t="shared" ca="1" si="109"/>
        <v>0</v>
      </c>
      <c r="AA232" s="467">
        <f t="shared" ca="1" si="110"/>
        <v>0</v>
      </c>
    </row>
    <row r="233" spans="1:27" x14ac:dyDescent="0.35">
      <c r="A233" s="111" t="str">
        <f ca="1">IFERROR(INDIRECT(CONCATENATE("'Timetables'!A"&amp;A236)),"")</f>
        <v>LT14</v>
      </c>
      <c r="B233" s="469" t="str">
        <f ca="1">IFERROR(VLOOKUP(A233,timetables,2,FALSE)&amp;" "&amp;VLOOKUP(A233,timetables,3,FALSE)&amp;" A","")</f>
        <v>100m NS U13 Boys A</v>
      </c>
      <c r="C233" s="469"/>
      <c r="E233" s="470" t="str">
        <f ca="1">"Starts "&amp;TEXT(VLOOKUP(A233,timetables,7-MatchDay!$U$7,FALSE),"hh:mm")</f>
        <v>Starts 14:25</v>
      </c>
      <c r="F233" s="471"/>
      <c r="H233" s="472" t="str">
        <f ca="1">IFERROR("Rec: "&amp;TEXT(VLOOKUP(A233,records,5,FALSE),"#0.00")&amp;"s, "&amp;VLOOKUP(A233,records,3,FALSE)&amp;", "&amp;VLOOKUP(A233,records,4,FALSE)&amp;", "&amp;VLOOKUP(A233,records,8,FALSE),"")</f>
        <v>Rec: 12.00s, Abraham Fobil, Sale Harriers, 2016</v>
      </c>
      <c r="K233" s="473"/>
      <c r="L233" s="474"/>
      <c r="M233" s="467"/>
      <c r="P233" s="468" t="str">
        <f>IFERROR(IF(OR(D233=0,D233="-",D233="",D233=" ",D233=" ",D233="Athlete"),"",IF($A241&gt;0,VLOOKUP(D233,female_reg,3,FALSE)-C233*10,VLOOKUP(D233,male_reg,3,FALSE)-C233*10)),"X")</f>
        <v/>
      </c>
      <c r="Q233" s="468" t="str">
        <f>IFERROR(IF(OR(J233=0,J233="-",J233=" ",J233="",J233=" ",J233="Athlete"),"",IF($A241&gt;0,VLOOKUP(J233,female_reg,3,FALSE)-C233*10,VLOOKUP(J233,male_reg,3,FALSE)-C233*10)),"X")</f>
        <v/>
      </c>
      <c r="T233" s="468">
        <f t="shared" ca="1" si="107"/>
        <v>0</v>
      </c>
      <c r="U233" s="468">
        <f t="shared" ca="1" si="108"/>
        <v>0</v>
      </c>
      <c r="Z233" s="467">
        <f t="shared" ca="1" si="109"/>
        <v>0</v>
      </c>
      <c r="AA233" s="467">
        <f t="shared" ca="1" si="110"/>
        <v>0</v>
      </c>
    </row>
    <row r="234" spans="1:27" x14ac:dyDescent="0.35">
      <c r="A234" s="85" t="str">
        <f ca="1">MID(A233,2,3)</f>
        <v>T14</v>
      </c>
      <c r="B234" s="9" t="s">
        <v>786</v>
      </c>
      <c r="C234" s="9" t="s">
        <v>183</v>
      </c>
      <c r="D234" s="46" t="s">
        <v>227</v>
      </c>
      <c r="E234" s="46" t="s">
        <v>228</v>
      </c>
      <c r="F234" s="475"/>
      <c r="G234" s="46"/>
      <c r="H234" s="9" t="s">
        <v>786</v>
      </c>
      <c r="I234" s="9" t="s">
        <v>183</v>
      </c>
      <c r="J234" s="46" t="s">
        <v>227</v>
      </c>
      <c r="K234" s="46" t="s">
        <v>228</v>
      </c>
      <c r="L234" s="475"/>
      <c r="M234" s="475"/>
      <c r="N234" s="52"/>
      <c r="P234" s="483" t="str">
        <f>IFERROR(IF(OR(D234=0,D234="-",D234="",D234=" ",D234=" ",D234="Athlete"),"",IF($A241&gt;0,VLOOKUP(D234,female_reg,3,FALSE)-C234*10,VLOOKUP(D234,male_reg,3,FALSE)-C234*10)),"X")</f>
        <v/>
      </c>
      <c r="Q234" s="483" t="str">
        <f>IFERROR(IF(OR(J234=0,J234="-",J234=" ",J234="",J234=" ",J234="Athlete"),"",IF($A241&gt;0,VLOOKUP(J234,female_reg,3,FALSE)-C234*10,VLOOKUP(J234,male_reg,3,FALSE)-C234*10)),"X")</f>
        <v/>
      </c>
      <c r="R234" s="483"/>
      <c r="T234" s="483">
        <f t="shared" ref="T234:T243" ca="1" si="126">IFERROR(IF(V234="X",0,COUNTIF($V$4:$W$573,V234)),0)</f>
        <v>0</v>
      </c>
      <c r="U234" s="483">
        <f t="shared" ref="U234:U243" ca="1" si="127">IFERROR(IF(W234="X",0,COUNTIF($V$4:$W$573,W234)),0)</f>
        <v>0</v>
      </c>
      <c r="Z234" s="467">
        <f t="shared" ref="Z234:Z243" ca="1" si="128">IF(V234="X",0,COUNTIF($V$4:$Y$638,V234))</f>
        <v>0</v>
      </c>
      <c r="AA234" s="467">
        <f t="shared" ref="AA234:AA243" ca="1" si="129">IF(W234="X",0,COUNTIF($V$4:$Y$638,W234))</f>
        <v>0</v>
      </c>
    </row>
    <row r="235" spans="1:27" x14ac:dyDescent="0.35">
      <c r="A235" s="181">
        <f ca="1">IFERROR(VLOOKUP(A233,Timetables!$A:$E,5,FALSE)-1,"")</f>
        <v>79</v>
      </c>
      <c r="B235" s="477">
        <v>1</v>
      </c>
      <c r="C235" s="477">
        <f ca="1">IFERROR(IF(B235&gt;MatchDay!$U$2,"",IF(MatchDay!$D$6=2,"",VLOOKUP(A233,Timetables!$A:$DK,MatchDay!$U$4+B235-MatchDay!$D$6,FALSE))),"")</f>
        <v>1</v>
      </c>
      <c r="D235" s="467">
        <f ca="1">IFERROR(HLOOKUP(C235,Declarations!$D$2:$S$102,A235,FALSE),"")</f>
        <v>0</v>
      </c>
      <c r="E235" s="467" t="str">
        <f ca="1">IFERROR(VLOOKUP(C235,teamlookup,5,FALSE),"")</f>
        <v>C'field</v>
      </c>
      <c r="F235" s="466"/>
      <c r="G235" s="476"/>
      <c r="H235" s="477">
        <v>1</v>
      </c>
      <c r="I235" s="477">
        <f ca="1">IFERROR(C235*11,"")</f>
        <v>11</v>
      </c>
      <c r="J235" s="467">
        <f ca="1">IFERROR(HLOOKUP(I235,Declarations!$D$2:$S$102,$A235,FALSE),"")</f>
        <v>0</v>
      </c>
      <c r="K235" s="467" t="str">
        <f t="shared" ref="K235:K242" ca="1" si="130">IFERROR(VLOOKUP(I235,teamlookup,5,FALSE),"")</f>
        <v>C'field</v>
      </c>
      <c r="N235" s="478"/>
      <c r="P235" s="483" t="str">
        <f ca="1">IFERROR(IF(OR(D235=0,D235="-",D235="",D235=" ",D235=" ",D235="Athlete"),"",IF($A241&gt;0,VLOOKUP(D235,female_reg,3,FALSE)-C235*10,VLOOKUP(D235,male_reg,3,FALSE)-C235*10)),2)</f>
        <v/>
      </c>
      <c r="Q235" s="483" t="str">
        <f ca="1">IFERROR(IF(OR(J235=0,J235="-",J235=" ",J235="",J235=" ",J235="Athlete"),"",IF($A241&gt;0,VLOOKUP(J235,female_reg,3,FALSE)-C235*10,VLOOKUP(J235,male_reg,3,FALSE)-C235*10)),2)</f>
        <v/>
      </c>
      <c r="R235" s="483"/>
      <c r="T235" s="483">
        <f t="shared" ca="1" si="126"/>
        <v>0</v>
      </c>
      <c r="U235" s="483">
        <f t="shared" ca="1" si="127"/>
        <v>0</v>
      </c>
      <c r="V235" s="467" t="str">
        <f t="shared" ref="V235:V242" ca="1" si="131">IFERROR(IF(OR(D235=0,D235="-",D235="",D235=" ",D235=" "),"X",D235&amp;E235),"X")</f>
        <v>X</v>
      </c>
      <c r="W235" s="467" t="str">
        <f t="shared" ref="W235:W242" ca="1" si="132">IFERROR(IF(OR(J235=0,J235="-",J235="",J235=" ",J235=" "),"X",J235&amp;K235),"X")</f>
        <v>X</v>
      </c>
      <c r="Z235" s="467">
        <f t="shared" ca="1" si="128"/>
        <v>0</v>
      </c>
      <c r="AA235" s="467">
        <f t="shared" ca="1" si="129"/>
        <v>0</v>
      </c>
    </row>
    <row r="236" spans="1:27" x14ac:dyDescent="0.35">
      <c r="A236" s="483">
        <f>A225+1</f>
        <v>24</v>
      </c>
      <c r="B236" s="477">
        <v>2</v>
      </c>
      <c r="C236" s="477">
        <f ca="1">IFERROR(IF(B236&gt;MatchDay!$U$2+MatchDay!$D$6-1,"",VLOOKUP(A233,Timetables!$A:$DK,MatchDay!$U$4+B236-MatchDay!$D$6,FALSE)),"")</f>
        <v>5</v>
      </c>
      <c r="D236" s="467">
        <f ca="1">IFERROR(HLOOKUP(C236,Declarations!$D$2:$S$102,A235,FALSE),"")</f>
        <v>0</v>
      </c>
      <c r="E236" s="467" t="str">
        <f t="shared" ref="E236:E242" ca="1" si="133">IFERROR(VLOOKUP(C236,teamlookup,5,FALSE),"")</f>
        <v>Scun</v>
      </c>
      <c r="F236" s="466"/>
      <c r="G236" s="476"/>
      <c r="H236" s="477">
        <v>2</v>
      </c>
      <c r="I236" s="477">
        <f t="shared" ref="I236:I242" ca="1" si="134">IFERROR(C236*11,"")</f>
        <v>55</v>
      </c>
      <c r="J236" s="467">
        <f ca="1">IFERROR(HLOOKUP(I236,Declarations!$D$2:$S$102,$A235,FALSE),"")</f>
        <v>0</v>
      </c>
      <c r="K236" s="467" t="str">
        <f t="shared" ca="1" si="130"/>
        <v>Scun</v>
      </c>
      <c r="N236" s="478"/>
      <c r="P236" s="483" t="str">
        <f ca="1">IFERROR(IF(OR(D236=0,D236="-",D236="",D236=" ",D236=" ",D236="Athlete"),"",IF($A241&gt;0,VLOOKUP(D236,female_reg,3,FALSE)-C236*10,VLOOKUP(D236,male_reg,3,FALSE)-C236*10)),2)</f>
        <v/>
      </c>
      <c r="Q236" s="483" t="str">
        <f ca="1">IFERROR(IF(OR(J236=0,J236="-",J236=" ",J236="",J236=" ",J236="Athlete"),"",IF($A241&gt;0,VLOOKUP(J236,female_reg,3,FALSE)-C236*10,VLOOKUP(J236,male_reg,3,FALSE)-C236*10)),2)</f>
        <v/>
      </c>
      <c r="R236" s="483"/>
      <c r="T236" s="483">
        <f t="shared" ca="1" si="126"/>
        <v>0</v>
      </c>
      <c r="U236" s="483">
        <f t="shared" ca="1" si="127"/>
        <v>0</v>
      </c>
      <c r="V236" s="467" t="str">
        <f t="shared" ca="1" si="131"/>
        <v>X</v>
      </c>
      <c r="W236" s="467" t="str">
        <f t="shared" ca="1" si="132"/>
        <v>X</v>
      </c>
      <c r="Z236" s="467">
        <f t="shared" ca="1" si="128"/>
        <v>0</v>
      </c>
      <c r="AA236" s="467">
        <f t="shared" ca="1" si="129"/>
        <v>0</v>
      </c>
    </row>
    <row r="237" spans="1:27" x14ac:dyDescent="0.35">
      <c r="A237" s="118">
        <f ca="1">IFERROR(VLOOKUP(A233,standards,3,FALSE)+0.01,"-")</f>
        <v>13.01</v>
      </c>
      <c r="B237" s="477">
        <v>3</v>
      </c>
      <c r="C237" s="477">
        <f ca="1">IFERROR(IF(B237&gt;MatchDay!$U$2+MatchDay!$D$6-1,"",VLOOKUP(A233,Timetables!$A:$DK,MatchDay!$U$4+B237-MatchDay!$D$6,FALSE)),"")</f>
        <v>4</v>
      </c>
      <c r="D237" s="467" t="str">
        <f ca="1">IFERROR(HLOOKUP(C237,Declarations!$D$2:$S$102,A235,FALSE),"")</f>
        <v>BAKER Edward</v>
      </c>
      <c r="E237" s="467" t="str">
        <f t="shared" ca="1" si="133"/>
        <v>M'bro</v>
      </c>
      <c r="F237" s="466"/>
      <c r="G237" s="476"/>
      <c r="H237" s="477">
        <v>3</v>
      </c>
      <c r="I237" s="477">
        <f t="shared" ca="1" si="134"/>
        <v>44</v>
      </c>
      <c r="J237" s="467" t="str">
        <f ca="1">IFERROR(HLOOKUP(I237,Declarations!$D$2:$S$102,$A235,FALSE),"")</f>
        <v>-</v>
      </c>
      <c r="K237" s="467" t="str">
        <f t="shared" ca="1" si="130"/>
        <v>M'bro</v>
      </c>
      <c r="N237" s="478"/>
      <c r="P237" s="483">
        <f ca="1">IFERROR(IF(OR(D237=0,D237="-",D237="",D237=" ",D237=" ",D237="Athlete"),"",IF($A241&gt;0,VLOOKUP(D237,female_reg,3,FALSE)-C237*10,VLOOKUP(D237,male_reg,3,FALSE)-C237*10)),2)</f>
        <v>1</v>
      </c>
      <c r="Q237" s="483" t="str">
        <f ca="1">IFERROR(IF(OR(J237=0,J237="-",J237=" ",J237="",J237=" ",J237="Athlete"),"",IF($A241&gt;0,VLOOKUP(J237,female_reg,3,FALSE)-C237*10,VLOOKUP(J237,male_reg,3,FALSE)-C237*10)),2)</f>
        <v/>
      </c>
      <c r="R237" s="483"/>
      <c r="T237" s="483">
        <f t="shared" ca="1" si="126"/>
        <v>3</v>
      </c>
      <c r="U237" s="483">
        <f t="shared" ca="1" si="127"/>
        <v>0</v>
      </c>
      <c r="V237" s="467" t="str">
        <f t="shared" ca="1" si="131"/>
        <v>BAKER EdwardM'bro</v>
      </c>
      <c r="W237" s="467" t="str">
        <f t="shared" ca="1" si="132"/>
        <v>X</v>
      </c>
      <c r="Z237" s="467">
        <f t="shared" ca="1" si="128"/>
        <v>3</v>
      </c>
      <c r="AA237" s="467">
        <f t="shared" ca="1" si="129"/>
        <v>0</v>
      </c>
    </row>
    <row r="238" spans="1:27" x14ac:dyDescent="0.35">
      <c r="A238" s="118">
        <f ca="1">IFERROR(VLOOKUP(A233,standards,4,FALSE)+0.01,"-")</f>
        <v>13.209999999999999</v>
      </c>
      <c r="B238" s="477">
        <v>4</v>
      </c>
      <c r="C238" s="477">
        <f ca="1">IFERROR(IF(B238&gt;MatchDay!$U$2+MatchDay!$D$6-1,"",VLOOKUP(A233,Timetables!$A:$DK,MatchDay!$U$4+B238-MatchDay!$D$6,FALSE)),"")</f>
        <v>2</v>
      </c>
      <c r="D238" s="467" t="str">
        <f ca="1">IFERROR(HLOOKUP(C238,Declarations!$D$2:$S$102,A235,FALSE),"")</f>
        <v>WINGFIELD Tyler</v>
      </c>
      <c r="E238" s="467" t="str">
        <f t="shared" ca="1" si="133"/>
        <v>Sheff+D</v>
      </c>
      <c r="F238" s="466"/>
      <c r="G238" s="476"/>
      <c r="H238" s="477">
        <v>4</v>
      </c>
      <c r="I238" s="477">
        <f t="shared" ca="1" si="134"/>
        <v>22</v>
      </c>
      <c r="J238" s="467" t="str">
        <f ca="1">IFERROR(HLOOKUP(I238,Declarations!$D$2:$S$102,$A235,FALSE),"")</f>
        <v>COCKINGS Matthew</v>
      </c>
      <c r="K238" s="467" t="str">
        <f t="shared" ca="1" si="130"/>
        <v>Sheff+D</v>
      </c>
      <c r="N238" s="478"/>
      <c r="P238" s="483">
        <f ca="1">IFERROR(IF(OR(D238=0,D238="-",D238="",D238=" ",D238=" ",D238="Athlete"),"",IF($A241&gt;0,VLOOKUP(D238,female_reg,3,FALSE)-C238*10,VLOOKUP(D238,male_reg,3,FALSE)-C238*10)),2)</f>
        <v>1</v>
      </c>
      <c r="Q238" s="483">
        <f ca="1">IFERROR(IF(OR(J238=0,J238="-",J238=" ",J238="",J238=" ",J238="Athlete"),"",IF($A241&gt;0,VLOOKUP(J238,female_reg,3,FALSE)-C238*10,VLOOKUP(J238,male_reg,3,FALSE)-C238*10)),2)</f>
        <v>1</v>
      </c>
      <c r="R238" s="483"/>
      <c r="T238" s="483">
        <f t="shared" ca="1" si="126"/>
        <v>2</v>
      </c>
      <c r="U238" s="483">
        <f t="shared" ca="1" si="127"/>
        <v>4</v>
      </c>
      <c r="V238" s="467" t="str">
        <f t="shared" ca="1" si="131"/>
        <v>WINGFIELD TylerSheff+D</v>
      </c>
      <c r="W238" s="467" t="str">
        <f t="shared" ca="1" si="132"/>
        <v>COCKINGS MatthewSheff+D</v>
      </c>
      <c r="Z238" s="467">
        <f t="shared" ca="1" si="128"/>
        <v>3</v>
      </c>
      <c r="AA238" s="467">
        <f t="shared" ca="1" si="129"/>
        <v>4</v>
      </c>
    </row>
    <row r="239" spans="1:27" x14ac:dyDescent="0.35">
      <c r="A239" s="118">
        <f ca="1">IFERROR(VLOOKUP(A233,standards,5,FALSE)+0.01,"-")</f>
        <v>13.51</v>
      </c>
      <c r="B239" s="477">
        <v>5</v>
      </c>
      <c r="C239" s="477">
        <f ca="1">IFERROR(IF(B239&gt;MatchDay!$U$2+MatchDay!$D$6-1,"",VLOOKUP(A233,Timetables!$A:$DK,MatchDay!$U$4+B239-MatchDay!$D$6,FALSE)),"")</f>
        <v>3</v>
      </c>
      <c r="D239" s="467" t="str">
        <f ca="1">IFERROR(HLOOKUP(C239,Declarations!$D$2:$S$102,A235,FALSE),"")</f>
        <v>BASTOW Isaac</v>
      </c>
      <c r="E239" s="467" t="str">
        <f t="shared" ca="1" si="133"/>
        <v>York</v>
      </c>
      <c r="F239" s="466"/>
      <c r="G239" s="476"/>
      <c r="H239" s="477">
        <v>5</v>
      </c>
      <c r="I239" s="477">
        <f t="shared" ca="1" si="134"/>
        <v>33</v>
      </c>
      <c r="J239" s="467" t="str">
        <f ca="1">IFERROR(HLOOKUP(I239,Declarations!$D$2:$S$102,$A235,FALSE),"")</f>
        <v>WATSON Miles</v>
      </c>
      <c r="K239" s="467" t="str">
        <f t="shared" ca="1" si="130"/>
        <v>York</v>
      </c>
      <c r="N239" s="478"/>
      <c r="P239" s="483">
        <f ca="1">IFERROR(IF(OR(D239=0,D239="-",D239="",D239=" ",D239=" ",D239="Athlete"),"",IF($A241&gt;0,VLOOKUP(D239,female_reg,3,FALSE)-C239*10,VLOOKUP(D239,male_reg,3,FALSE)-C239*10)),2)</f>
        <v>1</v>
      </c>
      <c r="Q239" s="483">
        <f ca="1">IFERROR(IF(OR(J239=0,J239="-",J239=" ",J239="",J239=" ",J239="Athlete"),"",IF($A241&gt;0,VLOOKUP(J239,female_reg,3,FALSE)-C239*10,VLOOKUP(J239,male_reg,3,FALSE)-C239*10)),2)</f>
        <v>0</v>
      </c>
      <c r="R239" s="483"/>
      <c r="T239" s="483">
        <f t="shared" ca="1" si="126"/>
        <v>3</v>
      </c>
      <c r="U239" s="483">
        <f t="shared" ca="1" si="127"/>
        <v>2</v>
      </c>
      <c r="V239" s="467" t="str">
        <f t="shared" ca="1" si="131"/>
        <v>BASTOW IsaacYork</v>
      </c>
      <c r="W239" s="467" t="str">
        <f t="shared" ca="1" si="132"/>
        <v>WATSON MilesYork</v>
      </c>
      <c r="Z239" s="467">
        <f t="shared" ca="1" si="128"/>
        <v>4</v>
      </c>
      <c r="AA239" s="467">
        <f t="shared" ca="1" si="129"/>
        <v>2</v>
      </c>
    </row>
    <row r="240" spans="1:27" x14ac:dyDescent="0.35">
      <c r="A240" s="118">
        <f ca="1">IFERROR(VLOOKUP(A233,standards,6,FALSE)+0.01,"-")</f>
        <v>13.91</v>
      </c>
      <c r="B240" s="477">
        <v>6</v>
      </c>
      <c r="C240" s="477" t="str">
        <f>IFERROR(IF(B240&gt;MatchDay!$U$2+MatchDay!$D$6-1,"",VLOOKUP(A233,Timetables!$A:$DK,MatchDay!$U$4+B240-MatchDay!$D$6,FALSE)),"")</f>
        <v/>
      </c>
      <c r="D240" s="467" t="str">
        <f>IFERROR(HLOOKUP(C240,Declarations!$D$2:$S$102,A235,FALSE),"")</f>
        <v/>
      </c>
      <c r="E240" s="467" t="str">
        <f t="shared" si="133"/>
        <v/>
      </c>
      <c r="F240" s="466"/>
      <c r="G240" s="476"/>
      <c r="H240" s="477">
        <v>6</v>
      </c>
      <c r="I240" s="477" t="str">
        <f t="shared" si="134"/>
        <v/>
      </c>
      <c r="J240" s="467" t="str">
        <f>IFERROR(HLOOKUP(I240,Declarations!$D$2:$S$102,$A235,FALSE),"")</f>
        <v/>
      </c>
      <c r="K240" s="467" t="str">
        <f t="shared" si="130"/>
        <v/>
      </c>
      <c r="N240" s="478"/>
      <c r="P240" s="483" t="str">
        <f>IFERROR(IF(OR(D240=0,D240="-",D240="",D240=" ",D240=" ",D240="Athlete"),"",IF($A241&gt;0,VLOOKUP(D240,female_reg,3,FALSE)-C240*10,VLOOKUP(D240,male_reg,3,FALSE)-C240*10)),2)</f>
        <v/>
      </c>
      <c r="Q240" s="483" t="str">
        <f>IFERROR(IF(OR(J240=0,J240="-",J240=" ",J240="",J240=" ",J240="Athlete"),"",IF($A241&gt;0,VLOOKUP(J240,female_reg,3,FALSE)-C240*10,VLOOKUP(J240,male_reg,3,FALSE)-C240*10)),2)</f>
        <v/>
      </c>
      <c r="R240" s="483"/>
      <c r="T240" s="483">
        <f t="shared" si="126"/>
        <v>0</v>
      </c>
      <c r="U240" s="483">
        <f t="shared" si="127"/>
        <v>0</v>
      </c>
      <c r="V240" s="467" t="str">
        <f t="shared" si="131"/>
        <v>X</v>
      </c>
      <c r="W240" s="467" t="str">
        <f t="shared" si="132"/>
        <v>X</v>
      </c>
      <c r="Z240" s="467">
        <f t="shared" si="128"/>
        <v>0</v>
      </c>
      <c r="AA240" s="467">
        <f t="shared" si="129"/>
        <v>0</v>
      </c>
    </row>
    <row r="241" spans="1:27" x14ac:dyDescent="0.35">
      <c r="A241" s="479">
        <f ca="1">IFERROR(SEARCH("Girls",B233),0)</f>
        <v>0</v>
      </c>
      <c r="B241" s="477">
        <v>7</v>
      </c>
      <c r="C241" s="477" t="str">
        <f>IFERROR(IF(B241&gt;MatchDay!$U$2+MatchDay!$D$6-1,"",VLOOKUP(A233,Timetables!$A:$DK,MatchDay!$U$4+B241-MatchDay!$D$6,FALSE)),"")</f>
        <v/>
      </c>
      <c r="D241" s="467" t="str">
        <f>IFERROR(HLOOKUP(C241,Declarations!$D$2:$S$102,A235,FALSE),"")</f>
        <v/>
      </c>
      <c r="E241" s="467" t="str">
        <f t="shared" si="133"/>
        <v/>
      </c>
      <c r="F241" s="466"/>
      <c r="G241" s="476"/>
      <c r="H241" s="477">
        <v>7</v>
      </c>
      <c r="I241" s="477" t="str">
        <f t="shared" si="134"/>
        <v/>
      </c>
      <c r="J241" s="467" t="str">
        <f>IFERROR(HLOOKUP(I241,Declarations!$D$2:$S$102,$A235,FALSE),"")</f>
        <v/>
      </c>
      <c r="K241" s="467" t="str">
        <f t="shared" si="130"/>
        <v/>
      </c>
      <c r="N241" s="478"/>
      <c r="P241" s="483" t="str">
        <f>IFERROR(IF(OR(D241=0,D241="-",D241="",D241=" ",D241=" ",D241="Athlete"),"",IF($A241&gt;0,VLOOKUP(D241,female_reg,3,FALSE)-C241*10,VLOOKUP(D241,male_reg,3,FALSE)-C241*10)),2)</f>
        <v/>
      </c>
      <c r="Q241" s="483" t="str">
        <f>IFERROR(IF(OR(J241=0,J241="-",J241=" ",J241="",J241=" ",J241="Athlete"),"",IF($A241&gt;0,VLOOKUP(J241,female_reg,3,FALSE)-C241*10,VLOOKUP(J241,male_reg,3,FALSE)-C241*10)),2)</f>
        <v/>
      </c>
      <c r="R241" s="483"/>
      <c r="T241" s="483">
        <f t="shared" si="126"/>
        <v>0</v>
      </c>
      <c r="U241" s="483">
        <f t="shared" si="127"/>
        <v>0</v>
      </c>
      <c r="V241" s="467" t="str">
        <f t="shared" si="131"/>
        <v>X</v>
      </c>
      <c r="W241" s="467" t="str">
        <f t="shared" si="132"/>
        <v>X</v>
      </c>
      <c r="Z241" s="467">
        <f t="shared" si="128"/>
        <v>0</v>
      </c>
      <c r="AA241" s="467">
        <f t="shared" si="129"/>
        <v>0</v>
      </c>
    </row>
    <row r="242" spans="1:27" x14ac:dyDescent="0.35">
      <c r="A242" s="116">
        <f ca="1">IFERROR(VLOOKUP(A233,records,5,FALSE),"")</f>
        <v>12</v>
      </c>
      <c r="B242" s="477">
        <v>8</v>
      </c>
      <c r="C242" s="477" t="str">
        <f>IFERROR(IF(B242&gt;MatchDay!$U$2+MatchDay!$D$6-1,"",VLOOKUP(A233,Timetables!$A:$DK,MatchDay!$U$4+B242-MatchDay!$D$6,FALSE)),"")</f>
        <v/>
      </c>
      <c r="D242" s="467" t="str">
        <f>IFERROR(HLOOKUP(C242,Declarations!$D$2:$S$102,A235,FALSE),"")</f>
        <v/>
      </c>
      <c r="E242" s="467" t="str">
        <f t="shared" si="133"/>
        <v/>
      </c>
      <c r="F242" s="466"/>
      <c r="G242" s="476"/>
      <c r="H242" s="477">
        <v>8</v>
      </c>
      <c r="I242" s="477" t="str">
        <f t="shared" si="134"/>
        <v/>
      </c>
      <c r="J242" s="467" t="str">
        <f>IFERROR(HLOOKUP(I242,Declarations!$D$2:$S$102,$A235,FALSE),"")</f>
        <v/>
      </c>
      <c r="K242" s="467" t="str">
        <f t="shared" si="130"/>
        <v/>
      </c>
      <c r="N242" s="478"/>
      <c r="P242" s="483" t="str">
        <f>IFERROR(IF(OR(D242=0,D242="-",D242="",D242=" ",D242=" ",D242="Athlete"),"",IF($A241&gt;0,VLOOKUP(D242,female_reg,3,FALSE)-C242*10,VLOOKUP(D242,male_reg,3,FALSE)-C242*10)),2)</f>
        <v/>
      </c>
      <c r="Q242" s="483" t="str">
        <f>IFERROR(IF(OR(J242=0,J242="-",J242=" ",J242="",J242=" ",J242="Athlete"),"",IF($A241&gt;0,VLOOKUP(J242,female_reg,3,FALSE)-C242*10,VLOOKUP(J242,male_reg,3,FALSE)-C242*10)),2)</f>
        <v/>
      </c>
      <c r="R242" s="483"/>
      <c r="T242" s="483">
        <f t="shared" si="126"/>
        <v>0</v>
      </c>
      <c r="U242" s="483">
        <f t="shared" si="127"/>
        <v>0</v>
      </c>
      <c r="V242" s="467" t="str">
        <f t="shared" si="131"/>
        <v>X</v>
      </c>
      <c r="W242" s="467" t="str">
        <f t="shared" si="132"/>
        <v>X</v>
      </c>
      <c r="Z242" s="467">
        <f t="shared" si="128"/>
        <v>0</v>
      </c>
      <c r="AA242" s="467">
        <f t="shared" si="129"/>
        <v>0</v>
      </c>
    </row>
    <row r="243" spans="1:27" x14ac:dyDescent="0.35">
      <c r="A243" s="483"/>
      <c r="C243" s="483"/>
      <c r="P243" s="483" t="str">
        <f>IFERROR(IF(OR(D243=0,D243="-",D243="",D243=" ",D243=" ",D243="Athlete"),"",IF($A241&gt;0,VLOOKUP(D243,female_reg,3,FALSE)-C243*10,VLOOKUP(D243,male_reg,3,FALSE)-C243*10)),"X")</f>
        <v/>
      </c>
      <c r="Q243" s="483" t="str">
        <f>IFERROR(IF(OR(J243=0,J243="-",J243=" ",J243="",J243=" ",J243="Athlete"),"",IF($A241&gt;0,VLOOKUP(J243,female_reg,3,FALSE)-C243*10,VLOOKUP(J243,male_reg,3,FALSE)-C243*10)),"X")</f>
        <v/>
      </c>
      <c r="R243" s="483"/>
      <c r="T243" s="483">
        <f t="shared" ca="1" si="126"/>
        <v>0</v>
      </c>
      <c r="U243" s="483">
        <f t="shared" ca="1" si="127"/>
        <v>0</v>
      </c>
      <c r="Z243" s="467">
        <f t="shared" ca="1" si="128"/>
        <v>0</v>
      </c>
      <c r="AA243" s="467">
        <f t="shared" ca="1" si="129"/>
        <v>0</v>
      </c>
    </row>
    <row r="244" spans="1:27" x14ac:dyDescent="0.35">
      <c r="A244" s="111" t="str">
        <f ca="1">IFERROR(INDIRECT(CONCATENATE("'Timetables'!A"&amp;A247)),"")</f>
        <v>LT15</v>
      </c>
      <c r="B244" s="469" t="str">
        <f ca="1">IFERROR(VLOOKUP(A244,timetables,2,FALSE)&amp;" "&amp;VLOOKUP(A244,timetables,3,FALSE)&amp;" A","")</f>
        <v>100m NS U15 Girls A</v>
      </c>
      <c r="C244" s="469"/>
      <c r="E244" s="470" t="str">
        <f ca="1">"Starts "&amp;TEXT(VLOOKUP(A244,timetables,7-MatchDay!$U$7,FALSE),"hh:mm")</f>
        <v>Starts 14:40</v>
      </c>
      <c r="F244" s="471"/>
      <c r="H244" s="472" t="str">
        <f ca="1">IFERROR("Rec: "&amp;TEXT(VLOOKUP(A244,records,5,FALSE),"#0.00")&amp;"s, "&amp;VLOOKUP(A244,records,3,FALSE)&amp;", "&amp;VLOOKUP(A244,records,4,FALSE)&amp;", "&amp;VLOOKUP(A244,records,8,FALSE),"")</f>
        <v>Rec: 12.10s, Tyra Khambai-Annan, Team Hounslow, 2018</v>
      </c>
      <c r="K244" s="473"/>
      <c r="L244" s="474"/>
      <c r="M244" s="467"/>
      <c r="P244" s="468" t="str">
        <f>IFERROR(IF(OR(D244=0,D244="-",D244="",D244=" ",D244=" ",D244="Athlete"),"",IF($A252&gt;0,VLOOKUP(D244,female_reg,3,FALSE)-C244*10,VLOOKUP(D244,male_reg,3,FALSE)-C244*10)),"X")</f>
        <v/>
      </c>
      <c r="Q244" s="468" t="str">
        <f>IFERROR(IF(OR(J244=0,J244="-",J244=" ",J244="",J244=" ",J244="Athlete"),"",IF($A252&gt;0,VLOOKUP(J244,female_reg,3,FALSE)-C244*10,VLOOKUP(J244,male_reg,3,FALSE)-C244*10)),"X")</f>
        <v/>
      </c>
      <c r="T244" s="468">
        <f t="shared" ca="1" si="107"/>
        <v>0</v>
      </c>
      <c r="U244" s="468">
        <f t="shared" ca="1" si="108"/>
        <v>0</v>
      </c>
      <c r="Z244" s="467">
        <f t="shared" ca="1" si="109"/>
        <v>0</v>
      </c>
      <c r="AA244" s="467">
        <f t="shared" ca="1" si="110"/>
        <v>0</v>
      </c>
    </row>
    <row r="245" spans="1:27" x14ac:dyDescent="0.35">
      <c r="A245" s="85" t="str">
        <f ca="1">MID(A244,2,3)</f>
        <v>T15</v>
      </c>
      <c r="B245" s="9" t="s">
        <v>786</v>
      </c>
      <c r="C245" s="9" t="s">
        <v>183</v>
      </c>
      <c r="D245" s="46" t="s">
        <v>227</v>
      </c>
      <c r="E245" s="46" t="s">
        <v>228</v>
      </c>
      <c r="F245" s="475"/>
      <c r="G245" s="46"/>
      <c r="H245" s="9" t="s">
        <v>786</v>
      </c>
      <c r="I245" s="9" t="s">
        <v>183</v>
      </c>
      <c r="J245" s="46" t="s">
        <v>227</v>
      </c>
      <c r="K245" s="46" t="s">
        <v>228</v>
      </c>
      <c r="L245" s="475"/>
      <c r="M245" s="475"/>
      <c r="N245" s="52"/>
      <c r="P245" s="483" t="str">
        <f>IFERROR(IF(OR(D245=0,D245="-",D245="",D245=" ",D245=" ",D245="Athlete"),"",IF($A252&gt;0,VLOOKUP(D245,female_reg,3,FALSE)-C245*10,VLOOKUP(D245,male_reg,3,FALSE)-C245*10)),"X")</f>
        <v/>
      </c>
      <c r="Q245" s="483" t="str">
        <f>IFERROR(IF(OR(J245=0,J245="-",J245=" ",J245="",J245=" ",J245="Athlete"),"",IF($A252&gt;0,VLOOKUP(J245,female_reg,3,FALSE)-C245*10,VLOOKUP(J245,male_reg,3,FALSE)-C245*10)),"X")</f>
        <v/>
      </c>
      <c r="R245" s="483"/>
      <c r="T245" s="483">
        <f t="shared" ref="T245:T254" ca="1" si="135">IFERROR(IF(V245="X",0,COUNTIF($V$4:$W$573,V245)),0)</f>
        <v>0</v>
      </c>
      <c r="U245" s="483">
        <f t="shared" ref="U245:U254" ca="1" si="136">IFERROR(IF(W245="X",0,COUNTIF($V$4:$W$573,W245)),0)</f>
        <v>0</v>
      </c>
      <c r="Z245" s="467">
        <f t="shared" ref="Z245:Z254" ca="1" si="137">IF(V245="X",0,COUNTIF($V$4:$Y$638,V245))</f>
        <v>0</v>
      </c>
      <c r="AA245" s="467">
        <f t="shared" ref="AA245:AA254" ca="1" si="138">IF(W245="X",0,COUNTIF($V$4:$Y$638,W245))</f>
        <v>0</v>
      </c>
    </row>
    <row r="246" spans="1:27" x14ac:dyDescent="0.35">
      <c r="A246" s="181">
        <f ca="1">IFERROR(VLOOKUP(A244,Timetables!$A:$E,5,FALSE)-1,"")</f>
        <v>4</v>
      </c>
      <c r="B246" s="477">
        <v>1</v>
      </c>
      <c r="C246" s="477">
        <f ca="1">IFERROR(IF(B246&gt;MatchDay!$U$2,"",IF(MatchDay!$D$6=2,"",VLOOKUP(A244,Timetables!$A:$DK,MatchDay!$U$4+B246-MatchDay!$D$6,FALSE))),"")</f>
        <v>1</v>
      </c>
      <c r="D246" s="467">
        <f ca="1">IFERROR(HLOOKUP(C246,Declarations!$D$2:$S$102,A246,FALSE),"")</f>
        <v>0</v>
      </c>
      <c r="E246" s="467" t="str">
        <f ca="1">IFERROR(VLOOKUP(C246,teamlookup,5,FALSE),"")</f>
        <v>C'field</v>
      </c>
      <c r="F246" s="466"/>
      <c r="G246" s="476"/>
      <c r="H246" s="477">
        <v>1</v>
      </c>
      <c r="I246" s="477">
        <f ca="1">IFERROR(C246*11,"")</f>
        <v>11</v>
      </c>
      <c r="J246" s="467">
        <f ca="1">IFERROR(HLOOKUP(I246,Declarations!$D$2:$S$102,$A246,FALSE),"")</f>
        <v>0</v>
      </c>
      <c r="K246" s="467" t="str">
        <f t="shared" ref="K246:K253" ca="1" si="139">IFERROR(VLOOKUP(I246,teamlookup,5,FALSE),"")</f>
        <v>C'field</v>
      </c>
      <c r="N246" s="478"/>
      <c r="P246" s="483" t="str">
        <f ca="1">IFERROR(IF(OR(D246=0,D246="-",D246="",D246=" ",D246=" ",D246="Athlete"),"",IF($A252&gt;0,VLOOKUP(D246,female_reg,3,FALSE)-C246*10,VLOOKUP(D246,male_reg,3,FALSE)-C246*10)),2)</f>
        <v/>
      </c>
      <c r="Q246" s="483" t="str">
        <f ca="1">IFERROR(IF(OR(J246=0,J246="-",J246=" ",J246="",J246=" ",J246="Athlete"),"",IF($A252&gt;0,VLOOKUP(J246,female_reg,3,FALSE)-C246*10,VLOOKUP(J246,male_reg,3,FALSE)-C246*10)),2)</f>
        <v/>
      </c>
      <c r="R246" s="483"/>
      <c r="T246" s="483">
        <f t="shared" ca="1" si="135"/>
        <v>0</v>
      </c>
      <c r="U246" s="483">
        <f t="shared" ca="1" si="136"/>
        <v>0</v>
      </c>
      <c r="V246" s="467" t="str">
        <f t="shared" ref="V246:V253" ca="1" si="140">IFERROR(IF(OR(D246=0,D246="-",D246="",D246=" ",D246=" "),"X",D246&amp;E246),"X")</f>
        <v>X</v>
      </c>
      <c r="W246" s="467" t="str">
        <f t="shared" ref="W246:W253" ca="1" si="141">IFERROR(IF(OR(J246=0,J246="-",J246="",J246=" ",J246=" "),"X",J246&amp;K246),"X")</f>
        <v>X</v>
      </c>
      <c r="Z246" s="467">
        <f t="shared" ca="1" si="137"/>
        <v>0</v>
      </c>
      <c r="AA246" s="467">
        <f t="shared" ca="1" si="138"/>
        <v>0</v>
      </c>
    </row>
    <row r="247" spans="1:27" x14ac:dyDescent="0.35">
      <c r="A247" s="483">
        <f>A236+1</f>
        <v>25</v>
      </c>
      <c r="B247" s="477">
        <v>2</v>
      </c>
      <c r="C247" s="477">
        <f ca="1">IFERROR(IF(B247&gt;MatchDay!$U$2+MatchDay!$D$6-1,"",VLOOKUP(A244,Timetables!$A:$DK,MatchDay!$U$4+B247-MatchDay!$D$6,FALSE)),"")</f>
        <v>5</v>
      </c>
      <c r="D247" s="467">
        <f ca="1">IFERROR(HLOOKUP(C247,Declarations!$D$2:$S$102,A246,FALSE),"")</f>
        <v>0</v>
      </c>
      <c r="E247" s="467" t="str">
        <f t="shared" ref="E247:E253" ca="1" si="142">IFERROR(VLOOKUP(C247,teamlookup,5,FALSE),"")</f>
        <v>Scun</v>
      </c>
      <c r="F247" s="466"/>
      <c r="G247" s="476"/>
      <c r="H247" s="477">
        <v>2</v>
      </c>
      <c r="I247" s="477">
        <f t="shared" ref="I247:I253" ca="1" si="143">IFERROR(C247*11,"")</f>
        <v>55</v>
      </c>
      <c r="J247" s="467">
        <f ca="1">IFERROR(HLOOKUP(I247,Declarations!$D$2:$S$102,$A246,FALSE),"")</f>
        <v>0</v>
      </c>
      <c r="K247" s="467" t="str">
        <f t="shared" ca="1" si="139"/>
        <v>Scun</v>
      </c>
      <c r="N247" s="478"/>
      <c r="P247" s="483" t="str">
        <f ca="1">IFERROR(IF(OR(D247=0,D247="-",D247="",D247=" ",D247=" ",D247="Athlete"),"",IF($A252&gt;0,VLOOKUP(D247,female_reg,3,FALSE)-C247*10,VLOOKUP(D247,male_reg,3,FALSE)-C247*10)),2)</f>
        <v/>
      </c>
      <c r="Q247" s="483" t="str">
        <f ca="1">IFERROR(IF(OR(J247=0,J247="-",J247=" ",J247="",J247=" ",J247="Athlete"),"",IF($A252&gt;0,VLOOKUP(J247,female_reg,3,FALSE)-C247*10,VLOOKUP(J247,male_reg,3,FALSE)-C247*10)),2)</f>
        <v/>
      </c>
      <c r="R247" s="483"/>
      <c r="T247" s="483">
        <f t="shared" ca="1" si="135"/>
        <v>0</v>
      </c>
      <c r="U247" s="483">
        <f t="shared" ca="1" si="136"/>
        <v>0</v>
      </c>
      <c r="V247" s="467" t="str">
        <f t="shared" ca="1" si="140"/>
        <v>X</v>
      </c>
      <c r="W247" s="467" t="str">
        <f t="shared" ca="1" si="141"/>
        <v>X</v>
      </c>
      <c r="Z247" s="467">
        <f t="shared" ca="1" si="137"/>
        <v>0</v>
      </c>
      <c r="AA247" s="467">
        <f t="shared" ca="1" si="138"/>
        <v>0</v>
      </c>
    </row>
    <row r="248" spans="1:27" x14ac:dyDescent="0.35">
      <c r="A248" s="118">
        <f ca="1">IFERROR(VLOOKUP(A244,standards,3,FALSE)+0.01,"-")</f>
        <v>12.709999999999999</v>
      </c>
      <c r="B248" s="477">
        <v>3</v>
      </c>
      <c r="C248" s="477">
        <f ca="1">IFERROR(IF(B248&gt;MatchDay!$U$2+MatchDay!$D$6-1,"",VLOOKUP(A244,Timetables!$A:$DK,MatchDay!$U$4+B248-MatchDay!$D$6,FALSE)),"")</f>
        <v>4</v>
      </c>
      <c r="D248" s="467" t="str">
        <f ca="1">IFERROR(HLOOKUP(C248,Declarations!$D$2:$S$102,A246,FALSE),"")</f>
        <v>OKEY Busonma</v>
      </c>
      <c r="E248" s="467" t="str">
        <f t="shared" ca="1" si="142"/>
        <v>M'bro</v>
      </c>
      <c r="F248" s="466"/>
      <c r="G248" s="476"/>
      <c r="H248" s="477">
        <v>3</v>
      </c>
      <c r="I248" s="477">
        <f t="shared" ca="1" si="143"/>
        <v>44</v>
      </c>
      <c r="J248" s="467" t="str">
        <f ca="1">IFERROR(HLOOKUP(I248,Declarations!$D$2:$S$102,$A246,FALSE),"")</f>
        <v>ROBSON Daisy</v>
      </c>
      <c r="K248" s="467" t="str">
        <f t="shared" ca="1" si="139"/>
        <v>M'bro</v>
      </c>
      <c r="N248" s="478"/>
      <c r="P248" s="483">
        <f ca="1">IFERROR(IF(OR(D248=0,D248="-",D248="",D248=" ",D248=" ",D248="Athlete"),"",IF($A252&gt;0,VLOOKUP(D248,female_reg,3,FALSE)-C248*10,VLOOKUP(D248,male_reg,3,FALSE)-C248*10)),2)</f>
        <v>1</v>
      </c>
      <c r="Q248" s="483">
        <f ca="1">IFERROR(IF(OR(J248=0,J248="-",J248=" ",J248="",J248=" ",J248="Athlete"),"",IF($A252&gt;0,VLOOKUP(J248,female_reg,3,FALSE)-C248*10,VLOOKUP(J248,male_reg,3,FALSE)-C248*10)),2)</f>
        <v>1</v>
      </c>
      <c r="R248" s="483"/>
      <c r="T248" s="483">
        <f t="shared" ca="1" si="135"/>
        <v>1</v>
      </c>
      <c r="U248" s="483">
        <f t="shared" ca="1" si="136"/>
        <v>1</v>
      </c>
      <c r="V248" s="467" t="str">
        <f t="shared" ca="1" si="140"/>
        <v>OKEY BusonmaM'bro</v>
      </c>
      <c r="W248" s="467" t="str">
        <f t="shared" ca="1" si="141"/>
        <v>ROBSON DaisyM'bro</v>
      </c>
      <c r="Z248" s="467">
        <f t="shared" ca="1" si="137"/>
        <v>2</v>
      </c>
      <c r="AA248" s="467">
        <f t="shared" ca="1" si="138"/>
        <v>2</v>
      </c>
    </row>
    <row r="249" spans="1:27" x14ac:dyDescent="0.35">
      <c r="A249" s="118">
        <f ca="1">IFERROR(VLOOKUP(A244,standards,4,FALSE)+0.01,"-")</f>
        <v>12.91</v>
      </c>
      <c r="B249" s="477">
        <v>4</v>
      </c>
      <c r="C249" s="477">
        <f ca="1">IFERROR(IF(B249&gt;MatchDay!$U$2+MatchDay!$D$6-1,"",VLOOKUP(A244,Timetables!$A:$DK,MatchDay!$U$4+B249-MatchDay!$D$6,FALSE)),"")</f>
        <v>2</v>
      </c>
      <c r="D249" s="467">
        <f ca="1">IFERROR(HLOOKUP(C249,Declarations!$D$2:$S$102,A246,FALSE),"")</f>
        <v>0</v>
      </c>
      <c r="E249" s="467" t="str">
        <f t="shared" ca="1" si="142"/>
        <v>Sheff+D</v>
      </c>
      <c r="F249" s="466"/>
      <c r="G249" s="476"/>
      <c r="H249" s="477">
        <v>4</v>
      </c>
      <c r="I249" s="477">
        <f t="shared" ca="1" si="143"/>
        <v>22</v>
      </c>
      <c r="J249" s="467">
        <f ca="1">IFERROR(HLOOKUP(I249,Declarations!$D$2:$S$102,$A246,FALSE),"")</f>
        <v>0</v>
      </c>
      <c r="K249" s="467" t="str">
        <f t="shared" ca="1" si="139"/>
        <v>Sheff+D</v>
      </c>
      <c r="N249" s="478"/>
      <c r="P249" s="483" t="str">
        <f ca="1">IFERROR(IF(OR(D249=0,D249="-",D249="",D249=" ",D249=" ",D249="Athlete"),"",IF($A252&gt;0,VLOOKUP(D249,female_reg,3,FALSE)-C249*10,VLOOKUP(D249,male_reg,3,FALSE)-C249*10)),2)</f>
        <v/>
      </c>
      <c r="Q249" s="483" t="str">
        <f ca="1">IFERROR(IF(OR(J249=0,J249="-",J249=" ",J249="",J249=" ",J249="Athlete"),"",IF($A252&gt;0,VLOOKUP(J249,female_reg,3,FALSE)-C249*10,VLOOKUP(J249,male_reg,3,FALSE)-C249*10)),2)</f>
        <v/>
      </c>
      <c r="R249" s="483"/>
      <c r="T249" s="483">
        <f t="shared" ca="1" si="135"/>
        <v>0</v>
      </c>
      <c r="U249" s="483">
        <f t="shared" ca="1" si="136"/>
        <v>0</v>
      </c>
      <c r="V249" s="467" t="str">
        <f t="shared" ca="1" si="140"/>
        <v>X</v>
      </c>
      <c r="W249" s="467" t="str">
        <f t="shared" ca="1" si="141"/>
        <v>X</v>
      </c>
      <c r="Z249" s="467">
        <f t="shared" ca="1" si="137"/>
        <v>0</v>
      </c>
      <c r="AA249" s="467">
        <f t="shared" ca="1" si="138"/>
        <v>0</v>
      </c>
    </row>
    <row r="250" spans="1:27" x14ac:dyDescent="0.35">
      <c r="A250" s="118">
        <f ca="1">IFERROR(VLOOKUP(A244,standards,5,FALSE)+0.01,"-")</f>
        <v>13.209999999999999</v>
      </c>
      <c r="B250" s="477">
        <v>5</v>
      </c>
      <c r="C250" s="477">
        <f ca="1">IFERROR(IF(B250&gt;MatchDay!$U$2+MatchDay!$D$6-1,"",VLOOKUP(A244,Timetables!$A:$DK,MatchDay!$U$4+B250-MatchDay!$D$6,FALSE)),"")</f>
        <v>3</v>
      </c>
      <c r="D250" s="467" t="str">
        <f ca="1">IFERROR(HLOOKUP(C250,Declarations!$D$2:$S$102,A246,FALSE),"")</f>
        <v>HASTIE Eve</v>
      </c>
      <c r="E250" s="467" t="str">
        <f t="shared" ca="1" si="142"/>
        <v>York</v>
      </c>
      <c r="F250" s="466"/>
      <c r="G250" s="476"/>
      <c r="H250" s="477">
        <v>5</v>
      </c>
      <c r="I250" s="477">
        <f t="shared" ca="1" si="143"/>
        <v>33</v>
      </c>
      <c r="J250" s="467" t="str">
        <f ca="1">IFERROR(HLOOKUP(I250,Declarations!$D$2:$S$102,$A246,FALSE),"")</f>
        <v>CROSBY Alice</v>
      </c>
      <c r="K250" s="467" t="str">
        <f t="shared" ca="1" si="139"/>
        <v>York</v>
      </c>
      <c r="N250" s="478"/>
      <c r="P250" s="483">
        <f ca="1">IFERROR(IF(OR(D250=0,D250="-",D250="",D250=" ",D250=" ",D250="Athlete"),"",IF($A252&gt;0,VLOOKUP(D250,female_reg,3,FALSE)-C250*10,VLOOKUP(D250,male_reg,3,FALSE)-C250*10)),2)</f>
        <v>1</v>
      </c>
      <c r="Q250" s="483">
        <f ca="1">IFERROR(IF(OR(J250=0,J250="-",J250=" ",J250="",J250=" ",J250="Athlete"),"",IF($A252&gt;0,VLOOKUP(J250,female_reg,3,FALSE)-C250*10,VLOOKUP(J250,male_reg,3,FALSE)-C250*10)),2)</f>
        <v>1</v>
      </c>
      <c r="R250" s="483"/>
      <c r="T250" s="483">
        <f t="shared" ca="1" si="135"/>
        <v>3</v>
      </c>
      <c r="U250" s="483">
        <f t="shared" ca="1" si="136"/>
        <v>3</v>
      </c>
      <c r="V250" s="467" t="str">
        <f t="shared" ca="1" si="140"/>
        <v>HASTIE EveYork</v>
      </c>
      <c r="W250" s="467" t="str">
        <f t="shared" ca="1" si="141"/>
        <v>CROSBY AliceYork</v>
      </c>
      <c r="Z250" s="467">
        <f t="shared" ca="1" si="137"/>
        <v>4</v>
      </c>
      <c r="AA250" s="467">
        <f t="shared" ca="1" si="138"/>
        <v>3</v>
      </c>
    </row>
    <row r="251" spans="1:27" x14ac:dyDescent="0.35">
      <c r="A251" s="118">
        <f ca="1">IFERROR(VLOOKUP(A244,standards,6,FALSE)+0.01,"-")</f>
        <v>13.51</v>
      </c>
      <c r="B251" s="477">
        <v>6</v>
      </c>
      <c r="C251" s="477" t="str">
        <f>IFERROR(IF(B251&gt;MatchDay!$U$2+MatchDay!$D$6-1,"",VLOOKUP(A244,Timetables!$A:$DK,MatchDay!$U$4+B251-MatchDay!$D$6,FALSE)),"")</f>
        <v/>
      </c>
      <c r="D251" s="467" t="str">
        <f>IFERROR(HLOOKUP(C251,Declarations!$D$2:$S$102,A246,FALSE),"")</f>
        <v/>
      </c>
      <c r="E251" s="467" t="str">
        <f t="shared" si="142"/>
        <v/>
      </c>
      <c r="F251" s="466"/>
      <c r="G251" s="476"/>
      <c r="H251" s="477">
        <v>6</v>
      </c>
      <c r="I251" s="477" t="str">
        <f t="shared" si="143"/>
        <v/>
      </c>
      <c r="J251" s="467" t="str">
        <f>IFERROR(HLOOKUP(I251,Declarations!$D$2:$S$102,$A246,FALSE),"")</f>
        <v/>
      </c>
      <c r="K251" s="467" t="str">
        <f t="shared" si="139"/>
        <v/>
      </c>
      <c r="N251" s="478"/>
      <c r="P251" s="483" t="str">
        <f>IFERROR(IF(OR(D251=0,D251="-",D251="",D251=" ",D251=" ",D251="Athlete"),"",IF($A252&gt;0,VLOOKUP(D251,female_reg,3,FALSE)-C251*10,VLOOKUP(D251,male_reg,3,FALSE)-C251*10)),2)</f>
        <v/>
      </c>
      <c r="Q251" s="483" t="str">
        <f>IFERROR(IF(OR(J251=0,J251="-",J251=" ",J251="",J251=" ",J251="Athlete"),"",IF($A252&gt;0,VLOOKUP(J251,female_reg,3,FALSE)-C251*10,VLOOKUP(J251,male_reg,3,FALSE)-C251*10)),2)</f>
        <v/>
      </c>
      <c r="R251" s="483"/>
      <c r="T251" s="483">
        <f t="shared" si="135"/>
        <v>0</v>
      </c>
      <c r="U251" s="483">
        <f t="shared" si="136"/>
        <v>0</v>
      </c>
      <c r="V251" s="467" t="str">
        <f t="shared" si="140"/>
        <v>X</v>
      </c>
      <c r="W251" s="467" t="str">
        <f t="shared" si="141"/>
        <v>X</v>
      </c>
      <c r="Z251" s="467">
        <f t="shared" si="137"/>
        <v>0</v>
      </c>
      <c r="AA251" s="467">
        <f t="shared" si="138"/>
        <v>0</v>
      </c>
    </row>
    <row r="252" spans="1:27" x14ac:dyDescent="0.35">
      <c r="A252" s="479">
        <f ca="1">IFERROR(SEARCH("Girls",B244),0)</f>
        <v>13</v>
      </c>
      <c r="B252" s="477">
        <v>7</v>
      </c>
      <c r="C252" s="477" t="str">
        <f>IFERROR(IF(B252&gt;MatchDay!$U$2+MatchDay!$D$6-1,"",VLOOKUP(A244,Timetables!$A:$DK,MatchDay!$U$4+B252-MatchDay!$D$6,FALSE)),"")</f>
        <v/>
      </c>
      <c r="D252" s="467" t="str">
        <f>IFERROR(HLOOKUP(C252,Declarations!$D$2:$S$102,A246,FALSE),"")</f>
        <v/>
      </c>
      <c r="E252" s="467" t="str">
        <f t="shared" si="142"/>
        <v/>
      </c>
      <c r="F252" s="466"/>
      <c r="G252" s="476"/>
      <c r="H252" s="477">
        <v>7</v>
      </c>
      <c r="I252" s="477" t="str">
        <f t="shared" si="143"/>
        <v/>
      </c>
      <c r="J252" s="467" t="str">
        <f>IFERROR(HLOOKUP(I252,Declarations!$D$2:$S$102,$A246,FALSE),"")</f>
        <v/>
      </c>
      <c r="K252" s="467" t="str">
        <f t="shared" si="139"/>
        <v/>
      </c>
      <c r="N252" s="478"/>
      <c r="P252" s="483" t="str">
        <f>IFERROR(IF(OR(D252=0,D252="-",D252="",D252=" ",D252=" ",D252="Athlete"),"",IF($A252&gt;0,VLOOKUP(D252,female_reg,3,FALSE)-C252*10,VLOOKUP(D252,male_reg,3,FALSE)-C252*10)),2)</f>
        <v/>
      </c>
      <c r="Q252" s="483" t="str">
        <f>IFERROR(IF(OR(J252=0,J252="-",J252=" ",J252="",J252=" ",J252="Athlete"),"",IF($A252&gt;0,VLOOKUP(J252,female_reg,3,FALSE)-C252*10,VLOOKUP(J252,male_reg,3,FALSE)-C252*10)),2)</f>
        <v/>
      </c>
      <c r="R252" s="483"/>
      <c r="T252" s="483">
        <f t="shared" si="135"/>
        <v>0</v>
      </c>
      <c r="U252" s="483">
        <f t="shared" si="136"/>
        <v>0</v>
      </c>
      <c r="V252" s="467" t="str">
        <f t="shared" si="140"/>
        <v>X</v>
      </c>
      <c r="W252" s="467" t="str">
        <f t="shared" si="141"/>
        <v>X</v>
      </c>
      <c r="Z252" s="467">
        <f t="shared" si="137"/>
        <v>0</v>
      </c>
      <c r="AA252" s="467">
        <f t="shared" si="138"/>
        <v>0</v>
      </c>
    </row>
    <row r="253" spans="1:27" x14ac:dyDescent="0.35">
      <c r="A253" s="116">
        <f ca="1">IFERROR(VLOOKUP(A244,records,5,FALSE),"")</f>
        <v>12.1</v>
      </c>
      <c r="B253" s="477">
        <v>8</v>
      </c>
      <c r="C253" s="477" t="str">
        <f>IFERROR(IF(B253&gt;MatchDay!$U$2+MatchDay!$D$6-1,"",VLOOKUP(A244,Timetables!$A:$DK,MatchDay!$U$4+B253-MatchDay!$D$6,FALSE)),"")</f>
        <v/>
      </c>
      <c r="D253" s="467" t="str">
        <f>IFERROR(HLOOKUP(C253,Declarations!$D$2:$S$102,A246,FALSE),"")</f>
        <v/>
      </c>
      <c r="E253" s="467" t="str">
        <f t="shared" si="142"/>
        <v/>
      </c>
      <c r="F253" s="466"/>
      <c r="G253" s="476"/>
      <c r="H253" s="477">
        <v>8</v>
      </c>
      <c r="I253" s="477" t="str">
        <f t="shared" si="143"/>
        <v/>
      </c>
      <c r="J253" s="467" t="str">
        <f>IFERROR(HLOOKUP(I253,Declarations!$D$2:$S$102,$A246,FALSE),"")</f>
        <v/>
      </c>
      <c r="K253" s="467" t="str">
        <f t="shared" si="139"/>
        <v/>
      </c>
      <c r="N253" s="478"/>
      <c r="P253" s="483" t="str">
        <f>IFERROR(IF(OR(D253=0,D253="-",D253="",D253=" ",D253=" ",D253="Athlete"),"",IF($A252&gt;0,VLOOKUP(D253,female_reg,3,FALSE)-C253*10,VLOOKUP(D253,male_reg,3,FALSE)-C253*10)),2)</f>
        <v/>
      </c>
      <c r="Q253" s="483" t="str">
        <f>IFERROR(IF(OR(J253=0,J253="-",J253=" ",J253="",J253=" ",J253="Athlete"),"",IF($A252&gt;0,VLOOKUP(J253,female_reg,3,FALSE)-C253*10,VLOOKUP(J253,male_reg,3,FALSE)-C253*10)),2)</f>
        <v/>
      </c>
      <c r="R253" s="483"/>
      <c r="T253" s="483">
        <f t="shared" si="135"/>
        <v>0</v>
      </c>
      <c r="U253" s="483">
        <f t="shared" si="136"/>
        <v>0</v>
      </c>
      <c r="V253" s="467" t="str">
        <f t="shared" si="140"/>
        <v>X</v>
      </c>
      <c r="W253" s="467" t="str">
        <f t="shared" si="141"/>
        <v>X</v>
      </c>
      <c r="Z253" s="467">
        <f t="shared" si="137"/>
        <v>0</v>
      </c>
      <c r="AA253" s="467">
        <f t="shared" si="138"/>
        <v>0</v>
      </c>
    </row>
    <row r="254" spans="1:27" x14ac:dyDescent="0.35">
      <c r="A254" s="483"/>
      <c r="C254" s="483"/>
      <c r="P254" s="483" t="str">
        <f>IFERROR(IF(OR(D254=0,D254="-",D254="",D254=" ",D254=" ",D254="Athlete"),"",IF($A252&gt;0,VLOOKUP(D254,female_reg,3,FALSE)-C254*10,VLOOKUP(D254,male_reg,3,FALSE)-C254*10)),"X")</f>
        <v/>
      </c>
      <c r="Q254" s="483" t="str">
        <f>IFERROR(IF(OR(J254=0,J254="-",J254=" ",J254="",J254=" ",J254="Athlete"),"",IF($A252&gt;0,VLOOKUP(J254,female_reg,3,FALSE)-C254*10,VLOOKUP(J254,male_reg,3,FALSE)-C254*10)),"X")</f>
        <v/>
      </c>
      <c r="R254" s="483"/>
      <c r="T254" s="483">
        <f t="shared" ca="1" si="135"/>
        <v>0</v>
      </c>
      <c r="U254" s="483">
        <f t="shared" ca="1" si="136"/>
        <v>0</v>
      </c>
      <c r="Z254" s="467">
        <f t="shared" ca="1" si="137"/>
        <v>0</v>
      </c>
      <c r="AA254" s="467">
        <f t="shared" ca="1" si="138"/>
        <v>0</v>
      </c>
    </row>
    <row r="255" spans="1:27" x14ac:dyDescent="0.35">
      <c r="A255" s="111" t="str">
        <f ca="1">IFERROR(INDIRECT(CONCATENATE("'Timetables'!A"&amp;A258)),"")</f>
        <v>LT16</v>
      </c>
      <c r="B255" s="469" t="str">
        <f ca="1">IFERROR(VLOOKUP(A255,timetables,2,FALSE)&amp;" "&amp;VLOOKUP(A255,timetables,3,FALSE)&amp;" A","")</f>
        <v>100m NS U15 Boys A</v>
      </c>
      <c r="C255" s="469"/>
      <c r="E255" s="470" t="str">
        <f ca="1">"Starts "&amp;TEXT(VLOOKUP(A255,timetables,7-MatchDay!$U$7,FALSE),"hh:mm")</f>
        <v>Starts 14:55</v>
      </c>
      <c r="F255" s="471"/>
      <c r="H255" s="472" t="str">
        <f ca="1">IFERROR("Rec: "&amp;TEXT(VLOOKUP(A255,records,5,FALSE),"#0.00")&amp;"s, "&amp;VLOOKUP(A255,records,3,FALSE)&amp;", "&amp;VLOOKUP(A255,records,4,FALSE)&amp;", "&amp;VLOOKUP(A255,records,8,FALSE),"")</f>
        <v>Rec: 11.00s, Marcus McLean, Sale Harriers, 2018</v>
      </c>
      <c r="K255" s="473"/>
      <c r="L255" s="474"/>
      <c r="M255" s="467"/>
      <c r="P255" s="468" t="str">
        <f>IFERROR(IF(OR(D255=0,D255="-",D255="",D255=" ",D255=" ",D255="Athlete"),"",IF($A263&gt;0,VLOOKUP(D255,female_reg,3,FALSE)-C255*10,VLOOKUP(D255,male_reg,3,FALSE)-C255*10)),"X")</f>
        <v/>
      </c>
      <c r="Q255" s="468" t="str">
        <f>IFERROR(IF(OR(J255=0,J255="-",J255=" ",J255="",J255=" ",J255="Athlete"),"",IF($A263&gt;0,VLOOKUP(J255,female_reg,3,FALSE)-C255*10,VLOOKUP(J255,male_reg,3,FALSE)-C255*10)),"X")</f>
        <v/>
      </c>
      <c r="T255" s="468">
        <f t="shared" ca="1" si="107"/>
        <v>0</v>
      </c>
      <c r="U255" s="468">
        <f t="shared" ca="1" si="108"/>
        <v>0</v>
      </c>
      <c r="Z255" s="467">
        <f t="shared" ca="1" si="109"/>
        <v>0</v>
      </c>
      <c r="AA255" s="467">
        <f t="shared" ca="1" si="110"/>
        <v>0</v>
      </c>
    </row>
    <row r="256" spans="1:27" x14ac:dyDescent="0.35">
      <c r="A256" s="85" t="str">
        <f ca="1">MID(A255,2,3)</f>
        <v>T16</v>
      </c>
      <c r="B256" s="9" t="s">
        <v>786</v>
      </c>
      <c r="C256" s="9" t="s">
        <v>183</v>
      </c>
      <c r="D256" s="46" t="s">
        <v>227</v>
      </c>
      <c r="E256" s="46" t="s">
        <v>228</v>
      </c>
      <c r="F256" s="475"/>
      <c r="G256" s="46"/>
      <c r="H256" s="9" t="s">
        <v>786</v>
      </c>
      <c r="I256" s="9" t="s">
        <v>183</v>
      </c>
      <c r="J256" s="46" t="s">
        <v>227</v>
      </c>
      <c r="K256" s="46" t="s">
        <v>228</v>
      </c>
      <c r="L256" s="475"/>
      <c r="M256" s="475"/>
      <c r="N256" s="52"/>
      <c r="P256" s="483" t="str">
        <f>IFERROR(IF(OR(D256=0,D256="-",D256="",D256=" ",D256=" ",D256="Athlete"),"",IF($A263&gt;0,VLOOKUP(D256,female_reg,3,FALSE)-C256*10,VLOOKUP(D256,male_reg,3,FALSE)-C256*10)),"X")</f>
        <v/>
      </c>
      <c r="Q256" s="483" t="str">
        <f>IFERROR(IF(OR(J256=0,J256="-",J256=" ",J256="",J256=" ",J256="Athlete"),"",IF($A263&gt;0,VLOOKUP(J256,female_reg,3,FALSE)-C256*10,VLOOKUP(J256,male_reg,3,FALSE)-C256*10)),"X")</f>
        <v/>
      </c>
      <c r="R256" s="483"/>
      <c r="T256" s="483">
        <f t="shared" ref="T256:T265" ca="1" si="144">IFERROR(IF(V256="X",0,COUNTIF($V$4:$W$573,V256)),0)</f>
        <v>0</v>
      </c>
      <c r="U256" s="483">
        <f t="shared" ref="U256:U265" ca="1" si="145">IFERROR(IF(W256="X",0,COUNTIF($V$4:$W$573,W256)),0)</f>
        <v>0</v>
      </c>
      <c r="Z256" s="467">
        <f t="shared" ref="Z256:Z265" ca="1" si="146">IF(V256="X",0,COUNTIF($V$4:$Y$638,V256))</f>
        <v>0</v>
      </c>
      <c r="AA256" s="467">
        <f t="shared" ref="AA256:AA265" ca="1" si="147">IF(W256="X",0,COUNTIF($V$4:$Y$638,W256))</f>
        <v>0</v>
      </c>
    </row>
    <row r="257" spans="1:27" x14ac:dyDescent="0.35">
      <c r="A257" s="181">
        <f ca="1">IFERROR(VLOOKUP(A255,Timetables!$A:$E,5,FALSE)-1,"")</f>
        <v>54</v>
      </c>
      <c r="B257" s="477">
        <v>1</v>
      </c>
      <c r="C257" s="477">
        <f ca="1">IFERROR(IF(B257&gt;MatchDay!$U$2,"",IF(MatchDay!$D$6=2,"",VLOOKUP(A255,Timetables!$A:$DK,MatchDay!$U$4+B257-MatchDay!$D$6,FALSE))),"")</f>
        <v>1</v>
      </c>
      <c r="D257" s="467" t="str">
        <f ca="1">IFERROR(HLOOKUP(C257,Declarations!$D$2:$S$102,A257,FALSE),"")</f>
        <v>MAZUREK Gracjan</v>
      </c>
      <c r="E257" s="467" t="str">
        <f ca="1">IFERROR(VLOOKUP(C257,teamlookup,5,FALSE),"")</f>
        <v>C'field</v>
      </c>
      <c r="F257" s="466"/>
      <c r="G257" s="476"/>
      <c r="H257" s="477">
        <v>1</v>
      </c>
      <c r="I257" s="477">
        <f ca="1">IFERROR(C257*11,"")</f>
        <v>11</v>
      </c>
      <c r="J257" s="467" t="str">
        <f ca="1">IFERROR(HLOOKUP(I257,Declarations!$D$2:$S$102,$A257,FALSE),"")</f>
        <v>BAKER Joseph</v>
      </c>
      <c r="K257" s="467" t="str">
        <f t="shared" ref="K257:K264" ca="1" si="148">IFERROR(VLOOKUP(I257,teamlookup,5,FALSE),"")</f>
        <v>C'field</v>
      </c>
      <c r="N257" s="478"/>
      <c r="P257" s="483">
        <f ca="1">IFERROR(IF(OR(D257=0,D257="-",D257="",D257=" ",D257=" ",D257="Athlete"),"",IF($A263&gt;0,VLOOKUP(D257,female_reg,3,FALSE)-C257*10,VLOOKUP(D257,male_reg,3,FALSE)-C257*10)),2)</f>
        <v>1</v>
      </c>
      <c r="Q257" s="483">
        <f ca="1">IFERROR(IF(OR(J257=0,J257="-",J257=" ",J257="",J257=" ",J257="Athlete"),"",IF($A263&gt;0,VLOOKUP(J257,female_reg,3,FALSE)-C257*10,VLOOKUP(J257,male_reg,3,FALSE)-C257*10)),2)</f>
        <v>1</v>
      </c>
      <c r="R257" s="483"/>
      <c r="T257" s="483">
        <f t="shared" ca="1" si="144"/>
        <v>3</v>
      </c>
      <c r="U257" s="483">
        <f t="shared" ca="1" si="145"/>
        <v>3</v>
      </c>
      <c r="V257" s="467" t="str">
        <f t="shared" ref="V257:V264" ca="1" si="149">IFERROR(IF(OR(D257=0,D257="-",D257="",D257=" ",D257=" "),"X",D257&amp;E257),"X")</f>
        <v>MAZUREK GracjanC'field</v>
      </c>
      <c r="W257" s="467" t="str">
        <f t="shared" ref="W257:W264" ca="1" si="150">IFERROR(IF(OR(J257=0,J257="-",J257="",J257=" ",J257=" "),"X",J257&amp;K257),"X")</f>
        <v>BAKER JosephC'field</v>
      </c>
      <c r="Z257" s="467">
        <f t="shared" ca="1" si="146"/>
        <v>4</v>
      </c>
      <c r="AA257" s="467">
        <f t="shared" ca="1" si="147"/>
        <v>3</v>
      </c>
    </row>
    <row r="258" spans="1:27" x14ac:dyDescent="0.35">
      <c r="A258" s="483">
        <f>A247+1</f>
        <v>26</v>
      </c>
      <c r="B258" s="477">
        <v>2</v>
      </c>
      <c r="C258" s="477">
        <f ca="1">IFERROR(IF(B258&gt;MatchDay!$U$2+MatchDay!$D$6-1,"",VLOOKUP(A255,Timetables!$A:$DK,MatchDay!$U$4+B258-MatchDay!$D$6,FALSE)),"")</f>
        <v>5</v>
      </c>
      <c r="D258" s="467">
        <f ca="1">IFERROR(HLOOKUP(C258,Declarations!$D$2:$S$102,A257,FALSE),"")</f>
        <v>0</v>
      </c>
      <c r="E258" s="467" t="str">
        <f t="shared" ref="E258:E264" ca="1" si="151">IFERROR(VLOOKUP(C258,teamlookup,5,FALSE),"")</f>
        <v>Scun</v>
      </c>
      <c r="F258" s="466"/>
      <c r="G258" s="476"/>
      <c r="H258" s="477">
        <v>2</v>
      </c>
      <c r="I258" s="477">
        <f t="shared" ref="I258:I264" ca="1" si="152">IFERROR(C258*11,"")</f>
        <v>55</v>
      </c>
      <c r="J258" s="467">
        <f ca="1">IFERROR(HLOOKUP(I258,Declarations!$D$2:$S$102,$A257,FALSE),"")</f>
        <v>0</v>
      </c>
      <c r="K258" s="467" t="str">
        <f t="shared" ca="1" si="148"/>
        <v>Scun</v>
      </c>
      <c r="N258" s="478"/>
      <c r="P258" s="483" t="str">
        <f ca="1">IFERROR(IF(OR(D258=0,D258="-",D258="",D258=" ",D258=" ",D258="Athlete"),"",IF($A263&gt;0,VLOOKUP(D258,female_reg,3,FALSE)-C258*10,VLOOKUP(D258,male_reg,3,FALSE)-C258*10)),2)</f>
        <v/>
      </c>
      <c r="Q258" s="483" t="str">
        <f ca="1">IFERROR(IF(OR(J258=0,J258="-",J258=" ",J258="",J258=" ",J258="Athlete"),"",IF($A263&gt;0,VLOOKUP(J258,female_reg,3,FALSE)-C258*10,VLOOKUP(J258,male_reg,3,FALSE)-C258*10)),2)</f>
        <v/>
      </c>
      <c r="R258" s="483"/>
      <c r="T258" s="483">
        <f t="shared" ca="1" si="144"/>
        <v>0</v>
      </c>
      <c r="U258" s="483">
        <f t="shared" ca="1" si="145"/>
        <v>0</v>
      </c>
      <c r="V258" s="467" t="str">
        <f t="shared" ca="1" si="149"/>
        <v>X</v>
      </c>
      <c r="W258" s="467" t="str">
        <f t="shared" ca="1" si="150"/>
        <v>X</v>
      </c>
      <c r="Z258" s="467">
        <f t="shared" ca="1" si="146"/>
        <v>0</v>
      </c>
      <c r="AA258" s="467">
        <f t="shared" ca="1" si="147"/>
        <v>0</v>
      </c>
    </row>
    <row r="259" spans="1:27" x14ac:dyDescent="0.35">
      <c r="A259" s="118">
        <f ca="1">IFERROR(VLOOKUP(A255,standards,3,FALSE)+0.01,"-")</f>
        <v>11.709999999999999</v>
      </c>
      <c r="B259" s="477">
        <v>3</v>
      </c>
      <c r="C259" s="477">
        <f ca="1">IFERROR(IF(B259&gt;MatchDay!$U$2+MatchDay!$D$6-1,"",VLOOKUP(A255,Timetables!$A:$DK,MatchDay!$U$4+B259-MatchDay!$D$6,FALSE)),"")</f>
        <v>4</v>
      </c>
      <c r="D259" s="467" t="str">
        <f ca="1">IFERROR(HLOOKUP(C259,Declarations!$D$2:$S$102,A257,FALSE),"")</f>
        <v>BUTLER Jake</v>
      </c>
      <c r="E259" s="467" t="str">
        <f t="shared" ca="1" si="151"/>
        <v>M'bro</v>
      </c>
      <c r="F259" s="466"/>
      <c r="G259" s="476"/>
      <c r="H259" s="477">
        <v>3</v>
      </c>
      <c r="I259" s="477">
        <f t="shared" ca="1" si="152"/>
        <v>44</v>
      </c>
      <c r="J259" s="467" t="str">
        <f ca="1">IFERROR(HLOOKUP(I259,Declarations!$D$2:$S$102,$A257,FALSE),"")</f>
        <v>CHINNERY Norton</v>
      </c>
      <c r="K259" s="467" t="str">
        <f t="shared" ca="1" si="148"/>
        <v>M'bro</v>
      </c>
      <c r="N259" s="478"/>
      <c r="P259" s="483">
        <f ca="1">IFERROR(IF(OR(D259=0,D259="-",D259="",D259=" ",D259=" ",D259="Athlete"),"",IF($A263&gt;0,VLOOKUP(D259,female_reg,3,FALSE)-C259*10,VLOOKUP(D259,male_reg,3,FALSE)-C259*10)),2)</f>
        <v>1</v>
      </c>
      <c r="Q259" s="483">
        <f ca="1">IFERROR(IF(OR(J259=0,J259="-",J259=" ",J259="",J259=" ",J259="Athlete"),"",IF($A263&gt;0,VLOOKUP(J259,female_reg,3,FALSE)-C259*10,VLOOKUP(J259,male_reg,3,FALSE)-C259*10)),2)</f>
        <v>1</v>
      </c>
      <c r="R259" s="483"/>
      <c r="T259" s="483">
        <f t="shared" ca="1" si="144"/>
        <v>1</v>
      </c>
      <c r="U259" s="483">
        <f t="shared" ca="1" si="145"/>
        <v>3</v>
      </c>
      <c r="V259" s="467" t="str">
        <f t="shared" ca="1" si="149"/>
        <v>BUTLER JakeM'bro</v>
      </c>
      <c r="W259" s="467" t="str">
        <f t="shared" ca="1" si="150"/>
        <v>CHINNERY NortonM'bro</v>
      </c>
      <c r="Z259" s="467">
        <f t="shared" ca="1" si="146"/>
        <v>2</v>
      </c>
      <c r="AA259" s="467">
        <f t="shared" ca="1" si="147"/>
        <v>4</v>
      </c>
    </row>
    <row r="260" spans="1:27" x14ac:dyDescent="0.35">
      <c r="A260" s="118">
        <f ca="1">IFERROR(VLOOKUP(A255,standards,4,FALSE)+0.01,"-")</f>
        <v>11.91</v>
      </c>
      <c r="B260" s="477">
        <v>4</v>
      </c>
      <c r="C260" s="477">
        <f ca="1">IFERROR(IF(B260&gt;MatchDay!$U$2+MatchDay!$D$6-1,"",VLOOKUP(A255,Timetables!$A:$DK,MatchDay!$U$4+B260-MatchDay!$D$6,FALSE)),"")</f>
        <v>2</v>
      </c>
      <c r="D260" s="467">
        <f ca="1">IFERROR(HLOOKUP(C260,Declarations!$D$2:$S$102,A257,FALSE),"")</f>
        <v>0</v>
      </c>
      <c r="E260" s="467" t="str">
        <f t="shared" ca="1" si="151"/>
        <v>Sheff+D</v>
      </c>
      <c r="F260" s="466"/>
      <c r="G260" s="476"/>
      <c r="H260" s="477">
        <v>4</v>
      </c>
      <c r="I260" s="477">
        <f t="shared" ca="1" si="152"/>
        <v>22</v>
      </c>
      <c r="J260" s="467">
        <f ca="1">IFERROR(HLOOKUP(I260,Declarations!$D$2:$S$102,$A257,FALSE),"")</f>
        <v>0</v>
      </c>
      <c r="K260" s="467" t="str">
        <f t="shared" ca="1" si="148"/>
        <v>Sheff+D</v>
      </c>
      <c r="N260" s="478"/>
      <c r="P260" s="483" t="str">
        <f ca="1">IFERROR(IF(OR(D260=0,D260="-",D260="",D260=" ",D260=" ",D260="Athlete"),"",IF($A263&gt;0,VLOOKUP(D260,female_reg,3,FALSE)-C260*10,VLOOKUP(D260,male_reg,3,FALSE)-C260*10)),2)</f>
        <v/>
      </c>
      <c r="Q260" s="483" t="str">
        <f ca="1">IFERROR(IF(OR(J260=0,J260="-",J260=" ",J260="",J260=" ",J260="Athlete"),"",IF($A263&gt;0,VLOOKUP(J260,female_reg,3,FALSE)-C260*10,VLOOKUP(J260,male_reg,3,FALSE)-C260*10)),2)</f>
        <v/>
      </c>
      <c r="R260" s="483"/>
      <c r="T260" s="483">
        <f t="shared" ca="1" si="144"/>
        <v>0</v>
      </c>
      <c r="U260" s="483">
        <f t="shared" ca="1" si="145"/>
        <v>0</v>
      </c>
      <c r="V260" s="467" t="str">
        <f t="shared" ca="1" si="149"/>
        <v>X</v>
      </c>
      <c r="W260" s="467" t="str">
        <f t="shared" ca="1" si="150"/>
        <v>X</v>
      </c>
      <c r="Z260" s="467">
        <f t="shared" ca="1" si="146"/>
        <v>0</v>
      </c>
      <c r="AA260" s="467">
        <f t="shared" ca="1" si="147"/>
        <v>0</v>
      </c>
    </row>
    <row r="261" spans="1:27" x14ac:dyDescent="0.35">
      <c r="A261" s="118">
        <f ca="1">IFERROR(VLOOKUP(A255,standards,5,FALSE)+0.01,"-")</f>
        <v>12.11</v>
      </c>
      <c r="B261" s="477">
        <v>5</v>
      </c>
      <c r="C261" s="477">
        <f ca="1">IFERROR(IF(B261&gt;MatchDay!$U$2+MatchDay!$D$6-1,"",VLOOKUP(A255,Timetables!$A:$DK,MatchDay!$U$4+B261-MatchDay!$D$6,FALSE)),"")</f>
        <v>3</v>
      </c>
      <c r="D261" s="467" t="str">
        <f ca="1">IFERROR(HLOOKUP(C261,Declarations!$D$2:$S$102,A257,FALSE),"")</f>
        <v>COOK Harry</v>
      </c>
      <c r="E261" s="467" t="str">
        <f t="shared" ca="1" si="151"/>
        <v>York</v>
      </c>
      <c r="F261" s="466"/>
      <c r="G261" s="476"/>
      <c r="H261" s="477">
        <v>5</v>
      </c>
      <c r="I261" s="477">
        <f t="shared" ca="1" si="152"/>
        <v>33</v>
      </c>
      <c r="J261" s="467" t="str">
        <f ca="1">IFERROR(HLOOKUP(I261,Declarations!$D$2:$S$102,$A257,FALSE),"")</f>
        <v>-</v>
      </c>
      <c r="K261" s="467" t="str">
        <f t="shared" ca="1" si="148"/>
        <v>York</v>
      </c>
      <c r="N261" s="478"/>
      <c r="P261" s="483">
        <f ca="1">IFERROR(IF(OR(D261=0,D261="-",D261="",D261=" ",D261=" ",D261="Athlete"),"",IF($A263&gt;0,VLOOKUP(D261,female_reg,3,FALSE)-C261*10,VLOOKUP(D261,male_reg,3,FALSE)-C261*10)),2)</f>
        <v>1</v>
      </c>
      <c r="Q261" s="483" t="str">
        <f ca="1">IFERROR(IF(OR(J261=0,J261="-",J261=" ",J261="",J261=" ",J261="Athlete"),"",IF($A263&gt;0,VLOOKUP(J261,female_reg,3,FALSE)-C261*10,VLOOKUP(J261,male_reg,3,FALSE)-C261*10)),2)</f>
        <v/>
      </c>
      <c r="R261" s="483"/>
      <c r="T261" s="483">
        <f t="shared" ca="1" si="144"/>
        <v>2</v>
      </c>
      <c r="U261" s="483">
        <f t="shared" ca="1" si="145"/>
        <v>0</v>
      </c>
      <c r="V261" s="467" t="str">
        <f t="shared" ca="1" si="149"/>
        <v>COOK HarryYork</v>
      </c>
      <c r="W261" s="467" t="str">
        <f t="shared" ca="1" si="150"/>
        <v>X</v>
      </c>
      <c r="Z261" s="467">
        <f t="shared" ca="1" si="146"/>
        <v>2</v>
      </c>
      <c r="AA261" s="467">
        <f t="shared" ca="1" si="147"/>
        <v>0</v>
      </c>
    </row>
    <row r="262" spans="1:27" x14ac:dyDescent="0.35">
      <c r="A262" s="118">
        <f ca="1">IFERROR(VLOOKUP(A255,standards,6,FALSE)+0.01,"-")</f>
        <v>12.41</v>
      </c>
      <c r="B262" s="477">
        <v>6</v>
      </c>
      <c r="C262" s="477" t="str">
        <f>IFERROR(IF(B262&gt;MatchDay!$U$2+MatchDay!$D$6-1,"",VLOOKUP(A255,Timetables!$A:$DK,MatchDay!$U$4+B262-MatchDay!$D$6,FALSE)),"")</f>
        <v/>
      </c>
      <c r="D262" s="467" t="str">
        <f>IFERROR(HLOOKUP(C262,Declarations!$D$2:$S$102,A257,FALSE),"")</f>
        <v/>
      </c>
      <c r="E262" s="467" t="str">
        <f t="shared" si="151"/>
        <v/>
      </c>
      <c r="F262" s="466"/>
      <c r="G262" s="476"/>
      <c r="H262" s="477">
        <v>6</v>
      </c>
      <c r="I262" s="477" t="str">
        <f t="shared" si="152"/>
        <v/>
      </c>
      <c r="J262" s="467" t="str">
        <f>IFERROR(HLOOKUP(I262,Declarations!$D$2:$S$102,$A257,FALSE),"")</f>
        <v/>
      </c>
      <c r="K262" s="467" t="str">
        <f t="shared" si="148"/>
        <v/>
      </c>
      <c r="N262" s="478"/>
      <c r="P262" s="483" t="str">
        <f>IFERROR(IF(OR(D262=0,D262="-",D262="",D262=" ",D262=" ",D262="Athlete"),"",IF($A263&gt;0,VLOOKUP(D262,female_reg,3,FALSE)-C262*10,VLOOKUP(D262,male_reg,3,FALSE)-C262*10)),2)</f>
        <v/>
      </c>
      <c r="Q262" s="483" t="str">
        <f>IFERROR(IF(OR(J262=0,J262="-",J262=" ",J262="",J262=" ",J262="Athlete"),"",IF($A263&gt;0,VLOOKUP(J262,female_reg,3,FALSE)-C262*10,VLOOKUP(J262,male_reg,3,FALSE)-C262*10)),2)</f>
        <v/>
      </c>
      <c r="R262" s="483"/>
      <c r="T262" s="483">
        <f t="shared" si="144"/>
        <v>0</v>
      </c>
      <c r="U262" s="483">
        <f t="shared" si="145"/>
        <v>0</v>
      </c>
      <c r="V262" s="467" t="str">
        <f t="shared" si="149"/>
        <v>X</v>
      </c>
      <c r="W262" s="467" t="str">
        <f t="shared" si="150"/>
        <v>X</v>
      </c>
      <c r="Z262" s="467">
        <f t="shared" si="146"/>
        <v>0</v>
      </c>
      <c r="AA262" s="467">
        <f t="shared" si="147"/>
        <v>0</v>
      </c>
    </row>
    <row r="263" spans="1:27" x14ac:dyDescent="0.35">
      <c r="A263" s="479">
        <f ca="1">IFERROR(SEARCH("Girls",B255),0)</f>
        <v>0</v>
      </c>
      <c r="B263" s="477">
        <v>7</v>
      </c>
      <c r="C263" s="477" t="str">
        <f>IFERROR(IF(B263&gt;MatchDay!$U$2+MatchDay!$D$6-1,"",VLOOKUP(A255,Timetables!$A:$DK,MatchDay!$U$4+B263-MatchDay!$D$6,FALSE)),"")</f>
        <v/>
      </c>
      <c r="D263" s="467" t="str">
        <f>IFERROR(HLOOKUP(C263,Declarations!$D$2:$S$102,A257,FALSE),"")</f>
        <v/>
      </c>
      <c r="E263" s="467" t="str">
        <f t="shared" si="151"/>
        <v/>
      </c>
      <c r="F263" s="466"/>
      <c r="G263" s="476"/>
      <c r="H263" s="477">
        <v>7</v>
      </c>
      <c r="I263" s="477" t="str">
        <f t="shared" si="152"/>
        <v/>
      </c>
      <c r="J263" s="467" t="str">
        <f>IFERROR(HLOOKUP(I263,Declarations!$D$2:$S$102,$A257,FALSE),"")</f>
        <v/>
      </c>
      <c r="K263" s="467" t="str">
        <f t="shared" si="148"/>
        <v/>
      </c>
      <c r="N263" s="478"/>
      <c r="P263" s="483" t="str">
        <f>IFERROR(IF(OR(D263=0,D263="-",D263="",D263=" ",D263=" ",D263="Athlete"),"",IF($A263&gt;0,VLOOKUP(D263,female_reg,3,FALSE)-C263*10,VLOOKUP(D263,male_reg,3,FALSE)-C263*10)),2)</f>
        <v/>
      </c>
      <c r="Q263" s="483" t="str">
        <f>IFERROR(IF(OR(J263=0,J263="-",J263=" ",J263="",J263=" ",J263="Athlete"),"",IF($A263&gt;0,VLOOKUP(J263,female_reg,3,FALSE)-C263*10,VLOOKUP(J263,male_reg,3,FALSE)-C263*10)),2)</f>
        <v/>
      </c>
      <c r="R263" s="483"/>
      <c r="T263" s="483">
        <f t="shared" si="144"/>
        <v>0</v>
      </c>
      <c r="U263" s="483">
        <f t="shared" si="145"/>
        <v>0</v>
      </c>
      <c r="V263" s="467" t="str">
        <f t="shared" si="149"/>
        <v>X</v>
      </c>
      <c r="W263" s="467" t="str">
        <f t="shared" si="150"/>
        <v>X</v>
      </c>
      <c r="Z263" s="467">
        <f t="shared" si="146"/>
        <v>0</v>
      </c>
      <c r="AA263" s="467">
        <f t="shared" si="147"/>
        <v>0</v>
      </c>
    </row>
    <row r="264" spans="1:27" x14ac:dyDescent="0.35">
      <c r="A264" s="116">
        <f ca="1">IFERROR(VLOOKUP(A255,records,5,FALSE),"")</f>
        <v>11</v>
      </c>
      <c r="B264" s="477">
        <v>8</v>
      </c>
      <c r="C264" s="477" t="str">
        <f>IFERROR(IF(B264&gt;MatchDay!$U$2+MatchDay!$D$6-1,"",VLOOKUP(A255,Timetables!$A:$DK,MatchDay!$U$4+B264-MatchDay!$D$6,FALSE)),"")</f>
        <v/>
      </c>
      <c r="D264" s="467" t="str">
        <f>IFERROR(HLOOKUP(C264,Declarations!$D$2:$S$102,A257,FALSE),"")</f>
        <v/>
      </c>
      <c r="E264" s="467" t="str">
        <f t="shared" si="151"/>
        <v/>
      </c>
      <c r="F264" s="466"/>
      <c r="G264" s="476"/>
      <c r="H264" s="477">
        <v>8</v>
      </c>
      <c r="I264" s="477" t="str">
        <f t="shared" si="152"/>
        <v/>
      </c>
      <c r="J264" s="467" t="str">
        <f>IFERROR(HLOOKUP(I264,Declarations!$D$2:$S$102,$A257,FALSE),"")</f>
        <v/>
      </c>
      <c r="K264" s="467" t="str">
        <f t="shared" si="148"/>
        <v/>
      </c>
      <c r="N264" s="478"/>
      <c r="P264" s="483" t="str">
        <f>IFERROR(IF(OR(D264=0,D264="-",D264="",D264=" ",D264=" ",D264="Athlete"),"",IF($A263&gt;0,VLOOKUP(D264,female_reg,3,FALSE)-C264*10,VLOOKUP(D264,male_reg,3,FALSE)-C264*10)),2)</f>
        <v/>
      </c>
      <c r="Q264" s="483" t="str">
        <f>IFERROR(IF(OR(J264=0,J264="-",J264=" ",J264="",J264=" ",J264="Athlete"),"",IF($A263&gt;0,VLOOKUP(J264,female_reg,3,FALSE)-C264*10,VLOOKUP(J264,male_reg,3,FALSE)-C264*10)),2)</f>
        <v/>
      </c>
      <c r="R264" s="483"/>
      <c r="T264" s="483">
        <f t="shared" si="144"/>
        <v>0</v>
      </c>
      <c r="U264" s="483">
        <f t="shared" si="145"/>
        <v>0</v>
      </c>
      <c r="V264" s="467" t="str">
        <f t="shared" si="149"/>
        <v>X</v>
      </c>
      <c r="W264" s="467" t="str">
        <f t="shared" si="150"/>
        <v>X</v>
      </c>
      <c r="Z264" s="467">
        <f t="shared" si="146"/>
        <v>0</v>
      </c>
      <c r="AA264" s="467">
        <f t="shared" si="147"/>
        <v>0</v>
      </c>
    </row>
    <row r="265" spans="1:27" x14ac:dyDescent="0.35">
      <c r="A265" s="483"/>
      <c r="C265" s="483"/>
      <c r="P265" s="483" t="str">
        <f>IFERROR(IF(OR(D265=0,D265="-",D265="",D265=" ",D265=" ",D265="Athlete"),"",IF($A263&gt;0,VLOOKUP(D265,female_reg,3,FALSE)-C265*10,VLOOKUP(D265,male_reg,3,FALSE)-C265*10)),"X")</f>
        <v/>
      </c>
      <c r="Q265" s="483" t="str">
        <f>IFERROR(IF(OR(J265=0,J265="-",J265=" ",J265="",J265=" ",J265="Athlete"),"",IF($A263&gt;0,VLOOKUP(J265,female_reg,3,FALSE)-C265*10,VLOOKUP(J265,male_reg,3,FALSE)-C265*10)),"X")</f>
        <v/>
      </c>
      <c r="R265" s="483"/>
      <c r="T265" s="483">
        <f t="shared" ca="1" si="144"/>
        <v>0</v>
      </c>
      <c r="U265" s="483">
        <f t="shared" ca="1" si="145"/>
        <v>0</v>
      </c>
      <c r="Z265" s="467">
        <f t="shared" ca="1" si="146"/>
        <v>0</v>
      </c>
      <c r="AA265" s="467">
        <f t="shared" ca="1" si="147"/>
        <v>0</v>
      </c>
    </row>
    <row r="266" spans="1:27" x14ac:dyDescent="0.35">
      <c r="A266" s="111" t="str">
        <f ca="1">IFERROR(INDIRECT(CONCATENATE("'Timetables'!A"&amp;A269)),"")</f>
        <v>LT17</v>
      </c>
      <c r="B266" s="469" t="str">
        <f ca="1">IFERROR(VLOOKUP(A266,timetables,2,FALSE)&amp;" "&amp;VLOOKUP(A266,timetables,3,FALSE)&amp;" A","")</f>
        <v>300m U15 Girls A</v>
      </c>
      <c r="C266" s="469"/>
      <c r="E266" s="470" t="str">
        <f ca="1">"Starts "&amp;TEXT(VLOOKUP(A266,timetables,7-MatchDay!$U$7,FALSE),"hh:mm")</f>
        <v>Starts 15:00</v>
      </c>
      <c r="F266" s="471"/>
      <c r="H266" s="472" t="str">
        <f ca="1">IFERROR("Rec: "&amp;TEXT(VLOOKUP(A266,records,5,FALSE),"#0.00")&amp;"s, "&amp;VLOOKUP(A266,records,3,FALSE)&amp;", "&amp;VLOOKUP(A266,records,4,FALSE)&amp;", "&amp;VLOOKUP(A266,records,8,FALSE),"")</f>
        <v>Rec: 40.11s, Poppy Malik, Notts AC, 2018</v>
      </c>
      <c r="K266" s="473"/>
      <c r="L266" s="474"/>
      <c r="M266" s="467"/>
      <c r="P266" s="468" t="str">
        <f>IFERROR(IF(OR(D266=0,D266="-",D266="",D266=" ",D266=" ",D266="Athlete"),"",IF($A274&gt;0,VLOOKUP(D266,female_reg,3,FALSE)-C266*10,VLOOKUP(D266,male_reg,3,FALSE)-C266*10)),"X")</f>
        <v/>
      </c>
      <c r="Q266" s="468" t="str">
        <f>IFERROR(IF(OR(J266=0,J266="-",J266=" ",J266="",J266=" ",J266="Athlete"),"",IF($A274&gt;0,VLOOKUP(J266,female_reg,3,FALSE)-C266*10,VLOOKUP(J266,male_reg,3,FALSE)-C266*10)),"X")</f>
        <v/>
      </c>
      <c r="T266" s="468">
        <f t="shared" ref="T266:T323" ca="1" si="153">IFERROR(IF(V266="X",0,COUNTIF($V$4:$W$573,V266)),0)</f>
        <v>0</v>
      </c>
      <c r="U266" s="468">
        <f t="shared" ref="U266:U323" ca="1" si="154">IFERROR(IF(W266="X",0,COUNTIF($V$4:$W$573,W266)),0)</f>
        <v>0</v>
      </c>
      <c r="Z266" s="467">
        <f t="shared" ref="Z266:Z323" ca="1" si="155">IF(V266="X",0,COUNTIF($V$4:$Y$638,V266))</f>
        <v>0</v>
      </c>
      <c r="AA266" s="467">
        <f t="shared" ref="AA266:AA323" ca="1" si="156">IF(W266="X",0,COUNTIF($V$4:$Y$638,W266))</f>
        <v>0</v>
      </c>
    </row>
    <row r="267" spans="1:27" x14ac:dyDescent="0.35">
      <c r="A267" s="85" t="str">
        <f ca="1">MID(A266,2,3)</f>
        <v>T17</v>
      </c>
      <c r="B267" s="9" t="s">
        <v>786</v>
      </c>
      <c r="C267" s="9" t="s">
        <v>183</v>
      </c>
      <c r="D267" s="46" t="s">
        <v>227</v>
      </c>
      <c r="E267" s="46" t="s">
        <v>228</v>
      </c>
      <c r="F267" s="475"/>
      <c r="G267" s="46"/>
      <c r="H267" s="9" t="s">
        <v>786</v>
      </c>
      <c r="I267" s="9" t="s">
        <v>183</v>
      </c>
      <c r="J267" s="46" t="s">
        <v>227</v>
      </c>
      <c r="K267" s="46" t="s">
        <v>228</v>
      </c>
      <c r="L267" s="475"/>
      <c r="M267" s="475"/>
      <c r="N267" s="52"/>
      <c r="P267" s="468" t="str">
        <f>IFERROR(IF(OR(D267=0,D267="-",D267="",D267=" ",D267=" ",D267="Athlete"),"",IF($A274&gt;0,VLOOKUP(D267,female_reg,3,FALSE)-C267*10,VLOOKUP(D267,male_reg,3,FALSE)-C267*10)),"X")</f>
        <v/>
      </c>
      <c r="Q267" s="468" t="str">
        <f>IFERROR(IF(OR(J267=0,J267="-",J267=" ",J267="",J267=" ",J267="Athlete"),"",IF($A274&gt;0,VLOOKUP(J267,female_reg,3,FALSE)-C267*10,VLOOKUP(J267,male_reg,3,FALSE)-C267*10)),"X")</f>
        <v/>
      </c>
      <c r="T267" s="468">
        <f t="shared" ca="1" si="153"/>
        <v>0</v>
      </c>
      <c r="U267" s="468">
        <f t="shared" ca="1" si="154"/>
        <v>0</v>
      </c>
      <c r="Z267" s="467">
        <f t="shared" ca="1" si="155"/>
        <v>0</v>
      </c>
      <c r="AA267" s="467">
        <f t="shared" ca="1" si="156"/>
        <v>0</v>
      </c>
    </row>
    <row r="268" spans="1:27" x14ac:dyDescent="0.35">
      <c r="A268" s="181">
        <f ca="1">IFERROR(VLOOKUP(A266,Timetables!$A:$E,5,FALSE)-1,"")</f>
        <v>6</v>
      </c>
      <c r="B268" s="477">
        <v>1</v>
      </c>
      <c r="C268" s="477">
        <f ca="1">IFERROR(IF(B268&gt;MatchDay!$U$2,"",IF(MatchDay!$D$6=2,"",VLOOKUP(A266,Timetables!$A:$DK,MatchDay!$U$4+B268-MatchDay!$D$6,FALSE))),"")</f>
        <v>3</v>
      </c>
      <c r="D268" s="467" t="str">
        <f ca="1">IFERROR(HLOOKUP(C268,Declarations!$D$2:$S$102,A268,FALSE),"")</f>
        <v>WALSH Tierney</v>
      </c>
      <c r="E268" s="467" t="str">
        <f ca="1">IFERROR(VLOOKUP(C268,teamlookup,5,FALSE),"")</f>
        <v>York</v>
      </c>
      <c r="F268" s="466"/>
      <c r="G268" s="476"/>
      <c r="H268" s="477">
        <v>1</v>
      </c>
      <c r="I268" s="477">
        <f ca="1">IFERROR(C268*11,"")</f>
        <v>33</v>
      </c>
      <c r="J268" s="467" t="str">
        <f ca="1">IFERROR(HLOOKUP(I268,Declarations!$D$2:$S$102,$A268,FALSE),"")</f>
        <v>COURTNEY Libby</v>
      </c>
      <c r="K268" s="467" t="str">
        <f t="shared" ref="K268:K275" ca="1" si="157">IFERROR(VLOOKUP(I268,teamlookup,5,FALSE),"")</f>
        <v>York</v>
      </c>
      <c r="N268" s="478"/>
      <c r="P268" s="468">
        <f ca="1">IFERROR(IF(OR(D268=0,D268="-",D268="",D268=" ",D268=" ",D268="Athlete"),"",IF($A274&gt;0,VLOOKUP(D268,female_reg,3,FALSE)-C268*10,VLOOKUP(D268,male_reg,3,FALSE)-C268*10)),2)</f>
        <v>1</v>
      </c>
      <c r="Q268" s="468">
        <f ca="1">IFERROR(IF(OR(J268=0,J268="-",J268=" ",J268="",J268=" ",J268="Athlete"),"",IF($A274&gt;0,VLOOKUP(J268,female_reg,3,FALSE)-C268*10,VLOOKUP(J268,male_reg,3,FALSE)-C268*10)),2)</f>
        <v>1</v>
      </c>
      <c r="T268" s="468">
        <f t="shared" ca="1" si="153"/>
        <v>2</v>
      </c>
      <c r="U268" s="468">
        <f t="shared" ca="1" si="154"/>
        <v>2</v>
      </c>
      <c r="V268" s="467" t="str">
        <f t="shared" ref="V268:V275" ca="1" si="158">IFERROR(IF(OR(D268=0,D268="-",D268="",D268=" ",D268=" "),"X",D268&amp;E268),"X")</f>
        <v>WALSH TierneyYork</v>
      </c>
      <c r="W268" s="467" t="str">
        <f t="shared" ref="W268:W275" ca="1" si="159">IFERROR(IF(OR(J268=0,J268="-",J268="",J268=" ",J268=" "),"X",J268&amp;K268),"X")</f>
        <v>COURTNEY LibbyYork</v>
      </c>
      <c r="Z268" s="467">
        <f t="shared" ca="1" si="155"/>
        <v>3</v>
      </c>
      <c r="AA268" s="467">
        <f t="shared" ca="1" si="156"/>
        <v>2</v>
      </c>
    </row>
    <row r="269" spans="1:27" x14ac:dyDescent="0.35">
      <c r="A269" s="468">
        <f>A258+1</f>
        <v>27</v>
      </c>
      <c r="B269" s="477">
        <v>2</v>
      </c>
      <c r="C269" s="477">
        <f ca="1">IFERROR(IF(B269&gt;MatchDay!$U$2+MatchDay!$D$6-1,"",VLOOKUP(A266,Timetables!$A:$DK,MatchDay!$U$4+B269-MatchDay!$D$6,FALSE)),"")</f>
        <v>1</v>
      </c>
      <c r="D269" s="467" t="str">
        <f ca="1">IFERROR(HLOOKUP(C269,Declarations!$D$2:$S$102,A268,FALSE),"")</f>
        <v>MOODY Hannah</v>
      </c>
      <c r="E269" s="467" t="str">
        <f t="shared" ref="E269:E275" ca="1" si="160">IFERROR(VLOOKUP(C269,teamlookup,5,FALSE),"")</f>
        <v>C'field</v>
      </c>
      <c r="F269" s="466"/>
      <c r="G269" s="476"/>
      <c r="H269" s="477">
        <v>2</v>
      </c>
      <c r="I269" s="477">
        <f t="shared" ref="I269:I275" ca="1" si="161">IFERROR(C269*11,"")</f>
        <v>11</v>
      </c>
      <c r="J269" s="467" t="str">
        <f ca="1">IFERROR(HLOOKUP(I269,Declarations!$D$2:$S$102,$A268,FALSE),"")</f>
        <v>PROCTOR Alicia</v>
      </c>
      <c r="K269" s="467" t="str">
        <f t="shared" ca="1" si="157"/>
        <v>C'field</v>
      </c>
      <c r="N269" s="478"/>
      <c r="P269" s="468">
        <f ca="1">IFERROR(IF(OR(D269=0,D269="-",D269="",D269=" ",D269=" ",D269="Athlete"),"",IF($A274&gt;0,VLOOKUP(D269,female_reg,3,FALSE)-C269*10,VLOOKUP(D269,male_reg,3,FALSE)-C269*10)),2)</f>
        <v>1</v>
      </c>
      <c r="Q269" s="468">
        <f ca="1">IFERROR(IF(OR(J269=0,J269="-",J269=" ",J269="",J269=" ",J269="Athlete"),"",IF($A274&gt;0,VLOOKUP(J269,female_reg,3,FALSE)-C269*10,VLOOKUP(J269,male_reg,3,FALSE)-C269*10)),2)</f>
        <v>1</v>
      </c>
      <c r="T269" s="468">
        <f t="shared" ca="1" si="153"/>
        <v>3</v>
      </c>
      <c r="U269" s="468">
        <f t="shared" ca="1" si="154"/>
        <v>3</v>
      </c>
      <c r="V269" s="467" t="str">
        <f t="shared" ca="1" si="158"/>
        <v>MOODY HannahC'field</v>
      </c>
      <c r="W269" s="467" t="str">
        <f t="shared" ca="1" si="159"/>
        <v>PROCTOR AliciaC'field</v>
      </c>
      <c r="Z269" s="467">
        <f t="shared" ca="1" si="155"/>
        <v>4</v>
      </c>
      <c r="AA269" s="467">
        <f t="shared" ca="1" si="156"/>
        <v>4</v>
      </c>
    </row>
    <row r="270" spans="1:27" x14ac:dyDescent="0.35">
      <c r="A270" s="118">
        <f ca="1">IFERROR(VLOOKUP(A266,standards,3,FALSE)+0.01,"-")</f>
        <v>42.71</v>
      </c>
      <c r="B270" s="477">
        <v>3</v>
      </c>
      <c r="C270" s="477">
        <f ca="1">IFERROR(IF(B270&gt;MatchDay!$U$2+MatchDay!$D$6-1,"",VLOOKUP(A266,Timetables!$A:$DK,MatchDay!$U$4+B270-MatchDay!$D$6,FALSE)),"")</f>
        <v>4</v>
      </c>
      <c r="D270" s="467" t="str">
        <f ca="1">IFERROR(HLOOKUP(C270,Declarations!$D$2:$S$102,A268,FALSE),"")</f>
        <v>GILLIS Madelaine</v>
      </c>
      <c r="E270" s="467" t="str">
        <f t="shared" ca="1" si="160"/>
        <v>M'bro</v>
      </c>
      <c r="F270" s="466"/>
      <c r="G270" s="476"/>
      <c r="H270" s="477">
        <v>3</v>
      </c>
      <c r="I270" s="477">
        <f t="shared" ca="1" si="161"/>
        <v>44</v>
      </c>
      <c r="J270" s="467" t="str">
        <f ca="1">IFERROR(HLOOKUP(I270,Declarations!$D$2:$S$102,$A268,FALSE),"")</f>
        <v>PYE Leoni</v>
      </c>
      <c r="K270" s="467" t="str">
        <f t="shared" ca="1" si="157"/>
        <v>M'bro</v>
      </c>
      <c r="N270" s="478"/>
      <c r="P270" s="468">
        <f ca="1">IFERROR(IF(OR(D270=0,D270="-",D270="",D270=" ",D270=" ",D270="Athlete"),"",IF($A274&gt;0,VLOOKUP(D270,female_reg,3,FALSE)-C270*10,VLOOKUP(D270,male_reg,3,FALSE)-C270*10)),2)</f>
        <v>1</v>
      </c>
      <c r="Q270" s="468">
        <f ca="1">IFERROR(IF(OR(J270=0,J270="-",J270=" ",J270="",J270=" ",J270="Athlete"),"",IF($A274&gt;0,VLOOKUP(J270,female_reg,3,FALSE)-C270*10,VLOOKUP(J270,male_reg,3,FALSE)-C270*10)),2)</f>
        <v>1</v>
      </c>
      <c r="T270" s="468">
        <f t="shared" ca="1" si="153"/>
        <v>2</v>
      </c>
      <c r="U270" s="468">
        <f t="shared" ca="1" si="154"/>
        <v>2</v>
      </c>
      <c r="V270" s="467" t="str">
        <f t="shared" ca="1" si="158"/>
        <v>GILLIS MadelaineM'bro</v>
      </c>
      <c r="W270" s="467" t="str">
        <f t="shared" ca="1" si="159"/>
        <v>PYE LeoniM'bro</v>
      </c>
      <c r="Z270" s="467">
        <f t="shared" ca="1" si="155"/>
        <v>3</v>
      </c>
      <c r="AA270" s="467">
        <f t="shared" ca="1" si="156"/>
        <v>3</v>
      </c>
    </row>
    <row r="271" spans="1:27" x14ac:dyDescent="0.35">
      <c r="A271" s="118">
        <f ca="1">IFERROR(VLOOKUP(A266,standards,4,FALSE)+0.01,"-")</f>
        <v>43.309999999999995</v>
      </c>
      <c r="B271" s="477">
        <v>4</v>
      </c>
      <c r="C271" s="477">
        <f ca="1">IFERROR(IF(B271&gt;MatchDay!$U$2+MatchDay!$D$6-1,"",VLOOKUP(A266,Timetables!$A:$DK,MatchDay!$U$4+B271-MatchDay!$D$6,FALSE)),"")</f>
        <v>2</v>
      </c>
      <c r="D271" s="467">
        <f ca="1">IFERROR(HLOOKUP(C271,Declarations!$D$2:$S$102,A268,FALSE),"")</f>
        <v>0</v>
      </c>
      <c r="E271" s="467" t="str">
        <f t="shared" ca="1" si="160"/>
        <v>Sheff+D</v>
      </c>
      <c r="F271" s="466"/>
      <c r="G271" s="476"/>
      <c r="H271" s="477">
        <v>4</v>
      </c>
      <c r="I271" s="477">
        <f t="shared" ca="1" si="161"/>
        <v>22</v>
      </c>
      <c r="J271" s="467">
        <f ca="1">IFERROR(HLOOKUP(I271,Declarations!$D$2:$S$102,$A268,FALSE),"")</f>
        <v>0</v>
      </c>
      <c r="K271" s="467" t="str">
        <f t="shared" ca="1" si="157"/>
        <v>Sheff+D</v>
      </c>
      <c r="N271" s="478"/>
      <c r="P271" s="468" t="str">
        <f ca="1">IFERROR(IF(OR(D271=0,D271="-",D271="",D271=" ",D271=" ",D271="Athlete"),"",IF($A274&gt;0,VLOOKUP(D271,female_reg,3,FALSE)-C271*10,VLOOKUP(D271,male_reg,3,FALSE)-C271*10)),2)</f>
        <v/>
      </c>
      <c r="Q271" s="468" t="str">
        <f ca="1">IFERROR(IF(OR(J271=0,J271="-",J271=" ",J271="",J271=" ",J271="Athlete"),"",IF($A274&gt;0,VLOOKUP(J271,female_reg,3,FALSE)-C271*10,VLOOKUP(J271,male_reg,3,FALSE)-C271*10)),2)</f>
        <v/>
      </c>
      <c r="T271" s="468">
        <f t="shared" ca="1" si="153"/>
        <v>0</v>
      </c>
      <c r="U271" s="468">
        <f t="shared" ca="1" si="154"/>
        <v>0</v>
      </c>
      <c r="V271" s="467" t="str">
        <f t="shared" ca="1" si="158"/>
        <v>X</v>
      </c>
      <c r="W271" s="467" t="str">
        <f t="shared" ca="1" si="159"/>
        <v>X</v>
      </c>
      <c r="Z271" s="467">
        <f t="shared" ca="1" si="155"/>
        <v>0</v>
      </c>
      <c r="AA271" s="467">
        <f t="shared" ca="1" si="156"/>
        <v>0</v>
      </c>
    </row>
    <row r="272" spans="1:27" x14ac:dyDescent="0.35">
      <c r="A272" s="118">
        <f ca="1">IFERROR(VLOOKUP(A266,standards,5,FALSE)+0.01,"-")</f>
        <v>44.309999999999995</v>
      </c>
      <c r="B272" s="477">
        <v>5</v>
      </c>
      <c r="C272" s="477">
        <f ca="1">IFERROR(IF(B272&gt;MatchDay!$U$2+MatchDay!$D$6-1,"",VLOOKUP(A266,Timetables!$A:$DK,MatchDay!$U$4+B272-MatchDay!$D$6,FALSE)),"")</f>
        <v>5</v>
      </c>
      <c r="D272" s="467" t="str">
        <f ca="1">IFERROR(HLOOKUP(C272,Declarations!$D$2:$S$102,A268,FALSE),"")</f>
        <v>WRIGHT Lucy</v>
      </c>
      <c r="E272" s="467" t="str">
        <f t="shared" ca="1" si="160"/>
        <v>Scun</v>
      </c>
      <c r="F272" s="466"/>
      <c r="G272" s="476"/>
      <c r="H272" s="477">
        <v>5</v>
      </c>
      <c r="I272" s="477">
        <f t="shared" ca="1" si="161"/>
        <v>55</v>
      </c>
      <c r="J272" s="467">
        <f ca="1">IFERROR(HLOOKUP(I272,Declarations!$D$2:$S$102,$A268,FALSE),"")</f>
        <v>0</v>
      </c>
      <c r="K272" s="467" t="str">
        <f t="shared" ca="1" si="157"/>
        <v>Scun</v>
      </c>
      <c r="N272" s="478"/>
      <c r="P272" s="468">
        <f ca="1">IFERROR(IF(OR(D272=0,D272="-",D272="",D272=" ",D272=" ",D272="Athlete"),"",IF($A274&gt;0,VLOOKUP(D272,female_reg,3,FALSE)-C272*10,VLOOKUP(D272,male_reg,3,FALSE)-C272*10)),2)</f>
        <v>1</v>
      </c>
      <c r="Q272" s="468" t="str">
        <f ca="1">IFERROR(IF(OR(J272=0,J272="-",J272=" ",J272="",J272=" ",J272="Athlete"),"",IF($A274&gt;0,VLOOKUP(J272,female_reg,3,FALSE)-C272*10,VLOOKUP(J272,male_reg,3,FALSE)-C272*10)),2)</f>
        <v/>
      </c>
      <c r="T272" s="468">
        <f t="shared" ca="1" si="153"/>
        <v>2</v>
      </c>
      <c r="U272" s="468">
        <f t="shared" ca="1" si="154"/>
        <v>0</v>
      </c>
      <c r="V272" s="467" t="str">
        <f t="shared" ca="1" si="158"/>
        <v>WRIGHT LucyScun</v>
      </c>
      <c r="W272" s="467" t="str">
        <f t="shared" ca="1" si="159"/>
        <v>X</v>
      </c>
      <c r="Z272" s="467">
        <f t="shared" ca="1" si="155"/>
        <v>3</v>
      </c>
      <c r="AA272" s="467">
        <f t="shared" ca="1" si="156"/>
        <v>0</v>
      </c>
    </row>
    <row r="273" spans="1:27" x14ac:dyDescent="0.35">
      <c r="A273" s="118">
        <f ca="1">IFERROR(VLOOKUP(A266,standards,6,FALSE)+0.01,"-")</f>
        <v>45.71</v>
      </c>
      <c r="B273" s="477">
        <v>6</v>
      </c>
      <c r="C273" s="477" t="str">
        <f>IFERROR(IF(B273&gt;MatchDay!$U$2+MatchDay!$D$6-1,"",VLOOKUP(A266,Timetables!$A:$DK,MatchDay!$U$4+B273-MatchDay!$D$6,FALSE)),"")</f>
        <v/>
      </c>
      <c r="D273" s="467" t="str">
        <f>IFERROR(HLOOKUP(C273,Declarations!$D$2:$S$102,A268,FALSE),"")</f>
        <v/>
      </c>
      <c r="E273" s="467" t="str">
        <f t="shared" si="160"/>
        <v/>
      </c>
      <c r="F273" s="466"/>
      <c r="G273" s="476"/>
      <c r="H273" s="477">
        <v>6</v>
      </c>
      <c r="I273" s="477" t="str">
        <f t="shared" si="161"/>
        <v/>
      </c>
      <c r="J273" s="467" t="str">
        <f>IFERROR(HLOOKUP(I273,Declarations!$D$2:$S$102,$A268,FALSE),"")</f>
        <v/>
      </c>
      <c r="K273" s="467" t="str">
        <f t="shared" si="157"/>
        <v/>
      </c>
      <c r="N273" s="478"/>
      <c r="P273" s="468" t="str">
        <f>IFERROR(IF(OR(D273=0,D273="-",D273="",D273=" ",D273=" ",D273="Athlete"),"",IF($A274&gt;0,VLOOKUP(D273,female_reg,3,FALSE)-C273*10,VLOOKUP(D273,male_reg,3,FALSE)-C273*10)),2)</f>
        <v/>
      </c>
      <c r="Q273" s="468" t="str">
        <f>IFERROR(IF(OR(J273=0,J273="-",J273=" ",J273="",J273=" ",J273="Athlete"),"",IF($A274&gt;0,VLOOKUP(J273,female_reg,3,FALSE)-C273*10,VLOOKUP(J273,male_reg,3,FALSE)-C273*10)),2)</f>
        <v/>
      </c>
      <c r="T273" s="468">
        <f t="shared" si="153"/>
        <v>0</v>
      </c>
      <c r="U273" s="468">
        <f t="shared" si="154"/>
        <v>0</v>
      </c>
      <c r="V273" s="467" t="str">
        <f t="shared" si="158"/>
        <v>X</v>
      </c>
      <c r="W273" s="467" t="str">
        <f t="shared" si="159"/>
        <v>X</v>
      </c>
      <c r="Z273" s="467">
        <f t="shared" si="155"/>
        <v>0</v>
      </c>
      <c r="AA273" s="467">
        <f t="shared" si="156"/>
        <v>0</v>
      </c>
    </row>
    <row r="274" spans="1:27" x14ac:dyDescent="0.35">
      <c r="A274" s="479">
        <f ca="1">IFERROR(SEARCH("Girls",B266),0)</f>
        <v>10</v>
      </c>
      <c r="B274" s="477">
        <v>7</v>
      </c>
      <c r="C274" s="477" t="str">
        <f>IFERROR(IF(B274&gt;MatchDay!$U$2+MatchDay!$D$6-1,"",VLOOKUP(A266,Timetables!$A:$DK,MatchDay!$U$4+B274-MatchDay!$D$6,FALSE)),"")</f>
        <v/>
      </c>
      <c r="D274" s="467" t="str">
        <f>IFERROR(HLOOKUP(C274,Declarations!$D$2:$S$102,A268,FALSE),"")</f>
        <v/>
      </c>
      <c r="E274" s="467" t="str">
        <f t="shared" si="160"/>
        <v/>
      </c>
      <c r="F274" s="466"/>
      <c r="G274" s="476"/>
      <c r="H274" s="477">
        <v>7</v>
      </c>
      <c r="I274" s="477" t="str">
        <f t="shared" si="161"/>
        <v/>
      </c>
      <c r="J274" s="467" t="str">
        <f>IFERROR(HLOOKUP(I274,Declarations!$D$2:$S$102,$A268,FALSE),"")</f>
        <v/>
      </c>
      <c r="K274" s="467" t="str">
        <f t="shared" si="157"/>
        <v/>
      </c>
      <c r="N274" s="478"/>
      <c r="P274" s="468" t="str">
        <f>IFERROR(IF(OR(D274=0,D274="-",D274="",D274=" ",D274=" ",D274="Athlete"),"",IF($A274&gt;0,VLOOKUP(D274,female_reg,3,FALSE)-C274*10,VLOOKUP(D274,male_reg,3,FALSE)-C274*10)),2)</f>
        <v/>
      </c>
      <c r="Q274" s="468" t="str">
        <f>IFERROR(IF(OR(J274=0,J274="-",J274=" ",J274="",J274=" ",J274="Athlete"),"",IF($A274&gt;0,VLOOKUP(J274,female_reg,3,FALSE)-C274*10,VLOOKUP(J274,male_reg,3,FALSE)-C274*10)),2)</f>
        <v/>
      </c>
      <c r="T274" s="468">
        <f t="shared" si="153"/>
        <v>0</v>
      </c>
      <c r="U274" s="468">
        <f t="shared" si="154"/>
        <v>0</v>
      </c>
      <c r="V274" s="467" t="str">
        <f t="shared" si="158"/>
        <v>X</v>
      </c>
      <c r="W274" s="467" t="str">
        <f t="shared" si="159"/>
        <v>X</v>
      </c>
      <c r="Z274" s="467">
        <f t="shared" si="155"/>
        <v>0</v>
      </c>
      <c r="AA274" s="467">
        <f t="shared" si="156"/>
        <v>0</v>
      </c>
    </row>
    <row r="275" spans="1:27" x14ac:dyDescent="0.35">
      <c r="A275" s="116">
        <f ca="1">IFERROR(VLOOKUP(A266,records,5,FALSE),"")</f>
        <v>40.11</v>
      </c>
      <c r="B275" s="477">
        <v>8</v>
      </c>
      <c r="C275" s="477" t="str">
        <f>IFERROR(IF(B275&gt;MatchDay!$U$2+MatchDay!$D$6-1,"",VLOOKUP(A266,Timetables!$A:$DK,MatchDay!$U$4+B275-MatchDay!$D$6,FALSE)),"")</f>
        <v/>
      </c>
      <c r="D275" s="467" t="str">
        <f>IFERROR(HLOOKUP(C275,Declarations!$D$2:$S$102,A268,FALSE),"")</f>
        <v/>
      </c>
      <c r="E275" s="467" t="str">
        <f t="shared" si="160"/>
        <v/>
      </c>
      <c r="F275" s="466"/>
      <c r="G275" s="476"/>
      <c r="H275" s="477">
        <v>8</v>
      </c>
      <c r="I275" s="477" t="str">
        <f t="shared" si="161"/>
        <v/>
      </c>
      <c r="J275" s="467" t="str">
        <f>IFERROR(HLOOKUP(I275,Declarations!$D$2:$S$102,$A268,FALSE),"")</f>
        <v/>
      </c>
      <c r="K275" s="467" t="str">
        <f t="shared" si="157"/>
        <v/>
      </c>
      <c r="N275" s="478"/>
      <c r="P275" s="468" t="str">
        <f>IFERROR(IF(OR(D275=0,D275="-",D275="",D275=" ",D275=" ",D275="Athlete"),"",IF($A274&gt;0,VLOOKUP(D275,female_reg,3,FALSE)-C275*10,VLOOKUP(D275,male_reg,3,FALSE)-C275*10)),2)</f>
        <v/>
      </c>
      <c r="Q275" s="468" t="str">
        <f>IFERROR(IF(OR(J275=0,J275="-",J275=" ",J275="",J275=" ",J275="Athlete"),"",IF($A274&gt;0,VLOOKUP(J275,female_reg,3,FALSE)-C275*10,VLOOKUP(J275,male_reg,3,FALSE)-C275*10)),2)</f>
        <v/>
      </c>
      <c r="T275" s="468">
        <f t="shared" si="153"/>
        <v>0</v>
      </c>
      <c r="U275" s="468">
        <f t="shared" si="154"/>
        <v>0</v>
      </c>
      <c r="V275" s="467" t="str">
        <f t="shared" si="158"/>
        <v>X</v>
      </c>
      <c r="W275" s="467" t="str">
        <f t="shared" si="159"/>
        <v>X</v>
      </c>
      <c r="Z275" s="467">
        <f t="shared" si="155"/>
        <v>0</v>
      </c>
      <c r="AA275" s="467">
        <f t="shared" si="156"/>
        <v>0</v>
      </c>
    </row>
    <row r="276" spans="1:27" x14ac:dyDescent="0.35">
      <c r="P276" s="468" t="str">
        <f>IFERROR(IF(OR(D276=0,D276="-",D276="",D276=" ",D276=" ",D276="Athlete"),"",IF($A274&gt;0,VLOOKUP(D276,female_reg,3,FALSE)-C276*10,VLOOKUP(D276,male_reg,3,FALSE)-C276*10)),"X")</f>
        <v/>
      </c>
      <c r="Q276" s="468" t="str">
        <f>IFERROR(IF(OR(J276=0,J276="-",J276=" ",J276="",J276=" ",J276="Athlete"),"",IF($A274&gt;0,VLOOKUP(J276,female_reg,3,FALSE)-C276*10,VLOOKUP(J276,male_reg,3,FALSE)-C276*10)),"X")</f>
        <v/>
      </c>
      <c r="T276" s="468">
        <f t="shared" ca="1" si="153"/>
        <v>0</v>
      </c>
      <c r="U276" s="468">
        <f t="shared" ca="1" si="154"/>
        <v>0</v>
      </c>
      <c r="Z276" s="467">
        <f t="shared" ca="1" si="155"/>
        <v>0</v>
      </c>
      <c r="AA276" s="467">
        <f t="shared" ca="1" si="156"/>
        <v>0</v>
      </c>
    </row>
    <row r="277" spans="1:27" x14ac:dyDescent="0.35">
      <c r="A277" s="111" t="str">
        <f ca="1">IFERROR(INDIRECT(CONCATENATE("'Timetables'!A"&amp;A280)),"")</f>
        <v>LT18</v>
      </c>
      <c r="B277" s="469" t="str">
        <f ca="1">IFERROR(VLOOKUP(A277,timetables,2,FALSE)&amp;" "&amp;VLOOKUP(A277,timetables,3,FALSE)&amp;" A","")</f>
        <v>300m U15 Boys A</v>
      </c>
      <c r="C277" s="469"/>
      <c r="E277" s="470" t="str">
        <f ca="1">"Starts "&amp;TEXT(VLOOKUP(A277,timetables,7-MatchDay!$U$7,FALSE),"hh:mm")</f>
        <v>Starts 15:10</v>
      </c>
      <c r="F277" s="471"/>
      <c r="H277" s="472" t="str">
        <f ca="1">IFERROR("Rec: "&amp;TEXT(VLOOKUP(A277,records,5,FALSE),"#0.00")&amp;"s, "&amp;VLOOKUP(A277,records,3,FALSE)&amp;", "&amp;VLOOKUP(A277,records,4,FALSE)&amp;", "&amp;VLOOKUP(A277,records,8,FALSE),"")</f>
        <v>Rec: 35.40s, Amir Sultan-Edwards, Blackheath &amp; Bromley Harriers AC, 2018</v>
      </c>
      <c r="K277" s="473"/>
      <c r="L277" s="474"/>
      <c r="M277" s="467"/>
      <c r="P277" s="468" t="str">
        <f>IFERROR(IF(OR(D277=0,D277="-",D277="",D277=" ",D277=" ",D277="Athlete"),"",IF($A285&gt;0,VLOOKUP(D277,female_reg,3,FALSE)-C277*10,VLOOKUP(D277,male_reg,3,FALSE)-C277*10)),"X")</f>
        <v/>
      </c>
      <c r="Q277" s="468" t="str">
        <f>IFERROR(IF(OR(J277=0,J277="-",J277=" ",J277="",J277=" ",J277="Athlete"),"",IF($A285&gt;0,VLOOKUP(J277,female_reg,3,FALSE)-C277*10,VLOOKUP(J277,male_reg,3,FALSE)-C277*10)),"X")</f>
        <v/>
      </c>
      <c r="T277" s="468">
        <f t="shared" ca="1" si="153"/>
        <v>0</v>
      </c>
      <c r="U277" s="468">
        <f t="shared" ca="1" si="154"/>
        <v>0</v>
      </c>
      <c r="Z277" s="467">
        <f t="shared" ca="1" si="155"/>
        <v>0</v>
      </c>
      <c r="AA277" s="467">
        <f t="shared" ca="1" si="156"/>
        <v>0</v>
      </c>
    </row>
    <row r="278" spans="1:27" x14ac:dyDescent="0.35">
      <c r="A278" s="85" t="str">
        <f ca="1">MID(A277,2,3)</f>
        <v>T18</v>
      </c>
      <c r="B278" s="9" t="s">
        <v>786</v>
      </c>
      <c r="C278" s="9" t="s">
        <v>183</v>
      </c>
      <c r="D278" s="46" t="s">
        <v>227</v>
      </c>
      <c r="E278" s="46" t="s">
        <v>228</v>
      </c>
      <c r="F278" s="475"/>
      <c r="G278" s="46"/>
      <c r="H278" s="9" t="s">
        <v>786</v>
      </c>
      <c r="I278" s="9" t="s">
        <v>183</v>
      </c>
      <c r="J278" s="46" t="s">
        <v>227</v>
      </c>
      <c r="K278" s="46" t="s">
        <v>228</v>
      </c>
      <c r="L278" s="475"/>
      <c r="M278" s="475"/>
      <c r="N278" s="52"/>
      <c r="P278" s="468" t="str">
        <f>IFERROR(IF(OR(D278=0,D278="-",D278="",D278=" ",D278=" ",D278="Athlete"),"",IF($A285&gt;0,VLOOKUP(D278,female_reg,3,FALSE)-C278*10,VLOOKUP(D278,male_reg,3,FALSE)-C278*10)),"X")</f>
        <v/>
      </c>
      <c r="Q278" s="468" t="str">
        <f>IFERROR(IF(OR(J278=0,J278="-",J278=" ",J278="",J278=" ",J278="Athlete"),"",IF($A285&gt;0,VLOOKUP(J278,female_reg,3,FALSE)-C278*10,VLOOKUP(J278,male_reg,3,FALSE)-C278*10)),"X")</f>
        <v/>
      </c>
      <c r="T278" s="468">
        <f t="shared" ca="1" si="153"/>
        <v>0</v>
      </c>
      <c r="U278" s="468">
        <f t="shared" ca="1" si="154"/>
        <v>0</v>
      </c>
      <c r="Z278" s="467">
        <f t="shared" ca="1" si="155"/>
        <v>0</v>
      </c>
      <c r="AA278" s="467">
        <f t="shared" ca="1" si="156"/>
        <v>0</v>
      </c>
    </row>
    <row r="279" spans="1:27" x14ac:dyDescent="0.35">
      <c r="A279" s="181">
        <f ca="1">IFERROR(VLOOKUP(A277,Timetables!$A:$E,5,FALSE)-1,"")</f>
        <v>56</v>
      </c>
      <c r="B279" s="477">
        <v>1</v>
      </c>
      <c r="C279" s="477">
        <f ca="1">IFERROR(IF(B279&gt;MatchDay!$U$2,"",IF(MatchDay!$D$6=2,"",VLOOKUP(A277,Timetables!$A:$DK,MatchDay!$U$4+B279-MatchDay!$D$6,FALSE))),"")</f>
        <v>3</v>
      </c>
      <c r="D279" s="467" t="str">
        <f ca="1">IFERROR(HLOOKUP(C279,Declarations!$D$2:$S$102,A279,FALSE),"")</f>
        <v>BRATLEY Jack</v>
      </c>
      <c r="E279" s="467" t="str">
        <f ca="1">IFERROR(VLOOKUP(C279,teamlookup,5,FALSE),"")</f>
        <v>York</v>
      </c>
      <c r="F279" s="466"/>
      <c r="G279" s="476"/>
      <c r="H279" s="477">
        <v>1</v>
      </c>
      <c r="I279" s="477">
        <f ca="1">IFERROR(C279*11,"")</f>
        <v>33</v>
      </c>
      <c r="J279" s="467" t="str">
        <f ca="1">IFERROR(HLOOKUP(I279,Declarations!$D$2:$S$102,$A279,FALSE),"")</f>
        <v>BROOKS Rory</v>
      </c>
      <c r="K279" s="467" t="str">
        <f t="shared" ref="K279:K286" ca="1" si="162">IFERROR(VLOOKUP(I279,teamlookup,5,FALSE),"")</f>
        <v>York</v>
      </c>
      <c r="N279" s="478"/>
      <c r="P279" s="468">
        <f ca="1">IFERROR(IF(OR(D279=0,D279="-",D279="",D279=" ",D279=" ",D279="Athlete"),"",IF($A285&gt;0,VLOOKUP(D279,female_reg,3,FALSE)-C279*10,VLOOKUP(D279,male_reg,3,FALSE)-C279*10)),2)</f>
        <v>1</v>
      </c>
      <c r="Q279" s="468">
        <f ca="1">IFERROR(IF(OR(J279=0,J279="-",J279=" ",J279="",J279=" ",J279="Athlete"),"",IF($A285&gt;0,VLOOKUP(J279,female_reg,3,FALSE)-C279*10,VLOOKUP(J279,male_reg,3,FALSE)-C279*10)),2)</f>
        <v>1</v>
      </c>
      <c r="T279" s="468">
        <f t="shared" ca="1" si="153"/>
        <v>2</v>
      </c>
      <c r="U279" s="468">
        <f t="shared" ca="1" si="154"/>
        <v>3</v>
      </c>
      <c r="V279" s="467" t="str">
        <f t="shared" ref="V279:V286" ca="1" si="163">IFERROR(IF(OR(D279=0,D279="-",D279="",D279=" ",D279=" "),"X",D279&amp;E279),"X")</f>
        <v>BRATLEY JackYork</v>
      </c>
      <c r="W279" s="467" t="str">
        <f t="shared" ref="W279:W286" ca="1" si="164">IFERROR(IF(OR(J279=0,J279="-",J279="",J279=" ",J279=" "),"X",J279&amp;K279),"X")</f>
        <v>BROOKS RoryYork</v>
      </c>
      <c r="Z279" s="467">
        <f t="shared" ca="1" si="155"/>
        <v>3</v>
      </c>
      <c r="AA279" s="467">
        <f t="shared" ca="1" si="156"/>
        <v>4</v>
      </c>
    </row>
    <row r="280" spans="1:27" x14ac:dyDescent="0.35">
      <c r="A280" s="468">
        <f>A269+1</f>
        <v>28</v>
      </c>
      <c r="B280" s="477">
        <v>2</v>
      </c>
      <c r="C280" s="477">
        <f ca="1">IFERROR(IF(B280&gt;MatchDay!$U$2+MatchDay!$D$6-1,"",VLOOKUP(A277,Timetables!$A:$DK,MatchDay!$U$4+B280-MatchDay!$D$6,FALSE)),"")</f>
        <v>1</v>
      </c>
      <c r="D280" s="467" t="str">
        <f ca="1">IFERROR(HLOOKUP(C280,Declarations!$D$2:$S$102,A279,FALSE),"")</f>
        <v>MARRIOTT Thomas</v>
      </c>
      <c r="E280" s="467" t="str">
        <f t="shared" ref="E280:E286" ca="1" si="165">IFERROR(VLOOKUP(C280,teamlookup,5,FALSE),"")</f>
        <v>C'field</v>
      </c>
      <c r="F280" s="466"/>
      <c r="G280" s="476"/>
      <c r="H280" s="477">
        <v>2</v>
      </c>
      <c r="I280" s="477">
        <f t="shared" ref="I280:I286" ca="1" si="166">IFERROR(C280*11,"")</f>
        <v>11</v>
      </c>
      <c r="J280" s="467" t="str">
        <f ca="1">IFERROR(HLOOKUP(I280,Declarations!$D$2:$S$102,$A279,FALSE),"")</f>
        <v>BAKER Joseph</v>
      </c>
      <c r="K280" s="467" t="str">
        <f t="shared" ca="1" si="162"/>
        <v>C'field</v>
      </c>
      <c r="N280" s="478"/>
      <c r="P280" s="468">
        <f ca="1">IFERROR(IF(OR(D280=0,D280="-",D280="",D280=" ",D280=" ",D280="Athlete"),"",IF($A285&gt;0,VLOOKUP(D280,female_reg,3,FALSE)-C280*10,VLOOKUP(D280,male_reg,3,FALSE)-C280*10)),2)</f>
        <v>1</v>
      </c>
      <c r="Q280" s="468">
        <f ca="1">IFERROR(IF(OR(J280=0,J280="-",J280=" ",J280="",J280=" ",J280="Athlete"),"",IF($A285&gt;0,VLOOKUP(J280,female_reg,3,FALSE)-C280*10,VLOOKUP(J280,male_reg,3,FALSE)-C280*10)),2)</f>
        <v>1</v>
      </c>
      <c r="T280" s="468">
        <f t="shared" ca="1" si="153"/>
        <v>3</v>
      </c>
      <c r="U280" s="468">
        <f t="shared" ca="1" si="154"/>
        <v>3</v>
      </c>
      <c r="V280" s="467" t="str">
        <f t="shared" ca="1" si="163"/>
        <v>MARRIOTT ThomasC'field</v>
      </c>
      <c r="W280" s="467" t="str">
        <f t="shared" ca="1" si="164"/>
        <v>BAKER JosephC'field</v>
      </c>
      <c r="Z280" s="467">
        <f t="shared" ca="1" si="155"/>
        <v>4</v>
      </c>
      <c r="AA280" s="467">
        <f t="shared" ca="1" si="156"/>
        <v>3</v>
      </c>
    </row>
    <row r="281" spans="1:27" x14ac:dyDescent="0.35">
      <c r="A281" s="118">
        <f ca="1">IFERROR(VLOOKUP(A277,standards,3,FALSE)+0.01,"-")</f>
        <v>38.71</v>
      </c>
      <c r="B281" s="477">
        <v>3</v>
      </c>
      <c r="C281" s="477">
        <f ca="1">IFERROR(IF(B281&gt;MatchDay!$U$2+MatchDay!$D$6-1,"",VLOOKUP(A277,Timetables!$A:$DK,MatchDay!$U$4+B281-MatchDay!$D$6,FALSE)),"")</f>
        <v>4</v>
      </c>
      <c r="D281" s="467" t="str">
        <f ca="1">IFERROR(HLOOKUP(C281,Declarations!$D$2:$S$102,A279,FALSE),"")</f>
        <v>FRENCH William</v>
      </c>
      <c r="E281" s="467" t="str">
        <f t="shared" ca="1" si="165"/>
        <v>M'bro</v>
      </c>
      <c r="F281" s="466"/>
      <c r="G281" s="476"/>
      <c r="H281" s="477">
        <v>3</v>
      </c>
      <c r="I281" s="477">
        <f t="shared" ca="1" si="166"/>
        <v>44</v>
      </c>
      <c r="J281" s="467" t="str">
        <f ca="1">IFERROR(HLOOKUP(I281,Declarations!$D$2:$S$102,$A279,FALSE),"")</f>
        <v>KAYE Charlie</v>
      </c>
      <c r="K281" s="467" t="str">
        <f t="shared" ca="1" si="162"/>
        <v>M'bro</v>
      </c>
      <c r="N281" s="478"/>
      <c r="P281" s="468">
        <f ca="1">IFERROR(IF(OR(D281=0,D281="-",D281="",D281=" ",D281=" ",D281="Athlete"),"",IF($A285&gt;0,VLOOKUP(D281,female_reg,3,FALSE)-C281*10,VLOOKUP(D281,male_reg,3,FALSE)-C281*10)),2)</f>
        <v>1</v>
      </c>
      <c r="Q281" s="468">
        <f ca="1">IFERROR(IF(OR(J281=0,J281="-",J281=" ",J281="",J281=" ",J281="Athlete"),"",IF($A285&gt;0,VLOOKUP(J281,female_reg,3,FALSE)-C281*10,VLOOKUP(J281,male_reg,3,FALSE)-C281*10)),2)</f>
        <v>1</v>
      </c>
      <c r="T281" s="468">
        <f t="shared" ca="1" si="153"/>
        <v>1</v>
      </c>
      <c r="U281" s="468">
        <f t="shared" ca="1" si="154"/>
        <v>2</v>
      </c>
      <c r="V281" s="467" t="str">
        <f t="shared" ca="1" si="163"/>
        <v>FRENCH WilliamM'bro</v>
      </c>
      <c r="W281" s="467" t="str">
        <f t="shared" ca="1" si="164"/>
        <v>KAYE CharlieM'bro</v>
      </c>
      <c r="Z281" s="467">
        <f t="shared" ca="1" si="155"/>
        <v>2</v>
      </c>
      <c r="AA281" s="467">
        <f t="shared" ca="1" si="156"/>
        <v>3</v>
      </c>
    </row>
    <row r="282" spans="1:27" x14ac:dyDescent="0.35">
      <c r="A282" s="118">
        <f ca="1">IFERROR(VLOOKUP(A277,standards,4,FALSE)+0.01,"-")</f>
        <v>39.409999999999997</v>
      </c>
      <c r="B282" s="477">
        <v>4</v>
      </c>
      <c r="C282" s="477">
        <f ca="1">IFERROR(IF(B282&gt;MatchDay!$U$2+MatchDay!$D$6-1,"",VLOOKUP(A277,Timetables!$A:$DK,MatchDay!$U$4+B282-MatchDay!$D$6,FALSE)),"")</f>
        <v>2</v>
      </c>
      <c r="D282" s="467" t="str">
        <f ca="1">IFERROR(HLOOKUP(C282,Declarations!$D$2:$S$102,A279,FALSE),"")</f>
        <v>KRIEL PARR George</v>
      </c>
      <c r="E282" s="467" t="str">
        <f t="shared" ca="1" si="165"/>
        <v>Sheff+D</v>
      </c>
      <c r="F282" s="466"/>
      <c r="G282" s="476"/>
      <c r="H282" s="477">
        <v>4</v>
      </c>
      <c r="I282" s="477">
        <f t="shared" ca="1" si="166"/>
        <v>22</v>
      </c>
      <c r="J282" s="467" t="str">
        <f ca="1">IFERROR(HLOOKUP(I282,Declarations!$D$2:$S$102,$A279,FALSE),"")</f>
        <v>-</v>
      </c>
      <c r="K282" s="467" t="str">
        <f t="shared" ca="1" si="162"/>
        <v>Sheff+D</v>
      </c>
      <c r="N282" s="478"/>
      <c r="P282" s="468">
        <f ca="1">IFERROR(IF(OR(D282=0,D282="-",D282="",D282=" ",D282=" ",D282="Athlete"),"",IF($A285&gt;0,VLOOKUP(D282,female_reg,3,FALSE)-C282*10,VLOOKUP(D282,male_reg,3,FALSE)-C282*10)),2)</f>
        <v>1</v>
      </c>
      <c r="Q282" s="468" t="str">
        <f ca="1">IFERROR(IF(OR(J282=0,J282="-",J282=" ",J282="",J282=" ",J282="Athlete"),"",IF($A285&gt;0,VLOOKUP(J282,female_reg,3,FALSE)-C282*10,VLOOKUP(J282,male_reg,3,FALSE)-C282*10)),2)</f>
        <v/>
      </c>
      <c r="T282" s="468">
        <f t="shared" ca="1" si="153"/>
        <v>3</v>
      </c>
      <c r="U282" s="468">
        <f t="shared" ca="1" si="154"/>
        <v>0</v>
      </c>
      <c r="V282" s="467" t="str">
        <f t="shared" ca="1" si="163"/>
        <v>KRIEL PARR GeorgeSheff+D</v>
      </c>
      <c r="W282" s="467" t="str">
        <f t="shared" ca="1" si="164"/>
        <v>X</v>
      </c>
      <c r="Z282" s="467">
        <f t="shared" ca="1" si="155"/>
        <v>4</v>
      </c>
      <c r="AA282" s="467">
        <f t="shared" ca="1" si="156"/>
        <v>0</v>
      </c>
    </row>
    <row r="283" spans="1:27" x14ac:dyDescent="0.35">
      <c r="A283" s="118">
        <f ca="1">IFERROR(VLOOKUP(A277,standards,5,FALSE)+0.01,"-")</f>
        <v>40.51</v>
      </c>
      <c r="B283" s="477">
        <v>5</v>
      </c>
      <c r="C283" s="477">
        <f ca="1">IFERROR(IF(B283&gt;MatchDay!$U$2+MatchDay!$D$6-1,"",VLOOKUP(A277,Timetables!$A:$DK,MatchDay!$U$4+B283-MatchDay!$D$6,FALSE)),"")</f>
        <v>5</v>
      </c>
      <c r="D283" s="467" t="str">
        <f ca="1">IFERROR(HLOOKUP(C283,Declarations!$D$2:$S$102,A279,FALSE),"")</f>
        <v>OADES Matthew</v>
      </c>
      <c r="E283" s="467" t="str">
        <f t="shared" ca="1" si="165"/>
        <v>Scun</v>
      </c>
      <c r="F283" s="466"/>
      <c r="G283" s="476"/>
      <c r="H283" s="477">
        <v>5</v>
      </c>
      <c r="I283" s="477">
        <f t="shared" ca="1" si="166"/>
        <v>55</v>
      </c>
      <c r="J283" s="467">
        <f ca="1">IFERROR(HLOOKUP(I283,Declarations!$D$2:$S$102,$A279,FALSE),"")</f>
        <v>0</v>
      </c>
      <c r="K283" s="467" t="str">
        <f t="shared" ca="1" si="162"/>
        <v>Scun</v>
      </c>
      <c r="N283" s="478"/>
      <c r="P283" s="468">
        <f ca="1">IFERROR(IF(OR(D283=0,D283="-",D283="",D283=" ",D283=" ",D283="Athlete"),"",IF($A285&gt;0,VLOOKUP(D283,female_reg,3,FALSE)-C283*10,VLOOKUP(D283,male_reg,3,FALSE)-C283*10)),2)</f>
        <v>1</v>
      </c>
      <c r="Q283" s="468" t="str">
        <f ca="1">IFERROR(IF(OR(J283=0,J283="-",J283=" ",J283="",J283=" ",J283="Athlete"),"",IF($A285&gt;0,VLOOKUP(J283,female_reg,3,FALSE)-C283*10,VLOOKUP(J283,male_reg,3,FALSE)-C283*10)),2)</f>
        <v/>
      </c>
      <c r="T283" s="468">
        <f t="shared" ca="1" si="153"/>
        <v>4</v>
      </c>
      <c r="U283" s="468">
        <f t="shared" ca="1" si="154"/>
        <v>0</v>
      </c>
      <c r="V283" s="467" t="str">
        <f t="shared" ca="1" si="163"/>
        <v>OADES MatthewScun</v>
      </c>
      <c r="W283" s="467" t="str">
        <f t="shared" ca="1" si="164"/>
        <v>X</v>
      </c>
      <c r="Z283" s="467">
        <f t="shared" ca="1" si="155"/>
        <v>4</v>
      </c>
      <c r="AA283" s="467">
        <f t="shared" ca="1" si="156"/>
        <v>0</v>
      </c>
    </row>
    <row r="284" spans="1:27" x14ac:dyDescent="0.35">
      <c r="A284" s="118">
        <f ca="1">IFERROR(VLOOKUP(A277,standards,6,FALSE)+0.01,"-")</f>
        <v>42.11</v>
      </c>
      <c r="B284" s="477">
        <v>6</v>
      </c>
      <c r="C284" s="477" t="str">
        <f>IFERROR(IF(B284&gt;MatchDay!$U$2+MatchDay!$D$6-1,"",VLOOKUP(A277,Timetables!$A:$DK,MatchDay!$U$4+B284-MatchDay!$D$6,FALSE)),"")</f>
        <v/>
      </c>
      <c r="D284" s="467" t="str">
        <f>IFERROR(HLOOKUP(C284,Declarations!$D$2:$S$102,A279,FALSE),"")</f>
        <v/>
      </c>
      <c r="E284" s="467" t="str">
        <f t="shared" si="165"/>
        <v/>
      </c>
      <c r="F284" s="466"/>
      <c r="G284" s="476"/>
      <c r="H284" s="477">
        <v>6</v>
      </c>
      <c r="I284" s="477" t="str">
        <f t="shared" si="166"/>
        <v/>
      </c>
      <c r="J284" s="467" t="str">
        <f>IFERROR(HLOOKUP(I284,Declarations!$D$2:$S$102,$A279,FALSE),"")</f>
        <v/>
      </c>
      <c r="K284" s="467" t="str">
        <f t="shared" si="162"/>
        <v/>
      </c>
      <c r="N284" s="478"/>
      <c r="P284" s="468" t="str">
        <f>IFERROR(IF(OR(D284=0,D284="-",D284="",D284=" ",D284=" ",D284="Athlete"),"",IF($A285&gt;0,VLOOKUP(D284,female_reg,3,FALSE)-C284*10,VLOOKUP(D284,male_reg,3,FALSE)-C284*10)),2)</f>
        <v/>
      </c>
      <c r="Q284" s="468" t="str">
        <f>IFERROR(IF(OR(J284=0,J284="-",J284=" ",J284="",J284=" ",J284="Athlete"),"",IF($A285&gt;0,VLOOKUP(J284,female_reg,3,FALSE)-C284*10,VLOOKUP(J284,male_reg,3,FALSE)-C284*10)),2)</f>
        <v/>
      </c>
      <c r="T284" s="468">
        <f t="shared" si="153"/>
        <v>0</v>
      </c>
      <c r="U284" s="468">
        <f t="shared" si="154"/>
        <v>0</v>
      </c>
      <c r="V284" s="467" t="str">
        <f t="shared" si="163"/>
        <v>X</v>
      </c>
      <c r="W284" s="467" t="str">
        <f t="shared" si="164"/>
        <v>X</v>
      </c>
      <c r="Z284" s="467">
        <f t="shared" si="155"/>
        <v>0</v>
      </c>
      <c r="AA284" s="467">
        <f t="shared" si="156"/>
        <v>0</v>
      </c>
    </row>
    <row r="285" spans="1:27" x14ac:dyDescent="0.35">
      <c r="A285" s="479">
        <f ca="1">IFERROR(SEARCH("Girls",B277),0)</f>
        <v>0</v>
      </c>
      <c r="B285" s="477">
        <v>7</v>
      </c>
      <c r="C285" s="477" t="str">
        <f>IFERROR(IF(B285&gt;MatchDay!$U$2+MatchDay!$D$6-1,"",VLOOKUP(A277,Timetables!$A:$DK,MatchDay!$U$4+B285-MatchDay!$D$6,FALSE)),"")</f>
        <v/>
      </c>
      <c r="D285" s="467" t="str">
        <f>IFERROR(HLOOKUP(C285,Declarations!$D$2:$S$102,A279,FALSE),"")</f>
        <v/>
      </c>
      <c r="E285" s="467" t="str">
        <f t="shared" si="165"/>
        <v/>
      </c>
      <c r="F285" s="466"/>
      <c r="G285" s="476"/>
      <c r="H285" s="477">
        <v>7</v>
      </c>
      <c r="I285" s="477" t="str">
        <f t="shared" si="166"/>
        <v/>
      </c>
      <c r="J285" s="467" t="str">
        <f>IFERROR(HLOOKUP(I285,Declarations!$D$2:$S$102,$A279,FALSE),"")</f>
        <v/>
      </c>
      <c r="K285" s="467" t="str">
        <f t="shared" si="162"/>
        <v/>
      </c>
      <c r="N285" s="478"/>
      <c r="P285" s="468" t="str">
        <f>IFERROR(IF(OR(D285=0,D285="-",D285="",D285=" ",D285=" ",D285="Athlete"),"",IF($A285&gt;0,VLOOKUP(D285,female_reg,3,FALSE)-C285*10,VLOOKUP(D285,male_reg,3,FALSE)-C285*10)),2)</f>
        <v/>
      </c>
      <c r="Q285" s="468" t="str">
        <f>IFERROR(IF(OR(J285=0,J285="-",J285=" ",J285="",J285=" ",J285="Athlete"),"",IF($A285&gt;0,VLOOKUP(J285,female_reg,3,FALSE)-C285*10,VLOOKUP(J285,male_reg,3,FALSE)-C285*10)),2)</f>
        <v/>
      </c>
      <c r="T285" s="468">
        <f t="shared" si="153"/>
        <v>0</v>
      </c>
      <c r="U285" s="468">
        <f t="shared" si="154"/>
        <v>0</v>
      </c>
      <c r="V285" s="467" t="str">
        <f t="shared" si="163"/>
        <v>X</v>
      </c>
      <c r="W285" s="467" t="str">
        <f t="shared" si="164"/>
        <v>X</v>
      </c>
      <c r="Z285" s="467">
        <f t="shared" si="155"/>
        <v>0</v>
      </c>
      <c r="AA285" s="467">
        <f t="shared" si="156"/>
        <v>0</v>
      </c>
    </row>
    <row r="286" spans="1:27" x14ac:dyDescent="0.35">
      <c r="A286" s="116">
        <f ca="1">IFERROR(VLOOKUP(A277,records,5,FALSE),"")</f>
        <v>35.4</v>
      </c>
      <c r="B286" s="477">
        <v>8</v>
      </c>
      <c r="C286" s="477" t="str">
        <f>IFERROR(IF(B286&gt;MatchDay!$U$2+MatchDay!$D$6-1,"",VLOOKUP(A277,Timetables!$A:$DK,MatchDay!$U$4+B286-MatchDay!$D$6,FALSE)),"")</f>
        <v/>
      </c>
      <c r="D286" s="467" t="str">
        <f>IFERROR(HLOOKUP(C286,Declarations!$D$2:$S$102,A279,FALSE),"")</f>
        <v/>
      </c>
      <c r="E286" s="467" t="str">
        <f t="shared" si="165"/>
        <v/>
      </c>
      <c r="F286" s="466"/>
      <c r="G286" s="476"/>
      <c r="H286" s="477">
        <v>8</v>
      </c>
      <c r="I286" s="477" t="str">
        <f t="shared" si="166"/>
        <v/>
      </c>
      <c r="J286" s="467" t="str">
        <f>IFERROR(HLOOKUP(I286,Declarations!$D$2:$S$102,$A279,FALSE),"")</f>
        <v/>
      </c>
      <c r="K286" s="467" t="str">
        <f t="shared" si="162"/>
        <v/>
      </c>
      <c r="N286" s="478"/>
      <c r="P286" s="468" t="str">
        <f>IFERROR(IF(OR(D286=0,D286="-",D286="",D286=" ",D286=" ",D286="Athlete"),"",IF($A285&gt;0,VLOOKUP(D286,female_reg,3,FALSE)-C286*10,VLOOKUP(D286,male_reg,3,FALSE)-C286*10)),2)</f>
        <v/>
      </c>
      <c r="Q286" s="468" t="str">
        <f>IFERROR(IF(OR(J286=0,J286="-",J286=" ",J286="",J286=" ",J286="Athlete"),"",IF($A285&gt;0,VLOOKUP(J286,female_reg,3,FALSE)-C286*10,VLOOKUP(J286,male_reg,3,FALSE)-C286*10)),2)</f>
        <v/>
      </c>
      <c r="T286" s="468">
        <f t="shared" si="153"/>
        <v>0</v>
      </c>
      <c r="U286" s="468">
        <f t="shared" si="154"/>
        <v>0</v>
      </c>
      <c r="V286" s="467" t="str">
        <f t="shared" si="163"/>
        <v>X</v>
      </c>
      <c r="W286" s="467" t="str">
        <f t="shared" si="164"/>
        <v>X</v>
      </c>
      <c r="Z286" s="467">
        <f t="shared" si="155"/>
        <v>0</v>
      </c>
      <c r="AA286" s="467">
        <f t="shared" si="156"/>
        <v>0</v>
      </c>
    </row>
    <row r="287" spans="1:27" x14ac:dyDescent="0.35">
      <c r="P287" s="468" t="str">
        <f>IFERROR(IF(OR(D287=0,D287="-",D287="",D287=" ",D287=" ",D287="Athlete"),"",IF($A285&gt;0,VLOOKUP(D287,female_reg,3,FALSE)-C287*10,VLOOKUP(D287,male_reg,3,FALSE)-C287*10)),"X")</f>
        <v/>
      </c>
      <c r="Q287" s="468" t="str">
        <f>IFERROR(IF(OR(J287=0,J287="-",J287=" ",J287="",J287=" ",J287="Athlete"),"",IF($A285&gt;0,VLOOKUP(J287,female_reg,3,FALSE)-C287*10,VLOOKUP(J287,male_reg,3,FALSE)-C287*10)),"X")</f>
        <v/>
      </c>
      <c r="T287" s="468">
        <f t="shared" ca="1" si="153"/>
        <v>0</v>
      </c>
      <c r="U287" s="468">
        <f t="shared" ca="1" si="154"/>
        <v>0</v>
      </c>
      <c r="Z287" s="467">
        <f t="shared" ca="1" si="155"/>
        <v>0</v>
      </c>
      <c r="AA287" s="467">
        <f t="shared" ca="1" si="156"/>
        <v>0</v>
      </c>
    </row>
    <row r="288" spans="1:27" x14ac:dyDescent="0.35">
      <c r="A288" s="111" t="str">
        <f ca="1">IFERROR(INDIRECT(CONCATENATE("'Timetables'!A"&amp;A291)),"")</f>
        <v>LTD01</v>
      </c>
      <c r="B288" s="469" t="str">
        <f ca="1">IFERROR(VLOOKUP(A288,timetables,2,FALSE)&amp;" "&amp;VLOOKUP(A288,timetables,3,FALSE)&amp;" A","")</f>
        <v>1200m U13 Girls A</v>
      </c>
      <c r="C288" s="469"/>
      <c r="E288" s="470" t="str">
        <f ca="1">"Starts "&amp;TEXT(VLOOKUP(A288,timetables,7-MatchDay!$U$7,FALSE),"hh:mm")</f>
        <v>Starts 15:20</v>
      </c>
      <c r="F288" s="471"/>
      <c r="H288" s="472" t="str">
        <f ca="1">IFERROR("Rec: "&amp;TEXT(VLOOKUP(A288,records,5,FALSE),"mm:ss.00")&amp;", "&amp;VLOOKUP(A288,records,3,FALSE)&amp;", "&amp;VLOOKUP(A288,records,4,FALSE)&amp;", "&amp;VLOOKUP(A288,records,8,FALSE),"")</f>
        <v>Rec: 03:43.20, Keeley Hodgkinson, Leigh Harriers, 2014</v>
      </c>
      <c r="K288" s="473"/>
      <c r="L288" s="480"/>
      <c r="M288" s="467"/>
      <c r="P288" s="468" t="str">
        <f>IFERROR(IF(OR(D288=0,D288="-",D288="",D288=" ",D288=" ",D288="Athlete"),"",IF($A296&gt;0,VLOOKUP(D288,female_reg,3,FALSE)-C288*10,VLOOKUP(D288,male_reg,3,FALSE)-C288*10)),"X")</f>
        <v/>
      </c>
      <c r="Q288" s="468" t="str">
        <f>IFERROR(IF(OR(J288=0,J288="-",J288=" ",J288="",J288=" ",J288="Athlete"),"",IF($A296&gt;0,VLOOKUP(J288,female_reg,3,FALSE)-C288*10,VLOOKUP(J288,male_reg,3,FALSE)-C288*10)),"X")</f>
        <v/>
      </c>
      <c r="T288" s="468">
        <f t="shared" ca="1" si="153"/>
        <v>0</v>
      </c>
      <c r="U288" s="468">
        <f t="shared" ca="1" si="154"/>
        <v>0</v>
      </c>
      <c r="Z288" s="467">
        <f t="shared" ca="1" si="155"/>
        <v>0</v>
      </c>
      <c r="AA288" s="467">
        <f t="shared" ca="1" si="156"/>
        <v>0</v>
      </c>
    </row>
    <row r="289" spans="1:27" x14ac:dyDescent="0.35">
      <c r="A289" s="85" t="str">
        <f ca="1">MID(A288,2,3)</f>
        <v>TD0</v>
      </c>
      <c r="B289" s="9" t="s">
        <v>786</v>
      </c>
      <c r="C289" s="9" t="s">
        <v>183</v>
      </c>
      <c r="D289" s="46" t="s">
        <v>227</v>
      </c>
      <c r="E289" s="46" t="s">
        <v>228</v>
      </c>
      <c r="F289" s="475"/>
      <c r="G289" s="46"/>
      <c r="H289" s="9" t="s">
        <v>786</v>
      </c>
      <c r="I289" s="9" t="s">
        <v>183</v>
      </c>
      <c r="J289" s="46" t="s">
        <v>227</v>
      </c>
      <c r="K289" s="46" t="s">
        <v>228</v>
      </c>
      <c r="L289" s="475"/>
      <c r="M289" s="475"/>
      <c r="N289" s="52"/>
      <c r="P289" s="468" t="str">
        <f>IFERROR(IF(OR(D289=0,D289="-",D289="",D289=" ",D289=" ",D289="Athlete"),"",IF($A296&gt;0,VLOOKUP(D289,female_reg,3,FALSE)-C289*10,VLOOKUP(D289,male_reg,3,FALSE)-C289*10)),"X")</f>
        <v/>
      </c>
      <c r="Q289" s="468" t="str">
        <f>IFERROR(IF(OR(J289=0,J289="-",J289=" ",J289="",J289=" ",J289="Athlete"),"",IF($A296&gt;0,VLOOKUP(J289,female_reg,3,FALSE)-C289*10,VLOOKUP(J289,male_reg,3,FALSE)-C289*10)),"X")</f>
        <v/>
      </c>
      <c r="T289" s="468">
        <f t="shared" ca="1" si="153"/>
        <v>0</v>
      </c>
      <c r="U289" s="468">
        <f t="shared" ca="1" si="154"/>
        <v>0</v>
      </c>
      <c r="Z289" s="467">
        <f t="shared" ca="1" si="155"/>
        <v>0</v>
      </c>
      <c r="AA289" s="467">
        <f t="shared" ca="1" si="156"/>
        <v>0</v>
      </c>
    </row>
    <row r="290" spans="1:27" x14ac:dyDescent="0.35">
      <c r="A290" s="181">
        <f ca="1">IFERROR(VLOOKUP(A288,Timetables!$A:$E,5,FALSE)-1,"")</f>
        <v>34</v>
      </c>
      <c r="B290" s="477">
        <v>1</v>
      </c>
      <c r="C290" s="477">
        <f ca="1">IFERROR(IF(B290&gt;MatchDay!$U$2,"",IF(MatchDay!$D$6=2,"",VLOOKUP(A288,Timetables!$A:$DK,MatchDay!$U$4+B290-MatchDay!$D$6,FALSE))),"")</f>
        <v>3</v>
      </c>
      <c r="D290" s="467" t="str">
        <f ca="1">IFERROR(HLOOKUP(C290,Declarations!$D$2:$S$102,A290,FALSE),"")</f>
        <v>LANGAN Lottie</v>
      </c>
      <c r="E290" s="467" t="str">
        <f ca="1">IFERROR(VLOOKUP(C290,teamlookup,5,FALSE),"")</f>
        <v>York</v>
      </c>
      <c r="F290" s="466"/>
      <c r="G290" s="476"/>
      <c r="H290" s="477">
        <v>1</v>
      </c>
      <c r="I290" s="477">
        <f ca="1">IFERROR(C290*11,"")</f>
        <v>33</v>
      </c>
      <c r="J290" s="467" t="str">
        <f ca="1">IFERROR(HLOOKUP(I290,Declarations!$D$2:$S$102,$A290,FALSE),"")</f>
        <v>KENNEDY Amy</v>
      </c>
      <c r="K290" s="467" t="str">
        <f t="shared" ref="K290:K297" ca="1" si="167">IFERROR(VLOOKUP(I290,teamlookup,5,FALSE),"")</f>
        <v>York</v>
      </c>
      <c r="N290" s="478"/>
      <c r="P290" s="468">
        <f ca="1">IFERROR(IF(OR(D290=0,D290="-",D290="",D290=" ",D290=" ",D290="Athlete"),"",IF($A296&gt;0,VLOOKUP(D290,female_reg,3,FALSE)-C290*10,VLOOKUP(D290,male_reg,3,FALSE)-C290*10)),2)</f>
        <v>1</v>
      </c>
      <c r="Q290" s="468">
        <f ca="1">IFERROR(IF(OR(J290=0,J290="-",J290=" ",J290="",J290=" ",J290="Athlete"),"",IF($A296&gt;0,VLOOKUP(J290,female_reg,3,FALSE)-C290*10,VLOOKUP(J290,male_reg,3,FALSE)-C290*10)),2)</f>
        <v>0</v>
      </c>
      <c r="T290" s="468">
        <f t="shared" ca="1" si="153"/>
        <v>1</v>
      </c>
      <c r="U290" s="468">
        <f t="shared" ca="1" si="154"/>
        <v>1</v>
      </c>
      <c r="V290" s="467" t="str">
        <f t="shared" ref="V290:V297" ca="1" si="168">IFERROR(IF(OR(D290=0,D290="-",D290="",D290=" ",D290=" "),"X",D290&amp;E290),"X")</f>
        <v>LANGAN LottieYork</v>
      </c>
      <c r="W290" s="467" t="str">
        <f t="shared" ref="W290:W297" ca="1" si="169">IFERROR(IF(OR(J290=0,J290="-",J290="",J290=" ",J290=" "),"X",J290&amp;K290),"X")</f>
        <v>KENNEDY AmyYork</v>
      </c>
      <c r="Z290" s="467">
        <f t="shared" ca="1" si="155"/>
        <v>1</v>
      </c>
      <c r="AA290" s="467">
        <f t="shared" ca="1" si="156"/>
        <v>1</v>
      </c>
    </row>
    <row r="291" spans="1:27" x14ac:dyDescent="0.35">
      <c r="A291" s="468">
        <f>A280+1</f>
        <v>29</v>
      </c>
      <c r="B291" s="477">
        <v>2</v>
      </c>
      <c r="C291" s="477">
        <f ca="1">IFERROR(IF(B291&gt;MatchDay!$U$2+MatchDay!$D$6-1,"",VLOOKUP(A288,Timetables!$A:$DK,MatchDay!$U$4+B291-MatchDay!$D$6,FALSE)),"")</f>
        <v>1</v>
      </c>
      <c r="D291" s="467" t="str">
        <f ca="1">IFERROR(HLOOKUP(C291,Declarations!$D$2:$S$102,A290,FALSE),"")</f>
        <v>GRIFFIN Lydia</v>
      </c>
      <c r="E291" s="467" t="str">
        <f t="shared" ref="E291:E297" ca="1" si="170">IFERROR(VLOOKUP(C291,teamlookup,5,FALSE),"")</f>
        <v>C'field</v>
      </c>
      <c r="F291" s="466"/>
      <c r="G291" s="476"/>
      <c r="H291" s="477">
        <v>2</v>
      </c>
      <c r="I291" s="477">
        <f t="shared" ref="I291:I297" ca="1" si="171">IFERROR(C291*11,"")</f>
        <v>11</v>
      </c>
      <c r="J291" s="467" t="str">
        <f ca="1">IFERROR(HLOOKUP(I291,Declarations!$D$2:$S$102,$A290,FALSE),"")</f>
        <v>HELPS Macy</v>
      </c>
      <c r="K291" s="467" t="str">
        <f t="shared" ca="1" si="167"/>
        <v>C'field</v>
      </c>
      <c r="N291" s="478"/>
      <c r="P291" s="468">
        <f ca="1">IFERROR(IF(OR(D291=0,D291="-",D291="",D291=" ",D291=" ",D291="Athlete"),"",IF($A296&gt;0,VLOOKUP(D291,female_reg,3,FALSE)-C291*10,VLOOKUP(D291,male_reg,3,FALSE)-C291*10)),2)</f>
        <v>1</v>
      </c>
      <c r="Q291" s="468">
        <f ca="1">IFERROR(IF(OR(J291=0,J291="-",J291=" ",J291="",J291=" ",J291="Athlete"),"",IF($A296&gt;0,VLOOKUP(J291,female_reg,3,FALSE)-C291*10,VLOOKUP(J291,male_reg,3,FALSE)-C291*10)),2)</f>
        <v>1</v>
      </c>
      <c r="T291" s="468">
        <f t="shared" ca="1" si="153"/>
        <v>2</v>
      </c>
      <c r="U291" s="468">
        <f t="shared" ca="1" si="154"/>
        <v>2</v>
      </c>
      <c r="V291" s="467" t="str">
        <f t="shared" ca="1" si="168"/>
        <v>GRIFFIN LydiaC'field</v>
      </c>
      <c r="W291" s="467" t="str">
        <f t="shared" ca="1" si="169"/>
        <v>HELPS MacyC'field</v>
      </c>
      <c r="Z291" s="467">
        <f t="shared" ca="1" si="155"/>
        <v>3</v>
      </c>
      <c r="AA291" s="467">
        <f t="shared" ca="1" si="156"/>
        <v>2</v>
      </c>
    </row>
    <row r="292" spans="1:27" x14ac:dyDescent="0.35">
      <c r="A292" s="118">
        <f ca="1">IFERROR(VLOOKUP(A288,standards,3,FALSE)+0.01,"-")</f>
        <v>3.57</v>
      </c>
      <c r="B292" s="477">
        <v>3</v>
      </c>
      <c r="C292" s="477">
        <f ca="1">IFERROR(IF(B292&gt;MatchDay!$U$2+MatchDay!$D$6-1,"",VLOOKUP(A288,Timetables!$A:$DK,MatchDay!$U$4+B292-MatchDay!$D$6,FALSE)),"")</f>
        <v>4</v>
      </c>
      <c r="D292" s="467" t="str">
        <f ca="1">IFERROR(HLOOKUP(C292,Declarations!$D$2:$S$102,A290,FALSE),"")</f>
        <v>PETTIT Grace</v>
      </c>
      <c r="E292" s="467" t="str">
        <f t="shared" ca="1" si="170"/>
        <v>M'bro</v>
      </c>
      <c r="F292" s="466"/>
      <c r="G292" s="476"/>
      <c r="H292" s="477">
        <v>3</v>
      </c>
      <c r="I292" s="477">
        <f t="shared" ca="1" si="171"/>
        <v>44</v>
      </c>
      <c r="J292" s="467" t="str">
        <f ca="1">IFERROR(HLOOKUP(I292,Declarations!$D$2:$S$102,$A290,FALSE),"")</f>
        <v>-</v>
      </c>
      <c r="K292" s="467" t="str">
        <f t="shared" ca="1" si="167"/>
        <v>M'bro</v>
      </c>
      <c r="N292" s="478"/>
      <c r="P292" s="468">
        <f ca="1">IFERROR(IF(OR(D292=0,D292="-",D292="",D292=" ",D292=" ",D292="Athlete"),"",IF($A296&gt;0,VLOOKUP(D292,female_reg,3,FALSE)-C292*10,VLOOKUP(D292,male_reg,3,FALSE)-C292*10)),2)</f>
        <v>1</v>
      </c>
      <c r="Q292" s="468" t="str">
        <f ca="1">IFERROR(IF(OR(J292=0,J292="-",J292=" ",J292="",J292=" ",J292="Athlete"),"",IF($A296&gt;0,VLOOKUP(J292,female_reg,3,FALSE)-C292*10,VLOOKUP(J292,male_reg,3,FALSE)-C292*10)),2)</f>
        <v/>
      </c>
      <c r="T292" s="468">
        <f t="shared" ca="1" si="153"/>
        <v>1</v>
      </c>
      <c r="U292" s="468">
        <f t="shared" ca="1" si="154"/>
        <v>0</v>
      </c>
      <c r="V292" s="467" t="str">
        <f t="shared" ca="1" si="168"/>
        <v>PETTIT GraceM'bro</v>
      </c>
      <c r="W292" s="467" t="str">
        <f t="shared" ca="1" si="169"/>
        <v>X</v>
      </c>
      <c r="Z292" s="467">
        <f t="shared" ca="1" si="155"/>
        <v>1</v>
      </c>
      <c r="AA292" s="467">
        <f t="shared" ca="1" si="156"/>
        <v>0</v>
      </c>
    </row>
    <row r="293" spans="1:27" x14ac:dyDescent="0.35">
      <c r="A293" s="118">
        <f ca="1">IFERROR(VLOOKUP(A288,standards,4,FALSE)+0.01,"-")</f>
        <v>4.01</v>
      </c>
      <c r="B293" s="477">
        <v>4</v>
      </c>
      <c r="C293" s="477">
        <f ca="1">IFERROR(IF(B293&gt;MatchDay!$U$2+MatchDay!$D$6-1,"",VLOOKUP(A288,Timetables!$A:$DK,MatchDay!$U$4+B293-MatchDay!$D$6,FALSE)),"")</f>
        <v>2</v>
      </c>
      <c r="D293" s="467">
        <f ca="1">IFERROR(HLOOKUP(C293,Declarations!$D$2:$S$102,A290,FALSE),"")</f>
        <v>0</v>
      </c>
      <c r="E293" s="467" t="str">
        <f t="shared" ca="1" si="170"/>
        <v>Sheff+D</v>
      </c>
      <c r="F293" s="466"/>
      <c r="G293" s="476"/>
      <c r="H293" s="477">
        <v>4</v>
      </c>
      <c r="I293" s="477">
        <f t="shared" ca="1" si="171"/>
        <v>22</v>
      </c>
      <c r="J293" s="467">
        <f ca="1">IFERROR(HLOOKUP(I293,Declarations!$D$2:$S$102,$A290,FALSE),"")</f>
        <v>0</v>
      </c>
      <c r="K293" s="467" t="str">
        <f t="shared" ca="1" si="167"/>
        <v>Sheff+D</v>
      </c>
      <c r="N293" s="478"/>
      <c r="P293" s="468" t="str">
        <f ca="1">IFERROR(IF(OR(D293=0,D293="-",D293="",D293=" ",D293=" ",D293="Athlete"),"",IF($A296&gt;0,VLOOKUP(D293,female_reg,3,FALSE)-C293*10,VLOOKUP(D293,male_reg,3,FALSE)-C293*10)),2)</f>
        <v/>
      </c>
      <c r="Q293" s="468" t="str">
        <f ca="1">IFERROR(IF(OR(J293=0,J293="-",J293=" ",J293="",J293=" ",J293="Athlete"),"",IF($A296&gt;0,VLOOKUP(J293,female_reg,3,FALSE)-C293*10,VLOOKUP(J293,male_reg,3,FALSE)-C293*10)),2)</f>
        <v/>
      </c>
      <c r="T293" s="468">
        <f t="shared" ca="1" si="153"/>
        <v>0</v>
      </c>
      <c r="U293" s="468">
        <f t="shared" ca="1" si="154"/>
        <v>0</v>
      </c>
      <c r="V293" s="467" t="str">
        <f t="shared" ca="1" si="168"/>
        <v>X</v>
      </c>
      <c r="W293" s="467" t="str">
        <f t="shared" ca="1" si="169"/>
        <v>X</v>
      </c>
      <c r="Z293" s="467">
        <f t="shared" ca="1" si="155"/>
        <v>0</v>
      </c>
      <c r="AA293" s="467">
        <f t="shared" ca="1" si="156"/>
        <v>0</v>
      </c>
    </row>
    <row r="294" spans="1:27" x14ac:dyDescent="0.35">
      <c r="A294" s="118">
        <f ca="1">IFERROR(VLOOKUP(A288,standards,5,FALSE)+0.01,"-")</f>
        <v>4.0599999999999996</v>
      </c>
      <c r="B294" s="477">
        <v>5</v>
      </c>
      <c r="C294" s="477">
        <f ca="1">IFERROR(IF(B294&gt;MatchDay!$U$2+MatchDay!$D$6-1,"",VLOOKUP(A288,Timetables!$A:$DK,MatchDay!$U$4+B294-MatchDay!$D$6,FALSE)),"")</f>
        <v>5</v>
      </c>
      <c r="D294" s="467" t="str">
        <f ca="1">IFERROR(HLOOKUP(C294,Declarations!$D$2:$S$102,A290,FALSE),"")</f>
        <v>CRESSEY Evie</v>
      </c>
      <c r="E294" s="467" t="str">
        <f t="shared" ca="1" si="170"/>
        <v>Scun</v>
      </c>
      <c r="F294" s="466"/>
      <c r="G294" s="476"/>
      <c r="H294" s="477">
        <v>5</v>
      </c>
      <c r="I294" s="477">
        <f t="shared" ca="1" si="171"/>
        <v>55</v>
      </c>
      <c r="J294" s="467">
        <f ca="1">IFERROR(HLOOKUP(I294,Declarations!$D$2:$S$102,$A290,FALSE),"")</f>
        <v>0</v>
      </c>
      <c r="K294" s="467" t="str">
        <f t="shared" ca="1" si="167"/>
        <v>Scun</v>
      </c>
      <c r="N294" s="478"/>
      <c r="P294" s="468">
        <f ca="1">IFERROR(IF(OR(D294=0,D294="-",D294="",D294=" ",D294=" ",D294="Athlete"),"",IF($A296&gt;0,VLOOKUP(D294,female_reg,3,FALSE)-C294*10,VLOOKUP(D294,male_reg,3,FALSE)-C294*10)),2)</f>
        <v>1</v>
      </c>
      <c r="Q294" s="468" t="str">
        <f ca="1">IFERROR(IF(OR(J294=0,J294="-",J294=" ",J294="",J294=" ",J294="Athlete"),"",IF($A296&gt;0,VLOOKUP(J294,female_reg,3,FALSE)-C294*10,VLOOKUP(J294,male_reg,3,FALSE)-C294*10)),2)</f>
        <v/>
      </c>
      <c r="T294" s="468">
        <f t="shared" ca="1" si="153"/>
        <v>2</v>
      </c>
      <c r="U294" s="468">
        <f t="shared" ca="1" si="154"/>
        <v>0</v>
      </c>
      <c r="V294" s="467" t="str">
        <f t="shared" ca="1" si="168"/>
        <v>CRESSEY EvieScun</v>
      </c>
      <c r="W294" s="467" t="str">
        <f t="shared" ca="1" si="169"/>
        <v>X</v>
      </c>
      <c r="Z294" s="467">
        <f t="shared" ca="1" si="155"/>
        <v>2</v>
      </c>
      <c r="AA294" s="467">
        <f t="shared" ca="1" si="156"/>
        <v>0</v>
      </c>
    </row>
    <row r="295" spans="1:27" x14ac:dyDescent="0.35">
      <c r="A295" s="118">
        <f ca="1">IFERROR(VLOOKUP(A288,standards,6,FALSE)+0.01,"-")</f>
        <v>4.1449999999999996</v>
      </c>
      <c r="B295" s="477">
        <v>6</v>
      </c>
      <c r="C295" s="477" t="str">
        <f>IFERROR(IF(B295&gt;MatchDay!$U$2+MatchDay!$D$6-1,"",VLOOKUP(A288,Timetables!$A:$DK,MatchDay!$U$4+B295-MatchDay!$D$6,FALSE)),"")</f>
        <v/>
      </c>
      <c r="D295" s="467" t="str">
        <f>IFERROR(HLOOKUP(C295,Declarations!$D$2:$S$102,A290,FALSE),"")</f>
        <v/>
      </c>
      <c r="E295" s="467" t="str">
        <f t="shared" si="170"/>
        <v/>
      </c>
      <c r="F295" s="466"/>
      <c r="G295" s="476"/>
      <c r="H295" s="477">
        <v>6</v>
      </c>
      <c r="I295" s="477" t="str">
        <f t="shared" si="171"/>
        <v/>
      </c>
      <c r="J295" s="467" t="str">
        <f>IFERROR(HLOOKUP(I295,Declarations!$D$2:$S$102,$A290,FALSE),"")</f>
        <v/>
      </c>
      <c r="K295" s="467" t="str">
        <f t="shared" si="167"/>
        <v/>
      </c>
      <c r="N295" s="478"/>
      <c r="P295" s="468" t="str">
        <f>IFERROR(IF(OR(D295=0,D295="-",D295="",D295=" ",D295=" ",D295="Athlete"),"",IF($A296&gt;0,VLOOKUP(D295,female_reg,3,FALSE)-C295*10,VLOOKUP(D295,male_reg,3,FALSE)-C295*10)),2)</f>
        <v/>
      </c>
      <c r="Q295" s="468" t="str">
        <f>IFERROR(IF(OR(J295=0,J295="-",J295=" ",J295="",J295=" ",J295="Athlete"),"",IF($A296&gt;0,VLOOKUP(J295,female_reg,3,FALSE)-C295*10,VLOOKUP(J295,male_reg,3,FALSE)-C295*10)),2)</f>
        <v/>
      </c>
      <c r="T295" s="468">
        <f t="shared" si="153"/>
        <v>0</v>
      </c>
      <c r="U295" s="468">
        <f t="shared" si="154"/>
        <v>0</v>
      </c>
      <c r="V295" s="467" t="str">
        <f t="shared" si="168"/>
        <v>X</v>
      </c>
      <c r="W295" s="467" t="str">
        <f t="shared" si="169"/>
        <v>X</v>
      </c>
      <c r="Z295" s="467">
        <f t="shared" si="155"/>
        <v>0</v>
      </c>
      <c r="AA295" s="467">
        <f t="shared" si="156"/>
        <v>0</v>
      </c>
    </row>
    <row r="296" spans="1:27" x14ac:dyDescent="0.35">
      <c r="A296" s="479">
        <f ca="1">IFERROR(SEARCH("Girls",B288),0)</f>
        <v>11</v>
      </c>
      <c r="B296" s="477">
        <v>7</v>
      </c>
      <c r="C296" s="477" t="str">
        <f>IFERROR(IF(B296&gt;MatchDay!$U$2+MatchDay!$D$6-1,"",VLOOKUP(A288,Timetables!$A:$DK,MatchDay!$U$4+B296-MatchDay!$D$6,FALSE)),"")</f>
        <v/>
      </c>
      <c r="D296" s="467" t="str">
        <f>IFERROR(HLOOKUP(C296,Declarations!$D$2:$S$102,A290,FALSE),"")</f>
        <v/>
      </c>
      <c r="E296" s="467" t="str">
        <f t="shared" si="170"/>
        <v/>
      </c>
      <c r="F296" s="466"/>
      <c r="G296" s="476"/>
      <c r="H296" s="477">
        <v>7</v>
      </c>
      <c r="I296" s="477" t="str">
        <f t="shared" si="171"/>
        <v/>
      </c>
      <c r="J296" s="467" t="str">
        <f>IFERROR(HLOOKUP(I296,Declarations!$D$2:$S$102,$A290,FALSE),"")</f>
        <v/>
      </c>
      <c r="K296" s="467" t="str">
        <f t="shared" si="167"/>
        <v/>
      </c>
      <c r="N296" s="478"/>
      <c r="P296" s="468" t="str">
        <f>IFERROR(IF(OR(D296=0,D296="-",D296="",D296=" ",D296=" ",D296="Athlete"),"",IF($A296&gt;0,VLOOKUP(D296,female_reg,3,FALSE)-C296*10,VLOOKUP(D296,male_reg,3,FALSE)-C296*10)),2)</f>
        <v/>
      </c>
      <c r="Q296" s="468" t="str">
        <f>IFERROR(IF(OR(J296=0,J296="-",J296=" ",J296="",J296=" ",J296="Athlete"),"",IF($A296&gt;0,VLOOKUP(J296,female_reg,3,FALSE)-C296*10,VLOOKUP(J296,male_reg,3,FALSE)-C296*10)),2)</f>
        <v/>
      </c>
      <c r="T296" s="468">
        <f t="shared" si="153"/>
        <v>0</v>
      </c>
      <c r="U296" s="468">
        <f t="shared" si="154"/>
        <v>0</v>
      </c>
      <c r="V296" s="467" t="str">
        <f t="shared" si="168"/>
        <v>X</v>
      </c>
      <c r="W296" s="467" t="str">
        <f t="shared" si="169"/>
        <v>X</v>
      </c>
      <c r="Z296" s="467">
        <f t="shared" si="155"/>
        <v>0</v>
      </c>
      <c r="AA296" s="467">
        <f t="shared" si="156"/>
        <v>0</v>
      </c>
    </row>
    <row r="297" spans="1:27" x14ac:dyDescent="0.35">
      <c r="A297" s="116">
        <f ca="1">IFERROR(VLOOKUP(A288,records,5,FALSE),"")</f>
        <v>2.5833333333333337E-3</v>
      </c>
      <c r="B297" s="477">
        <v>8</v>
      </c>
      <c r="C297" s="477" t="str">
        <f>IFERROR(IF(B297&gt;MatchDay!$U$2+MatchDay!$D$6-1,"",VLOOKUP(A288,Timetables!$A:$DK,MatchDay!$U$4+B297-MatchDay!$D$6,FALSE)),"")</f>
        <v/>
      </c>
      <c r="D297" s="467" t="str">
        <f>IFERROR(HLOOKUP(C297,Declarations!$D$2:$S$102,A290,FALSE),"")</f>
        <v/>
      </c>
      <c r="E297" s="467" t="str">
        <f t="shared" si="170"/>
        <v/>
      </c>
      <c r="F297" s="466"/>
      <c r="G297" s="476"/>
      <c r="H297" s="477">
        <v>8</v>
      </c>
      <c r="I297" s="477" t="str">
        <f t="shared" si="171"/>
        <v/>
      </c>
      <c r="J297" s="467" t="str">
        <f>IFERROR(HLOOKUP(I297,Declarations!$D$2:$S$102,$A290,FALSE),"")</f>
        <v/>
      </c>
      <c r="K297" s="467" t="str">
        <f t="shared" si="167"/>
        <v/>
      </c>
      <c r="N297" s="478"/>
      <c r="P297" s="468" t="str">
        <f>IFERROR(IF(OR(D297=0,D297="-",D297="",D297=" ",D297=" ",D297="Athlete"),"",IF($A296&gt;0,VLOOKUP(D297,female_reg,3,FALSE)-C297*10,VLOOKUP(D297,male_reg,3,FALSE)-C297*10)),2)</f>
        <v/>
      </c>
      <c r="Q297" s="468" t="str">
        <f>IFERROR(IF(OR(J297=0,J297="-",J297=" ",J297="",J297=" ",J297="Athlete"),"",IF($A296&gt;0,VLOOKUP(J297,female_reg,3,FALSE)-C297*10,VLOOKUP(J297,male_reg,3,FALSE)-C297*10)),2)</f>
        <v/>
      </c>
      <c r="T297" s="468">
        <f t="shared" si="153"/>
        <v>0</v>
      </c>
      <c r="U297" s="468">
        <f t="shared" si="154"/>
        <v>0</v>
      </c>
      <c r="V297" s="467" t="str">
        <f t="shared" si="168"/>
        <v>X</v>
      </c>
      <c r="W297" s="467" t="str">
        <f t="shared" si="169"/>
        <v>X</v>
      </c>
      <c r="Z297" s="467">
        <f t="shared" si="155"/>
        <v>0</v>
      </c>
      <c r="AA297" s="467">
        <f t="shared" si="156"/>
        <v>0</v>
      </c>
    </row>
    <row r="298" spans="1:27" x14ac:dyDescent="0.35">
      <c r="P298" s="468" t="str">
        <f>IFERROR(IF(OR(D298=0,D298="-",D298="",D298=" ",D298=" ",D298="Athlete"),"",IF($A296&gt;0,VLOOKUP(D298,female_reg,3,FALSE)-C298*10,VLOOKUP(D298,male_reg,3,FALSE)-C298*10)),"X")</f>
        <v/>
      </c>
      <c r="Q298" s="468" t="str">
        <f>IFERROR(IF(OR(J298=0,J298="-",J298=" ",J298="",J298=" ",J298="Athlete"),"",IF($A296&gt;0,VLOOKUP(J298,female_reg,3,FALSE)-C298*10,VLOOKUP(J298,male_reg,3,FALSE)-C298*10)),"X")</f>
        <v/>
      </c>
      <c r="T298" s="468">
        <f t="shared" ca="1" si="153"/>
        <v>0</v>
      </c>
      <c r="U298" s="468">
        <f t="shared" ca="1" si="154"/>
        <v>0</v>
      </c>
      <c r="Z298" s="467">
        <f t="shared" ca="1" si="155"/>
        <v>0</v>
      </c>
      <c r="AA298" s="467">
        <f t="shared" ca="1" si="156"/>
        <v>0</v>
      </c>
    </row>
    <row r="299" spans="1:27" x14ac:dyDescent="0.35">
      <c r="A299" s="111" t="str">
        <f ca="1">IFERROR(INDIRECT(CONCATENATE("'Timetables'!A"&amp;A302)),"")</f>
        <v>LTD02</v>
      </c>
      <c r="B299" s="469" t="str">
        <f ca="1">IFERROR(VLOOKUP(A299,timetables,2,FALSE)&amp;" "&amp;VLOOKUP(A299,timetables,3,FALSE)&amp;" A","")</f>
        <v>1500m U13 Boys A</v>
      </c>
      <c r="C299" s="469"/>
      <c r="E299" s="470" t="str">
        <f ca="1">"Starts "&amp;TEXT(VLOOKUP(A299,timetables,7-MatchDay!$U$7,FALSE),"hh:mm")</f>
        <v>Starts 15:30</v>
      </c>
      <c r="F299" s="471"/>
      <c r="H299" s="472" t="str">
        <f ca="1">IFERROR("Rec: "&amp;TEXT(VLOOKUP(A299,records,5,FALSE),"mm:ss.00")&amp;", "&amp;VLOOKUP(A299,records,3,FALSE)&amp;", "&amp;VLOOKUP(A299,records,4,FALSE)&amp;", "&amp;VLOOKUP(A299,records,8,FALSE),"")</f>
        <v>Rec: 04:28.60, Jaden Kennedy, Herne Hill Harriers, 2016</v>
      </c>
      <c r="K299" s="473"/>
      <c r="L299" s="480"/>
      <c r="M299" s="467"/>
      <c r="P299" s="468" t="str">
        <f>IFERROR(IF(OR(D299=0,D299="-",D299="",D299=" ",D299=" ",D299="Athlete"),"",IF($A307&gt;0,VLOOKUP(D299,female_reg,3,FALSE)-C299*10,VLOOKUP(D299,male_reg,3,FALSE)-C299*10)),"X")</f>
        <v/>
      </c>
      <c r="Q299" s="468" t="str">
        <f>IFERROR(IF(OR(J299=0,J299="-",J299=" ",J299="",J299=" ",J299="Athlete"),"",IF($A307&gt;0,VLOOKUP(J299,female_reg,3,FALSE)-C299*10,VLOOKUP(J299,male_reg,3,FALSE)-C299*10)),"X")</f>
        <v/>
      </c>
      <c r="T299" s="468">
        <f t="shared" ca="1" si="153"/>
        <v>0</v>
      </c>
      <c r="U299" s="468">
        <f t="shared" ca="1" si="154"/>
        <v>0</v>
      </c>
      <c r="Z299" s="467">
        <f t="shared" ca="1" si="155"/>
        <v>0</v>
      </c>
      <c r="AA299" s="467">
        <f t="shared" ca="1" si="156"/>
        <v>0</v>
      </c>
    </row>
    <row r="300" spans="1:27" x14ac:dyDescent="0.35">
      <c r="A300" s="85" t="str">
        <f ca="1">MID(A299,2,3)</f>
        <v>TD0</v>
      </c>
      <c r="B300" s="9" t="s">
        <v>786</v>
      </c>
      <c r="C300" s="9" t="s">
        <v>183</v>
      </c>
      <c r="D300" s="46" t="s">
        <v>227</v>
      </c>
      <c r="E300" s="46" t="s">
        <v>228</v>
      </c>
      <c r="F300" s="475"/>
      <c r="G300" s="46"/>
      <c r="H300" s="9" t="s">
        <v>786</v>
      </c>
      <c r="I300" s="9" t="s">
        <v>183</v>
      </c>
      <c r="J300" s="46" t="s">
        <v>227</v>
      </c>
      <c r="K300" s="46" t="s">
        <v>228</v>
      </c>
      <c r="L300" s="475"/>
      <c r="M300" s="475"/>
      <c r="N300" s="52"/>
      <c r="P300" s="468" t="str">
        <f>IFERROR(IF(OR(D300=0,D300="-",D300="",D300=" ",D300=" ",D300="Athlete"),"",IF($A307&gt;0,VLOOKUP(D300,female_reg,3,FALSE)-C300*10,VLOOKUP(D300,male_reg,3,FALSE)-C300*10)),"X")</f>
        <v/>
      </c>
      <c r="Q300" s="468" t="str">
        <f>IFERROR(IF(OR(J300=0,J300="-",J300=" ",J300="",J300=" ",J300="Athlete"),"",IF($A307&gt;0,VLOOKUP(J300,female_reg,3,FALSE)-C300*10,VLOOKUP(J300,male_reg,3,FALSE)-C300*10)),"X")</f>
        <v/>
      </c>
      <c r="T300" s="468">
        <f t="shared" ca="1" si="153"/>
        <v>0</v>
      </c>
      <c r="U300" s="468">
        <f t="shared" ca="1" si="154"/>
        <v>0</v>
      </c>
      <c r="Z300" s="467">
        <f t="shared" ca="1" si="155"/>
        <v>0</v>
      </c>
      <c r="AA300" s="467">
        <f t="shared" ca="1" si="156"/>
        <v>0</v>
      </c>
    </row>
    <row r="301" spans="1:27" x14ac:dyDescent="0.35">
      <c r="A301" s="181">
        <f ca="1">IFERROR(VLOOKUP(A299,Timetables!$A:$E,5,FALSE)-1,"")</f>
        <v>84</v>
      </c>
      <c r="B301" s="477">
        <v>1</v>
      </c>
      <c r="C301" s="477">
        <f ca="1">IFERROR(IF(B301&gt;MatchDay!$U$2,"",IF(MatchDay!$D$6=2,"",VLOOKUP(A299,Timetables!$A:$DK,MatchDay!$U$4+B301-MatchDay!$D$6,FALSE))),"")</f>
        <v>3</v>
      </c>
      <c r="D301" s="467" t="str">
        <f ca="1">IFERROR(HLOOKUP(C301,Declarations!$D$2:$S$102,A301,FALSE),"")</f>
        <v>CHALK William</v>
      </c>
      <c r="E301" s="467" t="str">
        <f ca="1">IFERROR(VLOOKUP(C301,teamlookup,5,FALSE),"")</f>
        <v>York</v>
      </c>
      <c r="F301" s="466"/>
      <c r="G301" s="476"/>
      <c r="H301" s="477">
        <v>1</v>
      </c>
      <c r="I301" s="477">
        <f ca="1">IFERROR(C301*11,"")</f>
        <v>33</v>
      </c>
      <c r="J301" s="467" t="str">
        <f ca="1">IFERROR(HLOOKUP(I301,Declarations!$D$2:$S$102,$A301,FALSE),"")</f>
        <v>WATSON Miles</v>
      </c>
      <c r="K301" s="467" t="str">
        <f t="shared" ref="K301:K308" ca="1" si="172">IFERROR(VLOOKUP(I301,teamlookup,5,FALSE),"")</f>
        <v>York</v>
      </c>
      <c r="N301" s="478"/>
      <c r="P301" s="468">
        <f ca="1">IFERROR(IF(OR(D301=0,D301="-",D301="",D301=" ",D301=" ",D301="Athlete"),"",IF($A307&gt;0,VLOOKUP(D301,female_reg,3,FALSE)-C301*10,VLOOKUP(D301,male_reg,3,FALSE)-C301*10)),2)</f>
        <v>1</v>
      </c>
      <c r="Q301" s="468">
        <f ca="1">IFERROR(IF(OR(J301=0,J301="-",J301=" ",J301="",J301=" ",J301="Athlete"),"",IF($A307&gt;0,VLOOKUP(J301,female_reg,3,FALSE)-C301*10,VLOOKUP(J301,male_reg,3,FALSE)-C301*10)),2)</f>
        <v>0</v>
      </c>
      <c r="T301" s="468">
        <f t="shared" ca="1" si="153"/>
        <v>1</v>
      </c>
      <c r="U301" s="468">
        <f t="shared" ca="1" si="154"/>
        <v>2</v>
      </c>
      <c r="V301" s="467" t="str">
        <f t="shared" ref="V301:V308" ca="1" si="173">IFERROR(IF(OR(D301=0,D301="-",D301="",D301=" ",D301=" "),"X",D301&amp;E301),"X")</f>
        <v>CHALK WilliamYork</v>
      </c>
      <c r="W301" s="467" t="str">
        <f t="shared" ref="W301:W308" ca="1" si="174">IFERROR(IF(OR(J301=0,J301="-",J301="",J301=" ",J301=" "),"X",J301&amp;K301),"X")</f>
        <v>WATSON MilesYork</v>
      </c>
      <c r="Z301" s="467">
        <f t="shared" ca="1" si="155"/>
        <v>1</v>
      </c>
      <c r="AA301" s="467">
        <f t="shared" ca="1" si="156"/>
        <v>2</v>
      </c>
    </row>
    <row r="302" spans="1:27" x14ac:dyDescent="0.35">
      <c r="A302" s="468">
        <f>A291+1</f>
        <v>30</v>
      </c>
      <c r="B302" s="477">
        <v>2</v>
      </c>
      <c r="C302" s="477">
        <f ca="1">IFERROR(IF(B302&gt;MatchDay!$U$2+MatchDay!$D$6-1,"",VLOOKUP(A299,Timetables!$A:$DK,MatchDay!$U$4+B302-MatchDay!$D$6,FALSE)),"")</f>
        <v>1</v>
      </c>
      <c r="D302" s="467">
        <f ca="1">IFERROR(HLOOKUP(C302,Declarations!$D$2:$S$102,A301,FALSE),"")</f>
        <v>0</v>
      </c>
      <c r="E302" s="467" t="str">
        <f t="shared" ref="E302:E308" ca="1" si="175">IFERROR(VLOOKUP(C302,teamlookup,5,FALSE),"")</f>
        <v>C'field</v>
      </c>
      <c r="F302" s="466"/>
      <c r="G302" s="476"/>
      <c r="H302" s="477">
        <v>2</v>
      </c>
      <c r="I302" s="477">
        <f t="shared" ref="I302:I308" ca="1" si="176">IFERROR(C302*11,"")</f>
        <v>11</v>
      </c>
      <c r="J302" s="467">
        <f ca="1">IFERROR(HLOOKUP(I302,Declarations!$D$2:$S$102,$A301,FALSE),"")</f>
        <v>0</v>
      </c>
      <c r="K302" s="467" t="str">
        <f t="shared" ca="1" si="172"/>
        <v>C'field</v>
      </c>
      <c r="N302" s="478"/>
      <c r="P302" s="468" t="str">
        <f ca="1">IFERROR(IF(OR(D302=0,D302="-",D302="",D302=" ",D302=" ",D302="Athlete"),"",IF($A307&gt;0,VLOOKUP(D302,female_reg,3,FALSE)-C302*10,VLOOKUP(D302,male_reg,3,FALSE)-C302*10)),2)</f>
        <v/>
      </c>
      <c r="Q302" s="468" t="str">
        <f ca="1">IFERROR(IF(OR(J302=0,J302="-",J302=" ",J302="",J302=" ",J302="Athlete"),"",IF($A307&gt;0,VLOOKUP(J302,female_reg,3,FALSE)-C302*10,VLOOKUP(J302,male_reg,3,FALSE)-C302*10)),2)</f>
        <v/>
      </c>
      <c r="T302" s="468">
        <f t="shared" ca="1" si="153"/>
        <v>0</v>
      </c>
      <c r="U302" s="468">
        <f t="shared" ca="1" si="154"/>
        <v>0</v>
      </c>
      <c r="V302" s="467" t="str">
        <f t="shared" ca="1" si="173"/>
        <v>X</v>
      </c>
      <c r="W302" s="467" t="str">
        <f t="shared" ca="1" si="174"/>
        <v>X</v>
      </c>
      <c r="Z302" s="467">
        <f t="shared" ca="1" si="155"/>
        <v>0</v>
      </c>
      <c r="AA302" s="467">
        <f t="shared" ca="1" si="156"/>
        <v>0</v>
      </c>
    </row>
    <row r="303" spans="1:27" x14ac:dyDescent="0.35">
      <c r="A303" s="118">
        <f ca="1">IFERROR(VLOOKUP(A299,standards,3,FALSE)+0.01,"-")</f>
        <v>4.51</v>
      </c>
      <c r="B303" s="477">
        <v>3</v>
      </c>
      <c r="C303" s="477">
        <f ca="1">IFERROR(IF(B303&gt;MatchDay!$U$2+MatchDay!$D$6-1,"",VLOOKUP(A299,Timetables!$A:$DK,MatchDay!$U$4+B303-MatchDay!$D$6,FALSE)),"")</f>
        <v>4</v>
      </c>
      <c r="D303" s="467" t="str">
        <f ca="1">IFERROR(HLOOKUP(C303,Declarations!$D$2:$S$102,A301,FALSE),"")</f>
        <v>O'HARE Christy</v>
      </c>
      <c r="E303" s="467" t="str">
        <f t="shared" ca="1" si="175"/>
        <v>M'bro</v>
      </c>
      <c r="F303" s="466"/>
      <c r="G303" s="476"/>
      <c r="H303" s="477">
        <v>3</v>
      </c>
      <c r="I303" s="477">
        <f t="shared" ca="1" si="176"/>
        <v>44</v>
      </c>
      <c r="J303" s="467" t="str">
        <f ca="1">IFERROR(HLOOKUP(I303,Declarations!$D$2:$S$102,$A301,FALSE),"")</f>
        <v>MARRON Ethan</v>
      </c>
      <c r="K303" s="467" t="str">
        <f t="shared" ca="1" si="172"/>
        <v>M'bro</v>
      </c>
      <c r="N303" s="478"/>
      <c r="P303" s="468">
        <f ca="1">IFERROR(IF(OR(D303=0,D303="-",D303="",D303=" ",D303=" ",D303="Athlete"),"",IF($A307&gt;0,VLOOKUP(D303,female_reg,3,FALSE)-C303*10,VLOOKUP(D303,male_reg,3,FALSE)-C303*10)),2)</f>
        <v>1</v>
      </c>
      <c r="Q303" s="468">
        <f ca="1">IFERROR(IF(OR(J303=0,J303="-",J303=" ",J303="",J303=" ",J303="Athlete"),"",IF($A307&gt;0,VLOOKUP(J303,female_reg,3,FALSE)-C303*10,VLOOKUP(J303,male_reg,3,FALSE)-C303*10)),2)</f>
        <v>1</v>
      </c>
      <c r="T303" s="468">
        <f t="shared" ca="1" si="153"/>
        <v>1</v>
      </c>
      <c r="U303" s="468">
        <f t="shared" ca="1" si="154"/>
        <v>1</v>
      </c>
      <c r="V303" s="467" t="str">
        <f t="shared" ca="1" si="173"/>
        <v>O'HARE ChristyM'bro</v>
      </c>
      <c r="W303" s="467" t="str">
        <f t="shared" ca="1" si="174"/>
        <v>MARRON EthanM'bro</v>
      </c>
      <c r="Z303" s="467">
        <f t="shared" ca="1" si="155"/>
        <v>2</v>
      </c>
      <c r="AA303" s="467">
        <f t="shared" ca="1" si="156"/>
        <v>2</v>
      </c>
    </row>
    <row r="304" spans="1:27" x14ac:dyDescent="0.35">
      <c r="A304" s="118">
        <f ca="1">IFERROR(VLOOKUP(A299,standards,4,FALSE)+0.01,"-")</f>
        <v>4.5599999999999996</v>
      </c>
      <c r="B304" s="477">
        <v>4</v>
      </c>
      <c r="C304" s="477">
        <f ca="1">IFERROR(IF(B304&gt;MatchDay!$U$2+MatchDay!$D$6-1,"",VLOOKUP(A299,Timetables!$A:$DK,MatchDay!$U$4+B304-MatchDay!$D$6,FALSE)),"")</f>
        <v>2</v>
      </c>
      <c r="D304" s="467" t="str">
        <f ca="1">IFERROR(HLOOKUP(C304,Declarations!$D$2:$S$102,A301,FALSE),"")</f>
        <v>TAYLOR George</v>
      </c>
      <c r="E304" s="467" t="str">
        <f t="shared" ca="1" si="175"/>
        <v>Sheff+D</v>
      </c>
      <c r="F304" s="466"/>
      <c r="G304" s="476"/>
      <c r="H304" s="477">
        <v>4</v>
      </c>
      <c r="I304" s="477">
        <f t="shared" ca="1" si="176"/>
        <v>22</v>
      </c>
      <c r="J304" s="467" t="str">
        <f ca="1">IFERROR(HLOOKUP(I304,Declarations!$D$2:$S$102,$A301,FALSE),"")</f>
        <v>ENGLISH Elliott</v>
      </c>
      <c r="K304" s="467" t="str">
        <f t="shared" ca="1" si="172"/>
        <v>Sheff+D</v>
      </c>
      <c r="N304" s="478"/>
      <c r="P304" s="468">
        <f ca="1">IFERROR(IF(OR(D304=0,D304="-",D304="",D304=" ",D304=" ",D304="Athlete"),"",IF($A307&gt;0,VLOOKUP(D304,female_reg,3,FALSE)-C304*10,VLOOKUP(D304,male_reg,3,FALSE)-C304*10)),2)</f>
        <v>1</v>
      </c>
      <c r="Q304" s="468">
        <f ca="1">IFERROR(IF(OR(J304=0,J304="-",J304=" ",J304="",J304=" ",J304="Athlete"),"",IF($A307&gt;0,VLOOKUP(J304,female_reg,3,FALSE)-C304*10,VLOOKUP(J304,male_reg,3,FALSE)-C304*10)),2)</f>
        <v>0</v>
      </c>
      <c r="T304" s="468">
        <f t="shared" ca="1" si="153"/>
        <v>1</v>
      </c>
      <c r="U304" s="468">
        <f t="shared" ca="1" si="154"/>
        <v>1</v>
      </c>
      <c r="V304" s="467" t="str">
        <f t="shared" ca="1" si="173"/>
        <v>TAYLOR GeorgeSheff+D</v>
      </c>
      <c r="W304" s="467" t="str">
        <f t="shared" ca="1" si="174"/>
        <v>ENGLISH ElliottSheff+D</v>
      </c>
      <c r="Z304" s="467">
        <f t="shared" ca="1" si="155"/>
        <v>1</v>
      </c>
      <c r="AA304" s="467">
        <f t="shared" ca="1" si="156"/>
        <v>1</v>
      </c>
    </row>
    <row r="305" spans="1:27" x14ac:dyDescent="0.35">
      <c r="A305" s="118">
        <f ca="1">IFERROR(VLOOKUP(A299,standards,5,FALSE)+0.01,"-")</f>
        <v>5.04</v>
      </c>
      <c r="B305" s="477">
        <v>5</v>
      </c>
      <c r="C305" s="477">
        <f ca="1">IFERROR(IF(B305&gt;MatchDay!$U$2+MatchDay!$D$6-1,"",VLOOKUP(A299,Timetables!$A:$DK,MatchDay!$U$4+B305-MatchDay!$D$6,FALSE)),"")</f>
        <v>5</v>
      </c>
      <c r="D305" s="467" t="str">
        <f ca="1">IFERROR(HLOOKUP(C305,Declarations!$D$2:$S$102,A301,FALSE),"")</f>
        <v>OADES James</v>
      </c>
      <c r="E305" s="467" t="str">
        <f t="shared" ca="1" si="175"/>
        <v>Scun</v>
      </c>
      <c r="F305" s="466"/>
      <c r="G305" s="476"/>
      <c r="H305" s="477">
        <v>5</v>
      </c>
      <c r="I305" s="477">
        <f t="shared" ca="1" si="176"/>
        <v>55</v>
      </c>
      <c r="J305" s="467">
        <f ca="1">IFERROR(HLOOKUP(I305,Declarations!$D$2:$S$102,$A301,FALSE),"")</f>
        <v>0</v>
      </c>
      <c r="K305" s="467" t="str">
        <f t="shared" ca="1" si="172"/>
        <v>Scun</v>
      </c>
      <c r="N305" s="478"/>
      <c r="P305" s="468">
        <f ca="1">IFERROR(IF(OR(D305=0,D305="-",D305="",D305=" ",D305=" ",D305="Athlete"),"",IF($A307&gt;0,VLOOKUP(D305,female_reg,3,FALSE)-C305*10,VLOOKUP(D305,male_reg,3,FALSE)-C305*10)),2)</f>
        <v>1</v>
      </c>
      <c r="Q305" s="468" t="str">
        <f ca="1">IFERROR(IF(OR(J305=0,J305="-",J305=" ",J305="",J305=" ",J305="Athlete"),"",IF($A307&gt;0,VLOOKUP(J305,female_reg,3,FALSE)-C305*10,VLOOKUP(J305,male_reg,3,FALSE)-C305*10)),2)</f>
        <v/>
      </c>
      <c r="T305" s="468">
        <f t="shared" ca="1" si="153"/>
        <v>2</v>
      </c>
      <c r="U305" s="468">
        <f t="shared" ca="1" si="154"/>
        <v>0</v>
      </c>
      <c r="V305" s="467" t="str">
        <f t="shared" ca="1" si="173"/>
        <v>OADES JamesScun</v>
      </c>
      <c r="W305" s="467" t="str">
        <f t="shared" ca="1" si="174"/>
        <v>X</v>
      </c>
      <c r="Z305" s="467">
        <f t="shared" ca="1" si="155"/>
        <v>2</v>
      </c>
      <c r="AA305" s="467">
        <f t="shared" ca="1" si="156"/>
        <v>0</v>
      </c>
    </row>
    <row r="306" spans="1:27" x14ac:dyDescent="0.35">
      <c r="A306" s="118">
        <f ca="1">IFERROR(VLOOKUP(A299,standards,6,FALSE)+0.01,"-")</f>
        <v>5.16</v>
      </c>
      <c r="B306" s="477">
        <v>6</v>
      </c>
      <c r="C306" s="477" t="str">
        <f>IFERROR(IF(B306&gt;MatchDay!$U$2+MatchDay!$D$6-1,"",VLOOKUP(A299,Timetables!$A:$DK,MatchDay!$U$4+B306-MatchDay!$D$6,FALSE)),"")</f>
        <v/>
      </c>
      <c r="D306" s="467" t="str">
        <f>IFERROR(HLOOKUP(C306,Declarations!$D$2:$S$102,A301,FALSE),"")</f>
        <v/>
      </c>
      <c r="E306" s="467" t="str">
        <f t="shared" si="175"/>
        <v/>
      </c>
      <c r="F306" s="466"/>
      <c r="G306" s="476"/>
      <c r="H306" s="477">
        <v>6</v>
      </c>
      <c r="I306" s="477" t="str">
        <f t="shared" si="176"/>
        <v/>
      </c>
      <c r="J306" s="467" t="str">
        <f>IFERROR(HLOOKUP(I306,Declarations!$D$2:$S$102,$A301,FALSE),"")</f>
        <v/>
      </c>
      <c r="K306" s="467" t="str">
        <f t="shared" si="172"/>
        <v/>
      </c>
      <c r="N306" s="478"/>
      <c r="P306" s="468" t="str">
        <f>IFERROR(IF(OR(D306=0,D306="-",D306="",D306=" ",D306=" ",D306="Athlete"),"",IF($A307&gt;0,VLOOKUP(D306,female_reg,3,FALSE)-C306*10,VLOOKUP(D306,male_reg,3,FALSE)-C306*10)),2)</f>
        <v/>
      </c>
      <c r="Q306" s="468" t="str">
        <f>IFERROR(IF(OR(J306=0,J306="-",J306=" ",J306="",J306=" ",J306="Athlete"),"",IF($A307&gt;0,VLOOKUP(J306,female_reg,3,FALSE)-C306*10,VLOOKUP(J306,male_reg,3,FALSE)-C306*10)),2)</f>
        <v/>
      </c>
      <c r="T306" s="468">
        <f t="shared" si="153"/>
        <v>0</v>
      </c>
      <c r="U306" s="468">
        <f t="shared" si="154"/>
        <v>0</v>
      </c>
      <c r="V306" s="467" t="str">
        <f t="shared" si="173"/>
        <v>X</v>
      </c>
      <c r="W306" s="467" t="str">
        <f t="shared" si="174"/>
        <v>X</v>
      </c>
      <c r="Z306" s="467">
        <f t="shared" si="155"/>
        <v>0</v>
      </c>
      <c r="AA306" s="467">
        <f t="shared" si="156"/>
        <v>0</v>
      </c>
    </row>
    <row r="307" spans="1:27" x14ac:dyDescent="0.35">
      <c r="A307" s="479">
        <f ca="1">IFERROR(SEARCH("Girls",B299),0)</f>
        <v>0</v>
      </c>
      <c r="B307" s="477">
        <v>7</v>
      </c>
      <c r="C307" s="477" t="str">
        <f>IFERROR(IF(B307&gt;MatchDay!$U$2+MatchDay!$D$6-1,"",VLOOKUP(A299,Timetables!$A:$DK,MatchDay!$U$4+B307-MatchDay!$D$6,FALSE)),"")</f>
        <v/>
      </c>
      <c r="D307" s="467" t="str">
        <f>IFERROR(HLOOKUP(C307,Declarations!$D$2:$S$102,A301,FALSE),"")</f>
        <v/>
      </c>
      <c r="E307" s="467" t="str">
        <f t="shared" si="175"/>
        <v/>
      </c>
      <c r="F307" s="466"/>
      <c r="G307" s="476"/>
      <c r="H307" s="477">
        <v>7</v>
      </c>
      <c r="I307" s="477" t="str">
        <f t="shared" si="176"/>
        <v/>
      </c>
      <c r="J307" s="467" t="str">
        <f>IFERROR(HLOOKUP(I307,Declarations!$D$2:$S$102,$A301,FALSE),"")</f>
        <v/>
      </c>
      <c r="K307" s="467" t="str">
        <f t="shared" si="172"/>
        <v/>
      </c>
      <c r="N307" s="478"/>
      <c r="P307" s="468" t="str">
        <f>IFERROR(IF(OR(D307=0,D307="-",D307="",D307=" ",D307=" ",D307="Athlete"),"",IF($A307&gt;0,VLOOKUP(D307,female_reg,3,FALSE)-C307*10,VLOOKUP(D307,male_reg,3,FALSE)-C307*10)),2)</f>
        <v/>
      </c>
      <c r="Q307" s="468" t="str">
        <f>IFERROR(IF(OR(J307=0,J307="-",J307=" ",J307="",J307=" ",J307="Athlete"),"",IF($A307&gt;0,VLOOKUP(J307,female_reg,3,FALSE)-C307*10,VLOOKUP(J307,male_reg,3,FALSE)-C307*10)),2)</f>
        <v/>
      </c>
      <c r="T307" s="468">
        <f t="shared" si="153"/>
        <v>0</v>
      </c>
      <c r="U307" s="468">
        <f t="shared" si="154"/>
        <v>0</v>
      </c>
      <c r="V307" s="467" t="str">
        <f t="shared" si="173"/>
        <v>X</v>
      </c>
      <c r="W307" s="467" t="str">
        <f t="shared" si="174"/>
        <v>X</v>
      </c>
      <c r="Z307" s="467">
        <f t="shared" si="155"/>
        <v>0</v>
      </c>
      <c r="AA307" s="467">
        <f t="shared" si="156"/>
        <v>0</v>
      </c>
    </row>
    <row r="308" spans="1:27" x14ac:dyDescent="0.35">
      <c r="A308" s="116">
        <f ca="1">IFERROR(VLOOKUP(A299,records,5,FALSE),"")</f>
        <v>3.1087962962962966E-3</v>
      </c>
      <c r="B308" s="477">
        <v>8</v>
      </c>
      <c r="C308" s="477" t="str">
        <f>IFERROR(IF(B308&gt;MatchDay!$U$2+MatchDay!$D$6-1,"",VLOOKUP(A299,Timetables!$A:$DK,MatchDay!$U$4+B308-MatchDay!$D$6,FALSE)),"")</f>
        <v/>
      </c>
      <c r="D308" s="467" t="str">
        <f>IFERROR(HLOOKUP(C308,Declarations!$D$2:$S$102,A301,FALSE),"")</f>
        <v/>
      </c>
      <c r="E308" s="467" t="str">
        <f t="shared" si="175"/>
        <v/>
      </c>
      <c r="F308" s="466"/>
      <c r="G308" s="476"/>
      <c r="H308" s="477">
        <v>8</v>
      </c>
      <c r="I308" s="477" t="str">
        <f t="shared" si="176"/>
        <v/>
      </c>
      <c r="J308" s="467" t="str">
        <f>IFERROR(HLOOKUP(I308,Declarations!$D$2:$S$102,$A301,FALSE),"")</f>
        <v/>
      </c>
      <c r="K308" s="467" t="str">
        <f t="shared" si="172"/>
        <v/>
      </c>
      <c r="N308" s="478"/>
      <c r="P308" s="468" t="str">
        <f>IFERROR(IF(OR(D308=0,D308="-",D308="",D308=" ",D308=" ",D308="Athlete"),"",IF($A307&gt;0,VLOOKUP(D308,female_reg,3,FALSE)-C308*10,VLOOKUP(D308,male_reg,3,FALSE)-C308*10)),2)</f>
        <v/>
      </c>
      <c r="Q308" s="468" t="str">
        <f>IFERROR(IF(OR(J308=0,J308="-",J308=" ",J308="",J308=" ",J308="Athlete"),"",IF($A307&gt;0,VLOOKUP(J308,female_reg,3,FALSE)-C308*10,VLOOKUP(J308,male_reg,3,FALSE)-C308*10)),2)</f>
        <v/>
      </c>
      <c r="T308" s="468">
        <f t="shared" si="153"/>
        <v>0</v>
      </c>
      <c r="U308" s="468">
        <f t="shared" si="154"/>
        <v>0</v>
      </c>
      <c r="V308" s="467" t="str">
        <f t="shared" si="173"/>
        <v>X</v>
      </c>
      <c r="W308" s="467" t="str">
        <f t="shared" si="174"/>
        <v>X</v>
      </c>
      <c r="Z308" s="467">
        <f t="shared" si="155"/>
        <v>0</v>
      </c>
      <c r="AA308" s="467">
        <f t="shared" si="156"/>
        <v>0</v>
      </c>
    </row>
    <row r="309" spans="1:27" x14ac:dyDescent="0.35">
      <c r="P309" s="468" t="str">
        <f>IFERROR(IF(OR(D309=0,D309="-",D309="",D309=" ",D309=" ",D309="Athlete"),"",IF($A307&gt;0,VLOOKUP(D309,female_reg,3,FALSE)-C309*10,VLOOKUP(D309,male_reg,3,FALSE)-C309*10)),"X")</f>
        <v/>
      </c>
      <c r="Q309" s="468" t="str">
        <f>IFERROR(IF(OR(J309=0,J309="-",J309=" ",J309="",J309=" ",J309="Athlete"),"",IF($A307&gt;0,VLOOKUP(J309,female_reg,3,FALSE)-C309*10,VLOOKUP(J309,male_reg,3,FALSE)-C309*10)),"X")</f>
        <v/>
      </c>
      <c r="T309" s="468">
        <f t="shared" ca="1" si="153"/>
        <v>0</v>
      </c>
      <c r="U309" s="468">
        <f t="shared" ca="1" si="154"/>
        <v>0</v>
      </c>
      <c r="Z309" s="467">
        <f t="shared" ca="1" si="155"/>
        <v>0</v>
      </c>
      <c r="AA309" s="467">
        <f t="shared" ca="1" si="156"/>
        <v>0</v>
      </c>
    </row>
    <row r="310" spans="1:27" x14ac:dyDescent="0.35">
      <c r="A310" s="111" t="str">
        <f ca="1">IFERROR(INDIRECT(CONCATENATE("'Timetables'!A"&amp;A313)),"")</f>
        <v>LTD03</v>
      </c>
      <c r="B310" s="469" t="str">
        <f ca="1">IFERROR(VLOOKUP(A310,timetables,2,FALSE)&amp;" "&amp;VLOOKUP(A310,timetables,3,FALSE)&amp;" A","")</f>
        <v>1500m U15 Girls A</v>
      </c>
      <c r="C310" s="469"/>
      <c r="E310" s="470" t="str">
        <f ca="1">"Starts "&amp;TEXT(VLOOKUP(A310,timetables,7-MatchDay!$U$7,FALSE),"hh:mm")</f>
        <v>Starts 15:40</v>
      </c>
      <c r="F310" s="471"/>
      <c r="H310" s="472" t="str">
        <f ca="1">IFERROR("Rec: "&amp;TEXT(VLOOKUP(A310,records,5,FALSE),"mm:ss.00")&amp;", "&amp;VLOOKUP(A310,records,3,FALSE)&amp;", "&amp;VLOOKUP(A310,records,4,FALSE)&amp;", "&amp;VLOOKUP(A310,records,8,FALSE),"")</f>
        <v>Rec: 04:35.90, Josie Czura, C of Portsmouth, 2015</v>
      </c>
      <c r="K310" s="473"/>
      <c r="L310" s="480"/>
      <c r="M310" s="467"/>
      <c r="P310" s="468" t="str">
        <f>IFERROR(IF(OR(D310=0,D310="-",D310="",D310=" ",D310=" ",D310="Athlete"),"",IF($A318&gt;0,VLOOKUP(D310,female_reg,3,FALSE)-C310*10,VLOOKUP(D310,male_reg,3,FALSE)-C310*10)),"X")</f>
        <v/>
      </c>
      <c r="Q310" s="468" t="str">
        <f>IFERROR(IF(OR(J310=0,J310="-",J310=" ",J310="",J310=" ",J310="Athlete"),"",IF($A318&gt;0,VLOOKUP(J310,female_reg,3,FALSE)-C310*10,VLOOKUP(J310,male_reg,3,FALSE)-C310*10)),"X")</f>
        <v/>
      </c>
      <c r="T310" s="468">
        <f t="shared" ca="1" si="153"/>
        <v>0</v>
      </c>
      <c r="U310" s="468">
        <f t="shared" ca="1" si="154"/>
        <v>0</v>
      </c>
      <c r="Z310" s="467">
        <f t="shared" ca="1" si="155"/>
        <v>0</v>
      </c>
      <c r="AA310" s="467">
        <f t="shared" ca="1" si="156"/>
        <v>0</v>
      </c>
    </row>
    <row r="311" spans="1:27" x14ac:dyDescent="0.35">
      <c r="A311" s="85" t="str">
        <f ca="1">MID(A310,2,3)</f>
        <v>TD0</v>
      </c>
      <c r="B311" s="9" t="s">
        <v>786</v>
      </c>
      <c r="C311" s="9" t="s">
        <v>183</v>
      </c>
      <c r="D311" s="46" t="s">
        <v>227</v>
      </c>
      <c r="E311" s="46" t="s">
        <v>228</v>
      </c>
      <c r="F311" s="475"/>
      <c r="G311" s="46"/>
      <c r="H311" s="9" t="s">
        <v>786</v>
      </c>
      <c r="I311" s="9" t="s">
        <v>183</v>
      </c>
      <c r="J311" s="46" t="s">
        <v>227</v>
      </c>
      <c r="K311" s="46" t="s">
        <v>228</v>
      </c>
      <c r="L311" s="475"/>
      <c r="M311" s="475"/>
      <c r="N311" s="52"/>
      <c r="P311" s="468" t="str">
        <f>IFERROR(IF(OR(D311=0,D311="-",D311="",D311=" ",D311=" ",D311="Athlete"),"",IF($A318&gt;0,VLOOKUP(D311,female_reg,3,FALSE)-C311*10,VLOOKUP(D311,male_reg,3,FALSE)-C311*10)),"X")</f>
        <v/>
      </c>
      <c r="Q311" s="468" t="str">
        <f>IFERROR(IF(OR(J311=0,J311="-",J311=" ",J311="",J311=" ",J311="Athlete"),"",IF($A318&gt;0,VLOOKUP(J311,female_reg,3,FALSE)-C311*10,VLOOKUP(J311,male_reg,3,FALSE)-C311*10)),"X")</f>
        <v/>
      </c>
      <c r="T311" s="468">
        <f t="shared" ca="1" si="153"/>
        <v>0</v>
      </c>
      <c r="U311" s="468">
        <f t="shared" ca="1" si="154"/>
        <v>0</v>
      </c>
      <c r="Z311" s="467">
        <f t="shared" ca="1" si="155"/>
        <v>0</v>
      </c>
      <c r="AA311" s="467">
        <f t="shared" ca="1" si="156"/>
        <v>0</v>
      </c>
    </row>
    <row r="312" spans="1:27" x14ac:dyDescent="0.35">
      <c r="A312" s="181">
        <f ca="1">IFERROR(VLOOKUP(A310,Timetables!$A:$E,5,FALSE)-1,"")</f>
        <v>9</v>
      </c>
      <c r="B312" s="477">
        <v>1</v>
      </c>
      <c r="C312" s="477">
        <f ca="1">IFERROR(IF(B312&gt;MatchDay!$U$2,"",IF(MatchDay!$D$6=2,"",VLOOKUP(A310,Timetables!$A:$DK,MatchDay!$U$4+B312-MatchDay!$D$6,FALSE))),"")</f>
        <v>3</v>
      </c>
      <c r="D312" s="467" t="str">
        <f ca="1">IFERROR(HLOOKUP(C312,Declarations!$D$2:$S$102,A312,FALSE),"")</f>
        <v>GASKIN Lucy</v>
      </c>
      <c r="E312" s="467" t="str">
        <f ca="1">IFERROR(VLOOKUP(C312,teamlookup,5,FALSE),"")</f>
        <v>York</v>
      </c>
      <c r="F312" s="466"/>
      <c r="G312" s="476"/>
      <c r="H312" s="477">
        <v>1</v>
      </c>
      <c r="I312" s="477">
        <f ca="1">IFERROR(C312*11,"")</f>
        <v>33</v>
      </c>
      <c r="J312" s="467" t="str">
        <f ca="1">IFERROR(HLOOKUP(I312,Declarations!$D$2:$S$102,$A312,FALSE),"")</f>
        <v>COURTNEY Libby</v>
      </c>
      <c r="K312" s="467" t="str">
        <f t="shared" ref="K312:K319" ca="1" si="177">IFERROR(VLOOKUP(I312,teamlookup,5,FALSE),"")</f>
        <v>York</v>
      </c>
      <c r="N312" s="478"/>
      <c r="P312" s="468">
        <f ca="1">IFERROR(IF(OR(D312=0,D312="-",D312="",D312=" ",D312=" ",D312="Athlete"),"",IF($A318&gt;0,VLOOKUP(D312,female_reg,3,FALSE)-C312*10,VLOOKUP(D312,male_reg,3,FALSE)-C312*10)),2)</f>
        <v>1</v>
      </c>
      <c r="Q312" s="468">
        <f ca="1">IFERROR(IF(OR(J312=0,J312="-",J312=" ",J312="",J312=" ",J312="Athlete"),"",IF($A318&gt;0,VLOOKUP(J312,female_reg,3,FALSE)-C312*10,VLOOKUP(J312,male_reg,3,FALSE)-C312*10)),2)</f>
        <v>1</v>
      </c>
      <c r="T312" s="468">
        <f t="shared" ca="1" si="153"/>
        <v>1</v>
      </c>
      <c r="U312" s="468">
        <f t="shared" ca="1" si="154"/>
        <v>2</v>
      </c>
      <c r="V312" s="467" t="str">
        <f t="shared" ref="V312:V319" ca="1" si="178">IFERROR(IF(OR(D312=0,D312="-",D312="",D312=" ",D312=" "),"X",D312&amp;E312),"X")</f>
        <v>GASKIN LucyYork</v>
      </c>
      <c r="W312" s="467" t="str">
        <f t="shared" ref="W312:W319" ca="1" si="179">IFERROR(IF(OR(J312=0,J312="-",J312="",J312=" ",J312=" "),"X",J312&amp;K312),"X")</f>
        <v>COURTNEY LibbyYork</v>
      </c>
      <c r="Z312" s="467">
        <f t="shared" ca="1" si="155"/>
        <v>1</v>
      </c>
      <c r="AA312" s="467">
        <f t="shared" ca="1" si="156"/>
        <v>2</v>
      </c>
    </row>
    <row r="313" spans="1:27" x14ac:dyDescent="0.35">
      <c r="A313" s="468">
        <f>A302+1</f>
        <v>31</v>
      </c>
      <c r="B313" s="477">
        <v>2</v>
      </c>
      <c r="C313" s="477">
        <f ca="1">IFERROR(IF(B313&gt;MatchDay!$U$2+MatchDay!$D$6-1,"",VLOOKUP(A310,Timetables!$A:$DK,MatchDay!$U$4+B313-MatchDay!$D$6,FALSE)),"")</f>
        <v>1</v>
      </c>
      <c r="D313" s="467" t="str">
        <f ca="1">IFERROR(HLOOKUP(C313,Declarations!$D$2:$S$102,A312,FALSE),"")</f>
        <v>KIRKWOOD Eva</v>
      </c>
      <c r="E313" s="467" t="str">
        <f t="shared" ref="E313:E319" ca="1" si="180">IFERROR(VLOOKUP(C313,teamlookup,5,FALSE),"")</f>
        <v>C'field</v>
      </c>
      <c r="F313" s="466"/>
      <c r="G313" s="476"/>
      <c r="H313" s="477">
        <v>2</v>
      </c>
      <c r="I313" s="477">
        <f t="shared" ref="I313:I319" ca="1" si="181">IFERROR(C313*11,"")</f>
        <v>11</v>
      </c>
      <c r="J313" s="467" t="str">
        <f ca="1">IFERROR(HLOOKUP(I313,Declarations!$D$2:$S$102,$A312,FALSE),"")</f>
        <v>-</v>
      </c>
      <c r="K313" s="467" t="str">
        <f t="shared" ca="1" si="177"/>
        <v>C'field</v>
      </c>
      <c r="N313" s="478"/>
      <c r="P313" s="468">
        <f ca="1">IFERROR(IF(OR(D313=0,D313="-",D313="",D313=" ",D313=" ",D313="Athlete"),"",IF($A318&gt;0,VLOOKUP(D313,female_reg,3,FALSE)-C313*10,VLOOKUP(D313,male_reg,3,FALSE)-C313*10)),2)</f>
        <v>1</v>
      </c>
      <c r="Q313" s="468" t="str">
        <f ca="1">IFERROR(IF(OR(J313=0,J313="-",J313=" ",J313="",J313=" ",J313="Athlete"),"",IF($A318&gt;0,VLOOKUP(J313,female_reg,3,FALSE)-C313*10,VLOOKUP(J313,male_reg,3,FALSE)-C313*10)),2)</f>
        <v/>
      </c>
      <c r="T313" s="468">
        <f t="shared" ca="1" si="153"/>
        <v>3</v>
      </c>
      <c r="U313" s="468">
        <f t="shared" ca="1" si="154"/>
        <v>0</v>
      </c>
      <c r="V313" s="467" t="str">
        <f t="shared" ca="1" si="178"/>
        <v>KIRKWOOD EvaC'field</v>
      </c>
      <c r="W313" s="467" t="str">
        <f t="shared" ca="1" si="179"/>
        <v>X</v>
      </c>
      <c r="Z313" s="467">
        <f t="shared" ca="1" si="155"/>
        <v>4</v>
      </c>
      <c r="AA313" s="467">
        <f t="shared" ca="1" si="156"/>
        <v>0</v>
      </c>
    </row>
    <row r="314" spans="1:27" x14ac:dyDescent="0.35">
      <c r="A314" s="118">
        <f ca="1">IFERROR(VLOOKUP(A310,standards,3,FALSE)+0.01,"-")</f>
        <v>4.5049999999999999</v>
      </c>
      <c r="B314" s="477">
        <v>3</v>
      </c>
      <c r="C314" s="477">
        <f ca="1">IFERROR(IF(B314&gt;MatchDay!$U$2+MatchDay!$D$6-1,"",VLOOKUP(A310,Timetables!$A:$DK,MatchDay!$U$4+B314-MatchDay!$D$6,FALSE)),"")</f>
        <v>4</v>
      </c>
      <c r="D314" s="467" t="str">
        <f ca="1">IFERROR(HLOOKUP(C314,Declarations!$D$2:$S$102,A312,FALSE),"")</f>
        <v>MCNEILL Emma</v>
      </c>
      <c r="E314" s="467" t="str">
        <f t="shared" ca="1" si="180"/>
        <v>M'bro</v>
      </c>
      <c r="F314" s="466"/>
      <c r="G314" s="476"/>
      <c r="H314" s="477">
        <v>3</v>
      </c>
      <c r="I314" s="477">
        <f t="shared" ca="1" si="181"/>
        <v>44</v>
      </c>
      <c r="J314" s="467" t="str">
        <f ca="1">IFERROR(HLOOKUP(I314,Declarations!$D$2:$S$102,$A312,FALSE),"")</f>
        <v>HILL Zoe</v>
      </c>
      <c r="K314" s="467" t="str">
        <f t="shared" ca="1" si="177"/>
        <v>M'bro</v>
      </c>
      <c r="N314" s="478"/>
      <c r="P314" s="468">
        <f ca="1">IFERROR(IF(OR(D314=0,D314="-",D314="",D314=" ",D314=" ",D314="Athlete"),"",IF($A318&gt;0,VLOOKUP(D314,female_reg,3,FALSE)-C314*10,VLOOKUP(D314,male_reg,3,FALSE)-C314*10)),2)</f>
        <v>1</v>
      </c>
      <c r="Q314" s="468">
        <f ca="1">IFERROR(IF(OR(J314=0,J314="-",J314=" ",J314="",J314=" ",J314="Athlete"),"",IF($A318&gt;0,VLOOKUP(J314,female_reg,3,FALSE)-C314*10,VLOOKUP(J314,male_reg,3,FALSE)-C314*10)),2)</f>
        <v>1</v>
      </c>
      <c r="T314" s="468">
        <f t="shared" ca="1" si="153"/>
        <v>1</v>
      </c>
      <c r="U314" s="468">
        <f t="shared" ca="1" si="154"/>
        <v>1</v>
      </c>
      <c r="V314" s="467" t="str">
        <f t="shared" ca="1" si="178"/>
        <v>MCNEILL EmmaM'bro</v>
      </c>
      <c r="W314" s="467" t="str">
        <f t="shared" ca="1" si="179"/>
        <v>HILL ZoeM'bro</v>
      </c>
      <c r="Z314" s="467">
        <f t="shared" ca="1" si="155"/>
        <v>2</v>
      </c>
      <c r="AA314" s="467">
        <f t="shared" ca="1" si="156"/>
        <v>1</v>
      </c>
    </row>
    <row r="315" spans="1:27" x14ac:dyDescent="0.35">
      <c r="A315" s="118">
        <f ca="1">IFERROR(VLOOKUP(A310,standards,4,FALSE)+0.01,"-")</f>
        <v>4.5699999999999994</v>
      </c>
      <c r="B315" s="477">
        <v>4</v>
      </c>
      <c r="C315" s="477">
        <f ca="1">IFERROR(IF(B315&gt;MatchDay!$U$2+MatchDay!$D$6-1,"",VLOOKUP(A310,Timetables!$A:$DK,MatchDay!$U$4+B315-MatchDay!$D$6,FALSE)),"")</f>
        <v>2</v>
      </c>
      <c r="D315" s="467">
        <f ca="1">IFERROR(HLOOKUP(C315,Declarations!$D$2:$S$102,A312,FALSE),"")</f>
        <v>0</v>
      </c>
      <c r="E315" s="467" t="str">
        <f t="shared" ca="1" si="180"/>
        <v>Sheff+D</v>
      </c>
      <c r="F315" s="466"/>
      <c r="G315" s="476"/>
      <c r="H315" s="477">
        <v>4</v>
      </c>
      <c r="I315" s="477">
        <f t="shared" ca="1" si="181"/>
        <v>22</v>
      </c>
      <c r="J315" s="467">
        <f ca="1">IFERROR(HLOOKUP(I315,Declarations!$D$2:$S$102,$A312,FALSE),"")</f>
        <v>0</v>
      </c>
      <c r="K315" s="467" t="str">
        <f t="shared" ca="1" si="177"/>
        <v>Sheff+D</v>
      </c>
      <c r="N315" s="478"/>
      <c r="P315" s="468" t="str">
        <f ca="1">IFERROR(IF(OR(D315=0,D315="-",D315="",D315=" ",D315=" ",D315="Athlete"),"",IF($A318&gt;0,VLOOKUP(D315,female_reg,3,FALSE)-C315*10,VLOOKUP(D315,male_reg,3,FALSE)-C315*10)),2)</f>
        <v/>
      </c>
      <c r="Q315" s="468" t="str">
        <f ca="1">IFERROR(IF(OR(J315=0,J315="-",J315=" ",J315="",J315=" ",J315="Athlete"),"",IF($A318&gt;0,VLOOKUP(J315,female_reg,3,FALSE)-C315*10,VLOOKUP(J315,male_reg,3,FALSE)-C315*10)),2)</f>
        <v/>
      </c>
      <c r="T315" s="468">
        <f t="shared" ca="1" si="153"/>
        <v>0</v>
      </c>
      <c r="U315" s="468">
        <f t="shared" ca="1" si="154"/>
        <v>0</v>
      </c>
      <c r="V315" s="467" t="str">
        <f t="shared" ca="1" si="178"/>
        <v>X</v>
      </c>
      <c r="W315" s="467" t="str">
        <f t="shared" ca="1" si="179"/>
        <v>X</v>
      </c>
      <c r="Z315" s="467">
        <f t="shared" ca="1" si="155"/>
        <v>0</v>
      </c>
      <c r="AA315" s="467">
        <f t="shared" ca="1" si="156"/>
        <v>0</v>
      </c>
    </row>
    <row r="316" spans="1:27" x14ac:dyDescent="0.35">
      <c r="A316" s="118">
        <f ca="1">IFERROR(VLOOKUP(A310,standards,5,FALSE)+0.01,"-")</f>
        <v>5.0350000000000001</v>
      </c>
      <c r="B316" s="477">
        <v>5</v>
      </c>
      <c r="C316" s="477">
        <f ca="1">IFERROR(IF(B316&gt;MatchDay!$U$2+MatchDay!$D$6-1,"",VLOOKUP(A310,Timetables!$A:$DK,MatchDay!$U$4+B316-MatchDay!$D$6,FALSE)),"")</f>
        <v>5</v>
      </c>
      <c r="D316" s="467" t="str">
        <f ca="1">IFERROR(HLOOKUP(C316,Declarations!$D$2:$S$102,A312,FALSE),"")</f>
        <v>VICKERS Cerys</v>
      </c>
      <c r="E316" s="467" t="str">
        <f t="shared" ca="1" si="180"/>
        <v>Scun</v>
      </c>
      <c r="F316" s="466"/>
      <c r="G316" s="476"/>
      <c r="H316" s="477">
        <v>5</v>
      </c>
      <c r="I316" s="477">
        <f t="shared" ca="1" si="181"/>
        <v>55</v>
      </c>
      <c r="J316" s="467" t="str">
        <f ca="1">IFERROR(HLOOKUP(I316,Declarations!$D$2:$S$102,$A312,FALSE),"")</f>
        <v>WHITTAKER Millie</v>
      </c>
      <c r="K316" s="467" t="str">
        <f t="shared" ca="1" si="177"/>
        <v>Scun</v>
      </c>
      <c r="N316" s="478"/>
      <c r="P316" s="468">
        <f ca="1">IFERROR(IF(OR(D316=0,D316="-",D316="",D316=" ",D316=" ",D316="Athlete"),"",IF($A318&gt;0,VLOOKUP(D316,female_reg,3,FALSE)-C316*10,VLOOKUP(D316,male_reg,3,FALSE)-C316*10)),2)</f>
        <v>1</v>
      </c>
      <c r="Q316" s="468">
        <f ca="1">IFERROR(IF(OR(J316=0,J316="-",J316=" ",J316="",J316=" ",J316="Athlete"),"",IF($A318&gt;0,VLOOKUP(J316,female_reg,3,FALSE)-C316*10,VLOOKUP(J316,male_reg,3,FALSE)-C316*10)),2)</f>
        <v>1</v>
      </c>
      <c r="T316" s="468">
        <f t="shared" ca="1" si="153"/>
        <v>2</v>
      </c>
      <c r="U316" s="468">
        <f t="shared" ca="1" si="154"/>
        <v>2</v>
      </c>
      <c r="V316" s="467" t="str">
        <f t="shared" ca="1" si="178"/>
        <v>VICKERS CerysScun</v>
      </c>
      <c r="W316" s="467" t="str">
        <f t="shared" ca="1" si="179"/>
        <v>WHITTAKER MillieScun</v>
      </c>
      <c r="Z316" s="467">
        <f t="shared" ca="1" si="155"/>
        <v>3</v>
      </c>
      <c r="AA316" s="467">
        <f t="shared" ca="1" si="156"/>
        <v>3</v>
      </c>
    </row>
    <row r="317" spans="1:27" x14ac:dyDescent="0.35">
      <c r="A317" s="118">
        <f ca="1">IFERROR(VLOOKUP(A310,standards,6,FALSE)+0.01,"-")</f>
        <v>5.16</v>
      </c>
      <c r="B317" s="477">
        <v>6</v>
      </c>
      <c r="C317" s="477" t="str">
        <f>IFERROR(IF(B317&gt;MatchDay!$U$2+MatchDay!$D$6-1,"",VLOOKUP(A310,Timetables!$A:$DK,MatchDay!$U$4+B317-MatchDay!$D$6,FALSE)),"")</f>
        <v/>
      </c>
      <c r="D317" s="467" t="str">
        <f>IFERROR(HLOOKUP(C317,Declarations!$D$2:$S$102,A312,FALSE),"")</f>
        <v/>
      </c>
      <c r="E317" s="467" t="str">
        <f t="shared" si="180"/>
        <v/>
      </c>
      <c r="F317" s="466"/>
      <c r="G317" s="476"/>
      <c r="H317" s="477">
        <v>6</v>
      </c>
      <c r="I317" s="477" t="str">
        <f t="shared" si="181"/>
        <v/>
      </c>
      <c r="J317" s="467" t="str">
        <f>IFERROR(HLOOKUP(I317,Declarations!$D$2:$S$102,$A312,FALSE),"")</f>
        <v/>
      </c>
      <c r="K317" s="467" t="str">
        <f t="shared" si="177"/>
        <v/>
      </c>
      <c r="N317" s="478"/>
      <c r="P317" s="468" t="str">
        <f>IFERROR(IF(OR(D317=0,D317="-",D317="",D317=" ",D317=" ",D317="Athlete"),"",IF($A318&gt;0,VLOOKUP(D317,female_reg,3,FALSE)-C317*10,VLOOKUP(D317,male_reg,3,FALSE)-C317*10)),2)</f>
        <v/>
      </c>
      <c r="Q317" s="468" t="str">
        <f>IFERROR(IF(OR(J317=0,J317="-",J317=" ",J317="",J317=" ",J317="Athlete"),"",IF($A318&gt;0,VLOOKUP(J317,female_reg,3,FALSE)-C317*10,VLOOKUP(J317,male_reg,3,FALSE)-C317*10)),2)</f>
        <v/>
      </c>
      <c r="T317" s="468">
        <f t="shared" si="153"/>
        <v>0</v>
      </c>
      <c r="U317" s="468">
        <f t="shared" si="154"/>
        <v>0</v>
      </c>
      <c r="V317" s="467" t="str">
        <f t="shared" si="178"/>
        <v>X</v>
      </c>
      <c r="W317" s="467" t="str">
        <f t="shared" si="179"/>
        <v>X</v>
      </c>
      <c r="Z317" s="467">
        <f t="shared" si="155"/>
        <v>0</v>
      </c>
      <c r="AA317" s="467">
        <f t="shared" si="156"/>
        <v>0</v>
      </c>
    </row>
    <row r="318" spans="1:27" x14ac:dyDescent="0.35">
      <c r="A318" s="479">
        <f ca="1">IFERROR(SEARCH("Girls",B310),0)</f>
        <v>11</v>
      </c>
      <c r="B318" s="477">
        <v>7</v>
      </c>
      <c r="C318" s="477" t="str">
        <f>IFERROR(IF(B318&gt;MatchDay!$U$2+MatchDay!$D$6-1,"",VLOOKUP(A310,Timetables!$A:$DK,MatchDay!$U$4+B318-MatchDay!$D$6,FALSE)),"")</f>
        <v/>
      </c>
      <c r="D318" s="467" t="str">
        <f>IFERROR(HLOOKUP(C318,Declarations!$D$2:$S$102,A312,FALSE),"")</f>
        <v/>
      </c>
      <c r="E318" s="467" t="str">
        <f t="shared" si="180"/>
        <v/>
      </c>
      <c r="F318" s="466"/>
      <c r="G318" s="476"/>
      <c r="H318" s="477">
        <v>7</v>
      </c>
      <c r="I318" s="477" t="str">
        <f t="shared" si="181"/>
        <v/>
      </c>
      <c r="J318" s="467" t="str">
        <f>IFERROR(HLOOKUP(I318,Declarations!$D$2:$S$102,$A312,FALSE),"")</f>
        <v/>
      </c>
      <c r="K318" s="467" t="str">
        <f t="shared" si="177"/>
        <v/>
      </c>
      <c r="N318" s="478"/>
      <c r="P318" s="468" t="str">
        <f>IFERROR(IF(OR(D318=0,D318="-",D318="",D318=" ",D318=" ",D318="Athlete"),"",IF($A318&gt;0,VLOOKUP(D318,female_reg,3,FALSE)-C318*10,VLOOKUP(D318,male_reg,3,FALSE)-C318*10)),2)</f>
        <v/>
      </c>
      <c r="Q318" s="468" t="str">
        <f>IFERROR(IF(OR(J318=0,J318="-",J318=" ",J318="",J318=" ",J318="Athlete"),"",IF($A318&gt;0,VLOOKUP(J318,female_reg,3,FALSE)-C318*10,VLOOKUP(J318,male_reg,3,FALSE)-C318*10)),2)</f>
        <v/>
      </c>
      <c r="T318" s="468">
        <f t="shared" si="153"/>
        <v>0</v>
      </c>
      <c r="U318" s="468">
        <f t="shared" si="154"/>
        <v>0</v>
      </c>
      <c r="V318" s="467" t="str">
        <f t="shared" si="178"/>
        <v>X</v>
      </c>
      <c r="W318" s="467" t="str">
        <f t="shared" si="179"/>
        <v>X</v>
      </c>
      <c r="Z318" s="467">
        <f t="shared" si="155"/>
        <v>0</v>
      </c>
      <c r="AA318" s="467">
        <f t="shared" si="156"/>
        <v>0</v>
      </c>
    </row>
    <row r="319" spans="1:27" x14ac:dyDescent="0.35">
      <c r="A319" s="116">
        <f ca="1">IFERROR(VLOOKUP(A310,records,5,FALSE),"")</f>
        <v>3.1932870370370374E-3</v>
      </c>
      <c r="B319" s="477">
        <v>8</v>
      </c>
      <c r="C319" s="477" t="str">
        <f>IFERROR(IF(B319&gt;MatchDay!$U$2+MatchDay!$D$6-1,"",VLOOKUP(A310,Timetables!$A:$DK,MatchDay!$U$4+B319-MatchDay!$D$6,FALSE)),"")</f>
        <v/>
      </c>
      <c r="D319" s="467" t="str">
        <f>IFERROR(HLOOKUP(C319,Declarations!$D$2:$S$102,A312,FALSE),"")</f>
        <v/>
      </c>
      <c r="E319" s="467" t="str">
        <f t="shared" si="180"/>
        <v/>
      </c>
      <c r="F319" s="466"/>
      <c r="G319" s="476"/>
      <c r="H319" s="477">
        <v>8</v>
      </c>
      <c r="I319" s="477" t="str">
        <f t="shared" si="181"/>
        <v/>
      </c>
      <c r="J319" s="467" t="str">
        <f>IFERROR(HLOOKUP(I319,Declarations!$D$2:$S$102,$A312,FALSE),"")</f>
        <v/>
      </c>
      <c r="K319" s="467" t="str">
        <f t="shared" si="177"/>
        <v/>
      </c>
      <c r="N319" s="478"/>
      <c r="P319" s="468" t="str">
        <f>IFERROR(IF(OR(D319=0,D319="-",D319="",D319=" ",D319=" ",D319="Athlete"),"",IF($A318&gt;0,VLOOKUP(D319,female_reg,3,FALSE)-C319*10,VLOOKUP(D319,male_reg,3,FALSE)-C319*10)),2)</f>
        <v/>
      </c>
      <c r="Q319" s="468" t="str">
        <f>IFERROR(IF(OR(J319=0,J319="-",J319=" ",J319="",J319=" ",J319="Athlete"),"",IF($A318&gt;0,VLOOKUP(J319,female_reg,3,FALSE)-C319*10,VLOOKUP(J319,male_reg,3,FALSE)-C319*10)),2)</f>
        <v/>
      </c>
      <c r="T319" s="468">
        <f t="shared" si="153"/>
        <v>0</v>
      </c>
      <c r="U319" s="468">
        <f t="shared" si="154"/>
        <v>0</v>
      </c>
      <c r="V319" s="467" t="str">
        <f t="shared" si="178"/>
        <v>X</v>
      </c>
      <c r="W319" s="467" t="str">
        <f t="shared" si="179"/>
        <v>X</v>
      </c>
      <c r="Z319" s="467">
        <f t="shared" si="155"/>
        <v>0</v>
      </c>
      <c r="AA319" s="467">
        <f t="shared" si="156"/>
        <v>0</v>
      </c>
    </row>
    <row r="320" spans="1:27" x14ac:dyDescent="0.35">
      <c r="P320" s="468" t="str">
        <f>IFERROR(IF(OR(D320=0,D320="-",D320="",D320=" ",D320=" ",D320="Athlete"),"",IF($A318&gt;0,VLOOKUP(D320,female_reg,3,FALSE)-C320*10,VLOOKUP(D320,male_reg,3,FALSE)-C320*10)),"X")</f>
        <v/>
      </c>
      <c r="Q320" s="468" t="str">
        <f>IFERROR(IF(OR(J320=0,J320="-",J320=" ",J320="",J320=" ",J320="Athlete"),"",IF($A318&gt;0,VLOOKUP(J320,female_reg,3,FALSE)-C320*10,VLOOKUP(J320,male_reg,3,FALSE)-C320*10)),"X")</f>
        <v/>
      </c>
      <c r="T320" s="468">
        <f t="shared" ca="1" si="153"/>
        <v>0</v>
      </c>
      <c r="U320" s="468">
        <f t="shared" ca="1" si="154"/>
        <v>0</v>
      </c>
      <c r="Z320" s="467">
        <f t="shared" ca="1" si="155"/>
        <v>0</v>
      </c>
      <c r="AA320" s="467">
        <f t="shared" ca="1" si="156"/>
        <v>0</v>
      </c>
    </row>
    <row r="321" spans="1:27" x14ac:dyDescent="0.35">
      <c r="A321" s="111" t="str">
        <f ca="1">IFERROR(INDIRECT(CONCATENATE("'Timetables'!A"&amp;A324)),"")</f>
        <v>LTD04</v>
      </c>
      <c r="B321" s="469" t="str">
        <f ca="1">IFERROR(VLOOKUP(A321,timetables,2,FALSE)&amp;" "&amp;VLOOKUP(A321,timetables,3,FALSE)&amp;" A","")</f>
        <v>1500m U15 Boys A</v>
      </c>
      <c r="C321" s="469"/>
      <c r="E321" s="470" t="str">
        <f ca="1">"Starts "&amp;TEXT(VLOOKUP(A321,timetables,7-MatchDay!$U$7,FALSE),"hh:mm")</f>
        <v>Starts 15:50</v>
      </c>
      <c r="F321" s="471"/>
      <c r="H321" s="472" t="str">
        <f ca="1">IFERROR("Rec: "&amp;TEXT(VLOOKUP(A321,records,5,FALSE),"mm:ss.00")&amp;", "&amp;VLOOKUP(A321,records,3,FALSE)&amp;", "&amp;VLOOKUP(A321,records,4,FALSE)&amp;", "&amp;VLOOKUP(A321,records,8,FALSE),"")</f>
        <v>Rec: 04:13.57, Mohamed Mohamud, Herne Hill Harriers, 2015</v>
      </c>
      <c r="K321" s="473"/>
      <c r="L321" s="480"/>
      <c r="M321" s="467"/>
      <c r="P321" s="468" t="str">
        <f>IFERROR(IF(OR(D321=0,D321="-",D321="",D321=" ",D321=" ",D321="Athlete"),"",IF($A329&gt;0,VLOOKUP(D321,female_reg,3,FALSE)-C321*10,VLOOKUP(D321,male_reg,3,FALSE)-C321*10)),"X")</f>
        <v/>
      </c>
      <c r="Q321" s="468" t="str">
        <f>IFERROR(IF(OR(J321=0,J321="-",J321=" ",J321="",J321=" ",J321="Athlete"),"",IF($A329&gt;0,VLOOKUP(J321,female_reg,3,FALSE)-C321*10,VLOOKUP(J321,male_reg,3,FALSE)-C321*10)),"X")</f>
        <v/>
      </c>
      <c r="T321" s="468">
        <f t="shared" ca="1" si="153"/>
        <v>0</v>
      </c>
      <c r="U321" s="468">
        <f t="shared" ca="1" si="154"/>
        <v>0</v>
      </c>
      <c r="Z321" s="467">
        <f t="shared" ca="1" si="155"/>
        <v>0</v>
      </c>
      <c r="AA321" s="467">
        <f t="shared" ca="1" si="156"/>
        <v>0</v>
      </c>
    </row>
    <row r="322" spans="1:27" x14ac:dyDescent="0.35">
      <c r="A322" s="85" t="str">
        <f ca="1">MID(A321,2,3)</f>
        <v>TD0</v>
      </c>
      <c r="B322" s="9" t="s">
        <v>786</v>
      </c>
      <c r="C322" s="9" t="s">
        <v>183</v>
      </c>
      <c r="D322" s="46" t="s">
        <v>227</v>
      </c>
      <c r="E322" s="46" t="s">
        <v>228</v>
      </c>
      <c r="F322" s="475"/>
      <c r="G322" s="46"/>
      <c r="H322" s="9" t="s">
        <v>786</v>
      </c>
      <c r="I322" s="9" t="s">
        <v>183</v>
      </c>
      <c r="J322" s="46" t="s">
        <v>227</v>
      </c>
      <c r="K322" s="46" t="s">
        <v>228</v>
      </c>
      <c r="L322" s="475"/>
      <c r="M322" s="475"/>
      <c r="N322" s="52"/>
      <c r="P322" s="468" t="str">
        <f>IFERROR(IF(OR(D322=0,D322="-",D322="",D322=" ",D322=" ",D322="Athlete"),"",IF($A329&gt;0,VLOOKUP(D322,female_reg,3,FALSE)-C322*10,VLOOKUP(D322,male_reg,3,FALSE)-C322*10)),"X")</f>
        <v/>
      </c>
      <c r="Q322" s="468" t="str">
        <f>IFERROR(IF(OR(J322=0,J322="-",J322=" ",J322="",J322=" ",J322="Athlete"),"",IF($A329&gt;0,VLOOKUP(J322,female_reg,3,FALSE)-C322*10,VLOOKUP(J322,male_reg,3,FALSE)-C322*10)),"X")</f>
        <v/>
      </c>
      <c r="T322" s="468">
        <f t="shared" ca="1" si="153"/>
        <v>0</v>
      </c>
      <c r="U322" s="468">
        <f t="shared" ca="1" si="154"/>
        <v>0</v>
      </c>
      <c r="Z322" s="467">
        <f t="shared" ca="1" si="155"/>
        <v>0</v>
      </c>
      <c r="AA322" s="467">
        <f t="shared" ca="1" si="156"/>
        <v>0</v>
      </c>
    </row>
    <row r="323" spans="1:27" x14ac:dyDescent="0.35">
      <c r="A323" s="181">
        <f ca="1">IFERROR(VLOOKUP(A321,Timetables!$A:$E,5,FALSE)-1,"")</f>
        <v>59</v>
      </c>
      <c r="B323" s="477">
        <v>1</v>
      </c>
      <c r="C323" s="477">
        <f ca="1">IFERROR(IF(B323&gt;MatchDay!$U$2,"",IF(MatchDay!$D$6=2,"",VLOOKUP(A321,Timetables!$A:$DK,MatchDay!$U$4+B323-MatchDay!$D$6,FALSE))),"")</f>
        <v>3</v>
      </c>
      <c r="D323" s="467" t="str">
        <f ca="1">IFERROR(HLOOKUP(C323,Declarations!$D$2:$S$102,A323,FALSE),"")</f>
        <v>BRATLEY Jack</v>
      </c>
      <c r="E323" s="467" t="str">
        <f ca="1">IFERROR(VLOOKUP(C323,teamlookup,5,FALSE),"")</f>
        <v>York</v>
      </c>
      <c r="F323" s="466"/>
      <c r="G323" s="476"/>
      <c r="H323" s="477">
        <v>1</v>
      </c>
      <c r="I323" s="477">
        <f ca="1">IFERROR(C323*11,"")</f>
        <v>33</v>
      </c>
      <c r="J323" s="467" t="str">
        <f ca="1">IFERROR(HLOOKUP(I323,Declarations!$D$2:$S$102,$A323,FALSE),"")</f>
        <v>HENSON Isaac</v>
      </c>
      <c r="K323" s="467" t="str">
        <f t="shared" ref="K323:K330" ca="1" si="182">IFERROR(VLOOKUP(I323,teamlookup,5,FALSE),"")</f>
        <v>York</v>
      </c>
      <c r="N323" s="478"/>
      <c r="P323" s="468">
        <f ca="1">IFERROR(IF(OR(D323=0,D323="-",D323="",D323=" ",D323=" ",D323="Athlete"),"",IF($A329&gt;0,VLOOKUP(D323,female_reg,3,FALSE)-C323*10,VLOOKUP(D323,male_reg,3,FALSE)-C323*10)),2)</f>
        <v>1</v>
      </c>
      <c r="Q323" s="468">
        <f ca="1">IFERROR(IF(OR(J323=0,J323="-",J323=" ",J323="",J323=" ",J323="Athlete"),"",IF($A329&gt;0,VLOOKUP(J323,female_reg,3,FALSE)-C323*10,VLOOKUP(J323,male_reg,3,FALSE)-C323*10)),2)</f>
        <v>1</v>
      </c>
      <c r="T323" s="468">
        <f t="shared" ca="1" si="153"/>
        <v>2</v>
      </c>
      <c r="U323" s="468">
        <f t="shared" ca="1" si="154"/>
        <v>3</v>
      </c>
      <c r="V323" s="467" t="str">
        <f t="shared" ref="V323:V330" ca="1" si="183">IFERROR(IF(OR(D323=0,D323="-",D323="",D323=" ",D323=" "),"X",D323&amp;E323),"X")</f>
        <v>BRATLEY JackYork</v>
      </c>
      <c r="W323" s="467" t="str">
        <f t="shared" ref="W323:W330" ca="1" si="184">IFERROR(IF(OR(J323=0,J323="-",J323="",J323=" ",J323=" "),"X",J323&amp;K323),"X")</f>
        <v>HENSON IsaacYork</v>
      </c>
      <c r="Z323" s="467">
        <f t="shared" ca="1" si="155"/>
        <v>3</v>
      </c>
      <c r="AA323" s="467">
        <f t="shared" ca="1" si="156"/>
        <v>4</v>
      </c>
    </row>
    <row r="324" spans="1:27" x14ac:dyDescent="0.35">
      <c r="A324" s="468">
        <f>A313+1</f>
        <v>32</v>
      </c>
      <c r="B324" s="477">
        <v>2</v>
      </c>
      <c r="C324" s="477">
        <f ca="1">IFERROR(IF(B324&gt;MatchDay!$U$2+MatchDay!$D$6-1,"",VLOOKUP(A321,Timetables!$A:$DK,MatchDay!$U$4+B324-MatchDay!$D$6,FALSE)),"")</f>
        <v>1</v>
      </c>
      <c r="D324" s="467" t="str">
        <f ca="1">IFERROR(HLOOKUP(C324,Declarations!$D$2:$S$102,A323,FALSE),"")</f>
        <v>BETTNEY Thomas</v>
      </c>
      <c r="E324" s="467" t="str">
        <f t="shared" ref="E324:E330" ca="1" si="185">IFERROR(VLOOKUP(C324,teamlookup,5,FALSE),"")</f>
        <v>C'field</v>
      </c>
      <c r="F324" s="466"/>
      <c r="G324" s="476"/>
      <c r="H324" s="477">
        <v>2</v>
      </c>
      <c r="I324" s="477">
        <f t="shared" ref="I324:I330" ca="1" si="186">IFERROR(C324*11,"")</f>
        <v>11</v>
      </c>
      <c r="J324" s="467" t="str">
        <f ca="1">IFERROR(HLOOKUP(I324,Declarations!$D$2:$S$102,$A323,FALSE),"")</f>
        <v>SAS Reuben</v>
      </c>
      <c r="K324" s="467" t="str">
        <f t="shared" ca="1" si="182"/>
        <v>C'field</v>
      </c>
      <c r="N324" s="478"/>
      <c r="P324" s="468">
        <f ca="1">IFERROR(IF(OR(D324=0,D324="-",D324="",D324=" ",D324=" ",D324="Athlete"),"",IF($A329&gt;0,VLOOKUP(D324,female_reg,3,FALSE)-C324*10,VLOOKUP(D324,male_reg,3,FALSE)-C324*10)),2)</f>
        <v>1</v>
      </c>
      <c r="Q324" s="468">
        <f ca="1">IFERROR(IF(OR(J324=0,J324="-",J324=" ",J324="",J324=" ",J324="Athlete"),"",IF($A329&gt;0,VLOOKUP(J324,female_reg,3,FALSE)-C324*10,VLOOKUP(J324,male_reg,3,FALSE)-C324*10)),2)</f>
        <v>1</v>
      </c>
      <c r="T324" s="468">
        <f t="shared" ref="T324:T387" ca="1" si="187">IFERROR(IF(V324="X",0,COUNTIF($V$4:$W$573,V324)),0)</f>
        <v>3</v>
      </c>
      <c r="U324" s="468">
        <f t="shared" ref="U324:U387" ca="1" si="188">IFERROR(IF(W324="X",0,COUNTIF($V$4:$W$573,W324)),0)</f>
        <v>3</v>
      </c>
      <c r="V324" s="467" t="str">
        <f t="shared" ca="1" si="183"/>
        <v>BETTNEY ThomasC'field</v>
      </c>
      <c r="W324" s="467" t="str">
        <f t="shared" ca="1" si="184"/>
        <v>SAS ReubenC'field</v>
      </c>
      <c r="Z324" s="467">
        <f t="shared" ref="Z324:Z387" ca="1" si="189">IF(V324="X",0,COUNTIF($V$4:$Y$638,V324))</f>
        <v>4</v>
      </c>
      <c r="AA324" s="467">
        <f t="shared" ref="AA324:AA387" ca="1" si="190">IF(W324="X",0,COUNTIF($V$4:$Y$638,W324))</f>
        <v>4</v>
      </c>
    </row>
    <row r="325" spans="1:27" x14ac:dyDescent="0.35">
      <c r="A325" s="118">
        <f ca="1">IFERROR(VLOOKUP(A321,standards,3,FALSE)+0.01,"-")</f>
        <v>4.2249999999999996</v>
      </c>
      <c r="B325" s="477">
        <v>3</v>
      </c>
      <c r="C325" s="477">
        <f ca="1">IFERROR(IF(B325&gt;MatchDay!$U$2+MatchDay!$D$6-1,"",VLOOKUP(A321,Timetables!$A:$DK,MatchDay!$U$4+B325-MatchDay!$D$6,FALSE)),"")</f>
        <v>4</v>
      </c>
      <c r="D325" s="467" t="str">
        <f ca="1">IFERROR(HLOOKUP(C325,Declarations!$D$2:$S$102,A323,FALSE),"")</f>
        <v>SAYERS James</v>
      </c>
      <c r="E325" s="467" t="str">
        <f t="shared" ca="1" si="185"/>
        <v>M'bro</v>
      </c>
      <c r="F325" s="466"/>
      <c r="G325" s="476"/>
      <c r="H325" s="477">
        <v>3</v>
      </c>
      <c r="I325" s="477">
        <f t="shared" ca="1" si="186"/>
        <v>44</v>
      </c>
      <c r="J325" s="467" t="str">
        <f ca="1">IFERROR(HLOOKUP(I325,Declarations!$D$2:$S$102,$A323,FALSE),"")</f>
        <v>-</v>
      </c>
      <c r="K325" s="467" t="str">
        <f t="shared" ca="1" si="182"/>
        <v>M'bro</v>
      </c>
      <c r="N325" s="478"/>
      <c r="P325" s="468">
        <f ca="1">IFERROR(IF(OR(D325=0,D325="-",D325="",D325=" ",D325=" ",D325="Athlete"),"",IF($A329&gt;0,VLOOKUP(D325,female_reg,3,FALSE)-C325*10,VLOOKUP(D325,male_reg,3,FALSE)-C325*10)),2)</f>
        <v>2</v>
      </c>
      <c r="Q325" s="468" t="str">
        <f ca="1">IFERROR(IF(OR(J325=0,J325="-",J325=" ",J325="",J325=" ",J325="Athlete"),"",IF($A329&gt;0,VLOOKUP(J325,female_reg,3,FALSE)-C325*10,VLOOKUP(J325,male_reg,3,FALSE)-C325*10)),2)</f>
        <v/>
      </c>
      <c r="T325" s="468">
        <f t="shared" ca="1" si="187"/>
        <v>1</v>
      </c>
      <c r="U325" s="468">
        <f t="shared" ca="1" si="188"/>
        <v>0</v>
      </c>
      <c r="V325" s="467" t="str">
        <f t="shared" ca="1" si="183"/>
        <v>SAYERS JamesM'bro</v>
      </c>
      <c r="W325" s="467" t="str">
        <f t="shared" ca="1" si="184"/>
        <v>X</v>
      </c>
      <c r="Z325" s="467">
        <f t="shared" ca="1" si="189"/>
        <v>2</v>
      </c>
      <c r="AA325" s="467">
        <f t="shared" ca="1" si="190"/>
        <v>0</v>
      </c>
    </row>
    <row r="326" spans="1:27" x14ac:dyDescent="0.35">
      <c r="A326" s="118">
        <f ca="1">IFERROR(VLOOKUP(A321,standards,4,FALSE)+0.01,"-")</f>
        <v>4.2850000000000001</v>
      </c>
      <c r="B326" s="477">
        <v>4</v>
      </c>
      <c r="C326" s="477">
        <f ca="1">IFERROR(IF(B326&gt;MatchDay!$U$2+MatchDay!$D$6-1,"",VLOOKUP(A321,Timetables!$A:$DK,MatchDay!$U$4+B326-MatchDay!$D$6,FALSE)),"")</f>
        <v>2</v>
      </c>
      <c r="D326" s="467" t="str">
        <f ca="1">IFERROR(HLOOKUP(C326,Declarations!$D$2:$S$102,A323,FALSE),"")</f>
        <v>COLLINI Joseph</v>
      </c>
      <c r="E326" s="467" t="str">
        <f t="shared" ca="1" si="185"/>
        <v>Sheff+D</v>
      </c>
      <c r="F326" s="466"/>
      <c r="G326" s="476"/>
      <c r="H326" s="477">
        <v>4</v>
      </c>
      <c r="I326" s="477">
        <f t="shared" ca="1" si="186"/>
        <v>22</v>
      </c>
      <c r="J326" s="467">
        <f ca="1">IFERROR(HLOOKUP(I326,Declarations!$D$2:$S$102,$A323,FALSE),"")</f>
        <v>0</v>
      </c>
      <c r="K326" s="467" t="str">
        <f t="shared" ca="1" si="182"/>
        <v>Sheff+D</v>
      </c>
      <c r="N326" s="478"/>
      <c r="P326" s="468">
        <f ca="1">IFERROR(IF(OR(D326=0,D326="-",D326="",D326=" ",D326=" ",D326="Athlete"),"",IF($A329&gt;0,VLOOKUP(D326,female_reg,3,FALSE)-C326*10,VLOOKUP(D326,male_reg,3,FALSE)-C326*10)),2)</f>
        <v>1</v>
      </c>
      <c r="Q326" s="468" t="str">
        <f ca="1">IFERROR(IF(OR(J326=0,J326="-",J326=" ",J326="",J326=" ",J326="Athlete"),"",IF($A329&gt;0,VLOOKUP(J326,female_reg,3,FALSE)-C326*10,VLOOKUP(J326,male_reg,3,FALSE)-C326*10)),2)</f>
        <v/>
      </c>
      <c r="T326" s="468">
        <f t="shared" ca="1" si="187"/>
        <v>2</v>
      </c>
      <c r="U326" s="468">
        <f t="shared" ca="1" si="188"/>
        <v>0</v>
      </c>
      <c r="V326" s="467" t="str">
        <f t="shared" ca="1" si="183"/>
        <v>COLLINI JosephSheff+D</v>
      </c>
      <c r="W326" s="467" t="str">
        <f t="shared" ca="1" si="184"/>
        <v>X</v>
      </c>
      <c r="Z326" s="467">
        <f t="shared" ca="1" si="189"/>
        <v>2</v>
      </c>
      <c r="AA326" s="467">
        <f t="shared" ca="1" si="190"/>
        <v>0</v>
      </c>
    </row>
    <row r="327" spans="1:27" x14ac:dyDescent="0.35">
      <c r="A327" s="118">
        <f ca="1">IFERROR(VLOOKUP(A321,standards,5,FALSE)+0.01,"-")</f>
        <v>4.37</v>
      </c>
      <c r="B327" s="477">
        <v>5</v>
      </c>
      <c r="C327" s="477">
        <f ca="1">IFERROR(IF(B327&gt;MatchDay!$U$2+MatchDay!$D$6-1,"",VLOOKUP(A321,Timetables!$A:$DK,MatchDay!$U$4+B327-MatchDay!$D$6,FALSE)),"")</f>
        <v>5</v>
      </c>
      <c r="D327" s="467">
        <f ca="1">IFERROR(HLOOKUP(C327,Declarations!$D$2:$S$102,A323,FALSE),"")</f>
        <v>0</v>
      </c>
      <c r="E327" s="467" t="str">
        <f t="shared" ca="1" si="185"/>
        <v>Scun</v>
      </c>
      <c r="F327" s="466"/>
      <c r="G327" s="476"/>
      <c r="H327" s="477">
        <v>5</v>
      </c>
      <c r="I327" s="477">
        <f t="shared" ca="1" si="186"/>
        <v>55</v>
      </c>
      <c r="J327" s="467">
        <f ca="1">IFERROR(HLOOKUP(I327,Declarations!$D$2:$S$102,$A323,FALSE),"")</f>
        <v>0</v>
      </c>
      <c r="K327" s="467" t="str">
        <f t="shared" ca="1" si="182"/>
        <v>Scun</v>
      </c>
      <c r="N327" s="478"/>
      <c r="P327" s="468" t="str">
        <f ca="1">IFERROR(IF(OR(D327=0,D327="-",D327="",D327=" ",D327=" ",D327="Athlete"),"",IF($A329&gt;0,VLOOKUP(D327,female_reg,3,FALSE)-C327*10,VLOOKUP(D327,male_reg,3,FALSE)-C327*10)),2)</f>
        <v/>
      </c>
      <c r="Q327" s="468" t="str">
        <f ca="1">IFERROR(IF(OR(J327=0,J327="-",J327=" ",J327="",J327=" ",J327="Athlete"),"",IF($A329&gt;0,VLOOKUP(J327,female_reg,3,FALSE)-C327*10,VLOOKUP(J327,male_reg,3,FALSE)-C327*10)),2)</f>
        <v/>
      </c>
      <c r="T327" s="468">
        <f t="shared" ca="1" si="187"/>
        <v>0</v>
      </c>
      <c r="U327" s="468">
        <f t="shared" ca="1" si="188"/>
        <v>0</v>
      </c>
      <c r="V327" s="467" t="str">
        <f t="shared" ca="1" si="183"/>
        <v>X</v>
      </c>
      <c r="W327" s="467" t="str">
        <f t="shared" ca="1" si="184"/>
        <v>X</v>
      </c>
      <c r="Z327" s="467">
        <f t="shared" ca="1" si="189"/>
        <v>0</v>
      </c>
      <c r="AA327" s="467">
        <f t="shared" ca="1" si="190"/>
        <v>0</v>
      </c>
    </row>
    <row r="328" spans="1:27" x14ac:dyDescent="0.35">
      <c r="A328" s="118">
        <f ca="1">IFERROR(VLOOKUP(A321,standards,6,FALSE)+0.01,"-")</f>
        <v>4.4749999999999996</v>
      </c>
      <c r="B328" s="477">
        <v>6</v>
      </c>
      <c r="C328" s="477" t="str">
        <f>IFERROR(IF(B328&gt;MatchDay!$U$2+MatchDay!$D$6-1,"",VLOOKUP(A321,Timetables!$A:$DK,MatchDay!$U$4+B328-MatchDay!$D$6,FALSE)),"")</f>
        <v/>
      </c>
      <c r="D328" s="467" t="str">
        <f>IFERROR(HLOOKUP(C328,Declarations!$D$2:$S$102,A323,FALSE),"")</f>
        <v/>
      </c>
      <c r="E328" s="467" t="str">
        <f t="shared" si="185"/>
        <v/>
      </c>
      <c r="F328" s="466"/>
      <c r="G328" s="476"/>
      <c r="H328" s="477">
        <v>6</v>
      </c>
      <c r="I328" s="477" t="str">
        <f t="shared" si="186"/>
        <v/>
      </c>
      <c r="J328" s="467" t="str">
        <f>IFERROR(HLOOKUP(I328,Declarations!$D$2:$S$102,$A323,FALSE),"")</f>
        <v/>
      </c>
      <c r="K328" s="467" t="str">
        <f t="shared" si="182"/>
        <v/>
      </c>
      <c r="N328" s="478"/>
      <c r="P328" s="468" t="str">
        <f>IFERROR(IF(OR(D328=0,D328="-",D328="",D328=" ",D328=" ",D328="Athlete"),"",IF($A329&gt;0,VLOOKUP(D328,female_reg,3,FALSE)-C328*10,VLOOKUP(D328,male_reg,3,FALSE)-C328*10)),2)</f>
        <v/>
      </c>
      <c r="Q328" s="468" t="str">
        <f>IFERROR(IF(OR(J328=0,J328="-",J328=" ",J328="",J328=" ",J328="Athlete"),"",IF($A329&gt;0,VLOOKUP(J328,female_reg,3,FALSE)-C328*10,VLOOKUP(J328,male_reg,3,FALSE)-C328*10)),2)</f>
        <v/>
      </c>
      <c r="T328" s="468">
        <f t="shared" si="187"/>
        <v>0</v>
      </c>
      <c r="U328" s="468">
        <f t="shared" si="188"/>
        <v>0</v>
      </c>
      <c r="V328" s="467" t="str">
        <f t="shared" si="183"/>
        <v>X</v>
      </c>
      <c r="W328" s="467" t="str">
        <f t="shared" si="184"/>
        <v>X</v>
      </c>
      <c r="Z328" s="467">
        <f t="shared" si="189"/>
        <v>0</v>
      </c>
      <c r="AA328" s="467">
        <f t="shared" si="190"/>
        <v>0</v>
      </c>
    </row>
    <row r="329" spans="1:27" x14ac:dyDescent="0.35">
      <c r="A329" s="479">
        <f ca="1">IFERROR(SEARCH("Girls",B321),0)</f>
        <v>0</v>
      </c>
      <c r="B329" s="477">
        <v>7</v>
      </c>
      <c r="C329" s="477" t="str">
        <f>IFERROR(IF(B329&gt;MatchDay!$U$2+MatchDay!$D$6-1,"",VLOOKUP(A321,Timetables!$A:$DK,MatchDay!$U$4+B329-MatchDay!$D$6,FALSE)),"")</f>
        <v/>
      </c>
      <c r="D329" s="467" t="str">
        <f>IFERROR(HLOOKUP(C329,Declarations!$D$2:$S$102,A323,FALSE),"")</f>
        <v/>
      </c>
      <c r="E329" s="467" t="str">
        <f t="shared" si="185"/>
        <v/>
      </c>
      <c r="F329" s="466"/>
      <c r="G329" s="476"/>
      <c r="H329" s="477">
        <v>7</v>
      </c>
      <c r="I329" s="477" t="str">
        <f t="shared" si="186"/>
        <v/>
      </c>
      <c r="J329" s="467" t="str">
        <f>IFERROR(HLOOKUP(I329,Declarations!$D$2:$S$102,$A323,FALSE),"")</f>
        <v/>
      </c>
      <c r="K329" s="467" t="str">
        <f t="shared" si="182"/>
        <v/>
      </c>
      <c r="N329" s="478"/>
      <c r="P329" s="468" t="str">
        <f>IFERROR(IF(OR(D329=0,D329="-",D329="",D329=" ",D329=" ",D329="Athlete"),"",IF($A329&gt;0,VLOOKUP(D329,female_reg,3,FALSE)-C329*10,VLOOKUP(D329,male_reg,3,FALSE)-C329*10)),2)</f>
        <v/>
      </c>
      <c r="Q329" s="468" t="str">
        <f>IFERROR(IF(OR(J329=0,J329="-",J329=" ",J329="",J329=" ",J329="Athlete"),"",IF($A329&gt;0,VLOOKUP(J329,female_reg,3,FALSE)-C329*10,VLOOKUP(J329,male_reg,3,FALSE)-C329*10)),2)</f>
        <v/>
      </c>
      <c r="T329" s="468">
        <f t="shared" si="187"/>
        <v>0</v>
      </c>
      <c r="U329" s="468">
        <f t="shared" si="188"/>
        <v>0</v>
      </c>
      <c r="V329" s="467" t="str">
        <f t="shared" si="183"/>
        <v>X</v>
      </c>
      <c r="W329" s="467" t="str">
        <f t="shared" si="184"/>
        <v>X</v>
      </c>
      <c r="Z329" s="467">
        <f t="shared" si="189"/>
        <v>0</v>
      </c>
      <c r="AA329" s="467">
        <f t="shared" si="190"/>
        <v>0</v>
      </c>
    </row>
    <row r="330" spans="1:27" x14ac:dyDescent="0.35">
      <c r="A330" s="116">
        <f ca="1">IFERROR(VLOOKUP(A321,records,5,FALSE),"")</f>
        <v>2.9348379629629633E-3</v>
      </c>
      <c r="B330" s="477">
        <v>8</v>
      </c>
      <c r="C330" s="477" t="str">
        <f>IFERROR(IF(B330&gt;MatchDay!$U$2+MatchDay!$D$6-1,"",VLOOKUP(A321,Timetables!$A:$DK,MatchDay!$U$4+B330-MatchDay!$D$6,FALSE)),"")</f>
        <v/>
      </c>
      <c r="D330" s="467" t="str">
        <f>IFERROR(HLOOKUP(C330,Declarations!$D$2:$S$102,A323,FALSE),"")</f>
        <v/>
      </c>
      <c r="E330" s="467" t="str">
        <f t="shared" si="185"/>
        <v/>
      </c>
      <c r="F330" s="466"/>
      <c r="G330" s="476"/>
      <c r="H330" s="477">
        <v>8</v>
      </c>
      <c r="I330" s="477" t="str">
        <f t="shared" si="186"/>
        <v/>
      </c>
      <c r="J330" s="467" t="str">
        <f>IFERROR(HLOOKUP(I330,Declarations!$D$2:$S$102,$A323,FALSE),"")</f>
        <v/>
      </c>
      <c r="K330" s="467" t="str">
        <f t="shared" si="182"/>
        <v/>
      </c>
      <c r="N330" s="478"/>
      <c r="P330" s="468" t="str">
        <f>IFERROR(IF(OR(D330=0,D330="-",D330="",D330=" ",D330=" ",D330="Athlete"),"",IF($A329&gt;0,VLOOKUP(D330,female_reg,3,FALSE)-C330*10,VLOOKUP(D330,male_reg,3,FALSE)-C330*10)),2)</f>
        <v/>
      </c>
      <c r="Q330" s="468" t="str">
        <f>IFERROR(IF(OR(J330=0,J330="-",J330=" ",J330="",J330=" ",J330="Athlete"),"",IF($A329&gt;0,VLOOKUP(J330,female_reg,3,FALSE)-C330*10,VLOOKUP(J330,male_reg,3,FALSE)-C330*10)),2)</f>
        <v/>
      </c>
      <c r="T330" s="468">
        <f t="shared" si="187"/>
        <v>0</v>
      </c>
      <c r="U330" s="468">
        <f t="shared" si="188"/>
        <v>0</v>
      </c>
      <c r="V330" s="467" t="str">
        <f t="shared" si="183"/>
        <v>X</v>
      </c>
      <c r="W330" s="467" t="str">
        <f t="shared" si="184"/>
        <v>X</v>
      </c>
      <c r="Z330" s="467">
        <f t="shared" si="189"/>
        <v>0</v>
      </c>
      <c r="AA330" s="467">
        <f t="shared" si="190"/>
        <v>0</v>
      </c>
    </row>
    <row r="331" spans="1:27" x14ac:dyDescent="0.35">
      <c r="P331" s="468" t="str">
        <f>IFERROR(IF(OR(D331=0,D331="-",D331="",D331=" ",D331=" ",D331="Athlete"),"",IF($A329&gt;0,VLOOKUP(D331,female_reg,3,FALSE)-C331*10,VLOOKUP(D331,male_reg,3,FALSE)-C331*10)),"X")</f>
        <v/>
      </c>
      <c r="Q331" s="468" t="str">
        <f>IFERROR(IF(OR(J331=0,J331="-",J331=" ",J331="",J331=" ",J331="Athlete"),"",IF($A329&gt;0,VLOOKUP(J331,female_reg,3,FALSE)-C331*10,VLOOKUP(J331,male_reg,3,FALSE)-C331*10)),"X")</f>
        <v/>
      </c>
      <c r="T331" s="468">
        <f t="shared" ca="1" si="187"/>
        <v>0</v>
      </c>
      <c r="U331" s="468">
        <f t="shared" ca="1" si="188"/>
        <v>0</v>
      </c>
      <c r="Z331" s="467">
        <f t="shared" ca="1" si="189"/>
        <v>0</v>
      </c>
      <c r="AA331" s="467">
        <f t="shared" ca="1" si="190"/>
        <v>0</v>
      </c>
    </row>
    <row r="332" spans="1:27" x14ac:dyDescent="0.35">
      <c r="A332" s="111" t="str">
        <f ca="1">IFERROR(INDIRECT(CONCATENATE("'Timetables'!A"&amp;A335)),"")</f>
        <v>LFD01</v>
      </c>
      <c r="B332" s="469" t="str">
        <f ca="1">IFERROR(VLOOKUP(A332,timetables,2,FALSE)&amp;" "&amp;VLOOKUP(A332,timetables,3,FALSE)&amp;" A","")</f>
        <v>Hammer U15 Boys A</v>
      </c>
      <c r="C332" s="469"/>
      <c r="E332" s="470" t="str">
        <f ca="1">"Starts "&amp;TEXT(VLOOKUP(A332,timetables,7-MatchDay!$U$7,FALSE),"hh:mm")</f>
        <v>Starts 11:30</v>
      </c>
      <c r="F332" s="471"/>
      <c r="H332" s="472" t="str">
        <f ca="1">IFERROR("Rec: "&amp;TEXT(VLOOKUP(A332,records,5,FALSE),"#0.00")&amp;"m, "&amp;VLOOKUP(A332,records,3,FALSE)&amp;", "&amp;VLOOKUP(A332,records,4,FALSE)&amp;", "&amp;VLOOKUP(A332,records,8,FALSE),"")</f>
        <v>Rec: 59.79m, Jake Norris, Windsor Slough Eton &amp; Hounslow, 2013</v>
      </c>
      <c r="K332" s="473"/>
      <c r="L332" s="474"/>
      <c r="M332" s="467"/>
      <c r="P332" s="468" t="str">
        <f>IFERROR(IF(OR(D332=0,D332="-",D332="",D332=" ",D332=" ",D332="Athlete"),"",IF($A340&gt;0,VLOOKUP(D332,female_reg,3,FALSE)-C332*10,VLOOKUP(D332,male_reg,3,FALSE)-C332*10)),"X")</f>
        <v/>
      </c>
      <c r="Q332" s="468" t="str">
        <f>IFERROR(IF(OR(J332=0,J332="-",J332=" ",J332="",J332=" ",J332="Athlete"),"",IF($A340&gt;0,VLOOKUP(J332,female_reg,3,FALSE)-C332*10,VLOOKUP(J332,male_reg,3,FALSE)-C332*10)),"X")</f>
        <v/>
      </c>
      <c r="T332" s="468">
        <f t="shared" ca="1" si="187"/>
        <v>0</v>
      </c>
      <c r="U332" s="468">
        <f t="shared" ca="1" si="188"/>
        <v>0</v>
      </c>
      <c r="Z332" s="467">
        <f t="shared" ca="1" si="189"/>
        <v>0</v>
      </c>
      <c r="AA332" s="467">
        <f t="shared" ca="1" si="190"/>
        <v>0</v>
      </c>
    </row>
    <row r="333" spans="1:27" x14ac:dyDescent="0.35">
      <c r="A333" s="85" t="str">
        <f ca="1">MID(A332,2,3)</f>
        <v>FD0</v>
      </c>
      <c r="B333" s="9" t="s">
        <v>163</v>
      </c>
      <c r="C333" s="9" t="s">
        <v>183</v>
      </c>
      <c r="D333" s="46" t="s">
        <v>227</v>
      </c>
      <c r="E333" s="46" t="s">
        <v>228</v>
      </c>
      <c r="F333" s="475"/>
      <c r="G333" s="46"/>
      <c r="H333" s="9" t="s">
        <v>163</v>
      </c>
      <c r="I333" s="9" t="s">
        <v>183</v>
      </c>
      <c r="J333" s="46" t="s">
        <v>227</v>
      </c>
      <c r="K333" s="46" t="s">
        <v>228</v>
      </c>
      <c r="L333" s="475"/>
      <c r="M333" s="475"/>
      <c r="N333" s="52"/>
      <c r="P333" s="468" t="str">
        <f>IFERROR(IF(OR(D333=0,D333="-",D333="",D333=" ",D333=" ",D333="Athlete"),"",IF($A340&gt;0,VLOOKUP(D333,female_reg,3,FALSE)-C333*10,VLOOKUP(D333,male_reg,3,FALSE)-C333*10)),"X")</f>
        <v/>
      </c>
      <c r="Q333" s="468" t="str">
        <f>IFERROR(IF(OR(J333=0,J333="-",J333=" ",J333="",J333=" ",J333="Athlete"),"",IF($A340&gt;0,VLOOKUP(J333,female_reg,3,FALSE)-C333*10,VLOOKUP(J333,male_reg,3,FALSE)-C333*10)),"X")</f>
        <v/>
      </c>
      <c r="T333" s="468">
        <f t="shared" ca="1" si="187"/>
        <v>0</v>
      </c>
      <c r="U333" s="468">
        <f t="shared" ca="1" si="188"/>
        <v>0</v>
      </c>
      <c r="Z333" s="467">
        <f t="shared" ca="1" si="189"/>
        <v>0</v>
      </c>
      <c r="AA333" s="467">
        <f t="shared" ca="1" si="190"/>
        <v>0</v>
      </c>
    </row>
    <row r="334" spans="1:27" x14ac:dyDescent="0.35">
      <c r="A334" s="181">
        <f ca="1">IFERROR(VLOOKUP(A332,Timetables!$A:$E,5,FALSE)-1,"")</f>
        <v>65</v>
      </c>
      <c r="B334" s="477">
        <v>1</v>
      </c>
      <c r="C334" s="477">
        <f ca="1">IFERROR(IF(B334&gt;MatchDay!$U$2,"",VLOOKUP($A332,timetables,MatchDay!$U$4+B334-1,FALSE)),0)</f>
        <v>4</v>
      </c>
      <c r="D334" s="467" t="str">
        <f ca="1">IFERROR(HLOOKUP(C334,Declarations!$D$2:$S$102,A334,FALSE),"")</f>
        <v>BELL Callum</v>
      </c>
      <c r="E334" s="467" t="str">
        <f ca="1">IFERROR(VLOOKUP(C334,teamlookup,5,FALSE),"")</f>
        <v>M'bro</v>
      </c>
      <c r="F334" s="466"/>
      <c r="G334" s="476"/>
      <c r="H334" s="477">
        <v>1</v>
      </c>
      <c r="I334" s="477">
        <f ca="1">IFERROR(C334*11,"")</f>
        <v>44</v>
      </c>
      <c r="J334" s="467" t="str">
        <f ca="1">IFERROR(HLOOKUP(I334,Declarations!$D$2:$S$102,$A334,FALSE),"")</f>
        <v>-</v>
      </c>
      <c r="K334" s="467" t="str">
        <f t="shared" ref="K334:K341" ca="1" si="191">IFERROR(VLOOKUP(I334,teamlookup,5,FALSE),"")</f>
        <v>M'bro</v>
      </c>
      <c r="N334" s="478"/>
      <c r="P334" s="468">
        <f ca="1">IFERROR(IF(OR(D334=0,D334="-",D334="",D334=" ",D334=" ",D334="Athlete"),"",IF($A340&gt;0,VLOOKUP(D334,female_reg,3,FALSE)-C334*10,VLOOKUP(D334,male_reg,3,FALSE)-C334*10)),2)</f>
        <v>1</v>
      </c>
      <c r="Q334" s="468" t="str">
        <f ca="1">IFERROR(IF(OR(J334=0,J334="-",J334=" ",J334="",J334=" ",J334="Athlete"),"",IF($A340&gt;0,VLOOKUP(J334,female_reg,3,FALSE)-C334*10,VLOOKUP(J334,male_reg,3,FALSE)-C334*10)),2)</f>
        <v/>
      </c>
      <c r="T334" s="468">
        <f t="shared" ca="1" si="187"/>
        <v>0</v>
      </c>
      <c r="U334" s="468">
        <f t="shared" ca="1" si="188"/>
        <v>0</v>
      </c>
      <c r="Z334" s="467">
        <f t="shared" ca="1" si="189"/>
        <v>0</v>
      </c>
      <c r="AA334" s="467">
        <f t="shared" ca="1" si="190"/>
        <v>0</v>
      </c>
    </row>
    <row r="335" spans="1:27" x14ac:dyDescent="0.35">
      <c r="A335" s="468">
        <v>39</v>
      </c>
      <c r="B335" s="477">
        <v>2</v>
      </c>
      <c r="C335" s="477">
        <f ca="1">IFERROR(IF(B335&gt;MatchDay!$U$2,"",VLOOKUP($A332,timetables,MatchDay!$U$4+B335-1,FALSE)),0)</f>
        <v>5</v>
      </c>
      <c r="D335" s="467" t="str">
        <f ca="1">IFERROR(HLOOKUP(C335,Declarations!$D$2:$S$102,A334,FALSE),"")</f>
        <v>-</v>
      </c>
      <c r="E335" s="467" t="str">
        <f t="shared" ref="E335:E341" ca="1" si="192">IFERROR(VLOOKUP(C335,teamlookup,5,FALSE),"")</f>
        <v>Scun</v>
      </c>
      <c r="F335" s="466"/>
      <c r="G335" s="476"/>
      <c r="H335" s="477">
        <v>2</v>
      </c>
      <c r="I335" s="477">
        <f t="shared" ref="I335:I341" ca="1" si="193">IFERROR(C335*11,"")</f>
        <v>55</v>
      </c>
      <c r="J335" s="467">
        <f ca="1">IFERROR(HLOOKUP(I335,Declarations!$D$2:$S$102,$A334,FALSE),"")</f>
        <v>0</v>
      </c>
      <c r="K335" s="467" t="str">
        <f t="shared" ca="1" si="191"/>
        <v>Scun</v>
      </c>
      <c r="N335" s="478"/>
      <c r="P335" s="468" t="str">
        <f ca="1">IFERROR(IF(OR(D335=0,D335="-",D335="",D335=" ",D335=" ",D335="Athlete"),"",IF($A340&gt;0,VLOOKUP(D335,female_reg,3,FALSE)-C335*10,VLOOKUP(D335,male_reg,3,FALSE)-C335*10)),2)</f>
        <v/>
      </c>
      <c r="Q335" s="468" t="str">
        <f ca="1">IFERROR(IF(OR(J335=0,J335="-",J335=" ",J335="",J335=" ",J335="Athlete"),"",IF($A340&gt;0,VLOOKUP(J335,female_reg,3,FALSE)-C335*10,VLOOKUP(J335,male_reg,3,FALSE)-C335*10)),2)</f>
        <v/>
      </c>
      <c r="T335" s="468">
        <f t="shared" ca="1" si="187"/>
        <v>0</v>
      </c>
      <c r="U335" s="468">
        <f t="shared" ca="1" si="188"/>
        <v>0</v>
      </c>
      <c r="V335" s="467" t="str">
        <f t="shared" ref="V335:V342" ca="1" si="194">IFERROR(IF(OR(D335=0,D335="-",D335="",D335=" ",D335=" "),"X",D335&amp;E335),"X")</f>
        <v>X</v>
      </c>
      <c r="W335" s="467" t="str">
        <f t="shared" ref="W335:W342" ca="1" si="195">IFERROR(IF(OR(J335=0,J335="-",J335="",J335=" ",J335=" "),"X",J335&amp;K335),"X")</f>
        <v>X</v>
      </c>
      <c r="Z335" s="467">
        <f t="shared" ca="1" si="189"/>
        <v>0</v>
      </c>
      <c r="AA335" s="467">
        <f t="shared" ca="1" si="190"/>
        <v>0</v>
      </c>
    </row>
    <row r="336" spans="1:27" x14ac:dyDescent="0.35">
      <c r="A336" s="118">
        <f ca="1">IFERROR(VLOOKUP(A332,standards,3,FALSE)+0.01,"-")</f>
        <v>47.21</v>
      </c>
      <c r="B336" s="477">
        <v>3</v>
      </c>
      <c r="C336" s="477">
        <f ca="1">IFERROR(IF(B336&gt;MatchDay!$U$2,"",VLOOKUP($A332,timetables,MatchDay!$U$4+B336-1,FALSE)),0)</f>
        <v>1</v>
      </c>
      <c r="D336" s="467" t="str">
        <f ca="1">IFERROR(HLOOKUP(C336,Declarations!$D$2:$S$102,A334,FALSE),"")</f>
        <v>PEERS-WAIN Jacob</v>
      </c>
      <c r="E336" s="467" t="str">
        <f t="shared" ca="1" si="192"/>
        <v>C'field</v>
      </c>
      <c r="F336" s="466"/>
      <c r="G336" s="476"/>
      <c r="H336" s="477">
        <v>3</v>
      </c>
      <c r="I336" s="477">
        <f t="shared" ca="1" si="193"/>
        <v>11</v>
      </c>
      <c r="J336" s="467" t="str">
        <f ca="1">IFERROR(HLOOKUP(I336,Declarations!$D$2:$S$102,$A334,FALSE),"")</f>
        <v>BETTNEY Thomas</v>
      </c>
      <c r="K336" s="467" t="str">
        <f t="shared" ca="1" si="191"/>
        <v>C'field</v>
      </c>
      <c r="N336" s="478"/>
      <c r="P336" s="468">
        <f ca="1">IFERROR(IF(OR(D336=0,D336="-",D336="",D336=" ",D336=" ",D336="Athlete"),"",IF($A340&gt;0,VLOOKUP(D336,female_reg,3,FALSE)-C336*10,VLOOKUP(D336,male_reg,3,FALSE)-C336*10)),2)</f>
        <v>1</v>
      </c>
      <c r="Q336" s="468">
        <f ca="1">IFERROR(IF(OR(J336=0,J336="-",J336=" ",J336="",J336=" ",J336="Athlete"),"",IF($A340&gt;0,VLOOKUP(J336,female_reg,3,FALSE)-C336*10,VLOOKUP(J336,male_reg,3,FALSE)-C336*10)),2)</f>
        <v>1</v>
      </c>
      <c r="T336" s="468">
        <f t="shared" ca="1" si="187"/>
        <v>3</v>
      </c>
      <c r="U336" s="468">
        <f t="shared" ca="1" si="188"/>
        <v>3</v>
      </c>
      <c r="V336" s="467" t="str">
        <f t="shared" ca="1" si="194"/>
        <v>PEERS-WAIN JacobC'field</v>
      </c>
      <c r="W336" s="467" t="str">
        <f t="shared" ca="1" si="195"/>
        <v>BETTNEY ThomasC'field</v>
      </c>
      <c r="Z336" s="467">
        <f t="shared" ca="1" si="189"/>
        <v>4</v>
      </c>
      <c r="AA336" s="467">
        <f t="shared" ca="1" si="190"/>
        <v>4</v>
      </c>
    </row>
    <row r="337" spans="1:27" x14ac:dyDescent="0.35">
      <c r="A337" s="118">
        <f ca="1">IFERROR(VLOOKUP(A332,standards,4,FALSE)+0.01,"-")</f>
        <v>41.26</v>
      </c>
      <c r="B337" s="477">
        <v>4</v>
      </c>
      <c r="C337" s="477">
        <f ca="1">IFERROR(IF(B337&gt;MatchDay!$U$2,"",VLOOKUP($A332,timetables,MatchDay!$U$4+B337-1,FALSE)),0)</f>
        <v>3</v>
      </c>
      <c r="D337" s="467" t="str">
        <f ca="1">IFERROR(HLOOKUP(C337,Declarations!$D$2:$S$102,A334,FALSE),"")</f>
        <v>MEIGH William</v>
      </c>
      <c r="E337" s="467" t="str">
        <f t="shared" ca="1" si="192"/>
        <v>York</v>
      </c>
      <c r="F337" s="466"/>
      <c r="G337" s="476"/>
      <c r="H337" s="477">
        <v>4</v>
      </c>
      <c r="I337" s="477">
        <f t="shared" ca="1" si="193"/>
        <v>33</v>
      </c>
      <c r="J337" s="467" t="str">
        <f ca="1">IFERROR(HLOOKUP(I337,Declarations!$D$2:$S$102,$A334,FALSE),"")</f>
        <v>RUTTER Aaron</v>
      </c>
      <c r="K337" s="467" t="str">
        <f t="shared" ca="1" si="191"/>
        <v>York</v>
      </c>
      <c r="N337" s="478"/>
      <c r="P337" s="468">
        <f ca="1">IFERROR(IF(OR(D337=0,D337="-",D337="",D337=" ",D337=" ",D337="Athlete"),"",IF($A340&gt;0,VLOOKUP(D337,female_reg,3,FALSE)-C337*10,VLOOKUP(D337,male_reg,3,FALSE)-C337*10)),2)</f>
        <v>1</v>
      </c>
      <c r="Q337" s="468">
        <f ca="1">IFERROR(IF(OR(J337=0,J337="-",J337=" ",J337="",J337=" ",J337="Athlete"),"",IF($A340&gt;0,VLOOKUP(J337,female_reg,3,FALSE)-C337*10,VLOOKUP(J337,male_reg,3,FALSE)-C337*10)),2)</f>
        <v>1</v>
      </c>
      <c r="T337" s="468">
        <f t="shared" ca="1" si="187"/>
        <v>3</v>
      </c>
      <c r="U337" s="468">
        <f t="shared" ca="1" si="188"/>
        <v>2</v>
      </c>
      <c r="V337" s="467" t="str">
        <f t="shared" ca="1" si="194"/>
        <v>MEIGH WilliamYork</v>
      </c>
      <c r="W337" s="467" t="str">
        <f t="shared" ca="1" si="195"/>
        <v>RUTTER AaronYork</v>
      </c>
      <c r="Z337" s="467">
        <f t="shared" ca="1" si="189"/>
        <v>4</v>
      </c>
      <c r="AA337" s="467">
        <f t="shared" ca="1" si="190"/>
        <v>2</v>
      </c>
    </row>
    <row r="338" spans="1:27" x14ac:dyDescent="0.35">
      <c r="A338" s="118">
        <f ca="1">IFERROR(VLOOKUP(A332,standards,5,FALSE)+0.01,"-")</f>
        <v>33.86</v>
      </c>
      <c r="B338" s="477">
        <v>5</v>
      </c>
      <c r="C338" s="477">
        <f ca="1">IFERROR(IF(B338&gt;MatchDay!$U$2,"",VLOOKUP($A332,timetables,MatchDay!$U$4+B338-1,FALSE)),0)</f>
        <v>2</v>
      </c>
      <c r="D338" s="467">
        <f ca="1">IFERROR(HLOOKUP(C338,Declarations!$D$2:$S$102,A334,FALSE),"")</f>
        <v>0</v>
      </c>
      <c r="E338" s="467" t="str">
        <f t="shared" ca="1" si="192"/>
        <v>Sheff+D</v>
      </c>
      <c r="F338" s="466"/>
      <c r="G338" s="476"/>
      <c r="H338" s="477">
        <v>5</v>
      </c>
      <c r="I338" s="477">
        <f t="shared" ca="1" si="193"/>
        <v>22</v>
      </c>
      <c r="J338" s="467">
        <f ca="1">IFERROR(HLOOKUP(I338,Declarations!$D$2:$S$102,$A334,FALSE),"")</f>
        <v>0</v>
      </c>
      <c r="K338" s="467" t="str">
        <f t="shared" ca="1" si="191"/>
        <v>Sheff+D</v>
      </c>
      <c r="N338" s="478"/>
      <c r="P338" s="468" t="str">
        <f ca="1">IFERROR(IF(OR(D338=0,D338="-",D338="",D338=" ",D338=" ",D338="Athlete"),"",IF($A340&gt;0,VLOOKUP(D338,female_reg,3,FALSE)-C338*10,VLOOKUP(D338,male_reg,3,FALSE)-C338*10)),2)</f>
        <v/>
      </c>
      <c r="Q338" s="468" t="str">
        <f ca="1">IFERROR(IF(OR(J338=0,J338="-",J338=" ",J338="",J338=" ",J338="Athlete"),"",IF($A340&gt;0,VLOOKUP(J338,female_reg,3,FALSE)-C338*10,VLOOKUP(J338,male_reg,3,FALSE)-C338*10)),2)</f>
        <v/>
      </c>
      <c r="T338" s="468">
        <f t="shared" ca="1" si="187"/>
        <v>0</v>
      </c>
      <c r="U338" s="468">
        <f t="shared" ca="1" si="188"/>
        <v>0</v>
      </c>
      <c r="V338" s="467" t="str">
        <f t="shared" ca="1" si="194"/>
        <v>X</v>
      </c>
      <c r="W338" s="467" t="str">
        <f t="shared" ca="1" si="195"/>
        <v>X</v>
      </c>
      <c r="Z338" s="467">
        <f t="shared" ca="1" si="189"/>
        <v>0</v>
      </c>
      <c r="AA338" s="467">
        <f t="shared" ca="1" si="190"/>
        <v>0</v>
      </c>
    </row>
    <row r="339" spans="1:27" x14ac:dyDescent="0.35">
      <c r="A339" s="118">
        <f ca="1">IFERROR(VLOOKUP(A332,standards,6,FALSE)+0.01,"-")</f>
        <v>27.16</v>
      </c>
      <c r="B339" s="477">
        <v>6</v>
      </c>
      <c r="C339" s="477" t="str">
        <f>IFERROR(IF(B339&gt;MatchDay!$U$2,"",VLOOKUP($A332,timetables,MatchDay!$U$4+B339-1,FALSE)),0)</f>
        <v/>
      </c>
      <c r="D339" s="467" t="str">
        <f>IFERROR(HLOOKUP(C339,Declarations!$D$2:$S$102,A334,FALSE),"")</f>
        <v/>
      </c>
      <c r="E339" s="467" t="str">
        <f t="shared" si="192"/>
        <v/>
      </c>
      <c r="F339" s="466"/>
      <c r="G339" s="476"/>
      <c r="H339" s="477">
        <v>6</v>
      </c>
      <c r="I339" s="477" t="str">
        <f t="shared" si="193"/>
        <v/>
      </c>
      <c r="J339" s="467" t="str">
        <f>IFERROR(HLOOKUP(I339,Declarations!$D$2:$S$102,$A334,FALSE),"")</f>
        <v/>
      </c>
      <c r="K339" s="467" t="str">
        <f t="shared" si="191"/>
        <v/>
      </c>
      <c r="N339" s="478"/>
      <c r="P339" s="468" t="str">
        <f>IFERROR(IF(OR(D339=0,D339="-",D339="",D339=" ",D339=" ",D339="Athlete"),"",IF($A340&gt;0,VLOOKUP(D339,female_reg,3,FALSE)-C339*10,VLOOKUP(D339,male_reg,3,FALSE)-C339*10)),2)</f>
        <v/>
      </c>
      <c r="Q339" s="468" t="str">
        <f>IFERROR(IF(OR(J339=0,J339="-",J339=" ",J339="",J339=" ",J339="Athlete"),"",IF($A340&gt;0,VLOOKUP(J339,female_reg,3,FALSE)-C339*10,VLOOKUP(J339,male_reg,3,FALSE)-C339*10)),2)</f>
        <v/>
      </c>
      <c r="T339" s="468">
        <f t="shared" si="187"/>
        <v>0</v>
      </c>
      <c r="U339" s="468">
        <f t="shared" si="188"/>
        <v>0</v>
      </c>
      <c r="V339" s="467" t="str">
        <f t="shared" si="194"/>
        <v>X</v>
      </c>
      <c r="W339" s="467" t="str">
        <f t="shared" si="195"/>
        <v>X</v>
      </c>
      <c r="Z339" s="467">
        <f t="shared" si="189"/>
        <v>0</v>
      </c>
      <c r="AA339" s="467">
        <f t="shared" si="190"/>
        <v>0</v>
      </c>
    </row>
    <row r="340" spans="1:27" x14ac:dyDescent="0.35">
      <c r="A340" s="479">
        <f ca="1">IFERROR(SEARCH("Girls",B332),0)</f>
        <v>0</v>
      </c>
      <c r="B340" s="477">
        <v>7</v>
      </c>
      <c r="C340" s="477" t="str">
        <f>IFERROR(IF(B340&gt;MatchDay!$U$2,"",VLOOKUP($A332,timetables,MatchDay!$U$4+B340-1,FALSE)),0)</f>
        <v/>
      </c>
      <c r="D340" s="467" t="str">
        <f>IFERROR(HLOOKUP(C340,Declarations!$D$2:$S$102,A334,FALSE),"")</f>
        <v/>
      </c>
      <c r="E340" s="467" t="str">
        <f t="shared" si="192"/>
        <v/>
      </c>
      <c r="F340" s="466"/>
      <c r="G340" s="476"/>
      <c r="H340" s="477">
        <v>7</v>
      </c>
      <c r="I340" s="477" t="str">
        <f t="shared" si="193"/>
        <v/>
      </c>
      <c r="J340" s="467" t="str">
        <f>IFERROR(HLOOKUP(I340,Declarations!$D$2:$S$102,$A334,FALSE),"")</f>
        <v/>
      </c>
      <c r="K340" s="467" t="str">
        <f t="shared" si="191"/>
        <v/>
      </c>
      <c r="N340" s="478"/>
      <c r="P340" s="468" t="str">
        <f>IFERROR(IF(OR(D340=0,D340="-",D340="",D340=" ",D340=" ",D340="Athlete"),"",IF($A340&gt;0,VLOOKUP(D340,female_reg,3,FALSE)-C340*10,VLOOKUP(D340,male_reg,3,FALSE)-C340*10)),2)</f>
        <v/>
      </c>
      <c r="Q340" s="468" t="str">
        <f>IFERROR(IF(OR(J340=0,J340="-",J340=" ",J340="",J340=" ",J340="Athlete"),"",IF($A340&gt;0,VLOOKUP(J340,female_reg,3,FALSE)-C340*10,VLOOKUP(J340,male_reg,3,FALSE)-C340*10)),2)</f>
        <v/>
      </c>
      <c r="T340" s="468">
        <f t="shared" si="187"/>
        <v>0</v>
      </c>
      <c r="U340" s="468">
        <f t="shared" si="188"/>
        <v>0</v>
      </c>
      <c r="V340" s="467" t="str">
        <f t="shared" si="194"/>
        <v>X</v>
      </c>
      <c r="W340" s="467" t="str">
        <f t="shared" si="195"/>
        <v>X</v>
      </c>
      <c r="Z340" s="467">
        <f t="shared" si="189"/>
        <v>0</v>
      </c>
      <c r="AA340" s="467">
        <f t="shared" si="190"/>
        <v>0</v>
      </c>
    </row>
    <row r="341" spans="1:27" x14ac:dyDescent="0.35">
      <c r="A341" s="116">
        <f ca="1">IFERROR(VLOOKUP(A332,records,5,FALSE),"")</f>
        <v>59.79</v>
      </c>
      <c r="B341" s="477">
        <v>8</v>
      </c>
      <c r="C341" s="477" t="str">
        <f>IFERROR(IF(B341&gt;MatchDay!$U$2,"",VLOOKUP($A332,timetables,MatchDay!$U$4+B341-1,FALSE)),0)</f>
        <v/>
      </c>
      <c r="D341" s="467" t="str">
        <f>IFERROR(HLOOKUP(C341,Declarations!$D$2:$S$102,A334,FALSE),"")</f>
        <v/>
      </c>
      <c r="E341" s="467" t="str">
        <f t="shared" si="192"/>
        <v/>
      </c>
      <c r="F341" s="466"/>
      <c r="G341" s="476"/>
      <c r="H341" s="477">
        <v>8</v>
      </c>
      <c r="I341" s="477" t="str">
        <f t="shared" si="193"/>
        <v/>
      </c>
      <c r="J341" s="467" t="str">
        <f>IFERROR(HLOOKUP(I341,Declarations!$D$2:$S$102,$A334,FALSE),"")</f>
        <v/>
      </c>
      <c r="K341" s="467" t="str">
        <f t="shared" si="191"/>
        <v/>
      </c>
      <c r="N341" s="478"/>
      <c r="P341" s="468" t="str">
        <f>IFERROR(IF(OR(D341=0,D341="-",D341="",D341=" ",D341=" ",D341="Athlete"),"",IF($A340&gt;0,VLOOKUP(D341,female_reg,3,FALSE)-C341*10,VLOOKUP(D341,male_reg,3,FALSE)-C341*10)),2)</f>
        <v/>
      </c>
      <c r="Q341" s="468" t="str">
        <f>IFERROR(IF(OR(J341=0,J341="-",J341=" ",J341="",J341=" ",J341="Athlete"),"",IF($A340&gt;0,VLOOKUP(J341,female_reg,3,FALSE)-C341*10,VLOOKUP(J341,male_reg,3,FALSE)-C341*10)),2)</f>
        <v/>
      </c>
      <c r="T341" s="468">
        <f t="shared" si="187"/>
        <v>0</v>
      </c>
      <c r="U341" s="468">
        <f t="shared" si="188"/>
        <v>0</v>
      </c>
      <c r="V341" s="467" t="str">
        <f t="shared" si="194"/>
        <v>X</v>
      </c>
      <c r="W341" s="467" t="str">
        <f t="shared" si="195"/>
        <v>X</v>
      </c>
      <c r="Z341" s="467">
        <f t="shared" si="189"/>
        <v>0</v>
      </c>
      <c r="AA341" s="467">
        <f t="shared" si="190"/>
        <v>0</v>
      </c>
    </row>
    <row r="342" spans="1:27" x14ac:dyDescent="0.35">
      <c r="P342" s="468" t="str">
        <f>IFERROR(IF(OR(D342=0,D342="-",D342="",D342=" ",D342=" ",D342="Athlete"),"",IF($A340&gt;0,VLOOKUP(D342,female_reg,3,FALSE)-C342*10,VLOOKUP(D342,male_reg,3,FALSE)-C342*10)),"X")</f>
        <v/>
      </c>
      <c r="Q342" s="468" t="str">
        <f>IFERROR(IF(OR(J342=0,J342="-",J342=" ",J342="",J342=" ",J342="Athlete"),"",IF($A340&gt;0,VLOOKUP(J342,female_reg,3,FALSE)-C342*10,VLOOKUP(J342,male_reg,3,FALSE)-C342*10)),"X")</f>
        <v/>
      </c>
      <c r="T342" s="468">
        <f t="shared" si="187"/>
        <v>0</v>
      </c>
      <c r="U342" s="468">
        <f t="shared" si="188"/>
        <v>0</v>
      </c>
      <c r="V342" s="467" t="str">
        <f t="shared" si="194"/>
        <v>X</v>
      </c>
      <c r="W342" s="467" t="str">
        <f t="shared" si="195"/>
        <v>X</v>
      </c>
      <c r="Z342" s="467">
        <f t="shared" si="189"/>
        <v>0</v>
      </c>
      <c r="AA342" s="467">
        <f t="shared" si="190"/>
        <v>0</v>
      </c>
    </row>
    <row r="343" spans="1:27" x14ac:dyDescent="0.35">
      <c r="A343" s="111" t="str">
        <f ca="1">IFERROR(INDIRECT(CONCATENATE("'Timetables'!A"&amp;A346)),"")</f>
        <v>LFD02</v>
      </c>
      <c r="B343" s="469" t="str">
        <f ca="1">IFERROR(VLOOKUP(A343,timetables,2,FALSE)&amp;" "&amp;VLOOKUP(A343,timetables,3,FALSE)&amp;" A","")</f>
        <v>Hammer U15 Girls A</v>
      </c>
      <c r="C343" s="469"/>
      <c r="E343" s="470" t="str">
        <f ca="1">"Starts "&amp;TEXT(VLOOKUP(A343,timetables,7-MatchDay!$U$7,FALSE),"hh:mm")</f>
        <v>Starts 11:30</v>
      </c>
      <c r="F343" s="471"/>
      <c r="H343" s="472" t="str">
        <f ca="1">IFERROR("Rec: "&amp;TEXT(VLOOKUP(A343,records,5,FALSE),"#0.00")&amp;"m, "&amp;VLOOKUP(A343,records,3,FALSE)&amp;", "&amp;VLOOKUP(A343,records,4,FALSE)&amp;", "&amp;VLOOKUP(A343,records,8,FALSE),"")</f>
        <v>Rec: 55.15m, Phoebe Baggott, Wolverhampton &amp; Bilston, 2016</v>
      </c>
      <c r="K343" s="473"/>
      <c r="L343" s="474"/>
      <c r="M343" s="467"/>
      <c r="P343" s="468" t="str">
        <f>IFERROR(IF(OR(D343=0,D343="-",D343="",D343=" ",D343=" ",D343="Athlete"),"",IF($A351&gt;0,VLOOKUP(D343,female_reg,3,FALSE)-C343*10,VLOOKUP(D343,male_reg,3,FALSE)-C343*10)),"X")</f>
        <v/>
      </c>
      <c r="Q343" s="468" t="str">
        <f>IFERROR(IF(OR(J343=0,J343="-",J343=" ",J343="",J343=" ",J343="Athlete"),"",IF($A351&gt;0,VLOOKUP(J343,female_reg,3,FALSE)-C343*10,VLOOKUP(J343,male_reg,3,FALSE)-C343*10)),"X")</f>
        <v/>
      </c>
      <c r="T343" s="468">
        <f t="shared" ca="1" si="187"/>
        <v>0</v>
      </c>
      <c r="U343" s="468">
        <f t="shared" ca="1" si="188"/>
        <v>0</v>
      </c>
      <c r="Z343" s="467">
        <f t="shared" ca="1" si="189"/>
        <v>0</v>
      </c>
      <c r="AA343" s="467">
        <f t="shared" ca="1" si="190"/>
        <v>0</v>
      </c>
    </row>
    <row r="344" spans="1:27" x14ac:dyDescent="0.35">
      <c r="A344" s="85" t="str">
        <f ca="1">MID(A343,2,3)</f>
        <v>FD0</v>
      </c>
      <c r="B344" s="9" t="s">
        <v>163</v>
      </c>
      <c r="C344" s="9" t="s">
        <v>183</v>
      </c>
      <c r="D344" s="46" t="s">
        <v>227</v>
      </c>
      <c r="E344" s="46" t="s">
        <v>228</v>
      </c>
      <c r="F344" s="475"/>
      <c r="G344" s="46"/>
      <c r="H344" s="9" t="s">
        <v>163</v>
      </c>
      <c r="I344" s="9" t="s">
        <v>183</v>
      </c>
      <c r="J344" s="46" t="s">
        <v>227</v>
      </c>
      <c r="K344" s="46" t="s">
        <v>228</v>
      </c>
      <c r="L344" s="475"/>
      <c r="M344" s="475"/>
      <c r="N344" s="52"/>
      <c r="P344" s="468" t="str">
        <f>IFERROR(IF(OR(D344=0,D344="-",D344="",D344=" ",D344=" ",D344="Athlete"),"",IF($A351&gt;0,VLOOKUP(D344,female_reg,3,FALSE)-C344*10,VLOOKUP(D344,male_reg,3,FALSE)-C344*10)),"X")</f>
        <v/>
      </c>
      <c r="Q344" s="468" t="str">
        <f>IFERROR(IF(OR(J344=0,J344="-",J344=" ",J344="",J344=" ",J344="Athlete"),"",IF($A351&gt;0,VLOOKUP(J344,female_reg,3,FALSE)-C344*10,VLOOKUP(J344,male_reg,3,FALSE)-C344*10)),"X")</f>
        <v/>
      </c>
      <c r="T344" s="468">
        <f t="shared" ca="1" si="187"/>
        <v>0</v>
      </c>
      <c r="U344" s="468">
        <f t="shared" ca="1" si="188"/>
        <v>0</v>
      </c>
      <c r="Z344" s="467">
        <f t="shared" ca="1" si="189"/>
        <v>0</v>
      </c>
      <c r="AA344" s="467">
        <f t="shared" ca="1" si="190"/>
        <v>0</v>
      </c>
    </row>
    <row r="345" spans="1:27" x14ac:dyDescent="0.35">
      <c r="A345" s="181">
        <f ca="1">IFERROR(VLOOKUP(A343,Timetables!$A:$E,5,FALSE)-1,"")</f>
        <v>15</v>
      </c>
      <c r="B345" s="477">
        <v>1</v>
      </c>
      <c r="C345" s="477">
        <f ca="1">IFERROR(IF(B345&gt;MatchDay!$U$2,"",VLOOKUP($A343,timetables,MatchDay!$U$4+B345-1,FALSE)),0)</f>
        <v>4</v>
      </c>
      <c r="D345" s="467" t="str">
        <f ca="1">IFERROR(HLOOKUP(C345,Declarations!$D$2:$S$102,A345,FALSE),"")</f>
        <v>-</v>
      </c>
      <c r="E345" s="467" t="str">
        <f ca="1">IFERROR(VLOOKUP(C345,teamlookup,5,FALSE),"")</f>
        <v>M'bro</v>
      </c>
      <c r="F345" s="466"/>
      <c r="G345" s="476"/>
      <c r="H345" s="477">
        <v>1</v>
      </c>
      <c r="I345" s="477">
        <f ca="1">IFERROR(C345*11,"")</f>
        <v>44</v>
      </c>
      <c r="J345" s="467" t="str">
        <f ca="1">IFERROR(HLOOKUP(I345,Declarations!$D$2:$S$102,$A345,FALSE),"")</f>
        <v>-</v>
      </c>
      <c r="K345" s="467" t="str">
        <f t="shared" ref="K345:K352" ca="1" si="196">IFERROR(VLOOKUP(I345,teamlookup,5,FALSE),"")</f>
        <v>M'bro</v>
      </c>
      <c r="N345" s="478"/>
      <c r="P345" s="468" t="str">
        <f ca="1">IFERROR(IF(OR(D345=0,D345="-",D345="",D345=" ",D345=" ",D345="Athlete"),"",IF($A351&gt;0,VLOOKUP(D345,female_reg,3,FALSE)-C345*10,VLOOKUP(D345,male_reg,3,FALSE)-C345*10)),2)</f>
        <v/>
      </c>
      <c r="Q345" s="468" t="str">
        <f ca="1">IFERROR(IF(OR(J345=0,J345="-",J345=" ",J345="",J345=" ",J345="Athlete"),"",IF($A351&gt;0,VLOOKUP(J345,female_reg,3,FALSE)-C345*10,VLOOKUP(J345,male_reg,3,FALSE)-C345*10)),2)</f>
        <v/>
      </c>
      <c r="T345" s="468">
        <f t="shared" ca="1" si="187"/>
        <v>0</v>
      </c>
      <c r="U345" s="468">
        <f t="shared" ca="1" si="188"/>
        <v>0</v>
      </c>
      <c r="V345" s="467" t="str">
        <f t="shared" ref="V345:V352" ca="1" si="197">IFERROR(IF(OR(D345=0,D345="-",D345="",D345=" ",D345=" "),"X",D345&amp;E345),"X")</f>
        <v>X</v>
      </c>
      <c r="W345" s="467" t="str">
        <f t="shared" ref="W345:W352" ca="1" si="198">IFERROR(IF(OR(J345=0,J345="-",J345="",J345=" ",J345=" "),"X",J345&amp;K345),"X")</f>
        <v>X</v>
      </c>
      <c r="Z345" s="467">
        <f t="shared" ca="1" si="189"/>
        <v>0</v>
      </c>
      <c r="AA345" s="467">
        <f t="shared" ca="1" si="190"/>
        <v>0</v>
      </c>
    </row>
    <row r="346" spans="1:27" x14ac:dyDescent="0.35">
      <c r="A346" s="468">
        <f>A335+1</f>
        <v>40</v>
      </c>
      <c r="B346" s="477">
        <v>2</v>
      </c>
      <c r="C346" s="477">
        <f ca="1">IFERROR(IF(B346&gt;MatchDay!$U$2,"",VLOOKUP($A343,timetables,MatchDay!$U$4+B346-1,FALSE)),0)</f>
        <v>5</v>
      </c>
      <c r="D346" s="467" t="str">
        <f ca="1">IFERROR(HLOOKUP(C346,Declarations!$D$2:$S$102,A345,FALSE),"")</f>
        <v>LOVE Katie</v>
      </c>
      <c r="E346" s="467" t="str">
        <f t="shared" ref="E346:E352" ca="1" si="199">IFERROR(VLOOKUP(C346,teamlookup,5,FALSE),"")</f>
        <v>Scun</v>
      </c>
      <c r="F346" s="466"/>
      <c r="G346" s="476"/>
      <c r="H346" s="477">
        <v>2</v>
      </c>
      <c r="I346" s="477">
        <f t="shared" ref="I346:I352" ca="1" si="200">IFERROR(C346*11,"")</f>
        <v>55</v>
      </c>
      <c r="J346" s="467" t="str">
        <f ca="1">IFERROR(HLOOKUP(I346,Declarations!$D$2:$S$102,$A345,FALSE),"")</f>
        <v>BETTS Demi</v>
      </c>
      <c r="K346" s="467" t="str">
        <f t="shared" ca="1" si="196"/>
        <v>Scun</v>
      </c>
      <c r="N346" s="478"/>
      <c r="P346" s="468">
        <f ca="1">IFERROR(IF(OR(D346=0,D346="-",D346="",D346=" ",D346=" ",D346="Athlete"),"",IF($A351&gt;0,VLOOKUP(D346,female_reg,3,FALSE)-C346*10,VLOOKUP(D346,male_reg,3,FALSE)-C346*10)),2)</f>
        <v>1</v>
      </c>
      <c r="Q346" s="468">
        <f ca="1">IFERROR(IF(OR(J346=0,J346="-",J346=" ",J346="",J346=" ",J346="Athlete"),"",IF($A351&gt;0,VLOOKUP(J346,female_reg,3,FALSE)-C346*10,VLOOKUP(J346,male_reg,3,FALSE)-C346*10)),2)</f>
        <v>1</v>
      </c>
      <c r="T346" s="468">
        <f t="shared" ca="1" si="187"/>
        <v>1</v>
      </c>
      <c r="U346" s="468">
        <f t="shared" ca="1" si="188"/>
        <v>3</v>
      </c>
      <c r="V346" s="467" t="str">
        <f t="shared" ca="1" si="197"/>
        <v>LOVE KatieScun</v>
      </c>
      <c r="W346" s="467" t="str">
        <f t="shared" ca="1" si="198"/>
        <v>BETTS DemiScun</v>
      </c>
      <c r="Z346" s="467">
        <f t="shared" ca="1" si="189"/>
        <v>1</v>
      </c>
      <c r="AA346" s="467">
        <f t="shared" ca="1" si="190"/>
        <v>4</v>
      </c>
    </row>
    <row r="347" spans="1:27" x14ac:dyDescent="0.35">
      <c r="A347" s="118">
        <f ca="1">IFERROR(VLOOKUP(A343,standards,3,FALSE)+0.01,"-")</f>
        <v>44.61</v>
      </c>
      <c r="B347" s="477">
        <v>3</v>
      </c>
      <c r="C347" s="477">
        <f ca="1">IFERROR(IF(B347&gt;MatchDay!$U$2,"",VLOOKUP($A343,timetables,MatchDay!$U$4+B347-1,FALSE)),0)</f>
        <v>1</v>
      </c>
      <c r="D347" s="467" t="str">
        <f ca="1">IFERROR(HLOOKUP(C347,Declarations!$D$2:$S$102,A345,FALSE),"")</f>
        <v>LABAN Ella</v>
      </c>
      <c r="E347" s="467" t="str">
        <f t="shared" ca="1" si="199"/>
        <v>C'field</v>
      </c>
      <c r="F347" s="466"/>
      <c r="G347" s="476"/>
      <c r="H347" s="477">
        <v>3</v>
      </c>
      <c r="I347" s="477">
        <f t="shared" ca="1" si="200"/>
        <v>11</v>
      </c>
      <c r="J347" s="467" t="str">
        <f ca="1">IFERROR(HLOOKUP(I347,Declarations!$D$2:$S$102,$A345,FALSE),"")</f>
        <v>HIGHAM Ruby</v>
      </c>
      <c r="K347" s="467" t="str">
        <f t="shared" ca="1" si="196"/>
        <v>C'field</v>
      </c>
      <c r="N347" s="478"/>
      <c r="P347" s="468">
        <f ca="1">IFERROR(IF(OR(D347=0,D347="-",D347="",D347=" ",D347=" ",D347="Athlete"),"",IF($A351&gt;0,VLOOKUP(D347,female_reg,3,FALSE)-C347*10,VLOOKUP(D347,male_reg,3,FALSE)-C347*10)),2)</f>
        <v>1</v>
      </c>
      <c r="Q347" s="468">
        <f ca="1">IFERROR(IF(OR(J347=0,J347="-",J347=" ",J347="",J347=" ",J347="Athlete"),"",IF($A351&gt;0,VLOOKUP(J347,female_reg,3,FALSE)-C347*10,VLOOKUP(J347,male_reg,3,FALSE)-C347*10)),2)</f>
        <v>1</v>
      </c>
      <c r="T347" s="468">
        <f t="shared" ca="1" si="187"/>
        <v>3</v>
      </c>
      <c r="U347" s="468">
        <f t="shared" ca="1" si="188"/>
        <v>3</v>
      </c>
      <c r="V347" s="467" t="str">
        <f t="shared" ca="1" si="197"/>
        <v>LABAN EllaC'field</v>
      </c>
      <c r="W347" s="467" t="str">
        <f t="shared" ca="1" si="198"/>
        <v>HIGHAM RubyC'field</v>
      </c>
      <c r="Z347" s="467">
        <f t="shared" ca="1" si="189"/>
        <v>4</v>
      </c>
      <c r="AA347" s="467">
        <f t="shared" ca="1" si="190"/>
        <v>3</v>
      </c>
    </row>
    <row r="348" spans="1:27" x14ac:dyDescent="0.35">
      <c r="A348" s="118">
        <f ca="1">IFERROR(VLOOKUP(A343,standards,4,FALSE)+0.01,"-")</f>
        <v>39.21</v>
      </c>
      <c r="B348" s="477">
        <v>4</v>
      </c>
      <c r="C348" s="477">
        <f ca="1">IFERROR(IF(B348&gt;MatchDay!$U$2,"",VLOOKUP($A343,timetables,MatchDay!$U$4+B348-1,FALSE)),0)</f>
        <v>3</v>
      </c>
      <c r="D348" s="467" t="str">
        <f ca="1">IFERROR(HLOOKUP(C348,Declarations!$D$2:$S$102,A345,FALSE),"")</f>
        <v>-</v>
      </c>
      <c r="E348" s="467" t="str">
        <f t="shared" ca="1" si="199"/>
        <v>York</v>
      </c>
      <c r="F348" s="466"/>
      <c r="G348" s="476"/>
      <c r="H348" s="477">
        <v>4</v>
      </c>
      <c r="I348" s="477">
        <f t="shared" ca="1" si="200"/>
        <v>33</v>
      </c>
      <c r="J348" s="467" t="str">
        <f ca="1">IFERROR(HLOOKUP(I348,Declarations!$D$2:$S$102,$A345,FALSE),"")</f>
        <v>-</v>
      </c>
      <c r="K348" s="467" t="str">
        <f t="shared" ca="1" si="196"/>
        <v>York</v>
      </c>
      <c r="N348" s="478"/>
      <c r="P348" s="468" t="str">
        <f ca="1">IFERROR(IF(OR(D348=0,D348="-",D348="",D348=" ",D348=" ",D348="Athlete"),"",IF($A351&gt;0,VLOOKUP(D348,female_reg,3,FALSE)-C348*10,VLOOKUP(D348,male_reg,3,FALSE)-C348*10)),2)</f>
        <v/>
      </c>
      <c r="Q348" s="468" t="str">
        <f ca="1">IFERROR(IF(OR(J348=0,J348="-",J348=" ",J348="",J348=" ",J348="Athlete"),"",IF($A351&gt;0,VLOOKUP(J348,female_reg,3,FALSE)-C348*10,VLOOKUP(J348,male_reg,3,FALSE)-C348*10)),2)</f>
        <v/>
      </c>
      <c r="T348" s="468">
        <f t="shared" ca="1" si="187"/>
        <v>0</v>
      </c>
      <c r="U348" s="468">
        <f t="shared" ca="1" si="188"/>
        <v>0</v>
      </c>
      <c r="V348" s="467" t="str">
        <f t="shared" ca="1" si="197"/>
        <v>X</v>
      </c>
      <c r="W348" s="467" t="str">
        <f t="shared" ca="1" si="198"/>
        <v>X</v>
      </c>
      <c r="Z348" s="467">
        <f t="shared" ca="1" si="189"/>
        <v>0</v>
      </c>
      <c r="AA348" s="467">
        <f t="shared" ca="1" si="190"/>
        <v>0</v>
      </c>
    </row>
    <row r="349" spans="1:27" x14ac:dyDescent="0.35">
      <c r="A349" s="118">
        <f ca="1">IFERROR(VLOOKUP(A343,standards,5,FALSE)+0.01,"-")</f>
        <v>31.610000000000003</v>
      </c>
      <c r="B349" s="477">
        <v>5</v>
      </c>
      <c r="C349" s="477">
        <f ca="1">IFERROR(IF(B349&gt;MatchDay!$U$2,"",VLOOKUP($A343,timetables,MatchDay!$U$4+B349-1,FALSE)),0)</f>
        <v>2</v>
      </c>
      <c r="D349" s="467" t="str">
        <f ca="1">IFERROR(HLOOKUP(C349,Declarations!$D$2:$S$102,A345,FALSE),"")</f>
        <v>KYNOCH Ella</v>
      </c>
      <c r="E349" s="467" t="str">
        <f t="shared" ca="1" si="199"/>
        <v>Sheff+D</v>
      </c>
      <c r="F349" s="466"/>
      <c r="G349" s="476"/>
      <c r="H349" s="477">
        <v>5</v>
      </c>
      <c r="I349" s="477">
        <f t="shared" ca="1" si="200"/>
        <v>22</v>
      </c>
      <c r="J349" s="467" t="str">
        <f ca="1">IFERROR(HLOOKUP(I349,Declarations!$D$2:$S$102,$A345,FALSE),"")</f>
        <v>PADDON Freya</v>
      </c>
      <c r="K349" s="467" t="str">
        <f t="shared" ca="1" si="196"/>
        <v>Sheff+D</v>
      </c>
      <c r="N349" s="478"/>
      <c r="P349" s="468">
        <f ca="1">IFERROR(IF(OR(D349=0,D349="-",D349="",D349=" ",D349=" ",D349="Athlete"),"",IF($A351&gt;0,VLOOKUP(D349,female_reg,3,FALSE)-C349*10,VLOOKUP(D349,male_reg,3,FALSE)-C349*10)),2)</f>
        <v>1</v>
      </c>
      <c r="Q349" s="468">
        <f ca="1">IFERROR(IF(OR(J349=0,J349="-",J349=" ",J349="",J349=" ",J349="Athlete"),"",IF($A351&gt;0,VLOOKUP(J349,female_reg,3,FALSE)-C349*10,VLOOKUP(J349,male_reg,3,FALSE)-C349*10)),2)</f>
        <v>1</v>
      </c>
      <c r="T349" s="468">
        <f t="shared" ca="1" si="187"/>
        <v>3</v>
      </c>
      <c r="U349" s="468">
        <f t="shared" ca="1" si="188"/>
        <v>3</v>
      </c>
      <c r="V349" s="467" t="str">
        <f t="shared" ca="1" si="197"/>
        <v>KYNOCH EllaSheff+D</v>
      </c>
      <c r="W349" s="467" t="str">
        <f t="shared" ca="1" si="198"/>
        <v>PADDON FreyaSheff+D</v>
      </c>
      <c r="Z349" s="467">
        <f t="shared" ca="1" si="189"/>
        <v>3</v>
      </c>
      <c r="AA349" s="467">
        <f t="shared" ca="1" si="190"/>
        <v>4</v>
      </c>
    </row>
    <row r="350" spans="1:27" x14ac:dyDescent="0.35">
      <c r="A350" s="118">
        <f ca="1">IFERROR(VLOOKUP(A343,standards,6,FALSE)+0.01,"-")</f>
        <v>24.060000000000002</v>
      </c>
      <c r="B350" s="477">
        <v>6</v>
      </c>
      <c r="C350" s="477" t="str">
        <f>IFERROR(IF(B350&gt;MatchDay!$U$2,"",VLOOKUP($A343,timetables,MatchDay!$U$4+B350-1,FALSE)),0)</f>
        <v/>
      </c>
      <c r="D350" s="467" t="str">
        <f>IFERROR(HLOOKUP(C350,Declarations!$D$2:$S$102,A345,FALSE),"")</f>
        <v/>
      </c>
      <c r="E350" s="467" t="str">
        <f t="shared" si="199"/>
        <v/>
      </c>
      <c r="F350" s="466"/>
      <c r="G350" s="476"/>
      <c r="H350" s="477">
        <v>6</v>
      </c>
      <c r="I350" s="477" t="str">
        <f t="shared" si="200"/>
        <v/>
      </c>
      <c r="J350" s="467" t="str">
        <f>IFERROR(HLOOKUP(I350,Declarations!$D$2:$S$102,$A345,FALSE),"")</f>
        <v/>
      </c>
      <c r="K350" s="467" t="str">
        <f t="shared" si="196"/>
        <v/>
      </c>
      <c r="N350" s="478"/>
      <c r="P350" s="468" t="str">
        <f>IFERROR(IF(OR(D350=0,D350="-",D350="",D350=" ",D350=" ",D350="Athlete"),"",IF($A351&gt;0,VLOOKUP(D350,female_reg,3,FALSE)-C350*10,VLOOKUP(D350,male_reg,3,FALSE)-C350*10)),2)</f>
        <v/>
      </c>
      <c r="Q350" s="468" t="str">
        <f>IFERROR(IF(OR(J350=0,J350="-",J350=" ",J350="",J350=" ",J350="Athlete"),"",IF($A351&gt;0,VLOOKUP(J350,female_reg,3,FALSE)-C350*10,VLOOKUP(J350,male_reg,3,FALSE)-C350*10)),2)</f>
        <v/>
      </c>
      <c r="T350" s="468">
        <f t="shared" si="187"/>
        <v>0</v>
      </c>
      <c r="U350" s="468">
        <f t="shared" si="188"/>
        <v>0</v>
      </c>
      <c r="V350" s="467" t="str">
        <f t="shared" si="197"/>
        <v>X</v>
      </c>
      <c r="W350" s="467" t="str">
        <f t="shared" si="198"/>
        <v>X</v>
      </c>
      <c r="Z350" s="467">
        <f t="shared" si="189"/>
        <v>0</v>
      </c>
      <c r="AA350" s="467">
        <f t="shared" si="190"/>
        <v>0</v>
      </c>
    </row>
    <row r="351" spans="1:27" x14ac:dyDescent="0.35">
      <c r="A351" s="479">
        <f ca="1">IFERROR(SEARCH("Girls",B343),0)</f>
        <v>12</v>
      </c>
      <c r="B351" s="477">
        <v>7</v>
      </c>
      <c r="C351" s="477" t="str">
        <f>IFERROR(IF(B351&gt;MatchDay!$U$2,"",VLOOKUP($A343,timetables,MatchDay!$U$4+B351-1,FALSE)),0)</f>
        <v/>
      </c>
      <c r="D351" s="467" t="str">
        <f>IFERROR(HLOOKUP(C351,Declarations!$D$2:$S$102,A345,FALSE),"")</f>
        <v/>
      </c>
      <c r="E351" s="467" t="str">
        <f t="shared" si="199"/>
        <v/>
      </c>
      <c r="F351" s="466"/>
      <c r="G351" s="476"/>
      <c r="H351" s="477">
        <v>7</v>
      </c>
      <c r="I351" s="477" t="str">
        <f t="shared" si="200"/>
        <v/>
      </c>
      <c r="J351" s="467" t="str">
        <f>IFERROR(HLOOKUP(I351,Declarations!$D$2:$S$102,$A345,FALSE),"")</f>
        <v/>
      </c>
      <c r="K351" s="467" t="str">
        <f t="shared" si="196"/>
        <v/>
      </c>
      <c r="N351" s="478"/>
      <c r="P351" s="468" t="str">
        <f>IFERROR(IF(OR(D351=0,D351="-",D351="",D351=" ",D351=" ",D351="Athlete"),"",IF($A351&gt;0,VLOOKUP(D351,female_reg,3,FALSE)-C351*10,VLOOKUP(D351,male_reg,3,FALSE)-C351*10)),2)</f>
        <v/>
      </c>
      <c r="Q351" s="468" t="str">
        <f>IFERROR(IF(OR(J351=0,J351="-",J351=" ",J351="",J351=" ",J351="Athlete"),"",IF($A351&gt;0,VLOOKUP(J351,female_reg,3,FALSE)-C351*10,VLOOKUP(J351,male_reg,3,FALSE)-C351*10)),2)</f>
        <v/>
      </c>
      <c r="T351" s="468">
        <f t="shared" si="187"/>
        <v>0</v>
      </c>
      <c r="U351" s="468">
        <f t="shared" si="188"/>
        <v>0</v>
      </c>
      <c r="V351" s="467" t="str">
        <f t="shared" si="197"/>
        <v>X</v>
      </c>
      <c r="W351" s="467" t="str">
        <f t="shared" si="198"/>
        <v>X</v>
      </c>
      <c r="Z351" s="467">
        <f t="shared" si="189"/>
        <v>0</v>
      </c>
      <c r="AA351" s="467">
        <f t="shared" si="190"/>
        <v>0</v>
      </c>
    </row>
    <row r="352" spans="1:27" x14ac:dyDescent="0.35">
      <c r="A352" s="116">
        <f ca="1">IFERROR(VLOOKUP(A343,records,5,FALSE),"")</f>
        <v>55.15</v>
      </c>
      <c r="B352" s="477">
        <v>8</v>
      </c>
      <c r="C352" s="477" t="str">
        <f>IFERROR(IF(B352&gt;MatchDay!$U$2,"",VLOOKUP($A343,timetables,MatchDay!$U$4+B352-1,FALSE)),0)</f>
        <v/>
      </c>
      <c r="D352" s="467" t="str">
        <f>IFERROR(HLOOKUP(C352,Declarations!$D$2:$S$102,A345,FALSE),"")</f>
        <v/>
      </c>
      <c r="E352" s="467" t="str">
        <f t="shared" si="199"/>
        <v/>
      </c>
      <c r="F352" s="466"/>
      <c r="G352" s="476"/>
      <c r="H352" s="477">
        <v>8</v>
      </c>
      <c r="I352" s="477" t="str">
        <f t="shared" si="200"/>
        <v/>
      </c>
      <c r="J352" s="467" t="str">
        <f>IFERROR(HLOOKUP(I352,Declarations!$D$2:$S$102,$A345,FALSE),"")</f>
        <v/>
      </c>
      <c r="K352" s="467" t="str">
        <f t="shared" si="196"/>
        <v/>
      </c>
      <c r="N352" s="478"/>
      <c r="P352" s="468" t="str">
        <f>IFERROR(IF(OR(D352=0,D352="-",D352="",D352=" ",D352=" ",D352="Athlete"),"",IF($A351&gt;0,VLOOKUP(D352,female_reg,3,FALSE)-C352*10,VLOOKUP(D352,male_reg,3,FALSE)-C352*10)),2)</f>
        <v/>
      </c>
      <c r="Q352" s="468" t="str">
        <f>IFERROR(IF(OR(J352=0,J352="-",J352=" ",J352="",J352=" ",J352="Athlete"),"",IF($A351&gt;0,VLOOKUP(J352,female_reg,3,FALSE)-C352*10,VLOOKUP(J352,male_reg,3,FALSE)-C352*10)),2)</f>
        <v/>
      </c>
      <c r="T352" s="468">
        <f t="shared" si="187"/>
        <v>0</v>
      </c>
      <c r="U352" s="468">
        <f t="shared" si="188"/>
        <v>0</v>
      </c>
      <c r="V352" s="467" t="str">
        <f t="shared" si="197"/>
        <v>X</v>
      </c>
      <c r="W352" s="467" t="str">
        <f t="shared" si="198"/>
        <v>X</v>
      </c>
      <c r="Z352" s="467">
        <f t="shared" si="189"/>
        <v>0</v>
      </c>
      <c r="AA352" s="467">
        <f t="shared" si="190"/>
        <v>0</v>
      </c>
    </row>
    <row r="353" spans="1:27" x14ac:dyDescent="0.35">
      <c r="P353" s="468" t="str">
        <f>IFERROR(IF(OR(D353=0,D353="-",D353="",D353=" ",D353=" ",D353="Athlete"),"",IF($A351&gt;0,VLOOKUP(D353,female_reg,3,FALSE)-C353*10,VLOOKUP(D353,male_reg,3,FALSE)-C353*10)),"X")</f>
        <v/>
      </c>
      <c r="Q353" s="468" t="str">
        <f>IFERROR(IF(OR(J353=0,J353="-",J353=" ",J353="",J353=" ",J353="Athlete"),"",IF($A351&gt;0,VLOOKUP(J353,female_reg,3,FALSE)-C353*10,VLOOKUP(J353,male_reg,3,FALSE)-C353*10)),"X")</f>
        <v/>
      </c>
      <c r="T353" s="468">
        <f t="shared" ca="1" si="187"/>
        <v>0</v>
      </c>
      <c r="U353" s="468">
        <f t="shared" ca="1" si="188"/>
        <v>0</v>
      </c>
      <c r="Z353" s="467">
        <f t="shared" ca="1" si="189"/>
        <v>0</v>
      </c>
      <c r="AA353" s="467">
        <f t="shared" ca="1" si="190"/>
        <v>0</v>
      </c>
    </row>
    <row r="354" spans="1:27" x14ac:dyDescent="0.35">
      <c r="A354" s="111" t="str">
        <f ca="1">IFERROR(INDIRECT(CONCATENATE("'Timetables'!A"&amp;A357)),"")</f>
        <v>LFW01</v>
      </c>
      <c r="B354" s="469" t="str">
        <f ca="1">IFERROR(VLOOKUP(A354,timetables,2,FALSE)&amp;" "&amp;VLOOKUP(A354,timetables,3,FALSE)&amp;" A","")</f>
        <v>Long Jump U13 Boys A</v>
      </c>
      <c r="C354" s="469"/>
      <c r="E354" s="470" t="str">
        <f ca="1">"Starts "&amp;TEXT(VLOOKUP(A354,timetables,7-MatchDay!$U$7,FALSE),"hh:mm")</f>
        <v>Starts 11:30</v>
      </c>
      <c r="F354" s="471"/>
      <c r="H354" s="472" t="str">
        <f ca="1">IFERROR("Rec: "&amp;TEXT(VLOOKUP(A354,records,5,FALSE),"#0.00")&amp;"m, "&amp;VLOOKUP(A354,records,3,FALSE)&amp;", "&amp;VLOOKUP(A354,records,4,FALSE)&amp;", "&amp;VLOOKUP(A354,records,8,FALSE),"")</f>
        <v>Rec: 5.45m, Dante Clark, Herne Hill Harriers, 2018</v>
      </c>
      <c r="K354" s="473"/>
      <c r="L354" s="474"/>
      <c r="M354" s="467"/>
      <c r="P354" s="468" t="str">
        <f>IFERROR(IF(OR(D354=0,D354="-",D354="",D354=" ",D354=" ",D354="Athlete"),"",IF($A362&gt;0,VLOOKUP(D354,female_reg,3,FALSE)-C354*10,VLOOKUP(D354,male_reg,3,FALSE)-C354*10)),"X")</f>
        <v/>
      </c>
      <c r="Q354" s="468" t="str">
        <f>IFERROR(IF(OR(J354=0,J354="-",J354=" ",J354="",J354=" ",J354="Athlete"),"",IF($A362&gt;0,VLOOKUP(J354,female_reg,3,FALSE)-C354*10,VLOOKUP(J354,male_reg,3,FALSE)-C354*10)),"X")</f>
        <v/>
      </c>
      <c r="T354" s="468">
        <f t="shared" ca="1" si="187"/>
        <v>0</v>
      </c>
      <c r="U354" s="468">
        <f t="shared" ca="1" si="188"/>
        <v>0</v>
      </c>
      <c r="Z354" s="467">
        <f t="shared" ca="1" si="189"/>
        <v>0</v>
      </c>
      <c r="AA354" s="467">
        <f t="shared" ca="1" si="190"/>
        <v>0</v>
      </c>
    </row>
    <row r="355" spans="1:27" x14ac:dyDescent="0.35">
      <c r="A355" s="85" t="str">
        <f ca="1">MID(A354,2,3)</f>
        <v>FW0</v>
      </c>
      <c r="B355" s="9" t="s">
        <v>163</v>
      </c>
      <c r="C355" s="9" t="s">
        <v>183</v>
      </c>
      <c r="D355" s="46" t="s">
        <v>227</v>
      </c>
      <c r="E355" s="46" t="s">
        <v>228</v>
      </c>
      <c r="F355" s="475"/>
      <c r="G355" s="46"/>
      <c r="H355" s="9" t="s">
        <v>163</v>
      </c>
      <c r="I355" s="9" t="s">
        <v>183</v>
      </c>
      <c r="J355" s="46" t="s">
        <v>227</v>
      </c>
      <c r="K355" s="46" t="s">
        <v>228</v>
      </c>
      <c r="L355" s="475"/>
      <c r="M355" s="475"/>
      <c r="N355" s="52"/>
      <c r="P355" s="468" t="str">
        <f>IFERROR(IF(OR(D355=0,D355="-",D355="",D355=" ",D355=" ",D355="Athlete"),"",IF($A362&gt;0,VLOOKUP(D355,female_reg,3,FALSE)-C355*10,VLOOKUP(D355,male_reg,3,FALSE)-C355*10)),"X")</f>
        <v/>
      </c>
      <c r="Q355" s="468" t="str">
        <f>IFERROR(IF(OR(J355=0,J355="-",J355=" ",J355="",J355=" ",J355="Athlete"),"",IF($A362&gt;0,VLOOKUP(J355,female_reg,3,FALSE)-C355*10,VLOOKUP(J355,male_reg,3,FALSE)-C355*10)),"X")</f>
        <v/>
      </c>
      <c r="T355" s="468">
        <f t="shared" ca="1" si="187"/>
        <v>0</v>
      </c>
      <c r="U355" s="468">
        <f t="shared" ca="1" si="188"/>
        <v>0</v>
      </c>
      <c r="Z355" s="467">
        <f t="shared" ca="1" si="189"/>
        <v>0</v>
      </c>
      <c r="AA355" s="467">
        <f t="shared" ca="1" si="190"/>
        <v>0</v>
      </c>
    </row>
    <row r="356" spans="1:27" x14ac:dyDescent="0.35">
      <c r="A356" s="181">
        <f ca="1">IFERROR(VLOOKUP(A354,Timetables!$A:$E,5,FALSE)-1,"")</f>
        <v>93</v>
      </c>
      <c r="B356" s="477">
        <v>1</v>
      </c>
      <c r="C356" s="477">
        <f ca="1">IFERROR(IF(B356&gt;MatchDay!$U$2,"",VLOOKUP($A354,timetables,MatchDay!$U$4+B356-1,FALSE)),0)</f>
        <v>1</v>
      </c>
      <c r="D356" s="467" t="str">
        <f ca="1">IFERROR(HLOOKUP(C356,Declarations!$D$2:$S$102,A356,FALSE),"")</f>
        <v>GASKIN Nathanael</v>
      </c>
      <c r="E356" s="467" t="str">
        <f ca="1">IFERROR(VLOOKUP(C356,teamlookup,5,FALSE),"")</f>
        <v>C'field</v>
      </c>
      <c r="F356" s="466"/>
      <c r="G356" s="476"/>
      <c r="H356" s="477">
        <v>1</v>
      </c>
      <c r="I356" s="477">
        <f ca="1">IFERROR(C356*11,"")</f>
        <v>11</v>
      </c>
      <c r="J356" s="467" t="str">
        <f ca="1">IFERROR(HLOOKUP(I356,Declarations!$D$2:$S$102,$A356,FALSE),"")</f>
        <v>DREW Matthew</v>
      </c>
      <c r="K356" s="467" t="str">
        <f t="shared" ref="K356:K363" ca="1" si="201">IFERROR(VLOOKUP(I356,teamlookup,5,FALSE),"")</f>
        <v>C'field</v>
      </c>
      <c r="N356" s="478"/>
      <c r="P356" s="468">
        <f ca="1">IFERROR(IF(OR(D356=0,D356="-",D356="",D356=" ",D356=" ",D356="Athlete"),"",IF($A362&gt;0,VLOOKUP(D356,female_reg,3,FALSE)-C356*10,VLOOKUP(D356,male_reg,3,FALSE)-C356*10)),2)</f>
        <v>1</v>
      </c>
      <c r="Q356" s="468">
        <f ca="1">IFERROR(IF(OR(J356=0,J356="-",J356=" ",J356="",J356=" ",J356="Athlete"),"",IF($A362&gt;0,VLOOKUP(J356,female_reg,3,FALSE)-C356*10,VLOOKUP(J356,male_reg,3,FALSE)-C356*10)),2)</f>
        <v>1</v>
      </c>
      <c r="T356" s="468">
        <f t="shared" ca="1" si="187"/>
        <v>3</v>
      </c>
      <c r="U356" s="468">
        <f t="shared" ca="1" si="188"/>
        <v>3</v>
      </c>
      <c r="V356" s="467" t="str">
        <f t="shared" ref="V356:V363" ca="1" si="202">IFERROR(IF(OR(D356=0,D356="-",D356="",D356=" ",D356=" "),"X",D356&amp;E356),"X")</f>
        <v>GASKIN NathanaelC'field</v>
      </c>
      <c r="W356" s="467" t="str">
        <f t="shared" ref="W356:W363" ca="1" si="203">IFERROR(IF(OR(J356=0,J356="-",J356="",J356=" ",J356=" "),"X",J356&amp;K356),"X")</f>
        <v>DREW MatthewC'field</v>
      </c>
      <c r="Z356" s="467">
        <f t="shared" ca="1" si="189"/>
        <v>4</v>
      </c>
      <c r="AA356" s="467">
        <f t="shared" ca="1" si="190"/>
        <v>4</v>
      </c>
    </row>
    <row r="357" spans="1:27" x14ac:dyDescent="0.35">
      <c r="A357" s="468">
        <f>A346+1</f>
        <v>41</v>
      </c>
      <c r="B357" s="477">
        <v>2</v>
      </c>
      <c r="C357" s="477">
        <f ca="1">IFERROR(IF(B357&gt;MatchDay!$U$2,"",VLOOKUP($A354,timetables,MatchDay!$U$4+B357-1,FALSE)),0)</f>
        <v>5</v>
      </c>
      <c r="D357" s="467" t="str">
        <f ca="1">IFERROR(HLOOKUP(C357,Declarations!$D$2:$S$102,A356,FALSE),"")</f>
        <v>LANGTON Cody</v>
      </c>
      <c r="E357" s="467" t="str">
        <f t="shared" ref="E357:E363" ca="1" si="204">IFERROR(VLOOKUP(C357,teamlookup,5,FALSE),"")</f>
        <v>Scun</v>
      </c>
      <c r="F357" s="466"/>
      <c r="G357" s="476"/>
      <c r="H357" s="477">
        <v>2</v>
      </c>
      <c r="I357" s="477">
        <f t="shared" ref="I357:I363" ca="1" si="205">IFERROR(C357*11,"")</f>
        <v>55</v>
      </c>
      <c r="J357" s="467" t="str">
        <f ca="1">IFERROR(HLOOKUP(I357,Declarations!$D$2:$S$102,$A356,FALSE),"")</f>
        <v>-</v>
      </c>
      <c r="K357" s="467" t="str">
        <f t="shared" ca="1" si="201"/>
        <v>Scun</v>
      </c>
      <c r="N357" s="478"/>
      <c r="P357" s="468">
        <f ca="1">IFERROR(IF(OR(D357=0,D357="-",D357="",D357=" ",D357=" ",D357="Athlete"),"",IF($A362&gt;0,VLOOKUP(D357,female_reg,3,FALSE)-C357*10,VLOOKUP(D357,male_reg,3,FALSE)-C357*10)),2)</f>
        <v>1</v>
      </c>
      <c r="Q357" s="468" t="str">
        <f ca="1">IFERROR(IF(OR(J357=0,J357="-",J357=" ",J357="",J357=" ",J357="Athlete"),"",IF($A362&gt;0,VLOOKUP(J357,female_reg,3,FALSE)-C357*10,VLOOKUP(J357,male_reg,3,FALSE)-C357*10)),2)</f>
        <v/>
      </c>
      <c r="T357" s="468">
        <f t="shared" ca="1" si="187"/>
        <v>3</v>
      </c>
      <c r="U357" s="468">
        <f t="shared" ca="1" si="188"/>
        <v>0</v>
      </c>
      <c r="V357" s="467" t="str">
        <f t="shared" ca="1" si="202"/>
        <v>LANGTON CodyScun</v>
      </c>
      <c r="W357" s="467" t="str">
        <f t="shared" ca="1" si="203"/>
        <v>X</v>
      </c>
      <c r="Z357" s="467">
        <f t="shared" ca="1" si="189"/>
        <v>3</v>
      </c>
      <c r="AA357" s="467">
        <f t="shared" ca="1" si="190"/>
        <v>0</v>
      </c>
    </row>
    <row r="358" spans="1:27" x14ac:dyDescent="0.35">
      <c r="A358" s="118">
        <f ca="1">IFERROR(VLOOKUP(A354,standards,3,FALSE)+0.01,"-")</f>
        <v>4.76</v>
      </c>
      <c r="B358" s="477">
        <v>3</v>
      </c>
      <c r="C358" s="477">
        <f ca="1">IFERROR(IF(B358&gt;MatchDay!$U$2,"",VLOOKUP($A354,timetables,MatchDay!$U$4+B358-1,FALSE)),0)</f>
        <v>4</v>
      </c>
      <c r="D358" s="467" t="str">
        <f ca="1">IFERROR(HLOOKUP(C358,Declarations!$D$2:$S$102,A356,FALSE),"")</f>
        <v>BAKER Edward</v>
      </c>
      <c r="E358" s="467" t="str">
        <f t="shared" ca="1" si="204"/>
        <v>M'bro</v>
      </c>
      <c r="F358" s="466"/>
      <c r="G358" s="476"/>
      <c r="H358" s="477">
        <v>3</v>
      </c>
      <c r="I358" s="477">
        <f t="shared" ca="1" si="205"/>
        <v>44</v>
      </c>
      <c r="J358" s="467" t="str">
        <f ca="1">IFERROR(HLOOKUP(I358,Declarations!$D$2:$S$102,$A356,FALSE),"")</f>
        <v>CRAGGS George</v>
      </c>
      <c r="K358" s="467" t="str">
        <f t="shared" ca="1" si="201"/>
        <v>M'bro</v>
      </c>
      <c r="N358" s="478"/>
      <c r="P358" s="468">
        <f ca="1">IFERROR(IF(OR(D358=0,D358="-",D358="",D358=" ",D358=" ",D358="Athlete"),"",IF($A362&gt;0,VLOOKUP(D358,female_reg,3,FALSE)-C358*10,VLOOKUP(D358,male_reg,3,FALSE)-C358*10)),2)</f>
        <v>1</v>
      </c>
      <c r="Q358" s="468">
        <f ca="1">IFERROR(IF(OR(J358=0,J358="-",J358=" ",J358="",J358=" ",J358="Athlete"),"",IF($A362&gt;0,VLOOKUP(J358,female_reg,3,FALSE)-C358*10,VLOOKUP(J358,male_reg,3,FALSE)-C358*10)),2)</f>
        <v>1</v>
      </c>
      <c r="T358" s="468">
        <f t="shared" ca="1" si="187"/>
        <v>3</v>
      </c>
      <c r="U358" s="468">
        <f t="shared" ca="1" si="188"/>
        <v>2</v>
      </c>
      <c r="V358" s="467" t="str">
        <f t="shared" ca="1" si="202"/>
        <v>BAKER EdwardM'bro</v>
      </c>
      <c r="W358" s="467" t="str">
        <f t="shared" ca="1" si="203"/>
        <v>CRAGGS GeorgeM'bro</v>
      </c>
      <c r="Z358" s="467">
        <f t="shared" ca="1" si="189"/>
        <v>3</v>
      </c>
      <c r="AA358" s="467">
        <f t="shared" ca="1" si="190"/>
        <v>2</v>
      </c>
    </row>
    <row r="359" spans="1:27" x14ac:dyDescent="0.35">
      <c r="A359" s="118">
        <f ca="1">IFERROR(VLOOKUP(A354,standards,4,FALSE)+0.01,"-")</f>
        <v>4.5599999999999996</v>
      </c>
      <c r="B359" s="477">
        <v>4</v>
      </c>
      <c r="C359" s="477">
        <f ca="1">IFERROR(IF(B359&gt;MatchDay!$U$2,"",VLOOKUP($A354,timetables,MatchDay!$U$4+B359-1,FALSE)),0)</f>
        <v>2</v>
      </c>
      <c r="D359" s="467" t="str">
        <f ca="1">IFERROR(HLOOKUP(C359,Declarations!$D$2:$S$102,A356,FALSE),"")</f>
        <v>CONNELLY George</v>
      </c>
      <c r="E359" s="467" t="str">
        <f t="shared" ca="1" si="204"/>
        <v>Sheff+D</v>
      </c>
      <c r="F359" s="466"/>
      <c r="G359" s="476"/>
      <c r="H359" s="477">
        <v>4</v>
      </c>
      <c r="I359" s="477">
        <f t="shared" ca="1" si="205"/>
        <v>22</v>
      </c>
      <c r="J359" s="467" t="str">
        <f ca="1">IFERROR(HLOOKUP(I359,Declarations!$D$2:$S$102,$A356,FALSE),"")</f>
        <v>REILLY Arthur</v>
      </c>
      <c r="K359" s="467" t="str">
        <f t="shared" ca="1" si="201"/>
        <v>Sheff+D</v>
      </c>
      <c r="N359" s="478"/>
      <c r="P359" s="468">
        <f ca="1">IFERROR(IF(OR(D359=0,D359="-",D359="",D359=" ",D359=" ",D359="Athlete"),"",IF($A362&gt;0,VLOOKUP(D359,female_reg,3,FALSE)-C359*10,VLOOKUP(D359,male_reg,3,FALSE)-C359*10)),2)</f>
        <v>1</v>
      </c>
      <c r="Q359" s="468">
        <f ca="1">IFERROR(IF(OR(J359=0,J359="-",J359=" ",J359="",J359=" ",J359="Athlete"),"",IF($A362&gt;0,VLOOKUP(J359,female_reg,3,FALSE)-C359*10,VLOOKUP(J359,male_reg,3,FALSE)-C359*10)),2)</f>
        <v>1</v>
      </c>
      <c r="T359" s="468">
        <f t="shared" ca="1" si="187"/>
        <v>2</v>
      </c>
      <c r="U359" s="468">
        <f t="shared" ca="1" si="188"/>
        <v>3</v>
      </c>
      <c r="V359" s="467" t="str">
        <f t="shared" ca="1" si="202"/>
        <v>CONNELLY GeorgeSheff+D</v>
      </c>
      <c r="W359" s="467" t="str">
        <f t="shared" ca="1" si="203"/>
        <v>REILLY ArthurSheff+D</v>
      </c>
      <c r="Z359" s="467">
        <f t="shared" ca="1" si="189"/>
        <v>3</v>
      </c>
      <c r="AA359" s="467">
        <f t="shared" ca="1" si="190"/>
        <v>4</v>
      </c>
    </row>
    <row r="360" spans="1:27" x14ac:dyDescent="0.35">
      <c r="A360" s="118">
        <f ca="1">IFERROR(VLOOKUP(A354,standards,5,FALSE)+0.01,"-")</f>
        <v>4.41</v>
      </c>
      <c r="B360" s="477">
        <v>5</v>
      </c>
      <c r="C360" s="477">
        <f ca="1">IFERROR(IF(B360&gt;MatchDay!$U$2,"",VLOOKUP($A354,timetables,MatchDay!$U$4+B360-1,FALSE)),0)</f>
        <v>3</v>
      </c>
      <c r="D360" s="467" t="str">
        <f ca="1">IFERROR(HLOOKUP(C360,Declarations!$D$2:$S$102,A356,FALSE),"")</f>
        <v>MARSHALL Syd</v>
      </c>
      <c r="E360" s="467" t="str">
        <f t="shared" ca="1" si="204"/>
        <v>York</v>
      </c>
      <c r="F360" s="466"/>
      <c r="G360" s="476"/>
      <c r="H360" s="477">
        <v>5</v>
      </c>
      <c r="I360" s="477">
        <f t="shared" ca="1" si="205"/>
        <v>33</v>
      </c>
      <c r="J360" s="467" t="str">
        <f ca="1">IFERROR(HLOOKUP(I360,Declarations!$D$2:$S$102,$A356,FALSE),"")</f>
        <v>PEARSON Adam</v>
      </c>
      <c r="K360" s="467" t="str">
        <f t="shared" ca="1" si="201"/>
        <v>York</v>
      </c>
      <c r="N360" s="478"/>
      <c r="P360" s="468">
        <f ca="1">IFERROR(IF(OR(D360=0,D360="-",D360="",D360=" ",D360=" ",D360="Athlete"),"",IF($A362&gt;0,VLOOKUP(D360,female_reg,3,FALSE)-C360*10,VLOOKUP(D360,male_reg,3,FALSE)-C360*10)),2)</f>
        <v>0</v>
      </c>
      <c r="Q360" s="468">
        <f ca="1">IFERROR(IF(OR(J360=0,J360="-",J360=" ",J360="",J360=" ",J360="Athlete"),"",IF($A362&gt;0,VLOOKUP(J360,female_reg,3,FALSE)-C360*10,VLOOKUP(J360,male_reg,3,FALSE)-C360*10)),2)</f>
        <v>1</v>
      </c>
      <c r="T360" s="468">
        <f t="shared" ca="1" si="187"/>
        <v>2</v>
      </c>
      <c r="U360" s="468">
        <f t="shared" ca="1" si="188"/>
        <v>2</v>
      </c>
      <c r="V360" s="467" t="str">
        <f t="shared" ca="1" si="202"/>
        <v>MARSHALL SydYork</v>
      </c>
      <c r="W360" s="467" t="str">
        <f t="shared" ca="1" si="203"/>
        <v>PEARSON AdamYork</v>
      </c>
      <c r="Z360" s="467">
        <f t="shared" ca="1" si="189"/>
        <v>3</v>
      </c>
      <c r="AA360" s="467">
        <f t="shared" ca="1" si="190"/>
        <v>3</v>
      </c>
    </row>
    <row r="361" spans="1:27" x14ac:dyDescent="0.35">
      <c r="A361" s="118">
        <f ca="1">IFERROR(VLOOKUP(A354,standards,6,FALSE)+0.01,"-")</f>
        <v>4.16</v>
      </c>
      <c r="B361" s="477">
        <v>6</v>
      </c>
      <c r="C361" s="477" t="str">
        <f>IFERROR(IF(B361&gt;MatchDay!$U$2,"",VLOOKUP($A354,timetables,MatchDay!$U$4+B361-1,FALSE)),0)</f>
        <v/>
      </c>
      <c r="D361" s="467" t="str">
        <f>IFERROR(HLOOKUP(C361,Declarations!$D$2:$S$102,A356,FALSE),"")</f>
        <v/>
      </c>
      <c r="E361" s="467" t="str">
        <f t="shared" si="204"/>
        <v/>
      </c>
      <c r="F361" s="466"/>
      <c r="G361" s="476"/>
      <c r="H361" s="477">
        <v>6</v>
      </c>
      <c r="I361" s="477" t="str">
        <f t="shared" si="205"/>
        <v/>
      </c>
      <c r="J361" s="467" t="str">
        <f>IFERROR(HLOOKUP(I361,Declarations!$D$2:$S$102,$A356,FALSE),"")</f>
        <v/>
      </c>
      <c r="K361" s="467" t="str">
        <f t="shared" si="201"/>
        <v/>
      </c>
      <c r="N361" s="478"/>
      <c r="P361" s="468" t="str">
        <f>IFERROR(IF(OR(D361=0,D361="-",D361="",D361=" ",D361=" ",D361="Athlete"),"",IF($A362&gt;0,VLOOKUP(D361,female_reg,3,FALSE)-C361*10,VLOOKUP(D361,male_reg,3,FALSE)-C361*10)),2)</f>
        <v/>
      </c>
      <c r="Q361" s="468" t="str">
        <f>IFERROR(IF(OR(J361=0,J361="-",J361=" ",J361="",J361=" ",J361="Athlete"),"",IF($A362&gt;0,VLOOKUP(J361,female_reg,3,FALSE)-C361*10,VLOOKUP(J361,male_reg,3,FALSE)-C361*10)),2)</f>
        <v/>
      </c>
      <c r="T361" s="468">
        <f t="shared" si="187"/>
        <v>0</v>
      </c>
      <c r="U361" s="468">
        <f t="shared" si="188"/>
        <v>0</v>
      </c>
      <c r="V361" s="467" t="str">
        <f t="shared" si="202"/>
        <v>X</v>
      </c>
      <c r="W361" s="467" t="str">
        <f t="shared" si="203"/>
        <v>X</v>
      </c>
      <c r="Z361" s="467">
        <f t="shared" si="189"/>
        <v>0</v>
      </c>
      <c r="AA361" s="467">
        <f t="shared" si="190"/>
        <v>0</v>
      </c>
    </row>
    <row r="362" spans="1:27" x14ac:dyDescent="0.35">
      <c r="A362" s="479">
        <f ca="1">IFERROR(SEARCH("Girls",B354),0)</f>
        <v>0</v>
      </c>
      <c r="B362" s="477">
        <v>7</v>
      </c>
      <c r="C362" s="477" t="str">
        <f>IFERROR(IF(B362&gt;MatchDay!$U$2,"",VLOOKUP($A354,timetables,MatchDay!$U$4+B362-1,FALSE)),0)</f>
        <v/>
      </c>
      <c r="D362" s="467" t="str">
        <f>IFERROR(HLOOKUP(C362,Declarations!$D$2:$S$102,A356,FALSE),"")</f>
        <v/>
      </c>
      <c r="E362" s="467" t="str">
        <f t="shared" si="204"/>
        <v/>
      </c>
      <c r="F362" s="466"/>
      <c r="G362" s="476"/>
      <c r="H362" s="477">
        <v>7</v>
      </c>
      <c r="I362" s="477" t="str">
        <f t="shared" si="205"/>
        <v/>
      </c>
      <c r="J362" s="467" t="str">
        <f>IFERROR(HLOOKUP(I362,Declarations!$D$2:$S$102,$A356,FALSE),"")</f>
        <v/>
      </c>
      <c r="K362" s="467" t="str">
        <f t="shared" si="201"/>
        <v/>
      </c>
      <c r="N362" s="478"/>
      <c r="P362" s="468" t="str">
        <f>IFERROR(IF(OR(D362=0,D362="-",D362="",D362=" ",D362=" ",D362="Athlete"),"",IF($A362&gt;0,VLOOKUP(D362,female_reg,3,FALSE)-C362*10,VLOOKUP(D362,male_reg,3,FALSE)-C362*10)),2)</f>
        <v/>
      </c>
      <c r="Q362" s="468" t="str">
        <f>IFERROR(IF(OR(J362=0,J362="-",J362=" ",J362="",J362=" ",J362="Athlete"),"",IF($A362&gt;0,VLOOKUP(J362,female_reg,3,FALSE)-C362*10,VLOOKUP(J362,male_reg,3,FALSE)-C362*10)),2)</f>
        <v/>
      </c>
      <c r="T362" s="468">
        <f t="shared" si="187"/>
        <v>0</v>
      </c>
      <c r="U362" s="468">
        <f t="shared" si="188"/>
        <v>0</v>
      </c>
      <c r="V362" s="467" t="str">
        <f t="shared" si="202"/>
        <v>X</v>
      </c>
      <c r="W362" s="467" t="str">
        <f t="shared" si="203"/>
        <v>X</v>
      </c>
      <c r="Z362" s="467">
        <f t="shared" si="189"/>
        <v>0</v>
      </c>
      <c r="AA362" s="467">
        <f t="shared" si="190"/>
        <v>0</v>
      </c>
    </row>
    <row r="363" spans="1:27" x14ac:dyDescent="0.35">
      <c r="A363" s="116">
        <f ca="1">IFERROR(VLOOKUP(A354,records,5,FALSE),"")</f>
        <v>5.45</v>
      </c>
      <c r="B363" s="477">
        <v>8</v>
      </c>
      <c r="C363" s="477" t="str">
        <f>IFERROR(IF(B363&gt;MatchDay!$U$2,"",VLOOKUP($A354,timetables,MatchDay!$U$4+B363-1,FALSE)),0)</f>
        <v/>
      </c>
      <c r="D363" s="467" t="str">
        <f>IFERROR(HLOOKUP(C363,Declarations!$D$2:$S$102,A356,FALSE),"")</f>
        <v/>
      </c>
      <c r="E363" s="467" t="str">
        <f t="shared" si="204"/>
        <v/>
      </c>
      <c r="F363" s="466"/>
      <c r="G363" s="476"/>
      <c r="H363" s="477">
        <v>8</v>
      </c>
      <c r="I363" s="477" t="str">
        <f t="shared" si="205"/>
        <v/>
      </c>
      <c r="J363" s="467" t="str">
        <f>IFERROR(HLOOKUP(I363,Declarations!$D$2:$S$102,$A356,FALSE),"")</f>
        <v/>
      </c>
      <c r="K363" s="467" t="str">
        <f t="shared" si="201"/>
        <v/>
      </c>
      <c r="N363" s="478"/>
      <c r="P363" s="468" t="str">
        <f>IFERROR(IF(OR(D363=0,D363="-",D363="",D363=" ",D363=" ",D363="Athlete"),"",IF($A362&gt;0,VLOOKUP(D363,female_reg,3,FALSE)-C363*10,VLOOKUP(D363,male_reg,3,FALSE)-C363*10)),2)</f>
        <v/>
      </c>
      <c r="Q363" s="468" t="str">
        <f>IFERROR(IF(OR(J363=0,J363="-",J363=" ",J363="",J363=" ",J363="Athlete"),"",IF($A362&gt;0,VLOOKUP(J363,female_reg,3,FALSE)-C363*10,VLOOKUP(J363,male_reg,3,FALSE)-C363*10)),2)</f>
        <v/>
      </c>
      <c r="T363" s="468">
        <f t="shared" si="187"/>
        <v>0</v>
      </c>
      <c r="U363" s="468">
        <f t="shared" si="188"/>
        <v>0</v>
      </c>
      <c r="V363" s="467" t="str">
        <f t="shared" si="202"/>
        <v>X</v>
      </c>
      <c r="W363" s="467" t="str">
        <f t="shared" si="203"/>
        <v>X</v>
      </c>
      <c r="Z363" s="467">
        <f t="shared" si="189"/>
        <v>0</v>
      </c>
      <c r="AA363" s="467">
        <f t="shared" si="190"/>
        <v>0</v>
      </c>
    </row>
    <row r="364" spans="1:27" x14ac:dyDescent="0.35">
      <c r="P364" s="468" t="str">
        <f>IFERROR(IF(OR(D364=0,D364="-",D364="",D364=" ",D364=" ",D364="Athlete"),"",IF($A362&gt;0,VLOOKUP(D364,female_reg,3,FALSE)-C364*10,VLOOKUP(D364,male_reg,3,FALSE)-C364*10)),"X")</f>
        <v/>
      </c>
      <c r="Q364" s="468" t="str">
        <f>IFERROR(IF(OR(J364=0,J364="-",J364=" ",J364="",J364=" ",J364="Athlete"),"",IF($A362&gt;0,VLOOKUP(J364,female_reg,3,FALSE)-C364*10,VLOOKUP(J364,male_reg,3,FALSE)-C364*10)),"X")</f>
        <v/>
      </c>
      <c r="T364" s="468">
        <f t="shared" ca="1" si="187"/>
        <v>0</v>
      </c>
      <c r="U364" s="468">
        <f t="shared" ca="1" si="188"/>
        <v>0</v>
      </c>
      <c r="Z364" s="467">
        <f t="shared" ca="1" si="189"/>
        <v>0</v>
      </c>
      <c r="AA364" s="467">
        <f t="shared" ca="1" si="190"/>
        <v>0</v>
      </c>
    </row>
    <row r="365" spans="1:27" x14ac:dyDescent="0.35">
      <c r="A365" s="111" t="str">
        <f ca="1">IFERROR(INDIRECT(CONCATENATE("'Timetables'!A"&amp;A368)),"")</f>
        <v>LFH01</v>
      </c>
      <c r="B365" s="469" t="str">
        <f ca="1">IFERROR(VLOOKUP(A365,timetables,2,FALSE)&amp;" "&amp;VLOOKUP(A365,timetables,3,FALSE)&amp;" A","")</f>
        <v>High Jump U15 Girls A</v>
      </c>
      <c r="C365" s="469"/>
      <c r="E365" s="470" t="str">
        <f ca="1">"Starts "&amp;TEXT(VLOOKUP(A365,timetables,7-MatchDay!$U$7,FALSE),"hh:mm")</f>
        <v>Starts 11:45</v>
      </c>
      <c r="F365" s="471"/>
      <c r="H365" s="472" t="str">
        <f ca="1">IFERROR("Rec: "&amp;TEXT(VLOOKUP(A365,records,5,FALSE),"#0.00")&amp;"m, "&amp;VLOOKUP(A365,records,3,FALSE)&amp;", "&amp;VLOOKUP(A365,records,4,FALSE)&amp;", "&amp;VLOOKUP(A365,records,8,FALSE),"")</f>
        <v>Rec: 1.73m, Phoebe Harland, Birchfield Harriers, 2015</v>
      </c>
      <c r="K365" s="473"/>
      <c r="L365" s="474"/>
      <c r="M365" s="467"/>
      <c r="P365" s="468" t="str">
        <f>IFERROR(IF(OR(D365=0,D365="-",D365="",D365=" ",D365=" ",D365="Athlete"),"",IF($A373&gt;0,VLOOKUP(D365,female_reg,3,FALSE)-C365*10,VLOOKUP(D365,male_reg,3,FALSE)-C365*10)),"X")</f>
        <v/>
      </c>
      <c r="Q365" s="468" t="str">
        <f>IFERROR(IF(OR(J365=0,J365="-",J365=" ",J365="",J365=" ",J365="Athlete"),"",IF($A373&gt;0,VLOOKUP(J365,female_reg,3,FALSE)-C365*10,VLOOKUP(J365,male_reg,3,FALSE)-C365*10)),"X")</f>
        <v/>
      </c>
      <c r="T365" s="468">
        <f t="shared" ca="1" si="187"/>
        <v>0</v>
      </c>
      <c r="U365" s="468">
        <f t="shared" ca="1" si="188"/>
        <v>0</v>
      </c>
      <c r="Z365" s="467">
        <f t="shared" ca="1" si="189"/>
        <v>0</v>
      </c>
      <c r="AA365" s="467">
        <f t="shared" ca="1" si="190"/>
        <v>0</v>
      </c>
    </row>
    <row r="366" spans="1:27" x14ac:dyDescent="0.35">
      <c r="A366" s="85" t="str">
        <f ca="1">MID(A365,2,3)</f>
        <v>FH0</v>
      </c>
      <c r="B366" s="9" t="s">
        <v>163</v>
      </c>
      <c r="C366" s="9" t="s">
        <v>183</v>
      </c>
      <c r="D366" s="46" t="s">
        <v>227</v>
      </c>
      <c r="E366" s="46" t="s">
        <v>228</v>
      </c>
      <c r="F366" s="475"/>
      <c r="G366" s="46"/>
      <c r="H366" s="9" t="s">
        <v>163</v>
      </c>
      <c r="I366" s="9" t="s">
        <v>183</v>
      </c>
      <c r="J366" s="46" t="s">
        <v>227</v>
      </c>
      <c r="K366" s="46" t="s">
        <v>228</v>
      </c>
      <c r="L366" s="475"/>
      <c r="M366" s="475"/>
      <c r="N366" s="52"/>
      <c r="P366" s="468" t="str">
        <f>IFERROR(IF(OR(D366=0,D366="-",D366="",D366=" ",D366=" ",D366="Athlete"),"",IF($A373&gt;0,VLOOKUP(D366,female_reg,3,FALSE)-C366*10,VLOOKUP(D366,male_reg,3,FALSE)-C366*10)),"X")</f>
        <v/>
      </c>
      <c r="Q366" s="468" t="str">
        <f>IFERROR(IF(OR(J366=0,J366="-",J366=" ",J366="",J366=" ",J366="Athlete"),"",IF($A373&gt;0,VLOOKUP(J366,female_reg,3,FALSE)-C366*10,VLOOKUP(J366,male_reg,3,FALSE)-C366*10)),"X")</f>
        <v/>
      </c>
      <c r="T366" s="468">
        <f t="shared" ca="1" si="187"/>
        <v>0</v>
      </c>
      <c r="U366" s="468">
        <f t="shared" ca="1" si="188"/>
        <v>0</v>
      </c>
      <c r="Z366" s="467">
        <f t="shared" ca="1" si="189"/>
        <v>0</v>
      </c>
      <c r="AA366" s="467">
        <f t="shared" ca="1" si="190"/>
        <v>0</v>
      </c>
    </row>
    <row r="367" spans="1:27" x14ac:dyDescent="0.35">
      <c r="A367" s="181">
        <f ca="1">IFERROR(VLOOKUP(A365,Timetables!$A:$E,5,FALSE)-1,"")</f>
        <v>20</v>
      </c>
      <c r="B367" s="477">
        <v>1</v>
      </c>
      <c r="C367" s="477">
        <f ca="1">IFERROR(IF(B367&gt;MatchDay!$U$2,"",VLOOKUP($A365,timetables,MatchDay!$U$4+B367-1,FALSE)),0)</f>
        <v>4</v>
      </c>
      <c r="D367" s="467" t="str">
        <f ca="1">IFERROR(HLOOKUP(C367,Declarations!$D$2:$S$102,A367,FALSE),"")</f>
        <v>MANNION Grace</v>
      </c>
      <c r="E367" s="467" t="str">
        <f ca="1">IFERROR(VLOOKUP(C367,teamlookup,5,FALSE),"")</f>
        <v>M'bro</v>
      </c>
      <c r="F367" s="466"/>
      <c r="G367" s="476"/>
      <c r="H367" s="477">
        <v>1</v>
      </c>
      <c r="I367" s="477">
        <f ca="1">IFERROR(C367*11,"")</f>
        <v>44</v>
      </c>
      <c r="J367" s="467" t="str">
        <f ca="1">IFERROR(HLOOKUP(I367,Declarations!$D$2:$S$102,$A367,FALSE),"")</f>
        <v>-</v>
      </c>
      <c r="K367" s="467" t="str">
        <f t="shared" ref="K367:K374" ca="1" si="206">IFERROR(VLOOKUP(I367,teamlookup,5,FALSE),"")</f>
        <v>M'bro</v>
      </c>
      <c r="N367" s="478"/>
      <c r="P367" s="468">
        <f ca="1">IFERROR(IF(OR(D367=0,D367="-",D367="",D367=" ",D367=" ",D367="Athlete"),"",IF($A373&gt;0,VLOOKUP(D367,female_reg,3,FALSE)-C367*10,VLOOKUP(D367,male_reg,3,FALSE)-C367*10)),2)</f>
        <v>1</v>
      </c>
      <c r="Q367" s="468" t="str">
        <f ca="1">IFERROR(IF(OR(J367=0,J367="-",J367=" ",J367="",J367=" ",J367="Athlete"),"",IF($A373&gt;0,VLOOKUP(J367,female_reg,3,FALSE)-C367*10,VLOOKUP(J367,male_reg,3,FALSE)-C367*10)),2)</f>
        <v/>
      </c>
      <c r="T367" s="468">
        <f t="shared" ca="1" si="187"/>
        <v>3</v>
      </c>
      <c r="U367" s="468">
        <f t="shared" ca="1" si="188"/>
        <v>0</v>
      </c>
      <c r="V367" s="467" t="str">
        <f t="shared" ref="V367:V374" ca="1" si="207">IFERROR(IF(OR(D367=0,D367="-",D367="",D367=" ",D367=" "),"X",D367&amp;E367),"X")</f>
        <v>MANNION GraceM'bro</v>
      </c>
      <c r="W367" s="467" t="str">
        <f t="shared" ref="W367:W374" ca="1" si="208">IFERROR(IF(OR(J367=0,J367="-",J367="",J367=" ",J367=" "),"X",J367&amp;K367),"X")</f>
        <v>X</v>
      </c>
      <c r="Z367" s="467">
        <f t="shared" ca="1" si="189"/>
        <v>3</v>
      </c>
      <c r="AA367" s="467">
        <f t="shared" ca="1" si="190"/>
        <v>0</v>
      </c>
    </row>
    <row r="368" spans="1:27" x14ac:dyDescent="0.35">
      <c r="A368" s="468">
        <f>A357+1</f>
        <v>42</v>
      </c>
      <c r="B368" s="477">
        <v>2</v>
      </c>
      <c r="C368" s="477">
        <f ca="1">IFERROR(IF(B368&gt;MatchDay!$U$2,"",VLOOKUP($A365,timetables,MatchDay!$U$4+B368-1,FALSE)),0)</f>
        <v>2</v>
      </c>
      <c r="D368" s="467" t="str">
        <f ca="1">IFERROR(HLOOKUP(C368,Declarations!$D$2:$S$102,A367,FALSE),"")</f>
        <v>WOODHOUSE Polly</v>
      </c>
      <c r="E368" s="467" t="str">
        <f t="shared" ref="E368:E374" ca="1" si="209">IFERROR(VLOOKUP(C368,teamlookup,5,FALSE),"")</f>
        <v>Sheff+D</v>
      </c>
      <c r="F368" s="466"/>
      <c r="G368" s="476"/>
      <c r="H368" s="477">
        <v>2</v>
      </c>
      <c r="I368" s="477">
        <f t="shared" ref="I368:I374" ca="1" si="210">IFERROR(C368*11,"")</f>
        <v>22</v>
      </c>
      <c r="J368" s="467" t="str">
        <f ca="1">IFERROR(HLOOKUP(I368,Declarations!$D$2:$S$102,$A367,FALSE),"")</f>
        <v>MYCROFT Tilly</v>
      </c>
      <c r="K368" s="467" t="str">
        <f t="shared" ca="1" si="206"/>
        <v>Sheff+D</v>
      </c>
      <c r="N368" s="478"/>
      <c r="P368" s="468">
        <f ca="1">IFERROR(IF(OR(D368=0,D368="-",D368="",D368=" ",D368=" ",D368="Athlete"),"",IF($A373&gt;0,VLOOKUP(D368,female_reg,3,FALSE)-C368*10,VLOOKUP(D368,male_reg,3,FALSE)-C368*10)),2)</f>
        <v>1</v>
      </c>
      <c r="Q368" s="468">
        <f ca="1">IFERROR(IF(OR(J368=0,J368="-",J368=" ",J368="",J368=" ",J368="Athlete"),"",IF($A373&gt;0,VLOOKUP(J368,female_reg,3,FALSE)-C368*10,VLOOKUP(J368,male_reg,3,FALSE)-C368*10)),2)</f>
        <v>1</v>
      </c>
      <c r="T368" s="468">
        <f t="shared" ca="1" si="187"/>
        <v>1</v>
      </c>
      <c r="U368" s="468">
        <f t="shared" ca="1" si="188"/>
        <v>3</v>
      </c>
      <c r="V368" s="467" t="str">
        <f t="shared" ca="1" si="207"/>
        <v>WOODHOUSE PollySheff+D</v>
      </c>
      <c r="W368" s="467" t="str">
        <f t="shared" ca="1" si="208"/>
        <v>MYCROFT TillySheff+D</v>
      </c>
      <c r="Z368" s="467">
        <f t="shared" ca="1" si="189"/>
        <v>1</v>
      </c>
      <c r="AA368" s="467">
        <f t="shared" ca="1" si="190"/>
        <v>3</v>
      </c>
    </row>
    <row r="369" spans="1:27" x14ac:dyDescent="0.35">
      <c r="A369" s="118">
        <f ca="1">IFERROR(VLOOKUP(A365,standards,3,FALSE)+0.01,"-")</f>
        <v>1.58</v>
      </c>
      <c r="B369" s="477">
        <v>3</v>
      </c>
      <c r="C369" s="477">
        <f ca="1">IFERROR(IF(B369&gt;MatchDay!$U$2,"",VLOOKUP($A365,timetables,MatchDay!$U$4+B369-1,FALSE)),0)</f>
        <v>5</v>
      </c>
      <c r="D369" s="467">
        <f ca="1">IFERROR(HLOOKUP(C369,Declarations!$D$2:$S$102,A367,FALSE),"")</f>
        <v>0</v>
      </c>
      <c r="E369" s="467" t="str">
        <f t="shared" ca="1" si="209"/>
        <v>Scun</v>
      </c>
      <c r="F369" s="466"/>
      <c r="G369" s="476"/>
      <c r="H369" s="477">
        <v>3</v>
      </c>
      <c r="I369" s="477">
        <f t="shared" ca="1" si="210"/>
        <v>55</v>
      </c>
      <c r="J369" s="467">
        <f ca="1">IFERROR(HLOOKUP(I369,Declarations!$D$2:$S$102,$A367,FALSE),"")</f>
        <v>0</v>
      </c>
      <c r="K369" s="467" t="str">
        <f t="shared" ca="1" si="206"/>
        <v>Scun</v>
      </c>
      <c r="N369" s="478"/>
      <c r="P369" s="468" t="str">
        <f ca="1">IFERROR(IF(OR(D369=0,D369="-",D369="",D369=" ",D369=" ",D369="Athlete"),"",IF($A373&gt;0,VLOOKUP(D369,female_reg,3,FALSE)-C369*10,VLOOKUP(D369,male_reg,3,FALSE)-C369*10)),2)</f>
        <v/>
      </c>
      <c r="Q369" s="468" t="str">
        <f ca="1">IFERROR(IF(OR(J369=0,J369="-",J369=" ",J369="",J369=" ",J369="Athlete"),"",IF($A373&gt;0,VLOOKUP(J369,female_reg,3,FALSE)-C369*10,VLOOKUP(J369,male_reg,3,FALSE)-C369*10)),2)</f>
        <v/>
      </c>
      <c r="T369" s="468">
        <f t="shared" ca="1" si="187"/>
        <v>0</v>
      </c>
      <c r="U369" s="468">
        <f t="shared" ca="1" si="188"/>
        <v>0</v>
      </c>
      <c r="V369" s="467" t="str">
        <f t="shared" ca="1" si="207"/>
        <v>X</v>
      </c>
      <c r="W369" s="467" t="str">
        <f t="shared" ca="1" si="208"/>
        <v>X</v>
      </c>
      <c r="Z369" s="467">
        <f t="shared" ca="1" si="189"/>
        <v>0</v>
      </c>
      <c r="AA369" s="467">
        <f t="shared" ca="1" si="190"/>
        <v>0</v>
      </c>
    </row>
    <row r="370" spans="1:27" x14ac:dyDescent="0.35">
      <c r="A370" s="118">
        <f ca="1">IFERROR(VLOOKUP(A365,standards,4,FALSE)+0.01,"-")</f>
        <v>1.55</v>
      </c>
      <c r="B370" s="477">
        <v>4</v>
      </c>
      <c r="C370" s="477">
        <f ca="1">IFERROR(IF(B370&gt;MatchDay!$U$2,"",VLOOKUP($A365,timetables,MatchDay!$U$4+B370-1,FALSE)),0)</f>
        <v>1</v>
      </c>
      <c r="D370" s="467" t="str">
        <f ca="1">IFERROR(HLOOKUP(C370,Declarations!$D$2:$S$102,A367,FALSE),"")</f>
        <v>MOODY Hannah</v>
      </c>
      <c r="E370" s="467" t="str">
        <f t="shared" ca="1" si="209"/>
        <v>C'field</v>
      </c>
      <c r="F370" s="466"/>
      <c r="G370" s="476"/>
      <c r="H370" s="477">
        <v>4</v>
      </c>
      <c r="I370" s="477">
        <f t="shared" ca="1" si="210"/>
        <v>11</v>
      </c>
      <c r="J370" s="467" t="str">
        <f ca="1">IFERROR(HLOOKUP(I370,Declarations!$D$2:$S$102,$A367,FALSE),"")</f>
        <v>KIRKWOOD Eva</v>
      </c>
      <c r="K370" s="467" t="str">
        <f t="shared" ca="1" si="206"/>
        <v>C'field</v>
      </c>
      <c r="N370" s="478"/>
      <c r="P370" s="468">
        <f ca="1">IFERROR(IF(OR(D370=0,D370="-",D370="",D370=" ",D370=" ",D370="Athlete"),"",IF($A373&gt;0,VLOOKUP(D370,female_reg,3,FALSE)-C370*10,VLOOKUP(D370,male_reg,3,FALSE)-C370*10)),2)</f>
        <v>1</v>
      </c>
      <c r="Q370" s="468">
        <f ca="1">IFERROR(IF(OR(J370=0,J370="-",J370=" ",J370="",J370=" ",J370="Athlete"),"",IF($A373&gt;0,VLOOKUP(J370,female_reg,3,FALSE)-C370*10,VLOOKUP(J370,male_reg,3,FALSE)-C370*10)),2)</f>
        <v>1</v>
      </c>
      <c r="T370" s="468">
        <f t="shared" ca="1" si="187"/>
        <v>3</v>
      </c>
      <c r="U370" s="468">
        <f t="shared" ca="1" si="188"/>
        <v>3</v>
      </c>
      <c r="V370" s="467" t="str">
        <f t="shared" ca="1" si="207"/>
        <v>MOODY HannahC'field</v>
      </c>
      <c r="W370" s="467" t="str">
        <f t="shared" ca="1" si="208"/>
        <v>KIRKWOOD EvaC'field</v>
      </c>
      <c r="Z370" s="467">
        <f t="shared" ca="1" si="189"/>
        <v>4</v>
      </c>
      <c r="AA370" s="467">
        <f t="shared" ca="1" si="190"/>
        <v>4</v>
      </c>
    </row>
    <row r="371" spans="1:27" x14ac:dyDescent="0.35">
      <c r="A371" s="118">
        <f ca="1">IFERROR(VLOOKUP(A365,standards,5,FALSE)+0.01,"-")</f>
        <v>1.5</v>
      </c>
      <c r="B371" s="477">
        <v>5</v>
      </c>
      <c r="C371" s="477">
        <f ca="1">IFERROR(IF(B371&gt;MatchDay!$U$2,"",VLOOKUP($A365,timetables,MatchDay!$U$4+B371-1,FALSE)),0)</f>
        <v>3</v>
      </c>
      <c r="D371" s="467" t="str">
        <f ca="1">IFERROR(HLOOKUP(C371,Declarations!$D$2:$S$102,A367,FALSE),"")</f>
        <v>HOGG Frances</v>
      </c>
      <c r="E371" s="467" t="str">
        <f t="shared" ca="1" si="209"/>
        <v>York</v>
      </c>
      <c r="F371" s="466"/>
      <c r="G371" s="476"/>
      <c r="H371" s="477">
        <v>5</v>
      </c>
      <c r="I371" s="477">
        <f t="shared" ca="1" si="210"/>
        <v>33</v>
      </c>
      <c r="J371" s="467" t="str">
        <f ca="1">IFERROR(HLOOKUP(I371,Declarations!$D$2:$S$102,$A367,FALSE),"")</f>
        <v>TWEDDLE Bella</v>
      </c>
      <c r="K371" s="467" t="str">
        <f t="shared" ca="1" si="206"/>
        <v>York</v>
      </c>
      <c r="N371" s="478"/>
      <c r="P371" s="468">
        <f ca="1">IFERROR(IF(OR(D371=0,D371="-",D371="",D371=" ",D371=" ",D371="Athlete"),"",IF($A373&gt;0,VLOOKUP(D371,female_reg,3,FALSE)-C371*10,VLOOKUP(D371,male_reg,3,FALSE)-C371*10)),2)</f>
        <v>1</v>
      </c>
      <c r="Q371" s="468">
        <f ca="1">IFERROR(IF(OR(J371=0,J371="-",J371=" ",J371="",J371=" ",J371="Athlete"),"",IF($A373&gt;0,VLOOKUP(J371,female_reg,3,FALSE)-C371*10,VLOOKUP(J371,male_reg,3,FALSE)-C371*10)),2)</f>
        <v>0</v>
      </c>
      <c r="T371" s="468">
        <f t="shared" ca="1" si="187"/>
        <v>3</v>
      </c>
      <c r="U371" s="468">
        <f t="shared" ca="1" si="188"/>
        <v>1</v>
      </c>
      <c r="V371" s="467" t="str">
        <f t="shared" ca="1" si="207"/>
        <v>HOGG FrancesYork</v>
      </c>
      <c r="W371" s="467" t="str">
        <f t="shared" ca="1" si="208"/>
        <v>TWEDDLE BellaYork</v>
      </c>
      <c r="Z371" s="467">
        <f t="shared" ca="1" si="189"/>
        <v>4</v>
      </c>
      <c r="AA371" s="467">
        <f t="shared" ca="1" si="190"/>
        <v>2</v>
      </c>
    </row>
    <row r="372" spans="1:27" x14ac:dyDescent="0.35">
      <c r="A372" s="118">
        <f ca="1">IFERROR(VLOOKUP(A365,standards,6,FALSE)+0.01,"-")</f>
        <v>1.42</v>
      </c>
      <c r="B372" s="477">
        <v>6</v>
      </c>
      <c r="C372" s="477" t="str">
        <f>IFERROR(IF(B372&gt;MatchDay!$U$2,"",VLOOKUP($A365,timetables,MatchDay!$U$4+B372-1,FALSE)),0)</f>
        <v/>
      </c>
      <c r="D372" s="467" t="str">
        <f>IFERROR(HLOOKUP(C372,Declarations!$D$2:$S$102,A367,FALSE),"")</f>
        <v/>
      </c>
      <c r="E372" s="467" t="str">
        <f t="shared" si="209"/>
        <v/>
      </c>
      <c r="F372" s="466"/>
      <c r="G372" s="476"/>
      <c r="H372" s="477">
        <v>6</v>
      </c>
      <c r="I372" s="477" t="str">
        <f t="shared" si="210"/>
        <v/>
      </c>
      <c r="J372" s="467" t="str">
        <f>IFERROR(HLOOKUP(I372,Declarations!$D$2:$S$102,$A367,FALSE),"")</f>
        <v/>
      </c>
      <c r="K372" s="467" t="str">
        <f t="shared" si="206"/>
        <v/>
      </c>
      <c r="N372" s="478"/>
      <c r="P372" s="468" t="str">
        <f>IFERROR(IF(OR(D372=0,D372="-",D372="",D372=" ",D372=" ",D372="Athlete"),"",IF($A373&gt;0,VLOOKUP(D372,female_reg,3,FALSE)-C372*10,VLOOKUP(D372,male_reg,3,FALSE)-C372*10)),2)</f>
        <v/>
      </c>
      <c r="Q372" s="468" t="str">
        <f>IFERROR(IF(OR(J372=0,J372="-",J372=" ",J372="",J372=" ",J372="Athlete"),"",IF($A373&gt;0,VLOOKUP(J372,female_reg,3,FALSE)-C372*10,VLOOKUP(J372,male_reg,3,FALSE)-C372*10)),2)</f>
        <v/>
      </c>
      <c r="T372" s="468">
        <f t="shared" si="187"/>
        <v>0</v>
      </c>
      <c r="U372" s="468">
        <f t="shared" si="188"/>
        <v>0</v>
      </c>
      <c r="V372" s="467" t="str">
        <f t="shared" si="207"/>
        <v>X</v>
      </c>
      <c r="W372" s="467" t="str">
        <f t="shared" si="208"/>
        <v>X</v>
      </c>
      <c r="Z372" s="467">
        <f t="shared" si="189"/>
        <v>0</v>
      </c>
      <c r="AA372" s="467">
        <f t="shared" si="190"/>
        <v>0</v>
      </c>
    </row>
    <row r="373" spans="1:27" x14ac:dyDescent="0.35">
      <c r="A373" s="479">
        <f ca="1">IFERROR(SEARCH("Girls",B365),0)</f>
        <v>15</v>
      </c>
      <c r="B373" s="477">
        <v>7</v>
      </c>
      <c r="C373" s="477" t="str">
        <f>IFERROR(IF(B373&gt;MatchDay!$U$2,"",VLOOKUP($A365,timetables,MatchDay!$U$4+B373-1,FALSE)),0)</f>
        <v/>
      </c>
      <c r="D373" s="467" t="str">
        <f>IFERROR(HLOOKUP(C373,Declarations!$D$2:$S$102,A367,FALSE),"")</f>
        <v/>
      </c>
      <c r="E373" s="467" t="str">
        <f t="shared" si="209"/>
        <v/>
      </c>
      <c r="F373" s="466"/>
      <c r="G373" s="476"/>
      <c r="H373" s="477">
        <v>7</v>
      </c>
      <c r="I373" s="477" t="str">
        <f t="shared" si="210"/>
        <v/>
      </c>
      <c r="J373" s="467" t="str">
        <f>IFERROR(HLOOKUP(I373,Declarations!$D$2:$S$102,$A367,FALSE),"")</f>
        <v/>
      </c>
      <c r="K373" s="467" t="str">
        <f t="shared" si="206"/>
        <v/>
      </c>
      <c r="N373" s="478"/>
      <c r="P373" s="468" t="str">
        <f>IFERROR(IF(OR(D373=0,D373="-",D373="",D373=" ",D373=" ",D373="Athlete"),"",IF($A373&gt;0,VLOOKUP(D373,female_reg,3,FALSE)-C373*10,VLOOKUP(D373,male_reg,3,FALSE)-C373*10)),2)</f>
        <v/>
      </c>
      <c r="Q373" s="468" t="str">
        <f>IFERROR(IF(OR(J373=0,J373="-",J373=" ",J373="",J373=" ",J373="Athlete"),"",IF($A373&gt;0,VLOOKUP(J373,female_reg,3,FALSE)-C373*10,VLOOKUP(J373,male_reg,3,FALSE)-C373*10)),2)</f>
        <v/>
      </c>
      <c r="T373" s="468">
        <f t="shared" si="187"/>
        <v>0</v>
      </c>
      <c r="U373" s="468">
        <f t="shared" si="188"/>
        <v>0</v>
      </c>
      <c r="V373" s="467" t="str">
        <f t="shared" si="207"/>
        <v>X</v>
      </c>
      <c r="W373" s="467" t="str">
        <f t="shared" si="208"/>
        <v>X</v>
      </c>
      <c r="Z373" s="467">
        <f t="shared" si="189"/>
        <v>0</v>
      </c>
      <c r="AA373" s="467">
        <f t="shared" si="190"/>
        <v>0</v>
      </c>
    </row>
    <row r="374" spans="1:27" x14ac:dyDescent="0.35">
      <c r="A374" s="116">
        <f ca="1">IFERROR(VLOOKUP(A365,records,5,FALSE),"")</f>
        <v>1.73</v>
      </c>
      <c r="B374" s="477">
        <v>8</v>
      </c>
      <c r="C374" s="477" t="str">
        <f>IFERROR(IF(B374&gt;MatchDay!$U$2,"",VLOOKUP($A365,timetables,MatchDay!$U$4+B374-1,FALSE)),0)</f>
        <v/>
      </c>
      <c r="D374" s="467" t="str">
        <f>IFERROR(HLOOKUP(C374,Declarations!$D$2:$S$102,A367,FALSE),"")</f>
        <v/>
      </c>
      <c r="E374" s="467" t="str">
        <f t="shared" si="209"/>
        <v/>
      </c>
      <c r="F374" s="466"/>
      <c r="G374" s="476"/>
      <c r="H374" s="477">
        <v>8</v>
      </c>
      <c r="I374" s="477" t="str">
        <f t="shared" si="210"/>
        <v/>
      </c>
      <c r="J374" s="467" t="str">
        <f>IFERROR(HLOOKUP(I374,Declarations!$D$2:$S$102,$A367,FALSE),"")</f>
        <v/>
      </c>
      <c r="K374" s="467" t="str">
        <f t="shared" si="206"/>
        <v/>
      </c>
      <c r="N374" s="478"/>
      <c r="P374" s="468" t="str">
        <f>IFERROR(IF(OR(D374=0,D374="-",D374="",D374=" ",D374=" ",D374="Athlete"),"",IF($A373&gt;0,VLOOKUP(D374,female_reg,3,FALSE)-C374*10,VLOOKUP(D374,male_reg,3,FALSE)-C374*10)),2)</f>
        <v/>
      </c>
      <c r="Q374" s="468" t="str">
        <f>IFERROR(IF(OR(J374=0,J374="-",J374=" ",J374="",J374=" ",J374="Athlete"),"",IF($A373&gt;0,VLOOKUP(J374,female_reg,3,FALSE)-C374*10,VLOOKUP(J374,male_reg,3,FALSE)-C374*10)),2)</f>
        <v/>
      </c>
      <c r="T374" s="468">
        <f t="shared" si="187"/>
        <v>0</v>
      </c>
      <c r="U374" s="468">
        <f t="shared" si="188"/>
        <v>0</v>
      </c>
      <c r="V374" s="467" t="str">
        <f t="shared" si="207"/>
        <v>X</v>
      </c>
      <c r="W374" s="467" t="str">
        <f t="shared" si="208"/>
        <v>X</v>
      </c>
      <c r="Z374" s="467">
        <f t="shared" si="189"/>
        <v>0</v>
      </c>
      <c r="AA374" s="467">
        <f t="shared" si="190"/>
        <v>0</v>
      </c>
    </row>
    <row r="375" spans="1:27" x14ac:dyDescent="0.35">
      <c r="P375" s="468" t="str">
        <f>IFERROR(IF(OR(D375=0,D375="-",D375="",D375=" ",D375=" ",D375="Athlete"),"",IF($A373&gt;0,VLOOKUP(D375,female_reg,3,FALSE)-C375*10,VLOOKUP(D375,male_reg,3,FALSE)-C375*10)),"X")</f>
        <v/>
      </c>
      <c r="Q375" s="468" t="str">
        <f>IFERROR(IF(OR(J375=0,J375="-",J375=" ",J375="",J375=" ",J375="Athlete"),"",IF($A373&gt;0,VLOOKUP(J375,female_reg,3,FALSE)-C375*10,VLOOKUP(J375,male_reg,3,FALSE)-C375*10)),"X")</f>
        <v/>
      </c>
      <c r="T375" s="468">
        <f t="shared" ca="1" si="187"/>
        <v>0</v>
      </c>
      <c r="U375" s="468">
        <f t="shared" ca="1" si="188"/>
        <v>0</v>
      </c>
      <c r="Z375" s="467">
        <f t="shared" ca="1" si="189"/>
        <v>0</v>
      </c>
      <c r="AA375" s="467">
        <f t="shared" ca="1" si="190"/>
        <v>0</v>
      </c>
    </row>
    <row r="376" spans="1:27" x14ac:dyDescent="0.35">
      <c r="A376" s="111" t="str">
        <f ca="1">IFERROR(INDIRECT(CONCATENATE("'Timetables'!A"&amp;A379)),"")</f>
        <v>LFD03</v>
      </c>
      <c r="B376" s="469" t="str">
        <f ca="1">IFERROR(VLOOKUP(A376,timetables,2,FALSE)&amp;" "&amp;VLOOKUP(A376,timetables,3,FALSE)&amp;" A","")</f>
        <v>Shot U13 Girls A</v>
      </c>
      <c r="C376" s="469"/>
      <c r="E376" s="470" t="str">
        <f ca="1">"Starts "&amp;TEXT(VLOOKUP(A376,timetables,7-MatchDay!$U$7,FALSE),"hh:mm")</f>
        <v>Starts 11:45</v>
      </c>
      <c r="F376" s="471"/>
      <c r="H376" s="472" t="str">
        <f ca="1">IFERROR("Rec: "&amp;TEXT(VLOOKUP(A376,records,5,FALSE),"#0.00")&amp;"m, "&amp;VLOOKUP(A376,records,3,FALSE)&amp;", "&amp;VLOOKUP(A376,records,4,FALSE)&amp;", "&amp;VLOOKUP(A376,records,8,FALSE),"")</f>
        <v>Rec: 12.19m, Meghan Porterfield, VP City of Glasgow, 2018</v>
      </c>
      <c r="K376" s="473"/>
      <c r="L376" s="474"/>
      <c r="M376" s="467"/>
      <c r="P376" s="468" t="str">
        <f>IFERROR(IF(OR(D376=0,D376="-",D376="",D376=" ",D376=" ",D376="Athlete"),"",IF($A384&gt;0,VLOOKUP(D376,female_reg,3,FALSE)-C376*10,VLOOKUP(D376,male_reg,3,FALSE)-C376*10)),"X")</f>
        <v/>
      </c>
      <c r="Q376" s="468" t="str">
        <f>IFERROR(IF(OR(J376=0,J376="-",J376=" ",J376="",J376=" ",J376="Athlete"),"",IF($A384&gt;0,VLOOKUP(J376,female_reg,3,FALSE)-C376*10,VLOOKUP(J376,male_reg,3,FALSE)-C376*10)),"X")</f>
        <v/>
      </c>
      <c r="T376" s="468">
        <f t="shared" ca="1" si="187"/>
        <v>0</v>
      </c>
      <c r="U376" s="468">
        <f t="shared" ca="1" si="188"/>
        <v>0</v>
      </c>
      <c r="Z376" s="467">
        <f t="shared" ca="1" si="189"/>
        <v>0</v>
      </c>
      <c r="AA376" s="467">
        <f t="shared" ca="1" si="190"/>
        <v>0</v>
      </c>
    </row>
    <row r="377" spans="1:27" x14ac:dyDescent="0.35">
      <c r="A377" s="85" t="str">
        <f ca="1">MID(A376,2,3)</f>
        <v>FD0</v>
      </c>
      <c r="B377" s="9" t="s">
        <v>163</v>
      </c>
      <c r="C377" s="9" t="s">
        <v>183</v>
      </c>
      <c r="D377" s="46" t="s">
        <v>227</v>
      </c>
      <c r="E377" s="46" t="s">
        <v>228</v>
      </c>
      <c r="F377" s="475"/>
      <c r="G377" s="46"/>
      <c r="H377" s="9" t="s">
        <v>163</v>
      </c>
      <c r="I377" s="9" t="s">
        <v>183</v>
      </c>
      <c r="J377" s="46" t="s">
        <v>227</v>
      </c>
      <c r="K377" s="46" t="s">
        <v>228</v>
      </c>
      <c r="L377" s="475"/>
      <c r="M377" s="475"/>
      <c r="N377" s="52"/>
      <c r="P377" s="468" t="str">
        <f>IFERROR(IF(OR(D377=0,D377="-",D377="",D377=" ",D377=" ",D377="Athlete"),"",IF($A384&gt;0,VLOOKUP(D377,female_reg,3,FALSE)-C377*10,VLOOKUP(D377,male_reg,3,FALSE)-C377*10)),"X")</f>
        <v/>
      </c>
      <c r="Q377" s="468" t="str">
        <f>IFERROR(IF(OR(J377=0,J377="-",J377=" ",J377="",J377=" ",J377="Athlete"),"",IF($A384&gt;0,VLOOKUP(J377,female_reg,3,FALSE)-C377*10,VLOOKUP(J377,male_reg,3,FALSE)-C377*10)),"X")</f>
        <v/>
      </c>
      <c r="T377" s="468">
        <f t="shared" ca="1" si="187"/>
        <v>0</v>
      </c>
      <c r="U377" s="468">
        <f t="shared" ca="1" si="188"/>
        <v>0</v>
      </c>
      <c r="Z377" s="467">
        <f t="shared" ca="1" si="189"/>
        <v>0</v>
      </c>
      <c r="AA377" s="467">
        <f t="shared" ca="1" si="190"/>
        <v>0</v>
      </c>
    </row>
    <row r="378" spans="1:27" x14ac:dyDescent="0.35">
      <c r="A378" s="181">
        <f ca="1">IFERROR(VLOOKUP(A376,Timetables!$A:$E,5,FALSE)-1,"")</f>
        <v>42</v>
      </c>
      <c r="B378" s="477">
        <v>1</v>
      </c>
      <c r="C378" s="477">
        <f ca="1">IFERROR(IF(B378&gt;MatchDay!$U$2,"",VLOOKUP($A376,timetables,MatchDay!$U$4+B378-1,FALSE)),0)</f>
        <v>3</v>
      </c>
      <c r="D378" s="467" t="str">
        <f ca="1">IFERROR(HLOOKUP(C378,Declarations!$D$2:$S$102,A378,FALSE),"")</f>
        <v>CLAGUE Kathryn</v>
      </c>
      <c r="E378" s="467" t="str">
        <f ca="1">IFERROR(VLOOKUP(C378,teamlookup,5,FALSE),"")</f>
        <v>York</v>
      </c>
      <c r="F378" s="466"/>
      <c r="G378" s="476"/>
      <c r="H378" s="477">
        <v>1</v>
      </c>
      <c r="I378" s="477">
        <f ca="1">IFERROR(C378*11,"")</f>
        <v>33</v>
      </c>
      <c r="J378" s="467" t="str">
        <f ca="1">IFERROR(HLOOKUP(I378,Declarations!$D$2:$S$102,$A378,FALSE),"")</f>
        <v>WRIGHT Ella</v>
      </c>
      <c r="K378" s="467" t="str">
        <f t="shared" ref="K378:K385" ca="1" si="211">IFERROR(VLOOKUP(I378,teamlookup,5,FALSE),"")</f>
        <v>York</v>
      </c>
      <c r="N378" s="478"/>
      <c r="P378" s="468">
        <f ca="1">IFERROR(IF(OR(D378=0,D378="-",D378="",D378=" ",D378=" ",D378="Athlete"),"",IF($A384&gt;0,VLOOKUP(D378,female_reg,3,FALSE)-C378*10,VLOOKUP(D378,male_reg,3,FALSE)-C378*10)),2)</f>
        <v>1</v>
      </c>
      <c r="Q378" s="468">
        <f ca="1">IFERROR(IF(OR(J378=0,J378="-",J378=" ",J378="",J378=" ",J378="Athlete"),"",IF($A384&gt;0,VLOOKUP(J378,female_reg,3,FALSE)-C378*10,VLOOKUP(J378,male_reg,3,FALSE)-C378*10)),2)</f>
        <v>1</v>
      </c>
      <c r="T378" s="468">
        <f t="shared" ca="1" si="187"/>
        <v>3</v>
      </c>
      <c r="U378" s="468">
        <f t="shared" ca="1" si="188"/>
        <v>3</v>
      </c>
      <c r="V378" s="467" t="str">
        <f t="shared" ref="V378:V385" ca="1" si="212">IFERROR(IF(OR(D378=0,D378="-",D378="",D378=" ",D378=" "),"X",D378&amp;E378),"X")</f>
        <v>CLAGUE KathrynYork</v>
      </c>
      <c r="W378" s="467" t="str">
        <f t="shared" ref="W378:W385" ca="1" si="213">IFERROR(IF(OR(J378=0,J378="-",J378="",J378=" ",J378=" "),"X",J378&amp;K378),"X")</f>
        <v>WRIGHT EllaYork</v>
      </c>
      <c r="Z378" s="467">
        <f t="shared" ca="1" si="189"/>
        <v>3</v>
      </c>
      <c r="AA378" s="467">
        <f t="shared" ca="1" si="190"/>
        <v>3</v>
      </c>
    </row>
    <row r="379" spans="1:27" x14ac:dyDescent="0.35">
      <c r="A379" s="468">
        <f>A368+1</f>
        <v>43</v>
      </c>
      <c r="B379" s="477">
        <v>2</v>
      </c>
      <c r="C379" s="477">
        <f ca="1">IFERROR(IF(B379&gt;MatchDay!$U$2,"",VLOOKUP($A376,timetables,MatchDay!$U$4+B379-1,FALSE)),0)</f>
        <v>1</v>
      </c>
      <c r="D379" s="467" t="str">
        <f ca="1">IFERROR(HLOOKUP(C379,Declarations!$D$2:$S$102,A378,FALSE),"")</f>
        <v>FELLOWS Isabelle</v>
      </c>
      <c r="E379" s="467" t="str">
        <f t="shared" ref="E379:E385" ca="1" si="214">IFERROR(VLOOKUP(C379,teamlookup,5,FALSE),"")</f>
        <v>C'field</v>
      </c>
      <c r="F379" s="466"/>
      <c r="G379" s="476"/>
      <c r="H379" s="477">
        <v>2</v>
      </c>
      <c r="I379" s="477">
        <f t="shared" ref="I379:I385" ca="1" si="215">IFERROR(C379*11,"")</f>
        <v>11</v>
      </c>
      <c r="J379" s="467" t="str">
        <f ca="1">IFERROR(HLOOKUP(I379,Declarations!$D$2:$S$102,$A378,FALSE),"")</f>
        <v>HALL Lottie</v>
      </c>
      <c r="K379" s="467" t="str">
        <f t="shared" ca="1" si="211"/>
        <v>C'field</v>
      </c>
      <c r="N379" s="478"/>
      <c r="P379" s="468">
        <f ca="1">IFERROR(IF(OR(D379=0,D379="-",D379="",D379=" ",D379=" ",D379="Athlete"),"",IF($A384&gt;0,VLOOKUP(D379,female_reg,3,FALSE)-C379*10,VLOOKUP(D379,male_reg,3,FALSE)-C379*10)),2)</f>
        <v>1</v>
      </c>
      <c r="Q379" s="468">
        <f ca="1">IFERROR(IF(OR(J379=0,J379="-",J379=" ",J379="",J379=" ",J379="Athlete"),"",IF($A384&gt;0,VLOOKUP(J379,female_reg,3,FALSE)-C379*10,VLOOKUP(J379,male_reg,3,FALSE)-C379*10)),2)</f>
        <v>1</v>
      </c>
      <c r="T379" s="468">
        <f t="shared" ca="1" si="187"/>
        <v>3</v>
      </c>
      <c r="U379" s="468">
        <f t="shared" ca="1" si="188"/>
        <v>3</v>
      </c>
      <c r="V379" s="467" t="str">
        <f t="shared" ca="1" si="212"/>
        <v>FELLOWS IsabelleC'field</v>
      </c>
      <c r="W379" s="467" t="str">
        <f t="shared" ca="1" si="213"/>
        <v>HALL LottieC'field</v>
      </c>
      <c r="Z379" s="467">
        <f t="shared" ca="1" si="189"/>
        <v>3</v>
      </c>
      <c r="AA379" s="467">
        <f t="shared" ca="1" si="190"/>
        <v>3</v>
      </c>
    </row>
    <row r="380" spans="1:27" x14ac:dyDescent="0.35">
      <c r="A380" s="118">
        <f ca="1">IFERROR(VLOOKUP(A376,standards,3,FALSE)+0.01,"-")</f>
        <v>8.4599999999999991</v>
      </c>
      <c r="B380" s="477">
        <v>3</v>
      </c>
      <c r="C380" s="477">
        <f ca="1">IFERROR(IF(B380&gt;MatchDay!$U$2,"",VLOOKUP($A376,timetables,MatchDay!$U$4+B380-1,FALSE)),0)</f>
        <v>4</v>
      </c>
      <c r="D380" s="467" t="str">
        <f ca="1">IFERROR(HLOOKUP(C380,Declarations!$D$2:$S$102,A378,FALSE),"")</f>
        <v>SEDGWICK Emma</v>
      </c>
      <c r="E380" s="467" t="str">
        <f t="shared" ca="1" si="214"/>
        <v>M'bro</v>
      </c>
      <c r="F380" s="466"/>
      <c r="G380" s="476"/>
      <c r="H380" s="477">
        <v>3</v>
      </c>
      <c r="I380" s="477">
        <f t="shared" ca="1" si="215"/>
        <v>44</v>
      </c>
      <c r="J380" s="467" t="str">
        <f ca="1">IFERROR(HLOOKUP(I380,Declarations!$D$2:$S$102,$A378,FALSE),"")</f>
        <v>-</v>
      </c>
      <c r="K380" s="467" t="str">
        <f t="shared" ca="1" si="211"/>
        <v>M'bro</v>
      </c>
      <c r="N380" s="478"/>
      <c r="P380" s="468">
        <f ca="1">IFERROR(IF(OR(D380=0,D380="-",D380="",D380=" ",D380=" ",D380="Athlete"),"",IF($A384&gt;0,VLOOKUP(D380,female_reg,3,FALSE)-C380*10,VLOOKUP(D380,male_reg,3,FALSE)-C380*10)),2)</f>
        <v>1</v>
      </c>
      <c r="Q380" s="468" t="str">
        <f ca="1">IFERROR(IF(OR(J380=0,J380="-",J380=" ",J380="",J380=" ",J380="Athlete"),"",IF($A384&gt;0,VLOOKUP(J380,female_reg,3,FALSE)-C380*10,VLOOKUP(J380,male_reg,3,FALSE)-C380*10)),2)</f>
        <v/>
      </c>
      <c r="T380" s="468">
        <f t="shared" ca="1" si="187"/>
        <v>3</v>
      </c>
      <c r="U380" s="468">
        <f t="shared" ca="1" si="188"/>
        <v>0</v>
      </c>
      <c r="V380" s="467" t="str">
        <f t="shared" ca="1" si="212"/>
        <v>SEDGWICK EmmaM'bro</v>
      </c>
      <c r="W380" s="467" t="str">
        <f t="shared" ca="1" si="213"/>
        <v>X</v>
      </c>
      <c r="Z380" s="467">
        <f t="shared" ca="1" si="189"/>
        <v>4</v>
      </c>
      <c r="AA380" s="467">
        <f t="shared" ca="1" si="190"/>
        <v>0</v>
      </c>
    </row>
    <row r="381" spans="1:27" x14ac:dyDescent="0.35">
      <c r="A381" s="118">
        <f ca="1">IFERROR(VLOOKUP(A376,standards,4,FALSE)+0.01,"-")</f>
        <v>7.91</v>
      </c>
      <c r="B381" s="477">
        <v>4</v>
      </c>
      <c r="C381" s="477">
        <f ca="1">IFERROR(IF(B381&gt;MatchDay!$U$2,"",VLOOKUP($A376,timetables,MatchDay!$U$4+B381-1,FALSE)),0)</f>
        <v>2</v>
      </c>
      <c r="D381" s="467" t="str">
        <f ca="1">IFERROR(HLOOKUP(C381,Declarations!$D$2:$S$102,A378,FALSE),"")</f>
        <v>BERRY Heather</v>
      </c>
      <c r="E381" s="467" t="str">
        <f t="shared" ca="1" si="214"/>
        <v>Sheff+D</v>
      </c>
      <c r="F381" s="466"/>
      <c r="G381" s="476"/>
      <c r="H381" s="477">
        <v>4</v>
      </c>
      <c r="I381" s="477">
        <f t="shared" ca="1" si="215"/>
        <v>22</v>
      </c>
      <c r="J381" s="467" t="str">
        <f ca="1">IFERROR(HLOOKUP(I381,Declarations!$D$2:$S$102,$A378,FALSE),"")</f>
        <v>SCOTT Violet</v>
      </c>
      <c r="K381" s="467" t="str">
        <f t="shared" ca="1" si="211"/>
        <v>Sheff+D</v>
      </c>
      <c r="N381" s="478"/>
      <c r="P381" s="468">
        <f ca="1">IFERROR(IF(OR(D381=0,D381="-",D381="",D381=" ",D381=" ",D381="Athlete"),"",IF($A384&gt;0,VLOOKUP(D381,female_reg,3,FALSE)-C381*10,VLOOKUP(D381,male_reg,3,FALSE)-C381*10)),2)</f>
        <v>2</v>
      </c>
      <c r="Q381" s="468">
        <f ca="1">IFERROR(IF(OR(J381=0,J381="-",J381=" ",J381="",J381=" ",J381="Athlete"),"",IF($A384&gt;0,VLOOKUP(J381,female_reg,3,FALSE)-C381*10,VLOOKUP(J381,male_reg,3,FALSE)-C381*10)),2)</f>
        <v>1</v>
      </c>
      <c r="T381" s="468">
        <f t="shared" ca="1" si="187"/>
        <v>3</v>
      </c>
      <c r="U381" s="468">
        <f t="shared" ca="1" si="188"/>
        <v>2</v>
      </c>
      <c r="V381" s="467" t="str">
        <f t="shared" ca="1" si="212"/>
        <v>BERRY HeatherSheff+D</v>
      </c>
      <c r="W381" s="467" t="str">
        <f t="shared" ca="1" si="213"/>
        <v>SCOTT VioletSheff+D</v>
      </c>
      <c r="Z381" s="467">
        <f t="shared" ca="1" si="189"/>
        <v>3</v>
      </c>
      <c r="AA381" s="467">
        <f t="shared" ca="1" si="190"/>
        <v>3</v>
      </c>
    </row>
    <row r="382" spans="1:27" x14ac:dyDescent="0.35">
      <c r="A382" s="118">
        <f ca="1">IFERROR(VLOOKUP(A376,standards,5,FALSE)+0.01,"-")</f>
        <v>7.26</v>
      </c>
      <c r="B382" s="477">
        <v>5</v>
      </c>
      <c r="C382" s="477">
        <f ca="1">IFERROR(IF(B382&gt;MatchDay!$U$2,"",VLOOKUP($A376,timetables,MatchDay!$U$4+B382-1,FALSE)),0)</f>
        <v>5</v>
      </c>
      <c r="D382" s="467" t="str">
        <f ca="1">IFERROR(HLOOKUP(C382,Declarations!$D$2:$S$102,A378,FALSE),"")</f>
        <v>HAYES Zara</v>
      </c>
      <c r="E382" s="467" t="str">
        <f t="shared" ca="1" si="214"/>
        <v>Scun</v>
      </c>
      <c r="F382" s="466"/>
      <c r="G382" s="476"/>
      <c r="H382" s="477">
        <v>5</v>
      </c>
      <c r="I382" s="477">
        <f t="shared" ca="1" si="215"/>
        <v>55</v>
      </c>
      <c r="J382" s="467" t="str">
        <f ca="1">IFERROR(HLOOKUP(I382,Declarations!$D$2:$S$102,$A378,FALSE),"")</f>
        <v>CRESSEY Evie</v>
      </c>
      <c r="K382" s="467" t="str">
        <f t="shared" ca="1" si="211"/>
        <v>Scun</v>
      </c>
      <c r="N382" s="478"/>
      <c r="P382" s="468">
        <f ca="1">IFERROR(IF(OR(D382=0,D382="-",D382="",D382=" ",D382=" ",D382="Athlete"),"",IF($A384&gt;0,VLOOKUP(D382,female_reg,3,FALSE)-C382*10,VLOOKUP(D382,male_reg,3,FALSE)-C382*10)),2)</f>
        <v>1</v>
      </c>
      <c r="Q382" s="468">
        <f ca="1">IFERROR(IF(OR(J382=0,J382="-",J382=" ",J382="",J382=" ",J382="Athlete"),"",IF($A384&gt;0,VLOOKUP(J382,female_reg,3,FALSE)-C382*10,VLOOKUP(J382,male_reg,3,FALSE)-C382*10)),2)</f>
        <v>1</v>
      </c>
      <c r="T382" s="468">
        <f t="shared" ca="1" si="187"/>
        <v>3</v>
      </c>
      <c r="U382" s="468">
        <f t="shared" ca="1" si="188"/>
        <v>2</v>
      </c>
      <c r="V382" s="467" t="str">
        <f t="shared" ca="1" si="212"/>
        <v>HAYES ZaraScun</v>
      </c>
      <c r="W382" s="467" t="str">
        <f t="shared" ca="1" si="213"/>
        <v>CRESSEY EvieScun</v>
      </c>
      <c r="Z382" s="467">
        <f t="shared" ca="1" si="189"/>
        <v>3</v>
      </c>
      <c r="AA382" s="467">
        <f t="shared" ca="1" si="190"/>
        <v>2</v>
      </c>
    </row>
    <row r="383" spans="1:27" x14ac:dyDescent="0.35">
      <c r="A383" s="118">
        <f ca="1">IFERROR(VLOOKUP(A376,standards,6,FALSE)+0.01,"-")</f>
        <v>6.56</v>
      </c>
      <c r="B383" s="477">
        <v>6</v>
      </c>
      <c r="C383" s="477" t="str">
        <f>IFERROR(IF(B383&gt;MatchDay!$U$2,"",VLOOKUP($A376,timetables,MatchDay!$U$4+B383-1,FALSE)),0)</f>
        <v/>
      </c>
      <c r="D383" s="467" t="str">
        <f>IFERROR(HLOOKUP(C383,Declarations!$D$2:$S$102,A378,FALSE),"")</f>
        <v/>
      </c>
      <c r="E383" s="467" t="str">
        <f t="shared" si="214"/>
        <v/>
      </c>
      <c r="F383" s="466"/>
      <c r="G383" s="476"/>
      <c r="H383" s="477">
        <v>6</v>
      </c>
      <c r="I383" s="477" t="str">
        <f t="shared" si="215"/>
        <v/>
      </c>
      <c r="J383" s="467" t="str">
        <f>IFERROR(HLOOKUP(I383,Declarations!$D$2:$S$102,$A378,FALSE),"")</f>
        <v/>
      </c>
      <c r="K383" s="467" t="str">
        <f t="shared" si="211"/>
        <v/>
      </c>
      <c r="N383" s="478"/>
      <c r="P383" s="468" t="str">
        <f>IFERROR(IF(OR(D383=0,D383="-",D383="",D383=" ",D383=" ",D383="Athlete"),"",IF($A384&gt;0,VLOOKUP(D383,female_reg,3,FALSE)-C383*10,VLOOKUP(D383,male_reg,3,FALSE)-C383*10)),2)</f>
        <v/>
      </c>
      <c r="Q383" s="468" t="str">
        <f>IFERROR(IF(OR(J383=0,J383="-",J383=" ",J383="",J383=" ",J383="Athlete"),"",IF($A384&gt;0,VLOOKUP(J383,female_reg,3,FALSE)-C383*10,VLOOKUP(J383,male_reg,3,FALSE)-C383*10)),2)</f>
        <v/>
      </c>
      <c r="T383" s="468">
        <f t="shared" si="187"/>
        <v>0</v>
      </c>
      <c r="U383" s="468">
        <f t="shared" si="188"/>
        <v>0</v>
      </c>
      <c r="V383" s="467" t="str">
        <f t="shared" si="212"/>
        <v>X</v>
      </c>
      <c r="W383" s="467" t="str">
        <f t="shared" si="213"/>
        <v>X</v>
      </c>
      <c r="Z383" s="467">
        <f t="shared" si="189"/>
        <v>0</v>
      </c>
      <c r="AA383" s="467">
        <f t="shared" si="190"/>
        <v>0</v>
      </c>
    </row>
    <row r="384" spans="1:27" x14ac:dyDescent="0.35">
      <c r="A384" s="479">
        <f ca="1">IFERROR(SEARCH("Girls",B376),0)</f>
        <v>10</v>
      </c>
      <c r="B384" s="477">
        <v>7</v>
      </c>
      <c r="C384" s="477" t="str">
        <f>IFERROR(IF(B384&gt;MatchDay!$U$2,"",VLOOKUP($A376,timetables,MatchDay!$U$4+B384-1,FALSE)),0)</f>
        <v/>
      </c>
      <c r="D384" s="467" t="str">
        <f>IFERROR(HLOOKUP(C384,Declarations!$D$2:$S$102,A378,FALSE),"")</f>
        <v/>
      </c>
      <c r="E384" s="467" t="str">
        <f t="shared" si="214"/>
        <v/>
      </c>
      <c r="F384" s="466"/>
      <c r="G384" s="476"/>
      <c r="H384" s="477">
        <v>7</v>
      </c>
      <c r="I384" s="477" t="str">
        <f t="shared" si="215"/>
        <v/>
      </c>
      <c r="J384" s="467" t="str">
        <f>IFERROR(HLOOKUP(I384,Declarations!$D$2:$S$102,$A378,FALSE),"")</f>
        <v/>
      </c>
      <c r="K384" s="467" t="str">
        <f t="shared" si="211"/>
        <v/>
      </c>
      <c r="N384" s="478"/>
      <c r="P384" s="468" t="str">
        <f>IFERROR(IF(OR(D384=0,D384="-",D384="",D384=" ",D384=" ",D384="Athlete"),"",IF($A384&gt;0,VLOOKUP(D384,female_reg,3,FALSE)-C384*10,VLOOKUP(D384,male_reg,3,FALSE)-C384*10)),2)</f>
        <v/>
      </c>
      <c r="Q384" s="468" t="str">
        <f>IFERROR(IF(OR(J384=0,J384="-",J384=" ",J384="",J384=" ",J384="Athlete"),"",IF($A384&gt;0,VLOOKUP(J384,female_reg,3,FALSE)-C384*10,VLOOKUP(J384,male_reg,3,FALSE)-C384*10)),2)</f>
        <v/>
      </c>
      <c r="T384" s="468">
        <f t="shared" si="187"/>
        <v>0</v>
      </c>
      <c r="U384" s="468">
        <f t="shared" si="188"/>
        <v>0</v>
      </c>
      <c r="V384" s="467" t="str">
        <f t="shared" si="212"/>
        <v>X</v>
      </c>
      <c r="W384" s="467" t="str">
        <f t="shared" si="213"/>
        <v>X</v>
      </c>
      <c r="Z384" s="467">
        <f t="shared" si="189"/>
        <v>0</v>
      </c>
      <c r="AA384" s="467">
        <f t="shared" si="190"/>
        <v>0</v>
      </c>
    </row>
    <row r="385" spans="1:27" x14ac:dyDescent="0.35">
      <c r="A385" s="116">
        <f ca="1">IFERROR(VLOOKUP(A376,records,5,FALSE),"")</f>
        <v>12.19</v>
      </c>
      <c r="B385" s="477">
        <v>8</v>
      </c>
      <c r="C385" s="477" t="str">
        <f>IFERROR(IF(B385&gt;MatchDay!$U$2,"",VLOOKUP($A376,timetables,MatchDay!$U$4+B385-1,FALSE)),0)</f>
        <v/>
      </c>
      <c r="D385" s="467" t="str">
        <f>IFERROR(HLOOKUP(C385,Declarations!$D$2:$S$102,A378,FALSE),"")</f>
        <v/>
      </c>
      <c r="E385" s="467" t="str">
        <f t="shared" si="214"/>
        <v/>
      </c>
      <c r="F385" s="466"/>
      <c r="G385" s="476"/>
      <c r="H385" s="477">
        <v>8</v>
      </c>
      <c r="I385" s="477" t="str">
        <f t="shared" si="215"/>
        <v/>
      </c>
      <c r="J385" s="467" t="str">
        <f>IFERROR(HLOOKUP(I385,Declarations!$D$2:$S$102,$A378,FALSE),"")</f>
        <v/>
      </c>
      <c r="K385" s="467" t="str">
        <f t="shared" si="211"/>
        <v/>
      </c>
      <c r="N385" s="478"/>
      <c r="P385" s="468" t="str">
        <f>IFERROR(IF(OR(D385=0,D385="-",D385="",D385=" ",D385=" ",D385="Athlete"),"",IF($A384&gt;0,VLOOKUP(D385,female_reg,3,FALSE)-C385*10,VLOOKUP(D385,male_reg,3,FALSE)-C385*10)),2)</f>
        <v/>
      </c>
      <c r="Q385" s="468" t="str">
        <f>IFERROR(IF(OR(J385=0,J385="-",J385=" ",J385="",J385=" ",J385="Athlete"),"",IF($A384&gt;0,VLOOKUP(J385,female_reg,3,FALSE)-C385*10,VLOOKUP(J385,male_reg,3,FALSE)-C385*10)),2)</f>
        <v/>
      </c>
      <c r="T385" s="468">
        <f t="shared" si="187"/>
        <v>0</v>
      </c>
      <c r="U385" s="468">
        <f t="shared" si="188"/>
        <v>0</v>
      </c>
      <c r="V385" s="467" t="str">
        <f t="shared" si="212"/>
        <v>X</v>
      </c>
      <c r="W385" s="467" t="str">
        <f t="shared" si="213"/>
        <v>X</v>
      </c>
      <c r="Z385" s="467">
        <f t="shared" si="189"/>
        <v>0</v>
      </c>
      <c r="AA385" s="467">
        <f t="shared" si="190"/>
        <v>0</v>
      </c>
    </row>
    <row r="386" spans="1:27" x14ac:dyDescent="0.35">
      <c r="P386" s="468" t="str">
        <f>IFERROR(IF(OR(D386=0,D386="-",D386="",D386=" ",D386=" ",D386="Athlete"),"",IF($A384&gt;0,VLOOKUP(D386,female_reg,3,FALSE)-C386*10,VLOOKUP(D386,male_reg,3,FALSE)-C386*10)),"X")</f>
        <v/>
      </c>
      <c r="Q386" s="468" t="str">
        <f>IFERROR(IF(OR(J386=0,J386="-",J386=" ",J386="",J386=" ",J386="Athlete"),"",IF($A384&gt;0,VLOOKUP(J386,female_reg,3,FALSE)-C386*10,VLOOKUP(J386,male_reg,3,FALSE)-C386*10)),"X")</f>
        <v/>
      </c>
      <c r="T386" s="468">
        <f t="shared" ca="1" si="187"/>
        <v>0</v>
      </c>
      <c r="U386" s="468">
        <f t="shared" ca="1" si="188"/>
        <v>0</v>
      </c>
      <c r="Z386" s="467">
        <f t="shared" ca="1" si="189"/>
        <v>0</v>
      </c>
      <c r="AA386" s="467">
        <f t="shared" ca="1" si="190"/>
        <v>0</v>
      </c>
    </row>
    <row r="387" spans="1:27" x14ac:dyDescent="0.35">
      <c r="A387" s="111" t="str">
        <f ca="1">IFERROR(INDIRECT(CONCATENATE("'Timetables'!A"&amp;A390)),"")</f>
        <v>LFD04</v>
      </c>
      <c r="B387" s="469" t="str">
        <f ca="1">IFERROR(VLOOKUP(A387,timetables,2,FALSE)&amp;" "&amp;VLOOKUP(A387,timetables,3,FALSE)&amp;" A","")</f>
        <v>Discus U15 Boys A</v>
      </c>
      <c r="C387" s="469"/>
      <c r="E387" s="470" t="str">
        <f ca="1">"Starts "&amp;TEXT(VLOOKUP(A387,timetables,7-MatchDay!$U$7,FALSE),"hh:mm")</f>
        <v>Starts 12:30</v>
      </c>
      <c r="F387" s="471"/>
      <c r="H387" s="472" t="str">
        <f ca="1">IFERROR("Rec: "&amp;TEXT(VLOOKUP(A387,records,5,FALSE),"#0.00")&amp;"m, "&amp;VLOOKUP(A387,records,3,FALSE)&amp;", "&amp;VLOOKUP(A387,records,4,FALSE)&amp;", "&amp;VLOOKUP(A387,records,8,FALSE),"")</f>
        <v>Rec: 49.53m, Alfie Scopes, Tonbridge AC, 2014</v>
      </c>
      <c r="K387" s="473"/>
      <c r="L387" s="474"/>
      <c r="M387" s="467"/>
      <c r="P387" s="468" t="str">
        <f>IFERROR(IF(OR(D387=0,D387="-",D387="",D387=" ",D387=" ",D387="Athlete"),"",IF($A395&gt;0,VLOOKUP(D387,female_reg,3,FALSE)-C387*10,VLOOKUP(D387,male_reg,3,FALSE)-C387*10)),"X")</f>
        <v/>
      </c>
      <c r="Q387" s="468" t="str">
        <f>IFERROR(IF(OR(J387=0,J387="-",J387=" ",J387="",J387=" ",J387="Athlete"),"",IF($A395&gt;0,VLOOKUP(J387,female_reg,3,FALSE)-C387*10,VLOOKUP(J387,male_reg,3,FALSE)-C387*10)),"X")</f>
        <v/>
      </c>
      <c r="T387" s="468">
        <f t="shared" ca="1" si="187"/>
        <v>0</v>
      </c>
      <c r="U387" s="468">
        <f t="shared" ca="1" si="188"/>
        <v>0</v>
      </c>
      <c r="Z387" s="467">
        <f t="shared" ca="1" si="189"/>
        <v>0</v>
      </c>
      <c r="AA387" s="467">
        <f t="shared" ca="1" si="190"/>
        <v>0</v>
      </c>
    </row>
    <row r="388" spans="1:27" x14ac:dyDescent="0.35">
      <c r="A388" s="85" t="str">
        <f ca="1">MID(A387,2,3)</f>
        <v>FD0</v>
      </c>
      <c r="B388" s="9" t="s">
        <v>163</v>
      </c>
      <c r="C388" s="9" t="s">
        <v>183</v>
      </c>
      <c r="D388" s="46" t="s">
        <v>227</v>
      </c>
      <c r="E388" s="46" t="s">
        <v>228</v>
      </c>
      <c r="F388" s="475"/>
      <c r="G388" s="46"/>
      <c r="H388" s="9" t="s">
        <v>163</v>
      </c>
      <c r="I388" s="9" t="s">
        <v>183</v>
      </c>
      <c r="J388" s="46" t="s">
        <v>227</v>
      </c>
      <c r="K388" s="46" t="s">
        <v>228</v>
      </c>
      <c r="L388" s="475"/>
      <c r="M388" s="475"/>
      <c r="N388" s="52"/>
      <c r="P388" s="468" t="str">
        <f>IFERROR(IF(OR(D388=0,D388="-",D388="",D388=" ",D388=" ",D388="Athlete"),"",IF($A395&gt;0,VLOOKUP(D388,female_reg,3,FALSE)-C388*10,VLOOKUP(D388,male_reg,3,FALSE)-C388*10)),"X")</f>
        <v/>
      </c>
      <c r="Q388" s="468" t="str">
        <f>IFERROR(IF(OR(J388=0,J388="-",J388=" ",J388="",J388=" ",J388="Athlete"),"",IF($A395&gt;0,VLOOKUP(J388,female_reg,3,FALSE)-C388*10,VLOOKUP(J388,male_reg,3,FALSE)-C388*10)),"X")</f>
        <v/>
      </c>
      <c r="T388" s="468">
        <f t="shared" ref="T388:T451" ca="1" si="216">IFERROR(IF(V388="X",0,COUNTIF($V$4:$W$573,V388)),0)</f>
        <v>0</v>
      </c>
      <c r="U388" s="468">
        <f t="shared" ref="U388:U451" ca="1" si="217">IFERROR(IF(W388="X",0,COUNTIF($V$4:$W$573,W388)),0)</f>
        <v>0</v>
      </c>
      <c r="Z388" s="467">
        <f t="shared" ref="Z388:Z451" ca="1" si="218">IF(V388="X",0,COUNTIF($V$4:$Y$638,V388))</f>
        <v>0</v>
      </c>
      <c r="AA388" s="467">
        <f t="shared" ref="AA388:AA451" ca="1" si="219">IF(W388="X",0,COUNTIF($V$4:$Y$638,W388))</f>
        <v>0</v>
      </c>
    </row>
    <row r="389" spans="1:27" x14ac:dyDescent="0.35">
      <c r="A389" s="181">
        <f ca="1">IFERROR(VLOOKUP(A387,Timetables!$A:$E,5,FALSE)-1,"")</f>
        <v>64</v>
      </c>
      <c r="B389" s="477">
        <v>1</v>
      </c>
      <c r="C389" s="477">
        <f ca="1">IFERROR(IF(B389&gt;MatchDay!$U$2,"",VLOOKUP($A387,timetables,MatchDay!$U$4+B389-1,FALSE)),0)</f>
        <v>3</v>
      </c>
      <c r="D389" s="467" t="str">
        <f ca="1">IFERROR(HLOOKUP(C389,Declarations!$D$2:$S$102,A389,FALSE),"")</f>
        <v>RHODES Ashton</v>
      </c>
      <c r="E389" s="467" t="str">
        <f ca="1">IFERROR(VLOOKUP(C389,teamlookup,5,FALSE),"")</f>
        <v>York</v>
      </c>
      <c r="F389" s="466"/>
      <c r="G389" s="476"/>
      <c r="H389" s="477">
        <v>1</v>
      </c>
      <c r="I389" s="477">
        <f ca="1">IFERROR(C389*11,"")</f>
        <v>33</v>
      </c>
      <c r="J389" s="467" t="str">
        <f ca="1">IFERROR(HLOOKUP(I389,Declarations!$D$2:$S$102,$A389,FALSE),"")</f>
        <v>BROOKS Rory</v>
      </c>
      <c r="K389" s="467" t="str">
        <f t="shared" ref="K389:K396" ca="1" si="220">IFERROR(VLOOKUP(I389,teamlookup,5,FALSE),"")</f>
        <v>York</v>
      </c>
      <c r="N389" s="478"/>
      <c r="P389" s="468">
        <f ca="1">IFERROR(IF(OR(D389=0,D389="-",D389="",D389=" ",D389=" ",D389="Athlete"),"",IF($A395&gt;0,VLOOKUP(D389,female_reg,3,FALSE)-C389*10,VLOOKUP(D389,male_reg,3,FALSE)-C389*10)),2)</f>
        <v>1</v>
      </c>
      <c r="Q389" s="468">
        <f ca="1">IFERROR(IF(OR(J389=0,J389="-",J389=" ",J389="",J389=" ",J389="Athlete"),"",IF($A395&gt;0,VLOOKUP(J389,female_reg,3,FALSE)-C389*10,VLOOKUP(J389,male_reg,3,FALSE)-C389*10)),2)</f>
        <v>1</v>
      </c>
      <c r="T389" s="468">
        <f t="shared" ca="1" si="216"/>
        <v>2</v>
      </c>
      <c r="U389" s="468">
        <f t="shared" ca="1" si="217"/>
        <v>3</v>
      </c>
      <c r="V389" s="467" t="str">
        <f t="shared" ref="V389:V396" ca="1" si="221">IFERROR(IF(OR(D389=0,D389="-",D389="",D389=" ",D389=" "),"X",D389&amp;E389),"X")</f>
        <v>RHODES AshtonYork</v>
      </c>
      <c r="W389" s="467" t="str">
        <f t="shared" ref="W389:W396" ca="1" si="222">IFERROR(IF(OR(J389=0,J389="-",J389="",J389=" ",J389=" "),"X",J389&amp;K389),"X")</f>
        <v>BROOKS RoryYork</v>
      </c>
      <c r="Z389" s="467">
        <f t="shared" ca="1" si="218"/>
        <v>2</v>
      </c>
      <c r="AA389" s="467">
        <f t="shared" ca="1" si="219"/>
        <v>4</v>
      </c>
    </row>
    <row r="390" spans="1:27" x14ac:dyDescent="0.35">
      <c r="A390" s="468">
        <f>A379+1</f>
        <v>44</v>
      </c>
      <c r="B390" s="477">
        <v>2</v>
      </c>
      <c r="C390" s="477">
        <f ca="1">IFERROR(IF(B390&gt;MatchDay!$U$2,"",VLOOKUP($A387,timetables,MatchDay!$U$4+B390-1,FALSE)),0)</f>
        <v>5</v>
      </c>
      <c r="D390" s="467" t="str">
        <f ca="1">IFERROR(HLOOKUP(C390,Declarations!$D$2:$S$102,A389,FALSE),"")</f>
        <v>COOK Edwin</v>
      </c>
      <c r="E390" s="467" t="str">
        <f t="shared" ref="E390:E396" ca="1" si="223">IFERROR(VLOOKUP(C390,teamlookup,5,FALSE),"")</f>
        <v>Scun</v>
      </c>
      <c r="F390" s="466"/>
      <c r="G390" s="476"/>
      <c r="H390" s="477">
        <v>2</v>
      </c>
      <c r="I390" s="477">
        <f t="shared" ref="I390:I396" ca="1" si="224">IFERROR(C390*11,"")</f>
        <v>55</v>
      </c>
      <c r="J390" s="467">
        <f ca="1">IFERROR(HLOOKUP(I390,Declarations!$D$2:$S$102,$A389,FALSE),"")</f>
        <v>0</v>
      </c>
      <c r="K390" s="467" t="str">
        <f t="shared" ca="1" si="220"/>
        <v>Scun</v>
      </c>
      <c r="N390" s="478"/>
      <c r="P390" s="468">
        <f ca="1">IFERROR(IF(OR(D390=0,D390="-",D390="",D390=" ",D390=" ",D390="Athlete"),"",IF($A395&gt;0,VLOOKUP(D390,female_reg,3,FALSE)-C390*10,VLOOKUP(D390,male_reg,3,FALSE)-C390*10)),2)</f>
        <v>1</v>
      </c>
      <c r="Q390" s="468" t="str">
        <f ca="1">IFERROR(IF(OR(J390=0,J390="-",J390=" ",J390="",J390=" ",J390="Athlete"),"",IF($A395&gt;0,VLOOKUP(J390,female_reg,3,FALSE)-C390*10,VLOOKUP(J390,male_reg,3,FALSE)-C390*10)),2)</f>
        <v/>
      </c>
      <c r="T390" s="468">
        <f t="shared" ca="1" si="216"/>
        <v>3</v>
      </c>
      <c r="U390" s="468">
        <f t="shared" ca="1" si="217"/>
        <v>0</v>
      </c>
      <c r="V390" s="467" t="str">
        <f t="shared" ca="1" si="221"/>
        <v>COOK EdwinScun</v>
      </c>
      <c r="W390" s="467" t="str">
        <f t="shared" ca="1" si="222"/>
        <v>X</v>
      </c>
      <c r="Z390" s="467">
        <f t="shared" ca="1" si="218"/>
        <v>3</v>
      </c>
      <c r="AA390" s="467">
        <f t="shared" ca="1" si="219"/>
        <v>0</v>
      </c>
    </row>
    <row r="391" spans="1:27" x14ac:dyDescent="0.35">
      <c r="A391" s="118">
        <f ca="1">IFERROR(VLOOKUP(A387,standards,3,FALSE)+0.01,"-")</f>
        <v>35.21</v>
      </c>
      <c r="B391" s="477">
        <v>3</v>
      </c>
      <c r="C391" s="477">
        <f ca="1">IFERROR(IF(B391&gt;MatchDay!$U$2,"",VLOOKUP($A387,timetables,MatchDay!$U$4+B391-1,FALSE)),0)</f>
        <v>2</v>
      </c>
      <c r="D391" s="467" t="str">
        <f ca="1">IFERROR(HLOOKUP(C391,Declarations!$D$2:$S$102,A389,FALSE),"")</f>
        <v>WAINWRIGHT James</v>
      </c>
      <c r="E391" s="467" t="str">
        <f t="shared" ca="1" si="223"/>
        <v>Sheff+D</v>
      </c>
      <c r="F391" s="466"/>
      <c r="G391" s="476"/>
      <c r="H391" s="477">
        <v>3</v>
      </c>
      <c r="I391" s="477">
        <f t="shared" ca="1" si="224"/>
        <v>22</v>
      </c>
      <c r="J391" s="467" t="str">
        <f ca="1">IFERROR(HLOOKUP(I391,Declarations!$D$2:$S$102,$A389,FALSE),"")</f>
        <v>KRIEL PARR George</v>
      </c>
      <c r="K391" s="467" t="str">
        <f t="shared" ca="1" si="220"/>
        <v>Sheff+D</v>
      </c>
      <c r="N391" s="478"/>
      <c r="P391" s="468">
        <f ca="1">IFERROR(IF(OR(D391=0,D391="-",D391="",D391=" ",D391=" ",D391="Athlete"),"",IF($A395&gt;0,VLOOKUP(D391,female_reg,3,FALSE)-C391*10,VLOOKUP(D391,male_reg,3,FALSE)-C391*10)),2)</f>
        <v>1</v>
      </c>
      <c r="Q391" s="468">
        <f ca="1">IFERROR(IF(OR(J391=0,J391="-",J391=" ",J391="",J391=" ",J391="Athlete"),"",IF($A395&gt;0,VLOOKUP(J391,female_reg,3,FALSE)-C391*10,VLOOKUP(J391,male_reg,3,FALSE)-C391*10)),2)</f>
        <v>1</v>
      </c>
      <c r="T391" s="468">
        <f t="shared" ca="1" si="216"/>
        <v>3</v>
      </c>
      <c r="U391" s="468">
        <f t="shared" ca="1" si="217"/>
        <v>3</v>
      </c>
      <c r="V391" s="467" t="str">
        <f t="shared" ca="1" si="221"/>
        <v>WAINWRIGHT JamesSheff+D</v>
      </c>
      <c r="W391" s="467" t="str">
        <f t="shared" ca="1" si="222"/>
        <v>KRIEL PARR GeorgeSheff+D</v>
      </c>
      <c r="Z391" s="467">
        <f t="shared" ca="1" si="218"/>
        <v>4</v>
      </c>
      <c r="AA391" s="467">
        <f t="shared" ca="1" si="219"/>
        <v>4</v>
      </c>
    </row>
    <row r="392" spans="1:27" x14ac:dyDescent="0.35">
      <c r="A392" s="118">
        <f ca="1">IFERROR(VLOOKUP(A387,standards,4,FALSE)+0.01,"-")</f>
        <v>32.309999999999995</v>
      </c>
      <c r="B392" s="477">
        <v>4</v>
      </c>
      <c r="C392" s="477">
        <f ca="1">IFERROR(IF(B392&gt;MatchDay!$U$2,"",VLOOKUP($A387,timetables,MatchDay!$U$4+B392-1,FALSE)),0)</f>
        <v>4</v>
      </c>
      <c r="D392" s="467" t="str">
        <f ca="1">IFERROR(HLOOKUP(C392,Declarations!$D$2:$S$102,A389,FALSE),"")</f>
        <v>BELL Callum</v>
      </c>
      <c r="E392" s="467" t="str">
        <f t="shared" ca="1" si="223"/>
        <v>M'bro</v>
      </c>
      <c r="F392" s="466"/>
      <c r="G392" s="476"/>
      <c r="H392" s="477">
        <v>4</v>
      </c>
      <c r="I392" s="477">
        <f t="shared" ca="1" si="224"/>
        <v>44</v>
      </c>
      <c r="J392" s="467" t="str">
        <f ca="1">IFERROR(HLOOKUP(I392,Declarations!$D$2:$S$102,$A389,FALSE),"")</f>
        <v>-</v>
      </c>
      <c r="K392" s="467" t="str">
        <f t="shared" ca="1" si="220"/>
        <v>M'bro</v>
      </c>
      <c r="N392" s="478"/>
      <c r="P392" s="468">
        <f ca="1">IFERROR(IF(OR(D392=0,D392="-",D392="",D392=" ",D392=" ",D392="Athlete"),"",IF($A395&gt;0,VLOOKUP(D392,female_reg,3,FALSE)-C392*10,VLOOKUP(D392,male_reg,3,FALSE)-C392*10)),2)</f>
        <v>1</v>
      </c>
      <c r="Q392" s="468" t="str">
        <f ca="1">IFERROR(IF(OR(J392=0,J392="-",J392=" ",J392="",J392=" ",J392="Athlete"),"",IF($A395&gt;0,VLOOKUP(J392,female_reg,3,FALSE)-C392*10,VLOOKUP(J392,male_reg,3,FALSE)-C392*10)),2)</f>
        <v/>
      </c>
      <c r="T392" s="468">
        <f t="shared" ca="1" si="216"/>
        <v>2</v>
      </c>
      <c r="U392" s="468">
        <f t="shared" ca="1" si="217"/>
        <v>0</v>
      </c>
      <c r="V392" s="467" t="str">
        <f t="shared" ca="1" si="221"/>
        <v>BELL CallumM'bro</v>
      </c>
      <c r="W392" s="467" t="str">
        <f t="shared" ca="1" si="222"/>
        <v>X</v>
      </c>
      <c r="Z392" s="467">
        <f t="shared" ca="1" si="218"/>
        <v>2</v>
      </c>
      <c r="AA392" s="467">
        <f t="shared" ca="1" si="219"/>
        <v>0</v>
      </c>
    </row>
    <row r="393" spans="1:27" x14ac:dyDescent="0.35">
      <c r="A393" s="118">
        <f ca="1">IFERROR(VLOOKUP(A387,standards,5,FALSE)+0.01,"-")</f>
        <v>28.96</v>
      </c>
      <c r="B393" s="477">
        <v>5</v>
      </c>
      <c r="C393" s="477">
        <f ca="1">IFERROR(IF(B393&gt;MatchDay!$U$2,"",VLOOKUP($A387,timetables,MatchDay!$U$4+B393-1,FALSE)),0)</f>
        <v>1</v>
      </c>
      <c r="D393" s="467" t="str">
        <f ca="1">IFERROR(HLOOKUP(C393,Declarations!$D$2:$S$102,A389,FALSE),"")</f>
        <v>COOPER Malachi</v>
      </c>
      <c r="E393" s="467" t="str">
        <f t="shared" ca="1" si="223"/>
        <v>C'field</v>
      </c>
      <c r="F393" s="466"/>
      <c r="G393" s="476"/>
      <c r="H393" s="477">
        <v>5</v>
      </c>
      <c r="I393" s="477">
        <f t="shared" ca="1" si="224"/>
        <v>11</v>
      </c>
      <c r="J393" s="467" t="str">
        <f ca="1">IFERROR(HLOOKUP(I393,Declarations!$D$2:$S$102,$A389,FALSE),"")</f>
        <v>PEERS-WAIN Jacob</v>
      </c>
      <c r="K393" s="467" t="str">
        <f t="shared" ca="1" si="220"/>
        <v>C'field</v>
      </c>
      <c r="N393" s="478"/>
      <c r="P393" s="468">
        <f ca="1">IFERROR(IF(OR(D393=0,D393="-",D393="",D393=" ",D393=" ",D393="Athlete"),"",IF($A395&gt;0,VLOOKUP(D393,female_reg,3,FALSE)-C393*10,VLOOKUP(D393,male_reg,3,FALSE)-C393*10)),2)</f>
        <v>1</v>
      </c>
      <c r="Q393" s="468">
        <f ca="1">IFERROR(IF(OR(J393=0,J393="-",J393=" ",J393="",J393=" ",J393="Athlete"),"",IF($A395&gt;0,VLOOKUP(J393,female_reg,3,FALSE)-C393*10,VLOOKUP(J393,male_reg,3,FALSE)-C393*10)),2)</f>
        <v>1</v>
      </c>
      <c r="T393" s="468">
        <f t="shared" ca="1" si="216"/>
        <v>3</v>
      </c>
      <c r="U393" s="468">
        <f t="shared" ca="1" si="217"/>
        <v>3</v>
      </c>
      <c r="V393" s="467" t="str">
        <f t="shared" ca="1" si="221"/>
        <v>COOPER MalachiC'field</v>
      </c>
      <c r="W393" s="467" t="str">
        <f t="shared" ca="1" si="222"/>
        <v>PEERS-WAIN JacobC'field</v>
      </c>
      <c r="Z393" s="467">
        <f t="shared" ca="1" si="218"/>
        <v>4</v>
      </c>
      <c r="AA393" s="467">
        <f t="shared" ca="1" si="219"/>
        <v>4</v>
      </c>
    </row>
    <row r="394" spans="1:27" x14ac:dyDescent="0.35">
      <c r="A394" s="118">
        <f ca="1">IFERROR(VLOOKUP(A387,standards,6,FALSE)+0.01,"-")</f>
        <v>25.51</v>
      </c>
      <c r="B394" s="477">
        <v>6</v>
      </c>
      <c r="C394" s="477" t="str">
        <f>IFERROR(IF(B394&gt;MatchDay!$U$2,"",VLOOKUP($A387,timetables,MatchDay!$U$4+B394-1,FALSE)),0)</f>
        <v/>
      </c>
      <c r="D394" s="467" t="str">
        <f>IFERROR(HLOOKUP(C394,Declarations!$D$2:$S$102,A389,FALSE),"")</f>
        <v/>
      </c>
      <c r="E394" s="467" t="str">
        <f t="shared" si="223"/>
        <v/>
      </c>
      <c r="F394" s="466"/>
      <c r="G394" s="476"/>
      <c r="H394" s="477">
        <v>6</v>
      </c>
      <c r="I394" s="477" t="str">
        <f t="shared" si="224"/>
        <v/>
      </c>
      <c r="J394" s="467" t="str">
        <f>IFERROR(HLOOKUP(I394,Declarations!$D$2:$S$102,$A389,FALSE),"")</f>
        <v/>
      </c>
      <c r="K394" s="467" t="str">
        <f t="shared" si="220"/>
        <v/>
      </c>
      <c r="N394" s="478"/>
      <c r="P394" s="468" t="str">
        <f>IFERROR(IF(OR(D394=0,D394="-",D394="",D394=" ",D394=" ",D394="Athlete"),"",IF($A395&gt;0,VLOOKUP(D394,female_reg,3,FALSE)-C394*10,VLOOKUP(D394,male_reg,3,FALSE)-C394*10)),2)</f>
        <v/>
      </c>
      <c r="Q394" s="468" t="str">
        <f>IFERROR(IF(OR(J394=0,J394="-",J394=" ",J394="",J394=" ",J394="Athlete"),"",IF($A395&gt;0,VLOOKUP(J394,female_reg,3,FALSE)-C394*10,VLOOKUP(J394,male_reg,3,FALSE)-C394*10)),2)</f>
        <v/>
      </c>
      <c r="T394" s="468">
        <f t="shared" si="216"/>
        <v>0</v>
      </c>
      <c r="U394" s="468">
        <f t="shared" si="217"/>
        <v>0</v>
      </c>
      <c r="V394" s="467" t="str">
        <f t="shared" si="221"/>
        <v>X</v>
      </c>
      <c r="W394" s="467" t="str">
        <f t="shared" si="222"/>
        <v>X</v>
      </c>
      <c r="Z394" s="467">
        <f t="shared" si="218"/>
        <v>0</v>
      </c>
      <c r="AA394" s="467">
        <f t="shared" si="219"/>
        <v>0</v>
      </c>
    </row>
    <row r="395" spans="1:27" x14ac:dyDescent="0.35">
      <c r="A395" s="479">
        <f ca="1">IFERROR(SEARCH("Girls",B387),0)</f>
        <v>0</v>
      </c>
      <c r="B395" s="477">
        <v>7</v>
      </c>
      <c r="C395" s="477" t="str">
        <f>IFERROR(IF(B395&gt;MatchDay!$U$2,"",VLOOKUP($A387,timetables,MatchDay!$U$4+B395-1,FALSE)),0)</f>
        <v/>
      </c>
      <c r="D395" s="467" t="str">
        <f>IFERROR(HLOOKUP(C395,Declarations!$D$2:$S$102,A389,FALSE),"")</f>
        <v/>
      </c>
      <c r="E395" s="467" t="str">
        <f t="shared" si="223"/>
        <v/>
      </c>
      <c r="F395" s="466"/>
      <c r="G395" s="476"/>
      <c r="H395" s="477">
        <v>7</v>
      </c>
      <c r="I395" s="477" t="str">
        <f t="shared" si="224"/>
        <v/>
      </c>
      <c r="J395" s="467" t="str">
        <f>IFERROR(HLOOKUP(I395,Declarations!$D$2:$S$102,$A389,FALSE),"")</f>
        <v/>
      </c>
      <c r="K395" s="467" t="str">
        <f t="shared" si="220"/>
        <v/>
      </c>
      <c r="N395" s="478"/>
      <c r="P395" s="468" t="str">
        <f>IFERROR(IF(OR(D395=0,D395="-",D395="",D395=" ",D395=" ",D395="Athlete"),"",IF($A395&gt;0,VLOOKUP(D395,female_reg,3,FALSE)-C395*10,VLOOKUP(D395,male_reg,3,FALSE)-C395*10)),2)</f>
        <v/>
      </c>
      <c r="Q395" s="468" t="str">
        <f>IFERROR(IF(OR(J395=0,J395="-",J395=" ",J395="",J395=" ",J395="Athlete"),"",IF($A395&gt;0,VLOOKUP(J395,female_reg,3,FALSE)-C395*10,VLOOKUP(J395,male_reg,3,FALSE)-C395*10)),2)</f>
        <v/>
      </c>
      <c r="T395" s="468">
        <f t="shared" si="216"/>
        <v>0</v>
      </c>
      <c r="U395" s="468">
        <f t="shared" si="217"/>
        <v>0</v>
      </c>
      <c r="V395" s="467" t="str">
        <f t="shared" si="221"/>
        <v>X</v>
      </c>
      <c r="W395" s="467" t="str">
        <f t="shared" si="222"/>
        <v>X</v>
      </c>
      <c r="Z395" s="467">
        <f t="shared" si="218"/>
        <v>0</v>
      </c>
      <c r="AA395" s="467">
        <f t="shared" si="219"/>
        <v>0</v>
      </c>
    </row>
    <row r="396" spans="1:27" x14ac:dyDescent="0.35">
      <c r="A396" s="116">
        <f ca="1">IFERROR(VLOOKUP(A387,records,5,FALSE),"")</f>
        <v>49.53</v>
      </c>
      <c r="B396" s="477">
        <v>8</v>
      </c>
      <c r="C396" s="477" t="str">
        <f>IFERROR(IF(B396&gt;MatchDay!$U$2,"",VLOOKUP($A387,timetables,MatchDay!$U$4+B396-1,FALSE)),0)</f>
        <v/>
      </c>
      <c r="D396" s="467" t="str">
        <f>IFERROR(HLOOKUP(C396,Declarations!$D$2:$S$102,A389,FALSE),"")</f>
        <v/>
      </c>
      <c r="E396" s="467" t="str">
        <f t="shared" si="223"/>
        <v/>
      </c>
      <c r="F396" s="466"/>
      <c r="G396" s="476"/>
      <c r="H396" s="477">
        <v>8</v>
      </c>
      <c r="I396" s="477" t="str">
        <f t="shared" si="224"/>
        <v/>
      </c>
      <c r="J396" s="467" t="str">
        <f>IFERROR(HLOOKUP(I396,Declarations!$D$2:$S$102,$A389,FALSE),"")</f>
        <v/>
      </c>
      <c r="K396" s="467" t="str">
        <f t="shared" si="220"/>
        <v/>
      </c>
      <c r="N396" s="478"/>
      <c r="P396" s="468" t="str">
        <f>IFERROR(IF(OR(D396=0,D396="-",D396="",D396=" ",D396=" ",D396="Athlete"),"",IF($A395&gt;0,VLOOKUP(D396,female_reg,3,FALSE)-C396*10,VLOOKUP(D396,male_reg,3,FALSE)-C396*10)),2)</f>
        <v/>
      </c>
      <c r="Q396" s="468" t="str">
        <f>IFERROR(IF(OR(J396=0,J396="-",J396=" ",J396="",J396=" ",J396="Athlete"),"",IF($A395&gt;0,VLOOKUP(J396,female_reg,3,FALSE)-C396*10,VLOOKUP(J396,male_reg,3,FALSE)-C396*10)),2)</f>
        <v/>
      </c>
      <c r="T396" s="468">
        <f t="shared" si="216"/>
        <v>0</v>
      </c>
      <c r="U396" s="468">
        <f t="shared" si="217"/>
        <v>0</v>
      </c>
      <c r="V396" s="467" t="str">
        <f t="shared" si="221"/>
        <v>X</v>
      </c>
      <c r="W396" s="467" t="str">
        <f t="shared" si="222"/>
        <v>X</v>
      </c>
      <c r="Z396" s="467">
        <f t="shared" si="218"/>
        <v>0</v>
      </c>
      <c r="AA396" s="467">
        <f t="shared" si="219"/>
        <v>0</v>
      </c>
    </row>
    <row r="397" spans="1:27" x14ac:dyDescent="0.35">
      <c r="P397" s="468" t="str">
        <f>IFERROR(IF(OR(D397=0,D397="-",D397="",D397=" ",D397=" ",D397="Athlete"),"",IF($A395&gt;0,VLOOKUP(D397,female_reg,3,FALSE)-C397*10,VLOOKUP(D397,male_reg,3,FALSE)-C397*10)),"X")</f>
        <v/>
      </c>
      <c r="Q397" s="468" t="str">
        <f>IFERROR(IF(OR(J397=0,J397="-",J397=" ",J397="",J397=" ",J397="Athlete"),"",IF($A395&gt;0,VLOOKUP(J397,female_reg,3,FALSE)-C397*10,VLOOKUP(J397,male_reg,3,FALSE)-C397*10)),"X")</f>
        <v/>
      </c>
      <c r="T397" s="468">
        <f t="shared" ca="1" si="216"/>
        <v>0</v>
      </c>
      <c r="U397" s="468">
        <f t="shared" ca="1" si="217"/>
        <v>0</v>
      </c>
      <c r="Z397" s="467">
        <f t="shared" ca="1" si="218"/>
        <v>0</v>
      </c>
      <c r="AA397" s="467">
        <f t="shared" ca="1" si="219"/>
        <v>0</v>
      </c>
    </row>
    <row r="398" spans="1:27" x14ac:dyDescent="0.35">
      <c r="A398" s="111" t="str">
        <f ca="1">IFERROR(INDIRECT(CONCATENATE("'Timetables'!A"&amp;A401)),"")</f>
        <v>LFW02</v>
      </c>
      <c r="B398" s="469" t="str">
        <f ca="1">IFERROR(VLOOKUP(A398,timetables,2,FALSE)&amp;" "&amp;VLOOKUP(A398,timetables,3,FALSE)&amp;" A","")</f>
        <v>Long Jump U15 Girls A</v>
      </c>
      <c r="C398" s="469"/>
      <c r="E398" s="470" t="str">
        <f ca="1">"Starts "&amp;TEXT(VLOOKUP(A398,timetables,7-MatchDay!$U$7,FALSE),"hh:mm")</f>
        <v>Starts 13:00</v>
      </c>
      <c r="F398" s="471"/>
      <c r="H398" s="472" t="str">
        <f ca="1">IFERROR("Rec: "&amp;TEXT(VLOOKUP(A398,records,5,FALSE),"#0.00")&amp;"m, "&amp;VLOOKUP(A398,records,3,FALSE)&amp;", "&amp;VLOOKUP(A398,records,4,FALSE)&amp;", "&amp;VLOOKUP(A398,records,8,FALSE),"")</f>
        <v>Rec: 5.63m, Molly Palmer, Charnwood AC, 2017</v>
      </c>
      <c r="K398" s="473"/>
      <c r="L398" s="474"/>
      <c r="M398" s="467"/>
      <c r="P398" s="468" t="str">
        <f>IFERROR(IF(OR(D398=0,D398="-",D398="",D398=" ",D398=" ",D398="Athlete"),"",IF($A406&gt;0,VLOOKUP(D398,female_reg,3,FALSE)-C398*10,VLOOKUP(D398,male_reg,3,FALSE)-C398*10)),"X")</f>
        <v/>
      </c>
      <c r="Q398" s="468" t="str">
        <f>IFERROR(IF(OR(J398=0,J398="-",J398=" ",J398="",J398=" ",J398="Athlete"),"",IF($A406&gt;0,VLOOKUP(J398,female_reg,3,FALSE)-C398*10,VLOOKUP(J398,male_reg,3,FALSE)-C398*10)),"X")</f>
        <v/>
      </c>
      <c r="T398" s="468">
        <f t="shared" ca="1" si="216"/>
        <v>0</v>
      </c>
      <c r="U398" s="468">
        <f t="shared" ca="1" si="217"/>
        <v>0</v>
      </c>
      <c r="Z398" s="467">
        <f t="shared" ca="1" si="218"/>
        <v>0</v>
      </c>
      <c r="AA398" s="467">
        <f t="shared" ca="1" si="219"/>
        <v>0</v>
      </c>
    </row>
    <row r="399" spans="1:27" x14ac:dyDescent="0.35">
      <c r="A399" s="85" t="str">
        <f ca="1">MID(A398,2,3)</f>
        <v>FW0</v>
      </c>
      <c r="B399" s="9" t="s">
        <v>163</v>
      </c>
      <c r="C399" s="9" t="s">
        <v>183</v>
      </c>
      <c r="D399" s="46" t="s">
        <v>227</v>
      </c>
      <c r="E399" s="46" t="s">
        <v>228</v>
      </c>
      <c r="F399" s="475"/>
      <c r="G399" s="46"/>
      <c r="H399" s="9" t="s">
        <v>163</v>
      </c>
      <c r="I399" s="9" t="s">
        <v>183</v>
      </c>
      <c r="J399" s="46" t="s">
        <v>227</v>
      </c>
      <c r="K399" s="46" t="s">
        <v>228</v>
      </c>
      <c r="L399" s="475"/>
      <c r="M399" s="475"/>
      <c r="N399" s="52"/>
      <c r="P399" s="468" t="str">
        <f>IFERROR(IF(OR(D399=0,D399="-",D399="",D399=" ",D399=" ",D399="Athlete"),"",IF($A406&gt;0,VLOOKUP(D399,female_reg,3,FALSE)-C399*10,VLOOKUP(D399,male_reg,3,FALSE)-C399*10)),"X")</f>
        <v/>
      </c>
      <c r="Q399" s="468" t="str">
        <f>IFERROR(IF(OR(J399=0,J399="-",J399=" ",J399="",J399=" ",J399="Athlete"),"",IF($A406&gt;0,VLOOKUP(J399,female_reg,3,FALSE)-C399*10,VLOOKUP(J399,male_reg,3,FALSE)-C399*10)),"X")</f>
        <v/>
      </c>
      <c r="T399" s="468">
        <f t="shared" ca="1" si="216"/>
        <v>0</v>
      </c>
      <c r="U399" s="468">
        <f t="shared" ca="1" si="217"/>
        <v>0</v>
      </c>
      <c r="Z399" s="467">
        <f t="shared" ca="1" si="218"/>
        <v>0</v>
      </c>
      <c r="AA399" s="467">
        <f t="shared" ca="1" si="219"/>
        <v>0</v>
      </c>
    </row>
    <row r="400" spans="1:27" x14ac:dyDescent="0.35">
      <c r="A400" s="181">
        <f ca="1">IFERROR(VLOOKUP(A398,Timetables!$A:$E,5,FALSE)-1,"")</f>
        <v>18</v>
      </c>
      <c r="B400" s="477">
        <v>1</v>
      </c>
      <c r="C400" s="477">
        <f ca="1">IFERROR(IF(B400&gt;MatchDay!$U$2,"",VLOOKUP($A398,timetables,MatchDay!$U$4+B400-1,FALSE)),0)</f>
        <v>1</v>
      </c>
      <c r="D400" s="467" t="str">
        <f ca="1">IFERROR(HLOOKUP(C400,Declarations!$D$2:$S$102,A400,FALSE),"")</f>
        <v>BRIDDON Missy</v>
      </c>
      <c r="E400" s="467" t="str">
        <f ca="1">IFERROR(VLOOKUP(C400,teamlookup,5,FALSE),"")</f>
        <v>C'field</v>
      </c>
      <c r="F400" s="466"/>
      <c r="G400" s="476"/>
      <c r="H400" s="477">
        <v>1</v>
      </c>
      <c r="I400" s="477">
        <f ca="1">IFERROR(C400*11,"")</f>
        <v>11</v>
      </c>
      <c r="J400" s="467" t="str">
        <f ca="1">IFERROR(HLOOKUP(I400,Declarations!$D$2:$S$102,$A400,FALSE),"")</f>
        <v>ROGERS Emily</v>
      </c>
      <c r="K400" s="467" t="str">
        <f t="shared" ref="K400:K407" ca="1" si="225">IFERROR(VLOOKUP(I400,teamlookup,5,FALSE),"")</f>
        <v>C'field</v>
      </c>
      <c r="N400" s="478"/>
      <c r="P400" s="468">
        <f ca="1">IFERROR(IF(OR(D400=0,D400="-",D400="",D400=" ",D400=" ",D400="Athlete"),"",IF($A406&gt;0,VLOOKUP(D400,female_reg,3,FALSE)-C400*10,VLOOKUP(D400,male_reg,3,FALSE)-C400*10)),2)</f>
        <v>1</v>
      </c>
      <c r="Q400" s="468">
        <f ca="1">IFERROR(IF(OR(J400=0,J400="-",J400=" ",J400="",J400=" ",J400="Athlete"),"",IF($A406&gt;0,VLOOKUP(J400,female_reg,3,FALSE)-C400*10,VLOOKUP(J400,male_reg,3,FALSE)-C400*10)),2)</f>
        <v>1</v>
      </c>
      <c r="T400" s="468">
        <f t="shared" ca="1" si="216"/>
        <v>3</v>
      </c>
      <c r="U400" s="468">
        <f t="shared" ca="1" si="217"/>
        <v>3</v>
      </c>
      <c r="V400" s="467" t="str">
        <f t="shared" ref="V400:V407" ca="1" si="226">IFERROR(IF(OR(D400=0,D400="-",D400="",D400=" ",D400=" "),"X",D400&amp;E400),"X")</f>
        <v>BRIDDON MissyC'field</v>
      </c>
      <c r="W400" s="467" t="str">
        <f t="shared" ref="W400:W407" ca="1" si="227">IFERROR(IF(OR(J400=0,J400="-",J400="",J400=" ",J400=" "),"X",J400&amp;K400),"X")</f>
        <v>ROGERS EmilyC'field</v>
      </c>
      <c r="Z400" s="467">
        <f t="shared" ca="1" si="218"/>
        <v>4</v>
      </c>
      <c r="AA400" s="467">
        <f t="shared" ca="1" si="219"/>
        <v>3</v>
      </c>
    </row>
    <row r="401" spans="1:27" x14ac:dyDescent="0.35">
      <c r="A401" s="468">
        <f>A390+1</f>
        <v>45</v>
      </c>
      <c r="B401" s="477">
        <v>2</v>
      </c>
      <c r="C401" s="477">
        <f ca="1">IFERROR(IF(B401&gt;MatchDay!$U$2,"",VLOOKUP($A398,timetables,MatchDay!$U$4+B401-1,FALSE)),0)</f>
        <v>5</v>
      </c>
      <c r="D401" s="467" t="str">
        <f ca="1">IFERROR(HLOOKUP(C401,Declarations!$D$2:$S$102,A400,FALSE),"")</f>
        <v>LINGARD Alice</v>
      </c>
      <c r="E401" s="467" t="str">
        <f t="shared" ref="E401:E407" ca="1" si="228">IFERROR(VLOOKUP(C401,teamlookup,5,FALSE),"")</f>
        <v>Scun</v>
      </c>
      <c r="F401" s="466"/>
      <c r="G401" s="476"/>
      <c r="H401" s="477">
        <v>2</v>
      </c>
      <c r="I401" s="477">
        <f t="shared" ref="I401:I407" ca="1" si="229">IFERROR(C401*11,"")</f>
        <v>55</v>
      </c>
      <c r="J401" s="467" t="str">
        <f ca="1">IFERROR(HLOOKUP(I401,Declarations!$D$2:$S$102,$A400,FALSE),"")</f>
        <v>WHITTAKER Millie</v>
      </c>
      <c r="K401" s="467" t="str">
        <f t="shared" ca="1" si="225"/>
        <v>Scun</v>
      </c>
      <c r="N401" s="478"/>
      <c r="P401" s="468">
        <f ca="1">IFERROR(IF(OR(D401=0,D401="-",D401="",D401=" ",D401=" ",D401="Athlete"),"",IF($A406&gt;0,VLOOKUP(D401,female_reg,3,FALSE)-C401*10,VLOOKUP(D401,male_reg,3,FALSE)-C401*10)),2)</f>
        <v>1</v>
      </c>
      <c r="Q401" s="468">
        <f ca="1">IFERROR(IF(OR(J401=0,J401="-",J401=" ",J401="",J401=" ",J401="Athlete"),"",IF($A406&gt;0,VLOOKUP(J401,female_reg,3,FALSE)-C401*10,VLOOKUP(J401,male_reg,3,FALSE)-C401*10)),2)</f>
        <v>1</v>
      </c>
      <c r="T401" s="468">
        <f t="shared" ca="1" si="216"/>
        <v>2</v>
      </c>
      <c r="U401" s="468">
        <f t="shared" ca="1" si="217"/>
        <v>2</v>
      </c>
      <c r="V401" s="467" t="str">
        <f t="shared" ca="1" si="226"/>
        <v>LINGARD AliceScun</v>
      </c>
      <c r="W401" s="467" t="str">
        <f t="shared" ca="1" si="227"/>
        <v>WHITTAKER MillieScun</v>
      </c>
      <c r="Z401" s="467">
        <f t="shared" ca="1" si="218"/>
        <v>2</v>
      </c>
      <c r="AA401" s="467">
        <f t="shared" ca="1" si="219"/>
        <v>3</v>
      </c>
    </row>
    <row r="402" spans="1:27" x14ac:dyDescent="0.35">
      <c r="A402" s="118">
        <f ca="1">IFERROR(VLOOKUP(A398,standards,3,FALSE)+0.01,"-")</f>
        <v>5.0599999999999996</v>
      </c>
      <c r="B402" s="477">
        <v>3</v>
      </c>
      <c r="C402" s="477">
        <f ca="1">IFERROR(IF(B402&gt;MatchDay!$U$2,"",VLOOKUP($A398,timetables,MatchDay!$U$4+B402-1,FALSE)),0)</f>
        <v>4</v>
      </c>
      <c r="D402" s="467" t="str">
        <f ca="1">IFERROR(HLOOKUP(C402,Declarations!$D$2:$S$102,A400,FALSE),"")</f>
        <v>PYE Naiomi</v>
      </c>
      <c r="E402" s="467" t="str">
        <f t="shared" ca="1" si="228"/>
        <v>M'bro</v>
      </c>
      <c r="F402" s="466"/>
      <c r="G402" s="476"/>
      <c r="H402" s="477">
        <v>3</v>
      </c>
      <c r="I402" s="477">
        <f t="shared" ca="1" si="229"/>
        <v>44</v>
      </c>
      <c r="J402" s="467" t="str">
        <f ca="1">IFERROR(HLOOKUP(I402,Declarations!$D$2:$S$102,$A400,FALSE),"")</f>
        <v>MANNION Grace</v>
      </c>
      <c r="K402" s="467" t="str">
        <f t="shared" ca="1" si="225"/>
        <v>M'bro</v>
      </c>
      <c r="N402" s="478"/>
      <c r="P402" s="468">
        <f ca="1">IFERROR(IF(OR(D402=0,D402="-",D402="",D402=" ",D402=" ",D402="Athlete"),"",IF($A406&gt;0,VLOOKUP(D402,female_reg,3,FALSE)-C402*10,VLOOKUP(D402,male_reg,3,FALSE)-C402*10)),2)</f>
        <v>1</v>
      </c>
      <c r="Q402" s="468">
        <f ca="1">IFERROR(IF(OR(J402=0,J402="-",J402=" ",J402="",J402=" ",J402="Athlete"),"",IF($A406&gt;0,VLOOKUP(J402,female_reg,3,FALSE)-C402*10,VLOOKUP(J402,male_reg,3,FALSE)-C402*10)),2)</f>
        <v>1</v>
      </c>
      <c r="T402" s="468">
        <f t="shared" ca="1" si="216"/>
        <v>2</v>
      </c>
      <c r="U402" s="468">
        <f t="shared" ca="1" si="217"/>
        <v>3</v>
      </c>
      <c r="V402" s="467" t="str">
        <f t="shared" ca="1" si="226"/>
        <v>PYE NaiomiM'bro</v>
      </c>
      <c r="W402" s="467" t="str">
        <f t="shared" ca="1" si="227"/>
        <v>MANNION GraceM'bro</v>
      </c>
      <c r="Z402" s="467">
        <f t="shared" ca="1" si="218"/>
        <v>3</v>
      </c>
      <c r="AA402" s="467">
        <f t="shared" ca="1" si="219"/>
        <v>3</v>
      </c>
    </row>
    <row r="403" spans="1:27" x14ac:dyDescent="0.35">
      <c r="A403" s="118">
        <f ca="1">IFERROR(VLOOKUP(A398,standards,4,FALSE)+0.01,"-")</f>
        <v>4.91</v>
      </c>
      <c r="B403" s="477">
        <v>4</v>
      </c>
      <c r="C403" s="477">
        <f ca="1">IFERROR(IF(B403&gt;MatchDay!$U$2,"",VLOOKUP($A398,timetables,MatchDay!$U$4+B403-1,FALSE)),0)</f>
        <v>2</v>
      </c>
      <c r="D403" s="467" t="str">
        <f ca="1">IFERROR(HLOOKUP(C403,Declarations!$D$2:$S$102,A400,FALSE),"")</f>
        <v>MYCROFT Tilly</v>
      </c>
      <c r="E403" s="467" t="str">
        <f t="shared" ca="1" si="228"/>
        <v>Sheff+D</v>
      </c>
      <c r="F403" s="466"/>
      <c r="G403" s="476"/>
      <c r="H403" s="477">
        <v>4</v>
      </c>
      <c r="I403" s="477">
        <f t="shared" ca="1" si="229"/>
        <v>22</v>
      </c>
      <c r="J403" s="467" t="str">
        <f ca="1">IFERROR(HLOOKUP(I403,Declarations!$D$2:$S$102,$A400,FALSE),"")</f>
        <v>ADEBAYO Daphney</v>
      </c>
      <c r="K403" s="467" t="str">
        <f t="shared" ca="1" si="225"/>
        <v>Sheff+D</v>
      </c>
      <c r="N403" s="478"/>
      <c r="P403" s="468">
        <f ca="1">IFERROR(IF(OR(D403=0,D403="-",D403="",D403=" ",D403=" ",D403="Athlete"),"",IF($A406&gt;0,VLOOKUP(D403,female_reg,3,FALSE)-C403*10,VLOOKUP(D403,male_reg,3,FALSE)-C403*10)),2)</f>
        <v>1</v>
      </c>
      <c r="Q403" s="468">
        <f ca="1">IFERROR(IF(OR(J403=0,J403="-",J403=" ",J403="",J403=" ",J403="Athlete"),"",IF($A406&gt;0,VLOOKUP(J403,female_reg,3,FALSE)-C403*10,VLOOKUP(J403,male_reg,3,FALSE)-C403*10)),2)</f>
        <v>1</v>
      </c>
      <c r="T403" s="468">
        <f t="shared" ca="1" si="216"/>
        <v>3</v>
      </c>
      <c r="U403" s="468">
        <f t="shared" ca="1" si="217"/>
        <v>3</v>
      </c>
      <c r="V403" s="467" t="str">
        <f t="shared" ca="1" si="226"/>
        <v>MYCROFT TillySheff+D</v>
      </c>
      <c r="W403" s="467" t="str">
        <f t="shared" ca="1" si="227"/>
        <v>ADEBAYO DaphneySheff+D</v>
      </c>
      <c r="Z403" s="467">
        <f t="shared" ca="1" si="218"/>
        <v>3</v>
      </c>
      <c r="AA403" s="467">
        <f t="shared" ca="1" si="219"/>
        <v>4</v>
      </c>
    </row>
    <row r="404" spans="1:27" x14ac:dyDescent="0.35">
      <c r="A404" s="118">
        <f ca="1">IFERROR(VLOOKUP(A398,standards,5,FALSE)+0.01,"-")</f>
        <v>4.71</v>
      </c>
      <c r="B404" s="477">
        <v>5</v>
      </c>
      <c r="C404" s="477">
        <f ca="1">IFERROR(IF(B404&gt;MatchDay!$U$2,"",VLOOKUP($A398,timetables,MatchDay!$U$4+B404-1,FALSE)),0)</f>
        <v>3</v>
      </c>
      <c r="D404" s="467" t="str">
        <f ca="1">IFERROR(HLOOKUP(C404,Declarations!$D$2:$S$102,A400,FALSE),"")</f>
        <v>HASTIE Eve</v>
      </c>
      <c r="E404" s="467" t="str">
        <f t="shared" ca="1" si="228"/>
        <v>York</v>
      </c>
      <c r="F404" s="466"/>
      <c r="G404" s="476"/>
      <c r="H404" s="477">
        <v>5</v>
      </c>
      <c r="I404" s="477">
        <f t="shared" ca="1" si="229"/>
        <v>33</v>
      </c>
      <c r="J404" s="467" t="str">
        <f ca="1">IFERROR(HLOOKUP(I404,Declarations!$D$2:$S$102,$A400,FALSE),"")</f>
        <v>MAUDE Charlotte</v>
      </c>
      <c r="K404" s="467" t="str">
        <f t="shared" ca="1" si="225"/>
        <v>York</v>
      </c>
      <c r="N404" s="478"/>
      <c r="P404" s="468">
        <f ca="1">IFERROR(IF(OR(D404=0,D404="-",D404="",D404=" ",D404=" ",D404="Athlete"),"",IF($A406&gt;0,VLOOKUP(D404,female_reg,3,FALSE)-C404*10,VLOOKUP(D404,male_reg,3,FALSE)-C404*10)),2)</f>
        <v>1</v>
      </c>
      <c r="Q404" s="468">
        <f ca="1">IFERROR(IF(OR(J404=0,J404="-",J404=" ",J404="",J404=" ",J404="Athlete"),"",IF($A406&gt;0,VLOOKUP(J404,female_reg,3,FALSE)-C404*10,VLOOKUP(J404,male_reg,3,FALSE)-C404*10)),2)</f>
        <v>1</v>
      </c>
      <c r="T404" s="468">
        <f t="shared" ca="1" si="216"/>
        <v>3</v>
      </c>
      <c r="U404" s="468">
        <f t="shared" ca="1" si="217"/>
        <v>2</v>
      </c>
      <c r="V404" s="467" t="str">
        <f t="shared" ca="1" si="226"/>
        <v>HASTIE EveYork</v>
      </c>
      <c r="W404" s="467" t="str">
        <f t="shared" ca="1" si="227"/>
        <v>MAUDE CharlotteYork</v>
      </c>
      <c r="Z404" s="467">
        <f t="shared" ca="1" si="218"/>
        <v>4</v>
      </c>
      <c r="AA404" s="467">
        <f t="shared" ca="1" si="219"/>
        <v>3</v>
      </c>
    </row>
    <row r="405" spans="1:27" x14ac:dyDescent="0.35">
      <c r="A405" s="118">
        <f ca="1">IFERROR(VLOOKUP(A398,standards,6,FALSE)+0.01,"-")</f>
        <v>4.49</v>
      </c>
      <c r="B405" s="477">
        <v>6</v>
      </c>
      <c r="C405" s="477" t="str">
        <f>IFERROR(IF(B405&gt;MatchDay!$U$2,"",VLOOKUP($A398,timetables,MatchDay!$U$4+B405-1,FALSE)),0)</f>
        <v/>
      </c>
      <c r="D405" s="467" t="str">
        <f>IFERROR(HLOOKUP(C405,Declarations!$D$2:$S$102,A400,FALSE),"")</f>
        <v/>
      </c>
      <c r="E405" s="467" t="str">
        <f t="shared" si="228"/>
        <v/>
      </c>
      <c r="F405" s="466"/>
      <c r="G405" s="476"/>
      <c r="H405" s="477">
        <v>6</v>
      </c>
      <c r="I405" s="477" t="str">
        <f t="shared" si="229"/>
        <v/>
      </c>
      <c r="J405" s="467" t="str">
        <f>IFERROR(HLOOKUP(I405,Declarations!$D$2:$S$102,$A400,FALSE),"")</f>
        <v/>
      </c>
      <c r="K405" s="467" t="str">
        <f t="shared" si="225"/>
        <v/>
      </c>
      <c r="N405" s="478"/>
      <c r="P405" s="468" t="str">
        <f>IFERROR(IF(OR(D405=0,D405="-",D405="",D405=" ",D405=" ",D405="Athlete"),"",IF($A406&gt;0,VLOOKUP(D405,female_reg,3,FALSE)-C405*10,VLOOKUP(D405,male_reg,3,FALSE)-C405*10)),2)</f>
        <v/>
      </c>
      <c r="Q405" s="468" t="str">
        <f>IFERROR(IF(OR(J405=0,J405="-",J405=" ",J405="",J405=" ",J405="Athlete"),"",IF($A406&gt;0,VLOOKUP(J405,female_reg,3,FALSE)-C405*10,VLOOKUP(J405,male_reg,3,FALSE)-C405*10)),2)</f>
        <v/>
      </c>
      <c r="T405" s="468">
        <f t="shared" si="216"/>
        <v>0</v>
      </c>
      <c r="U405" s="468">
        <f t="shared" si="217"/>
        <v>0</v>
      </c>
      <c r="V405" s="467" t="str">
        <f t="shared" si="226"/>
        <v>X</v>
      </c>
      <c r="W405" s="467" t="str">
        <f t="shared" si="227"/>
        <v>X</v>
      </c>
      <c r="Z405" s="467">
        <f t="shared" si="218"/>
        <v>0</v>
      </c>
      <c r="AA405" s="467">
        <f t="shared" si="219"/>
        <v>0</v>
      </c>
    </row>
    <row r="406" spans="1:27" x14ac:dyDescent="0.35">
      <c r="A406" s="479">
        <f ca="1">IFERROR(SEARCH("Girls",B398),0)</f>
        <v>15</v>
      </c>
      <c r="B406" s="477">
        <v>7</v>
      </c>
      <c r="C406" s="477" t="str">
        <f>IFERROR(IF(B406&gt;MatchDay!$U$2,"",VLOOKUP($A398,timetables,MatchDay!$U$4+B406-1,FALSE)),0)</f>
        <v/>
      </c>
      <c r="D406" s="467" t="str">
        <f>IFERROR(HLOOKUP(C406,Declarations!$D$2:$S$102,A400,FALSE),"")</f>
        <v/>
      </c>
      <c r="E406" s="467" t="str">
        <f t="shared" si="228"/>
        <v/>
      </c>
      <c r="F406" s="466"/>
      <c r="G406" s="476"/>
      <c r="H406" s="477">
        <v>7</v>
      </c>
      <c r="I406" s="477" t="str">
        <f t="shared" si="229"/>
        <v/>
      </c>
      <c r="J406" s="467" t="str">
        <f>IFERROR(HLOOKUP(I406,Declarations!$D$2:$S$102,$A400,FALSE),"")</f>
        <v/>
      </c>
      <c r="K406" s="467" t="str">
        <f t="shared" si="225"/>
        <v/>
      </c>
      <c r="N406" s="478"/>
      <c r="P406" s="468" t="str">
        <f>IFERROR(IF(OR(D406=0,D406="-",D406="",D406=" ",D406=" ",D406="Athlete"),"",IF($A406&gt;0,VLOOKUP(D406,female_reg,3,FALSE)-C406*10,VLOOKUP(D406,male_reg,3,FALSE)-C406*10)),2)</f>
        <v/>
      </c>
      <c r="Q406" s="468" t="str">
        <f>IFERROR(IF(OR(J406=0,J406="-",J406=" ",J406="",J406=" ",J406="Athlete"),"",IF($A406&gt;0,VLOOKUP(J406,female_reg,3,FALSE)-C406*10,VLOOKUP(J406,male_reg,3,FALSE)-C406*10)),2)</f>
        <v/>
      </c>
      <c r="T406" s="468">
        <f t="shared" si="216"/>
        <v>0</v>
      </c>
      <c r="U406" s="468">
        <f t="shared" si="217"/>
        <v>0</v>
      </c>
      <c r="V406" s="467" t="str">
        <f t="shared" si="226"/>
        <v>X</v>
      </c>
      <c r="W406" s="467" t="str">
        <f t="shared" si="227"/>
        <v>X</v>
      </c>
      <c r="Z406" s="467">
        <f t="shared" si="218"/>
        <v>0</v>
      </c>
      <c r="AA406" s="467">
        <f t="shared" si="219"/>
        <v>0</v>
      </c>
    </row>
    <row r="407" spans="1:27" x14ac:dyDescent="0.35">
      <c r="A407" s="116">
        <f ca="1">IFERROR(VLOOKUP(A398,records,5,FALSE),"")</f>
        <v>5.63</v>
      </c>
      <c r="B407" s="477">
        <v>8</v>
      </c>
      <c r="C407" s="477" t="str">
        <f>IFERROR(IF(B407&gt;MatchDay!$U$2,"",VLOOKUP($A398,timetables,MatchDay!$U$4+B407-1,FALSE)),0)</f>
        <v/>
      </c>
      <c r="D407" s="467" t="str">
        <f>IFERROR(HLOOKUP(C407,Declarations!$D$2:$S$102,A400,FALSE),"")</f>
        <v/>
      </c>
      <c r="E407" s="467" t="str">
        <f t="shared" si="228"/>
        <v/>
      </c>
      <c r="F407" s="466"/>
      <c r="G407" s="476"/>
      <c r="H407" s="477">
        <v>8</v>
      </c>
      <c r="I407" s="477" t="str">
        <f t="shared" si="229"/>
        <v/>
      </c>
      <c r="J407" s="467" t="str">
        <f>IFERROR(HLOOKUP(I407,Declarations!$D$2:$S$102,$A400,FALSE),"")</f>
        <v/>
      </c>
      <c r="K407" s="467" t="str">
        <f t="shared" si="225"/>
        <v/>
      </c>
      <c r="N407" s="478"/>
      <c r="P407" s="468" t="str">
        <f>IFERROR(IF(OR(D407=0,D407="-",D407="",D407=" ",D407=" ",D407="Athlete"),"",IF($A406&gt;0,VLOOKUP(D407,female_reg,3,FALSE)-C407*10,VLOOKUP(D407,male_reg,3,FALSE)-C407*10)),2)</f>
        <v/>
      </c>
      <c r="Q407" s="468" t="str">
        <f>IFERROR(IF(OR(J407=0,J407="-",J407=" ",J407="",J407=" ",J407="Athlete"),"",IF($A406&gt;0,VLOOKUP(J407,female_reg,3,FALSE)-C407*10,VLOOKUP(J407,male_reg,3,FALSE)-C407*10)),2)</f>
        <v/>
      </c>
      <c r="T407" s="468">
        <f t="shared" si="216"/>
        <v>0</v>
      </c>
      <c r="U407" s="468">
        <f t="shared" si="217"/>
        <v>0</v>
      </c>
      <c r="V407" s="467" t="str">
        <f t="shared" si="226"/>
        <v>X</v>
      </c>
      <c r="W407" s="467" t="str">
        <f t="shared" si="227"/>
        <v>X</v>
      </c>
      <c r="Z407" s="467">
        <f t="shared" si="218"/>
        <v>0</v>
      </c>
      <c r="AA407" s="467">
        <f t="shared" si="219"/>
        <v>0</v>
      </c>
    </row>
    <row r="408" spans="1:27" x14ac:dyDescent="0.35">
      <c r="P408" s="468" t="str">
        <f>IFERROR(IF(OR(D408=0,D408="-",D408="",D408=" ",D408=" ",D408="Athlete"),"",IF($A406&gt;0,VLOOKUP(D408,female_reg,3,FALSE)-C408*10,VLOOKUP(D408,male_reg,3,FALSE)-C408*10)),"X")</f>
        <v/>
      </c>
      <c r="Q408" s="468" t="str">
        <f>IFERROR(IF(OR(J408=0,J408="-",J408=" ",J408="",J408=" ",J408="Athlete"),"",IF($A406&gt;0,VLOOKUP(J408,female_reg,3,FALSE)-C408*10,VLOOKUP(J408,male_reg,3,FALSE)-C408*10)),"X")</f>
        <v/>
      </c>
      <c r="T408" s="468">
        <f t="shared" ca="1" si="216"/>
        <v>0</v>
      </c>
      <c r="U408" s="468">
        <f t="shared" ca="1" si="217"/>
        <v>0</v>
      </c>
      <c r="Z408" s="467">
        <f t="shared" ca="1" si="218"/>
        <v>0</v>
      </c>
      <c r="AA408" s="467">
        <f t="shared" ca="1" si="219"/>
        <v>0</v>
      </c>
    </row>
    <row r="409" spans="1:27" x14ac:dyDescent="0.35">
      <c r="A409" s="111" t="str">
        <f ca="1">IFERROR(INDIRECT(CONCATENATE("'Timetables'!A"&amp;A412)),"")</f>
        <v>LFH02</v>
      </c>
      <c r="B409" s="469" t="str">
        <f ca="1">IFERROR(VLOOKUP(A409,timetables,2,FALSE)&amp;" "&amp;VLOOKUP(A409,timetables,3,FALSE)&amp;" A","")</f>
        <v>High Jump U13 Boys A</v>
      </c>
      <c r="C409" s="469"/>
      <c r="E409" s="470" t="str">
        <f ca="1">"Starts "&amp;TEXT(VLOOKUP(A409,timetables,7-MatchDay!$U$7,FALSE),"hh:mm")</f>
        <v>Starts 13:00</v>
      </c>
      <c r="F409" s="471"/>
      <c r="H409" s="472" t="str">
        <f ca="1">IFERROR("Rec: "&amp;TEXT(VLOOKUP(A409,records,5,FALSE),"#0.00")&amp;"m, "&amp;VLOOKUP(A409,records,3,FALSE)&amp;", "&amp;VLOOKUP(A409,records,4,FALSE)&amp;", "&amp;VLOOKUP(A409,records,8,FALSE),"")</f>
        <v>Rec: 1.64m, Luke Ball, Yate, 2017</v>
      </c>
      <c r="K409" s="473"/>
      <c r="L409" s="474"/>
      <c r="M409" s="467"/>
      <c r="P409" s="468" t="str">
        <f>IFERROR(IF(OR(D409=0,D409="-",D409="",D409=" ",D409=" ",D409="Athlete"),"",IF($A417&gt;0,VLOOKUP(D409,female_reg,3,FALSE)-C409*10,VLOOKUP(D409,male_reg,3,FALSE)-C409*10)),"X")</f>
        <v/>
      </c>
      <c r="Q409" s="468" t="str">
        <f>IFERROR(IF(OR(J409=0,J409="-",J409=" ",J409="",J409=" ",J409="Athlete"),"",IF($A417&gt;0,VLOOKUP(J409,female_reg,3,FALSE)-C409*10,VLOOKUP(J409,male_reg,3,FALSE)-C409*10)),"X")</f>
        <v/>
      </c>
      <c r="T409" s="468">
        <f t="shared" ca="1" si="216"/>
        <v>0</v>
      </c>
      <c r="U409" s="468">
        <f t="shared" ca="1" si="217"/>
        <v>0</v>
      </c>
      <c r="Z409" s="467">
        <f t="shared" ca="1" si="218"/>
        <v>0</v>
      </c>
      <c r="AA409" s="467">
        <f t="shared" ca="1" si="219"/>
        <v>0</v>
      </c>
    </row>
    <row r="410" spans="1:27" x14ac:dyDescent="0.35">
      <c r="A410" s="85" t="str">
        <f ca="1">MID(A409,2,3)</f>
        <v>FH0</v>
      </c>
      <c r="B410" s="9" t="s">
        <v>163</v>
      </c>
      <c r="C410" s="9" t="s">
        <v>183</v>
      </c>
      <c r="D410" s="46" t="s">
        <v>227</v>
      </c>
      <c r="E410" s="46" t="s">
        <v>228</v>
      </c>
      <c r="F410" s="475"/>
      <c r="G410" s="46"/>
      <c r="H410" s="9" t="s">
        <v>163</v>
      </c>
      <c r="I410" s="9" t="s">
        <v>183</v>
      </c>
      <c r="J410" s="46" t="s">
        <v>227</v>
      </c>
      <c r="K410" s="46" t="s">
        <v>228</v>
      </c>
      <c r="L410" s="475"/>
      <c r="M410" s="475"/>
      <c r="N410" s="52"/>
      <c r="P410" s="468" t="str">
        <f>IFERROR(IF(OR(D410=0,D410="-",D410="",D410=" ",D410=" ",D410="Athlete"),"",IF($A417&gt;0,VLOOKUP(D410,female_reg,3,FALSE)-C410*10,VLOOKUP(D410,male_reg,3,FALSE)-C410*10)),"X")</f>
        <v/>
      </c>
      <c r="Q410" s="468" t="str">
        <f>IFERROR(IF(OR(J410=0,J410="-",J410=" ",J410="",J410=" ",J410="Athlete"),"",IF($A417&gt;0,VLOOKUP(J410,female_reg,3,FALSE)-C410*10,VLOOKUP(J410,male_reg,3,FALSE)-C410*10)),"X")</f>
        <v/>
      </c>
      <c r="T410" s="468">
        <f t="shared" ca="1" si="216"/>
        <v>0</v>
      </c>
      <c r="U410" s="468">
        <f t="shared" ca="1" si="217"/>
        <v>0</v>
      </c>
      <c r="Z410" s="467">
        <f t="shared" ca="1" si="218"/>
        <v>0</v>
      </c>
      <c r="AA410" s="467">
        <f t="shared" ca="1" si="219"/>
        <v>0</v>
      </c>
    </row>
    <row r="411" spans="1:27" x14ac:dyDescent="0.35">
      <c r="A411" s="181">
        <f ca="1">IFERROR(VLOOKUP(A409,Timetables!$A:$E,5,FALSE)-1,"")</f>
        <v>95</v>
      </c>
      <c r="B411" s="477">
        <v>1</v>
      </c>
      <c r="C411" s="477">
        <f ca="1">IFERROR(IF(B411&gt;MatchDay!$U$2,"",VLOOKUP($A409,timetables,MatchDay!$U$4+B411-1,FALSE)),0)</f>
        <v>4</v>
      </c>
      <c r="D411" s="467" t="str">
        <f ca="1">IFERROR(HLOOKUP(C411,Declarations!$D$2:$S$102,A411,FALSE),"")</f>
        <v>-</v>
      </c>
      <c r="E411" s="467" t="str">
        <f ca="1">IFERROR(VLOOKUP(C411,teamlookup,5,FALSE),"")</f>
        <v>M'bro</v>
      </c>
      <c r="F411" s="466"/>
      <c r="G411" s="476"/>
      <c r="H411" s="477">
        <v>1</v>
      </c>
      <c r="I411" s="477">
        <f ca="1">IFERROR(C411*11,"")</f>
        <v>44</v>
      </c>
      <c r="J411" s="467" t="str">
        <f ca="1">IFERROR(HLOOKUP(I411,Declarations!$D$2:$S$102,$A411,FALSE),"")</f>
        <v>-</v>
      </c>
      <c r="K411" s="467" t="str">
        <f t="shared" ref="K411:K418" ca="1" si="230">IFERROR(VLOOKUP(I411,teamlookup,5,FALSE),"")</f>
        <v>M'bro</v>
      </c>
      <c r="N411" s="478"/>
      <c r="P411" s="468" t="str">
        <f ca="1">IFERROR(IF(OR(D411=0,D411="-",D411="",D411=" ",D411=" ",D411="Athlete"),"",IF($A417&gt;0,VLOOKUP(D411,female_reg,3,FALSE)-C411*10,VLOOKUP(D411,male_reg,3,FALSE)-C411*10)),2)</f>
        <v/>
      </c>
      <c r="Q411" s="468" t="str">
        <f ca="1">IFERROR(IF(OR(J411=0,J411="-",J411=" ",J411="",J411=" ",J411="Athlete"),"",IF($A417&gt;0,VLOOKUP(J411,female_reg,3,FALSE)-C411*10,VLOOKUP(J411,male_reg,3,FALSE)-C411*10)),2)</f>
        <v/>
      </c>
      <c r="T411" s="468">
        <f t="shared" ca="1" si="216"/>
        <v>0</v>
      </c>
      <c r="U411" s="468">
        <f t="shared" ca="1" si="217"/>
        <v>0</v>
      </c>
      <c r="V411" s="467" t="str">
        <f t="shared" ref="V411:V418" ca="1" si="231">IFERROR(IF(OR(D411=0,D411="-",D411="",D411=" ",D411=" "),"X",D411&amp;E411),"X")</f>
        <v>X</v>
      </c>
      <c r="W411" s="467" t="str">
        <f t="shared" ref="W411:W418" ca="1" si="232">IFERROR(IF(OR(J411=0,J411="-",J411="",J411=" ",J411=" "),"X",J411&amp;K411),"X")</f>
        <v>X</v>
      </c>
      <c r="Z411" s="467">
        <f t="shared" ca="1" si="218"/>
        <v>0</v>
      </c>
      <c r="AA411" s="467">
        <f t="shared" ca="1" si="219"/>
        <v>0</v>
      </c>
    </row>
    <row r="412" spans="1:27" x14ac:dyDescent="0.35">
      <c r="A412" s="468">
        <f>A401+1</f>
        <v>46</v>
      </c>
      <c r="B412" s="477">
        <v>2</v>
      </c>
      <c r="C412" s="477">
        <f ca="1">IFERROR(IF(B412&gt;MatchDay!$U$2,"",VLOOKUP($A409,timetables,MatchDay!$U$4+B412-1,FALSE)),0)</f>
        <v>2</v>
      </c>
      <c r="D412" s="467" t="str">
        <f ca="1">IFERROR(HLOOKUP(C412,Declarations!$D$2:$S$102,A411,FALSE),"")</f>
        <v>MAY Rudi</v>
      </c>
      <c r="E412" s="467" t="str">
        <f t="shared" ref="E412:E418" ca="1" si="233">IFERROR(VLOOKUP(C412,teamlookup,5,FALSE),"")</f>
        <v>Sheff+D</v>
      </c>
      <c r="F412" s="466"/>
      <c r="G412" s="476"/>
      <c r="H412" s="477">
        <v>2</v>
      </c>
      <c r="I412" s="477">
        <f t="shared" ref="I412:I418" ca="1" si="234">IFERROR(C412*11,"")</f>
        <v>22</v>
      </c>
      <c r="J412" s="467" t="str">
        <f ca="1">IFERROR(HLOOKUP(I412,Declarations!$D$2:$S$102,$A411,FALSE),"")</f>
        <v>COCKINGS Matthew</v>
      </c>
      <c r="K412" s="467" t="str">
        <f t="shared" ca="1" si="230"/>
        <v>Sheff+D</v>
      </c>
      <c r="N412" s="478"/>
      <c r="P412" s="468">
        <f ca="1">IFERROR(IF(OR(D412=0,D412="-",D412="",D412=" ",D412=" ",D412="Athlete"),"",IF($A417&gt;0,VLOOKUP(D412,female_reg,3,FALSE)-C412*10,VLOOKUP(D412,male_reg,3,FALSE)-C412*10)),2)</f>
        <v>1</v>
      </c>
      <c r="Q412" s="468">
        <f ca="1">IFERROR(IF(OR(J412=0,J412="-",J412=" ",J412="",J412=" ",J412="Athlete"),"",IF($A417&gt;0,VLOOKUP(J412,female_reg,3,FALSE)-C412*10,VLOOKUP(J412,male_reg,3,FALSE)-C412*10)),2)</f>
        <v>1</v>
      </c>
      <c r="T412" s="468">
        <f t="shared" ca="1" si="216"/>
        <v>3</v>
      </c>
      <c r="U412" s="468">
        <f t="shared" ca="1" si="217"/>
        <v>4</v>
      </c>
      <c r="V412" s="467" t="str">
        <f t="shared" ca="1" si="231"/>
        <v>MAY RudiSheff+D</v>
      </c>
      <c r="W412" s="467" t="str">
        <f t="shared" ca="1" si="232"/>
        <v>COCKINGS MatthewSheff+D</v>
      </c>
      <c r="Z412" s="467">
        <f t="shared" ca="1" si="218"/>
        <v>4</v>
      </c>
      <c r="AA412" s="467">
        <f t="shared" ca="1" si="219"/>
        <v>4</v>
      </c>
    </row>
    <row r="413" spans="1:27" x14ac:dyDescent="0.35">
      <c r="A413" s="118">
        <f ca="1">IFERROR(VLOOKUP(A409,standards,3,FALSE)+0.01,"-")</f>
        <v>1.48</v>
      </c>
      <c r="B413" s="477">
        <v>3</v>
      </c>
      <c r="C413" s="477">
        <f ca="1">IFERROR(IF(B413&gt;MatchDay!$U$2,"",VLOOKUP($A409,timetables,MatchDay!$U$4+B413-1,FALSE)),0)</f>
        <v>5</v>
      </c>
      <c r="D413" s="467" t="str">
        <f ca="1">IFERROR(HLOOKUP(C413,Declarations!$D$2:$S$102,A411,FALSE),"")</f>
        <v>OADES James</v>
      </c>
      <c r="E413" s="467" t="str">
        <f t="shared" ca="1" si="233"/>
        <v>Scun</v>
      </c>
      <c r="F413" s="466"/>
      <c r="G413" s="476"/>
      <c r="H413" s="477">
        <v>3</v>
      </c>
      <c r="I413" s="477">
        <f t="shared" ca="1" si="234"/>
        <v>55</v>
      </c>
      <c r="J413" s="467" t="str">
        <f ca="1">IFERROR(HLOOKUP(I413,Declarations!$D$2:$S$102,$A411,FALSE),"")</f>
        <v>-</v>
      </c>
      <c r="K413" s="467" t="str">
        <f t="shared" ca="1" si="230"/>
        <v>Scun</v>
      </c>
      <c r="N413" s="478"/>
      <c r="P413" s="468">
        <f ca="1">IFERROR(IF(OR(D413=0,D413="-",D413="",D413=" ",D413=" ",D413="Athlete"),"",IF($A417&gt;0,VLOOKUP(D413,female_reg,3,FALSE)-C413*10,VLOOKUP(D413,male_reg,3,FALSE)-C413*10)),2)</f>
        <v>1</v>
      </c>
      <c r="Q413" s="468" t="str">
        <f ca="1">IFERROR(IF(OR(J413=0,J413="-",J413=" ",J413="",J413=" ",J413="Athlete"),"",IF($A417&gt;0,VLOOKUP(J413,female_reg,3,FALSE)-C413*10,VLOOKUP(J413,male_reg,3,FALSE)-C413*10)),2)</f>
        <v/>
      </c>
      <c r="T413" s="468">
        <f t="shared" ca="1" si="216"/>
        <v>2</v>
      </c>
      <c r="U413" s="468">
        <f t="shared" ca="1" si="217"/>
        <v>0</v>
      </c>
      <c r="V413" s="467" t="str">
        <f t="shared" ca="1" si="231"/>
        <v>OADES JamesScun</v>
      </c>
      <c r="W413" s="467" t="str">
        <f t="shared" ca="1" si="232"/>
        <v>X</v>
      </c>
      <c r="Z413" s="467">
        <f t="shared" ca="1" si="218"/>
        <v>2</v>
      </c>
      <c r="AA413" s="467">
        <f t="shared" ca="1" si="219"/>
        <v>0</v>
      </c>
    </row>
    <row r="414" spans="1:27" x14ac:dyDescent="0.35">
      <c r="A414" s="118">
        <f ca="1">IFERROR(VLOOKUP(A409,standards,4,FALSE)+0.01,"-")</f>
        <v>1.42</v>
      </c>
      <c r="B414" s="477">
        <v>4</v>
      </c>
      <c r="C414" s="477">
        <f ca="1">IFERROR(IF(B414&gt;MatchDay!$U$2,"",VLOOKUP($A409,timetables,MatchDay!$U$4+B414-1,FALSE)),0)</f>
        <v>1</v>
      </c>
      <c r="D414" s="467" t="str">
        <f ca="1">IFERROR(HLOOKUP(C414,Declarations!$D$2:$S$102,A411,FALSE),"")</f>
        <v>LOWE Seth</v>
      </c>
      <c r="E414" s="467" t="str">
        <f t="shared" ca="1" si="233"/>
        <v>C'field</v>
      </c>
      <c r="F414" s="466"/>
      <c r="G414" s="476"/>
      <c r="H414" s="477">
        <v>4</v>
      </c>
      <c r="I414" s="477">
        <f t="shared" ca="1" si="234"/>
        <v>11</v>
      </c>
      <c r="J414" s="467">
        <f ca="1">IFERROR(HLOOKUP(I414,Declarations!$D$2:$S$102,$A411,FALSE),"")</f>
        <v>0</v>
      </c>
      <c r="K414" s="467" t="str">
        <f t="shared" ca="1" si="230"/>
        <v>C'field</v>
      </c>
      <c r="N414" s="478"/>
      <c r="P414" s="468">
        <f ca="1">IFERROR(IF(OR(D414=0,D414="-",D414="",D414=" ",D414=" ",D414="Athlete"),"",IF($A417&gt;0,VLOOKUP(D414,female_reg,3,FALSE)-C414*10,VLOOKUP(D414,male_reg,3,FALSE)-C414*10)),2)</f>
        <v>1</v>
      </c>
      <c r="Q414" s="468" t="str">
        <f ca="1">IFERROR(IF(OR(J414=0,J414="-",J414=" ",J414="",J414=" ",J414="Athlete"),"",IF($A417&gt;0,VLOOKUP(J414,female_reg,3,FALSE)-C414*10,VLOOKUP(J414,male_reg,3,FALSE)-C414*10)),2)</f>
        <v/>
      </c>
      <c r="T414" s="468">
        <f t="shared" ca="1" si="216"/>
        <v>3</v>
      </c>
      <c r="U414" s="468">
        <f t="shared" ca="1" si="217"/>
        <v>0</v>
      </c>
      <c r="V414" s="467" t="str">
        <f t="shared" ca="1" si="231"/>
        <v>LOWE SethC'field</v>
      </c>
      <c r="W414" s="467" t="str">
        <f t="shared" ca="1" si="232"/>
        <v>X</v>
      </c>
      <c r="Z414" s="467">
        <f t="shared" ca="1" si="218"/>
        <v>4</v>
      </c>
      <c r="AA414" s="467">
        <f t="shared" ca="1" si="219"/>
        <v>0</v>
      </c>
    </row>
    <row r="415" spans="1:27" x14ac:dyDescent="0.35">
      <c r="A415" s="118">
        <f ca="1">IFERROR(VLOOKUP(A409,standards,5,FALSE)+0.01,"-")</f>
        <v>1.36</v>
      </c>
      <c r="B415" s="477">
        <v>5</v>
      </c>
      <c r="C415" s="477">
        <f ca="1">IFERROR(IF(B415&gt;MatchDay!$U$2,"",VLOOKUP($A409,timetables,MatchDay!$U$4+B415-1,FALSE)),0)</f>
        <v>3</v>
      </c>
      <c r="D415" s="467" t="str">
        <f ca="1">IFERROR(HLOOKUP(C415,Declarations!$D$2:$S$102,A411,FALSE),"")</f>
        <v>BASTOW Isaac</v>
      </c>
      <c r="E415" s="467" t="str">
        <f t="shared" ca="1" si="233"/>
        <v>York</v>
      </c>
      <c r="F415" s="466"/>
      <c r="G415" s="476"/>
      <c r="H415" s="477">
        <v>5</v>
      </c>
      <c r="I415" s="477">
        <f t="shared" ca="1" si="234"/>
        <v>33</v>
      </c>
      <c r="J415" s="467" t="str">
        <f ca="1">IFERROR(HLOOKUP(I415,Declarations!$D$2:$S$102,$A411,FALSE),"")</f>
        <v>JONES Alex</v>
      </c>
      <c r="K415" s="467" t="str">
        <f t="shared" ca="1" si="230"/>
        <v>York</v>
      </c>
      <c r="N415" s="478"/>
      <c r="P415" s="468">
        <f ca="1">IFERROR(IF(OR(D415=0,D415="-",D415="",D415=" ",D415=" ",D415="Athlete"),"",IF($A417&gt;0,VLOOKUP(D415,female_reg,3,FALSE)-C415*10,VLOOKUP(D415,male_reg,3,FALSE)-C415*10)),2)</f>
        <v>1</v>
      </c>
      <c r="Q415" s="468">
        <f ca="1">IFERROR(IF(OR(J415=0,J415="-",J415=" ",J415="",J415=" ",J415="Athlete"),"",IF($A417&gt;0,VLOOKUP(J415,female_reg,3,FALSE)-C415*10,VLOOKUP(J415,male_reg,3,FALSE)-C415*10)),2)</f>
        <v>1</v>
      </c>
      <c r="T415" s="468">
        <f t="shared" ca="1" si="216"/>
        <v>3</v>
      </c>
      <c r="U415" s="468">
        <f t="shared" ca="1" si="217"/>
        <v>3</v>
      </c>
      <c r="V415" s="467" t="str">
        <f t="shared" ca="1" si="231"/>
        <v>BASTOW IsaacYork</v>
      </c>
      <c r="W415" s="467" t="str">
        <f t="shared" ca="1" si="232"/>
        <v>JONES AlexYork</v>
      </c>
      <c r="Z415" s="467">
        <f t="shared" ca="1" si="218"/>
        <v>4</v>
      </c>
      <c r="AA415" s="467">
        <f t="shared" ca="1" si="219"/>
        <v>3</v>
      </c>
    </row>
    <row r="416" spans="1:27" x14ac:dyDescent="0.35">
      <c r="A416" s="118">
        <f ca="1">IFERROR(VLOOKUP(A409,standards,6,FALSE)+0.01,"-")</f>
        <v>1.31</v>
      </c>
      <c r="B416" s="477">
        <v>6</v>
      </c>
      <c r="C416" s="477" t="str">
        <f>IFERROR(IF(B416&gt;MatchDay!$U$2,"",VLOOKUP($A409,timetables,MatchDay!$U$4+B416-1,FALSE)),0)</f>
        <v/>
      </c>
      <c r="D416" s="467" t="str">
        <f>IFERROR(HLOOKUP(C416,Declarations!$D$2:$S$102,A411,FALSE),"")</f>
        <v/>
      </c>
      <c r="E416" s="467" t="str">
        <f t="shared" si="233"/>
        <v/>
      </c>
      <c r="F416" s="466"/>
      <c r="G416" s="476"/>
      <c r="H416" s="477">
        <v>6</v>
      </c>
      <c r="I416" s="477" t="str">
        <f t="shared" si="234"/>
        <v/>
      </c>
      <c r="J416" s="467" t="str">
        <f>IFERROR(HLOOKUP(I416,Declarations!$D$2:$S$102,$A411,FALSE),"")</f>
        <v/>
      </c>
      <c r="K416" s="467" t="str">
        <f t="shared" si="230"/>
        <v/>
      </c>
      <c r="N416" s="478"/>
      <c r="P416" s="468" t="str">
        <f>IFERROR(IF(OR(D416=0,D416="-",D416="",D416=" ",D416=" ",D416="Athlete"),"",IF($A417&gt;0,VLOOKUP(D416,female_reg,3,FALSE)-C416*10,VLOOKUP(D416,male_reg,3,FALSE)-C416*10)),2)</f>
        <v/>
      </c>
      <c r="Q416" s="468" t="str">
        <f>IFERROR(IF(OR(J416=0,J416="-",J416=" ",J416="",J416=" ",J416="Athlete"),"",IF($A417&gt;0,VLOOKUP(J416,female_reg,3,FALSE)-C416*10,VLOOKUP(J416,male_reg,3,FALSE)-C416*10)),2)</f>
        <v/>
      </c>
      <c r="T416" s="468">
        <f t="shared" si="216"/>
        <v>0</v>
      </c>
      <c r="U416" s="468">
        <f t="shared" si="217"/>
        <v>0</v>
      </c>
      <c r="V416" s="467" t="str">
        <f t="shared" si="231"/>
        <v>X</v>
      </c>
      <c r="W416" s="467" t="str">
        <f t="shared" si="232"/>
        <v>X</v>
      </c>
      <c r="Z416" s="467">
        <f t="shared" si="218"/>
        <v>0</v>
      </c>
      <c r="AA416" s="467">
        <f t="shared" si="219"/>
        <v>0</v>
      </c>
    </row>
    <row r="417" spans="1:27" x14ac:dyDescent="0.35">
      <c r="A417" s="479">
        <f ca="1">IFERROR(SEARCH("Girls",B409),0)</f>
        <v>0</v>
      </c>
      <c r="B417" s="477">
        <v>7</v>
      </c>
      <c r="C417" s="477" t="str">
        <f>IFERROR(IF(B417&gt;MatchDay!$U$2,"",VLOOKUP($A409,timetables,MatchDay!$U$4+B417-1,FALSE)),0)</f>
        <v/>
      </c>
      <c r="D417" s="467" t="str">
        <f>IFERROR(HLOOKUP(C417,Declarations!$D$2:$S$102,A411,FALSE),"")</f>
        <v/>
      </c>
      <c r="E417" s="467" t="str">
        <f t="shared" si="233"/>
        <v/>
      </c>
      <c r="F417" s="466"/>
      <c r="G417" s="476"/>
      <c r="H417" s="477">
        <v>7</v>
      </c>
      <c r="I417" s="477" t="str">
        <f t="shared" si="234"/>
        <v/>
      </c>
      <c r="J417" s="467" t="str">
        <f>IFERROR(HLOOKUP(I417,Declarations!$D$2:$S$102,$A411,FALSE),"")</f>
        <v/>
      </c>
      <c r="K417" s="467" t="str">
        <f t="shared" si="230"/>
        <v/>
      </c>
      <c r="N417" s="478"/>
      <c r="P417" s="468" t="str">
        <f>IFERROR(IF(OR(D417=0,D417="-",D417="",D417=" ",D417=" ",D417="Athlete"),"",IF($A417&gt;0,VLOOKUP(D417,female_reg,3,FALSE)-C417*10,VLOOKUP(D417,male_reg,3,FALSE)-C417*10)),2)</f>
        <v/>
      </c>
      <c r="Q417" s="468" t="str">
        <f>IFERROR(IF(OR(J417=0,J417="-",J417=" ",J417="",J417=" ",J417="Athlete"),"",IF($A417&gt;0,VLOOKUP(J417,female_reg,3,FALSE)-C417*10,VLOOKUP(J417,male_reg,3,FALSE)-C417*10)),2)</f>
        <v/>
      </c>
      <c r="T417" s="468">
        <f t="shared" si="216"/>
        <v>0</v>
      </c>
      <c r="U417" s="468">
        <f t="shared" si="217"/>
        <v>0</v>
      </c>
      <c r="V417" s="467" t="str">
        <f t="shared" si="231"/>
        <v>X</v>
      </c>
      <c r="W417" s="467" t="str">
        <f t="shared" si="232"/>
        <v>X</v>
      </c>
      <c r="Z417" s="467">
        <f t="shared" si="218"/>
        <v>0</v>
      </c>
      <c r="AA417" s="467">
        <f t="shared" si="219"/>
        <v>0</v>
      </c>
    </row>
    <row r="418" spans="1:27" x14ac:dyDescent="0.35">
      <c r="A418" s="116">
        <f ca="1">IFERROR(VLOOKUP(A409,records,5,FALSE),"")</f>
        <v>1.64</v>
      </c>
      <c r="B418" s="477">
        <v>8</v>
      </c>
      <c r="C418" s="477" t="str">
        <f>IFERROR(IF(B418&gt;MatchDay!$U$2,"",VLOOKUP($A409,timetables,MatchDay!$U$4+B418-1,FALSE)),0)</f>
        <v/>
      </c>
      <c r="D418" s="467" t="str">
        <f>IFERROR(HLOOKUP(C418,Declarations!$D$2:$S$102,A411,FALSE),"")</f>
        <v/>
      </c>
      <c r="E418" s="467" t="str">
        <f t="shared" si="233"/>
        <v/>
      </c>
      <c r="F418" s="466"/>
      <c r="G418" s="476"/>
      <c r="H418" s="477">
        <v>8</v>
      </c>
      <c r="I418" s="477" t="str">
        <f t="shared" si="234"/>
        <v/>
      </c>
      <c r="J418" s="467" t="str">
        <f>IFERROR(HLOOKUP(I418,Declarations!$D$2:$S$102,$A411,FALSE),"")</f>
        <v/>
      </c>
      <c r="K418" s="467" t="str">
        <f t="shared" si="230"/>
        <v/>
      </c>
      <c r="N418" s="478"/>
      <c r="P418" s="468" t="str">
        <f>IFERROR(IF(OR(D418=0,D418="-",D418="",D418=" ",D418=" ",D418="Athlete"),"",IF($A417&gt;0,VLOOKUP(D418,female_reg,3,FALSE)-C418*10,VLOOKUP(D418,male_reg,3,FALSE)-C418*10)),2)</f>
        <v/>
      </c>
      <c r="Q418" s="468" t="str">
        <f>IFERROR(IF(OR(J418=0,J418="-",J418=" ",J418="",J418=" ",J418="Athlete"),"",IF($A417&gt;0,VLOOKUP(J418,female_reg,3,FALSE)-C418*10,VLOOKUP(J418,male_reg,3,FALSE)-C418*10)),2)</f>
        <v/>
      </c>
      <c r="T418" s="468">
        <f t="shared" si="216"/>
        <v>0</v>
      </c>
      <c r="U418" s="468">
        <f t="shared" si="217"/>
        <v>0</v>
      </c>
      <c r="V418" s="467" t="str">
        <f t="shared" si="231"/>
        <v>X</v>
      </c>
      <c r="W418" s="467" t="str">
        <f t="shared" si="232"/>
        <v>X</v>
      </c>
      <c r="Z418" s="467">
        <f t="shared" si="218"/>
        <v>0</v>
      </c>
      <c r="AA418" s="467">
        <f t="shared" si="219"/>
        <v>0</v>
      </c>
    </row>
    <row r="419" spans="1:27" x14ac:dyDescent="0.35">
      <c r="P419" s="468" t="str">
        <f>IFERROR(IF(OR(D419=0,D419="-",D419="",D419=" ",D419=" ",D419="Athlete"),"",IF($A417&gt;0,VLOOKUP(D419,female_reg,3,FALSE)-C419*10,VLOOKUP(D419,male_reg,3,FALSE)-C419*10)),"X")</f>
        <v/>
      </c>
      <c r="Q419" s="468" t="str">
        <f>IFERROR(IF(OR(J419=0,J419="-",J419=" ",J419="",J419=" ",J419="Athlete"),"",IF($A417&gt;0,VLOOKUP(J419,female_reg,3,FALSE)-C419*10,VLOOKUP(J419,male_reg,3,FALSE)-C419*10)),"X")</f>
        <v/>
      </c>
      <c r="T419" s="468">
        <f t="shared" ca="1" si="216"/>
        <v>0</v>
      </c>
      <c r="U419" s="468">
        <f t="shared" ca="1" si="217"/>
        <v>0</v>
      </c>
      <c r="Z419" s="467">
        <f t="shared" ca="1" si="218"/>
        <v>0</v>
      </c>
      <c r="AA419" s="467">
        <f t="shared" ca="1" si="219"/>
        <v>0</v>
      </c>
    </row>
    <row r="420" spans="1:27" x14ac:dyDescent="0.35">
      <c r="A420" s="111" t="str">
        <f ca="1">IFERROR(INDIRECT(CONCATENATE("'Timetables'!A"&amp;A423)),"")</f>
        <v>LFH03</v>
      </c>
      <c r="B420" s="469" t="str">
        <f ca="1">IFERROR(VLOOKUP(A420,timetables,2,FALSE)&amp;" "&amp;VLOOKUP(A420,timetables,3,FALSE)&amp;" A","")</f>
        <v>High Jump U13 Girls A</v>
      </c>
      <c r="C420" s="469"/>
      <c r="E420" s="470" t="str">
        <f ca="1">"Starts "&amp;TEXT(VLOOKUP(A420,timetables,7-MatchDay!$U$7,FALSE),"hh:mm")</f>
        <v>Starts 13:00</v>
      </c>
      <c r="F420" s="471"/>
      <c r="H420" s="472" t="str">
        <f ca="1">IFERROR("Rec: "&amp;TEXT(VLOOKUP(A420,records,5,FALSE),"#0.00")&amp;"m, "&amp;VLOOKUP(A420,records,3,FALSE)&amp;", "&amp;VLOOKUP(A420,records,4,FALSE)&amp;", "&amp;VLOOKUP(A420,records,8,FALSE),"")</f>
        <v>Rec: 1.60m, Jade Curtis, Ashford AC, 2014</v>
      </c>
      <c r="K420" s="473"/>
      <c r="L420" s="474"/>
      <c r="M420" s="467"/>
      <c r="P420" s="468" t="str">
        <f>IFERROR(IF(OR(D420=0,D420="-",D420="",D420=" ",D420=" ",D420="Athlete"),"",IF($A428&gt;0,VLOOKUP(D420,female_reg,3,FALSE)-C420*10,VLOOKUP(D420,male_reg,3,FALSE)-C420*10)),"X")</f>
        <v/>
      </c>
      <c r="Q420" s="468" t="str">
        <f>IFERROR(IF(OR(J420=0,J420="-",J420=" ",J420="",J420=" ",J420="Athlete"),"",IF($A428&gt;0,VLOOKUP(J420,female_reg,3,FALSE)-C420*10,VLOOKUP(J420,male_reg,3,FALSE)-C420*10)),"X")</f>
        <v/>
      </c>
      <c r="T420" s="468">
        <f t="shared" ca="1" si="216"/>
        <v>0</v>
      </c>
      <c r="U420" s="468">
        <f t="shared" ca="1" si="217"/>
        <v>0</v>
      </c>
      <c r="Z420" s="467">
        <f t="shared" ca="1" si="218"/>
        <v>0</v>
      </c>
      <c r="AA420" s="467">
        <f t="shared" ca="1" si="219"/>
        <v>0</v>
      </c>
    </row>
    <row r="421" spans="1:27" x14ac:dyDescent="0.35">
      <c r="A421" s="85" t="str">
        <f ca="1">MID(A420,2,3)</f>
        <v>FH0</v>
      </c>
      <c r="B421" s="9" t="s">
        <v>163</v>
      </c>
      <c r="C421" s="9" t="s">
        <v>183</v>
      </c>
      <c r="D421" s="46" t="s">
        <v>227</v>
      </c>
      <c r="E421" s="46" t="s">
        <v>228</v>
      </c>
      <c r="F421" s="475"/>
      <c r="G421" s="46"/>
      <c r="H421" s="9" t="s">
        <v>163</v>
      </c>
      <c r="I421" s="9" t="s">
        <v>183</v>
      </c>
      <c r="J421" s="46" t="s">
        <v>227</v>
      </c>
      <c r="K421" s="46" t="s">
        <v>228</v>
      </c>
      <c r="L421" s="475"/>
      <c r="M421" s="475"/>
      <c r="N421" s="52"/>
      <c r="P421" s="468" t="str">
        <f>IFERROR(IF(OR(D421=0,D421="-",D421="",D421=" ",D421=" ",D421="Athlete"),"",IF($A428&gt;0,VLOOKUP(D421,female_reg,3,FALSE)-C421*10,VLOOKUP(D421,male_reg,3,FALSE)-C421*10)),"X")</f>
        <v/>
      </c>
      <c r="Q421" s="468" t="str">
        <f>IFERROR(IF(OR(J421=0,J421="-",J421=" ",J421="",J421=" ",J421="Athlete"),"",IF($A428&gt;0,VLOOKUP(J421,female_reg,3,FALSE)-C421*10,VLOOKUP(J421,male_reg,3,FALSE)-C421*10)),"X")</f>
        <v/>
      </c>
      <c r="T421" s="468">
        <f t="shared" ca="1" si="216"/>
        <v>0</v>
      </c>
      <c r="U421" s="468">
        <f t="shared" ca="1" si="217"/>
        <v>0</v>
      </c>
      <c r="Z421" s="467">
        <f t="shared" ca="1" si="218"/>
        <v>0</v>
      </c>
      <c r="AA421" s="467">
        <f t="shared" ca="1" si="219"/>
        <v>0</v>
      </c>
    </row>
    <row r="422" spans="1:27" x14ac:dyDescent="0.35">
      <c r="A422" s="181">
        <f ca="1">IFERROR(VLOOKUP(A420,Timetables!$A:$E,5,FALSE)-1,"")</f>
        <v>45</v>
      </c>
      <c r="B422" s="477">
        <v>1</v>
      </c>
      <c r="C422" s="477">
        <f ca="1">IFERROR(IF(B422&gt;MatchDay!$U$2,"",VLOOKUP($A420,timetables,MatchDay!$U$4+B422-1,FALSE)),0)</f>
        <v>4</v>
      </c>
      <c r="D422" s="467" t="str">
        <f ca="1">IFERROR(HLOOKUP(C422,Declarations!$D$2:$S$102,A422,FALSE),"")</f>
        <v>-</v>
      </c>
      <c r="E422" s="467" t="str">
        <f ca="1">IFERROR(VLOOKUP(C422,teamlookup,5,FALSE),"")</f>
        <v>M'bro</v>
      </c>
      <c r="F422" s="466"/>
      <c r="G422" s="476"/>
      <c r="H422" s="477">
        <v>1</v>
      </c>
      <c r="I422" s="477">
        <f ca="1">IFERROR(C422*11,"")</f>
        <v>44</v>
      </c>
      <c r="J422" s="467" t="str">
        <f ca="1">IFERROR(HLOOKUP(I422,Declarations!$D$2:$S$102,$A422,FALSE),"")</f>
        <v>-</v>
      </c>
      <c r="K422" s="467" t="str">
        <f t="shared" ref="K422:K429" ca="1" si="235">IFERROR(VLOOKUP(I422,teamlookup,5,FALSE),"")</f>
        <v>M'bro</v>
      </c>
      <c r="N422" s="478"/>
      <c r="P422" s="468" t="str">
        <f ca="1">IFERROR(IF(OR(D422=0,D422="-",D422="",D422=" ",D422=" ",D422="Athlete"),"",IF($A428&gt;0,VLOOKUP(D422,female_reg,3,FALSE)-C422*10,VLOOKUP(D422,male_reg,3,FALSE)-C422*10)),2)</f>
        <v/>
      </c>
      <c r="Q422" s="468" t="str">
        <f ca="1">IFERROR(IF(OR(J422=0,J422="-",J422=" ",J422="",J422=" ",J422="Athlete"),"",IF($A428&gt;0,VLOOKUP(J422,female_reg,3,FALSE)-C422*10,VLOOKUP(J422,male_reg,3,FALSE)-C422*10)),2)</f>
        <v/>
      </c>
      <c r="T422" s="468">
        <f t="shared" ca="1" si="216"/>
        <v>0</v>
      </c>
      <c r="U422" s="468">
        <f t="shared" ca="1" si="217"/>
        <v>0</v>
      </c>
      <c r="V422" s="467" t="str">
        <f t="shared" ref="V422:V429" ca="1" si="236">IFERROR(IF(OR(D422=0,D422="-",D422="",D422=" ",D422=" "),"X",D422&amp;E422),"X")</f>
        <v>X</v>
      </c>
      <c r="W422" s="467" t="str">
        <f t="shared" ref="W422:W429" ca="1" si="237">IFERROR(IF(OR(J422=0,J422="-",J422="",J422=" ",J422=" "),"X",J422&amp;K422),"X")</f>
        <v>X</v>
      </c>
      <c r="Z422" s="467">
        <f t="shared" ca="1" si="218"/>
        <v>0</v>
      </c>
      <c r="AA422" s="467">
        <f t="shared" ca="1" si="219"/>
        <v>0</v>
      </c>
    </row>
    <row r="423" spans="1:27" x14ac:dyDescent="0.35">
      <c r="A423" s="468">
        <f>A412+1</f>
        <v>47</v>
      </c>
      <c r="B423" s="477">
        <v>2</v>
      </c>
      <c r="C423" s="477">
        <f ca="1">IFERROR(IF(B423&gt;MatchDay!$U$2,"",VLOOKUP($A420,timetables,MatchDay!$U$4+B423-1,FALSE)),0)</f>
        <v>2</v>
      </c>
      <c r="D423" s="467" t="str">
        <f ca="1">IFERROR(HLOOKUP(C423,Declarations!$D$2:$S$102,A422,FALSE),"")</f>
        <v>ROBERTS Eve</v>
      </c>
      <c r="E423" s="467" t="str">
        <f t="shared" ref="E423:E429" ca="1" si="238">IFERROR(VLOOKUP(C423,teamlookup,5,FALSE),"")</f>
        <v>Sheff+D</v>
      </c>
      <c r="F423" s="466"/>
      <c r="G423" s="476"/>
      <c r="H423" s="477">
        <v>2</v>
      </c>
      <c r="I423" s="477">
        <f t="shared" ref="I423:I429" ca="1" si="239">IFERROR(C423*11,"")</f>
        <v>22</v>
      </c>
      <c r="J423" s="467" t="str">
        <f ca="1">IFERROR(HLOOKUP(I423,Declarations!$D$2:$S$102,$A422,FALSE),"")</f>
        <v>HARTLEY Eleanor</v>
      </c>
      <c r="K423" s="467" t="str">
        <f t="shared" ca="1" si="235"/>
        <v>Sheff+D</v>
      </c>
      <c r="N423" s="478"/>
      <c r="P423" s="468">
        <f ca="1">IFERROR(IF(OR(D423=0,D423="-",D423="",D423=" ",D423=" ",D423="Athlete"),"",IF($A428&gt;0,VLOOKUP(D423,female_reg,3,FALSE)-C423*10,VLOOKUP(D423,male_reg,3,FALSE)-C423*10)),2)</f>
        <v>1</v>
      </c>
      <c r="Q423" s="468">
        <f ca="1">IFERROR(IF(OR(J423=0,J423="-",J423=" ",J423="",J423=" ",J423="Athlete"),"",IF($A428&gt;0,VLOOKUP(J423,female_reg,3,FALSE)-C423*10,VLOOKUP(J423,male_reg,3,FALSE)-C423*10)),2)</f>
        <v>1</v>
      </c>
      <c r="T423" s="468">
        <f t="shared" ca="1" si="216"/>
        <v>3</v>
      </c>
      <c r="U423" s="468">
        <f t="shared" ca="1" si="217"/>
        <v>3</v>
      </c>
      <c r="V423" s="467" t="str">
        <f t="shared" ca="1" si="236"/>
        <v>ROBERTS EveSheff+D</v>
      </c>
      <c r="W423" s="467" t="str">
        <f t="shared" ca="1" si="237"/>
        <v>HARTLEY EleanorSheff+D</v>
      </c>
      <c r="Z423" s="467">
        <f t="shared" ca="1" si="218"/>
        <v>4</v>
      </c>
      <c r="AA423" s="467">
        <f t="shared" ca="1" si="219"/>
        <v>3</v>
      </c>
    </row>
    <row r="424" spans="1:27" x14ac:dyDescent="0.35">
      <c r="A424" s="118">
        <f ca="1">IFERROR(VLOOKUP(A420,standards,3,FALSE)+0.01,"-")</f>
        <v>1.41</v>
      </c>
      <c r="B424" s="477">
        <v>3</v>
      </c>
      <c r="C424" s="477">
        <f ca="1">IFERROR(IF(B424&gt;MatchDay!$U$2,"",VLOOKUP($A420,timetables,MatchDay!$U$4+B424-1,FALSE)),0)</f>
        <v>5</v>
      </c>
      <c r="D424" s="467" t="str">
        <f ca="1">IFERROR(HLOOKUP(C424,Declarations!$D$2:$S$102,A422,FALSE),"")</f>
        <v>-</v>
      </c>
      <c r="E424" s="467" t="str">
        <f t="shared" ca="1" si="238"/>
        <v>Scun</v>
      </c>
      <c r="F424" s="466"/>
      <c r="G424" s="476"/>
      <c r="H424" s="477">
        <v>3</v>
      </c>
      <c r="I424" s="477">
        <f t="shared" ca="1" si="239"/>
        <v>55</v>
      </c>
      <c r="J424" s="467">
        <f ca="1">IFERROR(HLOOKUP(I424,Declarations!$D$2:$S$102,$A422,FALSE),"")</f>
        <v>0</v>
      </c>
      <c r="K424" s="467" t="str">
        <f t="shared" ca="1" si="235"/>
        <v>Scun</v>
      </c>
      <c r="N424" s="478"/>
      <c r="P424" s="468" t="str">
        <f ca="1">IFERROR(IF(OR(D424=0,D424="-",D424="",D424=" ",D424=" ",D424="Athlete"),"",IF($A428&gt;0,VLOOKUP(D424,female_reg,3,FALSE)-C424*10,VLOOKUP(D424,male_reg,3,FALSE)-C424*10)),2)</f>
        <v/>
      </c>
      <c r="Q424" s="468" t="str">
        <f ca="1">IFERROR(IF(OR(J424=0,J424="-",J424=" ",J424="",J424=" ",J424="Athlete"),"",IF($A428&gt;0,VLOOKUP(J424,female_reg,3,FALSE)-C424*10,VLOOKUP(J424,male_reg,3,FALSE)-C424*10)),2)</f>
        <v/>
      </c>
      <c r="T424" s="468">
        <f t="shared" ca="1" si="216"/>
        <v>0</v>
      </c>
      <c r="U424" s="468">
        <f t="shared" ca="1" si="217"/>
        <v>0</v>
      </c>
      <c r="V424" s="467" t="str">
        <f t="shared" ca="1" si="236"/>
        <v>X</v>
      </c>
      <c r="W424" s="467" t="str">
        <f t="shared" ca="1" si="237"/>
        <v>X</v>
      </c>
      <c r="Z424" s="467">
        <f t="shared" ca="1" si="218"/>
        <v>0</v>
      </c>
      <c r="AA424" s="467">
        <f t="shared" ca="1" si="219"/>
        <v>0</v>
      </c>
    </row>
    <row r="425" spans="1:27" x14ac:dyDescent="0.35">
      <c r="A425" s="118">
        <f ca="1">IFERROR(VLOOKUP(A420,standards,4,FALSE)+0.01,"-")</f>
        <v>1.36</v>
      </c>
      <c r="B425" s="477">
        <v>4</v>
      </c>
      <c r="C425" s="477">
        <f ca="1">IFERROR(IF(B425&gt;MatchDay!$U$2,"",VLOOKUP($A420,timetables,MatchDay!$U$4+B425-1,FALSE)),0)</f>
        <v>1</v>
      </c>
      <c r="D425" s="467" t="str">
        <f ca="1">IFERROR(HLOOKUP(C425,Declarations!$D$2:$S$102,A422,FALSE),"")</f>
        <v>HUMPHREYS Melissa</v>
      </c>
      <c r="E425" s="467" t="str">
        <f t="shared" ca="1" si="238"/>
        <v>C'field</v>
      </c>
      <c r="F425" s="466"/>
      <c r="G425" s="476"/>
      <c r="H425" s="477">
        <v>4</v>
      </c>
      <c r="I425" s="477">
        <f t="shared" ca="1" si="239"/>
        <v>11</v>
      </c>
      <c r="J425" s="467" t="str">
        <f ca="1">IFERROR(HLOOKUP(I425,Declarations!$D$2:$S$102,$A422,FALSE),"")</f>
        <v>STANILAND Charlotte</v>
      </c>
      <c r="K425" s="467" t="str">
        <f t="shared" ca="1" si="235"/>
        <v>C'field</v>
      </c>
      <c r="N425" s="478"/>
      <c r="P425" s="468">
        <f ca="1">IFERROR(IF(OR(D425=0,D425="-",D425="",D425=" ",D425=" ",D425="Athlete"),"",IF($A428&gt;0,VLOOKUP(D425,female_reg,3,FALSE)-C425*10,VLOOKUP(D425,male_reg,3,FALSE)-C425*10)),2)</f>
        <v>1</v>
      </c>
      <c r="Q425" s="468">
        <f ca="1">IFERROR(IF(OR(J425=0,J425="-",J425=" ",J425="",J425=" ",J425="Athlete"),"",IF($A428&gt;0,VLOOKUP(J425,female_reg,3,FALSE)-C425*10,VLOOKUP(J425,male_reg,3,FALSE)-C425*10)),2)</f>
        <v>1</v>
      </c>
      <c r="T425" s="468">
        <f t="shared" ca="1" si="216"/>
        <v>3</v>
      </c>
      <c r="U425" s="468">
        <f t="shared" ca="1" si="217"/>
        <v>3</v>
      </c>
      <c r="V425" s="467" t="str">
        <f t="shared" ca="1" si="236"/>
        <v>HUMPHREYS MelissaC'field</v>
      </c>
      <c r="W425" s="467" t="str">
        <f t="shared" ca="1" si="237"/>
        <v>STANILAND CharlotteC'field</v>
      </c>
      <c r="Z425" s="467">
        <f t="shared" ca="1" si="218"/>
        <v>3</v>
      </c>
      <c r="AA425" s="467">
        <f t="shared" ca="1" si="219"/>
        <v>3</v>
      </c>
    </row>
    <row r="426" spans="1:27" x14ac:dyDescent="0.35">
      <c r="A426" s="118">
        <f ca="1">IFERROR(VLOOKUP(A420,standards,5,FALSE)+0.01,"-")</f>
        <v>1.31</v>
      </c>
      <c r="B426" s="477">
        <v>5</v>
      </c>
      <c r="C426" s="477">
        <f ca="1">IFERROR(IF(B426&gt;MatchDay!$U$2,"",VLOOKUP($A420,timetables,MatchDay!$U$4+B426-1,FALSE)),0)</f>
        <v>3</v>
      </c>
      <c r="D426" s="467" t="str">
        <f ca="1">IFERROR(HLOOKUP(C426,Declarations!$D$2:$S$102,A422,FALSE),"")</f>
        <v>CLAGUE Kathryn</v>
      </c>
      <c r="E426" s="467" t="str">
        <f t="shared" ca="1" si="238"/>
        <v>York</v>
      </c>
      <c r="F426" s="466"/>
      <c r="G426" s="476"/>
      <c r="H426" s="477">
        <v>5</v>
      </c>
      <c r="I426" s="477">
        <f t="shared" ca="1" si="239"/>
        <v>33</v>
      </c>
      <c r="J426" s="467" t="str">
        <f ca="1">IFERROR(HLOOKUP(I426,Declarations!$D$2:$S$102,$A422,FALSE),"")</f>
        <v>POUNDER Esme</v>
      </c>
      <c r="K426" s="467" t="str">
        <f t="shared" ca="1" si="235"/>
        <v>York</v>
      </c>
      <c r="N426" s="478"/>
      <c r="P426" s="468">
        <f ca="1">IFERROR(IF(OR(D426=0,D426="-",D426="",D426=" ",D426=" ",D426="Athlete"),"",IF($A428&gt;0,VLOOKUP(D426,female_reg,3,FALSE)-C426*10,VLOOKUP(D426,male_reg,3,FALSE)-C426*10)),2)</f>
        <v>1</v>
      </c>
      <c r="Q426" s="468">
        <f ca="1">IFERROR(IF(OR(J426=0,J426="-",J426=" ",J426="",J426=" ",J426="Athlete"),"",IF($A428&gt;0,VLOOKUP(J426,female_reg,3,FALSE)-C426*10,VLOOKUP(J426,male_reg,3,FALSE)-C426*10)),2)</f>
        <v>1</v>
      </c>
      <c r="T426" s="468">
        <f t="shared" ca="1" si="216"/>
        <v>3</v>
      </c>
      <c r="U426" s="468">
        <f t="shared" ca="1" si="217"/>
        <v>3</v>
      </c>
      <c r="V426" s="467" t="str">
        <f t="shared" ca="1" si="236"/>
        <v>CLAGUE KathrynYork</v>
      </c>
      <c r="W426" s="467" t="str">
        <f t="shared" ca="1" si="237"/>
        <v>POUNDER EsmeYork</v>
      </c>
      <c r="Z426" s="467">
        <f t="shared" ca="1" si="218"/>
        <v>3</v>
      </c>
      <c r="AA426" s="467">
        <f t="shared" ca="1" si="219"/>
        <v>4</v>
      </c>
    </row>
    <row r="427" spans="1:27" x14ac:dyDescent="0.35">
      <c r="A427" s="118">
        <f ca="1">IFERROR(VLOOKUP(A420,standards,6,FALSE)+0.01,"-")</f>
        <v>1.26</v>
      </c>
      <c r="B427" s="477">
        <v>6</v>
      </c>
      <c r="C427" s="477" t="str">
        <f>IFERROR(IF(B427&gt;MatchDay!$U$2,"",VLOOKUP($A420,timetables,MatchDay!$U$4+B427-1,FALSE)),0)</f>
        <v/>
      </c>
      <c r="D427" s="467" t="str">
        <f>IFERROR(HLOOKUP(C427,Declarations!$D$2:$S$102,A422,FALSE),"")</f>
        <v/>
      </c>
      <c r="E427" s="467" t="str">
        <f t="shared" si="238"/>
        <v/>
      </c>
      <c r="F427" s="466"/>
      <c r="G427" s="476"/>
      <c r="H427" s="477">
        <v>6</v>
      </c>
      <c r="I427" s="477" t="str">
        <f t="shared" si="239"/>
        <v/>
      </c>
      <c r="J427" s="467" t="str">
        <f>IFERROR(HLOOKUP(I427,Declarations!$D$2:$S$102,$A422,FALSE),"")</f>
        <v/>
      </c>
      <c r="K427" s="467" t="str">
        <f t="shared" si="235"/>
        <v/>
      </c>
      <c r="N427" s="478"/>
      <c r="P427" s="468" t="str">
        <f>IFERROR(IF(OR(D427=0,D427="-",D427="",D427=" ",D427=" ",D427="Athlete"),"",IF($A428&gt;0,VLOOKUP(D427,female_reg,3,FALSE)-C427*10,VLOOKUP(D427,male_reg,3,FALSE)-C427*10)),2)</f>
        <v/>
      </c>
      <c r="Q427" s="468" t="str">
        <f>IFERROR(IF(OR(J427=0,J427="-",J427=" ",J427="",J427=" ",J427="Athlete"),"",IF($A428&gt;0,VLOOKUP(J427,female_reg,3,FALSE)-C427*10,VLOOKUP(J427,male_reg,3,FALSE)-C427*10)),2)</f>
        <v/>
      </c>
      <c r="T427" s="468">
        <f t="shared" si="216"/>
        <v>0</v>
      </c>
      <c r="U427" s="468">
        <f t="shared" si="217"/>
        <v>0</v>
      </c>
      <c r="V427" s="467" t="str">
        <f t="shared" si="236"/>
        <v>X</v>
      </c>
      <c r="W427" s="467" t="str">
        <f t="shared" si="237"/>
        <v>X</v>
      </c>
      <c r="Z427" s="467">
        <f t="shared" si="218"/>
        <v>0</v>
      </c>
      <c r="AA427" s="467">
        <f t="shared" si="219"/>
        <v>0</v>
      </c>
    </row>
    <row r="428" spans="1:27" x14ac:dyDescent="0.35">
      <c r="A428" s="479">
        <f ca="1">IFERROR(SEARCH("Girls",B420),0)</f>
        <v>15</v>
      </c>
      <c r="B428" s="477">
        <v>7</v>
      </c>
      <c r="C428" s="477" t="str">
        <f>IFERROR(IF(B428&gt;MatchDay!$U$2,"",VLOOKUP($A420,timetables,MatchDay!$U$4+B428-1,FALSE)),0)</f>
        <v/>
      </c>
      <c r="D428" s="467" t="str">
        <f>IFERROR(HLOOKUP(C428,Declarations!$D$2:$S$102,A422,FALSE),"")</f>
        <v/>
      </c>
      <c r="E428" s="467" t="str">
        <f t="shared" si="238"/>
        <v/>
      </c>
      <c r="F428" s="466"/>
      <c r="G428" s="476"/>
      <c r="H428" s="477">
        <v>7</v>
      </c>
      <c r="I428" s="477" t="str">
        <f t="shared" si="239"/>
        <v/>
      </c>
      <c r="J428" s="467" t="str">
        <f>IFERROR(HLOOKUP(I428,Declarations!$D$2:$S$102,$A422,FALSE),"")</f>
        <v/>
      </c>
      <c r="K428" s="467" t="str">
        <f t="shared" si="235"/>
        <v/>
      </c>
      <c r="N428" s="478"/>
      <c r="P428" s="468" t="str">
        <f>IFERROR(IF(OR(D428=0,D428="-",D428="",D428=" ",D428=" ",D428="Athlete"),"",IF($A428&gt;0,VLOOKUP(D428,female_reg,3,FALSE)-C428*10,VLOOKUP(D428,male_reg,3,FALSE)-C428*10)),2)</f>
        <v/>
      </c>
      <c r="Q428" s="468" t="str">
        <f>IFERROR(IF(OR(J428=0,J428="-",J428=" ",J428="",J428=" ",J428="Athlete"),"",IF($A428&gt;0,VLOOKUP(J428,female_reg,3,FALSE)-C428*10,VLOOKUP(J428,male_reg,3,FALSE)-C428*10)),2)</f>
        <v/>
      </c>
      <c r="T428" s="468">
        <f t="shared" si="216"/>
        <v>0</v>
      </c>
      <c r="U428" s="468">
        <f t="shared" si="217"/>
        <v>0</v>
      </c>
      <c r="V428" s="467" t="str">
        <f t="shared" si="236"/>
        <v>X</v>
      </c>
      <c r="W428" s="467" t="str">
        <f t="shared" si="237"/>
        <v>X</v>
      </c>
      <c r="Z428" s="467">
        <f t="shared" si="218"/>
        <v>0</v>
      </c>
      <c r="AA428" s="467">
        <f t="shared" si="219"/>
        <v>0</v>
      </c>
    </row>
    <row r="429" spans="1:27" x14ac:dyDescent="0.35">
      <c r="A429" s="116">
        <f ca="1">IFERROR(VLOOKUP(A420,records,5,FALSE),"")</f>
        <v>1.6</v>
      </c>
      <c r="B429" s="477">
        <v>8</v>
      </c>
      <c r="C429" s="477" t="str">
        <f>IFERROR(IF(B429&gt;MatchDay!$U$2,"",VLOOKUP($A420,timetables,MatchDay!$U$4+B429-1,FALSE)),0)</f>
        <v/>
      </c>
      <c r="D429" s="467" t="str">
        <f>IFERROR(HLOOKUP(C429,Declarations!$D$2:$S$102,A422,FALSE),"")</f>
        <v/>
      </c>
      <c r="E429" s="467" t="str">
        <f t="shared" si="238"/>
        <v/>
      </c>
      <c r="F429" s="466"/>
      <c r="G429" s="476"/>
      <c r="H429" s="477">
        <v>8</v>
      </c>
      <c r="I429" s="477" t="str">
        <f t="shared" si="239"/>
        <v/>
      </c>
      <c r="J429" s="467" t="str">
        <f>IFERROR(HLOOKUP(I429,Declarations!$D$2:$S$102,$A422,FALSE),"")</f>
        <v/>
      </c>
      <c r="K429" s="467" t="str">
        <f t="shared" si="235"/>
        <v/>
      </c>
      <c r="N429" s="478"/>
      <c r="P429" s="468" t="str">
        <f>IFERROR(IF(OR(D429=0,D429="-",D429="",D429=" ",D429=" ",D429="Athlete"),"",IF($A428&gt;0,VLOOKUP(D429,female_reg,3,FALSE)-C429*10,VLOOKUP(D429,male_reg,3,FALSE)-C429*10)),2)</f>
        <v/>
      </c>
      <c r="Q429" s="468" t="str">
        <f>IFERROR(IF(OR(J429=0,J429="-",J429=" ",J429="",J429=" ",J429="Athlete"),"",IF($A428&gt;0,VLOOKUP(J429,female_reg,3,FALSE)-C429*10,VLOOKUP(J429,male_reg,3,FALSE)-C429*10)),2)</f>
        <v/>
      </c>
      <c r="T429" s="468">
        <f t="shared" si="216"/>
        <v>0</v>
      </c>
      <c r="U429" s="468">
        <f t="shared" si="217"/>
        <v>0</v>
      </c>
      <c r="V429" s="467" t="str">
        <f t="shared" si="236"/>
        <v>X</v>
      </c>
      <c r="W429" s="467" t="str">
        <f t="shared" si="237"/>
        <v>X</v>
      </c>
      <c r="Z429" s="467">
        <f t="shared" si="218"/>
        <v>0</v>
      </c>
      <c r="AA429" s="467">
        <f t="shared" si="219"/>
        <v>0</v>
      </c>
    </row>
    <row r="430" spans="1:27" x14ac:dyDescent="0.35">
      <c r="P430" s="468" t="str">
        <f>IFERROR(IF(OR(D430=0,D430="-",D430="",D430=" ",D430=" ",D430="Athlete"),"",IF($A428&gt;0,VLOOKUP(D430,female_reg,3,FALSE)-C430*10,VLOOKUP(D430,male_reg,3,FALSE)-C430*10)),"X")</f>
        <v/>
      </c>
      <c r="Q430" s="468" t="str">
        <f>IFERROR(IF(OR(J430=0,J430="-",J430=" ",J430="",J430=" ",J430="Athlete"),"",IF($A428&gt;0,VLOOKUP(J430,female_reg,3,FALSE)-C430*10,VLOOKUP(J430,male_reg,3,FALSE)-C430*10)),"X")</f>
        <v/>
      </c>
      <c r="T430" s="468">
        <f t="shared" ca="1" si="216"/>
        <v>0</v>
      </c>
      <c r="U430" s="468">
        <f t="shared" ca="1" si="217"/>
        <v>0</v>
      </c>
      <c r="Z430" s="467">
        <f t="shared" ca="1" si="218"/>
        <v>0</v>
      </c>
      <c r="AA430" s="467">
        <f t="shared" ca="1" si="219"/>
        <v>0</v>
      </c>
    </row>
    <row r="431" spans="1:27" x14ac:dyDescent="0.35">
      <c r="A431" s="111" t="str">
        <f ca="1">IFERROR(INDIRECT(CONCATENATE("'Timetables'!A"&amp;A434)),"")</f>
        <v>LFH04</v>
      </c>
      <c r="B431" s="469" t="str">
        <f ca="1">IFERROR(VLOOKUP(A431,timetables,2,FALSE)&amp;" "&amp;VLOOKUP(A431,timetables,3,FALSE)&amp;" A","")</f>
        <v>Pole Vault U15 Boys A</v>
      </c>
      <c r="C431" s="469"/>
      <c r="E431" s="470" t="str">
        <f ca="1">"Starts "&amp;TEXT(VLOOKUP(A431,timetables,7-MatchDay!$U$7,FALSE),"hh:mm")</f>
        <v>Starts 13:00</v>
      </c>
      <c r="F431" s="471"/>
      <c r="H431" s="472" t="str">
        <f ca="1">IFERROR("Rec: "&amp;TEXT(VLOOKUP(A431,records,5,FALSE),"#0.00")&amp;"m, "&amp;VLOOKUP(A431,records,3,FALSE)&amp;", "&amp;VLOOKUP(A431,records,4,FALSE)&amp;", "&amp;VLOOKUP(A431,records,8,FALSE),"")</f>
        <v>Rec: 4.32m, Frankie Johnson, Bedford &amp; County AC, 2015</v>
      </c>
      <c r="K431" s="473"/>
      <c r="L431" s="474"/>
      <c r="M431" s="467"/>
      <c r="P431" s="468" t="str">
        <f>IFERROR(IF(OR(D431=0,D431="-",D431="",D431=" ",D431=" ",D431="Athlete"),"",IF($A439&gt;0,VLOOKUP(D431,female_reg,3,FALSE)-C431*10,VLOOKUP(D431,male_reg,3,FALSE)-C431*10)),"X")</f>
        <v/>
      </c>
      <c r="Q431" s="468" t="str">
        <f>IFERROR(IF(OR(J431=0,J431="-",J431=" ",J431="",J431=" ",J431="Athlete"),"",IF($A439&gt;0,VLOOKUP(J431,female_reg,3,FALSE)-C431*10,VLOOKUP(J431,male_reg,3,FALSE)-C431*10)),"X")</f>
        <v/>
      </c>
      <c r="T431" s="468">
        <f t="shared" ca="1" si="216"/>
        <v>0</v>
      </c>
      <c r="U431" s="468">
        <f t="shared" ca="1" si="217"/>
        <v>0</v>
      </c>
      <c r="Z431" s="467">
        <f t="shared" ca="1" si="218"/>
        <v>0</v>
      </c>
      <c r="AA431" s="467">
        <f t="shared" ca="1" si="219"/>
        <v>0</v>
      </c>
    </row>
    <row r="432" spans="1:27" x14ac:dyDescent="0.35">
      <c r="A432" s="85" t="str">
        <f ca="1">MID(A431,2,3)</f>
        <v>FH0</v>
      </c>
      <c r="B432" s="9" t="s">
        <v>163</v>
      </c>
      <c r="C432" s="9" t="s">
        <v>183</v>
      </c>
      <c r="D432" s="46" t="s">
        <v>227</v>
      </c>
      <c r="E432" s="46" t="s">
        <v>228</v>
      </c>
      <c r="F432" s="475"/>
      <c r="G432" s="46"/>
      <c r="H432" s="9" t="s">
        <v>163</v>
      </c>
      <c r="I432" s="9" t="s">
        <v>183</v>
      </c>
      <c r="J432" s="46" t="s">
        <v>227</v>
      </c>
      <c r="K432" s="46" t="s">
        <v>228</v>
      </c>
      <c r="L432" s="475"/>
      <c r="M432" s="475"/>
      <c r="N432" s="52"/>
      <c r="P432" s="468" t="str">
        <f>IFERROR(IF(OR(D432=0,D432="-",D432="",D432=" ",D432=" ",D432="Athlete"),"",IF($A439&gt;0,VLOOKUP(D432,female_reg,3,FALSE)-C432*10,VLOOKUP(D432,male_reg,3,FALSE)-C432*10)),"X")</f>
        <v/>
      </c>
      <c r="Q432" s="468" t="str">
        <f>IFERROR(IF(OR(J432=0,J432="-",J432=" ",J432="",J432=" ",J432="Athlete"),"",IF($A439&gt;0,VLOOKUP(J432,female_reg,3,FALSE)-C432*10,VLOOKUP(J432,male_reg,3,FALSE)-C432*10)),"X")</f>
        <v/>
      </c>
      <c r="T432" s="468">
        <f t="shared" ca="1" si="216"/>
        <v>0</v>
      </c>
      <c r="U432" s="468">
        <f t="shared" ca="1" si="217"/>
        <v>0</v>
      </c>
      <c r="Z432" s="467">
        <f t="shared" ca="1" si="218"/>
        <v>0</v>
      </c>
      <c r="AA432" s="467">
        <f t="shared" ca="1" si="219"/>
        <v>0</v>
      </c>
    </row>
    <row r="433" spans="1:27" x14ac:dyDescent="0.35">
      <c r="A433" s="181">
        <f ca="1">IFERROR(VLOOKUP(A431,Timetables!$A:$E,5,FALSE)-1,"")</f>
        <v>71</v>
      </c>
      <c r="B433" s="477">
        <v>1</v>
      </c>
      <c r="C433" s="477">
        <f ca="1">IFERROR(IF(B433&gt;MatchDay!$U$2,"",VLOOKUP($A431,timetables,MatchDay!$U$4+B433-1,FALSE)),0)</f>
        <v>2</v>
      </c>
      <c r="D433" s="467" t="str">
        <f ca="1">IFERROR(HLOOKUP(C433,Declarations!$D$2:$S$102,A433,FALSE),"")</f>
        <v>LANE William</v>
      </c>
      <c r="E433" s="467" t="str">
        <f ca="1">IFERROR(VLOOKUP(C433,teamlookup,5,FALSE),"")</f>
        <v>Sheff+D</v>
      </c>
      <c r="F433" s="466"/>
      <c r="G433" s="476"/>
      <c r="H433" s="477">
        <v>1</v>
      </c>
      <c r="I433" s="477">
        <f ca="1">IFERROR(C433*11,"")</f>
        <v>22</v>
      </c>
      <c r="J433" s="467">
        <f ca="1">IFERROR(HLOOKUP(I433,Declarations!$D$2:$S$102,$A433,FALSE),"")</f>
        <v>0</v>
      </c>
      <c r="K433" s="467" t="str">
        <f t="shared" ref="K433:K440" ca="1" si="240">IFERROR(VLOOKUP(I433,teamlookup,5,FALSE),"")</f>
        <v>Sheff+D</v>
      </c>
      <c r="N433" s="478"/>
      <c r="P433" s="468">
        <f ca="1">IFERROR(IF(OR(D433=0,D433="-",D433="",D433=" ",D433=" ",D433="Athlete"),"",IF($A439&gt;0,VLOOKUP(D433,female_reg,3,FALSE)-C433*10,VLOOKUP(D433,male_reg,3,FALSE)-C433*10)),2)</f>
        <v>1</v>
      </c>
      <c r="Q433" s="468" t="str">
        <f ca="1">IFERROR(IF(OR(J433=0,J433="-",J433=" ",J433="",J433=" ",J433="Athlete"),"",IF($A439&gt;0,VLOOKUP(J433,female_reg,3,FALSE)-C433*10,VLOOKUP(J433,male_reg,3,FALSE)-C433*10)),2)</f>
        <v/>
      </c>
      <c r="T433" s="468">
        <f t="shared" ca="1" si="216"/>
        <v>3</v>
      </c>
      <c r="U433" s="468">
        <f t="shared" ca="1" si="217"/>
        <v>0</v>
      </c>
      <c r="V433" s="467" t="str">
        <f t="shared" ref="V433:V440" ca="1" si="241">IFERROR(IF(OR(D433=0,D433="-",D433="",D433=" ",D433=" "),"X",D433&amp;E433),"X")</f>
        <v>LANE WilliamSheff+D</v>
      </c>
      <c r="W433" s="467" t="str">
        <f t="shared" ref="W433:W440" ca="1" si="242">IFERROR(IF(OR(J433=0,J433="-",J433="",J433=" ",J433=" "),"X",J433&amp;K433),"X")</f>
        <v>X</v>
      </c>
      <c r="Z433" s="467">
        <f t="shared" ca="1" si="218"/>
        <v>3</v>
      </c>
      <c r="AA433" s="467">
        <f t="shared" ca="1" si="219"/>
        <v>0</v>
      </c>
    </row>
    <row r="434" spans="1:27" x14ac:dyDescent="0.35">
      <c r="A434" s="468">
        <f>A423+1</f>
        <v>48</v>
      </c>
      <c r="B434" s="477">
        <v>2</v>
      </c>
      <c r="C434" s="477">
        <f ca="1">IFERROR(IF(B434&gt;MatchDay!$U$2,"",VLOOKUP($A431,timetables,MatchDay!$U$4+B434-1,FALSE)),0)</f>
        <v>5</v>
      </c>
      <c r="D434" s="467">
        <f ca="1">IFERROR(HLOOKUP(C434,Declarations!$D$2:$S$102,A433,FALSE),"")</f>
        <v>0</v>
      </c>
      <c r="E434" s="467" t="str">
        <f t="shared" ref="E434:E440" ca="1" si="243">IFERROR(VLOOKUP(C434,teamlookup,5,FALSE),"")</f>
        <v>Scun</v>
      </c>
      <c r="F434" s="466"/>
      <c r="G434" s="476"/>
      <c r="H434" s="477">
        <v>2</v>
      </c>
      <c r="I434" s="477">
        <f t="shared" ref="I434:I440" ca="1" si="244">IFERROR(C434*11,"")</f>
        <v>55</v>
      </c>
      <c r="J434" s="467" t="str">
        <f ca="1">IFERROR(HLOOKUP(I434,Declarations!$D$2:$S$102,$A433,FALSE),"")</f>
        <v>-</v>
      </c>
      <c r="K434" s="467" t="str">
        <f t="shared" ca="1" si="240"/>
        <v>Scun</v>
      </c>
      <c r="N434" s="478"/>
      <c r="P434" s="468" t="str">
        <f ca="1">IFERROR(IF(OR(D434=0,D434="-",D434="",D434=" ",D434=" ",D434="Athlete"),"",IF($A439&gt;0,VLOOKUP(D434,female_reg,3,FALSE)-C434*10,VLOOKUP(D434,male_reg,3,FALSE)-C434*10)),2)</f>
        <v/>
      </c>
      <c r="Q434" s="468" t="str">
        <f ca="1">IFERROR(IF(OR(J434=0,J434="-",J434=" ",J434="",J434=" ",J434="Athlete"),"",IF($A439&gt;0,VLOOKUP(J434,female_reg,3,FALSE)-C434*10,VLOOKUP(J434,male_reg,3,FALSE)-C434*10)),2)</f>
        <v/>
      </c>
      <c r="T434" s="468">
        <f t="shared" ca="1" si="216"/>
        <v>0</v>
      </c>
      <c r="U434" s="468">
        <f t="shared" ca="1" si="217"/>
        <v>0</v>
      </c>
      <c r="V434" s="467" t="str">
        <f t="shared" ca="1" si="241"/>
        <v>X</v>
      </c>
      <c r="W434" s="467" t="str">
        <f t="shared" ca="1" si="242"/>
        <v>X</v>
      </c>
      <c r="Z434" s="467">
        <f t="shared" ca="1" si="218"/>
        <v>0</v>
      </c>
      <c r="AA434" s="467">
        <f t="shared" ca="1" si="219"/>
        <v>0</v>
      </c>
    </row>
    <row r="435" spans="1:27" x14ac:dyDescent="0.35">
      <c r="A435" s="118">
        <f ca="1">IFERROR(VLOOKUP(A431,standards,3,FALSE)+0.01,"-")</f>
        <v>3.46</v>
      </c>
      <c r="B435" s="477">
        <v>3</v>
      </c>
      <c r="C435" s="477">
        <f ca="1">IFERROR(IF(B435&gt;MatchDay!$U$2,"",VLOOKUP($A431,timetables,MatchDay!$U$4+B435-1,FALSE)),0)</f>
        <v>3</v>
      </c>
      <c r="D435" s="467" t="str">
        <f ca="1">IFERROR(HLOOKUP(C435,Declarations!$D$2:$S$102,A433,FALSE),"")</f>
        <v>BOWSHER James</v>
      </c>
      <c r="E435" s="467" t="str">
        <f t="shared" ca="1" si="243"/>
        <v>York</v>
      </c>
      <c r="F435" s="466"/>
      <c r="G435" s="476"/>
      <c r="H435" s="477">
        <v>3</v>
      </c>
      <c r="I435" s="477">
        <f t="shared" ca="1" si="244"/>
        <v>33</v>
      </c>
      <c r="J435" s="467" t="str">
        <f ca="1">IFERROR(HLOOKUP(I435,Declarations!$D$2:$S$102,$A433,FALSE),"")</f>
        <v>-</v>
      </c>
      <c r="K435" s="467" t="str">
        <f t="shared" ca="1" si="240"/>
        <v>York</v>
      </c>
      <c r="N435" s="478"/>
      <c r="P435" s="468">
        <f ca="1">IFERROR(IF(OR(D435=0,D435="-",D435="",D435=" ",D435=" ",D435="Athlete"),"",IF($A439&gt;0,VLOOKUP(D435,female_reg,3,FALSE)-C435*10,VLOOKUP(D435,male_reg,3,FALSE)-C435*10)),2)</f>
        <v>0</v>
      </c>
      <c r="Q435" s="468" t="str">
        <f ca="1">IFERROR(IF(OR(J435=0,J435="-",J435=" ",J435="",J435=" ",J435="Athlete"),"",IF($A439&gt;0,VLOOKUP(J435,female_reg,3,FALSE)-C435*10,VLOOKUP(J435,male_reg,3,FALSE)-C435*10)),2)</f>
        <v/>
      </c>
      <c r="T435" s="468">
        <f t="shared" ca="1" si="216"/>
        <v>1</v>
      </c>
      <c r="U435" s="468">
        <f t="shared" ca="1" si="217"/>
        <v>0</v>
      </c>
      <c r="V435" s="467" t="str">
        <f t="shared" ca="1" si="241"/>
        <v>BOWSHER JamesYork</v>
      </c>
      <c r="W435" s="467" t="str">
        <f t="shared" ca="1" si="242"/>
        <v>X</v>
      </c>
      <c r="Z435" s="467">
        <f t="shared" ca="1" si="218"/>
        <v>1</v>
      </c>
      <c r="AA435" s="467">
        <f t="shared" ca="1" si="219"/>
        <v>0</v>
      </c>
    </row>
    <row r="436" spans="1:27" x14ac:dyDescent="0.35">
      <c r="A436" s="118">
        <f ca="1">IFERROR(VLOOKUP(A431,standards,4,FALSE)+0.01,"-")</f>
        <v>3.21</v>
      </c>
      <c r="B436" s="477">
        <v>4</v>
      </c>
      <c r="C436" s="477">
        <f ca="1">IFERROR(IF(B436&gt;MatchDay!$U$2,"",VLOOKUP($A431,timetables,MatchDay!$U$4+B436-1,FALSE)),0)</f>
        <v>4</v>
      </c>
      <c r="D436" s="467" t="str">
        <f ca="1">IFERROR(HLOOKUP(C436,Declarations!$D$2:$S$102,A433,FALSE),"")</f>
        <v>-</v>
      </c>
      <c r="E436" s="467" t="str">
        <f t="shared" ca="1" si="243"/>
        <v>M'bro</v>
      </c>
      <c r="F436" s="466"/>
      <c r="G436" s="476"/>
      <c r="H436" s="477">
        <v>4</v>
      </c>
      <c r="I436" s="477">
        <f t="shared" ca="1" si="244"/>
        <v>44</v>
      </c>
      <c r="J436" s="467" t="str">
        <f ca="1">IFERROR(HLOOKUP(I436,Declarations!$D$2:$S$102,$A433,FALSE),"")</f>
        <v>-</v>
      </c>
      <c r="K436" s="467" t="str">
        <f t="shared" ca="1" si="240"/>
        <v>M'bro</v>
      </c>
      <c r="N436" s="478"/>
      <c r="P436" s="468" t="str">
        <f ca="1">IFERROR(IF(OR(D436=0,D436="-",D436="",D436=" ",D436=" ",D436="Athlete"),"",IF($A439&gt;0,VLOOKUP(D436,female_reg,3,FALSE)-C436*10,VLOOKUP(D436,male_reg,3,FALSE)-C436*10)),2)</f>
        <v/>
      </c>
      <c r="Q436" s="468" t="str">
        <f ca="1">IFERROR(IF(OR(J436=0,J436="-",J436=" ",J436="",J436=" ",J436="Athlete"),"",IF($A439&gt;0,VLOOKUP(J436,female_reg,3,FALSE)-C436*10,VLOOKUP(J436,male_reg,3,FALSE)-C436*10)),2)</f>
        <v/>
      </c>
      <c r="T436" s="468">
        <f t="shared" ca="1" si="216"/>
        <v>0</v>
      </c>
      <c r="U436" s="468">
        <f t="shared" ca="1" si="217"/>
        <v>0</v>
      </c>
      <c r="V436" s="467" t="str">
        <f t="shared" ca="1" si="241"/>
        <v>X</v>
      </c>
      <c r="W436" s="467" t="str">
        <f t="shared" ca="1" si="242"/>
        <v>X</v>
      </c>
      <c r="Z436" s="467">
        <f t="shared" ca="1" si="218"/>
        <v>0</v>
      </c>
      <c r="AA436" s="467">
        <f t="shared" ca="1" si="219"/>
        <v>0</v>
      </c>
    </row>
    <row r="437" spans="1:27" x14ac:dyDescent="0.35">
      <c r="A437" s="118">
        <f ca="1">IFERROR(VLOOKUP(A431,standards,5,FALSE)+0.01,"-")</f>
        <v>2.86</v>
      </c>
      <c r="B437" s="477">
        <v>5</v>
      </c>
      <c r="C437" s="477">
        <f ca="1">IFERROR(IF(B437&gt;MatchDay!$U$2,"",VLOOKUP($A431,timetables,MatchDay!$U$4+B437-1,FALSE)),0)</f>
        <v>1</v>
      </c>
      <c r="D437" s="467">
        <f ca="1">IFERROR(HLOOKUP(C437,Declarations!$D$2:$S$102,A433,FALSE),"")</f>
        <v>0</v>
      </c>
      <c r="E437" s="467" t="str">
        <f t="shared" ca="1" si="243"/>
        <v>C'field</v>
      </c>
      <c r="F437" s="466"/>
      <c r="G437" s="476"/>
      <c r="H437" s="477">
        <v>5</v>
      </c>
      <c r="I437" s="477">
        <f t="shared" ca="1" si="244"/>
        <v>11</v>
      </c>
      <c r="J437" s="467">
        <f ca="1">IFERROR(HLOOKUP(I437,Declarations!$D$2:$S$102,$A433,FALSE),"")</f>
        <v>0</v>
      </c>
      <c r="K437" s="467" t="str">
        <f t="shared" ca="1" si="240"/>
        <v>C'field</v>
      </c>
      <c r="N437" s="478"/>
      <c r="P437" s="468" t="str">
        <f ca="1">IFERROR(IF(OR(D437=0,D437="-",D437="",D437=" ",D437=" ",D437="Athlete"),"",IF($A439&gt;0,VLOOKUP(D437,female_reg,3,FALSE)-C437*10,VLOOKUP(D437,male_reg,3,FALSE)-C437*10)),2)</f>
        <v/>
      </c>
      <c r="Q437" s="468" t="str">
        <f ca="1">IFERROR(IF(OR(J437=0,J437="-",J437=" ",J437="",J437=" ",J437="Athlete"),"",IF($A439&gt;0,VLOOKUP(J437,female_reg,3,FALSE)-C437*10,VLOOKUP(J437,male_reg,3,FALSE)-C437*10)),2)</f>
        <v/>
      </c>
      <c r="T437" s="468">
        <f t="shared" ca="1" si="216"/>
        <v>0</v>
      </c>
      <c r="U437" s="468">
        <f t="shared" ca="1" si="217"/>
        <v>0</v>
      </c>
      <c r="V437" s="467" t="str">
        <f t="shared" ca="1" si="241"/>
        <v>X</v>
      </c>
      <c r="W437" s="467" t="str">
        <f t="shared" ca="1" si="242"/>
        <v>X</v>
      </c>
      <c r="Z437" s="467">
        <f t="shared" ca="1" si="218"/>
        <v>0</v>
      </c>
      <c r="AA437" s="467">
        <f t="shared" ca="1" si="219"/>
        <v>0</v>
      </c>
    </row>
    <row r="438" spans="1:27" x14ac:dyDescent="0.35">
      <c r="A438" s="118">
        <f ca="1">IFERROR(VLOOKUP(A431,standards,6,FALSE)+0.01,"-")</f>
        <v>2.4099999999999997</v>
      </c>
      <c r="B438" s="477">
        <v>6</v>
      </c>
      <c r="C438" s="477" t="str">
        <f>IFERROR(IF(B438&gt;MatchDay!$U$2,"",VLOOKUP($A431,timetables,MatchDay!$U$4+B438-1,FALSE)),0)</f>
        <v/>
      </c>
      <c r="D438" s="467" t="str">
        <f>IFERROR(HLOOKUP(C438,Declarations!$D$2:$S$102,A433,FALSE),"")</f>
        <v/>
      </c>
      <c r="E438" s="467" t="str">
        <f t="shared" si="243"/>
        <v/>
      </c>
      <c r="F438" s="466"/>
      <c r="G438" s="476"/>
      <c r="H438" s="477">
        <v>6</v>
      </c>
      <c r="I438" s="477" t="str">
        <f t="shared" si="244"/>
        <v/>
      </c>
      <c r="J438" s="467" t="str">
        <f>IFERROR(HLOOKUP(I438,Declarations!$D$2:$S$102,$A433,FALSE),"")</f>
        <v/>
      </c>
      <c r="K438" s="467" t="str">
        <f t="shared" si="240"/>
        <v/>
      </c>
      <c r="N438" s="478"/>
      <c r="P438" s="468" t="str">
        <f>IFERROR(IF(OR(D438=0,D438="-",D438="",D438=" ",D438=" ",D438="Athlete"),"",IF($A439&gt;0,VLOOKUP(D438,female_reg,3,FALSE)-C438*10,VLOOKUP(D438,male_reg,3,FALSE)-C438*10)),2)</f>
        <v/>
      </c>
      <c r="Q438" s="468" t="str">
        <f>IFERROR(IF(OR(J438=0,J438="-",J438=" ",J438="",J438=" ",J438="Athlete"),"",IF($A439&gt;0,VLOOKUP(J438,female_reg,3,FALSE)-C438*10,VLOOKUP(J438,male_reg,3,FALSE)-C438*10)),2)</f>
        <v/>
      </c>
      <c r="T438" s="468">
        <f t="shared" si="216"/>
        <v>0</v>
      </c>
      <c r="U438" s="468">
        <f t="shared" si="217"/>
        <v>0</v>
      </c>
      <c r="V438" s="467" t="str">
        <f t="shared" si="241"/>
        <v>X</v>
      </c>
      <c r="W438" s="467" t="str">
        <f t="shared" si="242"/>
        <v>X</v>
      </c>
      <c r="Z438" s="467">
        <f t="shared" si="218"/>
        <v>0</v>
      </c>
      <c r="AA438" s="467">
        <f t="shared" si="219"/>
        <v>0</v>
      </c>
    </row>
    <row r="439" spans="1:27" x14ac:dyDescent="0.35">
      <c r="A439" s="479">
        <f ca="1">IFERROR(SEARCH("Girls",B431),0)</f>
        <v>0</v>
      </c>
      <c r="B439" s="477">
        <v>7</v>
      </c>
      <c r="C439" s="477" t="str">
        <f>IFERROR(IF(B439&gt;MatchDay!$U$2,"",VLOOKUP($A431,timetables,MatchDay!$U$4+B439-1,FALSE)),0)</f>
        <v/>
      </c>
      <c r="D439" s="467" t="str">
        <f>IFERROR(HLOOKUP(C439,Declarations!$D$2:$S$102,A433,FALSE),"")</f>
        <v/>
      </c>
      <c r="E439" s="467" t="str">
        <f t="shared" si="243"/>
        <v/>
      </c>
      <c r="F439" s="466"/>
      <c r="G439" s="476"/>
      <c r="H439" s="477">
        <v>7</v>
      </c>
      <c r="I439" s="477" t="str">
        <f t="shared" si="244"/>
        <v/>
      </c>
      <c r="J439" s="467" t="str">
        <f>IFERROR(HLOOKUP(I439,Declarations!$D$2:$S$102,$A433,FALSE),"")</f>
        <v/>
      </c>
      <c r="K439" s="467" t="str">
        <f t="shared" si="240"/>
        <v/>
      </c>
      <c r="N439" s="478"/>
      <c r="P439" s="468" t="str">
        <f>IFERROR(IF(OR(D439=0,D439="-",D439="",D439=" ",D439=" ",D439="Athlete"),"",IF($A439&gt;0,VLOOKUP(D439,female_reg,3,FALSE)-C439*10,VLOOKUP(D439,male_reg,3,FALSE)-C439*10)),2)</f>
        <v/>
      </c>
      <c r="Q439" s="468" t="str">
        <f>IFERROR(IF(OR(J439=0,J439="-",J439=" ",J439="",J439=" ",J439="Athlete"),"",IF($A439&gt;0,VLOOKUP(J439,female_reg,3,FALSE)-C439*10,VLOOKUP(J439,male_reg,3,FALSE)-C439*10)),2)</f>
        <v/>
      </c>
      <c r="T439" s="468">
        <f t="shared" si="216"/>
        <v>0</v>
      </c>
      <c r="U439" s="468">
        <f t="shared" si="217"/>
        <v>0</v>
      </c>
      <c r="V439" s="467" t="str">
        <f t="shared" si="241"/>
        <v>X</v>
      </c>
      <c r="W439" s="467" t="str">
        <f t="shared" si="242"/>
        <v>X</v>
      </c>
      <c r="Z439" s="467">
        <f t="shared" si="218"/>
        <v>0</v>
      </c>
      <c r="AA439" s="467">
        <f t="shared" si="219"/>
        <v>0</v>
      </c>
    </row>
    <row r="440" spans="1:27" x14ac:dyDescent="0.35">
      <c r="A440" s="116">
        <f ca="1">IFERROR(VLOOKUP(A431,records,5,FALSE),"")</f>
        <v>4.32</v>
      </c>
      <c r="B440" s="477">
        <v>8</v>
      </c>
      <c r="C440" s="477" t="str">
        <f>IFERROR(IF(B440&gt;MatchDay!$U$2,"",VLOOKUP($A431,timetables,MatchDay!$U$4+B440-1,FALSE)),0)</f>
        <v/>
      </c>
      <c r="D440" s="467" t="str">
        <f>IFERROR(HLOOKUP(C440,Declarations!$D$2:$S$102,A433,FALSE),"")</f>
        <v/>
      </c>
      <c r="E440" s="467" t="str">
        <f t="shared" si="243"/>
        <v/>
      </c>
      <c r="F440" s="466"/>
      <c r="G440" s="476"/>
      <c r="H440" s="477">
        <v>8</v>
      </c>
      <c r="I440" s="477" t="str">
        <f t="shared" si="244"/>
        <v/>
      </c>
      <c r="J440" s="467" t="str">
        <f>IFERROR(HLOOKUP(I440,Declarations!$D$2:$S$102,$A433,FALSE),"")</f>
        <v/>
      </c>
      <c r="K440" s="467" t="str">
        <f t="shared" si="240"/>
        <v/>
      </c>
      <c r="N440" s="478"/>
      <c r="P440" s="468" t="str">
        <f>IFERROR(IF(OR(D440=0,D440="-",D440="",D440=" ",D440=" ",D440="Athlete"),"",IF($A439&gt;0,VLOOKUP(D440,female_reg,3,FALSE)-C440*10,VLOOKUP(D440,male_reg,3,FALSE)-C440*10)),2)</f>
        <v/>
      </c>
      <c r="Q440" s="468" t="str">
        <f>IFERROR(IF(OR(J440=0,J440="-",J440=" ",J440="",J440=" ",J440="Athlete"),"",IF($A439&gt;0,VLOOKUP(J440,female_reg,3,FALSE)-C440*10,VLOOKUP(J440,male_reg,3,FALSE)-C440*10)),2)</f>
        <v/>
      </c>
      <c r="T440" s="468">
        <f t="shared" si="216"/>
        <v>0</v>
      </c>
      <c r="U440" s="468">
        <f t="shared" si="217"/>
        <v>0</v>
      </c>
      <c r="V440" s="467" t="str">
        <f t="shared" si="241"/>
        <v>X</v>
      </c>
      <c r="W440" s="467" t="str">
        <f t="shared" si="242"/>
        <v>X</v>
      </c>
      <c r="Z440" s="467">
        <f t="shared" si="218"/>
        <v>0</v>
      </c>
      <c r="AA440" s="467">
        <f t="shared" si="219"/>
        <v>0</v>
      </c>
    </row>
    <row r="441" spans="1:27" x14ac:dyDescent="0.35">
      <c r="P441" s="468" t="str">
        <f>IFERROR(IF(OR(D441=0,D441="-",D441="",D441=" ",D441=" ",D441="Athlete"),"",IF($A439&gt;0,VLOOKUP(D441,female_reg,3,FALSE)-C441*10,VLOOKUP(D441,male_reg,3,FALSE)-C441*10)),"X")</f>
        <v/>
      </c>
      <c r="Q441" s="468" t="str">
        <f>IFERROR(IF(OR(J441=0,J441="-",J441=" ",J441="",J441=" ",J441="Athlete"),"",IF($A439&gt;0,VLOOKUP(J441,female_reg,3,FALSE)-C441*10,VLOOKUP(J441,male_reg,3,FALSE)-C441*10)),"X")</f>
        <v/>
      </c>
      <c r="T441" s="468">
        <f t="shared" ca="1" si="216"/>
        <v>0</v>
      </c>
      <c r="U441" s="468">
        <f t="shared" ca="1" si="217"/>
        <v>0</v>
      </c>
      <c r="Z441" s="467">
        <f t="shared" ca="1" si="218"/>
        <v>0</v>
      </c>
      <c r="AA441" s="467">
        <f t="shared" ca="1" si="219"/>
        <v>0</v>
      </c>
    </row>
    <row r="442" spans="1:27" x14ac:dyDescent="0.35">
      <c r="A442" s="111" t="str">
        <f ca="1">IFERROR(INDIRECT(CONCATENATE("'Timetables'!A"&amp;A445)),"")</f>
        <v>LFH05</v>
      </c>
      <c r="B442" s="469" t="str">
        <f ca="1">IFERROR(VLOOKUP(A442,timetables,2,FALSE)&amp;" "&amp;VLOOKUP(A442,timetables,3,FALSE)&amp;" A","")</f>
        <v>Pole Vault U15 Girls A</v>
      </c>
      <c r="C442" s="469"/>
      <c r="E442" s="470" t="str">
        <f ca="1">"Starts "&amp;TEXT(VLOOKUP(A442,timetables,7-MatchDay!$U$7,FALSE),"hh:mm")</f>
        <v>Starts 13:00</v>
      </c>
      <c r="F442" s="471"/>
      <c r="H442" s="472" t="str">
        <f ca="1">IFERROR("Rec: "&amp;TEXT(VLOOKUP(A442,records,5,FALSE),"#0.00")&amp;"m, "&amp;VLOOKUP(A442,records,3,FALSE)&amp;", "&amp;VLOOKUP(A442,records,4,FALSE)&amp;", "&amp;VLOOKUP(A442,records,8,FALSE),"")</f>
        <v>Rec: 3.42m, Sophie Ashurst, Sale Harriers, 2017</v>
      </c>
      <c r="K442" s="473"/>
      <c r="L442" s="474"/>
      <c r="M442" s="467"/>
      <c r="P442" s="468" t="str">
        <f>IFERROR(IF(OR(D442=0,D442="-",D442="",D442=" ",D442=" ",D442="Athlete"),"",IF($A450&gt;0,VLOOKUP(D442,female_reg,3,FALSE)-C442*10,VLOOKUP(D442,male_reg,3,FALSE)-C442*10)),"X")</f>
        <v/>
      </c>
      <c r="Q442" s="468" t="str">
        <f>IFERROR(IF(OR(J442=0,J442="-",J442=" ",J442="",J442=" ",J442="Athlete"),"",IF($A450&gt;0,VLOOKUP(J442,female_reg,3,FALSE)-C442*10,VLOOKUP(J442,male_reg,3,FALSE)-C442*10)),"X")</f>
        <v/>
      </c>
      <c r="T442" s="468">
        <f t="shared" ca="1" si="216"/>
        <v>0</v>
      </c>
      <c r="U442" s="468">
        <f t="shared" ca="1" si="217"/>
        <v>0</v>
      </c>
      <c r="Z442" s="467">
        <f t="shared" ca="1" si="218"/>
        <v>0</v>
      </c>
      <c r="AA442" s="467">
        <f t="shared" ca="1" si="219"/>
        <v>0</v>
      </c>
    </row>
    <row r="443" spans="1:27" x14ac:dyDescent="0.35">
      <c r="A443" s="85" t="str">
        <f ca="1">MID(A442,2,3)</f>
        <v>FH0</v>
      </c>
      <c r="B443" s="9" t="s">
        <v>163</v>
      </c>
      <c r="C443" s="9" t="s">
        <v>183</v>
      </c>
      <c r="D443" s="46" t="s">
        <v>227</v>
      </c>
      <c r="E443" s="46" t="s">
        <v>228</v>
      </c>
      <c r="F443" s="475"/>
      <c r="G443" s="46"/>
      <c r="H443" s="9" t="s">
        <v>163</v>
      </c>
      <c r="I443" s="9" t="s">
        <v>183</v>
      </c>
      <c r="J443" s="46" t="s">
        <v>227</v>
      </c>
      <c r="K443" s="46" t="s">
        <v>228</v>
      </c>
      <c r="L443" s="475"/>
      <c r="M443" s="475"/>
      <c r="N443" s="52"/>
      <c r="P443" s="468" t="str">
        <f>IFERROR(IF(OR(D443=0,D443="-",D443="",D443=" ",D443=" ",D443="Athlete"),"",IF($A450&gt;0,VLOOKUP(D443,female_reg,3,FALSE)-C443*10,VLOOKUP(D443,male_reg,3,FALSE)-C443*10)),"X")</f>
        <v/>
      </c>
      <c r="Q443" s="468" t="str">
        <f>IFERROR(IF(OR(J443=0,J443="-",J443=" ",J443="",J443=" ",J443="Athlete"),"",IF($A450&gt;0,VLOOKUP(J443,female_reg,3,FALSE)-C443*10,VLOOKUP(J443,male_reg,3,FALSE)-C443*10)),"X")</f>
        <v/>
      </c>
      <c r="T443" s="468">
        <f t="shared" ca="1" si="216"/>
        <v>0</v>
      </c>
      <c r="U443" s="468">
        <f t="shared" ca="1" si="217"/>
        <v>0</v>
      </c>
      <c r="Z443" s="467">
        <f t="shared" ca="1" si="218"/>
        <v>0</v>
      </c>
      <c r="AA443" s="467">
        <f t="shared" ca="1" si="219"/>
        <v>0</v>
      </c>
    </row>
    <row r="444" spans="1:27" x14ac:dyDescent="0.35">
      <c r="A444" s="181">
        <f ca="1">IFERROR(VLOOKUP(A442,Timetables!$A:$E,5,FALSE)-1,"")</f>
        <v>21</v>
      </c>
      <c r="B444" s="477">
        <v>1</v>
      </c>
      <c r="C444" s="477">
        <f ca="1">IFERROR(IF(B444&gt;MatchDay!$U$2,"",VLOOKUP($A442,timetables,MatchDay!$U$4+B444-1,FALSE)),0)</f>
        <v>2</v>
      </c>
      <c r="D444" s="467">
        <f ca="1">IFERROR(HLOOKUP(C444,Declarations!$D$2:$S$102,A444,FALSE),"")</f>
        <v>0</v>
      </c>
      <c r="E444" s="467" t="str">
        <f ca="1">IFERROR(VLOOKUP(C444,teamlookup,5,FALSE),"")</f>
        <v>Sheff+D</v>
      </c>
      <c r="F444" s="466"/>
      <c r="G444" s="476"/>
      <c r="H444" s="477">
        <v>1</v>
      </c>
      <c r="I444" s="477">
        <f ca="1">IFERROR(C444*11,"")</f>
        <v>22</v>
      </c>
      <c r="J444" s="467">
        <f ca="1">IFERROR(HLOOKUP(I444,Declarations!$D$2:$S$102,$A444,FALSE),"")</f>
        <v>0</v>
      </c>
      <c r="K444" s="467" t="str">
        <f t="shared" ref="K444:K451" ca="1" si="245">IFERROR(VLOOKUP(I444,teamlookup,5,FALSE),"")</f>
        <v>Sheff+D</v>
      </c>
      <c r="N444" s="478"/>
      <c r="P444" s="468" t="str">
        <f ca="1">IFERROR(IF(OR(D444=0,D444="-",D444="",D444=" ",D444=" ",D444="Athlete"),"",IF($A450&gt;0,VLOOKUP(D444,female_reg,3,FALSE)-C444*10,VLOOKUP(D444,male_reg,3,FALSE)-C444*10)),2)</f>
        <v/>
      </c>
      <c r="Q444" s="468" t="str">
        <f ca="1">IFERROR(IF(OR(J444=0,J444="-",J444=" ",J444="",J444=" ",J444="Athlete"),"",IF($A450&gt;0,VLOOKUP(J444,female_reg,3,FALSE)-C444*10,VLOOKUP(J444,male_reg,3,FALSE)-C444*10)),2)</f>
        <v/>
      </c>
      <c r="T444" s="468">
        <f t="shared" ca="1" si="216"/>
        <v>0</v>
      </c>
      <c r="U444" s="468">
        <f t="shared" ca="1" si="217"/>
        <v>0</v>
      </c>
      <c r="V444" s="467" t="str">
        <f t="shared" ref="V444:V451" ca="1" si="246">IFERROR(IF(OR(D444=0,D444="-",D444="",D444=" ",D444=" "),"X",D444&amp;E444),"X")</f>
        <v>X</v>
      </c>
      <c r="W444" s="467" t="str">
        <f t="shared" ref="W444:W451" ca="1" si="247">IFERROR(IF(OR(J444=0,J444="-",J444="",J444=" ",J444=" "),"X",J444&amp;K444),"X")</f>
        <v>X</v>
      </c>
      <c r="Z444" s="467">
        <f t="shared" ca="1" si="218"/>
        <v>0</v>
      </c>
      <c r="AA444" s="467">
        <f t="shared" ca="1" si="219"/>
        <v>0</v>
      </c>
    </row>
    <row r="445" spans="1:27" x14ac:dyDescent="0.35">
      <c r="A445" s="468">
        <f>A434+1</f>
        <v>49</v>
      </c>
      <c r="B445" s="477">
        <v>2</v>
      </c>
      <c r="C445" s="477">
        <f ca="1">IFERROR(IF(B445&gt;MatchDay!$U$2,"",VLOOKUP($A442,timetables,MatchDay!$U$4+B445-1,FALSE)),0)</f>
        <v>5</v>
      </c>
      <c r="D445" s="467">
        <f ca="1">IFERROR(HLOOKUP(C445,Declarations!$D$2:$S$102,A444,FALSE),"")</f>
        <v>0</v>
      </c>
      <c r="E445" s="467" t="str">
        <f t="shared" ref="E445:E451" ca="1" si="248">IFERROR(VLOOKUP(C445,teamlookup,5,FALSE),"")</f>
        <v>Scun</v>
      </c>
      <c r="F445" s="466"/>
      <c r="G445" s="476"/>
      <c r="H445" s="477">
        <v>2</v>
      </c>
      <c r="I445" s="477">
        <f t="shared" ref="I445:I451" ca="1" si="249">IFERROR(C445*11,"")</f>
        <v>55</v>
      </c>
      <c r="J445" s="467">
        <f ca="1">IFERROR(HLOOKUP(I445,Declarations!$D$2:$S$102,$A444,FALSE),"")</f>
        <v>0</v>
      </c>
      <c r="K445" s="467" t="str">
        <f t="shared" ca="1" si="245"/>
        <v>Scun</v>
      </c>
      <c r="N445" s="478"/>
      <c r="P445" s="468" t="str">
        <f ca="1">IFERROR(IF(OR(D445=0,D445="-",D445="",D445=" ",D445=" ",D445="Athlete"),"",IF($A450&gt;0,VLOOKUP(D445,female_reg,3,FALSE)-C445*10,VLOOKUP(D445,male_reg,3,FALSE)-C445*10)),2)</f>
        <v/>
      </c>
      <c r="Q445" s="468" t="str">
        <f ca="1">IFERROR(IF(OR(J445=0,J445="-",J445=" ",J445="",J445=" ",J445="Athlete"),"",IF($A450&gt;0,VLOOKUP(J445,female_reg,3,FALSE)-C445*10,VLOOKUP(J445,male_reg,3,FALSE)-C445*10)),2)</f>
        <v/>
      </c>
      <c r="T445" s="468">
        <f t="shared" ca="1" si="216"/>
        <v>0</v>
      </c>
      <c r="U445" s="468">
        <f t="shared" ca="1" si="217"/>
        <v>0</v>
      </c>
      <c r="V445" s="467" t="str">
        <f t="shared" ca="1" si="246"/>
        <v>X</v>
      </c>
      <c r="W445" s="467" t="str">
        <f t="shared" ca="1" si="247"/>
        <v>X</v>
      </c>
      <c r="Z445" s="467">
        <f t="shared" ca="1" si="218"/>
        <v>0</v>
      </c>
      <c r="AA445" s="467">
        <f t="shared" ca="1" si="219"/>
        <v>0</v>
      </c>
    </row>
    <row r="446" spans="1:27" x14ac:dyDescent="0.35">
      <c r="A446" s="118">
        <f ca="1">IFERROR(VLOOKUP(A442,standards,3,FALSE)+0.01,"-")</f>
        <v>3.11</v>
      </c>
      <c r="B446" s="477">
        <v>3</v>
      </c>
      <c r="C446" s="477">
        <f ca="1">IFERROR(IF(B446&gt;MatchDay!$U$2,"",VLOOKUP($A442,timetables,MatchDay!$U$4+B446-1,FALSE)),0)</f>
        <v>3</v>
      </c>
      <c r="D446" s="467" t="str">
        <f ca="1">IFERROR(HLOOKUP(C446,Declarations!$D$2:$S$102,A444,FALSE),"")</f>
        <v>CROSBY Alice</v>
      </c>
      <c r="E446" s="467" t="str">
        <f t="shared" ca="1" si="248"/>
        <v>York</v>
      </c>
      <c r="F446" s="466"/>
      <c r="G446" s="476"/>
      <c r="H446" s="477">
        <v>3</v>
      </c>
      <c r="I446" s="477">
        <f t="shared" ca="1" si="249"/>
        <v>33</v>
      </c>
      <c r="J446" s="467" t="str">
        <f ca="1">IFERROR(HLOOKUP(I446,Declarations!$D$2:$S$102,$A444,FALSE),"")</f>
        <v>LEE Isabel</v>
      </c>
      <c r="K446" s="467" t="str">
        <f t="shared" ca="1" si="245"/>
        <v>York</v>
      </c>
      <c r="N446" s="478"/>
      <c r="P446" s="468">
        <f ca="1">IFERROR(IF(OR(D446=0,D446="-",D446="",D446=" ",D446=" ",D446="Athlete"),"",IF($A450&gt;0,VLOOKUP(D446,female_reg,3,FALSE)-C446*10,VLOOKUP(D446,male_reg,3,FALSE)-C446*10)),2)</f>
        <v>1</v>
      </c>
      <c r="Q446" s="468">
        <f ca="1">IFERROR(IF(OR(J446=0,J446="-",J446=" ",J446="",J446=" ",J446="Athlete"),"",IF($A450&gt;0,VLOOKUP(J446,female_reg,3,FALSE)-C446*10,VLOOKUP(J446,male_reg,3,FALSE)-C446*10)),2)</f>
        <v>1</v>
      </c>
      <c r="T446" s="468">
        <f t="shared" ca="1" si="216"/>
        <v>3</v>
      </c>
      <c r="U446" s="468">
        <f t="shared" ca="1" si="217"/>
        <v>3</v>
      </c>
      <c r="V446" s="467" t="str">
        <f t="shared" ca="1" si="246"/>
        <v>CROSBY AliceYork</v>
      </c>
      <c r="W446" s="467" t="str">
        <f t="shared" ca="1" si="247"/>
        <v>LEE IsabelYork</v>
      </c>
      <c r="Z446" s="467">
        <f t="shared" ca="1" si="218"/>
        <v>3</v>
      </c>
      <c r="AA446" s="467">
        <f t="shared" ca="1" si="219"/>
        <v>4</v>
      </c>
    </row>
    <row r="447" spans="1:27" x14ac:dyDescent="0.35">
      <c r="A447" s="118">
        <f ca="1">IFERROR(VLOOKUP(A442,standards,4,FALSE)+0.01,"-")</f>
        <v>2.8099999999999996</v>
      </c>
      <c r="B447" s="477">
        <v>4</v>
      </c>
      <c r="C447" s="477">
        <f ca="1">IFERROR(IF(B447&gt;MatchDay!$U$2,"",VLOOKUP($A442,timetables,MatchDay!$U$4+B447-1,FALSE)),0)</f>
        <v>4</v>
      </c>
      <c r="D447" s="467" t="str">
        <f ca="1">IFERROR(HLOOKUP(C447,Declarations!$D$2:$S$102,A444,FALSE),"")</f>
        <v>-</v>
      </c>
      <c r="E447" s="467" t="str">
        <f t="shared" ca="1" si="248"/>
        <v>M'bro</v>
      </c>
      <c r="F447" s="466"/>
      <c r="G447" s="476"/>
      <c r="H447" s="477">
        <v>4</v>
      </c>
      <c r="I447" s="477">
        <f t="shared" ca="1" si="249"/>
        <v>44</v>
      </c>
      <c r="J447" s="467" t="str">
        <f ca="1">IFERROR(HLOOKUP(I447,Declarations!$D$2:$S$102,$A444,FALSE),"")</f>
        <v>-</v>
      </c>
      <c r="K447" s="467" t="str">
        <f t="shared" ca="1" si="245"/>
        <v>M'bro</v>
      </c>
      <c r="N447" s="478"/>
      <c r="P447" s="468" t="str">
        <f ca="1">IFERROR(IF(OR(D447=0,D447="-",D447="",D447=" ",D447=" ",D447="Athlete"),"",IF($A450&gt;0,VLOOKUP(D447,female_reg,3,FALSE)-C447*10,VLOOKUP(D447,male_reg,3,FALSE)-C447*10)),2)</f>
        <v/>
      </c>
      <c r="Q447" s="468" t="str">
        <f ca="1">IFERROR(IF(OR(J447=0,J447="-",J447=" ",J447="",J447=" ",J447="Athlete"),"",IF($A450&gt;0,VLOOKUP(J447,female_reg,3,FALSE)-C447*10,VLOOKUP(J447,male_reg,3,FALSE)-C447*10)),2)</f>
        <v/>
      </c>
      <c r="T447" s="468">
        <f t="shared" ca="1" si="216"/>
        <v>0</v>
      </c>
      <c r="U447" s="468">
        <f t="shared" ca="1" si="217"/>
        <v>0</v>
      </c>
      <c r="V447" s="467" t="str">
        <f t="shared" ca="1" si="246"/>
        <v>X</v>
      </c>
      <c r="W447" s="467" t="str">
        <f t="shared" ca="1" si="247"/>
        <v>X</v>
      </c>
      <c r="Z447" s="467">
        <f t="shared" ca="1" si="218"/>
        <v>0</v>
      </c>
      <c r="AA447" s="467">
        <f t="shared" ca="1" si="219"/>
        <v>0</v>
      </c>
    </row>
    <row r="448" spans="1:27" x14ac:dyDescent="0.35">
      <c r="A448" s="118">
        <f ca="1">IFERROR(VLOOKUP(A442,standards,5,FALSE)+0.01,"-")</f>
        <v>2.5099999999999998</v>
      </c>
      <c r="B448" s="477">
        <v>5</v>
      </c>
      <c r="C448" s="477">
        <f ca="1">IFERROR(IF(B448&gt;MatchDay!$U$2,"",VLOOKUP($A442,timetables,MatchDay!$U$4+B448-1,FALSE)),0)</f>
        <v>1</v>
      </c>
      <c r="D448" s="467" t="str">
        <f ca="1">IFERROR(HLOOKUP(C448,Declarations!$D$2:$S$102,A444,FALSE),"")</f>
        <v>MOODY Hannah</v>
      </c>
      <c r="E448" s="467" t="str">
        <f t="shared" ca="1" si="248"/>
        <v>C'field</v>
      </c>
      <c r="F448" s="466"/>
      <c r="G448" s="476"/>
      <c r="H448" s="477">
        <v>5</v>
      </c>
      <c r="I448" s="477">
        <f t="shared" ca="1" si="249"/>
        <v>11</v>
      </c>
      <c r="J448" s="467" t="str">
        <f ca="1">IFERROR(HLOOKUP(I448,Declarations!$D$2:$S$102,$A444,FALSE),"")</f>
        <v>PROCTOR Alicia</v>
      </c>
      <c r="K448" s="467" t="str">
        <f t="shared" ca="1" si="245"/>
        <v>C'field</v>
      </c>
      <c r="N448" s="478"/>
      <c r="P448" s="468">
        <f ca="1">IFERROR(IF(OR(D448=0,D448="-",D448="",D448=" ",D448=" ",D448="Athlete"),"",IF($A450&gt;0,VLOOKUP(D448,female_reg,3,FALSE)-C448*10,VLOOKUP(D448,male_reg,3,FALSE)-C448*10)),2)</f>
        <v>1</v>
      </c>
      <c r="Q448" s="468">
        <f ca="1">IFERROR(IF(OR(J448=0,J448="-",J448=" ",J448="",J448=" ",J448="Athlete"),"",IF($A450&gt;0,VLOOKUP(J448,female_reg,3,FALSE)-C448*10,VLOOKUP(J448,male_reg,3,FALSE)-C448*10)),2)</f>
        <v>1</v>
      </c>
      <c r="T448" s="468">
        <f t="shared" ca="1" si="216"/>
        <v>3</v>
      </c>
      <c r="U448" s="468">
        <f t="shared" ca="1" si="217"/>
        <v>3</v>
      </c>
      <c r="V448" s="467" t="str">
        <f t="shared" ca="1" si="246"/>
        <v>MOODY HannahC'field</v>
      </c>
      <c r="W448" s="467" t="str">
        <f t="shared" ca="1" si="247"/>
        <v>PROCTOR AliciaC'field</v>
      </c>
      <c r="Z448" s="467">
        <f t="shared" ca="1" si="218"/>
        <v>4</v>
      </c>
      <c r="AA448" s="467">
        <f t="shared" ca="1" si="219"/>
        <v>4</v>
      </c>
    </row>
    <row r="449" spans="1:27" x14ac:dyDescent="0.35">
      <c r="A449" s="118">
        <f ca="1">IFERROR(VLOOKUP(A442,standards,6,FALSE)+0.01,"-")</f>
        <v>2.21</v>
      </c>
      <c r="B449" s="477">
        <v>6</v>
      </c>
      <c r="C449" s="477" t="str">
        <f>IFERROR(IF(B449&gt;MatchDay!$U$2,"",VLOOKUP($A442,timetables,MatchDay!$U$4+B449-1,FALSE)),0)</f>
        <v/>
      </c>
      <c r="D449" s="467" t="str">
        <f>IFERROR(HLOOKUP(C449,Declarations!$D$2:$S$102,A444,FALSE),"")</f>
        <v/>
      </c>
      <c r="E449" s="467" t="str">
        <f t="shared" si="248"/>
        <v/>
      </c>
      <c r="F449" s="466"/>
      <c r="G449" s="476"/>
      <c r="H449" s="477">
        <v>6</v>
      </c>
      <c r="I449" s="477" t="str">
        <f t="shared" si="249"/>
        <v/>
      </c>
      <c r="J449" s="467" t="str">
        <f>IFERROR(HLOOKUP(I449,Declarations!$D$2:$S$102,$A444,FALSE),"")</f>
        <v/>
      </c>
      <c r="K449" s="467" t="str">
        <f t="shared" si="245"/>
        <v/>
      </c>
      <c r="N449" s="478"/>
      <c r="P449" s="468" t="str">
        <f>IFERROR(IF(OR(D449=0,D449="-",D449="",D449=" ",D449=" ",D449="Athlete"),"",IF($A450&gt;0,VLOOKUP(D449,female_reg,3,FALSE)-C449*10,VLOOKUP(D449,male_reg,3,FALSE)-C449*10)),2)</f>
        <v/>
      </c>
      <c r="Q449" s="468" t="str">
        <f>IFERROR(IF(OR(J449=0,J449="-",J449=" ",J449="",J449=" ",J449="Athlete"),"",IF($A450&gt;0,VLOOKUP(J449,female_reg,3,FALSE)-C449*10,VLOOKUP(J449,male_reg,3,FALSE)-C449*10)),2)</f>
        <v/>
      </c>
      <c r="T449" s="468">
        <f t="shared" si="216"/>
        <v>0</v>
      </c>
      <c r="U449" s="468">
        <f t="shared" si="217"/>
        <v>0</v>
      </c>
      <c r="V449" s="467" t="str">
        <f t="shared" si="246"/>
        <v>X</v>
      </c>
      <c r="W449" s="467" t="str">
        <f t="shared" si="247"/>
        <v>X</v>
      </c>
      <c r="Z449" s="467">
        <f t="shared" si="218"/>
        <v>0</v>
      </c>
      <c r="AA449" s="467">
        <f t="shared" si="219"/>
        <v>0</v>
      </c>
    </row>
    <row r="450" spans="1:27" x14ac:dyDescent="0.35">
      <c r="A450" s="479">
        <f ca="1">IFERROR(SEARCH("Girls",B442),0)</f>
        <v>16</v>
      </c>
      <c r="B450" s="477">
        <v>7</v>
      </c>
      <c r="C450" s="477" t="str">
        <f>IFERROR(IF(B450&gt;MatchDay!$U$2,"",VLOOKUP($A442,timetables,MatchDay!$U$4+B450-1,FALSE)),0)</f>
        <v/>
      </c>
      <c r="D450" s="467" t="str">
        <f>IFERROR(HLOOKUP(C450,Declarations!$D$2:$S$102,A444,FALSE),"")</f>
        <v/>
      </c>
      <c r="E450" s="467" t="str">
        <f t="shared" si="248"/>
        <v/>
      </c>
      <c r="F450" s="466"/>
      <c r="G450" s="476"/>
      <c r="H450" s="477">
        <v>7</v>
      </c>
      <c r="I450" s="477" t="str">
        <f t="shared" si="249"/>
        <v/>
      </c>
      <c r="J450" s="467" t="str">
        <f>IFERROR(HLOOKUP(I450,Declarations!$D$2:$S$102,$A444,FALSE),"")</f>
        <v/>
      </c>
      <c r="K450" s="467" t="str">
        <f t="shared" si="245"/>
        <v/>
      </c>
      <c r="N450" s="478"/>
      <c r="P450" s="468" t="str">
        <f>IFERROR(IF(OR(D450=0,D450="-",D450="",D450=" ",D450=" ",D450="Athlete"),"",IF($A450&gt;0,VLOOKUP(D450,female_reg,3,FALSE)-C450*10,VLOOKUP(D450,male_reg,3,FALSE)-C450*10)),2)</f>
        <v/>
      </c>
      <c r="Q450" s="468" t="str">
        <f>IFERROR(IF(OR(J450=0,J450="-",J450=" ",J450="",J450=" ",J450="Athlete"),"",IF($A450&gt;0,VLOOKUP(J450,female_reg,3,FALSE)-C450*10,VLOOKUP(J450,male_reg,3,FALSE)-C450*10)),2)</f>
        <v/>
      </c>
      <c r="T450" s="468">
        <f t="shared" si="216"/>
        <v>0</v>
      </c>
      <c r="U450" s="468">
        <f t="shared" si="217"/>
        <v>0</v>
      </c>
      <c r="V450" s="467" t="str">
        <f t="shared" si="246"/>
        <v>X</v>
      </c>
      <c r="W450" s="467" t="str">
        <f t="shared" si="247"/>
        <v>X</v>
      </c>
      <c r="Z450" s="467">
        <f t="shared" si="218"/>
        <v>0</v>
      </c>
      <c r="AA450" s="467">
        <f t="shared" si="219"/>
        <v>0</v>
      </c>
    </row>
    <row r="451" spans="1:27" x14ac:dyDescent="0.35">
      <c r="A451" s="116">
        <f ca="1">IFERROR(VLOOKUP(A442,records,5,FALSE),"")</f>
        <v>3.42</v>
      </c>
      <c r="B451" s="477">
        <v>8</v>
      </c>
      <c r="C451" s="477" t="str">
        <f>IFERROR(IF(B451&gt;MatchDay!$U$2,"",VLOOKUP($A442,timetables,MatchDay!$U$4+B451-1,FALSE)),0)</f>
        <v/>
      </c>
      <c r="D451" s="467" t="str">
        <f>IFERROR(HLOOKUP(C451,Declarations!$D$2:$S$102,A444,FALSE),"")</f>
        <v/>
      </c>
      <c r="E451" s="467" t="str">
        <f t="shared" si="248"/>
        <v/>
      </c>
      <c r="F451" s="466"/>
      <c r="G451" s="476"/>
      <c r="H451" s="477">
        <v>8</v>
      </c>
      <c r="I451" s="477" t="str">
        <f t="shared" si="249"/>
        <v/>
      </c>
      <c r="J451" s="467" t="str">
        <f>IFERROR(HLOOKUP(I451,Declarations!$D$2:$S$102,$A444,FALSE),"")</f>
        <v/>
      </c>
      <c r="K451" s="467" t="str">
        <f t="shared" si="245"/>
        <v/>
      </c>
      <c r="N451" s="478"/>
      <c r="P451" s="468" t="str">
        <f>IFERROR(IF(OR(D451=0,D451="-",D451="",D451=" ",D451=" ",D451="Athlete"),"",IF($A450&gt;0,VLOOKUP(D451,female_reg,3,FALSE)-C451*10,VLOOKUP(D451,male_reg,3,FALSE)-C451*10)),2)</f>
        <v/>
      </c>
      <c r="Q451" s="468" t="str">
        <f>IFERROR(IF(OR(J451=0,J451="-",J451=" ",J451="",J451=" ",J451="Athlete"),"",IF($A450&gt;0,VLOOKUP(J451,female_reg,3,FALSE)-C451*10,VLOOKUP(J451,male_reg,3,FALSE)-C451*10)),2)</f>
        <v/>
      </c>
      <c r="T451" s="468">
        <f t="shared" si="216"/>
        <v>0</v>
      </c>
      <c r="U451" s="468">
        <f t="shared" si="217"/>
        <v>0</v>
      </c>
      <c r="V451" s="467" t="str">
        <f t="shared" si="246"/>
        <v>X</v>
      </c>
      <c r="W451" s="467" t="str">
        <f t="shared" si="247"/>
        <v>X</v>
      </c>
      <c r="Z451" s="467">
        <f t="shared" si="218"/>
        <v>0</v>
      </c>
      <c r="AA451" s="467">
        <f t="shared" si="219"/>
        <v>0</v>
      </c>
    </row>
    <row r="452" spans="1:27" x14ac:dyDescent="0.35">
      <c r="P452" s="468" t="str">
        <f>IFERROR(IF(OR(D452=0,D452="-",D452="",D452=" ",D452=" ",D452="Athlete"),"",IF($A450&gt;0,VLOOKUP(D452,female_reg,3,FALSE)-C452*10,VLOOKUP(D452,male_reg,3,FALSE)-C452*10)),"X")</f>
        <v/>
      </c>
      <c r="Q452" s="468" t="str">
        <f>IFERROR(IF(OR(J452=0,J452="-",J452=" ",J452="",J452=" ",J452="Athlete"),"",IF($A450&gt;0,VLOOKUP(J452,female_reg,3,FALSE)-C452*10,VLOOKUP(J452,male_reg,3,FALSE)-C452*10)),"X")</f>
        <v/>
      </c>
      <c r="T452" s="468">
        <f t="shared" ref="T452:T515" ca="1" si="250">IFERROR(IF(V452="X",0,COUNTIF($V$4:$W$573,V452)),0)</f>
        <v>0</v>
      </c>
      <c r="U452" s="468">
        <f t="shared" ref="U452:U515" ca="1" si="251">IFERROR(IF(W452="X",0,COUNTIF($V$4:$W$573,W452)),0)</f>
        <v>0</v>
      </c>
      <c r="Z452" s="467">
        <f t="shared" ref="Z452:Z515" ca="1" si="252">IF(V452="X",0,COUNTIF($V$4:$Y$638,V452))</f>
        <v>0</v>
      </c>
      <c r="AA452" s="467">
        <f t="shared" ref="AA452:AA515" ca="1" si="253">IF(W452="X",0,COUNTIF($V$4:$Y$638,W452))</f>
        <v>0</v>
      </c>
    </row>
    <row r="453" spans="1:27" x14ac:dyDescent="0.35">
      <c r="A453" s="111" t="str">
        <f ca="1">IFERROR(INDIRECT(CONCATENATE("'Timetables'!A"&amp;A456)),"")</f>
        <v>LFD05</v>
      </c>
      <c r="B453" s="469" t="str">
        <f ca="1">IFERROR(VLOOKUP(A453,timetables,2,FALSE)&amp;" "&amp;VLOOKUP(A453,timetables,3,FALSE)&amp;" A","")</f>
        <v>Discus U15 Girls A</v>
      </c>
      <c r="C453" s="469"/>
      <c r="E453" s="470" t="str">
        <f ca="1">"Starts "&amp;TEXT(VLOOKUP(A453,timetables,7-MatchDay!$U$7,FALSE),"hh:mm")</f>
        <v>Starts 13:10</v>
      </c>
      <c r="F453" s="471"/>
      <c r="H453" s="472" t="str">
        <f ca="1">IFERROR("Rec: "&amp;TEXT(VLOOKUP(A453,records,5,FALSE),"#0.00")&amp;"m, "&amp;VLOOKUP(A453,records,3,FALSE)&amp;", "&amp;VLOOKUP(A453,records,4,FALSE)&amp;", "&amp;VLOOKUP(A453,records,8,FALSE),"")</f>
        <v>Rec: 39.94m, Sophie Mace, Walton AC, 2013</v>
      </c>
      <c r="K453" s="473"/>
      <c r="L453" s="474"/>
      <c r="M453" s="467"/>
      <c r="P453" s="468" t="str">
        <f>IFERROR(IF(OR(D453=0,D453="-",D453="",D453=" ",D453=" ",D453="Athlete"),"",IF($A461&gt;0,VLOOKUP(D453,female_reg,3,FALSE)-C453*10,VLOOKUP(D453,male_reg,3,FALSE)-C453*10)),"X")</f>
        <v/>
      </c>
      <c r="Q453" s="468" t="str">
        <f>IFERROR(IF(OR(J453=0,J453="-",J453=" ",J453="",J453=" ",J453="Athlete"),"",IF($A461&gt;0,VLOOKUP(J453,female_reg,3,FALSE)-C453*10,VLOOKUP(J453,male_reg,3,FALSE)-C453*10)),"X")</f>
        <v/>
      </c>
      <c r="T453" s="468">
        <f t="shared" ca="1" si="250"/>
        <v>0</v>
      </c>
      <c r="U453" s="468">
        <f t="shared" ca="1" si="251"/>
        <v>0</v>
      </c>
      <c r="Z453" s="467">
        <f t="shared" ca="1" si="252"/>
        <v>0</v>
      </c>
      <c r="AA453" s="467">
        <f t="shared" ca="1" si="253"/>
        <v>0</v>
      </c>
    </row>
    <row r="454" spans="1:27" x14ac:dyDescent="0.35">
      <c r="A454" s="85" t="str">
        <f ca="1">MID(A453,2,3)</f>
        <v>FD0</v>
      </c>
      <c r="B454" s="9" t="s">
        <v>163</v>
      </c>
      <c r="C454" s="9" t="s">
        <v>183</v>
      </c>
      <c r="D454" s="46" t="s">
        <v>227</v>
      </c>
      <c r="E454" s="46" t="s">
        <v>228</v>
      </c>
      <c r="F454" s="475"/>
      <c r="G454" s="46"/>
      <c r="H454" s="9" t="s">
        <v>163</v>
      </c>
      <c r="I454" s="9" t="s">
        <v>183</v>
      </c>
      <c r="J454" s="46" t="s">
        <v>227</v>
      </c>
      <c r="K454" s="46" t="s">
        <v>228</v>
      </c>
      <c r="L454" s="475"/>
      <c r="M454" s="475"/>
      <c r="N454" s="52"/>
      <c r="P454" s="468" t="str">
        <f>IFERROR(IF(OR(D454=0,D454="-",D454="",D454=" ",D454=" ",D454="Athlete"),"",IF($A461&gt;0,VLOOKUP(D454,female_reg,3,FALSE)-C454*10,VLOOKUP(D454,male_reg,3,FALSE)-C454*10)),"X")</f>
        <v/>
      </c>
      <c r="Q454" s="468" t="str">
        <f>IFERROR(IF(OR(J454=0,J454="-",J454=" ",J454="",J454=" ",J454="Athlete"),"",IF($A461&gt;0,VLOOKUP(J454,female_reg,3,FALSE)-C454*10,VLOOKUP(J454,male_reg,3,FALSE)-C454*10)),"X")</f>
        <v/>
      </c>
      <c r="T454" s="468">
        <f t="shared" ca="1" si="250"/>
        <v>0</v>
      </c>
      <c r="U454" s="468">
        <f t="shared" ca="1" si="251"/>
        <v>0</v>
      </c>
      <c r="Z454" s="467">
        <f t="shared" ca="1" si="252"/>
        <v>0</v>
      </c>
      <c r="AA454" s="467">
        <f t="shared" ca="1" si="253"/>
        <v>0</v>
      </c>
    </row>
    <row r="455" spans="1:27" x14ac:dyDescent="0.35">
      <c r="A455" s="181">
        <f ca="1">IFERROR(VLOOKUP(A453,Timetables!$A:$E,5,FALSE)-1,"")</f>
        <v>14</v>
      </c>
      <c r="B455" s="477">
        <v>1</v>
      </c>
      <c r="C455" s="477">
        <f ca="1">IFERROR(IF(B455&gt;MatchDay!$U$2,"-",VLOOKUP(A453,timetables,MatchDay!$U$4,FALSE)),0)</f>
        <v>3</v>
      </c>
      <c r="D455" s="467" t="str">
        <f ca="1">IFERROR(HLOOKUP(C455,Declarations!$D$2:$S$102,A455,FALSE),"")</f>
        <v>BROOKS Carmen</v>
      </c>
      <c r="E455" s="467" t="str">
        <f ca="1">IFERROR(VLOOKUP(C455,teamlookup,5,FALSE),"")</f>
        <v>York</v>
      </c>
      <c r="F455" s="466"/>
      <c r="G455" s="476"/>
      <c r="H455" s="477">
        <v>1</v>
      </c>
      <c r="I455" s="477">
        <f ca="1">IFERROR(C455*11,"")</f>
        <v>33</v>
      </c>
      <c r="J455" s="467" t="str">
        <f ca="1">IFERROR(HLOOKUP(I455,Declarations!$D$2:$S$102,$A455,FALSE),"")</f>
        <v>LEE Isabel</v>
      </c>
      <c r="K455" s="467" t="str">
        <f t="shared" ref="K455:K462" ca="1" si="254">IFERROR(VLOOKUP(I455,teamlookup,5,FALSE),"")</f>
        <v>York</v>
      </c>
      <c r="N455" s="478"/>
      <c r="P455" s="468">
        <f ca="1">IFERROR(IF(OR(D455=0,D455="-",D455="",D455=" ",D455=" ",D455="Athlete"),"",IF($A461&gt;0,VLOOKUP(D455,female_reg,3,FALSE)-C455*10,VLOOKUP(D455,male_reg,3,FALSE)-C455*10)),2)</f>
        <v>1</v>
      </c>
      <c r="Q455" s="468">
        <f ca="1">IFERROR(IF(OR(J455=0,J455="-",J455=" ",J455="",J455=" ",J455="Athlete"),"",IF($A461&gt;0,VLOOKUP(J455,female_reg,3,FALSE)-C455*10,VLOOKUP(J455,male_reg,3,FALSE)-C455*10)),2)</f>
        <v>1</v>
      </c>
      <c r="T455" s="468">
        <f t="shared" ca="1" si="250"/>
        <v>3</v>
      </c>
      <c r="U455" s="468">
        <f t="shared" ca="1" si="251"/>
        <v>3</v>
      </c>
      <c r="V455" s="467" t="str">
        <f t="shared" ref="V455:V462" ca="1" si="255">IFERROR(IF(OR(D455=0,D455="-",D455="",D455=" ",D455=" "),"X",D455&amp;E455),"X")</f>
        <v>BROOKS CarmenYork</v>
      </c>
      <c r="W455" s="467" t="str">
        <f t="shared" ref="W455:W462" ca="1" si="256">IFERROR(IF(OR(J455=0,J455="-",J455="",J455=" ",J455=" "),"X",J455&amp;K455),"X")</f>
        <v>LEE IsabelYork</v>
      </c>
      <c r="Z455" s="467">
        <f t="shared" ca="1" si="252"/>
        <v>4</v>
      </c>
      <c r="AA455" s="467">
        <f t="shared" ca="1" si="253"/>
        <v>4</v>
      </c>
    </row>
    <row r="456" spans="1:27" x14ac:dyDescent="0.35">
      <c r="A456" s="468">
        <f>A445+1</f>
        <v>50</v>
      </c>
      <c r="B456" s="477">
        <v>2</v>
      </c>
      <c r="C456" s="477">
        <f ca="1">IFERROR(IF(B456&gt;MatchDay!$U$2,"-",VLOOKUP(A453,timetables,MatchDay!$U$4+1,FALSE)),0)</f>
        <v>5</v>
      </c>
      <c r="D456" s="467" t="str">
        <f ca="1">IFERROR(HLOOKUP(C456,Declarations!$D$2:$S$102,A455,FALSE),"")</f>
        <v>THIRKETTLE Charlotte</v>
      </c>
      <c r="E456" s="467" t="str">
        <f t="shared" ref="E456:E462" ca="1" si="257">IFERROR(VLOOKUP(C456,teamlookup,5,FALSE),"")</f>
        <v>Scun</v>
      </c>
      <c r="F456" s="466"/>
      <c r="G456" s="476"/>
      <c r="H456" s="477">
        <v>2</v>
      </c>
      <c r="I456" s="477">
        <f t="shared" ref="I456:I462" ca="1" si="258">IFERROR(C456*11,"")</f>
        <v>55</v>
      </c>
      <c r="J456" s="467" t="str">
        <f ca="1">IFERROR(HLOOKUP(I456,Declarations!$D$2:$S$102,$A455,FALSE),"")</f>
        <v>-</v>
      </c>
      <c r="K456" s="467" t="str">
        <f t="shared" ca="1" si="254"/>
        <v>Scun</v>
      </c>
      <c r="N456" s="478"/>
      <c r="P456" s="468">
        <f ca="1">IFERROR(IF(OR(D456=0,D456="-",D456="",D456=" ",D456=" ",D456="Athlete"),"",IF($A461&gt;0,VLOOKUP(D456,female_reg,3,FALSE)-C456*10,VLOOKUP(D456,male_reg,3,FALSE)-C456*10)),2)</f>
        <v>1</v>
      </c>
      <c r="Q456" s="468" t="str">
        <f ca="1">IFERROR(IF(OR(J456=0,J456="-",J456=" ",J456="",J456=" ",J456="Athlete"),"",IF($A461&gt;0,VLOOKUP(J456,female_reg,3,FALSE)-C456*10,VLOOKUP(J456,male_reg,3,FALSE)-C456*10)),2)</f>
        <v/>
      </c>
      <c r="T456" s="468">
        <f t="shared" ca="1" si="250"/>
        <v>2</v>
      </c>
      <c r="U456" s="468">
        <f t="shared" ca="1" si="251"/>
        <v>0</v>
      </c>
      <c r="V456" s="467" t="str">
        <f t="shared" ca="1" si="255"/>
        <v>THIRKETTLE CharlotteScun</v>
      </c>
      <c r="W456" s="467" t="str">
        <f t="shared" ca="1" si="256"/>
        <v>X</v>
      </c>
      <c r="Z456" s="467">
        <f t="shared" ca="1" si="252"/>
        <v>2</v>
      </c>
      <c r="AA456" s="467">
        <f t="shared" ca="1" si="253"/>
        <v>0</v>
      </c>
    </row>
    <row r="457" spans="1:27" x14ac:dyDescent="0.35">
      <c r="A457" s="118" t="str">
        <f ca="1">IFERROR(VLOOKUP(A453,standards,3,FALSE)+0.01,"-")</f>
        <v>-</v>
      </c>
      <c r="B457" s="477">
        <v>3</v>
      </c>
      <c r="C457" s="477">
        <f ca="1">IFERROR(IF(B457&gt;MatchDay!$U$2,"-",VLOOKUP(A453,timetables,MatchDay!$U$4+2,FALSE)),0)</f>
        <v>2</v>
      </c>
      <c r="D457" s="467" t="str">
        <f ca="1">IFERROR(HLOOKUP(C457,Declarations!$D$2:$S$102,A455,FALSE),"")</f>
        <v>KYNOCH Ella</v>
      </c>
      <c r="E457" s="467" t="str">
        <f t="shared" ca="1" si="257"/>
        <v>Sheff+D</v>
      </c>
      <c r="F457" s="466"/>
      <c r="G457" s="476"/>
      <c r="H457" s="477">
        <v>3</v>
      </c>
      <c r="I457" s="477">
        <f t="shared" ca="1" si="258"/>
        <v>22</v>
      </c>
      <c r="J457" s="467" t="str">
        <f ca="1">IFERROR(HLOOKUP(I457,Declarations!$D$2:$S$102,$A455,FALSE),"")</f>
        <v>JELONKIEWICZ Viktoria</v>
      </c>
      <c r="K457" s="467" t="str">
        <f t="shared" ca="1" si="254"/>
        <v>Sheff+D</v>
      </c>
      <c r="N457" s="478"/>
      <c r="P457" s="468">
        <f ca="1">IFERROR(IF(OR(D457=0,D457="-",D457="",D457=" ",D457=" ",D457="Athlete"),"",IF($A461&gt;0,VLOOKUP(D457,female_reg,3,FALSE)-C457*10,VLOOKUP(D457,male_reg,3,FALSE)-C457*10)),2)</f>
        <v>1</v>
      </c>
      <c r="Q457" s="468">
        <f ca="1">IFERROR(IF(OR(J457=0,J457="-",J457=" ",J457="",J457=" ",J457="Athlete"),"",IF($A461&gt;0,VLOOKUP(J457,female_reg,3,FALSE)-C457*10,VLOOKUP(J457,male_reg,3,FALSE)-C457*10)),2)</f>
        <v>1</v>
      </c>
      <c r="T457" s="468">
        <f t="shared" ca="1" si="250"/>
        <v>3</v>
      </c>
      <c r="U457" s="468">
        <f t="shared" ca="1" si="251"/>
        <v>2</v>
      </c>
      <c r="V457" s="467" t="str">
        <f t="shared" ca="1" si="255"/>
        <v>KYNOCH EllaSheff+D</v>
      </c>
      <c r="W457" s="467" t="str">
        <f t="shared" ca="1" si="256"/>
        <v>JELONKIEWICZ ViktoriaSheff+D</v>
      </c>
      <c r="Z457" s="467">
        <f t="shared" ca="1" si="252"/>
        <v>3</v>
      </c>
      <c r="AA457" s="467">
        <f t="shared" ca="1" si="253"/>
        <v>3</v>
      </c>
    </row>
    <row r="458" spans="1:27" x14ac:dyDescent="0.35">
      <c r="A458" s="118" t="str">
        <f ca="1">IFERROR(VLOOKUP(A453,standards,4,FALSE)+0.01,"-")</f>
        <v>-</v>
      </c>
      <c r="B458" s="477">
        <v>4</v>
      </c>
      <c r="C458" s="477">
        <f ca="1">IFERROR(IF(B458&gt;MatchDay!$U$2,"-",VLOOKUP(A453,timetables,MatchDay!$U$4+3,FALSE)),0)</f>
        <v>4</v>
      </c>
      <c r="D458" s="467" t="str">
        <f ca="1">IFERROR(HLOOKUP(C458,Declarations!$D$2:$S$102,A455,FALSE),"")</f>
        <v>DORAN Bethany</v>
      </c>
      <c r="E458" s="467" t="str">
        <f t="shared" ca="1" si="257"/>
        <v>M'bro</v>
      </c>
      <c r="F458" s="466"/>
      <c r="G458" s="476"/>
      <c r="H458" s="477">
        <v>4</v>
      </c>
      <c r="I458" s="477">
        <f t="shared" ca="1" si="258"/>
        <v>44</v>
      </c>
      <c r="J458" s="467" t="str">
        <f ca="1">IFERROR(HLOOKUP(I458,Declarations!$D$2:$S$102,$A455,FALSE),"")</f>
        <v>MANNION Grace</v>
      </c>
      <c r="K458" s="467" t="str">
        <f t="shared" ca="1" si="254"/>
        <v>M'bro</v>
      </c>
      <c r="N458" s="478"/>
      <c r="P458" s="468">
        <f ca="1">IFERROR(IF(OR(D458=0,D458="-",D458="",D458=" ",D458=" ",D458="Athlete"),"",IF($A461&gt;0,VLOOKUP(D458,female_reg,3,FALSE)-C458*10,VLOOKUP(D458,male_reg,3,FALSE)-C458*10)),2)</f>
        <v>1</v>
      </c>
      <c r="Q458" s="468">
        <f ca="1">IFERROR(IF(OR(J458=0,J458="-",J458=" ",J458="",J458=" ",J458="Athlete"),"",IF($A461&gt;0,VLOOKUP(J458,female_reg,3,FALSE)-C458*10,VLOOKUP(J458,male_reg,3,FALSE)-C458*10)),2)</f>
        <v>1</v>
      </c>
      <c r="T458" s="468">
        <f t="shared" ca="1" si="250"/>
        <v>3</v>
      </c>
      <c r="U458" s="468">
        <f t="shared" ca="1" si="251"/>
        <v>3</v>
      </c>
      <c r="V458" s="467" t="str">
        <f t="shared" ca="1" si="255"/>
        <v>DORAN BethanyM'bro</v>
      </c>
      <c r="W458" s="467" t="str">
        <f t="shared" ca="1" si="256"/>
        <v>MANNION GraceM'bro</v>
      </c>
      <c r="Z458" s="467">
        <f t="shared" ca="1" si="252"/>
        <v>3</v>
      </c>
      <c r="AA458" s="467">
        <f t="shared" ca="1" si="253"/>
        <v>3</v>
      </c>
    </row>
    <row r="459" spans="1:27" x14ac:dyDescent="0.35">
      <c r="A459" s="118" t="str">
        <f ca="1">IFERROR(VLOOKUP(A453,standards,5,FALSE)+0.01,"-")</f>
        <v>-</v>
      </c>
      <c r="B459" s="477">
        <v>5</v>
      </c>
      <c r="C459" s="477">
        <f ca="1">IFERROR(IF(B459&gt;MatchDay!$U$2,"-",VLOOKUP(A453,timetables,MatchDay!$U$4+4,FALSE)),0)</f>
        <v>1</v>
      </c>
      <c r="D459" s="467" t="str">
        <f ca="1">IFERROR(HLOOKUP(C459,Declarations!$D$2:$S$102,A455,FALSE),"")</f>
        <v>LABAN Ella</v>
      </c>
      <c r="E459" s="467" t="str">
        <f t="shared" ca="1" si="257"/>
        <v>C'field</v>
      </c>
      <c r="F459" s="466"/>
      <c r="G459" s="476"/>
      <c r="H459" s="477">
        <v>5</v>
      </c>
      <c r="I459" s="477">
        <f t="shared" ca="1" si="258"/>
        <v>11</v>
      </c>
      <c r="J459" s="467" t="str">
        <f ca="1">IFERROR(HLOOKUP(I459,Declarations!$D$2:$S$102,$A455,FALSE),"")</f>
        <v>HIGHAM Ruby</v>
      </c>
      <c r="K459" s="467" t="str">
        <f t="shared" ca="1" si="254"/>
        <v>C'field</v>
      </c>
      <c r="N459" s="478"/>
      <c r="P459" s="468">
        <f ca="1">IFERROR(IF(OR(D459=0,D459="-",D459="",D459=" ",D459=" ",D459="Athlete"),"",IF($A461&gt;0,VLOOKUP(D459,female_reg,3,FALSE)-C459*10,VLOOKUP(D459,male_reg,3,FALSE)-C459*10)),2)</f>
        <v>1</v>
      </c>
      <c r="Q459" s="468">
        <f ca="1">IFERROR(IF(OR(J459=0,J459="-",J459=" ",J459="",J459=" ",J459="Athlete"),"",IF($A461&gt;0,VLOOKUP(J459,female_reg,3,FALSE)-C459*10,VLOOKUP(J459,male_reg,3,FALSE)-C459*10)),2)</f>
        <v>1</v>
      </c>
      <c r="T459" s="468">
        <f t="shared" ca="1" si="250"/>
        <v>3</v>
      </c>
      <c r="U459" s="468">
        <f t="shared" ca="1" si="251"/>
        <v>3</v>
      </c>
      <c r="V459" s="467" t="str">
        <f t="shared" ca="1" si="255"/>
        <v>LABAN EllaC'field</v>
      </c>
      <c r="W459" s="467" t="str">
        <f t="shared" ca="1" si="256"/>
        <v>HIGHAM RubyC'field</v>
      </c>
      <c r="Z459" s="467">
        <f t="shared" ca="1" si="252"/>
        <v>4</v>
      </c>
      <c r="AA459" s="467">
        <f t="shared" ca="1" si="253"/>
        <v>3</v>
      </c>
    </row>
    <row r="460" spans="1:27" x14ac:dyDescent="0.35">
      <c r="A460" s="118" t="str">
        <f ca="1">IFERROR(VLOOKUP(A453,standards,6,FALSE)+0.01,"-")</f>
        <v>-</v>
      </c>
      <c r="B460" s="477">
        <v>6</v>
      </c>
      <c r="C460" s="477" t="str">
        <f>IFERROR(IF(B460&gt;MatchDay!$U$2,"-",VLOOKUP(A453,timetables,MatchDay!$U$4+5,FALSE)),0)</f>
        <v>-</v>
      </c>
      <c r="D460" s="467" t="str">
        <f>IFERROR(HLOOKUP(C460,Declarations!$D$2:$S$102,A455,FALSE),"")</f>
        <v/>
      </c>
      <c r="E460" s="467" t="str">
        <f t="shared" si="257"/>
        <v/>
      </c>
      <c r="F460" s="466"/>
      <c r="G460" s="476"/>
      <c r="H460" s="477">
        <v>6</v>
      </c>
      <c r="I460" s="477" t="str">
        <f t="shared" si="258"/>
        <v/>
      </c>
      <c r="J460" s="467" t="str">
        <f>IFERROR(HLOOKUP(I460,Declarations!$D$2:$S$102,$A455,FALSE),"")</f>
        <v/>
      </c>
      <c r="K460" s="467" t="str">
        <f t="shared" si="254"/>
        <v/>
      </c>
      <c r="N460" s="478"/>
      <c r="P460" s="468" t="str">
        <f>IFERROR(IF(OR(D460=0,D460="-",D460="",D460=" ",D460=" ",D460="Athlete"),"",IF($A461&gt;0,VLOOKUP(D460,female_reg,3,FALSE)-C460*10,VLOOKUP(D460,male_reg,3,FALSE)-C460*10)),2)</f>
        <v/>
      </c>
      <c r="Q460" s="468" t="str">
        <f>IFERROR(IF(OR(J460=0,J460="-",J460=" ",J460="",J460=" ",J460="Athlete"),"",IF($A461&gt;0,VLOOKUP(J460,female_reg,3,FALSE)-C460*10,VLOOKUP(J460,male_reg,3,FALSE)-C460*10)),2)</f>
        <v/>
      </c>
      <c r="T460" s="468">
        <f t="shared" si="250"/>
        <v>0</v>
      </c>
      <c r="U460" s="468">
        <f t="shared" si="251"/>
        <v>0</v>
      </c>
      <c r="V460" s="467" t="str">
        <f t="shared" si="255"/>
        <v>X</v>
      </c>
      <c r="W460" s="467" t="str">
        <f t="shared" si="256"/>
        <v>X</v>
      </c>
      <c r="Z460" s="467">
        <f t="shared" si="252"/>
        <v>0</v>
      </c>
      <c r="AA460" s="467">
        <f t="shared" si="253"/>
        <v>0</v>
      </c>
    </row>
    <row r="461" spans="1:27" x14ac:dyDescent="0.35">
      <c r="A461" s="479">
        <f ca="1">IFERROR(SEARCH("Girls",B453),0)</f>
        <v>12</v>
      </c>
      <c r="B461" s="477">
        <v>7</v>
      </c>
      <c r="C461" s="477" t="str">
        <f>IFERROR(IF(B461&gt;MatchDay!$U$2,"-",VLOOKUP(A453,timetables,MatchDay!$U$4+6,FALSE)),0)</f>
        <v>-</v>
      </c>
      <c r="D461" s="467" t="str">
        <f>IFERROR(HLOOKUP(C461,Declarations!$D$2:$S$102,A455,FALSE),"")</f>
        <v/>
      </c>
      <c r="E461" s="467" t="str">
        <f t="shared" si="257"/>
        <v/>
      </c>
      <c r="F461" s="466"/>
      <c r="G461" s="476"/>
      <c r="H461" s="477">
        <v>7</v>
      </c>
      <c r="I461" s="477" t="str">
        <f t="shared" si="258"/>
        <v/>
      </c>
      <c r="J461" s="467" t="str">
        <f>IFERROR(HLOOKUP(I461,Declarations!$D$2:$S$102,$A455,FALSE),"")</f>
        <v/>
      </c>
      <c r="K461" s="467" t="str">
        <f t="shared" si="254"/>
        <v/>
      </c>
      <c r="N461" s="478"/>
      <c r="P461" s="468" t="str">
        <f>IFERROR(IF(OR(D461=0,D461="-",D461="",D461=" ",D461=" ",D461="Athlete"),"",IF($A461&gt;0,VLOOKUP(D461,female_reg,3,FALSE)-C461*10,VLOOKUP(D461,male_reg,3,FALSE)-C461*10)),2)</f>
        <v/>
      </c>
      <c r="Q461" s="468" t="str">
        <f>IFERROR(IF(OR(J461=0,J461="-",J461=" ",J461="",J461=" ",J461="Athlete"),"",IF($A461&gt;0,VLOOKUP(J461,female_reg,3,FALSE)-C461*10,VLOOKUP(J461,male_reg,3,FALSE)-C461*10)),2)</f>
        <v/>
      </c>
      <c r="T461" s="468">
        <f t="shared" si="250"/>
        <v>0</v>
      </c>
      <c r="U461" s="468">
        <f t="shared" si="251"/>
        <v>0</v>
      </c>
      <c r="V461" s="467" t="str">
        <f t="shared" si="255"/>
        <v>X</v>
      </c>
      <c r="W461" s="467" t="str">
        <f t="shared" si="256"/>
        <v>X</v>
      </c>
      <c r="Z461" s="467">
        <f t="shared" si="252"/>
        <v>0</v>
      </c>
      <c r="AA461" s="467">
        <f t="shared" si="253"/>
        <v>0</v>
      </c>
    </row>
    <row r="462" spans="1:27" x14ac:dyDescent="0.35">
      <c r="A462" s="116">
        <f ca="1">IFERROR(VLOOKUP(A453,records,5,FALSE),"")</f>
        <v>39.94</v>
      </c>
      <c r="B462" s="477">
        <v>8</v>
      </c>
      <c r="C462" s="477" t="str">
        <f>IFERROR(IF(B462&gt;MatchDay!$U$2,"-",VLOOKUP(A453,timetables,MatchDay!$U$4+7,FALSE)),0)</f>
        <v>-</v>
      </c>
      <c r="D462" s="467" t="str">
        <f>IFERROR(HLOOKUP(C462,Declarations!$D$2:$S$102,A455,FALSE),"")</f>
        <v/>
      </c>
      <c r="E462" s="467" t="str">
        <f t="shared" si="257"/>
        <v/>
      </c>
      <c r="F462" s="466"/>
      <c r="G462" s="476"/>
      <c r="H462" s="477">
        <v>8</v>
      </c>
      <c r="I462" s="477" t="str">
        <f t="shared" si="258"/>
        <v/>
      </c>
      <c r="J462" s="467" t="str">
        <f>IFERROR(HLOOKUP(I462,Declarations!$D$2:$S$102,$A455,FALSE),"")</f>
        <v/>
      </c>
      <c r="K462" s="467" t="str">
        <f t="shared" si="254"/>
        <v/>
      </c>
      <c r="N462" s="478"/>
      <c r="P462" s="468" t="str">
        <f>IFERROR(IF(OR(D462=0,D462="-",D462="",D462=" ",D462=" ",D462="Athlete"),"",IF($A461&gt;0,VLOOKUP(D462,female_reg,3,FALSE)-C462*10,VLOOKUP(D462,male_reg,3,FALSE)-C462*10)),2)</f>
        <v/>
      </c>
      <c r="Q462" s="468" t="str">
        <f>IFERROR(IF(OR(J462=0,J462="-",J462=" ",J462="",J462=" ",J462="Athlete"),"",IF($A461&gt;0,VLOOKUP(J462,female_reg,3,FALSE)-C462*10,VLOOKUP(J462,male_reg,3,FALSE)-C462*10)),2)</f>
        <v/>
      </c>
      <c r="T462" s="468">
        <f t="shared" si="250"/>
        <v>0</v>
      </c>
      <c r="U462" s="468">
        <f t="shared" si="251"/>
        <v>0</v>
      </c>
      <c r="V462" s="467" t="str">
        <f t="shared" si="255"/>
        <v>X</v>
      </c>
      <c r="W462" s="467" t="str">
        <f t="shared" si="256"/>
        <v>X</v>
      </c>
      <c r="Z462" s="467">
        <f t="shared" si="252"/>
        <v>0</v>
      </c>
      <c r="AA462" s="467">
        <f t="shared" si="253"/>
        <v>0</v>
      </c>
    </row>
    <row r="463" spans="1:27" x14ac:dyDescent="0.35">
      <c r="P463" s="468" t="str">
        <f>IFERROR(IF(OR(D463=0,D463="-",D463="",D463=" ",D463=" ",D463="Athlete"),"",IF($A461&gt;0,VLOOKUP(D463,female_reg,3,FALSE)-C463*10,VLOOKUP(D463,male_reg,3,FALSE)-C463*10)),"X")</f>
        <v/>
      </c>
      <c r="Q463" s="468" t="str">
        <f>IFERROR(IF(OR(J463=0,J463="-",J463=" ",J463="",J463=" ",J463="Athlete"),"",IF($A461&gt;0,VLOOKUP(J463,female_reg,3,FALSE)-C463*10,VLOOKUP(J463,male_reg,3,FALSE)-C463*10)),"X")</f>
        <v/>
      </c>
      <c r="T463" s="468">
        <f t="shared" ca="1" si="250"/>
        <v>0</v>
      </c>
      <c r="U463" s="468">
        <f t="shared" ca="1" si="251"/>
        <v>0</v>
      </c>
      <c r="Z463" s="467">
        <f t="shared" ca="1" si="252"/>
        <v>0</v>
      </c>
      <c r="AA463" s="467">
        <f t="shared" ca="1" si="253"/>
        <v>0</v>
      </c>
    </row>
    <row r="464" spans="1:27" x14ac:dyDescent="0.35">
      <c r="A464" s="111" t="str">
        <f ca="1">IFERROR(INDIRECT(CONCATENATE("'Timetables'!A"&amp;A467)),"")</f>
        <v>LFD06</v>
      </c>
      <c r="B464" s="469" t="str">
        <f ca="1">IFERROR(VLOOKUP(A464,timetables,2,FALSE)&amp;" "&amp;VLOOKUP(A464,timetables,3,FALSE)&amp;" A","")</f>
        <v>Shot U15 Boys A</v>
      </c>
      <c r="C464" s="469"/>
      <c r="E464" s="470" t="str">
        <f ca="1">"Starts "&amp;TEXT(VLOOKUP(A464,timetables,7-MatchDay!$U$7,FALSE),"hh:mm")</f>
        <v>Starts 13:15</v>
      </c>
      <c r="F464" s="471"/>
      <c r="H464" s="472" t="str">
        <f ca="1">IFERROR("Rec: "&amp;TEXT(VLOOKUP(A464,records,5,FALSE),"#0.00")&amp;"m, "&amp;VLOOKUP(A464,records,3,FALSE)&amp;", "&amp;VLOOKUP(A464,records,4,FALSE)&amp;", "&amp;VLOOKUP(A464,records,8,FALSE),"")</f>
        <v>Rec: 15.49m, Thomas Hanson, Cardiff AAC, 2015</v>
      </c>
      <c r="K464" s="473"/>
      <c r="L464" s="474"/>
      <c r="M464" s="467"/>
      <c r="P464" s="468" t="str">
        <f>IFERROR(IF(OR(D464=0,D464="-",D464="",D464=" ",D464=" ",D464="Athlete"),"",IF($A472&gt;0,VLOOKUP(D464,female_reg,3,FALSE)-C464*10,VLOOKUP(D464,male_reg,3,FALSE)-C464*10)),"X")</f>
        <v/>
      </c>
      <c r="Q464" s="468" t="str">
        <f>IFERROR(IF(OR(J464=0,J464="-",J464=" ",J464="",J464=" ",J464="Athlete"),"",IF($A472&gt;0,VLOOKUP(J464,female_reg,3,FALSE)-C464*10,VLOOKUP(J464,male_reg,3,FALSE)-C464*10)),"X")</f>
        <v/>
      </c>
      <c r="T464" s="468">
        <f t="shared" ca="1" si="250"/>
        <v>0</v>
      </c>
      <c r="U464" s="468">
        <f t="shared" ca="1" si="251"/>
        <v>0</v>
      </c>
      <c r="Z464" s="467">
        <f t="shared" ca="1" si="252"/>
        <v>0</v>
      </c>
      <c r="AA464" s="467">
        <f t="shared" ca="1" si="253"/>
        <v>0</v>
      </c>
    </row>
    <row r="465" spans="1:27" x14ac:dyDescent="0.35">
      <c r="A465" s="85" t="str">
        <f ca="1">MID(A464,2,3)</f>
        <v>FD0</v>
      </c>
      <c r="B465" s="9" t="s">
        <v>163</v>
      </c>
      <c r="C465" s="9" t="s">
        <v>183</v>
      </c>
      <c r="D465" s="46" t="s">
        <v>227</v>
      </c>
      <c r="E465" s="46" t="s">
        <v>228</v>
      </c>
      <c r="F465" s="475"/>
      <c r="G465" s="46"/>
      <c r="H465" s="9" t="s">
        <v>163</v>
      </c>
      <c r="I465" s="9" t="s">
        <v>183</v>
      </c>
      <c r="J465" s="46" t="s">
        <v>227</v>
      </c>
      <c r="K465" s="46" t="s">
        <v>228</v>
      </c>
      <c r="L465" s="475"/>
      <c r="M465" s="475"/>
      <c r="N465" s="52"/>
      <c r="P465" s="468" t="str">
        <f>IFERROR(IF(OR(D465=0,D465="-",D465="",D465=" ",D465=" ",D465="Athlete"),"",IF($A472&gt;0,VLOOKUP(D465,female_reg,3,FALSE)-C465*10,VLOOKUP(D465,male_reg,3,FALSE)-C465*10)),"X")</f>
        <v/>
      </c>
      <c r="Q465" s="468" t="str">
        <f>IFERROR(IF(OR(J465=0,J465="-",J465=" ",J465="",J465=" ",J465="Athlete"),"",IF($A472&gt;0,VLOOKUP(J465,female_reg,3,FALSE)-C465*10,VLOOKUP(J465,male_reg,3,FALSE)-C465*10)),"X")</f>
        <v/>
      </c>
      <c r="T465" s="468">
        <f t="shared" ca="1" si="250"/>
        <v>0</v>
      </c>
      <c r="U465" s="468">
        <f t="shared" ca="1" si="251"/>
        <v>0</v>
      </c>
      <c r="Z465" s="467">
        <f t="shared" ca="1" si="252"/>
        <v>0</v>
      </c>
      <c r="AA465" s="467">
        <f t="shared" ca="1" si="253"/>
        <v>0</v>
      </c>
    </row>
    <row r="466" spans="1:27" x14ac:dyDescent="0.35">
      <c r="A466" s="181">
        <f ca="1">IFERROR(VLOOKUP(A464,Timetables!$A:$E,5,FALSE)-1,"")</f>
        <v>67</v>
      </c>
      <c r="B466" s="477">
        <v>1</v>
      </c>
      <c r="C466" s="477">
        <f ca="1">IFERROR(IF(B466&gt;MatchDay!$U$2,"",VLOOKUP($A464,timetables,MatchDay!$U$4+B466-1,FALSE)),0)</f>
        <v>3</v>
      </c>
      <c r="D466" s="467" t="str">
        <f ca="1">IFERROR(HLOOKUP(C466,Declarations!$D$2:$S$102,A466,FALSE),"")</f>
        <v>MEIGH William</v>
      </c>
      <c r="E466" s="467" t="str">
        <f ca="1">IFERROR(VLOOKUP(C466,teamlookup,5,FALSE),"")</f>
        <v>York</v>
      </c>
      <c r="F466" s="466"/>
      <c r="G466" s="476"/>
      <c r="H466" s="477">
        <v>1</v>
      </c>
      <c r="I466" s="477">
        <f ca="1">IFERROR(C466*11,"")</f>
        <v>33</v>
      </c>
      <c r="J466" s="467" t="str">
        <f ca="1">IFERROR(HLOOKUP(I466,Declarations!$D$2:$S$102,$A466,FALSE),"")</f>
        <v>RUTTER Aaron</v>
      </c>
      <c r="K466" s="467" t="str">
        <f t="shared" ref="K466:K473" ca="1" si="259">IFERROR(VLOOKUP(I466,teamlookup,5,FALSE),"")</f>
        <v>York</v>
      </c>
      <c r="N466" s="478"/>
      <c r="P466" s="468">
        <f ca="1">IFERROR(IF(OR(D466=0,D466="-",D466="",D466=" ",D466=" ",D466="Athlete"),"",IF($A472&gt;0,VLOOKUP(D466,female_reg,3,FALSE)-C466*10,VLOOKUP(D466,male_reg,3,FALSE)-C466*10)),2)</f>
        <v>1</v>
      </c>
      <c r="Q466" s="468">
        <f ca="1">IFERROR(IF(OR(J466=0,J466="-",J466=" ",J466="",J466=" ",J466="Athlete"),"",IF($A472&gt;0,VLOOKUP(J466,female_reg,3,FALSE)-C466*10,VLOOKUP(J466,male_reg,3,FALSE)-C466*10)),2)</f>
        <v>1</v>
      </c>
      <c r="T466" s="468">
        <f t="shared" ca="1" si="250"/>
        <v>3</v>
      </c>
      <c r="U466" s="468">
        <f t="shared" ca="1" si="251"/>
        <v>2</v>
      </c>
      <c r="V466" s="467" t="str">
        <f t="shared" ref="V466:V473" ca="1" si="260">IFERROR(IF(OR(D466=0,D466="-",D466="",D466=" ",D466=" "),"X",D466&amp;E466),"X")</f>
        <v>MEIGH WilliamYork</v>
      </c>
      <c r="W466" s="467" t="str">
        <f t="shared" ref="W466:W473" ca="1" si="261">IFERROR(IF(OR(J466=0,J466="-",J466="",J466=" ",J466=" "),"X",J466&amp;K466),"X")</f>
        <v>RUTTER AaronYork</v>
      </c>
      <c r="Z466" s="467">
        <f t="shared" ca="1" si="252"/>
        <v>4</v>
      </c>
      <c r="AA466" s="467">
        <f t="shared" ca="1" si="253"/>
        <v>2</v>
      </c>
    </row>
    <row r="467" spans="1:27" x14ac:dyDescent="0.35">
      <c r="A467" s="468">
        <f>A456+1</f>
        <v>51</v>
      </c>
      <c r="B467" s="477">
        <v>2</v>
      </c>
      <c r="C467" s="477">
        <f ca="1">IFERROR(IF(B467&gt;MatchDay!$U$2,"",VLOOKUP($A464,timetables,MatchDay!$U$4+B467-1,FALSE)),0)</f>
        <v>1</v>
      </c>
      <c r="D467" s="467" t="str">
        <f ca="1">IFERROR(HLOOKUP(C467,Declarations!$D$2:$S$102,A466,FALSE),"")</f>
        <v>COOPER Malachi</v>
      </c>
      <c r="E467" s="467" t="str">
        <f t="shared" ref="E467:E473" ca="1" si="262">IFERROR(VLOOKUP(C467,teamlookup,5,FALSE),"")</f>
        <v>C'field</v>
      </c>
      <c r="F467" s="466"/>
      <c r="G467" s="476"/>
      <c r="H467" s="477">
        <v>2</v>
      </c>
      <c r="I467" s="477">
        <f t="shared" ref="I467:I473" ca="1" si="263">IFERROR(C467*11,"")</f>
        <v>11</v>
      </c>
      <c r="J467" s="467" t="str">
        <f ca="1">IFERROR(HLOOKUP(I467,Declarations!$D$2:$S$102,$A466,FALSE),"")</f>
        <v>MAZUREK Gracjan</v>
      </c>
      <c r="K467" s="467" t="str">
        <f t="shared" ca="1" si="259"/>
        <v>C'field</v>
      </c>
      <c r="N467" s="478"/>
      <c r="P467" s="468">
        <f ca="1">IFERROR(IF(OR(D467=0,D467="-",D467="",D467=" ",D467=" ",D467="Athlete"),"",IF($A472&gt;0,VLOOKUP(D467,female_reg,3,FALSE)-C467*10,VLOOKUP(D467,male_reg,3,FALSE)-C467*10)),2)</f>
        <v>1</v>
      </c>
      <c r="Q467" s="468">
        <f ca="1">IFERROR(IF(OR(J467=0,J467="-",J467=" ",J467="",J467=" ",J467="Athlete"),"",IF($A472&gt;0,VLOOKUP(J467,female_reg,3,FALSE)-C467*10,VLOOKUP(J467,male_reg,3,FALSE)-C467*10)),2)</f>
        <v>1</v>
      </c>
      <c r="T467" s="468">
        <f t="shared" ca="1" si="250"/>
        <v>3</v>
      </c>
      <c r="U467" s="468">
        <f t="shared" ca="1" si="251"/>
        <v>3</v>
      </c>
      <c r="V467" s="467" t="str">
        <f t="shared" ca="1" si="260"/>
        <v>COOPER MalachiC'field</v>
      </c>
      <c r="W467" s="467" t="str">
        <f t="shared" ca="1" si="261"/>
        <v>MAZUREK GracjanC'field</v>
      </c>
      <c r="Z467" s="467">
        <f t="shared" ca="1" si="252"/>
        <v>4</v>
      </c>
      <c r="AA467" s="467">
        <f t="shared" ca="1" si="253"/>
        <v>4</v>
      </c>
    </row>
    <row r="468" spans="1:27" x14ac:dyDescent="0.35">
      <c r="A468" s="118">
        <f ca="1">IFERROR(VLOOKUP(A464,standards,3,FALSE)+0.01,"-")</f>
        <v>12.459999999999999</v>
      </c>
      <c r="B468" s="477">
        <v>3</v>
      </c>
      <c r="C468" s="477">
        <f ca="1">IFERROR(IF(B468&gt;MatchDay!$U$2,"",VLOOKUP($A464,timetables,MatchDay!$U$4+B468-1,FALSE)),0)</f>
        <v>4</v>
      </c>
      <c r="D468" s="467" t="str">
        <f ca="1">IFERROR(HLOOKUP(C468,Declarations!$D$2:$S$102,A466,FALSE),"")</f>
        <v>IBEH Terrell</v>
      </c>
      <c r="E468" s="467" t="str">
        <f t="shared" ca="1" si="262"/>
        <v>M'bro</v>
      </c>
      <c r="F468" s="466"/>
      <c r="G468" s="476"/>
      <c r="H468" s="477">
        <v>3</v>
      </c>
      <c r="I468" s="477">
        <f t="shared" ca="1" si="263"/>
        <v>44</v>
      </c>
      <c r="J468" s="467" t="str">
        <f ca="1">IFERROR(HLOOKUP(I468,Declarations!$D$2:$S$102,$A466,FALSE),"")</f>
        <v>KAYE Charlie</v>
      </c>
      <c r="K468" s="467" t="str">
        <f t="shared" ca="1" si="259"/>
        <v>M'bro</v>
      </c>
      <c r="N468" s="478"/>
      <c r="P468" s="468">
        <f ca="1">IFERROR(IF(OR(D468=0,D468="-",D468="",D468=" ",D468=" ",D468="Athlete"),"",IF($A472&gt;0,VLOOKUP(D468,female_reg,3,FALSE)-C468*10,VLOOKUP(D468,male_reg,3,FALSE)-C468*10)),2)</f>
        <v>1</v>
      </c>
      <c r="Q468" s="468">
        <f ca="1">IFERROR(IF(OR(J468=0,J468="-",J468=" ",J468="",J468=" ",J468="Athlete"),"",IF($A472&gt;0,VLOOKUP(J468,female_reg,3,FALSE)-C468*10,VLOOKUP(J468,male_reg,3,FALSE)-C468*10)),2)</f>
        <v>1</v>
      </c>
      <c r="T468" s="468">
        <f t="shared" ca="1" si="250"/>
        <v>2</v>
      </c>
      <c r="U468" s="468">
        <f t="shared" ca="1" si="251"/>
        <v>2</v>
      </c>
      <c r="V468" s="467" t="str">
        <f t="shared" ca="1" si="260"/>
        <v>IBEH TerrellM'bro</v>
      </c>
      <c r="W468" s="467" t="str">
        <f t="shared" ca="1" si="261"/>
        <v>KAYE CharlieM'bro</v>
      </c>
      <c r="Z468" s="467">
        <f t="shared" ca="1" si="252"/>
        <v>3</v>
      </c>
      <c r="AA468" s="467">
        <f t="shared" ca="1" si="253"/>
        <v>3</v>
      </c>
    </row>
    <row r="469" spans="1:27" x14ac:dyDescent="0.35">
      <c r="A469" s="118">
        <f ca="1">IFERROR(VLOOKUP(A464,standards,4,FALSE)+0.01,"-")</f>
        <v>11.81</v>
      </c>
      <c r="B469" s="477">
        <v>4</v>
      </c>
      <c r="C469" s="477">
        <f ca="1">IFERROR(IF(B469&gt;MatchDay!$U$2,"",VLOOKUP($A464,timetables,MatchDay!$U$4+B469-1,FALSE)),0)</f>
        <v>2</v>
      </c>
      <c r="D469" s="467" t="str">
        <f ca="1">IFERROR(HLOOKUP(C469,Declarations!$D$2:$S$102,A466,FALSE),"")</f>
        <v>LANE William</v>
      </c>
      <c r="E469" s="467" t="str">
        <f t="shared" ca="1" si="262"/>
        <v>Sheff+D</v>
      </c>
      <c r="F469" s="466"/>
      <c r="G469" s="476"/>
      <c r="H469" s="477">
        <v>4</v>
      </c>
      <c r="I469" s="477">
        <f t="shared" ca="1" si="263"/>
        <v>22</v>
      </c>
      <c r="J469" s="467">
        <f ca="1">IFERROR(HLOOKUP(I469,Declarations!$D$2:$S$102,$A466,FALSE),"")</f>
        <v>0</v>
      </c>
      <c r="K469" s="467" t="str">
        <f t="shared" ca="1" si="259"/>
        <v>Sheff+D</v>
      </c>
      <c r="N469" s="478"/>
      <c r="P469" s="468">
        <f ca="1">IFERROR(IF(OR(D469=0,D469="-",D469="",D469=" ",D469=" ",D469="Athlete"),"",IF($A472&gt;0,VLOOKUP(D469,female_reg,3,FALSE)-C469*10,VLOOKUP(D469,male_reg,3,FALSE)-C469*10)),2)</f>
        <v>1</v>
      </c>
      <c r="Q469" s="468" t="str">
        <f ca="1">IFERROR(IF(OR(J469=0,J469="-",J469=" ",J469="",J469=" ",J469="Athlete"),"",IF($A472&gt;0,VLOOKUP(J469,female_reg,3,FALSE)-C469*10,VLOOKUP(J469,male_reg,3,FALSE)-C469*10)),2)</f>
        <v/>
      </c>
      <c r="T469" s="468">
        <f t="shared" ca="1" si="250"/>
        <v>3</v>
      </c>
      <c r="U469" s="468">
        <f t="shared" ca="1" si="251"/>
        <v>0</v>
      </c>
      <c r="V469" s="467" t="str">
        <f t="shared" ca="1" si="260"/>
        <v>LANE WilliamSheff+D</v>
      </c>
      <c r="W469" s="467" t="str">
        <f t="shared" ca="1" si="261"/>
        <v>X</v>
      </c>
      <c r="Z469" s="467">
        <f t="shared" ca="1" si="252"/>
        <v>3</v>
      </c>
      <c r="AA469" s="467">
        <f t="shared" ca="1" si="253"/>
        <v>0</v>
      </c>
    </row>
    <row r="470" spans="1:27" x14ac:dyDescent="0.35">
      <c r="A470" s="118">
        <f ca="1">IFERROR(VLOOKUP(A464,standards,5,FALSE)+0.01,"-")</f>
        <v>11.11</v>
      </c>
      <c r="B470" s="477">
        <v>5</v>
      </c>
      <c r="C470" s="477">
        <f ca="1">IFERROR(IF(B470&gt;MatchDay!$U$2,"",VLOOKUP($A464,timetables,MatchDay!$U$4+B470-1,FALSE)),0)</f>
        <v>5</v>
      </c>
      <c r="D470" s="467" t="str">
        <f ca="1">IFERROR(HLOOKUP(C470,Declarations!$D$2:$S$102,A466,FALSE),"")</f>
        <v>COOK Edwin</v>
      </c>
      <c r="E470" s="467" t="str">
        <f t="shared" ca="1" si="262"/>
        <v>Scun</v>
      </c>
      <c r="F470" s="466"/>
      <c r="G470" s="476"/>
      <c r="H470" s="477">
        <v>5</v>
      </c>
      <c r="I470" s="477">
        <f t="shared" ca="1" si="263"/>
        <v>55</v>
      </c>
      <c r="J470" s="467" t="str">
        <f ca="1">IFERROR(HLOOKUP(I470,Declarations!$D$2:$S$102,$A466,FALSE),"")</f>
        <v>OADES Matthew</v>
      </c>
      <c r="K470" s="467" t="str">
        <f t="shared" ca="1" si="259"/>
        <v>Scun</v>
      </c>
      <c r="N470" s="478"/>
      <c r="P470" s="468">
        <f ca="1">IFERROR(IF(OR(D470=0,D470="-",D470="",D470=" ",D470=" ",D470="Athlete"),"",IF($A472&gt;0,VLOOKUP(D470,female_reg,3,FALSE)-C470*10,VLOOKUP(D470,male_reg,3,FALSE)-C470*10)),2)</f>
        <v>1</v>
      </c>
      <c r="Q470" s="468">
        <f ca="1">IFERROR(IF(OR(J470=0,J470="-",J470=" ",J470="",J470=" ",J470="Athlete"),"",IF($A472&gt;0,VLOOKUP(J470,female_reg,3,FALSE)-C470*10,VLOOKUP(J470,male_reg,3,FALSE)-C470*10)),2)</f>
        <v>1</v>
      </c>
      <c r="T470" s="468">
        <f t="shared" ca="1" si="250"/>
        <v>3</v>
      </c>
      <c r="U470" s="468">
        <f t="shared" ca="1" si="251"/>
        <v>4</v>
      </c>
      <c r="V470" s="467" t="str">
        <f t="shared" ca="1" si="260"/>
        <v>COOK EdwinScun</v>
      </c>
      <c r="W470" s="467" t="str">
        <f t="shared" ca="1" si="261"/>
        <v>OADES MatthewScun</v>
      </c>
      <c r="Z470" s="467">
        <f t="shared" ca="1" si="252"/>
        <v>3</v>
      </c>
      <c r="AA470" s="467">
        <f t="shared" ca="1" si="253"/>
        <v>4</v>
      </c>
    </row>
    <row r="471" spans="1:27" x14ac:dyDescent="0.35">
      <c r="A471" s="118">
        <f ca="1">IFERROR(VLOOKUP(A464,standards,6,FALSE)+0.01,"-")</f>
        <v>10.11</v>
      </c>
      <c r="B471" s="477">
        <v>6</v>
      </c>
      <c r="C471" s="477" t="str">
        <f>IFERROR(IF(B471&gt;MatchDay!$U$2,"",VLOOKUP($A464,timetables,MatchDay!$U$4+B471-1,FALSE)),0)</f>
        <v/>
      </c>
      <c r="D471" s="467" t="str">
        <f>IFERROR(HLOOKUP(C471,Declarations!$D$2:$S$102,A466,FALSE),"")</f>
        <v/>
      </c>
      <c r="E471" s="467" t="str">
        <f t="shared" si="262"/>
        <v/>
      </c>
      <c r="F471" s="466"/>
      <c r="G471" s="476"/>
      <c r="H471" s="477">
        <v>6</v>
      </c>
      <c r="I471" s="477" t="str">
        <f t="shared" si="263"/>
        <v/>
      </c>
      <c r="J471" s="467" t="str">
        <f>IFERROR(HLOOKUP(I471,Declarations!$D$2:$S$102,$A466,FALSE),"")</f>
        <v/>
      </c>
      <c r="K471" s="467" t="str">
        <f t="shared" si="259"/>
        <v/>
      </c>
      <c r="N471" s="478"/>
      <c r="P471" s="468" t="str">
        <f>IFERROR(IF(OR(D471=0,D471="-",D471="",D471=" ",D471=" ",D471="Athlete"),"",IF($A472&gt;0,VLOOKUP(D471,female_reg,3,FALSE)-C471*10,VLOOKUP(D471,male_reg,3,FALSE)-C471*10)),2)</f>
        <v/>
      </c>
      <c r="Q471" s="468" t="str">
        <f>IFERROR(IF(OR(J471=0,J471="-",J471=" ",J471="",J471=" ",J471="Athlete"),"",IF($A472&gt;0,VLOOKUP(J471,female_reg,3,FALSE)-C471*10,VLOOKUP(J471,male_reg,3,FALSE)-C471*10)),2)</f>
        <v/>
      </c>
      <c r="T471" s="468">
        <f t="shared" si="250"/>
        <v>0</v>
      </c>
      <c r="U471" s="468">
        <f t="shared" si="251"/>
        <v>0</v>
      </c>
      <c r="V471" s="467" t="str">
        <f t="shared" si="260"/>
        <v>X</v>
      </c>
      <c r="W471" s="467" t="str">
        <f t="shared" si="261"/>
        <v>X</v>
      </c>
      <c r="Z471" s="467">
        <f t="shared" si="252"/>
        <v>0</v>
      </c>
      <c r="AA471" s="467">
        <f t="shared" si="253"/>
        <v>0</v>
      </c>
    </row>
    <row r="472" spans="1:27" x14ac:dyDescent="0.35">
      <c r="A472" s="479">
        <f ca="1">IFERROR(SEARCH("Girls",B464),0)</f>
        <v>0</v>
      </c>
      <c r="B472" s="477">
        <v>7</v>
      </c>
      <c r="C472" s="477" t="str">
        <f>IFERROR(IF(B472&gt;MatchDay!$U$2,"",VLOOKUP($A464,timetables,MatchDay!$U$4+B472-1,FALSE)),0)</f>
        <v/>
      </c>
      <c r="D472" s="467" t="str">
        <f>IFERROR(HLOOKUP(C472,Declarations!$D$2:$S$102,A466,FALSE),"")</f>
        <v/>
      </c>
      <c r="E472" s="467" t="str">
        <f t="shared" si="262"/>
        <v/>
      </c>
      <c r="F472" s="466"/>
      <c r="G472" s="476"/>
      <c r="H472" s="477">
        <v>7</v>
      </c>
      <c r="I472" s="477" t="str">
        <f t="shared" si="263"/>
        <v/>
      </c>
      <c r="J472" s="467" t="str">
        <f>IFERROR(HLOOKUP(I472,Declarations!$D$2:$S$102,$A466,FALSE),"")</f>
        <v/>
      </c>
      <c r="K472" s="467" t="str">
        <f t="shared" si="259"/>
        <v/>
      </c>
      <c r="N472" s="478"/>
      <c r="P472" s="468" t="str">
        <f>IFERROR(IF(OR(D472=0,D472="-",D472="",D472=" ",D472=" ",D472="Athlete"),"",IF($A472&gt;0,VLOOKUP(D472,female_reg,3,FALSE)-C472*10,VLOOKUP(D472,male_reg,3,FALSE)-C472*10)),2)</f>
        <v/>
      </c>
      <c r="Q472" s="468" t="str">
        <f>IFERROR(IF(OR(J472=0,J472="-",J472=" ",J472="",J472=" ",J472="Athlete"),"",IF($A472&gt;0,VLOOKUP(J472,female_reg,3,FALSE)-C472*10,VLOOKUP(J472,male_reg,3,FALSE)-C472*10)),2)</f>
        <v/>
      </c>
      <c r="T472" s="468">
        <f t="shared" si="250"/>
        <v>0</v>
      </c>
      <c r="U472" s="468">
        <f t="shared" si="251"/>
        <v>0</v>
      </c>
      <c r="V472" s="467" t="str">
        <f t="shared" si="260"/>
        <v>X</v>
      </c>
      <c r="W472" s="467" t="str">
        <f t="shared" si="261"/>
        <v>X</v>
      </c>
      <c r="Z472" s="467">
        <f t="shared" si="252"/>
        <v>0</v>
      </c>
      <c r="AA472" s="467">
        <f t="shared" si="253"/>
        <v>0</v>
      </c>
    </row>
    <row r="473" spans="1:27" x14ac:dyDescent="0.35">
      <c r="A473" s="116">
        <f ca="1">IFERROR(VLOOKUP(A464,records,5,FALSE),"")</f>
        <v>15.49</v>
      </c>
      <c r="B473" s="477">
        <v>8</v>
      </c>
      <c r="C473" s="477" t="str">
        <f>IFERROR(IF(B473&gt;MatchDay!$U$2,"",VLOOKUP($A464,timetables,MatchDay!$U$4+B473-1,FALSE)),0)</f>
        <v/>
      </c>
      <c r="D473" s="467" t="str">
        <f>IFERROR(HLOOKUP(C473,Declarations!$D$2:$S$102,A466,FALSE),"")</f>
        <v/>
      </c>
      <c r="E473" s="467" t="str">
        <f t="shared" si="262"/>
        <v/>
      </c>
      <c r="F473" s="466"/>
      <c r="G473" s="476"/>
      <c r="H473" s="477">
        <v>8</v>
      </c>
      <c r="I473" s="477" t="str">
        <f t="shared" si="263"/>
        <v/>
      </c>
      <c r="J473" s="467" t="str">
        <f>IFERROR(HLOOKUP(I473,Declarations!$D$2:$S$102,$A466,FALSE),"")</f>
        <v/>
      </c>
      <c r="K473" s="467" t="str">
        <f t="shared" si="259"/>
        <v/>
      </c>
      <c r="N473" s="478"/>
      <c r="P473" s="468" t="str">
        <f>IFERROR(IF(OR(D473=0,D473="-",D473="",D473=" ",D473=" ",D473="Athlete"),"",IF($A472&gt;0,VLOOKUP(D473,female_reg,3,FALSE)-C473*10,VLOOKUP(D473,male_reg,3,FALSE)-C473*10)),2)</f>
        <v/>
      </c>
      <c r="Q473" s="468" t="str">
        <f>IFERROR(IF(OR(J473=0,J473="-",J473=" ",J473="",J473=" ",J473="Athlete"),"",IF($A472&gt;0,VLOOKUP(J473,female_reg,3,FALSE)-C473*10,VLOOKUP(J473,male_reg,3,FALSE)-C473*10)),2)</f>
        <v/>
      </c>
      <c r="T473" s="468">
        <f t="shared" si="250"/>
        <v>0</v>
      </c>
      <c r="U473" s="468">
        <f t="shared" si="251"/>
        <v>0</v>
      </c>
      <c r="V473" s="467" t="str">
        <f t="shared" si="260"/>
        <v>X</v>
      </c>
      <c r="W473" s="467" t="str">
        <f t="shared" si="261"/>
        <v>X</v>
      </c>
      <c r="Z473" s="467">
        <f t="shared" si="252"/>
        <v>0</v>
      </c>
      <c r="AA473" s="467">
        <f t="shared" si="253"/>
        <v>0</v>
      </c>
    </row>
    <row r="474" spans="1:27" x14ac:dyDescent="0.35">
      <c r="P474" s="468" t="str">
        <f>IFERROR(IF(OR(D474=0,D474="-",D474="",D474=" ",D474=" ",D474="Athlete"),"",IF($A472&gt;0,VLOOKUP(D474,female_reg,3,FALSE)-C474*10,VLOOKUP(D474,male_reg,3,FALSE)-C474*10)),"X")</f>
        <v/>
      </c>
      <c r="Q474" s="468" t="str">
        <f>IFERROR(IF(OR(J474=0,J474="-",J474=" ",J474="",J474=" ",J474="Athlete"),"",IF($A472&gt;0,VLOOKUP(J474,female_reg,3,FALSE)-C474*10,VLOOKUP(J474,male_reg,3,FALSE)-C474*10)),"X")</f>
        <v/>
      </c>
      <c r="T474" s="468">
        <f t="shared" ca="1" si="250"/>
        <v>0</v>
      </c>
      <c r="U474" s="468">
        <f t="shared" ca="1" si="251"/>
        <v>0</v>
      </c>
      <c r="Z474" s="467">
        <f t="shared" ca="1" si="252"/>
        <v>0</v>
      </c>
      <c r="AA474" s="467">
        <f t="shared" ca="1" si="253"/>
        <v>0</v>
      </c>
    </row>
    <row r="475" spans="1:27" x14ac:dyDescent="0.35">
      <c r="A475" s="111" t="str">
        <f ca="1">IFERROR(INDIRECT(CONCATENATE("'Timetables'!A"&amp;A478)),"")</f>
        <v>LFD07</v>
      </c>
      <c r="B475" s="469" t="str">
        <f ca="1">IFERROR(VLOOKUP(A475,timetables,2,FALSE)&amp;" "&amp;VLOOKUP(A475,timetables,3,FALSE)&amp;" A","")</f>
        <v>Javelin U15 Boys A</v>
      </c>
      <c r="C475" s="469"/>
      <c r="E475" s="470" t="str">
        <f ca="1">"Starts "&amp;TEXT(VLOOKUP(A475,timetables,7-MatchDay!$U$7,FALSE),"hh:mm")</f>
        <v>Starts 13:45</v>
      </c>
      <c r="F475" s="471"/>
      <c r="H475" s="472" t="str">
        <f ca="1">IFERROR("Rec: "&amp;TEXT(VLOOKUP(A475,records,5,FALSE),"#0.00")&amp;"m, "&amp;VLOOKUP(A475,records,3,FALSE)&amp;", "&amp;VLOOKUP(A475,records,4,FALSE)&amp;", "&amp;VLOOKUP(A475,records,8,FALSE),"")</f>
        <v>Rec: 61.40m, Max Law, Havering AC, 2016</v>
      </c>
      <c r="K475" s="473"/>
      <c r="L475" s="474"/>
      <c r="M475" s="467"/>
      <c r="P475" s="468" t="str">
        <f>IFERROR(IF(OR(D475=0,D475="-",D475="",D475=" ",D475=" ",D475="Athlete"),"",IF($A483&gt;0,VLOOKUP(D475,female_reg,3,FALSE)-C475*10,VLOOKUP(D475,male_reg,3,FALSE)-C475*10)),"X")</f>
        <v/>
      </c>
      <c r="Q475" s="468" t="str">
        <f>IFERROR(IF(OR(J475=0,J475="-",J475=" ",J475="",J475=" ",J475="Athlete"),"",IF($A483&gt;0,VLOOKUP(J475,female_reg,3,FALSE)-C475*10,VLOOKUP(J475,male_reg,3,FALSE)-C475*10)),"X")</f>
        <v/>
      </c>
      <c r="T475" s="468">
        <f t="shared" ca="1" si="250"/>
        <v>0</v>
      </c>
      <c r="U475" s="468">
        <f t="shared" ca="1" si="251"/>
        <v>0</v>
      </c>
      <c r="Z475" s="467">
        <f t="shared" ca="1" si="252"/>
        <v>0</v>
      </c>
      <c r="AA475" s="467">
        <f t="shared" ca="1" si="253"/>
        <v>0</v>
      </c>
    </row>
    <row r="476" spans="1:27" x14ac:dyDescent="0.35">
      <c r="A476" s="85" t="str">
        <f ca="1">MID(A475,2,3)</f>
        <v>FD0</v>
      </c>
      <c r="B476" s="9" t="s">
        <v>163</v>
      </c>
      <c r="C476" s="9" t="s">
        <v>183</v>
      </c>
      <c r="D476" s="46" t="s">
        <v>227</v>
      </c>
      <c r="E476" s="46" t="s">
        <v>228</v>
      </c>
      <c r="F476" s="475"/>
      <c r="G476" s="46"/>
      <c r="H476" s="9" t="s">
        <v>163</v>
      </c>
      <c r="I476" s="9" t="s">
        <v>183</v>
      </c>
      <c r="J476" s="46" t="s">
        <v>227</v>
      </c>
      <c r="K476" s="46" t="s">
        <v>228</v>
      </c>
      <c r="L476" s="475"/>
      <c r="M476" s="475"/>
      <c r="N476" s="52"/>
      <c r="P476" s="468" t="str">
        <f>IFERROR(IF(OR(D476=0,D476="-",D476="",D476=" ",D476=" ",D476="Athlete"),"",IF($A483&gt;0,VLOOKUP(D476,female_reg,3,FALSE)-C476*10,VLOOKUP(D476,male_reg,3,FALSE)-C476*10)),"X")</f>
        <v/>
      </c>
      <c r="Q476" s="468" t="str">
        <f>IFERROR(IF(OR(J476=0,J476="-",J476=" ",J476="",J476=" ",J476="Athlete"),"",IF($A483&gt;0,VLOOKUP(J476,female_reg,3,FALSE)-C476*10,VLOOKUP(J476,male_reg,3,FALSE)-C476*10)),"X")</f>
        <v/>
      </c>
      <c r="T476" s="468">
        <f t="shared" ca="1" si="250"/>
        <v>0</v>
      </c>
      <c r="U476" s="468">
        <f t="shared" ca="1" si="251"/>
        <v>0</v>
      </c>
      <c r="Z476" s="467">
        <f t="shared" ca="1" si="252"/>
        <v>0</v>
      </c>
      <c r="AA476" s="467">
        <f t="shared" ca="1" si="253"/>
        <v>0</v>
      </c>
    </row>
    <row r="477" spans="1:27" x14ac:dyDescent="0.35">
      <c r="A477" s="181">
        <f ca="1">IFERROR(VLOOKUP(A475,Timetables!$A:$E,5,FALSE)-1,"")</f>
        <v>66</v>
      </c>
      <c r="B477" s="477">
        <v>1</v>
      </c>
      <c r="C477" s="477">
        <f ca="1">IFERROR(IF(B477&gt;MatchDay!$U$2,"",VLOOKUP($A475,timetables,MatchDay!$U$4+B477-1,FALSE)),0)</f>
        <v>4</v>
      </c>
      <c r="D477" s="467" t="str">
        <f ca="1">IFERROR(HLOOKUP(C477,Declarations!$D$2:$S$102,A477,FALSE),"")</f>
        <v>-</v>
      </c>
      <c r="E477" s="467" t="str">
        <f ca="1">IFERROR(VLOOKUP(C477,teamlookup,5,FALSE),"")</f>
        <v>M'bro</v>
      </c>
      <c r="F477" s="466"/>
      <c r="G477" s="476"/>
      <c r="H477" s="477">
        <v>1</v>
      </c>
      <c r="I477" s="477">
        <f ca="1">IFERROR(C477*11,"")</f>
        <v>44</v>
      </c>
      <c r="J477" s="467" t="str">
        <f ca="1">IFERROR(HLOOKUP(I477,Declarations!$D$2:$S$102,$A477,FALSE),"")</f>
        <v>-</v>
      </c>
      <c r="K477" s="467" t="str">
        <f t="shared" ref="K477:K484" ca="1" si="264">IFERROR(VLOOKUP(I477,teamlookup,5,FALSE),"")</f>
        <v>M'bro</v>
      </c>
      <c r="N477" s="478"/>
      <c r="P477" s="468" t="str">
        <f ca="1">IFERROR(IF(OR(D477=0,D477="-",D477="",D477=" ",D477=" ",D477="Athlete"),"",IF($A483&gt;0,VLOOKUP(D477,female_reg,3,FALSE)-C477*10,VLOOKUP(D477,male_reg,3,FALSE)-C477*10)),2)</f>
        <v/>
      </c>
      <c r="Q477" s="468" t="str">
        <f ca="1">IFERROR(IF(OR(J477=0,J477="-",J477=" ",J477="",J477=" ",J477="Athlete"),"",IF($A483&gt;0,VLOOKUP(J477,female_reg,3,FALSE)-C477*10,VLOOKUP(J477,male_reg,3,FALSE)-C477*10)),2)</f>
        <v/>
      </c>
      <c r="T477" s="468">
        <f t="shared" ca="1" si="250"/>
        <v>0</v>
      </c>
      <c r="U477" s="468">
        <f t="shared" ca="1" si="251"/>
        <v>0</v>
      </c>
      <c r="V477" s="467" t="str">
        <f t="shared" ref="V477:V484" ca="1" si="265">IFERROR(IF(OR(D477=0,D477="-",D477="",D477=" ",D477=" "),"X",D477&amp;E477),"X")</f>
        <v>X</v>
      </c>
      <c r="W477" s="467" t="str">
        <f t="shared" ref="W477:W484" ca="1" si="266">IFERROR(IF(OR(J477=0,J477="-",J477="",J477=" ",J477=" "),"X",J477&amp;K477),"X")</f>
        <v>X</v>
      </c>
      <c r="Z477" s="467">
        <f t="shared" ca="1" si="252"/>
        <v>0</v>
      </c>
      <c r="AA477" s="467">
        <f t="shared" ca="1" si="253"/>
        <v>0</v>
      </c>
    </row>
    <row r="478" spans="1:27" x14ac:dyDescent="0.35">
      <c r="A478" s="468">
        <f>A467+1</f>
        <v>52</v>
      </c>
      <c r="B478" s="477">
        <v>2</v>
      </c>
      <c r="C478" s="477">
        <f ca="1">IFERROR(IF(B478&gt;MatchDay!$U$2,"",VLOOKUP($A475,timetables,MatchDay!$U$4+B478-1,FALSE)),0)</f>
        <v>2</v>
      </c>
      <c r="D478" s="467" t="str">
        <f ca="1">IFERROR(HLOOKUP(C478,Declarations!$D$2:$S$102,A477,FALSE),"")</f>
        <v>COLLINI Joseph</v>
      </c>
      <c r="E478" s="467" t="str">
        <f t="shared" ref="E478:E484" ca="1" si="267">IFERROR(VLOOKUP(C478,teamlookup,5,FALSE),"")</f>
        <v>Sheff+D</v>
      </c>
      <c r="F478" s="466"/>
      <c r="G478" s="476"/>
      <c r="H478" s="477">
        <v>2</v>
      </c>
      <c r="I478" s="477">
        <f t="shared" ref="I478:I484" ca="1" si="268">IFERROR(C478*11,"")</f>
        <v>22</v>
      </c>
      <c r="J478" s="467" t="str">
        <f ca="1">IFERROR(HLOOKUP(I478,Declarations!$D$2:$S$102,$A477,FALSE),"")</f>
        <v>WAINWRIGHT James</v>
      </c>
      <c r="K478" s="467" t="str">
        <f t="shared" ca="1" si="264"/>
        <v>Sheff+D</v>
      </c>
      <c r="N478" s="478"/>
      <c r="P478" s="468">
        <f ca="1">IFERROR(IF(OR(D478=0,D478="-",D478="",D478=" ",D478=" ",D478="Athlete"),"",IF($A483&gt;0,VLOOKUP(D478,female_reg,3,FALSE)-C478*10,VLOOKUP(D478,male_reg,3,FALSE)-C478*10)),2)</f>
        <v>1</v>
      </c>
      <c r="Q478" s="468">
        <f ca="1">IFERROR(IF(OR(J478=0,J478="-",J478=" ",J478="",J478=" ",J478="Athlete"),"",IF($A483&gt;0,VLOOKUP(J478,female_reg,3,FALSE)-C478*10,VLOOKUP(J478,male_reg,3,FALSE)-C478*10)),2)</f>
        <v>1</v>
      </c>
      <c r="T478" s="468">
        <f t="shared" ca="1" si="250"/>
        <v>2</v>
      </c>
      <c r="U478" s="468">
        <f t="shared" ca="1" si="251"/>
        <v>3</v>
      </c>
      <c r="V478" s="467" t="str">
        <f t="shared" ca="1" si="265"/>
        <v>COLLINI JosephSheff+D</v>
      </c>
      <c r="W478" s="467" t="str">
        <f t="shared" ca="1" si="266"/>
        <v>WAINWRIGHT JamesSheff+D</v>
      </c>
      <c r="Z478" s="467">
        <f t="shared" ca="1" si="252"/>
        <v>2</v>
      </c>
      <c r="AA478" s="467">
        <f t="shared" ca="1" si="253"/>
        <v>4</v>
      </c>
    </row>
    <row r="479" spans="1:27" x14ac:dyDescent="0.35">
      <c r="A479" s="118">
        <f ca="1">IFERROR(VLOOKUP(A475,standards,3,FALSE)+0.01,"-")</f>
        <v>44.36</v>
      </c>
      <c r="B479" s="477">
        <v>3</v>
      </c>
      <c r="C479" s="477">
        <f ca="1">IFERROR(IF(B479&gt;MatchDay!$U$2,"",VLOOKUP($A475,timetables,MatchDay!$U$4+B479-1,FALSE)),0)</f>
        <v>5</v>
      </c>
      <c r="D479" s="467" t="str">
        <f ca="1">IFERROR(HLOOKUP(C479,Declarations!$D$2:$S$102,A477,FALSE),"")</f>
        <v>COOK Edwin</v>
      </c>
      <c r="E479" s="467" t="str">
        <f t="shared" ca="1" si="267"/>
        <v>Scun</v>
      </c>
      <c r="F479" s="466"/>
      <c r="G479" s="476"/>
      <c r="H479" s="477">
        <v>3</v>
      </c>
      <c r="I479" s="477">
        <f t="shared" ca="1" si="268"/>
        <v>55</v>
      </c>
      <c r="J479" s="467" t="str">
        <f ca="1">IFERROR(HLOOKUP(I479,Declarations!$D$2:$S$102,$A477,FALSE),"")</f>
        <v>OADES Matthew</v>
      </c>
      <c r="K479" s="467" t="str">
        <f t="shared" ca="1" si="264"/>
        <v>Scun</v>
      </c>
      <c r="N479" s="478"/>
      <c r="P479" s="468">
        <f ca="1">IFERROR(IF(OR(D479=0,D479="-",D479="",D479=" ",D479=" ",D479="Athlete"),"",IF($A483&gt;0,VLOOKUP(D479,female_reg,3,FALSE)-C479*10,VLOOKUP(D479,male_reg,3,FALSE)-C479*10)),2)</f>
        <v>1</v>
      </c>
      <c r="Q479" s="468">
        <f ca="1">IFERROR(IF(OR(J479=0,J479="-",J479=" ",J479="",J479=" ",J479="Athlete"),"",IF($A483&gt;0,VLOOKUP(J479,female_reg,3,FALSE)-C479*10,VLOOKUP(J479,male_reg,3,FALSE)-C479*10)),2)</f>
        <v>1</v>
      </c>
      <c r="T479" s="468">
        <f t="shared" ca="1" si="250"/>
        <v>3</v>
      </c>
      <c r="U479" s="468">
        <f t="shared" ca="1" si="251"/>
        <v>4</v>
      </c>
      <c r="V479" s="467" t="str">
        <f t="shared" ca="1" si="265"/>
        <v>COOK EdwinScun</v>
      </c>
      <c r="W479" s="467" t="str">
        <f t="shared" ca="1" si="266"/>
        <v>OADES MatthewScun</v>
      </c>
      <c r="Z479" s="467">
        <f t="shared" ca="1" si="252"/>
        <v>3</v>
      </c>
      <c r="AA479" s="467">
        <f t="shared" ca="1" si="253"/>
        <v>4</v>
      </c>
    </row>
    <row r="480" spans="1:27" x14ac:dyDescent="0.35">
      <c r="A480" s="118">
        <f ca="1">IFERROR(VLOOKUP(A475,standards,4,FALSE)+0.01,"-")</f>
        <v>40.86</v>
      </c>
      <c r="B480" s="477">
        <v>4</v>
      </c>
      <c r="C480" s="477">
        <f ca="1">IFERROR(IF(B480&gt;MatchDay!$U$2,"",VLOOKUP($A475,timetables,MatchDay!$U$4+B480-1,FALSE)),0)</f>
        <v>1</v>
      </c>
      <c r="D480" s="467" t="str">
        <f ca="1">IFERROR(HLOOKUP(C480,Declarations!$D$2:$S$102,A477,FALSE),"")</f>
        <v>BETTNEY Thomas</v>
      </c>
      <c r="E480" s="467" t="str">
        <f t="shared" ca="1" si="267"/>
        <v>C'field</v>
      </c>
      <c r="F480" s="466"/>
      <c r="G480" s="476"/>
      <c r="H480" s="477">
        <v>4</v>
      </c>
      <c r="I480" s="477">
        <f t="shared" ca="1" si="268"/>
        <v>11</v>
      </c>
      <c r="J480" s="467" t="str">
        <f ca="1">IFERROR(HLOOKUP(I480,Declarations!$D$2:$S$102,$A477,FALSE),"")</f>
        <v>SAS Reuben</v>
      </c>
      <c r="K480" s="467" t="str">
        <f t="shared" ca="1" si="264"/>
        <v>C'field</v>
      </c>
      <c r="N480" s="478"/>
      <c r="P480" s="468">
        <f ca="1">IFERROR(IF(OR(D480=0,D480="-",D480="",D480=" ",D480=" ",D480="Athlete"),"",IF($A483&gt;0,VLOOKUP(D480,female_reg,3,FALSE)-C480*10,VLOOKUP(D480,male_reg,3,FALSE)-C480*10)),2)</f>
        <v>1</v>
      </c>
      <c r="Q480" s="468">
        <f ca="1">IFERROR(IF(OR(J480=0,J480="-",J480=" ",J480="",J480=" ",J480="Athlete"),"",IF($A483&gt;0,VLOOKUP(J480,female_reg,3,FALSE)-C480*10,VLOOKUP(J480,male_reg,3,FALSE)-C480*10)),2)</f>
        <v>1</v>
      </c>
      <c r="T480" s="468">
        <f t="shared" ca="1" si="250"/>
        <v>3</v>
      </c>
      <c r="U480" s="468">
        <f t="shared" ca="1" si="251"/>
        <v>3</v>
      </c>
      <c r="V480" s="467" t="str">
        <f t="shared" ca="1" si="265"/>
        <v>BETTNEY ThomasC'field</v>
      </c>
      <c r="W480" s="467" t="str">
        <f t="shared" ca="1" si="266"/>
        <v>SAS ReubenC'field</v>
      </c>
      <c r="Z480" s="467">
        <f t="shared" ca="1" si="252"/>
        <v>4</v>
      </c>
      <c r="AA480" s="467">
        <f t="shared" ca="1" si="253"/>
        <v>4</v>
      </c>
    </row>
    <row r="481" spans="1:27" x14ac:dyDescent="0.35">
      <c r="A481" s="118">
        <f ca="1">IFERROR(VLOOKUP(A475,standards,5,FALSE)+0.01,"-")</f>
        <v>37.26</v>
      </c>
      <c r="B481" s="477">
        <v>5</v>
      </c>
      <c r="C481" s="477">
        <f ca="1">IFERROR(IF(B481&gt;MatchDay!$U$2,"",VLOOKUP($A475,timetables,MatchDay!$U$4+B481-1,FALSE)),0)</f>
        <v>3</v>
      </c>
      <c r="D481" s="467" t="str">
        <f ca="1">IFERROR(HLOOKUP(C481,Declarations!$D$2:$S$102,A477,FALSE),"")</f>
        <v>RHODES Ashton</v>
      </c>
      <c r="E481" s="467" t="str">
        <f t="shared" ca="1" si="267"/>
        <v>York</v>
      </c>
      <c r="F481" s="466"/>
      <c r="G481" s="476"/>
      <c r="H481" s="477">
        <v>5</v>
      </c>
      <c r="I481" s="477">
        <f t="shared" ca="1" si="268"/>
        <v>33</v>
      </c>
      <c r="J481" s="467" t="str">
        <f ca="1">IFERROR(HLOOKUP(I481,Declarations!$D$2:$S$102,$A477,FALSE),"")</f>
        <v>BROOKS Rory</v>
      </c>
      <c r="K481" s="467" t="str">
        <f t="shared" ca="1" si="264"/>
        <v>York</v>
      </c>
      <c r="N481" s="478"/>
      <c r="P481" s="468">
        <f ca="1">IFERROR(IF(OR(D481=0,D481="-",D481="",D481=" ",D481=" ",D481="Athlete"),"",IF($A483&gt;0,VLOOKUP(D481,female_reg,3,FALSE)-C481*10,VLOOKUP(D481,male_reg,3,FALSE)-C481*10)),2)</f>
        <v>1</v>
      </c>
      <c r="Q481" s="468">
        <f ca="1">IFERROR(IF(OR(J481=0,J481="-",J481=" ",J481="",J481=" ",J481="Athlete"),"",IF($A483&gt;0,VLOOKUP(J481,female_reg,3,FALSE)-C481*10,VLOOKUP(J481,male_reg,3,FALSE)-C481*10)),2)</f>
        <v>1</v>
      </c>
      <c r="T481" s="468">
        <f t="shared" ca="1" si="250"/>
        <v>2</v>
      </c>
      <c r="U481" s="468">
        <f t="shared" ca="1" si="251"/>
        <v>3</v>
      </c>
      <c r="V481" s="467" t="str">
        <f t="shared" ca="1" si="265"/>
        <v>RHODES AshtonYork</v>
      </c>
      <c r="W481" s="467" t="str">
        <f t="shared" ca="1" si="266"/>
        <v>BROOKS RoryYork</v>
      </c>
      <c r="Z481" s="467">
        <f t="shared" ca="1" si="252"/>
        <v>2</v>
      </c>
      <c r="AA481" s="467">
        <f t="shared" ca="1" si="253"/>
        <v>4</v>
      </c>
    </row>
    <row r="482" spans="1:27" x14ac:dyDescent="0.35">
      <c r="A482" s="118">
        <f ca="1">IFERROR(VLOOKUP(A475,standards,6,FALSE)+0.01,"-")</f>
        <v>32.61</v>
      </c>
      <c r="B482" s="477">
        <v>6</v>
      </c>
      <c r="C482" s="477" t="str">
        <f>IFERROR(IF(B482&gt;MatchDay!$U$2,"",VLOOKUP($A475,timetables,MatchDay!$U$4+B482-1,FALSE)),0)</f>
        <v/>
      </c>
      <c r="D482" s="467" t="str">
        <f>IFERROR(HLOOKUP(C482,Declarations!$D$2:$S$102,A477,FALSE),"")</f>
        <v/>
      </c>
      <c r="E482" s="467" t="str">
        <f t="shared" si="267"/>
        <v/>
      </c>
      <c r="F482" s="466"/>
      <c r="G482" s="476"/>
      <c r="H482" s="477">
        <v>6</v>
      </c>
      <c r="I482" s="477" t="str">
        <f t="shared" si="268"/>
        <v/>
      </c>
      <c r="J482" s="467" t="str">
        <f>IFERROR(HLOOKUP(I482,Declarations!$D$2:$S$102,$A477,FALSE),"")</f>
        <v/>
      </c>
      <c r="K482" s="467" t="str">
        <f t="shared" si="264"/>
        <v/>
      </c>
      <c r="N482" s="478"/>
      <c r="P482" s="468" t="str">
        <f>IFERROR(IF(OR(D482=0,D482="-",D482="",D482=" ",D482=" ",D482="Athlete"),"",IF($A483&gt;0,VLOOKUP(D482,female_reg,3,FALSE)-C482*10,VLOOKUP(D482,male_reg,3,FALSE)-C482*10)),2)</f>
        <v/>
      </c>
      <c r="Q482" s="468" t="str">
        <f>IFERROR(IF(OR(J482=0,J482="-",J482=" ",J482="",J482=" ",J482="Athlete"),"",IF($A483&gt;0,VLOOKUP(J482,female_reg,3,FALSE)-C482*10,VLOOKUP(J482,male_reg,3,FALSE)-C482*10)),2)</f>
        <v/>
      </c>
      <c r="T482" s="468">
        <f t="shared" si="250"/>
        <v>0</v>
      </c>
      <c r="U482" s="468">
        <f t="shared" si="251"/>
        <v>0</v>
      </c>
      <c r="V482" s="467" t="str">
        <f t="shared" si="265"/>
        <v>X</v>
      </c>
      <c r="W482" s="467" t="str">
        <f t="shared" si="266"/>
        <v>X</v>
      </c>
      <c r="Z482" s="467">
        <f t="shared" si="252"/>
        <v>0</v>
      </c>
      <c r="AA482" s="467">
        <f t="shared" si="253"/>
        <v>0</v>
      </c>
    </row>
    <row r="483" spans="1:27" x14ac:dyDescent="0.35">
      <c r="A483" s="479">
        <f ca="1">IFERROR(SEARCH("Girls",B475),0)</f>
        <v>0</v>
      </c>
      <c r="B483" s="477">
        <v>7</v>
      </c>
      <c r="C483" s="477" t="str">
        <f>IFERROR(IF(B483&gt;MatchDay!$U$2,"",VLOOKUP($A475,timetables,MatchDay!$U$4+B483-1,FALSE)),0)</f>
        <v/>
      </c>
      <c r="D483" s="467" t="str">
        <f>IFERROR(HLOOKUP(C483,Declarations!$D$2:$S$102,A477,FALSE),"")</f>
        <v/>
      </c>
      <c r="E483" s="467" t="str">
        <f t="shared" si="267"/>
        <v/>
      </c>
      <c r="F483" s="466"/>
      <c r="G483" s="476"/>
      <c r="H483" s="477">
        <v>7</v>
      </c>
      <c r="I483" s="477" t="str">
        <f t="shared" si="268"/>
        <v/>
      </c>
      <c r="J483" s="467" t="str">
        <f>IFERROR(HLOOKUP(I483,Declarations!$D$2:$S$102,$A477,FALSE),"")</f>
        <v/>
      </c>
      <c r="K483" s="467" t="str">
        <f t="shared" si="264"/>
        <v/>
      </c>
      <c r="N483" s="478"/>
      <c r="P483" s="468" t="str">
        <f>IFERROR(IF(OR(D483=0,D483="-",D483="",D483=" ",D483=" ",D483="Athlete"),"",IF($A483&gt;0,VLOOKUP(D483,female_reg,3,FALSE)-C483*10,VLOOKUP(D483,male_reg,3,FALSE)-C483*10)),2)</f>
        <v/>
      </c>
      <c r="Q483" s="468" t="str">
        <f>IFERROR(IF(OR(J483=0,J483="-",J483=" ",J483="",J483=" ",J483="Athlete"),"",IF($A483&gt;0,VLOOKUP(J483,female_reg,3,FALSE)-C483*10,VLOOKUP(J483,male_reg,3,FALSE)-C483*10)),2)</f>
        <v/>
      </c>
      <c r="T483" s="468">
        <f t="shared" si="250"/>
        <v>0</v>
      </c>
      <c r="U483" s="468">
        <f t="shared" si="251"/>
        <v>0</v>
      </c>
      <c r="V483" s="467" t="str">
        <f t="shared" si="265"/>
        <v>X</v>
      </c>
      <c r="W483" s="467" t="str">
        <f t="shared" si="266"/>
        <v>X</v>
      </c>
      <c r="Z483" s="467">
        <f t="shared" si="252"/>
        <v>0</v>
      </c>
      <c r="AA483" s="467">
        <f t="shared" si="253"/>
        <v>0</v>
      </c>
    </row>
    <row r="484" spans="1:27" x14ac:dyDescent="0.35">
      <c r="A484" s="116">
        <f ca="1">IFERROR(VLOOKUP(A475,records,5,FALSE),"")</f>
        <v>61.4</v>
      </c>
      <c r="B484" s="477">
        <v>8</v>
      </c>
      <c r="C484" s="477" t="str">
        <f>IFERROR(IF(B484&gt;MatchDay!$U$2,"",VLOOKUP($A475,timetables,MatchDay!$U$4+B484-1,FALSE)),0)</f>
        <v/>
      </c>
      <c r="D484" s="467" t="str">
        <f>IFERROR(HLOOKUP(C484,Declarations!$D$2:$S$102,A477,FALSE),"")</f>
        <v/>
      </c>
      <c r="E484" s="467" t="str">
        <f t="shared" si="267"/>
        <v/>
      </c>
      <c r="F484" s="466"/>
      <c r="G484" s="476"/>
      <c r="H484" s="477">
        <v>8</v>
      </c>
      <c r="I484" s="477" t="str">
        <f t="shared" si="268"/>
        <v/>
      </c>
      <c r="J484" s="467" t="str">
        <f>IFERROR(HLOOKUP(I484,Declarations!$D$2:$S$102,$A477,FALSE),"")</f>
        <v/>
      </c>
      <c r="K484" s="467" t="str">
        <f t="shared" si="264"/>
        <v/>
      </c>
      <c r="N484" s="478"/>
      <c r="P484" s="468" t="str">
        <f>IFERROR(IF(OR(D484=0,D484="-",D484="",D484=" ",D484=" ",D484="Athlete"),"",IF($A483&gt;0,VLOOKUP(D484,female_reg,3,FALSE)-C484*10,VLOOKUP(D484,male_reg,3,FALSE)-C484*10)),2)</f>
        <v/>
      </c>
      <c r="Q484" s="468" t="str">
        <f>IFERROR(IF(OR(J484=0,J484="-",J484=" ",J484="",J484=" ",J484="Athlete"),"",IF($A483&gt;0,VLOOKUP(J484,female_reg,3,FALSE)-C484*10,VLOOKUP(J484,male_reg,3,FALSE)-C484*10)),2)</f>
        <v/>
      </c>
      <c r="T484" s="468">
        <f t="shared" si="250"/>
        <v>0</v>
      </c>
      <c r="U484" s="468">
        <f t="shared" si="251"/>
        <v>0</v>
      </c>
      <c r="V484" s="467" t="str">
        <f t="shared" si="265"/>
        <v>X</v>
      </c>
      <c r="W484" s="467" t="str">
        <f t="shared" si="266"/>
        <v>X</v>
      </c>
      <c r="Z484" s="467">
        <f t="shared" si="252"/>
        <v>0</v>
      </c>
      <c r="AA484" s="467">
        <f t="shared" si="253"/>
        <v>0</v>
      </c>
    </row>
    <row r="485" spans="1:27" x14ac:dyDescent="0.35">
      <c r="P485" s="468" t="str">
        <f>IFERROR(IF(OR(D485=0,D485="-",D485="",D485=" ",D485=" ",D485="Athlete"),"",IF($A483&gt;0,VLOOKUP(D485,female_reg,3,FALSE)-C485*10,VLOOKUP(D485,male_reg,3,FALSE)-C485*10)),"X")</f>
        <v/>
      </c>
      <c r="Q485" s="468" t="str">
        <f>IFERROR(IF(OR(J485=0,J485="-",J485=" ",J485="",J485=" ",J485="Athlete"),"",IF($A483&gt;0,VLOOKUP(J485,female_reg,3,FALSE)-C485*10,VLOOKUP(J485,male_reg,3,FALSE)-C485*10)),"X")</f>
        <v/>
      </c>
      <c r="T485" s="468">
        <f t="shared" ca="1" si="250"/>
        <v>0</v>
      </c>
      <c r="U485" s="468">
        <f t="shared" ca="1" si="251"/>
        <v>0</v>
      </c>
      <c r="Z485" s="467">
        <f t="shared" ca="1" si="252"/>
        <v>0</v>
      </c>
      <c r="AA485" s="467">
        <f t="shared" ca="1" si="253"/>
        <v>0</v>
      </c>
    </row>
    <row r="486" spans="1:27" x14ac:dyDescent="0.35">
      <c r="A486" s="111" t="str">
        <f ca="1">IFERROR(INDIRECT(CONCATENATE("'Timetables'!A"&amp;A489)),"")</f>
        <v>LFD08</v>
      </c>
      <c r="B486" s="469" t="str">
        <f ca="1">IFERROR(VLOOKUP(A486,timetables,2,FALSE)&amp;" "&amp;VLOOKUP(A486,timetables,3,FALSE)&amp;" A","")</f>
        <v>Javelin U15 Girls A</v>
      </c>
      <c r="C486" s="469"/>
      <c r="E486" s="470" t="str">
        <f ca="1">"Starts "&amp;TEXT(VLOOKUP(A486,timetables,7-MatchDay!$U$7,FALSE),"hh:mm")</f>
        <v>Starts 14:30</v>
      </c>
      <c r="F486" s="471"/>
      <c r="H486" s="472" t="str">
        <f ca="1">IFERROR("Rec: "&amp;TEXT(VLOOKUP(A486,records,5,FALSE),"#0.00")&amp;"m, "&amp;VLOOKUP(A486,records,3,FALSE)&amp;", "&amp;VLOOKUP(A486,records,4,FALSE)&amp;", "&amp;VLOOKUP(A486,records,8,FALSE),"")</f>
        <v>Rec: 45.76m, Bethany Moule, Neath Harriers, 2016</v>
      </c>
      <c r="K486" s="473"/>
      <c r="L486" s="474"/>
      <c r="M486" s="467"/>
      <c r="P486" s="468" t="str">
        <f>IFERROR(IF(OR(D486=0,D486="-",D486="",D486=" ",D486=" ",D486="Athlete"),"",IF($A494&gt;0,VLOOKUP(D486,female_reg,3,FALSE)-C486*10,VLOOKUP(D486,male_reg,3,FALSE)-C486*10)),"X")</f>
        <v/>
      </c>
      <c r="Q486" s="468" t="str">
        <f>IFERROR(IF(OR(J486=0,J486="-",J486=" ",J486="",J486=" ",J486="Athlete"),"",IF($A494&gt;0,VLOOKUP(J486,female_reg,3,FALSE)-C486*10,VLOOKUP(J486,male_reg,3,FALSE)-C486*10)),"X")</f>
        <v/>
      </c>
      <c r="T486" s="468">
        <f t="shared" ca="1" si="250"/>
        <v>0</v>
      </c>
      <c r="U486" s="468">
        <f t="shared" ca="1" si="251"/>
        <v>0</v>
      </c>
      <c r="Z486" s="467">
        <f t="shared" ca="1" si="252"/>
        <v>0</v>
      </c>
      <c r="AA486" s="467">
        <f t="shared" ca="1" si="253"/>
        <v>0</v>
      </c>
    </row>
    <row r="487" spans="1:27" x14ac:dyDescent="0.35">
      <c r="A487" s="85" t="str">
        <f ca="1">MID(A486,2,3)</f>
        <v>FD0</v>
      </c>
      <c r="B487" s="9" t="s">
        <v>163</v>
      </c>
      <c r="C487" s="9" t="s">
        <v>183</v>
      </c>
      <c r="D487" s="46" t="s">
        <v>227</v>
      </c>
      <c r="E487" s="46" t="s">
        <v>228</v>
      </c>
      <c r="F487" s="475"/>
      <c r="G487" s="46"/>
      <c r="H487" s="9" t="s">
        <v>163</v>
      </c>
      <c r="I487" s="9" t="s">
        <v>183</v>
      </c>
      <c r="J487" s="46" t="s">
        <v>227</v>
      </c>
      <c r="K487" s="46" t="s">
        <v>228</v>
      </c>
      <c r="L487" s="475"/>
      <c r="M487" s="475"/>
      <c r="N487" s="52"/>
      <c r="P487" s="468" t="str">
        <f>IFERROR(IF(OR(D487=0,D487="-",D487="",D487=" ",D487=" ",D487="Athlete"),"",IF($A494&gt;0,VLOOKUP(D487,female_reg,3,FALSE)-C487*10,VLOOKUP(D487,male_reg,3,FALSE)-C487*10)),"X")</f>
        <v/>
      </c>
      <c r="Q487" s="468" t="str">
        <f>IFERROR(IF(OR(J487=0,J487="-",J487=" ",J487="",J487=" ",J487="Athlete"),"",IF($A494&gt;0,VLOOKUP(J487,female_reg,3,FALSE)-C487*10,VLOOKUP(J487,male_reg,3,FALSE)-C487*10)),"X")</f>
        <v/>
      </c>
      <c r="T487" s="468">
        <f t="shared" ca="1" si="250"/>
        <v>0</v>
      </c>
      <c r="U487" s="468">
        <f t="shared" ca="1" si="251"/>
        <v>0</v>
      </c>
      <c r="Z487" s="467">
        <f t="shared" ca="1" si="252"/>
        <v>0</v>
      </c>
      <c r="AA487" s="467">
        <f t="shared" ca="1" si="253"/>
        <v>0</v>
      </c>
    </row>
    <row r="488" spans="1:27" x14ac:dyDescent="0.35">
      <c r="A488" s="181">
        <f ca="1">IFERROR(VLOOKUP(A486,Timetables!$A:$E,5,FALSE)-1,"")</f>
        <v>16</v>
      </c>
      <c r="B488" s="477">
        <v>1</v>
      </c>
      <c r="C488" s="477">
        <f ca="1">IFERROR(IF(B488&gt;MatchDay!$U$2,"",VLOOKUP($A486,timetables,MatchDay!$U$4+B488-1,FALSE)),0)</f>
        <v>4</v>
      </c>
      <c r="D488" s="467" t="str">
        <f ca="1">IFERROR(HLOOKUP(C488,Declarations!$D$2:$S$102,A488,FALSE),"")</f>
        <v>DORAN Bethany</v>
      </c>
      <c r="E488" s="467" t="str">
        <f ca="1">IFERROR(VLOOKUP(C488,teamlookup,5,FALSE),"")</f>
        <v>M'bro</v>
      </c>
      <c r="F488" s="466"/>
      <c r="G488" s="476"/>
      <c r="H488" s="477">
        <v>1</v>
      </c>
      <c r="I488" s="477">
        <f ca="1">IFERROR(C488*11,"")</f>
        <v>44</v>
      </c>
      <c r="J488" s="467" t="str">
        <f ca="1">IFERROR(HLOOKUP(I488,Declarations!$D$2:$S$102,$A488,FALSE),"")</f>
        <v>SULLOCK Amy</v>
      </c>
      <c r="K488" s="467" t="str">
        <f t="shared" ref="K488:K495" ca="1" si="269">IFERROR(VLOOKUP(I488,teamlookup,5,FALSE),"")</f>
        <v>M'bro</v>
      </c>
      <c r="N488" s="478"/>
      <c r="P488" s="468">
        <f ca="1">IFERROR(IF(OR(D488=0,D488="-",D488="",D488=" ",D488=" ",D488="Athlete"),"",IF($A494&gt;0,VLOOKUP(D488,female_reg,3,FALSE)-C488*10,VLOOKUP(D488,male_reg,3,FALSE)-C488*10)),2)</f>
        <v>1</v>
      </c>
      <c r="Q488" s="468">
        <f ca="1">IFERROR(IF(OR(J488=0,J488="-",J488=" ",J488="",J488=" ",J488="Athlete"),"",IF($A494&gt;0,VLOOKUP(J488,female_reg,3,FALSE)-C488*10,VLOOKUP(J488,male_reg,3,FALSE)-C488*10)),2)</f>
        <v>1</v>
      </c>
      <c r="T488" s="468">
        <f t="shared" ca="1" si="250"/>
        <v>3</v>
      </c>
      <c r="U488" s="468">
        <f t="shared" ca="1" si="251"/>
        <v>1</v>
      </c>
      <c r="V488" s="467" t="str">
        <f t="shared" ref="V488:V495" ca="1" si="270">IFERROR(IF(OR(D488=0,D488="-",D488="",D488=" ",D488=" "),"X",D488&amp;E488),"X")</f>
        <v>DORAN BethanyM'bro</v>
      </c>
      <c r="W488" s="467" t="str">
        <f t="shared" ref="W488:W495" ca="1" si="271">IFERROR(IF(OR(J488=0,J488="-",J488="",J488=" ",J488=" "),"X",J488&amp;K488),"X")</f>
        <v>SULLOCK AmyM'bro</v>
      </c>
      <c r="Z488" s="467">
        <f t="shared" ca="1" si="252"/>
        <v>3</v>
      </c>
      <c r="AA488" s="467">
        <f t="shared" ca="1" si="253"/>
        <v>1</v>
      </c>
    </row>
    <row r="489" spans="1:27" x14ac:dyDescent="0.35">
      <c r="A489" s="468">
        <f>A478+1</f>
        <v>53</v>
      </c>
      <c r="B489" s="477">
        <v>2</v>
      </c>
      <c r="C489" s="477">
        <f ca="1">IFERROR(IF(B489&gt;MatchDay!$U$2,"",VLOOKUP($A486,timetables,MatchDay!$U$4+B489-1,FALSE)),0)</f>
        <v>2</v>
      </c>
      <c r="D489" s="467" t="str">
        <f ca="1">IFERROR(HLOOKUP(C489,Declarations!$D$2:$S$102,A488,FALSE),"")</f>
        <v>PADDON Freya</v>
      </c>
      <c r="E489" s="467" t="str">
        <f t="shared" ref="E489:E495" ca="1" si="272">IFERROR(VLOOKUP(C489,teamlookup,5,FALSE),"")</f>
        <v>Sheff+D</v>
      </c>
      <c r="F489" s="466"/>
      <c r="G489" s="476"/>
      <c r="H489" s="477">
        <v>2</v>
      </c>
      <c r="I489" s="477">
        <f t="shared" ref="I489:I495" ca="1" si="273">IFERROR(C489*11,"")</f>
        <v>22</v>
      </c>
      <c r="J489" s="467" t="str">
        <f ca="1">IFERROR(HLOOKUP(I489,Declarations!$D$2:$S$102,$A488,FALSE),"")</f>
        <v>PADDON Olivia</v>
      </c>
      <c r="K489" s="467" t="str">
        <f t="shared" ca="1" si="269"/>
        <v>Sheff+D</v>
      </c>
      <c r="N489" s="478"/>
      <c r="P489" s="468">
        <f ca="1">IFERROR(IF(OR(D489=0,D489="-",D489="",D489=" ",D489=" ",D489="Athlete"),"",IF($A494&gt;0,VLOOKUP(D489,female_reg,3,FALSE)-C489*10,VLOOKUP(D489,male_reg,3,FALSE)-C489*10)),2)</f>
        <v>1</v>
      </c>
      <c r="Q489" s="468">
        <f ca="1">IFERROR(IF(OR(J489=0,J489="-",J489=" ",J489="",J489=" ",J489="Athlete"),"",IF($A494&gt;0,VLOOKUP(J489,female_reg,3,FALSE)-C489*10,VLOOKUP(J489,male_reg,3,FALSE)-C489*10)),2)</f>
        <v>1</v>
      </c>
      <c r="T489" s="468">
        <f t="shared" ca="1" si="250"/>
        <v>3</v>
      </c>
      <c r="U489" s="468">
        <f t="shared" ca="1" si="251"/>
        <v>3</v>
      </c>
      <c r="V489" s="467" t="str">
        <f t="shared" ca="1" si="270"/>
        <v>PADDON FreyaSheff+D</v>
      </c>
      <c r="W489" s="467" t="str">
        <f t="shared" ca="1" si="271"/>
        <v>PADDON OliviaSheff+D</v>
      </c>
      <c r="Z489" s="467">
        <f t="shared" ca="1" si="252"/>
        <v>4</v>
      </c>
      <c r="AA489" s="467">
        <f t="shared" ca="1" si="253"/>
        <v>4</v>
      </c>
    </row>
    <row r="490" spans="1:27" x14ac:dyDescent="0.35">
      <c r="A490" s="118">
        <f ca="1">IFERROR(VLOOKUP(A486,standards,3,FALSE)+0.01,"-")</f>
        <v>32.86</v>
      </c>
      <c r="B490" s="477">
        <v>3</v>
      </c>
      <c r="C490" s="477">
        <f ca="1">IFERROR(IF(B490&gt;MatchDay!$U$2,"",VLOOKUP($A486,timetables,MatchDay!$U$4+B490-1,FALSE)),0)</f>
        <v>5</v>
      </c>
      <c r="D490" s="467" t="str">
        <f ca="1">IFERROR(HLOOKUP(C490,Declarations!$D$2:$S$102,A488,FALSE),"")</f>
        <v>BETTS Demi</v>
      </c>
      <c r="E490" s="467" t="str">
        <f t="shared" ca="1" si="272"/>
        <v>Scun</v>
      </c>
      <c r="F490" s="466"/>
      <c r="G490" s="476"/>
      <c r="H490" s="477">
        <v>3</v>
      </c>
      <c r="I490" s="477">
        <f t="shared" ca="1" si="273"/>
        <v>55</v>
      </c>
      <c r="J490" s="467" t="str">
        <f ca="1">IFERROR(HLOOKUP(I490,Declarations!$D$2:$S$102,$A488,FALSE),"")</f>
        <v>-</v>
      </c>
      <c r="K490" s="467" t="str">
        <f t="shared" ca="1" si="269"/>
        <v>Scun</v>
      </c>
      <c r="N490" s="478"/>
      <c r="P490" s="468">
        <f ca="1">IFERROR(IF(OR(D490=0,D490="-",D490="",D490=" ",D490=" ",D490="Athlete"),"",IF($A494&gt;0,VLOOKUP(D490,female_reg,3,FALSE)-C490*10,VLOOKUP(D490,male_reg,3,FALSE)-C490*10)),2)</f>
        <v>1</v>
      </c>
      <c r="Q490" s="468" t="str">
        <f ca="1">IFERROR(IF(OR(J490=0,J490="-",J490=" ",J490="",J490=" ",J490="Athlete"),"",IF($A494&gt;0,VLOOKUP(J490,female_reg,3,FALSE)-C490*10,VLOOKUP(J490,male_reg,3,FALSE)-C490*10)),2)</f>
        <v/>
      </c>
      <c r="T490" s="468">
        <f t="shared" ca="1" si="250"/>
        <v>3</v>
      </c>
      <c r="U490" s="468">
        <f t="shared" ca="1" si="251"/>
        <v>0</v>
      </c>
      <c r="V490" s="467" t="str">
        <f t="shared" ca="1" si="270"/>
        <v>BETTS DemiScun</v>
      </c>
      <c r="W490" s="467" t="str">
        <f t="shared" ca="1" si="271"/>
        <v>X</v>
      </c>
      <c r="Z490" s="467">
        <f t="shared" ca="1" si="252"/>
        <v>4</v>
      </c>
      <c r="AA490" s="467">
        <f t="shared" ca="1" si="253"/>
        <v>0</v>
      </c>
    </row>
    <row r="491" spans="1:27" x14ac:dyDescent="0.35">
      <c r="A491" s="118">
        <f ca="1">IFERROR(VLOOKUP(A486,standards,4,FALSE)+0.01,"-")</f>
        <v>29.91</v>
      </c>
      <c r="B491" s="477">
        <v>4</v>
      </c>
      <c r="C491" s="477">
        <f ca="1">IFERROR(IF(B491&gt;MatchDay!$U$2,"",VLOOKUP($A486,timetables,MatchDay!$U$4+B491-1,FALSE)),0)</f>
        <v>1</v>
      </c>
      <c r="D491" s="467" t="str">
        <f ca="1">IFERROR(HLOOKUP(C491,Declarations!$D$2:$S$102,A488,FALSE),"")</f>
        <v>BAINES Lily</v>
      </c>
      <c r="E491" s="467" t="str">
        <f t="shared" ca="1" si="272"/>
        <v>C'field</v>
      </c>
      <c r="F491" s="466"/>
      <c r="G491" s="476"/>
      <c r="H491" s="477">
        <v>4</v>
      </c>
      <c r="I491" s="477">
        <f t="shared" ca="1" si="273"/>
        <v>11</v>
      </c>
      <c r="J491" s="467" t="str">
        <f ca="1">IFERROR(HLOOKUP(I491,Declarations!$D$2:$S$102,$A488,FALSE),"")</f>
        <v>KIRKWOOD Eva</v>
      </c>
      <c r="K491" s="467" t="str">
        <f t="shared" ca="1" si="269"/>
        <v>C'field</v>
      </c>
      <c r="N491" s="478"/>
      <c r="P491" s="468">
        <f ca="1">IFERROR(IF(OR(D491=0,D491="-",D491="",D491=" ",D491=" ",D491="Athlete"),"",IF($A494&gt;0,VLOOKUP(D491,female_reg,3,FALSE)-C491*10,VLOOKUP(D491,male_reg,3,FALSE)-C491*10)),2)</f>
        <v>1</v>
      </c>
      <c r="Q491" s="468">
        <f ca="1">IFERROR(IF(OR(J491=0,J491="-",J491=" ",J491="",J491=" ",J491="Athlete"),"",IF($A494&gt;0,VLOOKUP(J491,female_reg,3,FALSE)-C491*10,VLOOKUP(J491,male_reg,3,FALSE)-C491*10)),2)</f>
        <v>1</v>
      </c>
      <c r="T491" s="468">
        <f t="shared" ca="1" si="250"/>
        <v>3</v>
      </c>
      <c r="U491" s="468">
        <f t="shared" ca="1" si="251"/>
        <v>3</v>
      </c>
      <c r="V491" s="467" t="str">
        <f t="shared" ca="1" si="270"/>
        <v>BAINES LilyC'field</v>
      </c>
      <c r="W491" s="467" t="str">
        <f t="shared" ca="1" si="271"/>
        <v>KIRKWOOD EvaC'field</v>
      </c>
      <c r="Z491" s="467">
        <f t="shared" ca="1" si="252"/>
        <v>4</v>
      </c>
      <c r="AA491" s="467">
        <f t="shared" ca="1" si="253"/>
        <v>4</v>
      </c>
    </row>
    <row r="492" spans="1:27" x14ac:dyDescent="0.35">
      <c r="A492" s="118">
        <f ca="1">IFERROR(VLOOKUP(A486,standards,5,FALSE)+0.01,"-")</f>
        <v>26.76</v>
      </c>
      <c r="B492" s="477">
        <v>5</v>
      </c>
      <c r="C492" s="477">
        <f ca="1">IFERROR(IF(B492&gt;MatchDay!$U$2,"",VLOOKUP($A486,timetables,MatchDay!$U$4+B492-1,FALSE)),0)</f>
        <v>3</v>
      </c>
      <c r="D492" s="467" t="str">
        <f ca="1">IFERROR(HLOOKUP(C492,Declarations!$D$2:$S$102,A488,FALSE),"")</f>
        <v>CROSBY Alice</v>
      </c>
      <c r="E492" s="467" t="str">
        <f t="shared" ca="1" si="272"/>
        <v>York</v>
      </c>
      <c r="F492" s="466"/>
      <c r="G492" s="476"/>
      <c r="H492" s="477">
        <v>5</v>
      </c>
      <c r="I492" s="477">
        <f t="shared" ca="1" si="273"/>
        <v>33</v>
      </c>
      <c r="J492" s="467" t="str">
        <f ca="1">IFERROR(HLOOKUP(I492,Declarations!$D$2:$S$102,$A488,FALSE),"")</f>
        <v>HICKLING Rosie</v>
      </c>
      <c r="K492" s="467" t="str">
        <f t="shared" ca="1" si="269"/>
        <v>York</v>
      </c>
      <c r="N492" s="478"/>
      <c r="P492" s="468">
        <f ca="1">IFERROR(IF(OR(D492=0,D492="-",D492="",D492=" ",D492=" ",D492="Athlete"),"",IF($A494&gt;0,VLOOKUP(D492,female_reg,3,FALSE)-C492*10,VLOOKUP(D492,male_reg,3,FALSE)-C492*10)),2)</f>
        <v>1</v>
      </c>
      <c r="Q492" s="468">
        <f ca="1">IFERROR(IF(OR(J492=0,J492="-",J492=" ",J492="",J492=" ",J492="Athlete"),"",IF($A494&gt;0,VLOOKUP(J492,female_reg,3,FALSE)-C492*10,VLOOKUP(J492,male_reg,3,FALSE)-C492*10)),2)</f>
        <v>1</v>
      </c>
      <c r="T492" s="468">
        <f t="shared" ca="1" si="250"/>
        <v>3</v>
      </c>
      <c r="U492" s="468">
        <f t="shared" ca="1" si="251"/>
        <v>2</v>
      </c>
      <c r="V492" s="467" t="str">
        <f t="shared" ca="1" si="270"/>
        <v>CROSBY AliceYork</v>
      </c>
      <c r="W492" s="467" t="str">
        <f t="shared" ca="1" si="271"/>
        <v>HICKLING RosieYork</v>
      </c>
      <c r="Z492" s="467">
        <f t="shared" ca="1" si="252"/>
        <v>3</v>
      </c>
      <c r="AA492" s="467">
        <f t="shared" ca="1" si="253"/>
        <v>3</v>
      </c>
    </row>
    <row r="493" spans="1:27" x14ac:dyDescent="0.35">
      <c r="A493" s="118">
        <f ca="1">IFERROR(VLOOKUP(A486,standards,6,FALSE)+0.01,"-")</f>
        <v>22.51</v>
      </c>
      <c r="B493" s="477">
        <v>6</v>
      </c>
      <c r="C493" s="477" t="str">
        <f>IFERROR(IF(B493&gt;MatchDay!$U$2,"",VLOOKUP($A486,timetables,MatchDay!$U$4+B493-1,FALSE)),0)</f>
        <v/>
      </c>
      <c r="D493" s="467" t="str">
        <f>IFERROR(HLOOKUP(C493,Declarations!$D$2:$S$102,A488,FALSE),"")</f>
        <v/>
      </c>
      <c r="E493" s="467" t="str">
        <f t="shared" si="272"/>
        <v/>
      </c>
      <c r="F493" s="466"/>
      <c r="G493" s="476"/>
      <c r="H493" s="477">
        <v>6</v>
      </c>
      <c r="I493" s="477" t="str">
        <f t="shared" si="273"/>
        <v/>
      </c>
      <c r="J493" s="467" t="str">
        <f>IFERROR(HLOOKUP(I493,Declarations!$D$2:$S$102,$A488,FALSE),"")</f>
        <v/>
      </c>
      <c r="K493" s="467" t="str">
        <f t="shared" si="269"/>
        <v/>
      </c>
      <c r="N493" s="478"/>
      <c r="P493" s="468" t="str">
        <f>IFERROR(IF(OR(D493=0,D493="-",D493="",D493=" ",D493=" ",D493="Athlete"),"",IF($A494&gt;0,VLOOKUP(D493,female_reg,3,FALSE)-C493*10,VLOOKUP(D493,male_reg,3,FALSE)-C493*10)),2)</f>
        <v/>
      </c>
      <c r="Q493" s="468" t="str">
        <f>IFERROR(IF(OR(J493=0,J493="-",J493=" ",J493="",J493=" ",J493="Athlete"),"",IF($A494&gt;0,VLOOKUP(J493,female_reg,3,FALSE)-C493*10,VLOOKUP(J493,male_reg,3,FALSE)-C493*10)),2)</f>
        <v/>
      </c>
      <c r="T493" s="468">
        <f t="shared" si="250"/>
        <v>0</v>
      </c>
      <c r="U493" s="468">
        <f t="shared" si="251"/>
        <v>0</v>
      </c>
      <c r="V493" s="467" t="str">
        <f t="shared" si="270"/>
        <v>X</v>
      </c>
      <c r="W493" s="467" t="str">
        <f t="shared" si="271"/>
        <v>X</v>
      </c>
      <c r="Z493" s="467">
        <f t="shared" si="252"/>
        <v>0</v>
      </c>
      <c r="AA493" s="467">
        <f t="shared" si="253"/>
        <v>0</v>
      </c>
    </row>
    <row r="494" spans="1:27" x14ac:dyDescent="0.35">
      <c r="A494" s="479">
        <f ca="1">IFERROR(SEARCH("Girls",B486),0)</f>
        <v>13</v>
      </c>
      <c r="B494" s="477">
        <v>7</v>
      </c>
      <c r="C494" s="477" t="str">
        <f>IFERROR(IF(B494&gt;MatchDay!$U$2,"",VLOOKUP($A486,timetables,MatchDay!$U$4+B494-1,FALSE)),0)</f>
        <v/>
      </c>
      <c r="D494" s="467" t="str">
        <f>IFERROR(HLOOKUP(C494,Declarations!$D$2:$S$102,A488,FALSE),"")</f>
        <v/>
      </c>
      <c r="E494" s="467" t="str">
        <f t="shared" si="272"/>
        <v/>
      </c>
      <c r="F494" s="466"/>
      <c r="G494" s="476"/>
      <c r="H494" s="477">
        <v>7</v>
      </c>
      <c r="I494" s="477" t="str">
        <f t="shared" si="273"/>
        <v/>
      </c>
      <c r="J494" s="467" t="str">
        <f>IFERROR(HLOOKUP(I494,Declarations!$D$2:$S$102,$A488,FALSE),"")</f>
        <v/>
      </c>
      <c r="K494" s="467" t="str">
        <f t="shared" si="269"/>
        <v/>
      </c>
      <c r="N494" s="478"/>
      <c r="P494" s="468" t="str">
        <f>IFERROR(IF(OR(D494=0,D494="-",D494="",D494=" ",D494=" ",D494="Athlete"),"",IF($A494&gt;0,VLOOKUP(D494,female_reg,3,FALSE)-C494*10,VLOOKUP(D494,male_reg,3,FALSE)-C494*10)),2)</f>
        <v/>
      </c>
      <c r="Q494" s="468" t="str">
        <f>IFERROR(IF(OR(J494=0,J494="-",J494=" ",J494="",J494=" ",J494="Athlete"),"",IF($A494&gt;0,VLOOKUP(J494,female_reg,3,FALSE)-C494*10,VLOOKUP(J494,male_reg,3,FALSE)-C494*10)),2)</f>
        <v/>
      </c>
      <c r="T494" s="468">
        <f t="shared" si="250"/>
        <v>0</v>
      </c>
      <c r="U494" s="468">
        <f t="shared" si="251"/>
        <v>0</v>
      </c>
      <c r="V494" s="467" t="str">
        <f t="shared" si="270"/>
        <v>X</v>
      </c>
      <c r="W494" s="467" t="str">
        <f t="shared" si="271"/>
        <v>X</v>
      </c>
      <c r="Z494" s="467">
        <f t="shared" si="252"/>
        <v>0</v>
      </c>
      <c r="AA494" s="467">
        <f t="shared" si="253"/>
        <v>0</v>
      </c>
    </row>
    <row r="495" spans="1:27" x14ac:dyDescent="0.35">
      <c r="A495" s="116">
        <f ca="1">IFERROR(VLOOKUP(A486,records,5,FALSE),"")</f>
        <v>45.76</v>
      </c>
      <c r="B495" s="477">
        <v>8</v>
      </c>
      <c r="C495" s="477" t="str">
        <f>IFERROR(IF(B495&gt;MatchDay!$U$2,"",VLOOKUP($A486,timetables,MatchDay!$U$4+B495-1,FALSE)),0)</f>
        <v/>
      </c>
      <c r="D495" s="467" t="str">
        <f>IFERROR(HLOOKUP(C495,Declarations!$D$2:$S$102,A488,FALSE),"")</f>
        <v/>
      </c>
      <c r="E495" s="467" t="str">
        <f t="shared" si="272"/>
        <v/>
      </c>
      <c r="F495" s="466"/>
      <c r="G495" s="476"/>
      <c r="H495" s="477">
        <v>8</v>
      </c>
      <c r="I495" s="477" t="str">
        <f t="shared" si="273"/>
        <v/>
      </c>
      <c r="J495" s="467" t="str">
        <f>IFERROR(HLOOKUP(I495,Declarations!$D$2:$S$102,$A488,FALSE),"")</f>
        <v/>
      </c>
      <c r="K495" s="467" t="str">
        <f t="shared" si="269"/>
        <v/>
      </c>
      <c r="N495" s="478"/>
      <c r="P495" s="468" t="str">
        <f>IFERROR(IF(OR(D495=0,D495="-",D495="",D495=" ",D495=" ",D495="Athlete"),"",IF($A494&gt;0,VLOOKUP(D495,female_reg,3,FALSE)-C495*10,VLOOKUP(D495,male_reg,3,FALSE)-C495*10)),2)</f>
        <v/>
      </c>
      <c r="Q495" s="468" t="str">
        <f>IFERROR(IF(OR(J495=0,J495="-",J495=" ",J495="",J495=" ",J495="Athlete"),"",IF($A494&gt;0,VLOOKUP(J495,female_reg,3,FALSE)-C495*10,VLOOKUP(J495,male_reg,3,FALSE)-C495*10)),2)</f>
        <v/>
      </c>
      <c r="T495" s="468">
        <f t="shared" si="250"/>
        <v>0</v>
      </c>
      <c r="U495" s="468">
        <f t="shared" si="251"/>
        <v>0</v>
      </c>
      <c r="V495" s="467" t="str">
        <f t="shared" si="270"/>
        <v>X</v>
      </c>
      <c r="W495" s="467" t="str">
        <f t="shared" si="271"/>
        <v>X</v>
      </c>
      <c r="Z495" s="467">
        <f t="shared" si="252"/>
        <v>0</v>
      </c>
      <c r="AA495" s="467">
        <f t="shared" si="253"/>
        <v>0</v>
      </c>
    </row>
    <row r="496" spans="1:27" x14ac:dyDescent="0.35">
      <c r="P496" s="468" t="str">
        <f>IFERROR(IF(OR(D496=0,D496="-",D496="",D496=" ",D496=" ",D496="Athlete"),"",IF($A494&gt;0,VLOOKUP(D496,female_reg,3,FALSE)-C496*10,VLOOKUP(D496,male_reg,3,FALSE)-C496*10)),"X")</f>
        <v/>
      </c>
      <c r="Q496" s="468" t="str">
        <f>IFERROR(IF(OR(J496=0,J496="-",J496=" ",J496="",J496=" ",J496="Athlete"),"",IF($A494&gt;0,VLOOKUP(J496,female_reg,3,FALSE)-C496*10,VLOOKUP(J496,male_reg,3,FALSE)-C496*10)),"X")</f>
        <v/>
      </c>
      <c r="T496" s="468">
        <f t="shared" ca="1" si="250"/>
        <v>0</v>
      </c>
      <c r="U496" s="468">
        <f t="shared" ca="1" si="251"/>
        <v>0</v>
      </c>
      <c r="Z496" s="467">
        <f t="shared" ca="1" si="252"/>
        <v>0</v>
      </c>
      <c r="AA496" s="467">
        <f t="shared" ca="1" si="253"/>
        <v>0</v>
      </c>
    </row>
    <row r="497" spans="1:27" x14ac:dyDescent="0.35">
      <c r="A497" s="111" t="str">
        <f ca="1">IFERROR(INDIRECT(CONCATENATE("'Timetables'!A"&amp;A500)),"")</f>
        <v>LFW03</v>
      </c>
      <c r="B497" s="469" t="str">
        <f ca="1">IFERROR(VLOOKUP(A497,timetables,2,FALSE)&amp;" "&amp;VLOOKUP(A497,timetables,3,FALSE)&amp;" A","")</f>
        <v>Long Jump U13 Girls A</v>
      </c>
      <c r="C497" s="469"/>
      <c r="E497" s="470" t="str">
        <f ca="1">"Starts "&amp;TEXT(VLOOKUP(A497,timetables,7-MatchDay!$U$7,FALSE),"hh:mm")</f>
        <v>Starts 14:30</v>
      </c>
      <c r="F497" s="471"/>
      <c r="H497" s="472" t="str">
        <f ca="1">IFERROR("Rec: "&amp;TEXT(VLOOKUP(A497,records,5,FALSE),"#0.00")&amp;"m, "&amp;VLOOKUP(A497,records,3,FALSE)&amp;", "&amp;VLOOKUP(A497,records,4,FALSE)&amp;", "&amp;VLOOKUP(A497,records,8,FALSE),"")</f>
        <v>Rec: 5.16m, Ore Adamson, Herne Hill Harriers, 2014</v>
      </c>
      <c r="K497" s="473"/>
      <c r="L497" s="474"/>
      <c r="M497" s="467"/>
      <c r="P497" s="468" t="str">
        <f>IFERROR(IF(OR(D497=0,D497="-",D497="",D497=" ",D497=" ",D497="Athlete"),"",IF($A505&gt;0,VLOOKUP(D497,female_reg,3,FALSE)-C497*10,VLOOKUP(D497,male_reg,3,FALSE)-C497*10)),"X")</f>
        <v/>
      </c>
      <c r="Q497" s="468" t="str">
        <f>IFERROR(IF(OR(J497=0,J497="-",J497=" ",J497="",J497=" ",J497="Athlete"),"",IF($A505&gt;0,VLOOKUP(J497,female_reg,3,FALSE)-C497*10,VLOOKUP(J497,male_reg,3,FALSE)-C497*10)),"X")</f>
        <v/>
      </c>
      <c r="T497" s="468">
        <f t="shared" ca="1" si="250"/>
        <v>0</v>
      </c>
      <c r="U497" s="468">
        <f t="shared" ca="1" si="251"/>
        <v>0</v>
      </c>
      <c r="Z497" s="467">
        <f t="shared" ca="1" si="252"/>
        <v>0</v>
      </c>
      <c r="AA497" s="467">
        <f t="shared" ca="1" si="253"/>
        <v>0</v>
      </c>
    </row>
    <row r="498" spans="1:27" x14ac:dyDescent="0.35">
      <c r="A498" s="85" t="str">
        <f ca="1">MID(A497,2,3)</f>
        <v>FW0</v>
      </c>
      <c r="B498" s="9" t="s">
        <v>163</v>
      </c>
      <c r="C498" s="9" t="s">
        <v>183</v>
      </c>
      <c r="D498" s="46" t="s">
        <v>227</v>
      </c>
      <c r="E498" s="46" t="s">
        <v>228</v>
      </c>
      <c r="F498" s="475"/>
      <c r="G498" s="46"/>
      <c r="H498" s="9" t="s">
        <v>163</v>
      </c>
      <c r="I498" s="9" t="s">
        <v>183</v>
      </c>
      <c r="J498" s="46" t="s">
        <v>227</v>
      </c>
      <c r="K498" s="46" t="s">
        <v>228</v>
      </c>
      <c r="L498" s="475"/>
      <c r="M498" s="475"/>
      <c r="N498" s="52"/>
      <c r="P498" s="468" t="str">
        <f>IFERROR(IF(OR(D498=0,D498="-",D498="",D498=" ",D498=" ",D498="Athlete"),"",IF($A505&gt;0,VLOOKUP(D498,female_reg,3,FALSE)-C498*10,VLOOKUP(D498,male_reg,3,FALSE)-C498*10)),"X")</f>
        <v/>
      </c>
      <c r="Q498" s="468" t="str">
        <f>IFERROR(IF(OR(J498=0,J498="-",J498=" ",J498="",J498=" ",J498="Athlete"),"",IF($A505&gt;0,VLOOKUP(J498,female_reg,3,FALSE)-C498*10,VLOOKUP(J498,male_reg,3,FALSE)-C498*10)),"X")</f>
        <v/>
      </c>
      <c r="T498" s="468">
        <f t="shared" ca="1" si="250"/>
        <v>0</v>
      </c>
      <c r="U498" s="468">
        <f t="shared" ca="1" si="251"/>
        <v>0</v>
      </c>
      <c r="Z498" s="467">
        <f t="shared" ca="1" si="252"/>
        <v>0</v>
      </c>
      <c r="AA498" s="467">
        <f t="shared" ca="1" si="253"/>
        <v>0</v>
      </c>
    </row>
    <row r="499" spans="1:27" x14ac:dyDescent="0.35">
      <c r="A499" s="181">
        <f ca="1">IFERROR(VLOOKUP(A497,Timetables!$A:$E,5,FALSE)-1,"")</f>
        <v>43</v>
      </c>
      <c r="B499" s="477">
        <v>1</v>
      </c>
      <c r="C499" s="477">
        <f ca="1">IFERROR(IF(B499&gt;MatchDay!$U$2,"",VLOOKUP($A497,timetables,MatchDay!$U$4+B499-1,FALSE)),0)</f>
        <v>1</v>
      </c>
      <c r="D499" s="467" t="str">
        <f ca="1">IFERROR(HLOOKUP(C499,Declarations!$D$2:$S$102,A499,FALSE),"")</f>
        <v>FELLOWS Isabelle</v>
      </c>
      <c r="E499" s="467" t="str">
        <f ca="1">IFERROR(VLOOKUP(C499,teamlookup,5,FALSE),"")</f>
        <v>C'field</v>
      </c>
      <c r="F499" s="466"/>
      <c r="G499" s="476"/>
      <c r="H499" s="477">
        <v>1</v>
      </c>
      <c r="I499" s="477">
        <f ca="1">IFERROR(C499*11,"")</f>
        <v>11</v>
      </c>
      <c r="J499" s="467" t="str">
        <f ca="1">IFERROR(HLOOKUP(I499,Declarations!$D$2:$S$102,$A499,FALSE),"")</f>
        <v>HUMPHREYS Melissa</v>
      </c>
      <c r="K499" s="467" t="str">
        <f t="shared" ref="K499:K506" ca="1" si="274">IFERROR(VLOOKUP(I499,teamlookup,5,FALSE),"")</f>
        <v>C'field</v>
      </c>
      <c r="N499" s="478"/>
      <c r="P499" s="468">
        <f ca="1">IFERROR(IF(OR(D499=0,D499="-",D499="",D499=" ",D499=" ",D499="Athlete"),"",IF($A505&gt;0,VLOOKUP(D499,female_reg,3,FALSE)-C499*10,VLOOKUP(D499,male_reg,3,FALSE)-C499*10)),2)</f>
        <v>1</v>
      </c>
      <c r="Q499" s="468">
        <f ca="1">IFERROR(IF(OR(J499=0,J499="-",J499=" ",J499="",J499=" ",J499="Athlete"),"",IF($A505&gt;0,VLOOKUP(J499,female_reg,3,FALSE)-C499*10,VLOOKUP(J499,male_reg,3,FALSE)-C499*10)),2)</f>
        <v>1</v>
      </c>
      <c r="T499" s="468">
        <f t="shared" ca="1" si="250"/>
        <v>3</v>
      </c>
      <c r="U499" s="468">
        <f t="shared" ca="1" si="251"/>
        <v>3</v>
      </c>
      <c r="V499" s="467" t="str">
        <f t="shared" ref="V499:V506" ca="1" si="275">IFERROR(IF(OR(D499=0,D499="-",D499="",D499=" ",D499=" "),"X",D499&amp;E499),"X")</f>
        <v>FELLOWS IsabelleC'field</v>
      </c>
      <c r="W499" s="467" t="str">
        <f t="shared" ref="W499:W506" ca="1" si="276">IFERROR(IF(OR(J499=0,J499="-",J499="",J499=" ",J499=" "),"X",J499&amp;K499),"X")</f>
        <v>HUMPHREYS MelissaC'field</v>
      </c>
      <c r="Z499" s="467">
        <f t="shared" ca="1" si="252"/>
        <v>3</v>
      </c>
      <c r="AA499" s="467">
        <f t="shared" ca="1" si="253"/>
        <v>3</v>
      </c>
    </row>
    <row r="500" spans="1:27" x14ac:dyDescent="0.35">
      <c r="A500" s="468">
        <f>A489+1</f>
        <v>54</v>
      </c>
      <c r="B500" s="477">
        <v>2</v>
      </c>
      <c r="C500" s="477">
        <f ca="1">IFERROR(IF(B500&gt;MatchDay!$U$2,"",VLOOKUP($A497,timetables,MatchDay!$U$4+B500-1,FALSE)),0)</f>
        <v>5</v>
      </c>
      <c r="D500" s="467" t="str">
        <f ca="1">IFERROR(HLOOKUP(C500,Declarations!$D$2:$S$102,A499,FALSE),"")</f>
        <v>STOW Libby</v>
      </c>
      <c r="E500" s="467" t="str">
        <f t="shared" ref="E500:E506" ca="1" si="277">IFERROR(VLOOKUP(C500,teamlookup,5,FALSE),"")</f>
        <v>Scun</v>
      </c>
      <c r="F500" s="466"/>
      <c r="G500" s="476"/>
      <c r="H500" s="477">
        <v>2</v>
      </c>
      <c r="I500" s="477">
        <f t="shared" ref="I500:I506" ca="1" si="278">IFERROR(C500*11,"")</f>
        <v>55</v>
      </c>
      <c r="J500" s="467" t="str">
        <f ca="1">IFERROR(HLOOKUP(I500,Declarations!$D$2:$S$102,$A499,FALSE),"")</f>
        <v>HAYES Zara</v>
      </c>
      <c r="K500" s="467" t="str">
        <f t="shared" ca="1" si="274"/>
        <v>Scun</v>
      </c>
      <c r="N500" s="478"/>
      <c r="P500" s="468">
        <f ca="1">IFERROR(IF(OR(D500=0,D500="-",D500="",D500=" ",D500=" ",D500="Athlete"),"",IF($A505&gt;0,VLOOKUP(D500,female_reg,3,FALSE)-C500*10,VLOOKUP(D500,male_reg,3,FALSE)-C500*10)),2)</f>
        <v>1</v>
      </c>
      <c r="Q500" s="468">
        <f ca="1">IFERROR(IF(OR(J500=0,J500="-",J500=" ",J500="",J500=" ",J500="Athlete"),"",IF($A505&gt;0,VLOOKUP(J500,female_reg,3,FALSE)-C500*10,VLOOKUP(J500,male_reg,3,FALSE)-C500*10)),2)</f>
        <v>1</v>
      </c>
      <c r="T500" s="468">
        <f t="shared" ca="1" si="250"/>
        <v>2</v>
      </c>
      <c r="U500" s="468">
        <f t="shared" ca="1" si="251"/>
        <v>3</v>
      </c>
      <c r="V500" s="467" t="str">
        <f t="shared" ca="1" si="275"/>
        <v>STOW LibbyScun</v>
      </c>
      <c r="W500" s="467" t="str">
        <f t="shared" ca="1" si="276"/>
        <v>HAYES ZaraScun</v>
      </c>
      <c r="Z500" s="467">
        <f t="shared" ca="1" si="252"/>
        <v>2</v>
      </c>
      <c r="AA500" s="467">
        <f t="shared" ca="1" si="253"/>
        <v>3</v>
      </c>
    </row>
    <row r="501" spans="1:27" x14ac:dyDescent="0.35">
      <c r="A501" s="118">
        <f ca="1">IFERROR(VLOOKUP(A497,standards,3,FALSE)+0.01,"-")</f>
        <v>4.51</v>
      </c>
      <c r="B501" s="477">
        <v>3</v>
      </c>
      <c r="C501" s="477">
        <f ca="1">IFERROR(IF(B501&gt;MatchDay!$U$2,"",VLOOKUP($A497,timetables,MatchDay!$U$4+B501-1,FALSE)),0)</f>
        <v>4</v>
      </c>
      <c r="D501" s="467" t="str">
        <f ca="1">IFERROR(HLOOKUP(C501,Declarations!$D$2:$S$102,A499,FALSE),"")</f>
        <v>WILMOT Amy</v>
      </c>
      <c r="E501" s="467" t="str">
        <f t="shared" ca="1" si="277"/>
        <v>M'bro</v>
      </c>
      <c r="F501" s="466"/>
      <c r="G501" s="476"/>
      <c r="H501" s="477">
        <v>3</v>
      </c>
      <c r="I501" s="477">
        <f t="shared" ca="1" si="278"/>
        <v>44</v>
      </c>
      <c r="J501" s="467" t="str">
        <f ca="1">IFERROR(HLOOKUP(I501,Declarations!$D$2:$S$102,$A499,FALSE),"")</f>
        <v>SULLOCK Beth</v>
      </c>
      <c r="K501" s="467" t="str">
        <f t="shared" ca="1" si="274"/>
        <v>M'bro</v>
      </c>
      <c r="N501" s="478"/>
      <c r="P501" s="468">
        <f ca="1">IFERROR(IF(OR(D501=0,D501="-",D501="",D501=" ",D501=" ",D501="Athlete"),"",IF($A505&gt;0,VLOOKUP(D501,female_reg,3,FALSE)-C501*10,VLOOKUP(D501,male_reg,3,FALSE)-C501*10)),2)</f>
        <v>1</v>
      </c>
      <c r="Q501" s="468">
        <f ca="1">IFERROR(IF(OR(J501=0,J501="-",J501=" ",J501="",J501=" ",J501="Athlete"),"",IF($A505&gt;0,VLOOKUP(J501,female_reg,3,FALSE)-C501*10,VLOOKUP(J501,male_reg,3,FALSE)-C501*10)),2)</f>
        <v>1</v>
      </c>
      <c r="T501" s="468">
        <f t="shared" ca="1" si="250"/>
        <v>2</v>
      </c>
      <c r="U501" s="468">
        <f t="shared" ca="1" si="251"/>
        <v>3</v>
      </c>
      <c r="V501" s="467" t="str">
        <f t="shared" ca="1" si="275"/>
        <v>WILMOT AmyM'bro</v>
      </c>
      <c r="W501" s="467" t="str">
        <f t="shared" ca="1" si="276"/>
        <v>SULLOCK BethM'bro</v>
      </c>
      <c r="Z501" s="467">
        <f t="shared" ca="1" si="252"/>
        <v>3</v>
      </c>
      <c r="AA501" s="467">
        <f t="shared" ca="1" si="253"/>
        <v>4</v>
      </c>
    </row>
    <row r="502" spans="1:27" x14ac:dyDescent="0.35">
      <c r="A502" s="118">
        <f ca="1">IFERROR(VLOOKUP(A497,standards,4,FALSE)+0.01,"-")</f>
        <v>4.3599999999999994</v>
      </c>
      <c r="B502" s="477">
        <v>4</v>
      </c>
      <c r="C502" s="477">
        <f ca="1">IFERROR(IF(B502&gt;MatchDay!$U$2,"",VLOOKUP($A497,timetables,MatchDay!$U$4+B502-1,FALSE)),0)</f>
        <v>2</v>
      </c>
      <c r="D502" s="467" t="str">
        <f ca="1">IFERROR(HLOOKUP(C502,Declarations!$D$2:$S$102,A499,FALSE),"")</f>
        <v>COOPER Amy</v>
      </c>
      <c r="E502" s="467" t="str">
        <f t="shared" ca="1" si="277"/>
        <v>Sheff+D</v>
      </c>
      <c r="F502" s="466"/>
      <c r="G502" s="476"/>
      <c r="H502" s="477">
        <v>4</v>
      </c>
      <c r="I502" s="477">
        <f t="shared" ca="1" si="278"/>
        <v>22</v>
      </c>
      <c r="J502" s="467" t="str">
        <f ca="1">IFERROR(HLOOKUP(I502,Declarations!$D$2:$S$102,$A499,FALSE),"")</f>
        <v>GROVE Abigail</v>
      </c>
      <c r="K502" s="467" t="str">
        <f t="shared" ca="1" si="274"/>
        <v>Sheff+D</v>
      </c>
      <c r="N502" s="478"/>
      <c r="P502" s="468">
        <f ca="1">IFERROR(IF(OR(D502=0,D502="-",D502="",D502=" ",D502=" ",D502="Athlete"),"",IF($A505&gt;0,VLOOKUP(D502,female_reg,3,FALSE)-C502*10,VLOOKUP(D502,male_reg,3,FALSE)-C502*10)),2)</f>
        <v>1</v>
      </c>
      <c r="Q502" s="468">
        <f ca="1">IFERROR(IF(OR(J502=0,J502="-",J502=" ",J502="",J502=" ",J502="Athlete"),"",IF($A505&gt;0,VLOOKUP(J502,female_reg,3,FALSE)-C502*10,VLOOKUP(J502,male_reg,3,FALSE)-C502*10)),2)</f>
        <v>1</v>
      </c>
      <c r="T502" s="468">
        <f t="shared" ca="1" si="250"/>
        <v>2</v>
      </c>
      <c r="U502" s="468">
        <f t="shared" ca="1" si="251"/>
        <v>3</v>
      </c>
      <c r="V502" s="467" t="str">
        <f t="shared" ca="1" si="275"/>
        <v>COOPER AmySheff+D</v>
      </c>
      <c r="W502" s="467" t="str">
        <f t="shared" ca="1" si="276"/>
        <v>GROVE AbigailSheff+D</v>
      </c>
      <c r="Z502" s="467">
        <f t="shared" ca="1" si="252"/>
        <v>2</v>
      </c>
      <c r="AA502" s="467">
        <f t="shared" ca="1" si="253"/>
        <v>4</v>
      </c>
    </row>
    <row r="503" spans="1:27" x14ac:dyDescent="0.35">
      <c r="A503" s="118">
        <f ca="1">IFERROR(VLOOKUP(A497,standards,5,FALSE)+0.01,"-")</f>
        <v>4.21</v>
      </c>
      <c r="B503" s="477">
        <v>5</v>
      </c>
      <c r="C503" s="477">
        <f ca="1">IFERROR(IF(B503&gt;MatchDay!$U$2,"",VLOOKUP($A497,timetables,MatchDay!$U$4+B503-1,FALSE)),0)</f>
        <v>3</v>
      </c>
      <c r="D503" s="467" t="str">
        <f ca="1">IFERROR(HLOOKUP(C503,Declarations!$D$2:$S$102,A499,FALSE),"")</f>
        <v>MAUDE Emily</v>
      </c>
      <c r="E503" s="467" t="str">
        <f t="shared" ca="1" si="277"/>
        <v>York</v>
      </c>
      <c r="F503" s="466"/>
      <c r="G503" s="476"/>
      <c r="H503" s="477">
        <v>5</v>
      </c>
      <c r="I503" s="477">
        <f t="shared" ca="1" si="278"/>
        <v>33</v>
      </c>
      <c r="J503" s="467" t="str">
        <f ca="1">IFERROR(HLOOKUP(I503,Declarations!$D$2:$S$102,$A499,FALSE),"")</f>
        <v>WRIGHT Ella</v>
      </c>
      <c r="K503" s="467" t="str">
        <f t="shared" ca="1" si="274"/>
        <v>York</v>
      </c>
      <c r="N503" s="478"/>
      <c r="P503" s="468">
        <f ca="1">IFERROR(IF(OR(D503=0,D503="-",D503="",D503=" ",D503=" ",D503="Athlete"),"",IF($A505&gt;0,VLOOKUP(D503,female_reg,3,FALSE)-C503*10,VLOOKUP(D503,male_reg,3,FALSE)-C503*10)),2)</f>
        <v>1</v>
      </c>
      <c r="Q503" s="468">
        <f ca="1">IFERROR(IF(OR(J503=0,J503="-",J503=" ",J503="",J503=" ",J503="Athlete"),"",IF($A505&gt;0,VLOOKUP(J503,female_reg,3,FALSE)-C503*10,VLOOKUP(J503,male_reg,3,FALSE)-C503*10)),2)</f>
        <v>1</v>
      </c>
      <c r="T503" s="468">
        <f t="shared" ca="1" si="250"/>
        <v>2</v>
      </c>
      <c r="U503" s="468">
        <f t="shared" ca="1" si="251"/>
        <v>3</v>
      </c>
      <c r="V503" s="467" t="str">
        <f t="shared" ca="1" si="275"/>
        <v>MAUDE EmilyYork</v>
      </c>
      <c r="W503" s="467" t="str">
        <f t="shared" ca="1" si="276"/>
        <v>WRIGHT EllaYork</v>
      </c>
      <c r="Z503" s="467">
        <f t="shared" ca="1" si="252"/>
        <v>3</v>
      </c>
      <c r="AA503" s="467">
        <f t="shared" ca="1" si="253"/>
        <v>3</v>
      </c>
    </row>
    <row r="504" spans="1:27" x14ac:dyDescent="0.35">
      <c r="A504" s="118">
        <f ca="1">IFERROR(VLOOKUP(A497,standards,6,FALSE)+0.01,"-")</f>
        <v>3.96</v>
      </c>
      <c r="B504" s="477">
        <v>6</v>
      </c>
      <c r="C504" s="477" t="str">
        <f>IFERROR(IF(B504&gt;MatchDay!$U$2,"",VLOOKUP($A497,timetables,MatchDay!$U$4+B504-1,FALSE)),0)</f>
        <v/>
      </c>
      <c r="D504" s="467" t="str">
        <f>IFERROR(HLOOKUP(C504,Declarations!$D$2:$S$102,A499,FALSE),"")</f>
        <v/>
      </c>
      <c r="E504" s="467" t="str">
        <f t="shared" si="277"/>
        <v/>
      </c>
      <c r="F504" s="466"/>
      <c r="G504" s="476"/>
      <c r="H504" s="477">
        <v>6</v>
      </c>
      <c r="I504" s="477" t="str">
        <f t="shared" si="278"/>
        <v/>
      </c>
      <c r="J504" s="467" t="str">
        <f>IFERROR(HLOOKUP(I504,Declarations!$D$2:$S$102,$A499,FALSE),"")</f>
        <v/>
      </c>
      <c r="K504" s="467" t="str">
        <f t="shared" si="274"/>
        <v/>
      </c>
      <c r="N504" s="478"/>
      <c r="P504" s="468" t="str">
        <f>IFERROR(IF(OR(D504=0,D504="-",D504="",D504=" ",D504=" ",D504="Athlete"),"",IF($A505&gt;0,VLOOKUP(D504,female_reg,3,FALSE)-C504*10,VLOOKUP(D504,male_reg,3,FALSE)-C504*10)),2)</f>
        <v/>
      </c>
      <c r="Q504" s="468" t="str">
        <f>IFERROR(IF(OR(J504=0,J504="-",J504=" ",J504="",J504=" ",J504="Athlete"),"",IF($A505&gt;0,VLOOKUP(J504,female_reg,3,FALSE)-C504*10,VLOOKUP(J504,male_reg,3,FALSE)-C504*10)),2)</f>
        <v/>
      </c>
      <c r="T504" s="468">
        <f t="shared" si="250"/>
        <v>0</v>
      </c>
      <c r="U504" s="468">
        <f t="shared" si="251"/>
        <v>0</v>
      </c>
      <c r="V504" s="467" t="str">
        <f t="shared" si="275"/>
        <v>X</v>
      </c>
      <c r="W504" s="467" t="str">
        <f t="shared" si="276"/>
        <v>X</v>
      </c>
      <c r="Z504" s="467">
        <f t="shared" si="252"/>
        <v>0</v>
      </c>
      <c r="AA504" s="467">
        <f t="shared" si="253"/>
        <v>0</v>
      </c>
    </row>
    <row r="505" spans="1:27" x14ac:dyDescent="0.35">
      <c r="A505" s="479">
        <f ca="1">IFERROR(SEARCH("Girls",B497),0)</f>
        <v>15</v>
      </c>
      <c r="B505" s="477">
        <v>7</v>
      </c>
      <c r="C505" s="477" t="str">
        <f>IFERROR(IF(B505&gt;MatchDay!$U$2,"",VLOOKUP($A497,timetables,MatchDay!$U$4+B505-1,FALSE)),0)</f>
        <v/>
      </c>
      <c r="D505" s="467" t="str">
        <f>IFERROR(HLOOKUP(C505,Declarations!$D$2:$S$102,A499,FALSE),"")</f>
        <v/>
      </c>
      <c r="E505" s="467" t="str">
        <f t="shared" si="277"/>
        <v/>
      </c>
      <c r="F505" s="466"/>
      <c r="G505" s="476"/>
      <c r="H505" s="477">
        <v>7</v>
      </c>
      <c r="I505" s="477" t="str">
        <f t="shared" si="278"/>
        <v/>
      </c>
      <c r="J505" s="467" t="str">
        <f>IFERROR(HLOOKUP(I505,Declarations!$D$2:$S$102,$A499,FALSE),"")</f>
        <v/>
      </c>
      <c r="K505" s="467" t="str">
        <f t="shared" si="274"/>
        <v/>
      </c>
      <c r="N505" s="478"/>
      <c r="P505" s="468" t="str">
        <f>IFERROR(IF(OR(D505=0,D505="-",D505="",D505=" ",D505=" ",D505="Athlete"),"",IF($A505&gt;0,VLOOKUP(D505,female_reg,3,FALSE)-C505*10,VLOOKUP(D505,male_reg,3,FALSE)-C505*10)),2)</f>
        <v/>
      </c>
      <c r="Q505" s="468" t="str">
        <f>IFERROR(IF(OR(J505=0,J505="-",J505=" ",J505="",J505=" ",J505="Athlete"),"",IF($A505&gt;0,VLOOKUP(J505,female_reg,3,FALSE)-C505*10,VLOOKUP(J505,male_reg,3,FALSE)-C505*10)),2)</f>
        <v/>
      </c>
      <c r="T505" s="468">
        <f t="shared" si="250"/>
        <v>0</v>
      </c>
      <c r="U505" s="468">
        <f t="shared" si="251"/>
        <v>0</v>
      </c>
      <c r="V505" s="467" t="str">
        <f t="shared" si="275"/>
        <v>X</v>
      </c>
      <c r="W505" s="467" t="str">
        <f t="shared" si="276"/>
        <v>X</v>
      </c>
      <c r="Z505" s="467">
        <f t="shared" si="252"/>
        <v>0</v>
      </c>
      <c r="AA505" s="467">
        <f t="shared" si="253"/>
        <v>0</v>
      </c>
    </row>
    <row r="506" spans="1:27" x14ac:dyDescent="0.35">
      <c r="A506" s="116">
        <f ca="1">IFERROR(VLOOKUP(A497,records,5,FALSE),"")</f>
        <v>5.16</v>
      </c>
      <c r="B506" s="477">
        <v>8</v>
      </c>
      <c r="C506" s="477" t="str">
        <f>IFERROR(IF(B506&gt;MatchDay!$U$2,"",VLOOKUP($A497,timetables,MatchDay!$U$4+B506-1,FALSE)),0)</f>
        <v/>
      </c>
      <c r="D506" s="467" t="str">
        <f>IFERROR(HLOOKUP(C506,Declarations!$D$2:$S$102,A499,FALSE),"")</f>
        <v/>
      </c>
      <c r="E506" s="467" t="str">
        <f t="shared" si="277"/>
        <v/>
      </c>
      <c r="F506" s="466"/>
      <c r="G506" s="476"/>
      <c r="H506" s="477">
        <v>8</v>
      </c>
      <c r="I506" s="477" t="str">
        <f t="shared" si="278"/>
        <v/>
      </c>
      <c r="J506" s="467" t="str">
        <f>IFERROR(HLOOKUP(I506,Declarations!$D$2:$S$102,$A499,FALSE),"")</f>
        <v/>
      </c>
      <c r="K506" s="467" t="str">
        <f t="shared" si="274"/>
        <v/>
      </c>
      <c r="N506" s="478"/>
      <c r="P506" s="468" t="str">
        <f>IFERROR(IF(OR(D506=0,D506="-",D506="",D506=" ",D506=" ",D506="Athlete"),"",IF($A505&gt;0,VLOOKUP(D506,female_reg,3,FALSE)-C506*10,VLOOKUP(D506,male_reg,3,FALSE)-C506*10)),2)</f>
        <v/>
      </c>
      <c r="Q506" s="468" t="str">
        <f>IFERROR(IF(OR(J506=0,J506="-",J506=" ",J506="",J506=" ",J506="Athlete"),"",IF($A505&gt;0,VLOOKUP(J506,female_reg,3,FALSE)-C506*10,VLOOKUP(J506,male_reg,3,FALSE)-C506*10)),2)</f>
        <v/>
      </c>
      <c r="T506" s="468">
        <f t="shared" si="250"/>
        <v>0</v>
      </c>
      <c r="U506" s="468">
        <f t="shared" si="251"/>
        <v>0</v>
      </c>
      <c r="V506" s="467" t="str">
        <f t="shared" si="275"/>
        <v>X</v>
      </c>
      <c r="W506" s="467" t="str">
        <f t="shared" si="276"/>
        <v>X</v>
      </c>
      <c r="Z506" s="467">
        <f t="shared" si="252"/>
        <v>0</v>
      </c>
      <c r="AA506" s="467">
        <f t="shared" si="253"/>
        <v>0</v>
      </c>
    </row>
    <row r="507" spans="1:27" x14ac:dyDescent="0.35">
      <c r="P507" s="468" t="str">
        <f>IFERROR(IF(OR(D507=0,D507="-",D507="",D507=" ",D507=" ",D507="Athlete"),"",IF($A505&gt;0,VLOOKUP(D507,female_reg,3,FALSE)-C507*10,VLOOKUP(D507,male_reg,3,FALSE)-C507*10)),"X")</f>
        <v/>
      </c>
      <c r="Q507" s="468" t="str">
        <f>IFERROR(IF(OR(J507=0,J507="-",J507=" ",J507="",J507=" ",J507="Athlete"),"",IF($A505&gt;0,VLOOKUP(J507,female_reg,3,FALSE)-C507*10,VLOOKUP(J507,male_reg,3,FALSE)-C507*10)),"X")</f>
        <v/>
      </c>
      <c r="T507" s="468">
        <f t="shared" ca="1" si="250"/>
        <v>0</v>
      </c>
      <c r="U507" s="468">
        <f t="shared" ca="1" si="251"/>
        <v>0</v>
      </c>
      <c r="Z507" s="467">
        <f t="shared" ca="1" si="252"/>
        <v>0</v>
      </c>
      <c r="AA507" s="467">
        <f t="shared" ca="1" si="253"/>
        <v>0</v>
      </c>
    </row>
    <row r="508" spans="1:27" x14ac:dyDescent="0.35">
      <c r="A508" s="111" t="str">
        <f ca="1">IFERROR(INDIRECT(CONCATENATE("'Timetables'!A"&amp;A511)),"")</f>
        <v>LFH06</v>
      </c>
      <c r="B508" s="469" t="str">
        <f ca="1">IFERROR(VLOOKUP(A508,timetables,2,FALSE)&amp;" "&amp;VLOOKUP(A508,timetables,3,FALSE)&amp;" A","")</f>
        <v>High Jump U15 Boys A</v>
      </c>
      <c r="C508" s="469"/>
      <c r="E508" s="470" t="str">
        <f ca="1">"Starts "&amp;TEXT(VLOOKUP(A508,timetables,7-MatchDay!$U$7,FALSE),"hh:mm")</f>
        <v>Starts 14:30</v>
      </c>
      <c r="F508" s="471"/>
      <c r="H508" s="472" t="str">
        <f ca="1">IFERROR("Rec: "&amp;TEXT(VLOOKUP(A508,records,5,FALSE),"#0.00")&amp;"m, "&amp;VLOOKUP(A508,records,3,FALSE)&amp;", "&amp;VLOOKUP(A508,records,4,FALSE)&amp;", "&amp;VLOOKUP(A508,records,8,FALSE),"")</f>
        <v>Rec: 1.90m, David Bazuaye, Victoria Park &amp; Tower Hamlets AC, 2018</v>
      </c>
      <c r="K508" s="473"/>
      <c r="L508" s="474"/>
      <c r="M508" s="467"/>
      <c r="P508" s="468" t="str">
        <f>IFERROR(IF(OR(D508=0,D508="-",D508="",D508=" ",D508=" ",D508="Athlete"),"",IF($A516&gt;0,VLOOKUP(D508,female_reg,3,FALSE)-C508*10,VLOOKUP(D508,male_reg,3,FALSE)-C508*10)),"X")</f>
        <v/>
      </c>
      <c r="Q508" s="468" t="str">
        <f>IFERROR(IF(OR(J508=0,J508="-",J508=" ",J508="",J508=" ",J508="Athlete"),"",IF($A516&gt;0,VLOOKUP(J508,female_reg,3,FALSE)-C508*10,VLOOKUP(J508,male_reg,3,FALSE)-C508*10)),"X")</f>
        <v/>
      </c>
      <c r="T508" s="468">
        <f t="shared" ca="1" si="250"/>
        <v>0</v>
      </c>
      <c r="U508" s="468">
        <f t="shared" ca="1" si="251"/>
        <v>0</v>
      </c>
      <c r="Z508" s="467">
        <f t="shared" ca="1" si="252"/>
        <v>0</v>
      </c>
      <c r="AA508" s="467">
        <f t="shared" ca="1" si="253"/>
        <v>0</v>
      </c>
    </row>
    <row r="509" spans="1:27" x14ac:dyDescent="0.35">
      <c r="A509" s="85" t="str">
        <f ca="1">MID(A508,2,3)</f>
        <v>FH0</v>
      </c>
      <c r="B509" s="9" t="s">
        <v>163</v>
      </c>
      <c r="C509" s="9" t="s">
        <v>183</v>
      </c>
      <c r="D509" s="46" t="s">
        <v>227</v>
      </c>
      <c r="E509" s="46" t="s">
        <v>228</v>
      </c>
      <c r="F509" s="475"/>
      <c r="G509" s="46"/>
      <c r="H509" s="9" t="s">
        <v>163</v>
      </c>
      <c r="I509" s="9" t="s">
        <v>183</v>
      </c>
      <c r="J509" s="46" t="s">
        <v>227</v>
      </c>
      <c r="K509" s="46" t="s">
        <v>228</v>
      </c>
      <c r="L509" s="475"/>
      <c r="M509" s="475"/>
      <c r="N509" s="52"/>
      <c r="P509" s="468" t="str">
        <f>IFERROR(IF(OR(D509=0,D509="-",D509="",D509=" ",D509=" ",D509="Athlete"),"",IF($A516&gt;0,VLOOKUP(D509,female_reg,3,FALSE)-C509*10,VLOOKUP(D509,male_reg,3,FALSE)-C509*10)),"X")</f>
        <v/>
      </c>
      <c r="Q509" s="468" t="str">
        <f>IFERROR(IF(OR(J509=0,J509="-",J509=" ",J509="",J509=" ",J509="Athlete"),"",IF($A516&gt;0,VLOOKUP(J509,female_reg,3,FALSE)-C509*10,VLOOKUP(J509,male_reg,3,FALSE)-C509*10)),"X")</f>
        <v/>
      </c>
      <c r="T509" s="468">
        <f t="shared" ca="1" si="250"/>
        <v>0</v>
      </c>
      <c r="U509" s="468">
        <f t="shared" ca="1" si="251"/>
        <v>0</v>
      </c>
      <c r="Z509" s="467">
        <f t="shared" ca="1" si="252"/>
        <v>0</v>
      </c>
      <c r="AA509" s="467">
        <f t="shared" ca="1" si="253"/>
        <v>0</v>
      </c>
    </row>
    <row r="510" spans="1:27" x14ac:dyDescent="0.35">
      <c r="A510" s="181">
        <f ca="1">IFERROR(VLOOKUP(A508,Timetables!$A:$E,5,FALSE)-1,"")</f>
        <v>70</v>
      </c>
      <c r="B510" s="477">
        <v>1</v>
      </c>
      <c r="C510" s="477">
        <f ca="1">IFERROR(IF(B510&gt;MatchDay!$U$2,"",VLOOKUP($A508,timetables,MatchDay!$U$4+B510-1,FALSE)),0)</f>
        <v>4</v>
      </c>
      <c r="D510" s="467" t="str">
        <f ca="1">IFERROR(HLOOKUP(C510,Declarations!$D$2:$S$102,A510,FALSE),"")</f>
        <v>-</v>
      </c>
      <c r="E510" s="467" t="str">
        <f ca="1">IFERROR(VLOOKUP(C510,teamlookup,5,FALSE),"")</f>
        <v>M'bro</v>
      </c>
      <c r="F510" s="466"/>
      <c r="G510" s="476"/>
      <c r="H510" s="477">
        <v>1</v>
      </c>
      <c r="I510" s="477">
        <f ca="1">IFERROR(C510*11,"")</f>
        <v>44</v>
      </c>
      <c r="J510" s="467" t="str">
        <f ca="1">IFERROR(HLOOKUP(I510,Declarations!$D$2:$S$102,$A510,FALSE),"")</f>
        <v>-</v>
      </c>
      <c r="K510" s="467" t="str">
        <f t="shared" ref="K510:K517" ca="1" si="279">IFERROR(VLOOKUP(I510,teamlookup,5,FALSE),"")</f>
        <v>M'bro</v>
      </c>
      <c r="N510" s="478"/>
      <c r="P510" s="468" t="str">
        <f ca="1">IFERROR(IF(OR(D510=0,D510="-",D510="",D510=" ",D510=" ",D510="Athlete"),"",IF($A516&gt;0,VLOOKUP(D510,female_reg,3,FALSE)-C510*10,VLOOKUP(D510,male_reg,3,FALSE)-C510*10)),2)</f>
        <v/>
      </c>
      <c r="Q510" s="468" t="str">
        <f ca="1">IFERROR(IF(OR(J510=0,J510="-",J510=" ",J510="",J510=" ",J510="Athlete"),"",IF($A516&gt;0,VLOOKUP(J510,female_reg,3,FALSE)-C510*10,VLOOKUP(J510,male_reg,3,FALSE)-C510*10)),2)</f>
        <v/>
      </c>
      <c r="T510" s="468">
        <f t="shared" ca="1" si="250"/>
        <v>0</v>
      </c>
      <c r="U510" s="468">
        <f t="shared" ca="1" si="251"/>
        <v>0</v>
      </c>
      <c r="V510" s="467" t="str">
        <f t="shared" ref="V510:V517" ca="1" si="280">IFERROR(IF(OR(D510=0,D510="-",D510="",D510=" ",D510=" "),"X",D510&amp;E510),"X")</f>
        <v>X</v>
      </c>
      <c r="W510" s="467" t="str">
        <f t="shared" ref="W510:W517" ca="1" si="281">IFERROR(IF(OR(J510=0,J510="-",J510="",J510=" ",J510=" "),"X",J510&amp;K510),"X")</f>
        <v>X</v>
      </c>
      <c r="Z510" s="467">
        <f t="shared" ca="1" si="252"/>
        <v>0</v>
      </c>
      <c r="AA510" s="467">
        <f t="shared" ca="1" si="253"/>
        <v>0</v>
      </c>
    </row>
    <row r="511" spans="1:27" x14ac:dyDescent="0.35">
      <c r="A511" s="468">
        <f>A500+1</f>
        <v>55</v>
      </c>
      <c r="B511" s="477">
        <v>2</v>
      </c>
      <c r="C511" s="477">
        <f ca="1">IFERROR(IF(B511&gt;MatchDay!$U$2,"",VLOOKUP($A508,timetables,MatchDay!$U$4+B511-1,FALSE)),0)</f>
        <v>2</v>
      </c>
      <c r="D511" s="467" t="str">
        <f ca="1">IFERROR(HLOOKUP(C511,Declarations!$D$2:$S$102,A510,FALSE),"")</f>
        <v>LANE William</v>
      </c>
      <c r="E511" s="467" t="str">
        <f t="shared" ref="E511:E517" ca="1" si="282">IFERROR(VLOOKUP(C511,teamlookup,5,FALSE),"")</f>
        <v>Sheff+D</v>
      </c>
      <c r="F511" s="466"/>
      <c r="G511" s="476"/>
      <c r="H511" s="477">
        <v>2</v>
      </c>
      <c r="I511" s="477">
        <f t="shared" ref="I511:I517" ca="1" si="283">IFERROR(C511*11,"")</f>
        <v>22</v>
      </c>
      <c r="J511" s="467">
        <f ca="1">IFERROR(HLOOKUP(I511,Declarations!$D$2:$S$102,$A510,FALSE),"")</f>
        <v>0</v>
      </c>
      <c r="K511" s="467" t="str">
        <f t="shared" ca="1" si="279"/>
        <v>Sheff+D</v>
      </c>
      <c r="N511" s="478"/>
      <c r="P511" s="468">
        <f ca="1">IFERROR(IF(OR(D511=0,D511="-",D511="",D511=" ",D511=" ",D511="Athlete"),"",IF($A516&gt;0,VLOOKUP(D511,female_reg,3,FALSE)-C511*10,VLOOKUP(D511,male_reg,3,FALSE)-C511*10)),2)</f>
        <v>1</v>
      </c>
      <c r="Q511" s="468" t="str">
        <f ca="1">IFERROR(IF(OR(J511=0,J511="-",J511=" ",J511="",J511=" ",J511="Athlete"),"",IF($A516&gt;0,VLOOKUP(J511,female_reg,3,FALSE)-C511*10,VLOOKUP(J511,male_reg,3,FALSE)-C511*10)),2)</f>
        <v/>
      </c>
      <c r="T511" s="468">
        <f t="shared" ca="1" si="250"/>
        <v>3</v>
      </c>
      <c r="U511" s="468">
        <f t="shared" ca="1" si="251"/>
        <v>0</v>
      </c>
      <c r="V511" s="467" t="str">
        <f t="shared" ca="1" si="280"/>
        <v>LANE WilliamSheff+D</v>
      </c>
      <c r="W511" s="467" t="str">
        <f t="shared" ca="1" si="281"/>
        <v>X</v>
      </c>
      <c r="Z511" s="467">
        <f t="shared" ca="1" si="252"/>
        <v>3</v>
      </c>
      <c r="AA511" s="467">
        <f t="shared" ca="1" si="253"/>
        <v>0</v>
      </c>
    </row>
    <row r="512" spans="1:27" x14ac:dyDescent="0.35">
      <c r="A512" s="118">
        <f ca="1">IFERROR(VLOOKUP(A508,standards,3,FALSE)+0.01,"-")</f>
        <v>1.73</v>
      </c>
      <c r="B512" s="477">
        <v>3</v>
      </c>
      <c r="C512" s="477">
        <f ca="1">IFERROR(IF(B512&gt;MatchDay!$U$2,"",VLOOKUP($A508,timetables,MatchDay!$U$4+B512-1,FALSE)),0)</f>
        <v>5</v>
      </c>
      <c r="D512" s="467">
        <f ca="1">IFERROR(HLOOKUP(C512,Declarations!$D$2:$S$102,A510,FALSE),"")</f>
        <v>0</v>
      </c>
      <c r="E512" s="467" t="str">
        <f t="shared" ca="1" si="282"/>
        <v>Scun</v>
      </c>
      <c r="F512" s="466"/>
      <c r="G512" s="476"/>
      <c r="H512" s="477">
        <v>3</v>
      </c>
      <c r="I512" s="477">
        <f t="shared" ca="1" si="283"/>
        <v>55</v>
      </c>
      <c r="J512" s="467">
        <f ca="1">IFERROR(HLOOKUP(I512,Declarations!$D$2:$S$102,$A510,FALSE),"")</f>
        <v>0</v>
      </c>
      <c r="K512" s="467" t="str">
        <f t="shared" ca="1" si="279"/>
        <v>Scun</v>
      </c>
      <c r="N512" s="478"/>
      <c r="P512" s="468" t="str">
        <f ca="1">IFERROR(IF(OR(D512=0,D512="-",D512="",D512=" ",D512=" ",D512="Athlete"),"",IF($A516&gt;0,VLOOKUP(D512,female_reg,3,FALSE)-C512*10,VLOOKUP(D512,male_reg,3,FALSE)-C512*10)),2)</f>
        <v/>
      </c>
      <c r="Q512" s="468" t="str">
        <f ca="1">IFERROR(IF(OR(J512=0,J512="-",J512=" ",J512="",J512=" ",J512="Athlete"),"",IF($A516&gt;0,VLOOKUP(J512,female_reg,3,FALSE)-C512*10,VLOOKUP(J512,male_reg,3,FALSE)-C512*10)),2)</f>
        <v/>
      </c>
      <c r="T512" s="468">
        <f t="shared" ca="1" si="250"/>
        <v>0</v>
      </c>
      <c r="U512" s="468">
        <f t="shared" ca="1" si="251"/>
        <v>0</v>
      </c>
      <c r="V512" s="467" t="str">
        <f t="shared" ca="1" si="280"/>
        <v>X</v>
      </c>
      <c r="W512" s="467" t="str">
        <f t="shared" ca="1" si="281"/>
        <v>X</v>
      </c>
      <c r="Z512" s="467">
        <f t="shared" ca="1" si="252"/>
        <v>0</v>
      </c>
      <c r="AA512" s="467">
        <f t="shared" ca="1" si="253"/>
        <v>0</v>
      </c>
    </row>
    <row r="513" spans="1:27" x14ac:dyDescent="0.35">
      <c r="A513" s="118">
        <f ca="1">IFERROR(VLOOKUP(A508,standards,4,FALSE)+0.01,"-")</f>
        <v>1.68</v>
      </c>
      <c r="B513" s="477">
        <v>4</v>
      </c>
      <c r="C513" s="477">
        <f ca="1">IFERROR(IF(B513&gt;MatchDay!$U$2,"",VLOOKUP($A508,timetables,MatchDay!$U$4+B513-1,FALSE)),0)</f>
        <v>1</v>
      </c>
      <c r="D513" s="467" t="str">
        <f ca="1">IFERROR(HLOOKUP(C513,Declarations!$D$2:$S$102,A510,FALSE),"")</f>
        <v>PEERS-WAIN Jacob</v>
      </c>
      <c r="E513" s="467" t="str">
        <f t="shared" ca="1" si="282"/>
        <v>C'field</v>
      </c>
      <c r="F513" s="466"/>
      <c r="G513" s="476"/>
      <c r="H513" s="477">
        <v>4</v>
      </c>
      <c r="I513" s="477">
        <f t="shared" ca="1" si="283"/>
        <v>11</v>
      </c>
      <c r="J513" s="467" t="str">
        <f ca="1">IFERROR(HLOOKUP(I513,Declarations!$D$2:$S$102,$A510,FALSE),"")</f>
        <v>FOOT James</v>
      </c>
      <c r="K513" s="467" t="str">
        <f t="shared" ca="1" si="279"/>
        <v>C'field</v>
      </c>
      <c r="N513" s="478"/>
      <c r="P513" s="468">
        <f ca="1">IFERROR(IF(OR(D513=0,D513="-",D513="",D513=" ",D513=" ",D513="Athlete"),"",IF($A516&gt;0,VLOOKUP(D513,female_reg,3,FALSE)-C513*10,VLOOKUP(D513,male_reg,3,FALSE)-C513*10)),2)</f>
        <v>1</v>
      </c>
      <c r="Q513" s="468">
        <f ca="1">IFERROR(IF(OR(J513=0,J513="-",J513=" ",J513="",J513=" ",J513="Athlete"),"",IF($A516&gt;0,VLOOKUP(J513,female_reg,3,FALSE)-C513*10,VLOOKUP(J513,male_reg,3,FALSE)-C513*10)),2)</f>
        <v>1</v>
      </c>
      <c r="T513" s="468">
        <f t="shared" ca="1" si="250"/>
        <v>3</v>
      </c>
      <c r="U513" s="468">
        <f t="shared" ca="1" si="251"/>
        <v>3</v>
      </c>
      <c r="V513" s="467" t="str">
        <f t="shared" ca="1" si="280"/>
        <v>PEERS-WAIN JacobC'field</v>
      </c>
      <c r="W513" s="467" t="str">
        <f t="shared" ca="1" si="281"/>
        <v>FOOT JamesC'field</v>
      </c>
      <c r="Z513" s="467">
        <f t="shared" ca="1" si="252"/>
        <v>4</v>
      </c>
      <c r="AA513" s="467">
        <f t="shared" ca="1" si="253"/>
        <v>4</v>
      </c>
    </row>
    <row r="514" spans="1:27" x14ac:dyDescent="0.35">
      <c r="A514" s="118">
        <f ca="1">IFERROR(VLOOKUP(A508,standards,5,FALSE)+0.01,"-")</f>
        <v>1.61</v>
      </c>
      <c r="B514" s="477">
        <v>5</v>
      </c>
      <c r="C514" s="477">
        <f ca="1">IFERROR(IF(B514&gt;MatchDay!$U$2,"",VLOOKUP($A508,timetables,MatchDay!$U$4+B514-1,FALSE)),0)</f>
        <v>3</v>
      </c>
      <c r="D514" s="467" t="str">
        <f ca="1">IFERROR(HLOOKUP(C514,Declarations!$D$2:$S$102,A510,FALSE),"")</f>
        <v>HENSON Isaac</v>
      </c>
      <c r="E514" s="467" t="str">
        <f t="shared" ca="1" si="282"/>
        <v>York</v>
      </c>
      <c r="F514" s="466"/>
      <c r="G514" s="476"/>
      <c r="H514" s="477">
        <v>5</v>
      </c>
      <c r="I514" s="477">
        <f t="shared" ca="1" si="283"/>
        <v>33</v>
      </c>
      <c r="J514" s="467" t="str">
        <f ca="1">IFERROR(HLOOKUP(I514,Declarations!$D$2:$S$102,$A510,FALSE),"")</f>
        <v>-</v>
      </c>
      <c r="K514" s="467" t="str">
        <f t="shared" ca="1" si="279"/>
        <v>York</v>
      </c>
      <c r="N514" s="478"/>
      <c r="P514" s="468">
        <f ca="1">IFERROR(IF(OR(D514=0,D514="-",D514="",D514=" ",D514=" ",D514="Athlete"),"",IF($A516&gt;0,VLOOKUP(D514,female_reg,3,FALSE)-C514*10,VLOOKUP(D514,male_reg,3,FALSE)-C514*10)),2)</f>
        <v>1</v>
      </c>
      <c r="Q514" s="468" t="str">
        <f ca="1">IFERROR(IF(OR(J514=0,J514="-",J514=" ",J514="",J514=" ",J514="Athlete"),"",IF($A516&gt;0,VLOOKUP(J514,female_reg,3,FALSE)-C514*10,VLOOKUP(J514,male_reg,3,FALSE)-C514*10)),2)</f>
        <v/>
      </c>
      <c r="T514" s="468">
        <f t="shared" ca="1" si="250"/>
        <v>3</v>
      </c>
      <c r="U514" s="468">
        <f t="shared" ca="1" si="251"/>
        <v>0</v>
      </c>
      <c r="V514" s="467" t="str">
        <f t="shared" ca="1" si="280"/>
        <v>HENSON IsaacYork</v>
      </c>
      <c r="W514" s="467" t="str">
        <f t="shared" ca="1" si="281"/>
        <v>X</v>
      </c>
      <c r="Z514" s="467">
        <f t="shared" ca="1" si="252"/>
        <v>4</v>
      </c>
      <c r="AA514" s="467">
        <f t="shared" ca="1" si="253"/>
        <v>0</v>
      </c>
    </row>
    <row r="515" spans="1:27" x14ac:dyDescent="0.35">
      <c r="A515" s="118">
        <f ca="1">IFERROR(VLOOKUP(A508,standards,6,FALSE)+0.01,"-")</f>
        <v>1.56</v>
      </c>
      <c r="B515" s="477">
        <v>6</v>
      </c>
      <c r="C515" s="477" t="str">
        <f>IFERROR(IF(B515&gt;MatchDay!$U$2,"",VLOOKUP($A508,timetables,MatchDay!$U$4+B515-1,FALSE)),0)</f>
        <v/>
      </c>
      <c r="D515" s="467" t="str">
        <f>IFERROR(HLOOKUP(C515,Declarations!$D$2:$S$102,A510,FALSE),"")</f>
        <v/>
      </c>
      <c r="E515" s="467" t="str">
        <f t="shared" si="282"/>
        <v/>
      </c>
      <c r="F515" s="466"/>
      <c r="G515" s="476"/>
      <c r="H515" s="477">
        <v>6</v>
      </c>
      <c r="I515" s="477" t="str">
        <f t="shared" si="283"/>
        <v/>
      </c>
      <c r="J515" s="467" t="str">
        <f>IFERROR(HLOOKUP(I515,Declarations!$D$2:$S$102,$A510,FALSE),"")</f>
        <v/>
      </c>
      <c r="K515" s="467" t="str">
        <f t="shared" si="279"/>
        <v/>
      </c>
      <c r="N515" s="478"/>
      <c r="P515" s="468" t="str">
        <f>IFERROR(IF(OR(D515=0,D515="-",D515="",D515=" ",D515=" ",D515="Athlete"),"",IF($A516&gt;0,VLOOKUP(D515,female_reg,3,FALSE)-C515*10,VLOOKUP(D515,male_reg,3,FALSE)-C515*10)),2)</f>
        <v/>
      </c>
      <c r="Q515" s="468" t="str">
        <f>IFERROR(IF(OR(J515=0,J515="-",J515=" ",J515="",J515=" ",J515="Athlete"),"",IF($A516&gt;0,VLOOKUP(J515,female_reg,3,FALSE)-C515*10,VLOOKUP(J515,male_reg,3,FALSE)-C515*10)),2)</f>
        <v/>
      </c>
      <c r="T515" s="468">
        <f t="shared" si="250"/>
        <v>0</v>
      </c>
      <c r="U515" s="468">
        <f t="shared" si="251"/>
        <v>0</v>
      </c>
      <c r="V515" s="467" t="str">
        <f t="shared" si="280"/>
        <v>X</v>
      </c>
      <c r="W515" s="467" t="str">
        <f t="shared" si="281"/>
        <v>X</v>
      </c>
      <c r="Z515" s="467">
        <f t="shared" si="252"/>
        <v>0</v>
      </c>
      <c r="AA515" s="467">
        <f t="shared" si="253"/>
        <v>0</v>
      </c>
    </row>
    <row r="516" spans="1:27" x14ac:dyDescent="0.35">
      <c r="A516" s="479">
        <f ca="1">IFERROR(SEARCH("Girls",B508),0)</f>
        <v>0</v>
      </c>
      <c r="B516" s="477">
        <v>7</v>
      </c>
      <c r="C516" s="477" t="str">
        <f>IFERROR(IF(B516&gt;MatchDay!$U$2,"",VLOOKUP($A508,timetables,MatchDay!$U$4+B516-1,FALSE)),0)</f>
        <v/>
      </c>
      <c r="D516" s="467" t="str">
        <f>IFERROR(HLOOKUP(C516,Declarations!$D$2:$S$102,A510,FALSE),"")</f>
        <v/>
      </c>
      <c r="E516" s="467" t="str">
        <f t="shared" si="282"/>
        <v/>
      </c>
      <c r="F516" s="466"/>
      <c r="G516" s="476"/>
      <c r="H516" s="477">
        <v>7</v>
      </c>
      <c r="I516" s="477" t="str">
        <f t="shared" si="283"/>
        <v/>
      </c>
      <c r="J516" s="467" t="str">
        <f>IFERROR(HLOOKUP(I516,Declarations!$D$2:$S$102,$A510,FALSE),"")</f>
        <v/>
      </c>
      <c r="K516" s="467" t="str">
        <f t="shared" si="279"/>
        <v/>
      </c>
      <c r="N516" s="478"/>
      <c r="P516" s="468" t="str">
        <f>IFERROR(IF(OR(D516=0,D516="-",D516="",D516=" ",D516=" ",D516="Athlete"),"",IF($A516&gt;0,VLOOKUP(D516,female_reg,3,FALSE)-C516*10,VLOOKUP(D516,male_reg,3,FALSE)-C516*10)),2)</f>
        <v/>
      </c>
      <c r="Q516" s="468" t="str">
        <f>IFERROR(IF(OR(J516=0,J516="-",J516=" ",J516="",J516=" ",J516="Athlete"),"",IF($A516&gt;0,VLOOKUP(J516,female_reg,3,FALSE)-C516*10,VLOOKUP(J516,male_reg,3,FALSE)-C516*10)),2)</f>
        <v/>
      </c>
      <c r="T516" s="468">
        <f t="shared" ref="T516:T572" si="284">IFERROR(IF(V516="X",0,COUNTIF($V$4:$W$573,V516)),0)</f>
        <v>0</v>
      </c>
      <c r="U516" s="468">
        <f t="shared" ref="U516:U572" si="285">IFERROR(IF(W516="X",0,COUNTIF($V$4:$W$573,W516)),0)</f>
        <v>0</v>
      </c>
      <c r="V516" s="467" t="str">
        <f t="shared" si="280"/>
        <v>X</v>
      </c>
      <c r="W516" s="467" t="str">
        <f t="shared" si="281"/>
        <v>X</v>
      </c>
      <c r="Z516" s="467">
        <f t="shared" ref="Z516:Z579" si="286">IF(V516="X",0,COUNTIF($V$4:$Y$638,V516))</f>
        <v>0</v>
      </c>
      <c r="AA516" s="467">
        <f t="shared" ref="AA516:AA579" si="287">IF(W516="X",0,COUNTIF($V$4:$Y$638,W516))</f>
        <v>0</v>
      </c>
    </row>
    <row r="517" spans="1:27" x14ac:dyDescent="0.35">
      <c r="A517" s="116">
        <f ca="1">IFERROR(VLOOKUP(A508,records,5,FALSE),"")</f>
        <v>1.9</v>
      </c>
      <c r="B517" s="477">
        <v>8</v>
      </c>
      <c r="C517" s="477" t="str">
        <f>IFERROR(IF(B517&gt;MatchDay!$U$2,"",VLOOKUP($A508,timetables,MatchDay!$U$4+B517-1,FALSE)),0)</f>
        <v/>
      </c>
      <c r="D517" s="467" t="str">
        <f>IFERROR(HLOOKUP(C517,Declarations!$D$2:$S$102,A510,FALSE),"")</f>
        <v/>
      </c>
      <c r="E517" s="467" t="str">
        <f t="shared" si="282"/>
        <v/>
      </c>
      <c r="F517" s="466"/>
      <c r="G517" s="476"/>
      <c r="H517" s="477">
        <v>8</v>
      </c>
      <c r="I517" s="477" t="str">
        <f t="shared" si="283"/>
        <v/>
      </c>
      <c r="J517" s="467" t="str">
        <f>IFERROR(HLOOKUP(I517,Declarations!$D$2:$S$102,$A510,FALSE),"")</f>
        <v/>
      </c>
      <c r="K517" s="467" t="str">
        <f t="shared" si="279"/>
        <v/>
      </c>
      <c r="N517" s="478"/>
      <c r="P517" s="468" t="str">
        <f>IFERROR(IF(OR(D517=0,D517="-",D517="",D517=" ",D517=" ",D517="Athlete"),"",IF($A516&gt;0,VLOOKUP(D517,female_reg,3,FALSE)-C517*10,VLOOKUP(D517,male_reg,3,FALSE)-C517*10)),2)</f>
        <v/>
      </c>
      <c r="Q517" s="468" t="str">
        <f>IFERROR(IF(OR(J517=0,J517="-",J517=" ",J517="",J517=" ",J517="Athlete"),"",IF($A516&gt;0,VLOOKUP(J517,female_reg,3,FALSE)-C517*10,VLOOKUP(J517,male_reg,3,FALSE)-C517*10)),2)</f>
        <v/>
      </c>
      <c r="T517" s="468">
        <f t="shared" si="284"/>
        <v>0</v>
      </c>
      <c r="U517" s="468">
        <f t="shared" si="285"/>
        <v>0</v>
      </c>
      <c r="V517" s="467" t="str">
        <f t="shared" si="280"/>
        <v>X</v>
      </c>
      <c r="W517" s="467" t="str">
        <f t="shared" si="281"/>
        <v>X</v>
      </c>
      <c r="Z517" s="467">
        <f t="shared" si="286"/>
        <v>0</v>
      </c>
      <c r="AA517" s="467">
        <f t="shared" si="287"/>
        <v>0</v>
      </c>
    </row>
    <row r="518" spans="1:27" x14ac:dyDescent="0.35">
      <c r="P518" s="468" t="str">
        <f>IFERROR(IF(OR(D518=0,D518="-",D518="",D518=" ",D518=" ",D518="Athlete"),"",IF($A516&gt;0,VLOOKUP(D518,female_reg,3,FALSE)-C518*10,VLOOKUP(D518,male_reg,3,FALSE)-C518*10)),"X")</f>
        <v/>
      </c>
      <c r="Q518" s="468" t="str">
        <f>IFERROR(IF(OR(J518=0,J518="-",J518=" ",J518="",J518=" ",J518="Athlete"),"",IF($A516&gt;0,VLOOKUP(J518,female_reg,3,FALSE)-C518*10,VLOOKUP(J518,male_reg,3,FALSE)-C518*10)),"X")</f>
        <v/>
      </c>
      <c r="T518" s="468">
        <f t="shared" ca="1" si="284"/>
        <v>0</v>
      </c>
      <c r="U518" s="468">
        <f t="shared" ca="1" si="285"/>
        <v>0</v>
      </c>
      <c r="Z518" s="467">
        <f t="shared" ca="1" si="286"/>
        <v>0</v>
      </c>
      <c r="AA518" s="467">
        <f t="shared" ca="1" si="287"/>
        <v>0</v>
      </c>
    </row>
    <row r="519" spans="1:27" x14ac:dyDescent="0.35">
      <c r="A519" s="111" t="str">
        <f ca="1">IFERROR(INDIRECT(CONCATENATE("'Timetables'!A"&amp;A522)),"")</f>
        <v>LFD09</v>
      </c>
      <c r="B519" s="469" t="str">
        <f ca="1">IFERROR(VLOOKUP(A519,timetables,2,FALSE)&amp;" "&amp;VLOOKUP(A519,timetables,3,FALSE)&amp;" A","")</f>
        <v>Shot U13 Boys A</v>
      </c>
      <c r="C519" s="469"/>
      <c r="E519" s="470" t="str">
        <f ca="1">"Starts "&amp;TEXT(VLOOKUP(A519,timetables,7-MatchDay!$U$7,FALSE),"hh:mm")</f>
        <v>Starts 14:30</v>
      </c>
      <c r="F519" s="471"/>
      <c r="H519" s="472" t="str">
        <f ca="1">IFERROR("Rec: "&amp;TEXT(VLOOKUP(A519,records,5,FALSE),"#0.00")&amp;"m, "&amp;VLOOKUP(A519,records,3,FALSE)&amp;", "&amp;VLOOKUP(A519,records,4,FALSE)&amp;", "&amp;VLOOKUP(A519,records,8,FALSE),"")</f>
        <v>Rec: 12.35m, Sam Mace, Walton A.C., 2013</v>
      </c>
      <c r="K519" s="473"/>
      <c r="L519" s="474"/>
      <c r="M519" s="467"/>
      <c r="P519" s="468" t="str">
        <f>IFERROR(IF(OR(D519=0,D519="-",D519="",D519=" ",D519=" ",D519="Athlete"),"",IF($A527&gt;0,VLOOKUP(D519,female_reg,3,FALSE)-C519*10,VLOOKUP(D519,male_reg,3,FALSE)-C519*10)),"X")</f>
        <v/>
      </c>
      <c r="Q519" s="468" t="str">
        <f>IFERROR(IF(OR(J519=0,J519="-",J519=" ",J519="",J519=" ",J519="Athlete"),"",IF($A527&gt;0,VLOOKUP(J519,female_reg,3,FALSE)-C519*10,VLOOKUP(J519,male_reg,3,FALSE)-C519*10)),"X")</f>
        <v/>
      </c>
      <c r="T519" s="468">
        <f t="shared" ca="1" si="284"/>
        <v>0</v>
      </c>
      <c r="U519" s="468">
        <f t="shared" ca="1" si="285"/>
        <v>0</v>
      </c>
      <c r="Z519" s="467">
        <f t="shared" ca="1" si="286"/>
        <v>0</v>
      </c>
      <c r="AA519" s="467">
        <f t="shared" ca="1" si="287"/>
        <v>0</v>
      </c>
    </row>
    <row r="520" spans="1:27" x14ac:dyDescent="0.35">
      <c r="A520" s="85" t="str">
        <f ca="1">MID(A519,2,3)</f>
        <v>FD0</v>
      </c>
      <c r="B520" s="9" t="s">
        <v>163</v>
      </c>
      <c r="C520" s="9" t="s">
        <v>183</v>
      </c>
      <c r="D520" s="46" t="s">
        <v>227</v>
      </c>
      <c r="E520" s="46" t="s">
        <v>228</v>
      </c>
      <c r="F520" s="475"/>
      <c r="G520" s="46"/>
      <c r="H520" s="9" t="s">
        <v>163</v>
      </c>
      <c r="I520" s="9" t="s">
        <v>183</v>
      </c>
      <c r="J520" s="46" t="s">
        <v>227</v>
      </c>
      <c r="K520" s="46" t="s">
        <v>228</v>
      </c>
      <c r="L520" s="475"/>
      <c r="M520" s="475"/>
      <c r="N520" s="52"/>
      <c r="P520" s="468" t="str">
        <f>IFERROR(IF(OR(D520=0,D520="-",D520="",D520=" ",D520=" ",D520="Athlete"),"",IF($A527&gt;0,VLOOKUP(D520,female_reg,3,FALSE)-C520*10,VLOOKUP(D520,male_reg,3,FALSE)-C520*10)),"X")</f>
        <v/>
      </c>
      <c r="Q520" s="468" t="str">
        <f>IFERROR(IF(OR(J520=0,J520="-",J520=" ",J520="",J520=" ",J520="Athlete"),"",IF($A527&gt;0,VLOOKUP(J520,female_reg,3,FALSE)-C520*10,VLOOKUP(J520,male_reg,3,FALSE)-C520*10)),"X")</f>
        <v/>
      </c>
      <c r="T520" s="468">
        <f t="shared" ca="1" si="284"/>
        <v>0</v>
      </c>
      <c r="U520" s="468">
        <f t="shared" ca="1" si="285"/>
        <v>0</v>
      </c>
      <c r="Z520" s="467">
        <f t="shared" ca="1" si="286"/>
        <v>0</v>
      </c>
      <c r="AA520" s="467">
        <f t="shared" ca="1" si="287"/>
        <v>0</v>
      </c>
    </row>
    <row r="521" spans="1:27" x14ac:dyDescent="0.35">
      <c r="A521" s="181">
        <f ca="1">IFERROR(VLOOKUP(A519,Timetables!$A:$E,5,FALSE)-1,"")</f>
        <v>92</v>
      </c>
      <c r="B521" s="477">
        <v>1</v>
      </c>
      <c r="C521" s="477">
        <f ca="1">IFERROR(IF(B521&gt;MatchDay!$U$2,"",VLOOKUP($A519,timetables,MatchDay!$U$4+B521-1,FALSE)),0)</f>
        <v>3</v>
      </c>
      <c r="D521" s="467" t="str">
        <f ca="1">IFERROR(HLOOKUP(C521,Declarations!$D$2:$S$102,A521,FALSE),"")</f>
        <v>WALSH Lincoln</v>
      </c>
      <c r="E521" s="467" t="str">
        <f ca="1">IFERROR(VLOOKUP(C521,teamlookup,5,FALSE),"")</f>
        <v>York</v>
      </c>
      <c r="F521" s="466"/>
      <c r="G521" s="476"/>
      <c r="H521" s="477">
        <v>1</v>
      </c>
      <c r="I521" s="477">
        <f ca="1">IFERROR(C521*11,"")</f>
        <v>33</v>
      </c>
      <c r="J521" s="467" t="str">
        <f ca="1">IFERROR(HLOOKUP(I521,Declarations!$D$2:$S$102,$A521,FALSE),"")</f>
        <v>ROTHWELL Noah</v>
      </c>
      <c r="K521" s="467" t="str">
        <f t="shared" ref="K521:K528" ca="1" si="288">IFERROR(VLOOKUP(I521,teamlookup,5,FALSE),"")</f>
        <v>York</v>
      </c>
      <c r="N521" s="478"/>
      <c r="P521" s="468">
        <f ca="1">IFERROR(IF(OR(D521=0,D521="-",D521="",D521=" ",D521=" ",D521="Athlete"),"",IF($A527&gt;0,VLOOKUP(D521,female_reg,3,FALSE)-C521*10,VLOOKUP(D521,male_reg,3,FALSE)-C521*10)),2)</f>
        <v>1</v>
      </c>
      <c r="Q521" s="468">
        <f ca="1">IFERROR(IF(OR(J521=0,J521="-",J521=" ",J521="",J521=" ",J521="Athlete"),"",IF($A527&gt;0,VLOOKUP(J521,female_reg,3,FALSE)-C521*10,VLOOKUP(J521,male_reg,3,FALSE)-C521*10)),2)</f>
        <v>0</v>
      </c>
      <c r="T521" s="468">
        <f t="shared" ca="1" si="284"/>
        <v>1</v>
      </c>
      <c r="U521" s="468">
        <f t="shared" ca="1" si="285"/>
        <v>2</v>
      </c>
      <c r="V521" s="467" t="str">
        <f t="shared" ref="V521:V528" ca="1" si="289">IFERROR(IF(OR(D521=0,D521="-",D521="",D521=" ",D521=" "),"X",D521&amp;E521),"X")</f>
        <v>WALSH LincolnYork</v>
      </c>
      <c r="W521" s="467" t="str">
        <f t="shared" ref="W521:W528" ca="1" si="290">IFERROR(IF(OR(J521=0,J521="-",J521="",J521=" ",J521=" "),"X",J521&amp;K521),"X")</f>
        <v>ROTHWELL NoahYork</v>
      </c>
      <c r="Z521" s="467">
        <f t="shared" ca="1" si="286"/>
        <v>1</v>
      </c>
      <c r="AA521" s="467">
        <f t="shared" ca="1" si="287"/>
        <v>2</v>
      </c>
    </row>
    <row r="522" spans="1:27" x14ac:dyDescent="0.35">
      <c r="A522" s="468">
        <f>A511+1</f>
        <v>56</v>
      </c>
      <c r="B522" s="477">
        <v>2</v>
      </c>
      <c r="C522" s="477">
        <f ca="1">IFERROR(IF(B522&gt;MatchDay!$U$2,"",VLOOKUP($A519,timetables,MatchDay!$U$4+B522-1,FALSE)),0)</f>
        <v>1</v>
      </c>
      <c r="D522" s="467" t="str">
        <f ca="1">IFERROR(HLOOKUP(C522,Declarations!$D$2:$S$102,A521,FALSE),"")</f>
        <v>STOWELL Callum</v>
      </c>
      <c r="E522" s="467" t="str">
        <f t="shared" ref="E522:E528" ca="1" si="291">IFERROR(VLOOKUP(C522,teamlookup,5,FALSE),"")</f>
        <v>C'field</v>
      </c>
      <c r="F522" s="466"/>
      <c r="G522" s="476"/>
      <c r="H522" s="477">
        <v>2</v>
      </c>
      <c r="I522" s="477">
        <f t="shared" ref="I522:I528" ca="1" si="292">IFERROR(C522*11,"")</f>
        <v>11</v>
      </c>
      <c r="J522" s="467" t="str">
        <f ca="1">IFERROR(HLOOKUP(I522,Declarations!$D$2:$S$102,$A521,FALSE),"")</f>
        <v>DREW Matthew</v>
      </c>
      <c r="K522" s="467" t="str">
        <f t="shared" ca="1" si="288"/>
        <v>C'field</v>
      </c>
      <c r="N522" s="478"/>
      <c r="P522" s="468">
        <f ca="1">IFERROR(IF(OR(D522=0,D522="-",D522="",D522=" ",D522=" ",D522="Athlete"),"",IF($A527&gt;0,VLOOKUP(D522,female_reg,3,FALSE)-C522*10,VLOOKUP(D522,male_reg,3,FALSE)-C522*10)),2)</f>
        <v>1</v>
      </c>
      <c r="Q522" s="468">
        <f ca="1">IFERROR(IF(OR(J522=0,J522="-",J522=" ",J522="",J522=" ",J522="Athlete"),"",IF($A527&gt;0,VLOOKUP(J522,female_reg,3,FALSE)-C522*10,VLOOKUP(J522,male_reg,3,FALSE)-C522*10)),2)</f>
        <v>1</v>
      </c>
      <c r="T522" s="468">
        <f t="shared" ca="1" si="284"/>
        <v>3</v>
      </c>
      <c r="U522" s="468">
        <f t="shared" ca="1" si="285"/>
        <v>3</v>
      </c>
      <c r="V522" s="467" t="str">
        <f t="shared" ca="1" si="289"/>
        <v>STOWELL CallumC'field</v>
      </c>
      <c r="W522" s="467" t="str">
        <f t="shared" ca="1" si="290"/>
        <v>DREW MatthewC'field</v>
      </c>
      <c r="Z522" s="467">
        <f t="shared" ca="1" si="286"/>
        <v>4</v>
      </c>
      <c r="AA522" s="467">
        <f t="shared" ca="1" si="287"/>
        <v>4</v>
      </c>
    </row>
    <row r="523" spans="1:27" x14ac:dyDescent="0.35">
      <c r="A523" s="118">
        <f ca="1">IFERROR(VLOOKUP(A519,standards,3,FALSE)+0.01,"-")</f>
        <v>9.26</v>
      </c>
      <c r="B523" s="477">
        <v>3</v>
      </c>
      <c r="C523" s="477">
        <f ca="1">IFERROR(IF(B523&gt;MatchDay!$U$2,"",VLOOKUP($A519,timetables,MatchDay!$U$4+B523-1,FALSE)),0)</f>
        <v>4</v>
      </c>
      <c r="D523" s="467" t="str">
        <f ca="1">IFERROR(HLOOKUP(C523,Declarations!$D$2:$S$102,A521,FALSE),"")</f>
        <v>FRANCIS Stan</v>
      </c>
      <c r="E523" s="467" t="str">
        <f t="shared" ca="1" si="291"/>
        <v>M'bro</v>
      </c>
      <c r="F523" s="466"/>
      <c r="G523" s="476"/>
      <c r="H523" s="477">
        <v>3</v>
      </c>
      <c r="I523" s="477">
        <f t="shared" ca="1" si="292"/>
        <v>44</v>
      </c>
      <c r="J523" s="467" t="str">
        <f ca="1">IFERROR(HLOOKUP(I523,Declarations!$D$2:$S$102,$A521,FALSE),"")</f>
        <v>-</v>
      </c>
      <c r="K523" s="467" t="str">
        <f t="shared" ca="1" si="288"/>
        <v>M'bro</v>
      </c>
      <c r="N523" s="478"/>
      <c r="P523" s="468">
        <f ca="1">IFERROR(IF(OR(D523=0,D523="-",D523="",D523=" ",D523=" ",D523="Athlete"),"",IF($A527&gt;0,VLOOKUP(D523,female_reg,3,FALSE)-C523*10,VLOOKUP(D523,male_reg,3,FALSE)-C523*10)),2)</f>
        <v>1</v>
      </c>
      <c r="Q523" s="468" t="str">
        <f ca="1">IFERROR(IF(OR(J523=0,J523="-",J523=" ",J523="",J523=" ",J523="Athlete"),"",IF($A527&gt;0,VLOOKUP(J523,female_reg,3,FALSE)-C523*10,VLOOKUP(J523,male_reg,3,FALSE)-C523*10)),2)</f>
        <v/>
      </c>
      <c r="T523" s="468">
        <f t="shared" ca="1" si="284"/>
        <v>2</v>
      </c>
      <c r="U523" s="468">
        <f t="shared" ca="1" si="285"/>
        <v>0</v>
      </c>
      <c r="V523" s="467" t="str">
        <f t="shared" ca="1" si="289"/>
        <v>FRANCIS StanM'bro</v>
      </c>
      <c r="W523" s="467" t="str">
        <f t="shared" ca="1" si="290"/>
        <v>X</v>
      </c>
      <c r="Z523" s="467">
        <f t="shared" ca="1" si="286"/>
        <v>2</v>
      </c>
      <c r="AA523" s="467">
        <f t="shared" ca="1" si="287"/>
        <v>0</v>
      </c>
    </row>
    <row r="524" spans="1:27" x14ac:dyDescent="0.35">
      <c r="A524" s="118">
        <f ca="1">IFERROR(VLOOKUP(A519,standards,4,FALSE)+0.01,"-")</f>
        <v>8.56</v>
      </c>
      <c r="B524" s="477">
        <v>4</v>
      </c>
      <c r="C524" s="477">
        <f ca="1">IFERROR(IF(B524&gt;MatchDay!$U$2,"",VLOOKUP($A519,timetables,MatchDay!$U$4+B524-1,FALSE)),0)</f>
        <v>2</v>
      </c>
      <c r="D524" s="467" t="str">
        <f ca="1">IFERROR(HLOOKUP(C524,Declarations!$D$2:$S$102,A521,FALSE),"")</f>
        <v>HENNESSEY Thomas</v>
      </c>
      <c r="E524" s="467" t="str">
        <f t="shared" ca="1" si="291"/>
        <v>Sheff+D</v>
      </c>
      <c r="F524" s="466"/>
      <c r="G524" s="476"/>
      <c r="H524" s="477">
        <v>4</v>
      </c>
      <c r="I524" s="477">
        <f t="shared" ca="1" si="292"/>
        <v>22</v>
      </c>
      <c r="J524" s="467" t="str">
        <f ca="1">IFERROR(HLOOKUP(I524,Declarations!$D$2:$S$102,$A521,FALSE),"")</f>
        <v>COCKINGS Matthew</v>
      </c>
      <c r="K524" s="467" t="str">
        <f t="shared" ca="1" si="288"/>
        <v>Sheff+D</v>
      </c>
      <c r="N524" s="478"/>
      <c r="P524" s="468">
        <f ca="1">IFERROR(IF(OR(D524=0,D524="-",D524="",D524=" ",D524=" ",D524="Athlete"),"",IF($A527&gt;0,VLOOKUP(D524,female_reg,3,FALSE)-C524*10,VLOOKUP(D524,male_reg,3,FALSE)-C524*10)),2)</f>
        <v>0</v>
      </c>
      <c r="Q524" s="468">
        <f ca="1">IFERROR(IF(OR(J524=0,J524="-",J524=" ",J524="",J524=" ",J524="Athlete"),"",IF($A527&gt;0,VLOOKUP(J524,female_reg,3,FALSE)-C524*10,VLOOKUP(J524,male_reg,3,FALSE)-C524*10)),2)</f>
        <v>1</v>
      </c>
      <c r="T524" s="468">
        <f t="shared" ca="1" si="284"/>
        <v>2</v>
      </c>
      <c r="U524" s="468">
        <f t="shared" ca="1" si="285"/>
        <v>4</v>
      </c>
      <c r="V524" s="467" t="str">
        <f t="shared" ca="1" si="289"/>
        <v>HENNESSEY ThomasSheff+D</v>
      </c>
      <c r="W524" s="467" t="str">
        <f t="shared" ca="1" si="290"/>
        <v>COCKINGS MatthewSheff+D</v>
      </c>
      <c r="Z524" s="467">
        <f t="shared" ca="1" si="286"/>
        <v>2</v>
      </c>
      <c r="AA524" s="467">
        <f t="shared" ca="1" si="287"/>
        <v>4</v>
      </c>
    </row>
    <row r="525" spans="1:27" x14ac:dyDescent="0.35">
      <c r="A525" s="118">
        <f ca="1">IFERROR(VLOOKUP(A519,standards,5,FALSE)+0.01,"-")</f>
        <v>7.96</v>
      </c>
      <c r="B525" s="477">
        <v>5</v>
      </c>
      <c r="C525" s="477">
        <f ca="1">IFERROR(IF(B525&gt;MatchDay!$U$2,"",VLOOKUP($A519,timetables,MatchDay!$U$4+B525-1,FALSE)),0)</f>
        <v>5</v>
      </c>
      <c r="D525" s="467" t="str">
        <f ca="1">IFERROR(HLOOKUP(C525,Declarations!$D$2:$S$102,A521,FALSE),"")</f>
        <v>COOK Alexander</v>
      </c>
      <c r="E525" s="467" t="str">
        <f t="shared" ca="1" si="291"/>
        <v>Scun</v>
      </c>
      <c r="F525" s="466"/>
      <c r="G525" s="476"/>
      <c r="H525" s="477">
        <v>5</v>
      </c>
      <c r="I525" s="477">
        <f t="shared" ca="1" si="292"/>
        <v>55</v>
      </c>
      <c r="J525" s="467" t="str">
        <f ca="1">IFERROR(HLOOKUP(I525,Declarations!$D$2:$S$102,$A521,FALSE),"")</f>
        <v>PELL Nathan</v>
      </c>
      <c r="K525" s="467" t="str">
        <f t="shared" ca="1" si="288"/>
        <v>Scun</v>
      </c>
      <c r="N525" s="478"/>
      <c r="P525" s="468">
        <f ca="1">IFERROR(IF(OR(D525=0,D525="-",D525="",D525=" ",D525=" ",D525="Athlete"),"",IF($A527&gt;0,VLOOKUP(D525,female_reg,3,FALSE)-C525*10,VLOOKUP(D525,male_reg,3,FALSE)-C525*10)),2)</f>
        <v>1</v>
      </c>
      <c r="Q525" s="468">
        <f ca="1">IFERROR(IF(OR(J525=0,J525="-",J525=" ",J525="",J525=" ",J525="Athlete"),"",IF($A527&gt;0,VLOOKUP(J525,female_reg,3,FALSE)-C525*10,VLOOKUP(J525,male_reg,3,FALSE)-C525*10)),2)</f>
        <v>1</v>
      </c>
      <c r="T525" s="468">
        <f t="shared" ca="1" si="284"/>
        <v>2</v>
      </c>
      <c r="U525" s="468">
        <f t="shared" ca="1" si="285"/>
        <v>2</v>
      </c>
      <c r="V525" s="467" t="str">
        <f t="shared" ca="1" si="289"/>
        <v>COOK AlexanderScun</v>
      </c>
      <c r="W525" s="467" t="str">
        <f t="shared" ca="1" si="290"/>
        <v>PELL NathanScun</v>
      </c>
      <c r="Z525" s="467">
        <f t="shared" ca="1" si="286"/>
        <v>2</v>
      </c>
      <c r="AA525" s="467">
        <f t="shared" ca="1" si="287"/>
        <v>2</v>
      </c>
    </row>
    <row r="526" spans="1:27" x14ac:dyDescent="0.35">
      <c r="A526" s="118">
        <f ca="1">IFERROR(VLOOKUP(A519,standards,6,FALSE)+0.01,"-")</f>
        <v>7.06</v>
      </c>
      <c r="B526" s="477">
        <v>6</v>
      </c>
      <c r="C526" s="477" t="str">
        <f>IFERROR(IF(B526&gt;MatchDay!$U$2,"",VLOOKUP($A519,timetables,MatchDay!$U$4+B526-1,FALSE)),0)</f>
        <v/>
      </c>
      <c r="D526" s="467" t="str">
        <f>IFERROR(HLOOKUP(C526,Declarations!$D$2:$S$102,A521,FALSE),"")</f>
        <v/>
      </c>
      <c r="E526" s="467" t="str">
        <f t="shared" si="291"/>
        <v/>
      </c>
      <c r="F526" s="466"/>
      <c r="G526" s="476"/>
      <c r="H526" s="477">
        <v>6</v>
      </c>
      <c r="I526" s="477" t="str">
        <f t="shared" si="292"/>
        <v/>
      </c>
      <c r="J526" s="467" t="str">
        <f>IFERROR(HLOOKUP(I526,Declarations!$D$2:$S$102,$A521,FALSE),"")</f>
        <v/>
      </c>
      <c r="K526" s="467" t="str">
        <f t="shared" si="288"/>
        <v/>
      </c>
      <c r="N526" s="478"/>
      <c r="P526" s="468" t="str">
        <f>IFERROR(IF(OR(D526=0,D526="-",D526="",D526=" ",D526=" ",D526="Athlete"),"",IF($A527&gt;0,VLOOKUP(D526,female_reg,3,FALSE)-C526*10,VLOOKUP(D526,male_reg,3,FALSE)-C526*10)),2)</f>
        <v/>
      </c>
      <c r="Q526" s="468" t="str">
        <f>IFERROR(IF(OR(J526=0,J526="-",J526=" ",J526="",J526=" ",J526="Athlete"),"",IF($A527&gt;0,VLOOKUP(J526,female_reg,3,FALSE)-C526*10,VLOOKUP(J526,male_reg,3,FALSE)-C526*10)),2)</f>
        <v/>
      </c>
      <c r="T526" s="468">
        <f t="shared" si="284"/>
        <v>0</v>
      </c>
      <c r="U526" s="468">
        <f t="shared" si="285"/>
        <v>0</v>
      </c>
      <c r="V526" s="467" t="str">
        <f t="shared" si="289"/>
        <v>X</v>
      </c>
      <c r="W526" s="467" t="str">
        <f t="shared" si="290"/>
        <v>X</v>
      </c>
      <c r="Z526" s="467">
        <f t="shared" si="286"/>
        <v>0</v>
      </c>
      <c r="AA526" s="467">
        <f t="shared" si="287"/>
        <v>0</v>
      </c>
    </row>
    <row r="527" spans="1:27" x14ac:dyDescent="0.35">
      <c r="A527" s="479">
        <f ca="1">IFERROR(SEARCH("Girls",B519),0)</f>
        <v>0</v>
      </c>
      <c r="B527" s="477">
        <v>7</v>
      </c>
      <c r="C527" s="477" t="str">
        <f>IFERROR(IF(B527&gt;MatchDay!$U$2,"",VLOOKUP($A519,timetables,MatchDay!$U$4+B527-1,FALSE)),0)</f>
        <v/>
      </c>
      <c r="D527" s="467" t="str">
        <f>IFERROR(HLOOKUP(C527,Declarations!$D$2:$S$102,A521,FALSE),"")</f>
        <v/>
      </c>
      <c r="E527" s="467" t="str">
        <f t="shared" si="291"/>
        <v/>
      </c>
      <c r="F527" s="466"/>
      <c r="G527" s="476"/>
      <c r="H527" s="477">
        <v>7</v>
      </c>
      <c r="I527" s="477" t="str">
        <f t="shared" si="292"/>
        <v/>
      </c>
      <c r="J527" s="467" t="str">
        <f>IFERROR(HLOOKUP(I527,Declarations!$D$2:$S$102,$A521,FALSE),"")</f>
        <v/>
      </c>
      <c r="K527" s="467" t="str">
        <f t="shared" si="288"/>
        <v/>
      </c>
      <c r="N527" s="478"/>
      <c r="P527" s="468" t="str">
        <f>IFERROR(IF(OR(D527=0,D527="-",D527="",D527=" ",D527=" ",D527="Athlete"),"",IF($A527&gt;0,VLOOKUP(D527,female_reg,3,FALSE)-C527*10,VLOOKUP(D527,male_reg,3,FALSE)-C527*10)),2)</f>
        <v/>
      </c>
      <c r="Q527" s="468" t="str">
        <f>IFERROR(IF(OR(J527=0,J527="-",J527=" ",J527="",J527=" ",J527="Athlete"),"",IF($A527&gt;0,VLOOKUP(J527,female_reg,3,FALSE)-C527*10,VLOOKUP(J527,male_reg,3,FALSE)-C527*10)),2)</f>
        <v/>
      </c>
      <c r="T527" s="468">
        <f t="shared" si="284"/>
        <v>0</v>
      </c>
      <c r="U527" s="468">
        <f t="shared" si="285"/>
        <v>0</v>
      </c>
      <c r="V527" s="467" t="str">
        <f t="shared" si="289"/>
        <v>X</v>
      </c>
      <c r="W527" s="467" t="str">
        <f t="shared" si="290"/>
        <v>X</v>
      </c>
      <c r="Z527" s="467">
        <f t="shared" si="286"/>
        <v>0</v>
      </c>
      <c r="AA527" s="467">
        <f t="shared" si="287"/>
        <v>0</v>
      </c>
    </row>
    <row r="528" spans="1:27" x14ac:dyDescent="0.35">
      <c r="A528" s="116">
        <f ca="1">IFERROR(VLOOKUP(A519,records,5,FALSE),"")</f>
        <v>12.35</v>
      </c>
      <c r="B528" s="477">
        <v>8</v>
      </c>
      <c r="C528" s="477" t="str">
        <f>IFERROR(IF(B528&gt;MatchDay!$U$2,"",VLOOKUP($A519,timetables,MatchDay!$U$4+B528-1,FALSE)),0)</f>
        <v/>
      </c>
      <c r="D528" s="467" t="str">
        <f>IFERROR(HLOOKUP(C528,Declarations!$D$2:$S$102,A521,FALSE),"")</f>
        <v/>
      </c>
      <c r="E528" s="467" t="str">
        <f t="shared" si="291"/>
        <v/>
      </c>
      <c r="F528" s="466"/>
      <c r="G528" s="476"/>
      <c r="H528" s="477">
        <v>8</v>
      </c>
      <c r="I528" s="477" t="str">
        <f t="shared" si="292"/>
        <v/>
      </c>
      <c r="J528" s="467" t="str">
        <f>IFERROR(HLOOKUP(I528,Declarations!$D$2:$S$102,$A521,FALSE),"")</f>
        <v/>
      </c>
      <c r="K528" s="467" t="str">
        <f t="shared" si="288"/>
        <v/>
      </c>
      <c r="N528" s="478"/>
      <c r="P528" s="468" t="str">
        <f>IFERROR(IF(OR(D528=0,D528="-",D528="",D528=" ",D528=" ",D528="Athlete"),"",IF($A527&gt;0,VLOOKUP(D528,female_reg,3,FALSE)-C528*10,VLOOKUP(D528,male_reg,3,FALSE)-C528*10)),2)</f>
        <v/>
      </c>
      <c r="Q528" s="468" t="str">
        <f>IFERROR(IF(OR(J528=0,J528="-",J528=" ",J528="",J528=" ",J528="Athlete"),"",IF($A527&gt;0,VLOOKUP(J528,female_reg,3,FALSE)-C528*10,VLOOKUP(J528,male_reg,3,FALSE)-C528*10)),2)</f>
        <v/>
      </c>
      <c r="T528" s="468">
        <f t="shared" si="284"/>
        <v>0</v>
      </c>
      <c r="U528" s="468">
        <f t="shared" si="285"/>
        <v>0</v>
      </c>
      <c r="V528" s="467" t="str">
        <f t="shared" si="289"/>
        <v>X</v>
      </c>
      <c r="W528" s="467" t="str">
        <f t="shared" si="290"/>
        <v>X</v>
      </c>
      <c r="Z528" s="467">
        <f t="shared" si="286"/>
        <v>0</v>
      </c>
      <c r="AA528" s="467">
        <f t="shared" si="287"/>
        <v>0</v>
      </c>
    </row>
    <row r="529" spans="1:27" x14ac:dyDescent="0.35">
      <c r="P529" s="468" t="str">
        <f>IFERROR(IF(OR(D529=0,D529="-",D529="",D529=" ",D529=" ",D529="Athlete"),"",IF($A527&gt;0,VLOOKUP(D529,female_reg,3,FALSE)-C529*10,VLOOKUP(D529,male_reg,3,FALSE)-C529*10)),"X")</f>
        <v/>
      </c>
      <c r="Q529" s="468" t="str">
        <f>IFERROR(IF(OR(J529=0,J529="-",J529=" ",J529="",J529=" ",J529="Athlete"),"",IF($A527&gt;0,VLOOKUP(J529,female_reg,3,FALSE)-C529*10,VLOOKUP(J529,male_reg,3,FALSE)-C529*10)),"X")</f>
        <v/>
      </c>
      <c r="T529" s="468">
        <f t="shared" ca="1" si="284"/>
        <v>0</v>
      </c>
      <c r="U529" s="468">
        <f t="shared" ca="1" si="285"/>
        <v>0</v>
      </c>
      <c r="Z529" s="467">
        <f t="shared" ca="1" si="286"/>
        <v>0</v>
      </c>
      <c r="AA529" s="467">
        <f t="shared" ca="1" si="287"/>
        <v>0</v>
      </c>
    </row>
    <row r="530" spans="1:27" x14ac:dyDescent="0.35">
      <c r="A530" s="111" t="str">
        <f ca="1">IFERROR(INDIRECT(CONCATENATE("'Timetables'!A"&amp;A533)),"")</f>
        <v>LFD10</v>
      </c>
      <c r="B530" s="469" t="str">
        <f ca="1">IFERROR(VLOOKUP(A530,timetables,2,FALSE)&amp;" "&amp;VLOOKUP(A530,timetables,3,FALSE)&amp;" A","")</f>
        <v>Javelin U13 Boys A</v>
      </c>
      <c r="C530" s="469"/>
      <c r="E530" s="470" t="str">
        <f ca="1">"Starts "&amp;TEXT(VLOOKUP(A530,timetables,7-MatchDay!$U$7,FALSE),"hh:mm")</f>
        <v>Starts 15:10</v>
      </c>
      <c r="F530" s="471"/>
      <c r="H530" s="472" t="str">
        <f ca="1">IFERROR("Rec: "&amp;TEXT(VLOOKUP(A530,records,5,FALSE),"#0.00")&amp;"m, "&amp;VLOOKUP(A530,records,3,FALSE)&amp;", "&amp;VLOOKUP(A530,records,4,FALSE)&amp;", "&amp;VLOOKUP(A530,records,8,FALSE),"")</f>
        <v>Rec: 48.28m, Archie Goodliff, Windsor Slough Eton &amp; Hounslow, 2015</v>
      </c>
      <c r="K530" s="473"/>
      <c r="L530" s="474"/>
      <c r="M530" s="467"/>
      <c r="P530" s="468" t="str">
        <f>IFERROR(IF(OR(D530=0,D530="-",D530="",D530=" ",D530=" ",D530="Athlete"),"",IF($A538&gt;0,VLOOKUP(D530,female_reg,3,FALSE)-C530*10,VLOOKUP(D530,male_reg,3,FALSE)-C530*10)),"X")</f>
        <v/>
      </c>
      <c r="Q530" s="468" t="str">
        <f>IFERROR(IF(OR(J530=0,J530="-",J530=" ",J530="",J530=" ",J530="Athlete"),"",IF($A538&gt;0,VLOOKUP(J530,female_reg,3,FALSE)-C530*10,VLOOKUP(J530,male_reg,3,FALSE)-C530*10)),"X")</f>
        <v/>
      </c>
      <c r="T530" s="468">
        <f t="shared" ca="1" si="284"/>
        <v>0</v>
      </c>
      <c r="U530" s="468">
        <f t="shared" ca="1" si="285"/>
        <v>0</v>
      </c>
      <c r="Z530" s="467">
        <f t="shared" ca="1" si="286"/>
        <v>0</v>
      </c>
      <c r="AA530" s="467">
        <f t="shared" ca="1" si="287"/>
        <v>0</v>
      </c>
    </row>
    <row r="531" spans="1:27" x14ac:dyDescent="0.35">
      <c r="A531" s="85" t="str">
        <f ca="1">MID(A530,2,3)</f>
        <v>FD1</v>
      </c>
      <c r="B531" s="9" t="s">
        <v>163</v>
      </c>
      <c r="C531" s="9" t="s">
        <v>183</v>
      </c>
      <c r="D531" s="46" t="s">
        <v>227</v>
      </c>
      <c r="E531" s="46" t="s">
        <v>228</v>
      </c>
      <c r="F531" s="475"/>
      <c r="G531" s="46"/>
      <c r="H531" s="9" t="s">
        <v>163</v>
      </c>
      <c r="I531" s="9" t="s">
        <v>183</v>
      </c>
      <c r="J531" s="46" t="s">
        <v>227</v>
      </c>
      <c r="K531" s="46" t="s">
        <v>228</v>
      </c>
      <c r="L531" s="475"/>
      <c r="M531" s="475"/>
      <c r="N531" s="52"/>
      <c r="P531" s="468" t="str">
        <f>IFERROR(IF(OR(D531=0,D531="-",D531="",D531=" ",D531=" ",D531="Athlete"),"",IF($A538&gt;0,VLOOKUP(D531,female_reg,3,FALSE)-C531*10,VLOOKUP(D531,male_reg,3,FALSE)-C531*10)),"X")</f>
        <v/>
      </c>
      <c r="Q531" s="468" t="str">
        <f>IFERROR(IF(OR(J531=0,J531="-",J531=" ",J531="",J531=" ",J531="Athlete"),"",IF($A538&gt;0,VLOOKUP(J531,female_reg,3,FALSE)-C531*10,VLOOKUP(J531,male_reg,3,FALSE)-C531*10)),"X")</f>
        <v/>
      </c>
      <c r="T531" s="468">
        <f t="shared" ca="1" si="284"/>
        <v>0</v>
      </c>
      <c r="U531" s="468">
        <f t="shared" ca="1" si="285"/>
        <v>0</v>
      </c>
      <c r="Z531" s="467">
        <f t="shared" ca="1" si="286"/>
        <v>0</v>
      </c>
      <c r="AA531" s="467">
        <f t="shared" ca="1" si="287"/>
        <v>0</v>
      </c>
    </row>
    <row r="532" spans="1:27" x14ac:dyDescent="0.35">
      <c r="A532" s="181">
        <f ca="1">IFERROR(VLOOKUP(A530,Timetables!$A:$E,5,FALSE)-1,"")</f>
        <v>91</v>
      </c>
      <c r="B532" s="477">
        <v>1</v>
      </c>
      <c r="C532" s="477">
        <f ca="1">IFERROR(IF(B532&gt;MatchDay!$U$2,"",VLOOKUP($A530,timetables,MatchDay!$U$4+B532-1,FALSE)),0)</f>
        <v>4</v>
      </c>
      <c r="D532" s="467" t="str">
        <f ca="1">IFERROR(HLOOKUP(C532,Declarations!$D$2:$S$102,A532,FALSE),"")</f>
        <v>MAYNARD Finley</v>
      </c>
      <c r="E532" s="467" t="str">
        <f ca="1">IFERROR(VLOOKUP(C532,teamlookup,5,FALSE),"")</f>
        <v>M'bro</v>
      </c>
      <c r="F532" s="466"/>
      <c r="G532" s="476"/>
      <c r="H532" s="477">
        <v>1</v>
      </c>
      <c r="I532" s="477">
        <f ca="1">IFERROR(C532*11,"")</f>
        <v>44</v>
      </c>
      <c r="J532" s="467" t="str">
        <f ca="1">IFERROR(HLOOKUP(I532,Declarations!$D$2:$S$102,$A532,FALSE),"")</f>
        <v>-</v>
      </c>
      <c r="K532" s="467" t="str">
        <f t="shared" ref="K532:K539" ca="1" si="293">IFERROR(VLOOKUP(I532,teamlookup,5,FALSE),"")</f>
        <v>M'bro</v>
      </c>
      <c r="N532" s="478"/>
      <c r="P532" s="468">
        <f ca="1">IFERROR(IF(OR(D532=0,D532="-",D532="",D532=" ",D532=" ",D532="Athlete"),"",IF($A538&gt;0,VLOOKUP(D532,female_reg,3,FALSE)-C532*10,VLOOKUP(D532,male_reg,3,FALSE)-C532*10)),2)</f>
        <v>1</v>
      </c>
      <c r="Q532" s="468" t="str">
        <f ca="1">IFERROR(IF(OR(J532=0,J532="-",J532=" ",J532="",J532=" ",J532="Athlete"),"",IF($A538&gt;0,VLOOKUP(J532,female_reg,3,FALSE)-C532*10,VLOOKUP(J532,male_reg,3,FALSE)-C532*10)),2)</f>
        <v/>
      </c>
      <c r="T532" s="468">
        <f t="shared" ca="1" si="284"/>
        <v>3</v>
      </c>
      <c r="U532" s="468">
        <f t="shared" ca="1" si="285"/>
        <v>0</v>
      </c>
      <c r="V532" s="467" t="str">
        <f t="shared" ref="V532:V539" ca="1" si="294">IFERROR(IF(OR(D532=0,D532="-",D532="",D532=" ",D532=" "),"X",D532&amp;E532),"X")</f>
        <v>MAYNARD FinleyM'bro</v>
      </c>
      <c r="W532" s="467" t="str">
        <f t="shared" ref="W532:W539" ca="1" si="295">IFERROR(IF(OR(J532=0,J532="-",J532="",J532=" ",J532=" "),"X",J532&amp;K532),"X")</f>
        <v>X</v>
      </c>
      <c r="Z532" s="467">
        <f t="shared" ca="1" si="286"/>
        <v>4</v>
      </c>
      <c r="AA532" s="467">
        <f t="shared" ca="1" si="287"/>
        <v>0</v>
      </c>
    </row>
    <row r="533" spans="1:27" x14ac:dyDescent="0.35">
      <c r="A533" s="468">
        <f>A522+1</f>
        <v>57</v>
      </c>
      <c r="B533" s="477">
        <v>2</v>
      </c>
      <c r="C533" s="477">
        <f ca="1">IFERROR(IF(B533&gt;MatchDay!$U$2,"",VLOOKUP($A530,timetables,MatchDay!$U$4+B533-1,FALSE)),0)</f>
        <v>2</v>
      </c>
      <c r="D533" s="467" t="str">
        <f ca="1">IFERROR(HLOOKUP(C533,Declarations!$D$2:$S$102,A532,FALSE),"")</f>
        <v>HENNESSEY Thomas</v>
      </c>
      <c r="E533" s="467" t="str">
        <f t="shared" ref="E533:E539" ca="1" si="296">IFERROR(VLOOKUP(C533,teamlookup,5,FALSE),"")</f>
        <v>Sheff+D</v>
      </c>
      <c r="F533" s="466"/>
      <c r="G533" s="476"/>
      <c r="H533" s="477">
        <v>2</v>
      </c>
      <c r="I533" s="477">
        <f t="shared" ref="I533:I539" ca="1" si="297">IFERROR(C533*11,"")</f>
        <v>22</v>
      </c>
      <c r="J533" s="467" t="str">
        <f ca="1">IFERROR(HLOOKUP(I533,Declarations!$D$2:$S$102,$A532,FALSE),"")</f>
        <v>COCKINGS Matthew</v>
      </c>
      <c r="K533" s="467" t="str">
        <f t="shared" ca="1" si="293"/>
        <v>Sheff+D</v>
      </c>
      <c r="N533" s="478"/>
      <c r="P533" s="468">
        <f ca="1">IFERROR(IF(OR(D533=0,D533="-",D533="",D533=" ",D533=" ",D533="Athlete"),"",IF($A538&gt;0,VLOOKUP(D533,female_reg,3,FALSE)-C533*10,VLOOKUP(D533,male_reg,3,FALSE)-C533*10)),2)</f>
        <v>0</v>
      </c>
      <c r="Q533" s="468">
        <f ca="1">IFERROR(IF(OR(J533=0,J533="-",J533=" ",J533="",J533=" ",J533="Athlete"),"",IF($A538&gt;0,VLOOKUP(J533,female_reg,3,FALSE)-C533*10,VLOOKUP(J533,male_reg,3,FALSE)-C533*10)),2)</f>
        <v>1</v>
      </c>
      <c r="T533" s="468">
        <f t="shared" ca="1" si="284"/>
        <v>2</v>
      </c>
      <c r="U533" s="468">
        <f t="shared" ca="1" si="285"/>
        <v>4</v>
      </c>
      <c r="V533" s="467" t="str">
        <f t="shared" ca="1" si="294"/>
        <v>HENNESSEY ThomasSheff+D</v>
      </c>
      <c r="W533" s="467" t="str">
        <f t="shared" ca="1" si="295"/>
        <v>COCKINGS MatthewSheff+D</v>
      </c>
      <c r="Z533" s="467">
        <f t="shared" ca="1" si="286"/>
        <v>2</v>
      </c>
      <c r="AA533" s="467">
        <f t="shared" ca="1" si="287"/>
        <v>4</v>
      </c>
    </row>
    <row r="534" spans="1:27" x14ac:dyDescent="0.35">
      <c r="A534" s="118">
        <f ca="1">IFERROR(VLOOKUP(A530,standards,3,FALSE)+0.01,"-")</f>
        <v>31.16</v>
      </c>
      <c r="B534" s="477">
        <v>3</v>
      </c>
      <c r="C534" s="477">
        <f ca="1">IFERROR(IF(B534&gt;MatchDay!$U$2,"",VLOOKUP($A530,timetables,MatchDay!$U$4+B534-1,FALSE)),0)</f>
        <v>5</v>
      </c>
      <c r="D534" s="467" t="str">
        <f ca="1">IFERROR(HLOOKUP(C534,Declarations!$D$2:$S$102,A532,FALSE),"")</f>
        <v>COOK Alexander</v>
      </c>
      <c r="E534" s="467" t="str">
        <f t="shared" ca="1" si="296"/>
        <v>Scun</v>
      </c>
      <c r="F534" s="466"/>
      <c r="G534" s="476"/>
      <c r="H534" s="477">
        <v>3</v>
      </c>
      <c r="I534" s="477">
        <f t="shared" ca="1" si="297"/>
        <v>55</v>
      </c>
      <c r="J534" s="467" t="str">
        <f ca="1">IFERROR(HLOOKUP(I534,Declarations!$D$2:$S$102,$A532,FALSE),"")</f>
        <v>PELL Nathan</v>
      </c>
      <c r="K534" s="467" t="str">
        <f t="shared" ca="1" si="293"/>
        <v>Scun</v>
      </c>
      <c r="N534" s="478"/>
      <c r="P534" s="468">
        <f ca="1">IFERROR(IF(OR(D534=0,D534="-",D534="",D534=" ",D534=" ",D534="Athlete"),"",IF($A538&gt;0,VLOOKUP(D534,female_reg,3,FALSE)-C534*10,VLOOKUP(D534,male_reg,3,FALSE)-C534*10)),2)</f>
        <v>1</v>
      </c>
      <c r="Q534" s="468">
        <f ca="1">IFERROR(IF(OR(J534=0,J534="-",J534=" ",J534="",J534=" ",J534="Athlete"),"",IF($A538&gt;0,VLOOKUP(J534,female_reg,3,FALSE)-C534*10,VLOOKUP(J534,male_reg,3,FALSE)-C534*10)),2)</f>
        <v>1</v>
      </c>
      <c r="T534" s="468">
        <f t="shared" ca="1" si="284"/>
        <v>2</v>
      </c>
      <c r="U534" s="468">
        <f t="shared" ca="1" si="285"/>
        <v>2</v>
      </c>
      <c r="V534" s="467" t="str">
        <f t="shared" ca="1" si="294"/>
        <v>COOK AlexanderScun</v>
      </c>
      <c r="W534" s="467" t="str">
        <f t="shared" ca="1" si="295"/>
        <v>PELL NathanScun</v>
      </c>
      <c r="Z534" s="467">
        <f t="shared" ca="1" si="286"/>
        <v>2</v>
      </c>
      <c r="AA534" s="467">
        <f t="shared" ca="1" si="287"/>
        <v>2</v>
      </c>
    </row>
    <row r="535" spans="1:27" x14ac:dyDescent="0.35">
      <c r="A535" s="118">
        <f ca="1">IFERROR(VLOOKUP(A530,standards,4,FALSE)+0.01,"-")</f>
        <v>29.01</v>
      </c>
      <c r="B535" s="477">
        <v>4</v>
      </c>
      <c r="C535" s="477">
        <f ca="1">IFERROR(IF(B535&gt;MatchDay!$U$2,"",VLOOKUP($A530,timetables,MatchDay!$U$4+B535-1,FALSE)),0)</f>
        <v>1</v>
      </c>
      <c r="D535" s="467" t="str">
        <f ca="1">IFERROR(HLOOKUP(C535,Declarations!$D$2:$S$102,A532,FALSE),"")</f>
        <v>STOWELL Callum</v>
      </c>
      <c r="E535" s="467" t="str">
        <f t="shared" ca="1" si="296"/>
        <v>C'field</v>
      </c>
      <c r="F535" s="466"/>
      <c r="G535" s="476"/>
      <c r="H535" s="477">
        <v>4</v>
      </c>
      <c r="I535" s="477">
        <f t="shared" ca="1" si="297"/>
        <v>11</v>
      </c>
      <c r="J535" s="467">
        <f ca="1">IFERROR(HLOOKUP(I535,Declarations!$D$2:$S$102,$A532,FALSE),"")</f>
        <v>0</v>
      </c>
      <c r="K535" s="467" t="str">
        <f t="shared" ca="1" si="293"/>
        <v>C'field</v>
      </c>
      <c r="N535" s="478"/>
      <c r="P535" s="468">
        <f ca="1">IFERROR(IF(OR(D535=0,D535="-",D535="",D535=" ",D535=" ",D535="Athlete"),"",IF($A538&gt;0,VLOOKUP(D535,female_reg,3,FALSE)-C535*10,VLOOKUP(D535,male_reg,3,FALSE)-C535*10)),2)</f>
        <v>1</v>
      </c>
      <c r="Q535" s="468" t="str">
        <f ca="1">IFERROR(IF(OR(J535=0,J535="-",J535=" ",J535="",J535=" ",J535="Athlete"),"",IF($A538&gt;0,VLOOKUP(J535,female_reg,3,FALSE)-C535*10,VLOOKUP(J535,male_reg,3,FALSE)-C535*10)),2)</f>
        <v/>
      </c>
      <c r="T535" s="468">
        <f t="shared" ca="1" si="284"/>
        <v>3</v>
      </c>
      <c r="U535" s="468">
        <f t="shared" ca="1" si="285"/>
        <v>0</v>
      </c>
      <c r="V535" s="467" t="str">
        <f t="shared" ca="1" si="294"/>
        <v>STOWELL CallumC'field</v>
      </c>
      <c r="W535" s="467" t="str">
        <f t="shared" ca="1" si="295"/>
        <v>X</v>
      </c>
      <c r="Z535" s="467">
        <f t="shared" ca="1" si="286"/>
        <v>4</v>
      </c>
      <c r="AA535" s="467">
        <f t="shared" ca="1" si="287"/>
        <v>0</v>
      </c>
    </row>
    <row r="536" spans="1:27" x14ac:dyDescent="0.35">
      <c r="A536" s="118">
        <f ca="1">IFERROR(VLOOKUP(A530,standards,5,FALSE)+0.01,"-")</f>
        <v>26.110000000000003</v>
      </c>
      <c r="B536" s="477">
        <v>5</v>
      </c>
      <c r="C536" s="477">
        <f ca="1">IFERROR(IF(B536&gt;MatchDay!$U$2,"",VLOOKUP($A530,timetables,MatchDay!$U$4+B536-1,FALSE)),0)</f>
        <v>3</v>
      </c>
      <c r="D536" s="467" t="str">
        <f ca="1">IFERROR(HLOOKUP(C536,Declarations!$D$2:$S$102,A532,FALSE),"")</f>
        <v>RUTTER Lewis</v>
      </c>
      <c r="E536" s="467" t="str">
        <f t="shared" ca="1" si="296"/>
        <v>York</v>
      </c>
      <c r="F536" s="466"/>
      <c r="G536" s="476"/>
      <c r="H536" s="477">
        <v>5</v>
      </c>
      <c r="I536" s="477">
        <f t="shared" ca="1" si="297"/>
        <v>33</v>
      </c>
      <c r="J536" s="467" t="str">
        <f ca="1">IFERROR(HLOOKUP(I536,Declarations!$D$2:$S$102,$A532,FALSE),"")</f>
        <v>ROTHWELL Noah</v>
      </c>
      <c r="K536" s="467" t="str">
        <f t="shared" ca="1" si="293"/>
        <v>York</v>
      </c>
      <c r="N536" s="478"/>
      <c r="P536" s="468">
        <f ca="1">IFERROR(IF(OR(D536=0,D536="-",D536="",D536=" ",D536=" ",D536="Athlete"),"",IF($A538&gt;0,VLOOKUP(D536,female_reg,3,FALSE)-C536*10,VLOOKUP(D536,male_reg,3,FALSE)-C536*10)),2)</f>
        <v>0</v>
      </c>
      <c r="Q536" s="468">
        <f ca="1">IFERROR(IF(OR(J536=0,J536="-",J536=" ",J536="",J536=" ",J536="Athlete"),"",IF($A538&gt;0,VLOOKUP(J536,female_reg,3,FALSE)-C536*10,VLOOKUP(J536,male_reg,3,FALSE)-C536*10)),2)</f>
        <v>0</v>
      </c>
      <c r="T536" s="468">
        <f t="shared" ca="1" si="284"/>
        <v>1</v>
      </c>
      <c r="U536" s="468">
        <f t="shared" ca="1" si="285"/>
        <v>2</v>
      </c>
      <c r="V536" s="467" t="str">
        <f t="shared" ca="1" si="294"/>
        <v>RUTTER LewisYork</v>
      </c>
      <c r="W536" s="467" t="str">
        <f t="shared" ca="1" si="295"/>
        <v>ROTHWELL NoahYork</v>
      </c>
      <c r="Z536" s="467">
        <f t="shared" ca="1" si="286"/>
        <v>1</v>
      </c>
      <c r="AA536" s="467">
        <f t="shared" ca="1" si="287"/>
        <v>2</v>
      </c>
    </row>
    <row r="537" spans="1:27" x14ac:dyDescent="0.35">
      <c r="A537" s="118">
        <f ca="1">IFERROR(VLOOKUP(A530,standards,6,FALSE)+0.01,"-")</f>
        <v>21.310000000000002</v>
      </c>
      <c r="B537" s="477">
        <v>6</v>
      </c>
      <c r="C537" s="477" t="str">
        <f>IFERROR(IF(B537&gt;MatchDay!$U$2,"",VLOOKUP($A530,timetables,MatchDay!$U$4+B537-1,FALSE)),0)</f>
        <v/>
      </c>
      <c r="D537" s="467" t="str">
        <f>IFERROR(HLOOKUP(C537,Declarations!$D$2:$S$102,A532,FALSE),"")</f>
        <v/>
      </c>
      <c r="E537" s="467" t="str">
        <f t="shared" si="296"/>
        <v/>
      </c>
      <c r="F537" s="466"/>
      <c r="G537" s="476"/>
      <c r="H537" s="477">
        <v>6</v>
      </c>
      <c r="I537" s="477" t="str">
        <f t="shared" si="297"/>
        <v/>
      </c>
      <c r="J537" s="467" t="str">
        <f>IFERROR(HLOOKUP(I537,Declarations!$D$2:$S$102,$A532,FALSE),"")</f>
        <v/>
      </c>
      <c r="K537" s="467" t="str">
        <f t="shared" si="293"/>
        <v/>
      </c>
      <c r="N537" s="478"/>
      <c r="P537" s="468" t="str">
        <f>IFERROR(IF(OR(D537=0,D537="-",D537="",D537=" ",D537=" ",D537="Athlete"),"",IF($A538&gt;0,VLOOKUP(D537,female_reg,3,FALSE)-C537*10,VLOOKUP(D537,male_reg,3,FALSE)-C537*10)),2)</f>
        <v/>
      </c>
      <c r="Q537" s="468" t="str">
        <f>IFERROR(IF(OR(J537=0,J537="-",J537=" ",J537="",J537=" ",J537="Athlete"),"",IF($A538&gt;0,VLOOKUP(J537,female_reg,3,FALSE)-C537*10,VLOOKUP(J537,male_reg,3,FALSE)-C537*10)),2)</f>
        <v/>
      </c>
      <c r="T537" s="468">
        <f t="shared" si="284"/>
        <v>0</v>
      </c>
      <c r="U537" s="468">
        <f t="shared" si="285"/>
        <v>0</v>
      </c>
      <c r="V537" s="467" t="str">
        <f t="shared" si="294"/>
        <v>X</v>
      </c>
      <c r="W537" s="467" t="str">
        <f t="shared" si="295"/>
        <v>X</v>
      </c>
      <c r="Z537" s="467">
        <f t="shared" si="286"/>
        <v>0</v>
      </c>
      <c r="AA537" s="467">
        <f t="shared" si="287"/>
        <v>0</v>
      </c>
    </row>
    <row r="538" spans="1:27" x14ac:dyDescent="0.35">
      <c r="A538" s="479">
        <f ca="1">IFERROR(SEARCH("Girls",B530),0)</f>
        <v>0</v>
      </c>
      <c r="B538" s="477">
        <v>7</v>
      </c>
      <c r="C538" s="477" t="str">
        <f>IFERROR(IF(B538&gt;MatchDay!$U$2,"",VLOOKUP($A530,timetables,MatchDay!$U$4+B538-1,FALSE)),0)</f>
        <v/>
      </c>
      <c r="D538" s="467" t="str">
        <f>IFERROR(HLOOKUP(C538,Declarations!$D$2:$S$102,A532,FALSE),"")</f>
        <v/>
      </c>
      <c r="E538" s="467" t="str">
        <f t="shared" si="296"/>
        <v/>
      </c>
      <c r="F538" s="466"/>
      <c r="G538" s="476"/>
      <c r="H538" s="477">
        <v>7</v>
      </c>
      <c r="I538" s="477" t="str">
        <f t="shared" si="297"/>
        <v/>
      </c>
      <c r="J538" s="467" t="str">
        <f>IFERROR(HLOOKUP(I538,Declarations!$D$2:$S$102,$A532,FALSE),"")</f>
        <v/>
      </c>
      <c r="K538" s="467" t="str">
        <f t="shared" si="293"/>
        <v/>
      </c>
      <c r="N538" s="478"/>
      <c r="P538" s="468" t="str">
        <f>IFERROR(IF(OR(D538=0,D538="-",D538="",D538=" ",D538=" ",D538="Athlete"),"",IF($A538&gt;0,VLOOKUP(D538,female_reg,3,FALSE)-C538*10,VLOOKUP(D538,male_reg,3,FALSE)-C538*10)),2)</f>
        <v/>
      </c>
      <c r="Q538" s="468" t="str">
        <f>IFERROR(IF(OR(J538=0,J538="-",J538=" ",J538="",J538=" ",J538="Athlete"),"",IF($A538&gt;0,VLOOKUP(J538,female_reg,3,FALSE)-C538*10,VLOOKUP(J538,male_reg,3,FALSE)-C538*10)),2)</f>
        <v/>
      </c>
      <c r="T538" s="468">
        <f t="shared" si="284"/>
        <v>0</v>
      </c>
      <c r="U538" s="468">
        <f t="shared" si="285"/>
        <v>0</v>
      </c>
      <c r="V538" s="467" t="str">
        <f t="shared" si="294"/>
        <v>X</v>
      </c>
      <c r="W538" s="467" t="str">
        <f t="shared" si="295"/>
        <v>X</v>
      </c>
      <c r="Z538" s="467">
        <f t="shared" si="286"/>
        <v>0</v>
      </c>
      <c r="AA538" s="467">
        <f t="shared" si="287"/>
        <v>0</v>
      </c>
    </row>
    <row r="539" spans="1:27" x14ac:dyDescent="0.35">
      <c r="A539" s="116">
        <f ca="1">IFERROR(VLOOKUP(A530,records,5,FALSE),"")</f>
        <v>48.28</v>
      </c>
      <c r="B539" s="477">
        <v>8</v>
      </c>
      <c r="C539" s="477" t="str">
        <f>IFERROR(IF(B539&gt;MatchDay!$U$2,"",VLOOKUP($A530,timetables,MatchDay!$U$4+B539-1,FALSE)),0)</f>
        <v/>
      </c>
      <c r="D539" s="467" t="str">
        <f>IFERROR(HLOOKUP(C539,Declarations!$D$2:$S$102,A532,FALSE),"")</f>
        <v/>
      </c>
      <c r="E539" s="467" t="str">
        <f t="shared" si="296"/>
        <v/>
      </c>
      <c r="F539" s="466"/>
      <c r="G539" s="476"/>
      <c r="H539" s="477">
        <v>8</v>
      </c>
      <c r="I539" s="477" t="str">
        <f t="shared" si="297"/>
        <v/>
      </c>
      <c r="J539" s="467" t="str">
        <f>IFERROR(HLOOKUP(I539,Declarations!$D$2:$S$102,$A532,FALSE),"")</f>
        <v/>
      </c>
      <c r="K539" s="467" t="str">
        <f t="shared" si="293"/>
        <v/>
      </c>
      <c r="N539" s="478"/>
      <c r="P539" s="468" t="str">
        <f>IFERROR(IF(OR(D539=0,D539="-",D539="",D539=" ",D539=" ",D539="Athlete"),"",IF($A538&gt;0,VLOOKUP(D539,female_reg,3,FALSE)-C539*10,VLOOKUP(D539,male_reg,3,FALSE)-C539*10)),2)</f>
        <v/>
      </c>
      <c r="Q539" s="468" t="str">
        <f>IFERROR(IF(OR(J539=0,J539="-",J539=" ",J539="",J539=" ",J539="Athlete"),"",IF($A538&gt;0,VLOOKUP(J539,female_reg,3,FALSE)-C539*10,VLOOKUP(J539,male_reg,3,FALSE)-C539*10)),2)</f>
        <v/>
      </c>
      <c r="T539" s="468">
        <f t="shared" si="284"/>
        <v>0</v>
      </c>
      <c r="U539" s="468">
        <f t="shared" si="285"/>
        <v>0</v>
      </c>
      <c r="V539" s="467" t="str">
        <f t="shared" si="294"/>
        <v>X</v>
      </c>
      <c r="W539" s="467" t="str">
        <f t="shared" si="295"/>
        <v>X</v>
      </c>
      <c r="Z539" s="467">
        <f t="shared" si="286"/>
        <v>0</v>
      </c>
      <c r="AA539" s="467">
        <f t="shared" si="287"/>
        <v>0</v>
      </c>
    </row>
    <row r="540" spans="1:27" x14ac:dyDescent="0.35">
      <c r="P540" s="468" t="str">
        <f>IFERROR(IF(OR(D540=0,D540="-",D540="",D540=" ",D540=" ",D540="Athlete"),"",IF($A538&gt;0,VLOOKUP(D540,female_reg,3,FALSE)-C540*10,VLOOKUP(D540,male_reg,3,FALSE)-C540*10)),"X")</f>
        <v/>
      </c>
      <c r="Q540" s="468" t="str">
        <f>IFERROR(IF(OR(J540=0,J540="-",J540=" ",J540="",J540=" ",J540="Athlete"),"",IF($A538&gt;0,VLOOKUP(J540,female_reg,3,FALSE)-C540*10,VLOOKUP(J540,male_reg,3,FALSE)-C540*10)),"X")</f>
        <v/>
      </c>
      <c r="T540" s="468">
        <f t="shared" ca="1" si="284"/>
        <v>0</v>
      </c>
      <c r="U540" s="468">
        <f t="shared" ca="1" si="285"/>
        <v>0</v>
      </c>
      <c r="Z540" s="467">
        <f t="shared" ca="1" si="286"/>
        <v>0</v>
      </c>
      <c r="AA540" s="467">
        <f t="shared" ca="1" si="287"/>
        <v>0</v>
      </c>
    </row>
    <row r="541" spans="1:27" x14ac:dyDescent="0.35">
      <c r="A541" s="111" t="str">
        <f ca="1">IFERROR(INDIRECT(CONCATENATE("'Timetables'!A"&amp;A544)),"")</f>
        <v>LFW04</v>
      </c>
      <c r="B541" s="469" t="str">
        <f ca="1">IFERROR(VLOOKUP(A541,timetables,2,FALSE)&amp;" "&amp;VLOOKUP(A541,timetables,3,FALSE)&amp;" A","")</f>
        <v>Long Jump U15 Boys A</v>
      </c>
      <c r="C541" s="469"/>
      <c r="E541" s="470" t="str">
        <f ca="1">"Starts "&amp;TEXT(VLOOKUP(A541,timetables,7-MatchDay!$U$7,FALSE),"hh:mm")</f>
        <v>Starts 15:30</v>
      </c>
      <c r="F541" s="471"/>
      <c r="H541" s="472" t="str">
        <f ca="1">IFERROR("Rec: "&amp;TEXT(VLOOKUP(A541,records,5,FALSE),"#0.00")&amp;"m, "&amp;VLOOKUP(A541,records,3,FALSE)&amp;", "&amp;VLOOKUP(A541,records,4,FALSE)&amp;", "&amp;VLOOKUP(A541,records,8,FALSE),"")</f>
        <v>Rec: 6.82m, Patrick Sylla, Bournemouth A.C., 2013</v>
      </c>
      <c r="K541" s="473"/>
      <c r="L541" s="474"/>
      <c r="M541" s="467"/>
      <c r="P541" s="468" t="str">
        <f>IFERROR(IF(OR(D541=0,D541="-",D541="",D541=" ",D541=" ",D541="Athlete"),"",IF($A549&gt;0,VLOOKUP(D541,female_reg,3,FALSE)-C541*10,VLOOKUP(D541,male_reg,3,FALSE)-C541*10)),"X")</f>
        <v/>
      </c>
      <c r="Q541" s="468" t="str">
        <f>IFERROR(IF(OR(J541=0,J541="-",J541=" ",J541="",J541=" ",J541="Athlete"),"",IF($A549&gt;0,VLOOKUP(J541,female_reg,3,FALSE)-C541*10,VLOOKUP(J541,male_reg,3,FALSE)-C541*10)),"X")</f>
        <v/>
      </c>
      <c r="T541" s="468">
        <f t="shared" ca="1" si="284"/>
        <v>0</v>
      </c>
      <c r="U541" s="468">
        <f t="shared" ca="1" si="285"/>
        <v>0</v>
      </c>
      <c r="Z541" s="467">
        <f t="shared" ca="1" si="286"/>
        <v>0</v>
      </c>
      <c r="AA541" s="467">
        <f t="shared" ca="1" si="287"/>
        <v>0</v>
      </c>
    </row>
    <row r="542" spans="1:27" x14ac:dyDescent="0.35">
      <c r="A542" s="85" t="str">
        <f ca="1">MID(A541,2,3)</f>
        <v>FW0</v>
      </c>
      <c r="B542" s="9" t="s">
        <v>163</v>
      </c>
      <c r="C542" s="9" t="s">
        <v>183</v>
      </c>
      <c r="D542" s="46" t="s">
        <v>227</v>
      </c>
      <c r="E542" s="46" t="s">
        <v>228</v>
      </c>
      <c r="F542" s="475"/>
      <c r="G542" s="46"/>
      <c r="H542" s="9" t="s">
        <v>163</v>
      </c>
      <c r="I542" s="9" t="s">
        <v>183</v>
      </c>
      <c r="J542" s="46" t="s">
        <v>227</v>
      </c>
      <c r="K542" s="46" t="s">
        <v>228</v>
      </c>
      <c r="L542" s="475"/>
      <c r="M542" s="475"/>
      <c r="N542" s="52"/>
      <c r="P542" s="468" t="str">
        <f>IFERROR(IF(OR(D542=0,D542="-",D542="",D542=" ",D542=" ",D542="Athlete"),"",IF($A549&gt;0,VLOOKUP(D542,female_reg,3,FALSE)-C542*10,VLOOKUP(D542,male_reg,3,FALSE)-C542*10)),"X")</f>
        <v/>
      </c>
      <c r="Q542" s="468" t="str">
        <f>IFERROR(IF(OR(J542=0,J542="-",J542=" ",J542="",J542=" ",J542="Athlete"),"",IF($A549&gt;0,VLOOKUP(J542,female_reg,3,FALSE)-C542*10,VLOOKUP(J542,male_reg,3,FALSE)-C542*10)),"X")</f>
        <v/>
      </c>
      <c r="T542" s="468">
        <f t="shared" ca="1" si="284"/>
        <v>0</v>
      </c>
      <c r="U542" s="468">
        <f t="shared" ca="1" si="285"/>
        <v>0</v>
      </c>
      <c r="Z542" s="467">
        <f t="shared" ca="1" si="286"/>
        <v>0</v>
      </c>
      <c r="AA542" s="467">
        <f t="shared" ca="1" si="287"/>
        <v>0</v>
      </c>
    </row>
    <row r="543" spans="1:27" x14ac:dyDescent="0.35">
      <c r="A543" s="181">
        <f ca="1">IFERROR(VLOOKUP(A541,Timetables!$A:$E,5,FALSE)-1,"")</f>
        <v>68</v>
      </c>
      <c r="B543" s="477">
        <v>1</v>
      </c>
      <c r="C543" s="477">
        <f ca="1">IFERROR(IF(B543&gt;MatchDay!$U$2,"",VLOOKUP($A541,timetables,MatchDay!$U$4+B543-1,FALSE)),0)</f>
        <v>1</v>
      </c>
      <c r="D543" s="467" t="str">
        <f ca="1">IFERROR(HLOOKUP(C543,Declarations!$D$2:$S$102,A543,FALSE),"")</f>
        <v>FOGDEN Ben</v>
      </c>
      <c r="E543" s="467" t="str">
        <f ca="1">IFERROR(VLOOKUP(C543,teamlookup,5,FALSE),"")</f>
        <v>C'field</v>
      </c>
      <c r="F543" s="466"/>
      <c r="G543" s="476"/>
      <c r="H543" s="477">
        <v>1</v>
      </c>
      <c r="I543" s="477">
        <f ca="1">IFERROR(C543*11,"")</f>
        <v>11</v>
      </c>
      <c r="J543" s="467" t="str">
        <f ca="1">IFERROR(HLOOKUP(I543,Declarations!$D$2:$S$102,$A543,FALSE),"")</f>
        <v>FOOT James</v>
      </c>
      <c r="K543" s="467" t="str">
        <f t="shared" ref="K543:K550" ca="1" si="298">IFERROR(VLOOKUP(I543,teamlookup,5,FALSE),"")</f>
        <v>C'field</v>
      </c>
      <c r="N543" s="478"/>
      <c r="P543" s="468">
        <f ca="1">IFERROR(IF(OR(D543=0,D543="-",D543="",D543=" ",D543=" ",D543="Athlete"),"",IF($A549&gt;0,VLOOKUP(D543,female_reg,3,FALSE)-C543*10,VLOOKUP(D543,male_reg,3,FALSE)-C543*10)),2)</f>
        <v>1</v>
      </c>
      <c r="Q543" s="468">
        <f ca="1">IFERROR(IF(OR(J543=0,J543="-",J543=" ",J543="",J543=" ",J543="Athlete"),"",IF($A549&gt;0,VLOOKUP(J543,female_reg,3,FALSE)-C543*10,VLOOKUP(J543,male_reg,3,FALSE)-C543*10)),2)</f>
        <v>1</v>
      </c>
      <c r="T543" s="468">
        <f t="shared" ca="1" si="284"/>
        <v>3</v>
      </c>
      <c r="U543" s="468">
        <f t="shared" ca="1" si="285"/>
        <v>3</v>
      </c>
      <c r="V543" s="467" t="str">
        <f t="shared" ref="V543:V550" ca="1" si="299">IFERROR(IF(OR(D543=0,D543="-",D543="",D543=" ",D543=" "),"X",D543&amp;E543),"X")</f>
        <v>FOGDEN BenC'field</v>
      </c>
      <c r="W543" s="467" t="str">
        <f t="shared" ref="W543:W550" ca="1" si="300">IFERROR(IF(OR(J543=0,J543="-",J543="",J543=" ",J543=" "),"X",J543&amp;K543),"X")</f>
        <v>FOOT JamesC'field</v>
      </c>
      <c r="Z543" s="467">
        <f t="shared" ca="1" si="286"/>
        <v>4</v>
      </c>
      <c r="AA543" s="467">
        <f t="shared" ca="1" si="287"/>
        <v>4</v>
      </c>
    </row>
    <row r="544" spans="1:27" x14ac:dyDescent="0.35">
      <c r="A544" s="468">
        <f>A533+1</f>
        <v>58</v>
      </c>
      <c r="B544" s="477">
        <v>2</v>
      </c>
      <c r="C544" s="477">
        <f ca="1">IFERROR(IF(B544&gt;MatchDay!$U$2,"",VLOOKUP($A541,timetables,MatchDay!$U$4+B544-1,FALSE)),0)</f>
        <v>5</v>
      </c>
      <c r="D544" s="467">
        <f ca="1">IFERROR(HLOOKUP(C544,Declarations!$D$2:$S$102,A543,FALSE),"")</f>
        <v>0</v>
      </c>
      <c r="E544" s="467" t="str">
        <f t="shared" ref="E544:E550" ca="1" si="301">IFERROR(VLOOKUP(C544,teamlookup,5,FALSE),"")</f>
        <v>Scun</v>
      </c>
      <c r="F544" s="466"/>
      <c r="G544" s="476"/>
      <c r="H544" s="477">
        <v>2</v>
      </c>
      <c r="I544" s="477">
        <f t="shared" ref="I544:I550" ca="1" si="302">IFERROR(C544*11,"")</f>
        <v>55</v>
      </c>
      <c r="J544" s="467">
        <f ca="1">IFERROR(HLOOKUP(I544,Declarations!$D$2:$S$102,$A543,FALSE),"")</f>
        <v>0</v>
      </c>
      <c r="K544" s="467" t="str">
        <f t="shared" ca="1" si="298"/>
        <v>Scun</v>
      </c>
      <c r="N544" s="478"/>
      <c r="P544" s="468" t="str">
        <f ca="1">IFERROR(IF(OR(D544=0,D544="-",D544="",D544=" ",D544=" ",D544="Athlete"),"",IF($A549&gt;0,VLOOKUP(D544,female_reg,3,FALSE)-C544*10,VLOOKUP(D544,male_reg,3,FALSE)-C544*10)),2)</f>
        <v/>
      </c>
      <c r="Q544" s="468" t="str">
        <f ca="1">IFERROR(IF(OR(J544=0,J544="-",J544=" ",J544="",J544=" ",J544="Athlete"),"",IF($A549&gt;0,VLOOKUP(J544,female_reg,3,FALSE)-C544*10,VLOOKUP(J544,male_reg,3,FALSE)-C544*10)),2)</f>
        <v/>
      </c>
      <c r="T544" s="468">
        <f t="shared" ca="1" si="284"/>
        <v>0</v>
      </c>
      <c r="U544" s="468">
        <f t="shared" ca="1" si="285"/>
        <v>0</v>
      </c>
      <c r="V544" s="467" t="str">
        <f t="shared" ca="1" si="299"/>
        <v>X</v>
      </c>
      <c r="W544" s="467" t="str">
        <f t="shared" ca="1" si="300"/>
        <v>X</v>
      </c>
      <c r="Z544" s="467">
        <f t="shared" ca="1" si="286"/>
        <v>0</v>
      </c>
      <c r="AA544" s="467">
        <f t="shared" ca="1" si="287"/>
        <v>0</v>
      </c>
    </row>
    <row r="545" spans="1:27" x14ac:dyDescent="0.35">
      <c r="A545" s="118">
        <f ca="1">IFERROR(VLOOKUP(A541,standards,3,FALSE)+0.01,"-")</f>
        <v>5.76</v>
      </c>
      <c r="B545" s="477">
        <v>3</v>
      </c>
      <c r="C545" s="477">
        <f ca="1">IFERROR(IF(B545&gt;MatchDay!$U$2,"",VLOOKUP($A541,timetables,MatchDay!$U$4+B545-1,FALSE)),0)</f>
        <v>4</v>
      </c>
      <c r="D545" s="467" t="str">
        <f ca="1">IFERROR(HLOOKUP(C545,Declarations!$D$2:$S$102,A543,FALSE),"")</f>
        <v>CHINNERY Norton</v>
      </c>
      <c r="E545" s="467" t="str">
        <f t="shared" ca="1" si="301"/>
        <v>M'bro</v>
      </c>
      <c r="F545" s="466"/>
      <c r="G545" s="476"/>
      <c r="H545" s="477">
        <v>3</v>
      </c>
      <c r="I545" s="477">
        <f t="shared" ca="1" si="302"/>
        <v>44</v>
      </c>
      <c r="J545" s="467" t="str">
        <f ca="1">IFERROR(HLOOKUP(I545,Declarations!$D$2:$S$102,$A543,FALSE),"")</f>
        <v>IBEH Terrell</v>
      </c>
      <c r="K545" s="467" t="str">
        <f t="shared" ca="1" si="298"/>
        <v>M'bro</v>
      </c>
      <c r="N545" s="478"/>
      <c r="P545" s="468">
        <f ca="1">IFERROR(IF(OR(D545=0,D545="-",D545="",D545=" ",D545=" ",D545="Athlete"),"",IF($A549&gt;0,VLOOKUP(D545,female_reg,3,FALSE)-C545*10,VLOOKUP(D545,male_reg,3,FALSE)-C545*10)),2)</f>
        <v>1</v>
      </c>
      <c r="Q545" s="468">
        <f ca="1">IFERROR(IF(OR(J545=0,J545="-",J545=" ",J545="",J545=" ",J545="Athlete"),"",IF($A549&gt;0,VLOOKUP(J545,female_reg,3,FALSE)-C545*10,VLOOKUP(J545,male_reg,3,FALSE)-C545*10)),2)</f>
        <v>1</v>
      </c>
      <c r="T545" s="468">
        <f t="shared" ca="1" si="284"/>
        <v>3</v>
      </c>
      <c r="U545" s="468">
        <f t="shared" ca="1" si="285"/>
        <v>2</v>
      </c>
      <c r="V545" s="467" t="str">
        <f t="shared" ca="1" si="299"/>
        <v>CHINNERY NortonM'bro</v>
      </c>
      <c r="W545" s="467" t="str">
        <f t="shared" ca="1" si="300"/>
        <v>IBEH TerrellM'bro</v>
      </c>
      <c r="Z545" s="467">
        <f t="shared" ca="1" si="286"/>
        <v>4</v>
      </c>
      <c r="AA545" s="467">
        <f t="shared" ca="1" si="287"/>
        <v>3</v>
      </c>
    </row>
    <row r="546" spans="1:27" x14ac:dyDescent="0.35">
      <c r="A546" s="118">
        <f ca="1">IFERROR(VLOOKUP(A541,standards,4,FALSE)+0.01,"-")</f>
        <v>5.56</v>
      </c>
      <c r="B546" s="477">
        <v>4</v>
      </c>
      <c r="C546" s="477">
        <f ca="1">IFERROR(IF(B546&gt;MatchDay!$U$2,"",VLOOKUP($A541,timetables,MatchDay!$U$4+B546-1,FALSE)),0)</f>
        <v>2</v>
      </c>
      <c r="D546" s="467" t="str">
        <f ca="1">IFERROR(HLOOKUP(C546,Declarations!$D$2:$S$102,A543,FALSE),"")</f>
        <v>BENTLEY Tom</v>
      </c>
      <c r="E546" s="467" t="str">
        <f t="shared" ca="1" si="301"/>
        <v>Sheff+D</v>
      </c>
      <c r="F546" s="466"/>
      <c r="G546" s="476"/>
      <c r="H546" s="477">
        <v>4</v>
      </c>
      <c r="I546" s="477">
        <f t="shared" ca="1" si="302"/>
        <v>22</v>
      </c>
      <c r="J546" s="467" t="str">
        <f ca="1">IFERROR(HLOOKUP(I546,Declarations!$D$2:$S$102,$A543,FALSE),"")</f>
        <v>SCOTT Leni</v>
      </c>
      <c r="K546" s="467" t="str">
        <f t="shared" ca="1" si="298"/>
        <v>Sheff+D</v>
      </c>
      <c r="N546" s="478"/>
      <c r="P546" s="468">
        <f ca="1">IFERROR(IF(OR(D546=0,D546="-",D546="",D546=" ",D546=" ",D546="Athlete"),"",IF($A549&gt;0,VLOOKUP(D546,female_reg,3,FALSE)-C546*10,VLOOKUP(D546,male_reg,3,FALSE)-C546*10)),2)</f>
        <v>1</v>
      </c>
      <c r="Q546" s="468">
        <f ca="1">IFERROR(IF(OR(J546=0,J546="-",J546=" ",J546="",J546=" ",J546="Athlete"),"",IF($A549&gt;0,VLOOKUP(J546,female_reg,3,FALSE)-C546*10,VLOOKUP(J546,male_reg,3,FALSE)-C546*10)),2)</f>
        <v>1</v>
      </c>
      <c r="T546" s="468">
        <f t="shared" ca="1" si="284"/>
        <v>3</v>
      </c>
      <c r="U546" s="468">
        <f t="shared" ca="1" si="285"/>
        <v>3</v>
      </c>
      <c r="V546" s="467" t="str">
        <f t="shared" ca="1" si="299"/>
        <v>BENTLEY TomSheff+D</v>
      </c>
      <c r="W546" s="467" t="str">
        <f t="shared" ca="1" si="300"/>
        <v>SCOTT LeniSheff+D</v>
      </c>
      <c r="Z546" s="467">
        <f ca="1">IF(V546="X",0,COUNTIF($V$4:$Y$638,V546))</f>
        <v>4</v>
      </c>
      <c r="AA546" s="467">
        <f t="shared" ca="1" si="287"/>
        <v>3</v>
      </c>
    </row>
    <row r="547" spans="1:27" x14ac:dyDescent="0.35">
      <c r="A547" s="118">
        <f ca="1">IFERROR(VLOOKUP(A541,standards,5,FALSE)+0.01,"-")</f>
        <v>5.31</v>
      </c>
      <c r="B547" s="477">
        <v>5</v>
      </c>
      <c r="C547" s="477">
        <f ca="1">IFERROR(IF(B547&gt;MatchDay!$U$2,"",VLOOKUP($A541,timetables,MatchDay!$U$4+B547-1,FALSE)),0)</f>
        <v>3</v>
      </c>
      <c r="D547" s="467" t="str">
        <f ca="1">IFERROR(HLOOKUP(C547,Declarations!$D$2:$S$102,A543,FALSE),"")</f>
        <v>COOK Harry</v>
      </c>
      <c r="E547" s="467" t="str">
        <f t="shared" ca="1" si="301"/>
        <v>York</v>
      </c>
      <c r="F547" s="466"/>
      <c r="G547" s="476"/>
      <c r="H547" s="477">
        <v>5</v>
      </c>
      <c r="I547" s="477">
        <f t="shared" ca="1" si="302"/>
        <v>33</v>
      </c>
      <c r="J547" s="467" t="str">
        <f ca="1">IFERROR(HLOOKUP(I547,Declarations!$D$2:$S$102,$A543,FALSE),"")</f>
        <v>LANSFORD Hollis</v>
      </c>
      <c r="K547" s="467" t="str">
        <f t="shared" ca="1" si="298"/>
        <v>York</v>
      </c>
      <c r="N547" s="478"/>
      <c r="P547" s="468">
        <f ca="1">IFERROR(IF(OR(D547=0,D547="-",D547="",D547=" ",D547=" ",D547="Athlete"),"",IF($A549&gt;0,VLOOKUP(D547,female_reg,3,FALSE)-C547*10,VLOOKUP(D547,male_reg,3,FALSE)-C547*10)),2)</f>
        <v>1</v>
      </c>
      <c r="Q547" s="468">
        <f ca="1">IFERROR(IF(OR(J547=0,J547="-",J547=" ",J547="",J547=" ",J547="Athlete"),"",IF($A549&gt;0,VLOOKUP(J547,female_reg,3,FALSE)-C547*10,VLOOKUP(J547,male_reg,3,FALSE)-C547*10)),2)</f>
        <v>1</v>
      </c>
      <c r="T547" s="468">
        <f t="shared" ca="1" si="284"/>
        <v>2</v>
      </c>
      <c r="U547" s="468">
        <f t="shared" ca="1" si="285"/>
        <v>2</v>
      </c>
      <c r="V547" s="467" t="str">
        <f t="shared" ca="1" si="299"/>
        <v>COOK HarryYork</v>
      </c>
      <c r="W547" s="467" t="str">
        <f t="shared" ca="1" si="300"/>
        <v>LANSFORD HollisYork</v>
      </c>
      <c r="Z547" s="467">
        <f t="shared" ca="1" si="286"/>
        <v>2</v>
      </c>
      <c r="AA547" s="467">
        <f t="shared" ca="1" si="287"/>
        <v>3</v>
      </c>
    </row>
    <row r="548" spans="1:27" x14ac:dyDescent="0.35">
      <c r="A548" s="118">
        <f ca="1">IFERROR(VLOOKUP(A541,standards,6,FALSE)+0.01,"-")</f>
        <v>5.01</v>
      </c>
      <c r="B548" s="477">
        <v>6</v>
      </c>
      <c r="C548" s="477" t="str">
        <f>IFERROR(IF(B548&gt;MatchDay!$U$2,"",VLOOKUP($A541,timetables,MatchDay!$U$4+B548-1,FALSE)),0)</f>
        <v/>
      </c>
      <c r="D548" s="467" t="str">
        <f>IFERROR(HLOOKUP(C548,Declarations!$D$2:$S$102,A543,FALSE),"")</f>
        <v/>
      </c>
      <c r="E548" s="467" t="str">
        <f t="shared" si="301"/>
        <v/>
      </c>
      <c r="F548" s="466"/>
      <c r="G548" s="476"/>
      <c r="H548" s="477">
        <v>6</v>
      </c>
      <c r="I548" s="477" t="str">
        <f t="shared" si="302"/>
        <v/>
      </c>
      <c r="J548" s="467" t="str">
        <f>IFERROR(HLOOKUP(I548,Declarations!$D$2:$S$102,$A543,FALSE),"")</f>
        <v/>
      </c>
      <c r="K548" s="467" t="str">
        <f t="shared" si="298"/>
        <v/>
      </c>
      <c r="N548" s="478"/>
      <c r="P548" s="468" t="str">
        <f>IFERROR(IF(OR(D548=0,D548="-",D548="",D548=" ",D548=" ",D548="Athlete"),"",IF($A549&gt;0,VLOOKUP(D548,female_reg,3,FALSE)-C548*10,VLOOKUP(D548,male_reg,3,FALSE)-C548*10)),2)</f>
        <v/>
      </c>
      <c r="Q548" s="468" t="str">
        <f>IFERROR(IF(OR(J548=0,J548="-",J548=" ",J548="",J548=" ",J548="Athlete"),"",IF($A549&gt;0,VLOOKUP(J548,female_reg,3,FALSE)-C548*10,VLOOKUP(J548,male_reg,3,FALSE)-C548*10)),2)</f>
        <v/>
      </c>
      <c r="T548" s="468">
        <f t="shared" si="284"/>
        <v>0</v>
      </c>
      <c r="U548" s="468">
        <f t="shared" si="285"/>
        <v>0</v>
      </c>
      <c r="V548" s="467" t="str">
        <f t="shared" si="299"/>
        <v>X</v>
      </c>
      <c r="W548" s="467" t="str">
        <f t="shared" si="300"/>
        <v>X</v>
      </c>
      <c r="Z548" s="467">
        <f t="shared" si="286"/>
        <v>0</v>
      </c>
      <c r="AA548" s="467">
        <f t="shared" si="287"/>
        <v>0</v>
      </c>
    </row>
    <row r="549" spans="1:27" x14ac:dyDescent="0.35">
      <c r="A549" s="479">
        <f ca="1">IFERROR(SEARCH("Girls",B541),0)</f>
        <v>0</v>
      </c>
      <c r="B549" s="477">
        <v>7</v>
      </c>
      <c r="C549" s="477" t="str">
        <f>IFERROR(IF(B549&gt;MatchDay!$U$2,"",VLOOKUP($A541,timetables,MatchDay!$U$4+B549-1,FALSE)),0)</f>
        <v/>
      </c>
      <c r="D549" s="467" t="str">
        <f>IFERROR(HLOOKUP(C549,Declarations!$D$2:$S$102,A543,FALSE),"")</f>
        <v/>
      </c>
      <c r="E549" s="467" t="str">
        <f t="shared" si="301"/>
        <v/>
      </c>
      <c r="F549" s="466"/>
      <c r="G549" s="476"/>
      <c r="H549" s="477">
        <v>7</v>
      </c>
      <c r="I549" s="477" t="str">
        <f t="shared" si="302"/>
        <v/>
      </c>
      <c r="J549" s="467" t="str">
        <f>IFERROR(HLOOKUP(I549,Declarations!$D$2:$S$102,$A543,FALSE),"")</f>
        <v/>
      </c>
      <c r="K549" s="467" t="str">
        <f t="shared" si="298"/>
        <v/>
      </c>
      <c r="N549" s="478"/>
      <c r="P549" s="468" t="str">
        <f>IFERROR(IF(OR(D549=0,D549="-",D549="",D549=" ",D549=" ",D549="Athlete"),"",IF($A549&gt;0,VLOOKUP(D549,female_reg,3,FALSE)-C549*10,VLOOKUP(D549,male_reg,3,FALSE)-C549*10)),2)</f>
        <v/>
      </c>
      <c r="Q549" s="468" t="str">
        <f>IFERROR(IF(OR(J549=0,J549="-",J549=" ",J549="",J549=" ",J549="Athlete"),"",IF($A549&gt;0,VLOOKUP(J549,female_reg,3,FALSE)-C549*10,VLOOKUP(J549,male_reg,3,FALSE)-C549*10)),2)</f>
        <v/>
      </c>
      <c r="T549" s="468">
        <f t="shared" si="284"/>
        <v>0</v>
      </c>
      <c r="U549" s="468">
        <f t="shared" si="285"/>
        <v>0</v>
      </c>
      <c r="V549" s="467" t="str">
        <f t="shared" si="299"/>
        <v>X</v>
      </c>
      <c r="W549" s="467" t="str">
        <f t="shared" si="300"/>
        <v>X</v>
      </c>
      <c r="Z549" s="467">
        <f t="shared" si="286"/>
        <v>0</v>
      </c>
      <c r="AA549" s="467">
        <f t="shared" si="287"/>
        <v>0</v>
      </c>
    </row>
    <row r="550" spans="1:27" x14ac:dyDescent="0.35">
      <c r="A550" s="116">
        <f ca="1">IFERROR(VLOOKUP(A541,records,5,FALSE),"")</f>
        <v>6.82</v>
      </c>
      <c r="B550" s="477">
        <v>8</v>
      </c>
      <c r="C550" s="477" t="str">
        <f>IFERROR(IF(B550&gt;MatchDay!$U$2,"",VLOOKUP($A541,timetables,MatchDay!$U$4+B550-1,FALSE)),0)</f>
        <v/>
      </c>
      <c r="D550" s="467" t="str">
        <f>IFERROR(HLOOKUP(C550,Declarations!$D$2:$S$102,A543,FALSE),"")</f>
        <v/>
      </c>
      <c r="E550" s="467" t="str">
        <f t="shared" si="301"/>
        <v/>
      </c>
      <c r="F550" s="466"/>
      <c r="G550" s="476"/>
      <c r="H550" s="477">
        <v>8</v>
      </c>
      <c r="I550" s="477" t="str">
        <f t="shared" si="302"/>
        <v/>
      </c>
      <c r="J550" s="467" t="str">
        <f>IFERROR(HLOOKUP(I550,Declarations!$D$2:$S$102,$A543,FALSE),"")</f>
        <v/>
      </c>
      <c r="K550" s="467" t="str">
        <f t="shared" si="298"/>
        <v/>
      </c>
      <c r="N550" s="478"/>
      <c r="P550" s="468" t="str">
        <f>IFERROR(IF(OR(D550=0,D550="-",D550="",D550=" ",D550=" ",D550="Athlete"),"",IF($A549&gt;0,VLOOKUP(D550,female_reg,3,FALSE)-C550*10,VLOOKUP(D550,male_reg,3,FALSE)-C550*10)),2)</f>
        <v/>
      </c>
      <c r="Q550" s="468" t="str">
        <f>IFERROR(IF(OR(J550=0,J550="-",J550=" ",J550="",J550=" ",J550="Athlete"),"",IF($A549&gt;0,VLOOKUP(J550,female_reg,3,FALSE)-C550*10,VLOOKUP(J550,male_reg,3,FALSE)-C550*10)),2)</f>
        <v/>
      </c>
      <c r="T550" s="468">
        <f t="shared" si="284"/>
        <v>0</v>
      </c>
      <c r="U550" s="468">
        <f t="shared" si="285"/>
        <v>0</v>
      </c>
      <c r="V550" s="467" t="str">
        <f t="shared" si="299"/>
        <v>X</v>
      </c>
      <c r="W550" s="467" t="str">
        <f t="shared" si="300"/>
        <v>X</v>
      </c>
      <c r="Z550" s="467">
        <f t="shared" si="286"/>
        <v>0</v>
      </c>
      <c r="AA550" s="467">
        <f t="shared" si="287"/>
        <v>0</v>
      </c>
    </row>
    <row r="551" spans="1:27" x14ac:dyDescent="0.35">
      <c r="P551" s="468" t="str">
        <f>IFERROR(IF(OR(D551=0,D551="-",D551="",D551=" ",D551=" ",D551="Athlete"),"",IF($A549&gt;0,VLOOKUP(D551,female_reg,3,FALSE)-C551*10,VLOOKUP(D551,male_reg,3,FALSE)-C551*10)),"X")</f>
        <v/>
      </c>
      <c r="Q551" s="468" t="str">
        <f>IFERROR(IF(OR(J551=0,J551="-",J551=" ",J551="",J551=" ",J551="Athlete"),"",IF($A549&gt;0,VLOOKUP(J551,female_reg,3,FALSE)-C551*10,VLOOKUP(J551,male_reg,3,FALSE)-C551*10)),"X")</f>
        <v/>
      </c>
      <c r="T551" s="468">
        <f t="shared" ca="1" si="284"/>
        <v>0</v>
      </c>
      <c r="U551" s="468">
        <f t="shared" ca="1" si="285"/>
        <v>0</v>
      </c>
      <c r="Z551" s="467">
        <f t="shared" ca="1" si="286"/>
        <v>0</v>
      </c>
      <c r="AA551" s="467">
        <f t="shared" ca="1" si="287"/>
        <v>0</v>
      </c>
    </row>
    <row r="552" spans="1:27" x14ac:dyDescent="0.35">
      <c r="A552" s="111" t="str">
        <f ca="1">IFERROR(INDIRECT(CONCATENATE("'Timetables'!A"&amp;A555)),"")</f>
        <v>LFD11</v>
      </c>
      <c r="B552" s="469" t="str">
        <f ca="1">IFERROR(VLOOKUP(A552,timetables,2,FALSE)&amp;" "&amp;VLOOKUP(A552,timetables,3,FALSE)&amp;" A","")</f>
        <v>Shot U15 Girls A</v>
      </c>
      <c r="C552" s="469"/>
      <c r="E552" s="470" t="str">
        <f ca="1">"Starts "&amp;TEXT(VLOOKUP(A552,timetables,7-MatchDay!$U$7,FALSE),"hh:mm")</f>
        <v>Starts 15:30</v>
      </c>
      <c r="F552" s="471"/>
      <c r="H552" s="472" t="str">
        <f ca="1">IFERROR("Rec: "&amp;TEXT(VLOOKUP(A552,records,5,FALSE),"#0.00")&amp;"m, "&amp;VLOOKUP(A552,records,3,FALSE)&amp;", "&amp;VLOOKUP(A552,records,4,FALSE)&amp;", "&amp;VLOOKUP(A552,records,8,FALSE),"")</f>
        <v>Rec: 13.72m, Omolola Kuponiyi, Havering AC, 2018</v>
      </c>
      <c r="K552" s="473"/>
      <c r="L552" s="474"/>
      <c r="M552" s="467"/>
      <c r="P552" s="468" t="str">
        <f>IFERROR(IF(OR(D552=0,D552="-",D552="",D552=" ",D552=" ",D552="Athlete"),"",IF($A560&gt;0,VLOOKUP(D552,female_reg,3,FALSE)-C552*10,VLOOKUP(D552,male_reg,3,FALSE)-C552*10)),"X")</f>
        <v/>
      </c>
      <c r="Q552" s="468" t="str">
        <f>IFERROR(IF(OR(J552=0,J552="-",J552=" ",J552="",J552=" ",J552="Athlete"),"",IF($A560&gt;0,VLOOKUP(J552,female_reg,3,FALSE)-C552*10,VLOOKUP(J552,male_reg,3,FALSE)-C552*10)),"X")</f>
        <v/>
      </c>
      <c r="T552" s="468">
        <f t="shared" ca="1" si="284"/>
        <v>0</v>
      </c>
      <c r="U552" s="468">
        <f t="shared" ca="1" si="285"/>
        <v>0</v>
      </c>
      <c r="Z552" s="467">
        <f t="shared" ca="1" si="286"/>
        <v>0</v>
      </c>
      <c r="AA552" s="467">
        <f t="shared" ca="1" si="287"/>
        <v>0</v>
      </c>
    </row>
    <row r="553" spans="1:27" x14ac:dyDescent="0.35">
      <c r="A553" s="85" t="str">
        <f ca="1">MID(A552,2,3)</f>
        <v>FD1</v>
      </c>
      <c r="B553" s="9" t="s">
        <v>163</v>
      </c>
      <c r="C553" s="9" t="s">
        <v>183</v>
      </c>
      <c r="D553" s="46" t="s">
        <v>227</v>
      </c>
      <c r="E553" s="46" t="s">
        <v>228</v>
      </c>
      <c r="F553" s="475"/>
      <c r="G553" s="46"/>
      <c r="H553" s="9" t="s">
        <v>163</v>
      </c>
      <c r="I553" s="9" t="s">
        <v>183</v>
      </c>
      <c r="J553" s="46" t="s">
        <v>227</v>
      </c>
      <c r="K553" s="46" t="s">
        <v>228</v>
      </c>
      <c r="L553" s="475"/>
      <c r="M553" s="475"/>
      <c r="N553" s="52"/>
      <c r="P553" s="468" t="str">
        <f>IFERROR(IF(OR(D553=0,D553="-",D553="",D553=" ",D553=" ",D553="Athlete"),"",IF($A560&gt;0,VLOOKUP(D553,female_reg,3,FALSE)-C553*10,VLOOKUP(D553,male_reg,3,FALSE)-C553*10)),"X")</f>
        <v/>
      </c>
      <c r="Q553" s="468" t="str">
        <f>IFERROR(IF(OR(J553=0,J553="-",J553=" ",J553="",J553=" ",J553="Athlete"),"",IF($A560&gt;0,VLOOKUP(J553,female_reg,3,FALSE)-C553*10,VLOOKUP(J553,male_reg,3,FALSE)-C553*10)),"X")</f>
        <v/>
      </c>
      <c r="T553" s="468">
        <f t="shared" ca="1" si="284"/>
        <v>0</v>
      </c>
      <c r="U553" s="468">
        <f t="shared" ca="1" si="285"/>
        <v>0</v>
      </c>
      <c r="Z553" s="467">
        <f t="shared" ca="1" si="286"/>
        <v>0</v>
      </c>
      <c r="AA553" s="467">
        <f t="shared" ca="1" si="287"/>
        <v>0</v>
      </c>
    </row>
    <row r="554" spans="1:27" x14ac:dyDescent="0.35">
      <c r="A554" s="181">
        <f ca="1">IFERROR(VLOOKUP(A552,Timetables!$A:$E,5,FALSE)-1,"")</f>
        <v>17</v>
      </c>
      <c r="B554" s="477">
        <v>1</v>
      </c>
      <c r="C554" s="477">
        <f ca="1">IFERROR(IF(B554&gt;MatchDay!$U$2,"",VLOOKUP($A552,timetables,MatchDay!$U$4+B554-1,FALSE)),0)</f>
        <v>3</v>
      </c>
      <c r="D554" s="467" t="str">
        <f ca="1">IFERROR(HLOOKUP(C554,Declarations!$D$2:$S$102,A554,FALSE),"")</f>
        <v>BROOKS Carmen</v>
      </c>
      <c r="E554" s="467" t="str">
        <f ca="1">IFERROR(VLOOKUP(C554,teamlookup,5,FALSE),"")</f>
        <v>York</v>
      </c>
      <c r="F554" s="466"/>
      <c r="G554" s="476"/>
      <c r="H554" s="477">
        <v>1</v>
      </c>
      <c r="I554" s="477">
        <f ca="1">IFERROR(C554*11,"")</f>
        <v>33</v>
      </c>
      <c r="J554" s="467" t="str">
        <f ca="1">IFERROR(HLOOKUP(I554,Declarations!$D$2:$S$102,$A554,FALSE),"")</f>
        <v>LEE Isabel</v>
      </c>
      <c r="K554" s="467" t="str">
        <f t="shared" ref="K554:K561" ca="1" si="303">IFERROR(VLOOKUP(I554,teamlookup,5,FALSE),"")</f>
        <v>York</v>
      </c>
      <c r="N554" s="478"/>
      <c r="P554" s="468">
        <f ca="1">IFERROR(IF(OR(D554=0,D554="-",D554="",D554=" ",D554=" ",D554="Athlete"),"",IF($A560&gt;0,VLOOKUP(D554,female_reg,3,FALSE)-C554*10,VLOOKUP(D554,male_reg,3,FALSE)-C554*10)),2)</f>
        <v>1</v>
      </c>
      <c r="Q554" s="468">
        <f ca="1">IFERROR(IF(OR(J554=0,J554="-",J554=" ",J554="",J554=" ",J554="Athlete"),"",IF($A560&gt;0,VLOOKUP(J554,female_reg,3,FALSE)-C554*10,VLOOKUP(J554,male_reg,3,FALSE)-C554*10)),2)</f>
        <v>1</v>
      </c>
      <c r="T554" s="468">
        <f t="shared" ca="1" si="284"/>
        <v>3</v>
      </c>
      <c r="U554" s="468">
        <f t="shared" ca="1" si="285"/>
        <v>3</v>
      </c>
      <c r="V554" s="467" t="str">
        <f t="shared" ref="V554:V561" ca="1" si="304">IFERROR(IF(OR(D554=0,D554="-",D554="",D554=" ",D554=" "),"X",D554&amp;E554),"X")</f>
        <v>BROOKS CarmenYork</v>
      </c>
      <c r="W554" s="467" t="str">
        <f t="shared" ref="W554:W561" ca="1" si="305">IFERROR(IF(OR(J554=0,J554="-",J554="",J554=" ",J554=" "),"X",J554&amp;K554),"X")</f>
        <v>LEE IsabelYork</v>
      </c>
      <c r="Z554" s="467">
        <f t="shared" ca="1" si="286"/>
        <v>4</v>
      </c>
      <c r="AA554" s="467">
        <f t="shared" ca="1" si="287"/>
        <v>4</v>
      </c>
    </row>
    <row r="555" spans="1:27" x14ac:dyDescent="0.35">
      <c r="A555" s="468">
        <f>A544+1</f>
        <v>59</v>
      </c>
      <c r="B555" s="477">
        <v>2</v>
      </c>
      <c r="C555" s="477">
        <f ca="1">IFERROR(IF(B555&gt;MatchDay!$U$2,"",VLOOKUP($A552,timetables,MatchDay!$U$4+B555-1,FALSE)),0)</f>
        <v>1</v>
      </c>
      <c r="D555" s="467" t="str">
        <f ca="1">IFERROR(HLOOKUP(C555,Declarations!$D$2:$S$102,A554,FALSE),"")</f>
        <v>HIGHAM Ruby</v>
      </c>
      <c r="E555" s="467" t="str">
        <f t="shared" ref="E555:E561" ca="1" si="306">IFERROR(VLOOKUP(C555,teamlookup,5,FALSE),"")</f>
        <v>C'field</v>
      </c>
      <c r="F555" s="466"/>
      <c r="G555" s="476"/>
      <c r="H555" s="477">
        <v>2</v>
      </c>
      <c r="I555" s="477">
        <f t="shared" ref="I555:I561" ca="1" si="307">IFERROR(C555*11,"")</f>
        <v>11</v>
      </c>
      <c r="J555" s="467" t="str">
        <f ca="1">IFERROR(HLOOKUP(I555,Declarations!$D$2:$S$102,$A554,FALSE),"")</f>
        <v>BAINES Lily</v>
      </c>
      <c r="K555" s="467" t="str">
        <f t="shared" ca="1" si="303"/>
        <v>C'field</v>
      </c>
      <c r="N555" s="478"/>
      <c r="P555" s="468">
        <f ca="1">IFERROR(IF(OR(D555=0,D555="-",D555="",D555=" ",D555=" ",D555="Athlete"),"",IF($A560&gt;0,VLOOKUP(D555,female_reg,3,FALSE)-C555*10,VLOOKUP(D555,male_reg,3,FALSE)-C555*10)),2)</f>
        <v>1</v>
      </c>
      <c r="Q555" s="468">
        <f ca="1">IFERROR(IF(OR(J555=0,J555="-",J555=" ",J555="",J555=" ",J555="Athlete"),"",IF($A560&gt;0,VLOOKUP(J555,female_reg,3,FALSE)-C555*10,VLOOKUP(J555,male_reg,3,FALSE)-C555*10)),2)</f>
        <v>1</v>
      </c>
      <c r="T555" s="468">
        <f t="shared" ca="1" si="284"/>
        <v>3</v>
      </c>
      <c r="U555" s="468">
        <f t="shared" ca="1" si="285"/>
        <v>3</v>
      </c>
      <c r="V555" s="467" t="str">
        <f t="shared" ca="1" si="304"/>
        <v>HIGHAM RubyC'field</v>
      </c>
      <c r="W555" s="467" t="str">
        <f t="shared" ca="1" si="305"/>
        <v>BAINES LilyC'field</v>
      </c>
      <c r="Z555" s="467">
        <f t="shared" ca="1" si="286"/>
        <v>3</v>
      </c>
      <c r="AA555" s="467">
        <f t="shared" ca="1" si="287"/>
        <v>4</v>
      </c>
    </row>
    <row r="556" spans="1:27" x14ac:dyDescent="0.35">
      <c r="A556" s="118">
        <f ca="1">IFERROR(VLOOKUP(A552,standards,3,FALSE)+0.01,"-")</f>
        <v>10.16</v>
      </c>
      <c r="B556" s="477">
        <v>3</v>
      </c>
      <c r="C556" s="477">
        <f ca="1">IFERROR(IF(B556&gt;MatchDay!$U$2,"",VLOOKUP($A552,timetables,MatchDay!$U$4+B556-1,FALSE)),0)</f>
        <v>4</v>
      </c>
      <c r="D556" s="467" t="str">
        <f ca="1">IFERROR(HLOOKUP(C556,Declarations!$D$2:$S$102,A554,FALSE),"")</f>
        <v>DORAN Bethany</v>
      </c>
      <c r="E556" s="467" t="str">
        <f t="shared" ca="1" si="306"/>
        <v>M'bro</v>
      </c>
      <c r="F556" s="466"/>
      <c r="G556" s="476"/>
      <c r="H556" s="477">
        <v>3</v>
      </c>
      <c r="I556" s="477">
        <f t="shared" ca="1" si="307"/>
        <v>44</v>
      </c>
      <c r="J556" s="467" t="str">
        <f ca="1">IFERROR(HLOOKUP(I556,Declarations!$D$2:$S$102,$A554,FALSE),"")</f>
        <v>-</v>
      </c>
      <c r="K556" s="467" t="str">
        <f t="shared" ca="1" si="303"/>
        <v>M'bro</v>
      </c>
      <c r="N556" s="478"/>
      <c r="P556" s="468">
        <f ca="1">IFERROR(IF(OR(D556=0,D556="-",D556="",D556=" ",D556=" ",D556="Athlete"),"",IF($A560&gt;0,VLOOKUP(D556,female_reg,3,FALSE)-C556*10,VLOOKUP(D556,male_reg,3,FALSE)-C556*10)),2)</f>
        <v>1</v>
      </c>
      <c r="Q556" s="468" t="str">
        <f ca="1">IFERROR(IF(OR(J556=0,J556="-",J556=" ",J556="",J556=" ",J556="Athlete"),"",IF($A560&gt;0,VLOOKUP(J556,female_reg,3,FALSE)-C556*10,VLOOKUP(J556,male_reg,3,FALSE)-C556*10)),2)</f>
        <v/>
      </c>
      <c r="T556" s="468">
        <f t="shared" ca="1" si="284"/>
        <v>3</v>
      </c>
      <c r="U556" s="468">
        <f t="shared" ca="1" si="285"/>
        <v>0</v>
      </c>
      <c r="V556" s="467" t="str">
        <f t="shared" ca="1" si="304"/>
        <v>DORAN BethanyM'bro</v>
      </c>
      <c r="W556" s="467" t="str">
        <f t="shared" ca="1" si="305"/>
        <v>X</v>
      </c>
      <c r="Z556" s="467">
        <f t="shared" ca="1" si="286"/>
        <v>3</v>
      </c>
      <c r="AA556" s="467">
        <f t="shared" ca="1" si="287"/>
        <v>0</v>
      </c>
    </row>
    <row r="557" spans="1:27" x14ac:dyDescent="0.35">
      <c r="A557" s="118">
        <f ca="1">IFERROR(VLOOKUP(A552,standards,4,FALSE)+0.01,"-")</f>
        <v>9.51</v>
      </c>
      <c r="B557" s="477">
        <v>4</v>
      </c>
      <c r="C557" s="477">
        <f ca="1">IFERROR(IF(B557&gt;MatchDay!$U$2,"",VLOOKUP($A552,timetables,MatchDay!$U$4+B557-1,FALSE)),0)</f>
        <v>2</v>
      </c>
      <c r="D557" s="467" t="str">
        <f ca="1">IFERROR(HLOOKUP(C557,Declarations!$D$2:$S$102,A554,FALSE),"")</f>
        <v>ADEBAYO Daphney</v>
      </c>
      <c r="E557" s="467" t="str">
        <f t="shared" ca="1" si="306"/>
        <v>Sheff+D</v>
      </c>
      <c r="F557" s="466"/>
      <c r="G557" s="476"/>
      <c r="H557" s="477">
        <v>4</v>
      </c>
      <c r="I557" s="477">
        <f t="shared" ca="1" si="307"/>
        <v>22</v>
      </c>
      <c r="J557" s="467" t="str">
        <f ca="1">IFERROR(HLOOKUP(I557,Declarations!$D$2:$S$102,$A554,FALSE),"")</f>
        <v>KYNOCH Ella</v>
      </c>
      <c r="K557" s="467" t="str">
        <f t="shared" ca="1" si="303"/>
        <v>Sheff+D</v>
      </c>
      <c r="N557" s="478"/>
      <c r="P557" s="468">
        <f ca="1">IFERROR(IF(OR(D557=0,D557="-",D557="",D557=" ",D557=" ",D557="Athlete"),"",IF($A560&gt;0,VLOOKUP(D557,female_reg,3,FALSE)-C557*10,VLOOKUP(D557,male_reg,3,FALSE)-C557*10)),2)</f>
        <v>1</v>
      </c>
      <c r="Q557" s="468">
        <f ca="1">IFERROR(IF(OR(J557=0,J557="-",J557=" ",J557="",J557=" ",J557="Athlete"),"",IF($A560&gt;0,VLOOKUP(J557,female_reg,3,FALSE)-C557*10,VLOOKUP(J557,male_reg,3,FALSE)-C557*10)),2)</f>
        <v>1</v>
      </c>
      <c r="T557" s="468">
        <f t="shared" ca="1" si="284"/>
        <v>3</v>
      </c>
      <c r="U557" s="468">
        <f t="shared" ca="1" si="285"/>
        <v>3</v>
      </c>
      <c r="V557" s="467" t="str">
        <f t="shared" ca="1" si="304"/>
        <v>ADEBAYO DaphneySheff+D</v>
      </c>
      <c r="W557" s="467" t="str">
        <f t="shared" ca="1" si="305"/>
        <v>KYNOCH EllaSheff+D</v>
      </c>
      <c r="Z557" s="467">
        <f t="shared" ca="1" si="286"/>
        <v>4</v>
      </c>
      <c r="AA557" s="467">
        <f t="shared" ca="1" si="287"/>
        <v>3</v>
      </c>
    </row>
    <row r="558" spans="1:27" x14ac:dyDescent="0.35">
      <c r="A558" s="118">
        <f ca="1">IFERROR(VLOOKUP(A552,standards,5,FALSE)+0.01,"-")</f>
        <v>8.86</v>
      </c>
      <c r="B558" s="477">
        <v>5</v>
      </c>
      <c r="C558" s="477">
        <f ca="1">IFERROR(IF(B558&gt;MatchDay!$U$2,"",VLOOKUP($A552,timetables,MatchDay!$U$4+B558-1,FALSE)),0)</f>
        <v>5</v>
      </c>
      <c r="D558" s="467" t="str">
        <f ca="1">IFERROR(HLOOKUP(C558,Declarations!$D$2:$S$102,A554,FALSE),"")</f>
        <v>THIRKETTLE Charlotte</v>
      </c>
      <c r="E558" s="467" t="str">
        <f t="shared" ca="1" si="306"/>
        <v>Scun</v>
      </c>
      <c r="F558" s="466"/>
      <c r="G558" s="476"/>
      <c r="H558" s="477">
        <v>5</v>
      </c>
      <c r="I558" s="477">
        <f t="shared" ca="1" si="307"/>
        <v>55</v>
      </c>
      <c r="J558" s="467" t="str">
        <f ca="1">IFERROR(HLOOKUP(I558,Declarations!$D$2:$S$102,$A554,FALSE),"")</f>
        <v>VICKERS Cerys</v>
      </c>
      <c r="K558" s="467" t="str">
        <f t="shared" ca="1" si="303"/>
        <v>Scun</v>
      </c>
      <c r="N558" s="478"/>
      <c r="P558" s="468">
        <f ca="1">IFERROR(IF(OR(D558=0,D558="-",D558="",D558=" ",D558=" ",D558="Athlete"),"",IF($A560&gt;0,VLOOKUP(D558,female_reg,3,FALSE)-C558*10,VLOOKUP(D558,male_reg,3,FALSE)-C558*10)),2)</f>
        <v>1</v>
      </c>
      <c r="Q558" s="468">
        <f ca="1">IFERROR(IF(OR(J558=0,J558="-",J558=" ",J558="",J558=" ",J558="Athlete"),"",IF($A560&gt;0,VLOOKUP(J558,female_reg,3,FALSE)-C558*10,VLOOKUP(J558,male_reg,3,FALSE)-C558*10)),2)</f>
        <v>1</v>
      </c>
      <c r="T558" s="468">
        <f t="shared" ca="1" si="284"/>
        <v>2</v>
      </c>
      <c r="U558" s="468">
        <f t="shared" ca="1" si="285"/>
        <v>2</v>
      </c>
      <c r="V558" s="467" t="str">
        <f t="shared" ca="1" si="304"/>
        <v>THIRKETTLE CharlotteScun</v>
      </c>
      <c r="W558" s="467" t="str">
        <f t="shared" ca="1" si="305"/>
        <v>VICKERS CerysScun</v>
      </c>
      <c r="Z558" s="467">
        <f t="shared" ca="1" si="286"/>
        <v>2</v>
      </c>
      <c r="AA558" s="467">
        <f t="shared" ca="1" si="287"/>
        <v>3</v>
      </c>
    </row>
    <row r="559" spans="1:27" x14ac:dyDescent="0.35">
      <c r="A559" s="118">
        <f ca="1">IFERROR(VLOOKUP(A552,standards,6,FALSE)+0.01,"-")</f>
        <v>7.96</v>
      </c>
      <c r="B559" s="477">
        <v>6</v>
      </c>
      <c r="C559" s="477" t="str">
        <f>IFERROR(IF(B559&gt;MatchDay!$U$2,"",VLOOKUP($A552,timetables,MatchDay!$U$4+B559-1,FALSE)),0)</f>
        <v/>
      </c>
      <c r="D559" s="467" t="str">
        <f>IFERROR(HLOOKUP(C559,Declarations!$D$2:$S$102,A554,FALSE),"")</f>
        <v/>
      </c>
      <c r="E559" s="467" t="str">
        <f t="shared" si="306"/>
        <v/>
      </c>
      <c r="F559" s="466"/>
      <c r="G559" s="476"/>
      <c r="H559" s="477">
        <v>6</v>
      </c>
      <c r="I559" s="477" t="str">
        <f t="shared" si="307"/>
        <v/>
      </c>
      <c r="J559" s="467" t="str">
        <f>IFERROR(HLOOKUP(I559,Declarations!$D$2:$S$102,$A554,FALSE),"")</f>
        <v/>
      </c>
      <c r="K559" s="467" t="str">
        <f t="shared" si="303"/>
        <v/>
      </c>
      <c r="N559" s="478"/>
      <c r="P559" s="468" t="str">
        <f>IFERROR(IF(OR(D559=0,D559="-",D559="",D559=" ",D559=" ",D559="Athlete"),"",IF($A560&gt;0,VLOOKUP(D559,female_reg,3,FALSE)-C559*10,VLOOKUP(D559,male_reg,3,FALSE)-C559*10)),2)</f>
        <v/>
      </c>
      <c r="Q559" s="468" t="str">
        <f>IFERROR(IF(OR(J559=0,J559="-",J559=" ",J559="",J559=" ",J559="Athlete"),"",IF($A560&gt;0,VLOOKUP(J559,female_reg,3,FALSE)-C559*10,VLOOKUP(J559,male_reg,3,FALSE)-C559*10)),2)</f>
        <v/>
      </c>
      <c r="T559" s="468">
        <f t="shared" si="284"/>
        <v>0</v>
      </c>
      <c r="U559" s="468">
        <f t="shared" si="285"/>
        <v>0</v>
      </c>
      <c r="V559" s="467" t="str">
        <f t="shared" si="304"/>
        <v>X</v>
      </c>
      <c r="W559" s="467" t="str">
        <f t="shared" si="305"/>
        <v>X</v>
      </c>
      <c r="Z559" s="467">
        <f t="shared" si="286"/>
        <v>0</v>
      </c>
      <c r="AA559" s="467">
        <f t="shared" si="287"/>
        <v>0</v>
      </c>
    </row>
    <row r="560" spans="1:27" x14ac:dyDescent="0.35">
      <c r="A560" s="479">
        <f ca="1">IFERROR(SEARCH("Girls",B552),0)</f>
        <v>10</v>
      </c>
      <c r="B560" s="477">
        <v>7</v>
      </c>
      <c r="C560" s="477" t="str">
        <f>IFERROR(IF(B560&gt;MatchDay!$U$2,"",VLOOKUP($A552,timetables,MatchDay!$U$4+B560-1,FALSE)),0)</f>
        <v/>
      </c>
      <c r="D560" s="467" t="str">
        <f>IFERROR(HLOOKUP(C560,Declarations!$D$2:$S$102,A554,FALSE),"")</f>
        <v/>
      </c>
      <c r="E560" s="467" t="str">
        <f t="shared" si="306"/>
        <v/>
      </c>
      <c r="F560" s="466"/>
      <c r="G560" s="476"/>
      <c r="H560" s="477">
        <v>7</v>
      </c>
      <c r="I560" s="477" t="str">
        <f t="shared" si="307"/>
        <v/>
      </c>
      <c r="J560" s="467" t="str">
        <f>IFERROR(HLOOKUP(I560,Declarations!$D$2:$S$102,$A554,FALSE),"")</f>
        <v/>
      </c>
      <c r="K560" s="467" t="str">
        <f t="shared" si="303"/>
        <v/>
      </c>
      <c r="N560" s="478"/>
      <c r="P560" s="468" t="str">
        <f>IFERROR(IF(OR(D560=0,D560="-",D560="",D560=" ",D560=" ",D560="Athlete"),"",IF($A560&gt;0,VLOOKUP(D560,female_reg,3,FALSE)-C560*10,VLOOKUP(D560,male_reg,3,FALSE)-C560*10)),2)</f>
        <v/>
      </c>
      <c r="Q560" s="468" t="str">
        <f>IFERROR(IF(OR(J560=0,J560="-",J560=" ",J560="",J560=" ",J560="Athlete"),"",IF($A560&gt;0,VLOOKUP(J560,female_reg,3,FALSE)-C560*10,VLOOKUP(J560,male_reg,3,FALSE)-C560*10)),2)</f>
        <v/>
      </c>
      <c r="T560" s="468">
        <f t="shared" si="284"/>
        <v>0</v>
      </c>
      <c r="U560" s="468">
        <f t="shared" si="285"/>
        <v>0</v>
      </c>
      <c r="V560" s="467" t="str">
        <f t="shared" si="304"/>
        <v>X</v>
      </c>
      <c r="W560" s="467" t="str">
        <f t="shared" si="305"/>
        <v>X</v>
      </c>
      <c r="Z560" s="467">
        <f t="shared" si="286"/>
        <v>0</v>
      </c>
      <c r="AA560" s="467">
        <f t="shared" si="287"/>
        <v>0</v>
      </c>
    </row>
    <row r="561" spans="1:33" x14ac:dyDescent="0.35">
      <c r="A561" s="116">
        <f ca="1">IFERROR(VLOOKUP(A552,records,5,FALSE),"")</f>
        <v>13.72</v>
      </c>
      <c r="B561" s="477">
        <v>8</v>
      </c>
      <c r="C561" s="477" t="str">
        <f>IFERROR(IF(B561&gt;MatchDay!$U$2,"",VLOOKUP($A552,timetables,MatchDay!$U$4+B561-1,FALSE)),0)</f>
        <v/>
      </c>
      <c r="D561" s="467" t="str">
        <f>IFERROR(HLOOKUP(C561,Declarations!$D$2:$S$102,A554,FALSE),"")</f>
        <v/>
      </c>
      <c r="E561" s="467" t="str">
        <f t="shared" si="306"/>
        <v/>
      </c>
      <c r="F561" s="466"/>
      <c r="G561" s="476"/>
      <c r="H561" s="477">
        <v>8</v>
      </c>
      <c r="I561" s="477" t="str">
        <f t="shared" si="307"/>
        <v/>
      </c>
      <c r="J561" s="467" t="str">
        <f>IFERROR(HLOOKUP(I561,Declarations!$D$2:$S$102,$A554,FALSE),"")</f>
        <v/>
      </c>
      <c r="K561" s="467" t="str">
        <f t="shared" si="303"/>
        <v/>
      </c>
      <c r="N561" s="478"/>
      <c r="P561" s="468" t="str">
        <f>IFERROR(IF(OR(D561=0,D561="-",D561="",D561=" ",D561=" ",D561="Athlete"),"",IF($A560&gt;0,VLOOKUP(D561,female_reg,3,FALSE)-C561*10,VLOOKUP(D561,male_reg,3,FALSE)-C561*10)),2)</f>
        <v/>
      </c>
      <c r="Q561" s="468" t="str">
        <f>IFERROR(IF(OR(J561=0,J561="-",J561=" ",J561="",J561=" ",J561="Athlete"),"",IF($A560&gt;0,VLOOKUP(J561,female_reg,3,FALSE)-C561*10,VLOOKUP(J561,male_reg,3,FALSE)-C561*10)),2)</f>
        <v/>
      </c>
      <c r="T561" s="468">
        <f t="shared" si="284"/>
        <v>0</v>
      </c>
      <c r="U561" s="468">
        <f t="shared" si="285"/>
        <v>0</v>
      </c>
      <c r="V561" s="467" t="str">
        <f t="shared" si="304"/>
        <v>X</v>
      </c>
      <c r="W561" s="467" t="str">
        <f t="shared" si="305"/>
        <v>X</v>
      </c>
      <c r="Z561" s="467">
        <f t="shared" si="286"/>
        <v>0</v>
      </c>
      <c r="AA561" s="467">
        <f t="shared" si="287"/>
        <v>0</v>
      </c>
    </row>
    <row r="562" spans="1:33" x14ac:dyDescent="0.35">
      <c r="P562" s="468" t="str">
        <f>IFERROR(IF(OR(D562=0,D562="-",D562="",D562=" ",D562=" ",D562="Athlete"),"",IF($A560&gt;0,VLOOKUP(D562,female_reg,3,FALSE)-C562*10,VLOOKUP(D562,male_reg,3,FALSE)-C562*10)),"X")</f>
        <v/>
      </c>
      <c r="Q562" s="468" t="str">
        <f>IFERROR(IF(OR(J562=0,J562="-",J562=" ",J562="",J562=" ",J562="Athlete"),"",IF($A560&gt;0,VLOOKUP(J562,female_reg,3,FALSE)-C562*10,VLOOKUP(J562,male_reg,3,FALSE)-C562*10)),"X")</f>
        <v/>
      </c>
      <c r="T562" s="468">
        <f t="shared" ca="1" si="284"/>
        <v>0</v>
      </c>
      <c r="U562" s="468">
        <f t="shared" ca="1" si="285"/>
        <v>0</v>
      </c>
      <c r="Z562" s="467">
        <f t="shared" ca="1" si="286"/>
        <v>0</v>
      </c>
      <c r="AA562" s="467">
        <f t="shared" ca="1" si="287"/>
        <v>0</v>
      </c>
    </row>
    <row r="563" spans="1:33" x14ac:dyDescent="0.35">
      <c r="A563" s="111" t="str">
        <f ca="1">IFERROR(INDIRECT(CONCATENATE("'Timetables'!A"&amp;A566)),"")</f>
        <v>LFD12</v>
      </c>
      <c r="B563" s="469" t="str">
        <f ca="1">IFERROR(VLOOKUP(A563,timetables,2,FALSE)&amp;" "&amp;VLOOKUP(A563,timetables,3,FALSE)&amp;" A","")</f>
        <v>Javelin U13 Girls A</v>
      </c>
      <c r="C563" s="469"/>
      <c r="E563" s="470" t="str">
        <f ca="1">"Starts "&amp;TEXT(VLOOKUP(A563,timetables,7-MatchDay!$U$7,FALSE),"hh:mm")</f>
        <v>Starts 15:50</v>
      </c>
      <c r="F563" s="471"/>
      <c r="H563" s="472" t="str">
        <f ca="1">IFERROR("Rec: "&amp;TEXT(VLOOKUP(A563,records,5,FALSE),"#0.00")&amp;"m, "&amp;VLOOKUP(A563,records,3,FALSE)&amp;", "&amp;VLOOKUP(A563,records,4,FALSE)&amp;", "&amp;VLOOKUP(A563,records,8,FALSE),"")</f>
        <v>Rec: 41.04m, Hannah Lewington, Swindon Harriers, 2018</v>
      </c>
      <c r="K563" s="473"/>
      <c r="L563" s="474"/>
      <c r="M563" s="467"/>
      <c r="P563" s="468" t="str">
        <f>IFERROR(IF(OR(D563=0,D563="-",D563="",D563=" ",D563=" ",D563="Athlete"),"",IF($A571&gt;0,VLOOKUP(D563,female_reg,3,FALSE)-C563*10,VLOOKUP(D563,male_reg,3,FALSE)-C563*10)),"X")</f>
        <v/>
      </c>
      <c r="Q563" s="468" t="str">
        <f>IFERROR(IF(OR(J563=0,J563="-",J563=" ",J563="",J563=" ",J563="Athlete"),"",IF($A571&gt;0,VLOOKUP(J563,female_reg,3,FALSE)-C563*10,VLOOKUP(J563,male_reg,3,FALSE)-C563*10)),"X")</f>
        <v/>
      </c>
      <c r="T563" s="468">
        <f t="shared" ca="1" si="284"/>
        <v>0</v>
      </c>
      <c r="U563" s="468">
        <f t="shared" ca="1" si="285"/>
        <v>0</v>
      </c>
      <c r="Z563" s="467">
        <f t="shared" ca="1" si="286"/>
        <v>0</v>
      </c>
      <c r="AA563" s="467">
        <f t="shared" ca="1" si="287"/>
        <v>0</v>
      </c>
    </row>
    <row r="564" spans="1:33" x14ac:dyDescent="0.35">
      <c r="A564" s="85" t="str">
        <f ca="1">MID(A563,2,3)</f>
        <v>FD1</v>
      </c>
      <c r="B564" s="9" t="s">
        <v>163</v>
      </c>
      <c r="C564" s="9" t="s">
        <v>183</v>
      </c>
      <c r="D564" s="46" t="s">
        <v>227</v>
      </c>
      <c r="E564" s="46" t="s">
        <v>228</v>
      </c>
      <c r="F564" s="475"/>
      <c r="G564" s="46"/>
      <c r="H564" s="9" t="s">
        <v>163</v>
      </c>
      <c r="I564" s="9" t="s">
        <v>183</v>
      </c>
      <c r="J564" s="46" t="s">
        <v>227</v>
      </c>
      <c r="K564" s="46" t="s">
        <v>228</v>
      </c>
      <c r="L564" s="475"/>
      <c r="M564" s="475"/>
      <c r="N564" s="52"/>
      <c r="P564" s="468" t="str">
        <f>IFERROR(IF(OR(D564=0,D564="-",D564="",D564=" ",D564=" ",D564="Athlete"),"",IF($A571&gt;0,VLOOKUP(D564,female_reg,3,FALSE)-C564*10,VLOOKUP(D564,male_reg,3,FALSE)-C564*10)),"X")</f>
        <v/>
      </c>
      <c r="Q564" s="468" t="str">
        <f>IFERROR(IF(OR(J564=0,J564="-",J564=" ",J564="",J564=" ",J564="Athlete"),"",IF($A571&gt;0,VLOOKUP(J564,female_reg,3,FALSE)-C564*10,VLOOKUP(J564,male_reg,3,FALSE)-C564*10)),"X")</f>
        <v/>
      </c>
      <c r="T564" s="468">
        <f t="shared" ca="1" si="284"/>
        <v>0</v>
      </c>
      <c r="U564" s="468">
        <f t="shared" ca="1" si="285"/>
        <v>0</v>
      </c>
      <c r="Z564" s="467">
        <f t="shared" ca="1" si="286"/>
        <v>0</v>
      </c>
      <c r="AA564" s="467">
        <f t="shared" ca="1" si="287"/>
        <v>0</v>
      </c>
    </row>
    <row r="565" spans="1:33" x14ac:dyDescent="0.35">
      <c r="A565" s="181">
        <f ca="1">IFERROR(VLOOKUP(A563,Timetables!$A:$E,5,FALSE)-1,"")</f>
        <v>41</v>
      </c>
      <c r="B565" s="477">
        <v>1</v>
      </c>
      <c r="C565" s="477">
        <f ca="1">IFERROR(IF(B565&gt;MatchDay!$U$2,"",VLOOKUP($A563,timetables,MatchDay!$U$4+B565-1,FALSE)),0)</f>
        <v>4</v>
      </c>
      <c r="D565" s="467" t="str">
        <f ca="1">IFERROR(HLOOKUP(C565,Declarations!$D$2:$S$102,A565,FALSE),"")</f>
        <v>-</v>
      </c>
      <c r="E565" s="467" t="str">
        <f ca="1">IFERROR(VLOOKUP(C565,teamlookup,5,FALSE),"")</f>
        <v>M'bro</v>
      </c>
      <c r="F565" s="466"/>
      <c r="G565" s="476"/>
      <c r="H565" s="477">
        <v>1</v>
      </c>
      <c r="I565" s="477">
        <f ca="1">IFERROR(C565*11,"")</f>
        <v>44</v>
      </c>
      <c r="J565" s="467" t="str">
        <f ca="1">IFERROR(HLOOKUP(I565,Declarations!$D$2:$S$102,$A565,FALSE),"")</f>
        <v>-</v>
      </c>
      <c r="K565" s="467" t="str">
        <f t="shared" ref="K565:K572" ca="1" si="308">IFERROR(VLOOKUP(I565,teamlookup,5,FALSE),"")</f>
        <v>M'bro</v>
      </c>
      <c r="N565" s="478"/>
      <c r="P565" s="468" t="str">
        <f ca="1">IFERROR(IF(OR(D565=0,D565="-",D565="",D565=" ",D565=" ",D565="Athlete"),"",IF($A571&gt;0,VLOOKUP(D565,female_reg,3,FALSE)-C565*10,VLOOKUP(D565,male_reg,3,FALSE)-C565*10)),2)</f>
        <v/>
      </c>
      <c r="Q565" s="468" t="str">
        <f ca="1">IFERROR(IF(OR(J565=0,J565="-",J565=" ",J565="",J565=" ",J565="Athlete"),"",IF($A571&gt;0,VLOOKUP(J565,female_reg,3,FALSE)-C565*10,VLOOKUP(J565,male_reg,3,FALSE)-C565*10)),2)</f>
        <v/>
      </c>
      <c r="T565" s="468">
        <f t="shared" ca="1" si="284"/>
        <v>0</v>
      </c>
      <c r="U565" s="468">
        <f t="shared" ca="1" si="285"/>
        <v>0</v>
      </c>
      <c r="V565" s="467" t="str">
        <f t="shared" ref="V565:V572" ca="1" si="309">IFERROR(IF(OR(D565=0,D565="-",D565="",D565=" ",D565=" "),"X",D565&amp;E565),"X")</f>
        <v>X</v>
      </c>
      <c r="W565" s="467" t="str">
        <f t="shared" ref="W565:W572" ca="1" si="310">IFERROR(IF(OR(J565=0,J565="-",J565="",J565=" ",J565=" "),"X",J565&amp;K565),"X")</f>
        <v>X</v>
      </c>
      <c r="Z565" s="467">
        <f t="shared" ca="1" si="286"/>
        <v>0</v>
      </c>
      <c r="AA565" s="467">
        <f t="shared" ca="1" si="287"/>
        <v>0</v>
      </c>
    </row>
    <row r="566" spans="1:33" x14ac:dyDescent="0.35">
      <c r="A566" s="468">
        <f>A555+1</f>
        <v>60</v>
      </c>
      <c r="B566" s="477">
        <v>2</v>
      </c>
      <c r="C566" s="477">
        <f ca="1">IFERROR(IF(B566&gt;MatchDay!$U$2,"",VLOOKUP($A563,timetables,MatchDay!$U$4+B566-1,FALSE)),0)</f>
        <v>2</v>
      </c>
      <c r="D566" s="467" t="str">
        <f ca="1">IFERROR(HLOOKUP(C566,Declarations!$D$2:$S$102,A565,FALSE),"")</f>
        <v>ROBERTS Eve</v>
      </c>
      <c r="E566" s="467" t="str">
        <f t="shared" ref="E566:E572" ca="1" si="311">IFERROR(VLOOKUP(C566,teamlookup,5,FALSE),"")</f>
        <v>Sheff+D</v>
      </c>
      <c r="F566" s="466"/>
      <c r="G566" s="476"/>
      <c r="H566" s="477">
        <v>2</v>
      </c>
      <c r="I566" s="477">
        <f t="shared" ref="I566:I572" ca="1" si="312">IFERROR(C566*11,"")</f>
        <v>22</v>
      </c>
      <c r="J566" s="467" t="str">
        <f ca="1">IFERROR(HLOOKUP(I566,Declarations!$D$2:$S$102,$A565,FALSE),"")</f>
        <v>GRAY Molly</v>
      </c>
      <c r="K566" s="467" t="str">
        <f t="shared" ca="1" si="308"/>
        <v>Sheff+D</v>
      </c>
      <c r="N566" s="478"/>
      <c r="P566" s="468">
        <f ca="1">IFERROR(IF(OR(D566=0,D566="-",D566="",D566=" ",D566=" ",D566="Athlete"),"",IF($A571&gt;0,VLOOKUP(D566,female_reg,3,FALSE)-C566*10,VLOOKUP(D566,male_reg,3,FALSE)-C566*10)),2)</f>
        <v>1</v>
      </c>
      <c r="Q566" s="468">
        <f ca="1">IFERROR(IF(OR(J566=0,J566="-",J566=" ",J566="",J566=" ",J566="Athlete"),"",IF($A571&gt;0,VLOOKUP(J566,female_reg,3,FALSE)-C566*10,VLOOKUP(J566,male_reg,3,FALSE)-C566*10)),2)</f>
        <v>1</v>
      </c>
      <c r="T566" s="468">
        <f t="shared" ca="1" si="284"/>
        <v>3</v>
      </c>
      <c r="U566" s="468">
        <f t="shared" ca="1" si="285"/>
        <v>2</v>
      </c>
      <c r="V566" s="467" t="str">
        <f t="shared" ca="1" si="309"/>
        <v>ROBERTS EveSheff+D</v>
      </c>
      <c r="W566" s="467" t="str">
        <f t="shared" ca="1" si="310"/>
        <v>GRAY MollySheff+D</v>
      </c>
      <c r="Z566" s="467">
        <f t="shared" ca="1" si="286"/>
        <v>4</v>
      </c>
      <c r="AA566" s="467">
        <f t="shared" ca="1" si="287"/>
        <v>3</v>
      </c>
    </row>
    <row r="567" spans="1:33" x14ac:dyDescent="0.35">
      <c r="A567" s="118">
        <f ca="1">IFERROR(VLOOKUP(A563,standards,3,FALSE)+0.01,"-")</f>
        <v>24.76</v>
      </c>
      <c r="B567" s="477">
        <v>3</v>
      </c>
      <c r="C567" s="477">
        <f ca="1">IFERROR(IF(B567&gt;MatchDay!$U$2,"",VLOOKUP($A563,timetables,MatchDay!$U$4+B567-1,FALSE)),0)</f>
        <v>5</v>
      </c>
      <c r="D567" s="467">
        <f ca="1">IFERROR(HLOOKUP(C567,Declarations!$D$2:$S$102,A565,FALSE),"")</f>
        <v>0</v>
      </c>
      <c r="E567" s="467" t="str">
        <f t="shared" ca="1" si="311"/>
        <v>Scun</v>
      </c>
      <c r="F567" s="466"/>
      <c r="G567" s="476"/>
      <c r="H567" s="477">
        <v>3</v>
      </c>
      <c r="I567" s="477">
        <f t="shared" ca="1" si="312"/>
        <v>55</v>
      </c>
      <c r="J567" s="467">
        <f ca="1">IFERROR(HLOOKUP(I567,Declarations!$D$2:$S$102,$A565,FALSE),"")</f>
        <v>0</v>
      </c>
      <c r="K567" s="467" t="str">
        <f t="shared" ca="1" si="308"/>
        <v>Scun</v>
      </c>
      <c r="N567" s="478"/>
      <c r="P567" s="468" t="str">
        <f ca="1">IFERROR(IF(OR(D567=0,D567="-",D567="",D567=" ",D567=" ",D567="Athlete"),"",IF($A571&gt;0,VLOOKUP(D567,female_reg,3,FALSE)-C567*10,VLOOKUP(D567,male_reg,3,FALSE)-C567*10)),2)</f>
        <v/>
      </c>
      <c r="Q567" s="468" t="str">
        <f ca="1">IFERROR(IF(OR(J567=0,J567="-",J567=" ",J567="",J567=" ",J567="Athlete"),"",IF($A571&gt;0,VLOOKUP(J567,female_reg,3,FALSE)-C567*10,VLOOKUP(J567,male_reg,3,FALSE)-C567*10)),2)</f>
        <v/>
      </c>
      <c r="T567" s="468">
        <f t="shared" ca="1" si="284"/>
        <v>0</v>
      </c>
      <c r="U567" s="468">
        <f t="shared" ca="1" si="285"/>
        <v>0</v>
      </c>
      <c r="V567" s="467" t="str">
        <f t="shared" ca="1" si="309"/>
        <v>X</v>
      </c>
      <c r="W567" s="467" t="str">
        <f t="shared" ca="1" si="310"/>
        <v>X</v>
      </c>
      <c r="Z567" s="467">
        <f t="shared" ca="1" si="286"/>
        <v>0</v>
      </c>
      <c r="AA567" s="467">
        <f t="shared" ca="1" si="287"/>
        <v>0</v>
      </c>
    </row>
    <row r="568" spans="1:33" x14ac:dyDescent="0.35">
      <c r="A568" s="118">
        <f ca="1">IFERROR(VLOOKUP(A563,standards,4,FALSE)+0.01,"-")</f>
        <v>21.860000000000003</v>
      </c>
      <c r="B568" s="477">
        <v>4</v>
      </c>
      <c r="C568" s="477">
        <f ca="1">IFERROR(IF(B568&gt;MatchDay!$U$2,"",VLOOKUP($A563,timetables,MatchDay!$U$4+B568-1,FALSE)),0)</f>
        <v>1</v>
      </c>
      <c r="D568" s="467" t="str">
        <f ca="1">IFERROR(HLOOKUP(C568,Declarations!$D$2:$S$102,A565,FALSE),"")</f>
        <v>FELLOWS Isabelle</v>
      </c>
      <c r="E568" s="467" t="str">
        <f t="shared" ca="1" si="311"/>
        <v>C'field</v>
      </c>
      <c r="F568" s="466"/>
      <c r="G568" s="476"/>
      <c r="H568" s="477">
        <v>4</v>
      </c>
      <c r="I568" s="477">
        <f t="shared" ca="1" si="312"/>
        <v>11</v>
      </c>
      <c r="J568" s="467" t="str">
        <f ca="1">IFERROR(HLOOKUP(I568,Declarations!$D$2:$S$102,$A565,FALSE),"")</f>
        <v>HALL Lottie</v>
      </c>
      <c r="K568" s="467" t="str">
        <f t="shared" ca="1" si="308"/>
        <v>C'field</v>
      </c>
      <c r="N568" s="478"/>
      <c r="P568" s="468">
        <f ca="1">IFERROR(IF(OR(D568=0,D568="-",D568="",D568=" ",D568=" ",D568="Athlete"),"",IF($A571&gt;0,VLOOKUP(D568,female_reg,3,FALSE)-C568*10,VLOOKUP(D568,male_reg,3,FALSE)-C568*10)),2)</f>
        <v>1</v>
      </c>
      <c r="Q568" s="468">
        <f ca="1">IFERROR(IF(OR(J568=0,J568="-",J568=" ",J568="",J568=" ",J568="Athlete"),"",IF($A571&gt;0,VLOOKUP(J568,female_reg,3,FALSE)-C568*10,VLOOKUP(J568,male_reg,3,FALSE)-C568*10)),2)</f>
        <v>1</v>
      </c>
      <c r="T568" s="468">
        <f t="shared" ca="1" si="284"/>
        <v>3</v>
      </c>
      <c r="U568" s="468">
        <f t="shared" ca="1" si="285"/>
        <v>3</v>
      </c>
      <c r="V568" s="467" t="str">
        <f t="shared" ca="1" si="309"/>
        <v>FELLOWS IsabelleC'field</v>
      </c>
      <c r="W568" s="467" t="str">
        <f t="shared" ca="1" si="310"/>
        <v>HALL LottieC'field</v>
      </c>
      <c r="Z568" s="467">
        <f t="shared" ca="1" si="286"/>
        <v>3</v>
      </c>
      <c r="AA568" s="467">
        <f t="shared" ca="1" si="287"/>
        <v>3</v>
      </c>
    </row>
    <row r="569" spans="1:33" x14ac:dyDescent="0.35">
      <c r="A569" s="118">
        <f ca="1">IFERROR(VLOOKUP(A563,standards,5,FALSE)+0.01,"-")</f>
        <v>19.110000000000003</v>
      </c>
      <c r="B569" s="477">
        <v>5</v>
      </c>
      <c r="C569" s="477">
        <f ca="1">IFERROR(IF(B569&gt;MatchDay!$U$2,"",VLOOKUP($A563,timetables,MatchDay!$U$4+B569-1,FALSE)),0)</f>
        <v>3</v>
      </c>
      <c r="D569" s="467" t="str">
        <f ca="1">IFERROR(HLOOKUP(C569,Declarations!$D$2:$S$102,A565,FALSE),"")</f>
        <v>CLAGUE Kathryn</v>
      </c>
      <c r="E569" s="467" t="str">
        <f t="shared" ca="1" si="311"/>
        <v>York</v>
      </c>
      <c r="F569" s="466"/>
      <c r="G569" s="476"/>
      <c r="H569" s="477">
        <v>5</v>
      </c>
      <c r="I569" s="477">
        <f t="shared" ca="1" si="312"/>
        <v>33</v>
      </c>
      <c r="J569" s="467" t="str">
        <f ca="1">IFERROR(HLOOKUP(I569,Declarations!$D$2:$S$102,$A565,FALSE),"")</f>
        <v>WRIGHT Ella</v>
      </c>
      <c r="K569" s="467" t="str">
        <f t="shared" ca="1" si="308"/>
        <v>York</v>
      </c>
      <c r="N569" s="478"/>
      <c r="P569" s="468">
        <f ca="1">IFERROR(IF(OR(D569=0,D569="-",D569="",D569=" ",D569=" ",D569="Athlete"),"",IF($A571&gt;0,VLOOKUP(D569,female_reg,3,FALSE)-C569*10,VLOOKUP(D569,male_reg,3,FALSE)-C569*10)),2)</f>
        <v>1</v>
      </c>
      <c r="Q569" s="468">
        <f ca="1">IFERROR(IF(OR(J569=0,J569="-",J569=" ",J569="",J569=" ",J569="Athlete"),"",IF($A571&gt;0,VLOOKUP(J569,female_reg,3,FALSE)-C569*10,VLOOKUP(J569,male_reg,3,FALSE)-C569*10)),2)</f>
        <v>1</v>
      </c>
      <c r="T569" s="468">
        <f t="shared" ca="1" si="284"/>
        <v>3</v>
      </c>
      <c r="U569" s="468">
        <f t="shared" ca="1" si="285"/>
        <v>3</v>
      </c>
      <c r="V569" s="467" t="str">
        <f t="shared" ca="1" si="309"/>
        <v>CLAGUE KathrynYork</v>
      </c>
      <c r="W569" s="467" t="str">
        <f t="shared" ca="1" si="310"/>
        <v>WRIGHT EllaYork</v>
      </c>
      <c r="Z569" s="467">
        <f t="shared" ca="1" si="286"/>
        <v>3</v>
      </c>
      <c r="AA569" s="467">
        <f t="shared" ca="1" si="287"/>
        <v>3</v>
      </c>
    </row>
    <row r="570" spans="1:33" x14ac:dyDescent="0.35">
      <c r="A570" s="118">
        <f ca="1">IFERROR(VLOOKUP(A563,standards,6,FALSE)+0.01,"-")</f>
        <v>15.209999999999999</v>
      </c>
      <c r="B570" s="477">
        <v>6</v>
      </c>
      <c r="C570" s="477" t="str">
        <f>IFERROR(IF(B570&gt;MatchDay!$U$2,"",VLOOKUP($A563,timetables,MatchDay!$U$4+B570-1,FALSE)),0)</f>
        <v/>
      </c>
      <c r="D570" s="467" t="str">
        <f>IFERROR(HLOOKUP(C570,Declarations!$D$2:$S$102,A565,FALSE),"")</f>
        <v/>
      </c>
      <c r="E570" s="467" t="str">
        <f t="shared" si="311"/>
        <v/>
      </c>
      <c r="F570" s="466"/>
      <c r="G570" s="476"/>
      <c r="H570" s="477">
        <v>6</v>
      </c>
      <c r="I570" s="477" t="str">
        <f t="shared" si="312"/>
        <v/>
      </c>
      <c r="J570" s="467" t="str">
        <f>IFERROR(HLOOKUP(I570,Declarations!$D$2:$S$102,$A565,FALSE),"")</f>
        <v/>
      </c>
      <c r="K570" s="467" t="str">
        <f t="shared" si="308"/>
        <v/>
      </c>
      <c r="N570" s="478"/>
      <c r="P570" s="468" t="str">
        <f>IFERROR(IF(OR(D570=0,D570="-",D570="",D570=" ",D570=" ",D570="Athlete"),"",IF($A571&gt;0,VLOOKUP(D570,female_reg,3,FALSE)-C570*10,VLOOKUP(D570,male_reg,3,FALSE)-C570*10)),2)</f>
        <v/>
      </c>
      <c r="Q570" s="468" t="str">
        <f>IFERROR(IF(OR(J570=0,J570="-",J570=" ",J570="",J570=" ",J570="Athlete"),"",IF($A571&gt;0,VLOOKUP(J570,female_reg,3,FALSE)-C570*10,VLOOKUP(J570,male_reg,3,FALSE)-C570*10)),2)</f>
        <v/>
      </c>
      <c r="T570" s="468">
        <f t="shared" si="284"/>
        <v>0</v>
      </c>
      <c r="U570" s="468">
        <f t="shared" si="285"/>
        <v>0</v>
      </c>
      <c r="V570" s="467" t="str">
        <f t="shared" si="309"/>
        <v>X</v>
      </c>
      <c r="W570" s="467" t="str">
        <f t="shared" si="310"/>
        <v>X</v>
      </c>
      <c r="Z570" s="467">
        <f t="shared" si="286"/>
        <v>0</v>
      </c>
      <c r="AA570" s="467">
        <f t="shared" si="287"/>
        <v>0</v>
      </c>
    </row>
    <row r="571" spans="1:33" x14ac:dyDescent="0.35">
      <c r="A571" s="479">
        <f ca="1">IFERROR(SEARCH("Girls",B563),0)</f>
        <v>13</v>
      </c>
      <c r="B571" s="477">
        <v>7</v>
      </c>
      <c r="C571" s="477" t="str">
        <f>IFERROR(IF(B571&gt;MatchDay!$U$2,"",VLOOKUP($A563,timetables,MatchDay!$U$4+B571-1,FALSE)),0)</f>
        <v/>
      </c>
      <c r="D571" s="467" t="str">
        <f>IFERROR(HLOOKUP(C571,Declarations!$D$2:$S$102,A565,FALSE),"")</f>
        <v/>
      </c>
      <c r="E571" s="467" t="str">
        <f t="shared" si="311"/>
        <v/>
      </c>
      <c r="F571" s="466"/>
      <c r="G571" s="476"/>
      <c r="H571" s="477">
        <v>7</v>
      </c>
      <c r="I571" s="477" t="str">
        <f t="shared" si="312"/>
        <v/>
      </c>
      <c r="J571" s="467" t="str">
        <f>IFERROR(HLOOKUP(I571,Declarations!$D$2:$S$102,$A565,FALSE),"")</f>
        <v/>
      </c>
      <c r="K571" s="467" t="str">
        <f t="shared" si="308"/>
        <v/>
      </c>
      <c r="N571" s="478"/>
      <c r="P571" s="468" t="str">
        <f>IFERROR(IF(OR(D571=0,D571="-",D571="",D571=" ",D571=" ",D571="Athlete"),"",IF($A571&gt;0,VLOOKUP(D571,female_reg,3,FALSE)-C571*10,VLOOKUP(D571,male_reg,3,FALSE)-C571*10)),2)</f>
        <v/>
      </c>
      <c r="Q571" s="468" t="str">
        <f>IFERROR(IF(OR(J571=0,J571="-",J571=" ",J571="",J571=" ",J571="Athlete"),"",IF($A571&gt;0,VLOOKUP(J571,female_reg,3,FALSE)-C571*10,VLOOKUP(J571,male_reg,3,FALSE)-C571*10)),2)</f>
        <v/>
      </c>
      <c r="T571" s="468">
        <f t="shared" si="284"/>
        <v>0</v>
      </c>
      <c r="U571" s="468">
        <f t="shared" si="285"/>
        <v>0</v>
      </c>
      <c r="V571" s="467" t="str">
        <f t="shared" si="309"/>
        <v>X</v>
      </c>
      <c r="W571" s="467" t="str">
        <f t="shared" si="310"/>
        <v>X</v>
      </c>
      <c r="Z571" s="467">
        <f t="shared" si="286"/>
        <v>0</v>
      </c>
      <c r="AA571" s="467">
        <f t="shared" si="287"/>
        <v>0</v>
      </c>
    </row>
    <row r="572" spans="1:33" x14ac:dyDescent="0.35">
      <c r="A572" s="116">
        <f ca="1">IFERROR(VLOOKUP(A563,records,5,FALSE),"")</f>
        <v>41.04</v>
      </c>
      <c r="B572" s="477">
        <v>8</v>
      </c>
      <c r="C572" s="477" t="str">
        <f>IFERROR(IF(B572&gt;MatchDay!$U$2,"",VLOOKUP($A563,timetables,MatchDay!$U$4+B572-1,FALSE)),0)</f>
        <v/>
      </c>
      <c r="D572" s="467" t="str">
        <f>IFERROR(HLOOKUP(C572,Declarations!$D$2:$S$102,A565,FALSE),"")</f>
        <v/>
      </c>
      <c r="E572" s="467" t="str">
        <f t="shared" si="311"/>
        <v/>
      </c>
      <c r="F572" s="466"/>
      <c r="G572" s="476"/>
      <c r="H572" s="477">
        <v>8</v>
      </c>
      <c r="I572" s="477" t="str">
        <f t="shared" si="312"/>
        <v/>
      </c>
      <c r="J572" s="467" t="str">
        <f>IFERROR(HLOOKUP(I572,Declarations!$D$2:$S$102,$A565,FALSE),"")</f>
        <v/>
      </c>
      <c r="K572" s="467" t="str">
        <f t="shared" si="308"/>
        <v/>
      </c>
      <c r="N572" s="478"/>
      <c r="P572" s="468" t="str">
        <f>IFERROR(IF(OR(D572=0,D572="-",D572="",D572=" ",D572=" ",D572="Athlete"),"",IF($A571&gt;0,VLOOKUP(D572,female_reg,3,FALSE)-C572*10,VLOOKUP(D572,male_reg,3,FALSE)-C572*10)),2)</f>
        <v/>
      </c>
      <c r="Q572" s="468" t="str">
        <f>IFERROR(IF(OR(J572=0,J572="-",J572=" ",J572="",J572=" ",J572="Athlete"),"",IF($A571&gt;0,VLOOKUP(J572,female_reg,3,FALSE)-C572*10,VLOOKUP(J572,male_reg,3,FALSE)-C572*10)),2)</f>
        <v/>
      </c>
      <c r="T572" s="468">
        <f t="shared" si="284"/>
        <v>0</v>
      </c>
      <c r="U572" s="468">
        <f t="shared" si="285"/>
        <v>0</v>
      </c>
      <c r="V572" s="467" t="str">
        <f t="shared" si="309"/>
        <v>X</v>
      </c>
      <c r="W572" s="467" t="str">
        <f t="shared" si="310"/>
        <v>X</v>
      </c>
      <c r="Z572" s="467">
        <f t="shared" si="286"/>
        <v>0</v>
      </c>
      <c r="AA572" s="467">
        <f t="shared" si="287"/>
        <v>0</v>
      </c>
    </row>
    <row r="573" spans="1:33" x14ac:dyDescent="0.35">
      <c r="P573" s="468" t="str">
        <f>IFERROR(IF(OR(D573=0,D573="-",D573="",D573=" ",D573=" ",D573="Athlete"),"",IF($A571&gt;0,VLOOKUP(D573,female_reg,3,FALSE)-C573*10,VLOOKUP(D573,male_reg,3,FALSE)-C573*10)),"X")</f>
        <v/>
      </c>
      <c r="Q573" s="468" t="str">
        <f>IFERROR(IF(OR(J573=0,J573="-",J573=" ",J573="",J573=" ",J573="Athlete"),"",IF($A571&gt;0,VLOOKUP(J573,female_reg,3,FALSE)-C573*10,VLOOKUP(J573,male_reg,3,FALSE)-C573*10)),"X")</f>
        <v/>
      </c>
      <c r="Z573" s="467">
        <f t="shared" ca="1" si="286"/>
        <v>0</v>
      </c>
      <c r="AA573" s="467">
        <f t="shared" ca="1" si="287"/>
        <v>0</v>
      </c>
    </row>
    <row r="574" spans="1:33" x14ac:dyDescent="0.35">
      <c r="A574" s="111" t="str">
        <f>IFERROR("L"&amp;A575,"")</f>
        <v>LTR1</v>
      </c>
      <c r="B574" s="469" t="str">
        <f>IFERROR(VLOOKUP(A574,timetables,2,FALSE)&amp;" "&amp;VLOOKUP(A574,timetables,3,FALSE),"")</f>
        <v>4 x 100m U13 Girls</v>
      </c>
      <c r="C574" s="469"/>
      <c r="E574" s="470" t="str">
        <f>"Starts "&amp;TEXT(VLOOKUP(A574,timetables,7-MatchDay!$U$7,FALSE),"hh:mm")</f>
        <v>Starts 16:00</v>
      </c>
      <c r="F574" s="471"/>
      <c r="H574" s="472" t="str">
        <f>IFERROR("Rec: "&amp;TEXT(VLOOKUP(A574,records,5,FALSE),"#0.00")&amp;"s, "&amp;VLOOKUP(A574,records,4,FALSE)&amp;", "&amp;VLOOKUP(A574,records,8,FALSE),"")</f>
        <v>Rec: 52.00s, Preston Harriers, 2018</v>
      </c>
      <c r="K574" s="473"/>
      <c r="L574" s="474"/>
      <c r="M574" s="467"/>
      <c r="R574" s="467"/>
      <c r="Z574" s="467">
        <f t="shared" ca="1" si="286"/>
        <v>0</v>
      </c>
      <c r="AA574" s="467">
        <f t="shared" ca="1" si="287"/>
        <v>0</v>
      </c>
    </row>
    <row r="575" spans="1:33" x14ac:dyDescent="0.35">
      <c r="A575" s="85" t="s">
        <v>500</v>
      </c>
      <c r="B575" s="9" t="s">
        <v>786</v>
      </c>
      <c r="C575" s="9" t="s">
        <v>183</v>
      </c>
      <c r="D575" s="46" t="s">
        <v>1263</v>
      </c>
      <c r="E575" s="46"/>
      <c r="F575" s="46"/>
      <c r="G575" s="46"/>
      <c r="H575" s="46"/>
      <c r="I575" s="9"/>
      <c r="J575" s="481"/>
      <c r="L575" s="466">
        <f>IFERROR(SEARCH("NS",B574),0)</f>
        <v>0</v>
      </c>
      <c r="M575" s="467"/>
      <c r="O575" s="476"/>
      <c r="R575" s="467"/>
      <c r="Z575" s="467">
        <f t="shared" ca="1" si="286"/>
        <v>0</v>
      </c>
      <c r="AA575" s="467">
        <f t="shared" ca="1" si="287"/>
        <v>0</v>
      </c>
    </row>
    <row r="576" spans="1:33" x14ac:dyDescent="0.35">
      <c r="A576" s="181">
        <f>IFERROR(VLOOKUP(A574,Timetables!$A:$E,5,FALSE)-1,"")</f>
        <v>47</v>
      </c>
      <c r="B576" s="477">
        <v>1</v>
      </c>
      <c r="C576" s="477">
        <f>IFERROR(IF(B576&gt;MatchDay!$U$2,"",IF(MatchDay!$D$6=2,"",VLOOKUP(A574,Timetables!$A:$DK,MatchDay!$U$4+B576-MatchDay!$D$6,FALSE))),"")</f>
        <v>5</v>
      </c>
      <c r="D576" s="467" t="str">
        <f ca="1">IFERROR(IF(OR(AD576=0,AD576=""),"",AD576&amp;", "&amp;AE576&amp;", "&amp;AF576&amp;", "&amp;AG576),"")</f>
        <v/>
      </c>
      <c r="F576" s="467"/>
      <c r="I576" s="482"/>
      <c r="K576" s="467" t="str">
        <f t="shared" ref="K576:K583" si="313">IFERROR(VLOOKUP(C576,teamlookup,5,FALSE),"")</f>
        <v>Scun</v>
      </c>
      <c r="M576" s="467"/>
      <c r="P576" s="468" t="str">
        <f ca="1">IFERROR(IF(OR(AD576=0,AD576="-",AD576="",AD576=" ",AD576=" ",T($C576)&lt;&gt;"",$C576=""),"",IF($A582&gt;0,VLOOKUP(AD576,female_reg,3,FALSE)-$C576*10,VLOOKUP(AD576,male_reg,3,FALSE)-$C576*10)),2)</f>
        <v/>
      </c>
      <c r="Q576" s="468" t="str">
        <f ca="1">IFERROR(IF(OR(AE576=0,AE576="-",AE576="",AE576=" ",AE576=" ",T($C576)&lt;&gt;"",$C576=""),"",IF($A582&gt;0,VLOOKUP(AE576,female_reg,3,FALSE)-$C576*10,VLOOKUP(AE576,male_reg,3,FALSE)-$C576*10)),2)</f>
        <v/>
      </c>
      <c r="R576" s="468" t="str">
        <f ca="1">IFERROR(IF(OR(AF576=0,AF576="-",AF576="",AF576=" ",AF576=" ",T($C576)&lt;&gt;"",$C576=""),"",IF($A582&gt;0,VLOOKUP(AF576,female_reg,3,FALSE)-$C576*10,VLOOKUP(AF576,male_reg,3,FALSE)-$C576*10)),2)</f>
        <v/>
      </c>
      <c r="S576" s="468" t="str">
        <f ca="1">IFERROR(IF(OR(AG576=0,AG576="-",AG576="",AG576=" ",AG576=" ",T($C576)&lt;&gt;"",$C576=""),"",IF($A582&gt;0,VLOOKUP(AG576,female_reg,3,FALSE)-$C576*10,VLOOKUP(AG576,male_reg,3,FALSE)-$C576*10)),2)</f>
        <v/>
      </c>
      <c r="T576" s="468"/>
      <c r="V576" s="467" t="str">
        <f t="shared" ref="V576:Y583" ca="1" si="314">IFERROR(IF(OR(AD576=0,AD576=""),"X",AD576&amp;VLOOKUP($C576,teamlookup,5,FALSE)),"X")</f>
        <v>X</v>
      </c>
      <c r="W576" s="467" t="str">
        <f t="shared" ca="1" si="314"/>
        <v>X</v>
      </c>
      <c r="X576" s="467" t="str">
        <f t="shared" ca="1" si="314"/>
        <v>X</v>
      </c>
      <c r="Y576" s="467" t="str">
        <f t="shared" ca="1" si="314"/>
        <v>X</v>
      </c>
      <c r="Z576" s="467">
        <f ca="1">IF(V576="X",0,COUNTIF($V$4:$Y$638,V576))</f>
        <v>0</v>
      </c>
      <c r="AA576" s="467">
        <f t="shared" ca="1" si="287"/>
        <v>0</v>
      </c>
      <c r="AB576" s="467">
        <f t="shared" ref="AB576:AB607" ca="1" si="315">IF(X576="X",0,COUNTIF($V$4:$Y$638,X576))</f>
        <v>0</v>
      </c>
      <c r="AC576" s="467">
        <f t="shared" ref="AC576:AC607" ca="1" si="316">IF(Y576="X",0,COUNTIF($V$4:$Y$638,Y576))</f>
        <v>0</v>
      </c>
      <c r="AD576" s="456">
        <f ca="1">IFERROR(HLOOKUP($C576,Declarations!$D$2:$S$102,$A576,FALSE),"")</f>
        <v>0</v>
      </c>
      <c r="AE576" s="456">
        <f ca="1">IFERROR(HLOOKUP($C576*11,Declarations!$D$2:$S$102,$A576,FALSE),"")</f>
        <v>0</v>
      </c>
      <c r="AF576" s="457">
        <f ca="1">IFERROR(HLOOKUP($C576,Declarations!$D$2:$S$102,$A576+1,FALSE),"")</f>
        <v>0</v>
      </c>
      <c r="AG576" s="456">
        <f ca="1">IFERROR(HLOOKUP($C576*11,Declarations!$D$2:$S$102,$A576+1,FALSE),"")</f>
        <v>0</v>
      </c>
    </row>
    <row r="577" spans="1:33" x14ac:dyDescent="0.35">
      <c r="A577" s="468">
        <v>33</v>
      </c>
      <c r="B577" s="477">
        <v>2</v>
      </c>
      <c r="C577" s="477">
        <f>IFERROR(IF(B577&gt;MatchDay!$U$2+MatchDay!$D$6-1,"",VLOOKUP(A574,Timetables!$A:$DK,MatchDay!$U$4+B577-MatchDay!$D$6,FALSE)),"")</f>
        <v>4</v>
      </c>
      <c r="D577" s="467" t="str">
        <f t="shared" ref="D577:D583" ca="1" si="317">IFERROR(IF(OR(AD577=0,AD577=""),"",AD577&amp;", "&amp;AE577&amp;", "&amp;AF577&amp;", "&amp;AG577),"")</f>
        <v>LILLIE Freya, SEDGWICK Emma, SULLOCK Beth, WILMOT Amy</v>
      </c>
      <c r="F577" s="467"/>
      <c r="I577" s="482"/>
      <c r="K577" s="467" t="str">
        <f t="shared" si="313"/>
        <v>M'bro</v>
      </c>
      <c r="M577" s="467"/>
      <c r="P577" s="468">
        <f ca="1">IFERROR(IF(OR(AD577=0,AD577="-",AD577="",AD577=" ",AD577=" ",T($C577)&lt;&gt;"",$C577=""),"",IF($A582&gt;0,VLOOKUP(AD577,female_reg,3,FALSE)-$C577*10,VLOOKUP(AD577,male_reg,3,FALSE)-$C577*10)),2)</f>
        <v>1</v>
      </c>
      <c r="Q577" s="468">
        <f ca="1">IFERROR(IF(OR(AE577=0,AE577="-",AE577="",AE577=" ",AE577=" ",T($C577)&lt;&gt;"",$C577=""),"",IF($A582&gt;0,VLOOKUP(AE577,female_reg,3,FALSE)-$C577*10,VLOOKUP(AE577,male_reg,3,FALSE)-$C577*10)),2)</f>
        <v>1</v>
      </c>
      <c r="R577" s="468">
        <f ca="1">IFERROR(IF(OR(AF577=0,AF577="-",AF577="",AF577=" ",AF577=" ",T($C577)&lt;&gt;"",$C577=""),"",IF($A582&gt;0,VLOOKUP(AF577,female_reg,3,FALSE)-$C577*10,VLOOKUP(AF577,male_reg,3,FALSE)-$C577*10)),2)</f>
        <v>1</v>
      </c>
      <c r="S577" s="468">
        <f ca="1">IFERROR(IF(OR(AG577=0,AG577="-",AG577="",AG577=" ",AG577=" ",T($C577)&lt;&gt;"",$C577=""),"",IF($A582&gt;0,VLOOKUP(AG577,female_reg,3,FALSE)-$C577*10,VLOOKUP(AG577,male_reg,3,FALSE)-$C577*10)),2)</f>
        <v>1</v>
      </c>
      <c r="T577" s="468"/>
      <c r="V577" s="467" t="str">
        <f t="shared" ca="1" si="314"/>
        <v>LILLIE FreyaM'bro</v>
      </c>
      <c r="W577" s="467" t="str">
        <f t="shared" ca="1" si="314"/>
        <v>SEDGWICK EmmaM'bro</v>
      </c>
      <c r="X577" s="467" t="str">
        <f t="shared" ca="1" si="314"/>
        <v>SULLOCK BethM'bro</v>
      </c>
      <c r="Y577" s="467" t="str">
        <f t="shared" ca="1" si="314"/>
        <v>WILMOT AmyM'bro</v>
      </c>
      <c r="Z577" s="467">
        <f t="shared" ca="1" si="286"/>
        <v>2</v>
      </c>
      <c r="AA577" s="467">
        <f t="shared" ca="1" si="287"/>
        <v>4</v>
      </c>
      <c r="AB577" s="467">
        <f t="shared" ca="1" si="315"/>
        <v>4</v>
      </c>
      <c r="AC577" s="467">
        <f t="shared" ca="1" si="316"/>
        <v>3</v>
      </c>
      <c r="AD577" s="456" t="str">
        <f ca="1">IFERROR(HLOOKUP($C577,Declarations!$D$2:$S$102,$A576,FALSE),"")</f>
        <v>LILLIE Freya</v>
      </c>
      <c r="AE577" s="456" t="str">
        <f ca="1">IFERROR(HLOOKUP($C577*11,Declarations!$D$2:$S$102,$A576,FALSE),"")</f>
        <v>SEDGWICK Emma</v>
      </c>
      <c r="AF577" s="457" t="str">
        <f ca="1">IFERROR(HLOOKUP($C577,Declarations!$D$2:$S$102,$A576+1,FALSE),"")</f>
        <v>SULLOCK Beth</v>
      </c>
      <c r="AG577" s="456" t="str">
        <f ca="1">IFERROR(HLOOKUP($C577*11,Declarations!$D$2:$S$102,$A576+1,FALSE),"")</f>
        <v>WILMOT Amy</v>
      </c>
    </row>
    <row r="578" spans="1:33" x14ac:dyDescent="0.35">
      <c r="A578" s="118" t="str">
        <f>IFERROR(VLOOKUP(A574,standards,3,FALSE)+0.01,"-")</f>
        <v>-</v>
      </c>
      <c r="B578" s="477">
        <v>3</v>
      </c>
      <c r="C578" s="477">
        <f>IFERROR(IF(B578&gt;MatchDay!$U$2+MatchDay!$D$6-1,"",VLOOKUP(A574,Timetables!$A:$DK,MatchDay!$U$4+B578-MatchDay!$D$6,FALSE)),"")</f>
        <v>2</v>
      </c>
      <c r="D578" s="467" t="str">
        <f t="shared" ca="1" si="317"/>
        <v>GROVE Abigail, GRAY Molly, ROBERTS Eve, SCOTT Violet</v>
      </c>
      <c r="F578" s="467"/>
      <c r="I578" s="482"/>
      <c r="K578" s="467" t="str">
        <f t="shared" si="313"/>
        <v>Sheff+D</v>
      </c>
      <c r="M578" s="467"/>
      <c r="P578" s="468">
        <f ca="1">IFERROR(IF(OR(AD578=0,AD578="-",AD578="",AD578=" ",AD578=" ",T($C578)&lt;&gt;"",$C578=""),"",IF($A582&gt;0,VLOOKUP(AD578,female_reg,3,FALSE)-$C578*10,VLOOKUP(AD578,male_reg,3,FALSE)-$C578*10)),2)</f>
        <v>1</v>
      </c>
      <c r="Q578" s="468">
        <f ca="1">IFERROR(IF(OR(AE578=0,AE578="-",AE578="",AE578=" ",AE578=" ",T($C578)&lt;&gt;"",$C578=""),"",IF($A582&gt;0,VLOOKUP(AE578,female_reg,3,FALSE)-$C578*10,VLOOKUP(AE578,male_reg,3,FALSE)-$C578*10)),2)</f>
        <v>1</v>
      </c>
      <c r="R578" s="468">
        <f ca="1">IFERROR(IF(OR(AF578=0,AF578="-",AF578="",AF578=" ",AF578=" ",T($C578)&lt;&gt;"",$C578=""),"",IF($A582&gt;0,VLOOKUP(AF578,female_reg,3,FALSE)-$C578*10,VLOOKUP(AF578,male_reg,3,FALSE)-$C578*10)),2)</f>
        <v>1</v>
      </c>
      <c r="S578" s="468">
        <f ca="1">IFERROR(IF(OR(AG578=0,AG578="-",AG578="",AG578=" ",AG578=" ",T($C578)&lt;&gt;"",$C578=""),"",IF($A582&gt;0,VLOOKUP(AG578,female_reg,3,FALSE)-$C578*10,VLOOKUP(AG578,male_reg,3,FALSE)-$C578*10)),2)</f>
        <v>1</v>
      </c>
      <c r="T578" s="468"/>
      <c r="V578" s="467" t="str">
        <f t="shared" ca="1" si="314"/>
        <v>GROVE AbigailSheff+D</v>
      </c>
      <c r="W578" s="467" t="str">
        <f t="shared" ca="1" si="314"/>
        <v>GRAY MollySheff+D</v>
      </c>
      <c r="X578" s="467" t="str">
        <f t="shared" ca="1" si="314"/>
        <v>ROBERTS EveSheff+D</v>
      </c>
      <c r="Y578" s="467" t="str">
        <f t="shared" ca="1" si="314"/>
        <v>SCOTT VioletSheff+D</v>
      </c>
      <c r="Z578" s="467">
        <f t="shared" ca="1" si="286"/>
        <v>4</v>
      </c>
      <c r="AA578" s="467">
        <f t="shared" ca="1" si="287"/>
        <v>3</v>
      </c>
      <c r="AB578" s="467">
        <f t="shared" ca="1" si="315"/>
        <v>4</v>
      </c>
      <c r="AC578" s="467">
        <f t="shared" ca="1" si="316"/>
        <v>3</v>
      </c>
      <c r="AD578" s="456" t="str">
        <f ca="1">IFERROR(HLOOKUP($C578,Declarations!$D$2:$S$102,$A576,FALSE),"")</f>
        <v>GROVE Abigail</v>
      </c>
      <c r="AE578" s="456" t="str">
        <f ca="1">IFERROR(HLOOKUP($C578*11,Declarations!$D$2:$S$102,$A576,FALSE),"")</f>
        <v>GRAY Molly</v>
      </c>
      <c r="AF578" s="457" t="str">
        <f ca="1">IFERROR(HLOOKUP($C578,Declarations!$D$2:$S$102,$A576+1,FALSE),"")</f>
        <v>ROBERTS Eve</v>
      </c>
      <c r="AG578" s="456" t="str">
        <f ca="1">IFERROR(HLOOKUP($C578*11,Declarations!$D$2:$S$102,$A576+1,FALSE),"")</f>
        <v>SCOTT Violet</v>
      </c>
    </row>
    <row r="579" spans="1:33" x14ac:dyDescent="0.35">
      <c r="A579" s="118" t="str">
        <f>IFERROR(VLOOKUP(A574,standards,4,FALSE)+0.01,"-")</f>
        <v>-</v>
      </c>
      <c r="B579" s="477">
        <v>4</v>
      </c>
      <c r="C579" s="477">
        <f>IFERROR(IF(B579&gt;MatchDay!$U$2+MatchDay!$D$6-1,"",VLOOKUP(A574,Timetables!$A:$DK,MatchDay!$U$4+B579-MatchDay!$D$6,FALSE)),"")</f>
        <v>3</v>
      </c>
      <c r="D579" s="467" t="str">
        <f t="shared" ca="1" si="317"/>
        <v>POUNDER Esme, MAUDE Emily, GREEN-HEMMINGS Grace, MARSHALL Nancy</v>
      </c>
      <c r="F579" s="467"/>
      <c r="I579" s="482"/>
      <c r="K579" s="467" t="str">
        <f t="shared" si="313"/>
        <v>York</v>
      </c>
      <c r="M579" s="467"/>
      <c r="P579" s="468">
        <f ca="1">IFERROR(IF(OR(AD579=0,AD579="-",AD579="",AD579=" ",AD579=" ",T($C579)&lt;&gt;"",$C579=""),"",IF($A582&gt;0,VLOOKUP(AD579,female_reg,3,FALSE)-$C579*10,VLOOKUP(AD579,male_reg,3,FALSE)-$C579*10)),2)</f>
        <v>1</v>
      </c>
      <c r="Q579" s="468">
        <f ca="1">IFERROR(IF(OR(AE579=0,AE579="-",AE579="",AE579=" ",AE579=" ",T($C579)&lt;&gt;"",$C579=""),"",IF($A582&gt;0,VLOOKUP(AE579,female_reg,3,FALSE)-$C579*10,VLOOKUP(AE579,male_reg,3,FALSE)-$C579*10)),2)</f>
        <v>1</v>
      </c>
      <c r="R579" s="468">
        <f ca="1">IFERROR(IF(OR(AF579=0,AF579="-",AF579="",AF579=" ",AF579=" ",T($C579)&lt;&gt;"",$C579=""),"",IF($A582&gt;0,VLOOKUP(AF579,female_reg,3,FALSE)-$C579*10,VLOOKUP(AF579,male_reg,3,FALSE)-$C579*10)),2)</f>
        <v>1</v>
      </c>
      <c r="S579" s="468">
        <f ca="1">IFERROR(IF(OR(AG579=0,AG579="-",AG579="",AG579=" ",AG579=" ",T($C579)&lt;&gt;"",$C579=""),"",IF($A582&gt;0,VLOOKUP(AG579,female_reg,3,FALSE)-$C579*10,VLOOKUP(AG579,male_reg,3,FALSE)-$C579*10)),2)</f>
        <v>0</v>
      </c>
      <c r="T579" s="468"/>
      <c r="V579" s="467" t="str">
        <f t="shared" ca="1" si="314"/>
        <v>POUNDER EsmeYork</v>
      </c>
      <c r="W579" s="467" t="str">
        <f t="shared" ca="1" si="314"/>
        <v>MAUDE EmilyYork</v>
      </c>
      <c r="X579" s="467" t="str">
        <f t="shared" ca="1" si="314"/>
        <v>GREEN-HEMMINGS GraceYork</v>
      </c>
      <c r="Y579" s="467" t="str">
        <f t="shared" ca="1" si="314"/>
        <v>MARSHALL NancyYork</v>
      </c>
      <c r="Z579" s="467">
        <f t="shared" ca="1" si="286"/>
        <v>4</v>
      </c>
      <c r="AA579" s="467">
        <f t="shared" ca="1" si="287"/>
        <v>3</v>
      </c>
      <c r="AB579" s="467">
        <f t="shared" ca="1" si="315"/>
        <v>3</v>
      </c>
      <c r="AC579" s="467">
        <f t="shared" ca="1" si="316"/>
        <v>2</v>
      </c>
      <c r="AD579" s="456" t="str">
        <f ca="1">IFERROR(HLOOKUP($C579,Declarations!$D$2:$S$102,$A576,FALSE),"")</f>
        <v>POUNDER Esme</v>
      </c>
      <c r="AE579" s="456" t="str">
        <f ca="1">IFERROR(HLOOKUP($C579*11,Declarations!$D$2:$S$102,$A576,FALSE),"")</f>
        <v>MAUDE Emily</v>
      </c>
      <c r="AF579" s="457" t="str">
        <f ca="1">IFERROR(HLOOKUP($C579,Declarations!$D$2:$S$102,$A576+1,FALSE),"")</f>
        <v>GREEN-HEMMINGS Grace</v>
      </c>
      <c r="AG579" s="456" t="str">
        <f ca="1">IFERROR(HLOOKUP($C579*11,Declarations!$D$2:$S$102,$A576+1,FALSE),"")</f>
        <v>MARSHALL Nancy</v>
      </c>
    </row>
    <row r="580" spans="1:33" x14ac:dyDescent="0.35">
      <c r="A580" s="118" t="str">
        <f>IFERROR(VLOOKUP(A574,standards,5,FALSE)+0.01,"-")</f>
        <v>-</v>
      </c>
      <c r="B580" s="477">
        <v>5</v>
      </c>
      <c r="C580" s="477">
        <f>IFERROR(IF(B580&gt;MatchDay!$U$2+MatchDay!$D$6-1,"",VLOOKUP(A574,Timetables!$A:$DK,MatchDay!$U$4+B580-MatchDay!$D$6,FALSE)),"")</f>
        <v>1</v>
      </c>
      <c r="D580" s="467" t="str">
        <f t="shared" ca="1" si="317"/>
        <v>HAILEY Faye, GRIFFIN Lydia, PELL Gracie, SAS Evelyn</v>
      </c>
      <c r="F580" s="467"/>
      <c r="I580" s="482"/>
      <c r="K580" s="467" t="str">
        <f t="shared" si="313"/>
        <v>C'field</v>
      </c>
      <c r="M580" s="467"/>
      <c r="P580" s="468">
        <f ca="1">IFERROR(IF(OR(AD580=0,AD580="-",AD580="",AD580=" ",AD580=" ",T($C580)&lt;&gt;"",$C580=""),"",IF($A582&gt;0,VLOOKUP(AD580,female_reg,3,FALSE)-$C580*10,VLOOKUP(AD580,male_reg,3,FALSE)-$C580*10)),2)</f>
        <v>1</v>
      </c>
      <c r="Q580" s="468">
        <f ca="1">IFERROR(IF(OR(AE580=0,AE580="-",AE580="",AE580=" ",AE580=" ",T($C580)&lt;&gt;"",$C580=""),"",IF($A582&gt;0,VLOOKUP(AE580,female_reg,3,FALSE)-$C580*10,VLOOKUP(AE580,male_reg,3,FALSE)-$C580*10)),2)</f>
        <v>1</v>
      </c>
      <c r="R580" s="468">
        <f ca="1">IFERROR(IF(OR(AF580=0,AF580="-",AF580="",AF580=" ",AF580=" ",T($C580)&lt;&gt;"",$C580=""),"",IF($A582&gt;0,VLOOKUP(AF580,female_reg,3,FALSE)-$C580*10,VLOOKUP(AF580,male_reg,3,FALSE)-$C580*10)),2)</f>
        <v>1</v>
      </c>
      <c r="S580" s="468">
        <f ca="1">IFERROR(IF(OR(AG580=0,AG580="-",AG580="",AG580=" ",AG580=" ",T($C580)&lt;&gt;"",$C580=""),"",IF($A582&gt;0,VLOOKUP(AG580,female_reg,3,FALSE)-$C580*10,VLOOKUP(AG580,male_reg,3,FALSE)-$C580*10)),2)</f>
        <v>1</v>
      </c>
      <c r="T580" s="468"/>
      <c r="V580" s="467" t="str">
        <f t="shared" ca="1" si="314"/>
        <v>HAILEY FayeC'field</v>
      </c>
      <c r="W580" s="467" t="str">
        <f t="shared" ca="1" si="314"/>
        <v>GRIFFIN LydiaC'field</v>
      </c>
      <c r="X580" s="467" t="str">
        <f t="shared" ca="1" si="314"/>
        <v>PELL GracieC'field</v>
      </c>
      <c r="Y580" s="467" t="str">
        <f t="shared" ca="1" si="314"/>
        <v>SAS EvelynC'field</v>
      </c>
      <c r="Z580" s="467">
        <f t="shared" ref="Z580:Z638" ca="1" si="318">IF(V580="X",0,COUNTIF($V$4:$Y$638,V580))</f>
        <v>2</v>
      </c>
      <c r="AA580" s="467">
        <f t="shared" ref="AA580:AA638" ca="1" si="319">IF(W580="X",0,COUNTIF($V$4:$Y$638,W580))</f>
        <v>3</v>
      </c>
      <c r="AB580" s="467">
        <f t="shared" ca="1" si="315"/>
        <v>3</v>
      </c>
      <c r="AC580" s="467">
        <f t="shared" ca="1" si="316"/>
        <v>2</v>
      </c>
      <c r="AD580" s="456" t="str">
        <f ca="1">IFERROR(HLOOKUP($C580,Declarations!$D$2:$S$102,$A576,FALSE),"")</f>
        <v>HAILEY Faye</v>
      </c>
      <c r="AE580" s="456" t="str">
        <f ca="1">IFERROR(HLOOKUP($C580*11,Declarations!$D$2:$S$102,$A576,FALSE),"")</f>
        <v>GRIFFIN Lydia</v>
      </c>
      <c r="AF580" s="457" t="str">
        <f ca="1">IFERROR(HLOOKUP($C580,Declarations!$D$2:$S$102,$A576+1,FALSE),"")</f>
        <v>PELL Gracie</v>
      </c>
      <c r="AG580" s="456" t="str">
        <f ca="1">IFERROR(HLOOKUP($C580*11,Declarations!$D$2:$S$102,$A576+1,FALSE),"")</f>
        <v>SAS Evelyn</v>
      </c>
    </row>
    <row r="581" spans="1:33" x14ac:dyDescent="0.35">
      <c r="A581" s="118" t="str">
        <f>IFERROR(VLOOKUP(A574,standards,6,FALSE)+0.01,"-")</f>
        <v>-</v>
      </c>
      <c r="B581" s="477">
        <v>6</v>
      </c>
      <c r="C581" s="477" t="str">
        <f>IFERROR(IF(B581&gt;MatchDay!$U$2+MatchDay!$D$6-1,"",VLOOKUP(A574,Timetables!$A:$DK,MatchDay!$U$4+B581-MatchDay!$D$6,FALSE)),"")</f>
        <v/>
      </c>
      <c r="D581" s="467" t="str">
        <f t="shared" si="317"/>
        <v/>
      </c>
      <c r="F581" s="467"/>
      <c r="I581" s="482"/>
      <c r="K581" s="467" t="str">
        <f t="shared" si="313"/>
        <v/>
      </c>
      <c r="M581" s="467"/>
      <c r="P581" s="468" t="str">
        <f>IFERROR(IF(OR(AD581=0,AD581="-",AD581="",AD581=" ",AD581=" ",T($C581)&lt;&gt;"",$C581=""),"",IF($A582&gt;0,VLOOKUP(AD581,female_reg,3,FALSE)-$C581*10,VLOOKUP(AD581,male_reg,3,FALSE)-$C581*10)),2)</f>
        <v/>
      </c>
      <c r="Q581" s="468" t="str">
        <f>IFERROR(IF(OR(AE581=0,AE581="-",AE581="",AE581=" ",AE581=" ",T($C581)&lt;&gt;"",$C581=""),"",IF($A582&gt;0,VLOOKUP(AE581,female_reg,3,FALSE)-$C581*10,VLOOKUP(AE581,male_reg,3,FALSE)-$C581*10)),2)</f>
        <v/>
      </c>
      <c r="R581" s="468" t="str">
        <f>IFERROR(IF(OR(AF581=0,AF581="-",AF581="",AF581=" ",AF581=" ",T($C581)&lt;&gt;"",$C581=""),"",IF($A582&gt;0,VLOOKUP(AF581,female_reg,3,FALSE)-$C581*10,VLOOKUP(AF581,male_reg,3,FALSE)-$C581*10)),2)</f>
        <v/>
      </c>
      <c r="S581" s="468" t="str">
        <f>IFERROR(IF(OR(AG581=0,AG581="-",AG581="",AG581=" ",AG581=" ",T($C581)&lt;&gt;"",$C581=""),"",IF($A582&gt;0,VLOOKUP(AG581,female_reg,3,FALSE)-$C581*10,VLOOKUP(AG581,male_reg,3,FALSE)-$C581*10)),2)</f>
        <v/>
      </c>
      <c r="T581" s="468"/>
      <c r="V581" s="467" t="str">
        <f t="shared" si="314"/>
        <v>X</v>
      </c>
      <c r="W581" s="467" t="str">
        <f t="shared" si="314"/>
        <v>X</v>
      </c>
      <c r="X581" s="467" t="str">
        <f t="shared" si="314"/>
        <v>X</v>
      </c>
      <c r="Y581" s="467" t="str">
        <f t="shared" si="314"/>
        <v>X</v>
      </c>
      <c r="Z581" s="467">
        <f t="shared" si="318"/>
        <v>0</v>
      </c>
      <c r="AA581" s="467">
        <f t="shared" si="319"/>
        <v>0</v>
      </c>
      <c r="AB581" s="467">
        <f t="shared" si="315"/>
        <v>0</v>
      </c>
      <c r="AC581" s="467">
        <f t="shared" si="316"/>
        <v>0</v>
      </c>
      <c r="AD581" s="456" t="str">
        <f>IFERROR(HLOOKUP($C581,Declarations!$D$2:$S$102,$A576,FALSE),"")</f>
        <v/>
      </c>
      <c r="AE581" s="456" t="str">
        <f>IFERROR(HLOOKUP($C581*11,Declarations!$D$2:$S$102,$A576,FALSE),"")</f>
        <v/>
      </c>
      <c r="AF581" s="457" t="str">
        <f>IFERROR(HLOOKUP($C581,Declarations!$D$2:$S$102,$A576+1,FALSE),"")</f>
        <v/>
      </c>
      <c r="AG581" s="456" t="str">
        <f>IFERROR(HLOOKUP($C581*11,Declarations!$D$2:$S$102,$A576+1,FALSE),"")</f>
        <v/>
      </c>
    </row>
    <row r="582" spans="1:33" x14ac:dyDescent="0.35">
      <c r="A582" s="479">
        <f>IFERROR(SEARCH("Girls",B574),0)</f>
        <v>14</v>
      </c>
      <c r="B582" s="477">
        <v>7</v>
      </c>
      <c r="C582" s="477" t="str">
        <f>IFERROR(IF(B582&gt;MatchDay!$U$2+MatchDay!$D$6-1,"",VLOOKUP(A574,Timetables!$A:$DK,MatchDay!$U$4+B582-MatchDay!$D$6,FALSE)),"")</f>
        <v/>
      </c>
      <c r="D582" s="467" t="str">
        <f t="shared" si="317"/>
        <v/>
      </c>
      <c r="F582" s="467"/>
      <c r="I582" s="482"/>
      <c r="K582" s="467" t="str">
        <f t="shared" si="313"/>
        <v/>
      </c>
      <c r="M582" s="467"/>
      <c r="P582" s="468" t="str">
        <f>IFERROR(IF(OR(AD582=0,AD582="-",AD582="",AD582=" ",AD582=" ",T($C582)&lt;&gt;"",$C582=""),"",IF($A582&gt;0,VLOOKUP(AD582,female_reg,3,FALSE)-$C582*10,VLOOKUP(AD582,male_reg,3,FALSE)-$C582*10)),2)</f>
        <v/>
      </c>
      <c r="Q582" s="468" t="str">
        <f>IFERROR(IF(OR(AE582=0,AE582="-",AE582="",AE582=" ",AE582=" ",T($C582)&lt;&gt;"",$C582=""),"",IF($A582&gt;0,VLOOKUP(AE582,female_reg,3,FALSE)-$C582*10,VLOOKUP(AE582,male_reg,3,FALSE)-$C582*10)),2)</f>
        <v/>
      </c>
      <c r="R582" s="468" t="str">
        <f>IFERROR(IF(OR(AF582=0,AF582="-",AF582="",AF582=" ",AF582=" ",T($C582)&lt;&gt;"",$C582=""),"",IF($A582&gt;0,VLOOKUP(AF582,female_reg,3,FALSE)-$C582*10,VLOOKUP(AF582,male_reg,3,FALSE)-$C582*10)),2)</f>
        <v/>
      </c>
      <c r="S582" s="468" t="str">
        <f>IFERROR(IF(OR(AG582=0,AG582="-",AG582="",AG582=" ",AG582=" ",T($C582)&lt;&gt;"",$C582=""),"",IF($A582&gt;0,VLOOKUP(AG582,female_reg,3,FALSE)-$C582*10,VLOOKUP(AG582,male_reg,3,FALSE)-$C582*10)),2)</f>
        <v/>
      </c>
      <c r="T582" s="468"/>
      <c r="V582" s="467" t="str">
        <f t="shared" si="314"/>
        <v>X</v>
      </c>
      <c r="W582" s="467" t="str">
        <f t="shared" si="314"/>
        <v>X</v>
      </c>
      <c r="X582" s="467" t="str">
        <f t="shared" si="314"/>
        <v>X</v>
      </c>
      <c r="Y582" s="467" t="str">
        <f t="shared" si="314"/>
        <v>X</v>
      </c>
      <c r="Z582" s="467">
        <f t="shared" si="318"/>
        <v>0</v>
      </c>
      <c r="AA582" s="467">
        <f t="shared" si="319"/>
        <v>0</v>
      </c>
      <c r="AB582" s="467">
        <f t="shared" si="315"/>
        <v>0</v>
      </c>
      <c r="AC582" s="467">
        <f t="shared" si="316"/>
        <v>0</v>
      </c>
      <c r="AD582" s="456" t="str">
        <f>IFERROR(HLOOKUP($C582,Declarations!$D$2:$S$102,$A576,FALSE),"")</f>
        <v/>
      </c>
      <c r="AE582" s="456" t="str">
        <f>IFERROR(HLOOKUP($C582*11,Declarations!$D$2:$S$102,$A576,FALSE),"")</f>
        <v/>
      </c>
      <c r="AF582" s="457" t="str">
        <f>IFERROR(HLOOKUP($C582,Declarations!$D$2:$S$102,$A576+1,FALSE),"")</f>
        <v/>
      </c>
      <c r="AG582" s="456" t="str">
        <f>IFERROR(HLOOKUP($C582*11,Declarations!$D$2:$S$102,$A576+1,FALSE),"")</f>
        <v/>
      </c>
    </row>
    <row r="583" spans="1:33" x14ac:dyDescent="0.35">
      <c r="A583" s="116">
        <f>IFERROR(VLOOKUP(A574,records,5,FALSE),"")</f>
        <v>52</v>
      </c>
      <c r="B583" s="477">
        <v>8</v>
      </c>
      <c r="C583" s="477" t="str">
        <f>IFERROR(IF(B583&gt;MatchDay!$U$2+MatchDay!$D$6-1,"",VLOOKUP(A574,Timetables!$A:$DK,MatchDay!$U$4+B583-MatchDay!$D$6,FALSE)),"")</f>
        <v/>
      </c>
      <c r="D583" s="467" t="str">
        <f t="shared" si="317"/>
        <v/>
      </c>
      <c r="F583" s="467"/>
      <c r="I583" s="482"/>
      <c r="K583" s="467" t="str">
        <f t="shared" si="313"/>
        <v/>
      </c>
      <c r="M583" s="467"/>
      <c r="P583" s="468" t="str">
        <f>IFERROR(IF(OR(AD583=0,AD583="-",AD583="",AD583=" ",AD583=" ",T($C583)&lt;&gt;"",$C583=""),"",IF($A582&gt;0,VLOOKUP(AD583,female_reg,3,FALSE)-$C583*10,VLOOKUP(AD583,male_reg,3,FALSE)-$C583*10)),2)</f>
        <v/>
      </c>
      <c r="Q583" s="468" t="str">
        <f>IFERROR(IF(OR(AE583=0,AE583="-",AE583="",AE583=" ",AE583=" ",T($C583)&lt;&gt;"",$C583=""),"",IF($A582&gt;0,VLOOKUP(AE583,female_reg,3,FALSE)-$C583*10,VLOOKUP(AE583,male_reg,3,FALSE)-$C583*10)),2)</f>
        <v/>
      </c>
      <c r="R583" s="468" t="str">
        <f>IFERROR(IF(OR(AF583=0,AF583="-",AF583="",AF583=" ",AF583=" ",T($C583)&lt;&gt;"",$C583=""),"",IF($A582&gt;0,VLOOKUP(AF583,female_reg,3,FALSE)-$C583*10,VLOOKUP(AF583,male_reg,3,FALSE)-$C583*10)),2)</f>
        <v/>
      </c>
      <c r="S583" s="468" t="str">
        <f>IFERROR(IF(OR(AG583=0,AG583="-",AG583="",AG583=" ",AG583=" ",T($C583)&lt;&gt;"",$C583=""),"",IF($A582&gt;0,VLOOKUP(AG583,female_reg,3,FALSE)-$C583*10,VLOOKUP(AG583,male_reg,3,FALSE)-$C583*10)),2)</f>
        <v/>
      </c>
      <c r="T583" s="468"/>
      <c r="V583" s="467" t="str">
        <f t="shared" si="314"/>
        <v>X</v>
      </c>
      <c r="W583" s="467" t="str">
        <f t="shared" si="314"/>
        <v>X</v>
      </c>
      <c r="X583" s="467" t="str">
        <f t="shared" si="314"/>
        <v>X</v>
      </c>
      <c r="Y583" s="467" t="str">
        <f t="shared" si="314"/>
        <v>X</v>
      </c>
      <c r="Z583" s="467">
        <f t="shared" si="318"/>
        <v>0</v>
      </c>
      <c r="AA583" s="467">
        <f t="shared" si="319"/>
        <v>0</v>
      </c>
      <c r="AB583" s="467">
        <f t="shared" si="315"/>
        <v>0</v>
      </c>
      <c r="AC583" s="467">
        <f t="shared" si="316"/>
        <v>0</v>
      </c>
      <c r="AD583" s="456" t="str">
        <f>IFERROR(HLOOKUP($C583,Declarations!$D$2:$S$102,$A576,FALSE),"")</f>
        <v/>
      </c>
      <c r="AE583" s="456" t="str">
        <f>IFERROR(HLOOKUP($C583*11,Declarations!$D$2:$S$102,$A576,FALSE),"")</f>
        <v/>
      </c>
      <c r="AF583" s="457" t="str">
        <f>IFERROR(HLOOKUP($C583,Declarations!$D$2:$S$102,$A576+1,FALSE),"")</f>
        <v/>
      </c>
      <c r="AG583" s="456" t="str">
        <f>IFERROR(HLOOKUP($C583*11,Declarations!$D$2:$S$102,$A576+1,FALSE),"")</f>
        <v/>
      </c>
    </row>
    <row r="584" spans="1:33" x14ac:dyDescent="0.35">
      <c r="P584" s="468" t="str">
        <f>IFERROR(IF(OR(AD584=0,AD584="-",AD584="",AD584=" ",AD584=" ",T($C584)&lt;&gt;"",$C584=""),"",IF($A582&gt;0,VLOOKUP(AD584,female_reg,3,FALSE)-$C584*10,VLOOKUP(AD584,male_reg,3,FALSE)-$C584*10)),2)</f>
        <v/>
      </c>
      <c r="Q584" s="468" t="str">
        <f>IFERROR(IF(OR(AE584=0,AE584="-",AE584="",AE584=" ",AE584=" ",T($C584)&lt;&gt;"",$C584=""),"",IF($A582&gt;0,VLOOKUP(AE584,female_reg,3,FALSE)-$C584*10,VLOOKUP(AE584,male_reg,3,FALSE)-$C584*10)),2)</f>
        <v/>
      </c>
      <c r="R584" s="468" t="str">
        <f>IFERROR(IF(OR(AF584=0,AF584="-",AF584="",AF584=" ",AF584=" ",T($C584)&lt;&gt;"",$C584=""),"",IF($A582&gt;0,VLOOKUP(AF584,female_reg,3,FALSE)-$C584*10,VLOOKUP(AF584,male_reg,3,FALSE)-$C584*10)),2)</f>
        <v/>
      </c>
      <c r="S584" s="468" t="str">
        <f>IFERROR(IF(OR(AG584=0,AG584="-",AG584="",AG584=" ",AG584=" ",T($C584)&lt;&gt;"",$C584=""),"",IF($A582&gt;0,VLOOKUP(AG584,female_reg,3,FALSE)-$C584*10,VLOOKUP(AG584,male_reg,3,FALSE)-$C584*10)),2)</f>
        <v/>
      </c>
      <c r="T584" s="468"/>
      <c r="Z584" s="467">
        <f t="shared" ca="1" si="318"/>
        <v>0</v>
      </c>
      <c r="AA584" s="467">
        <f t="shared" ca="1" si="319"/>
        <v>0</v>
      </c>
      <c r="AB584" s="467">
        <f t="shared" ca="1" si="315"/>
        <v>0</v>
      </c>
      <c r="AC584" s="467">
        <f t="shared" ca="1" si="316"/>
        <v>0</v>
      </c>
      <c r="AD584" s="456" t="str">
        <f>IFERROR(HLOOKUP($C584,Declarations!$D$2:$S$102,$A576,FALSE),"")</f>
        <v/>
      </c>
      <c r="AE584" s="456" t="str">
        <f>IFERROR(HLOOKUP($C584*11,Declarations!$D$2:$S$102,$A576,FALSE),"")</f>
        <v/>
      </c>
      <c r="AF584" s="457" t="str">
        <f>IFERROR(HLOOKUP($C584,Declarations!$D$2:$S$102,$A576+1,FALSE),"")</f>
        <v/>
      </c>
      <c r="AG584" s="456" t="str">
        <f>IFERROR(HLOOKUP($C584*11,Declarations!$D$2:$S$102,$A576+1,FALSE),"")</f>
        <v/>
      </c>
    </row>
    <row r="585" spans="1:33" x14ac:dyDescent="0.35">
      <c r="A585" s="111" t="str">
        <f>IFERROR("L"&amp;A586,"")</f>
        <v>LTR2</v>
      </c>
      <c r="B585" s="469" t="str">
        <f>IFERROR(VLOOKUP(A585,timetables,2,FALSE)&amp;" "&amp;VLOOKUP(A585,timetables,3,FALSE),"")</f>
        <v>4 x 100m U13 Boys</v>
      </c>
      <c r="C585" s="469"/>
      <c r="E585" s="470" t="str">
        <f>"Starts "&amp;TEXT(VLOOKUP(A585,timetables,7-MatchDay!$U$7,FALSE),"hh:mm")</f>
        <v>Starts 16:05</v>
      </c>
      <c r="F585" s="471"/>
      <c r="H585" s="472" t="str">
        <f>IFERROR("Rec: "&amp;TEXT(VLOOKUP(A585,records,5,FALSE),"#0.00")&amp;"s, "&amp;VLOOKUP(A585,records,4,FALSE)&amp;", "&amp;VLOOKUP(A585,records,8,FALSE),"")</f>
        <v>Rec: 50.30s, Newham &amp; Essex Beagles AC, 2018</v>
      </c>
      <c r="K585" s="473"/>
      <c r="L585" s="474"/>
      <c r="M585" s="467"/>
      <c r="P585" s="468" t="str">
        <f>IFERROR(IF(OR(AD585=0,AD585="-",AD585="",AD585=" ",AD585=" ",T($C585)&lt;&gt;"",$C585=""),"",IF($A582&gt;0,VLOOKUP(AD585,female_reg,3,FALSE)-$C585*10,VLOOKUP(AD585,male_reg,3,FALSE)-$C585*10)),2)</f>
        <v/>
      </c>
      <c r="Q585" s="468" t="str">
        <f>IFERROR(IF(OR(AE585=0,AE585="-",AE585="",AE585=" ",AE585=" ",T($C585)&lt;&gt;"",$C585=""),"",IF($A582&gt;0,VLOOKUP(AE585,female_reg,3,FALSE)-$C585*10,VLOOKUP(AE585,male_reg,3,FALSE)-$C585*10)),2)</f>
        <v/>
      </c>
      <c r="R585" s="468" t="str">
        <f>IFERROR(IF(OR(AF585=0,AF585="-",AF585="",AF585=" ",AF585=" ",T($C585)&lt;&gt;"",$C585=""),"",IF($A582&gt;0,VLOOKUP(AF585,female_reg,3,FALSE)-$C585*10,VLOOKUP(AF585,male_reg,3,FALSE)-$C585*10)),2)</f>
        <v/>
      </c>
      <c r="S585" s="468" t="str">
        <f>IFERROR(IF(OR(AG585=0,AG585="-",AG585="",AG585=" ",AG585=" ",T($C585)&lt;&gt;"",$C585=""),"",IF($A582&gt;0,VLOOKUP(AG585,female_reg,3,FALSE)-$C585*10,VLOOKUP(AG585,male_reg,3,FALSE)-$C585*10)),2)</f>
        <v/>
      </c>
      <c r="T585" s="468"/>
      <c r="Z585" s="467">
        <f t="shared" ca="1" si="318"/>
        <v>0</v>
      </c>
      <c r="AA585" s="467">
        <f t="shared" ca="1" si="319"/>
        <v>0</v>
      </c>
      <c r="AB585" s="467">
        <f t="shared" ca="1" si="315"/>
        <v>0</v>
      </c>
      <c r="AC585" s="467">
        <f t="shared" ca="1" si="316"/>
        <v>0</v>
      </c>
      <c r="AD585" s="456" t="str">
        <f>IFERROR(HLOOKUP($C585,Declarations!$D$2:$S$102,$A576,FALSE),"")</f>
        <v/>
      </c>
      <c r="AE585" s="456" t="str">
        <f>IFERROR(HLOOKUP($C585*11,Declarations!$D$2:$S$102,$A576,FALSE),"")</f>
        <v/>
      </c>
      <c r="AF585" s="457" t="str">
        <f>IFERROR(HLOOKUP($C585,Declarations!$D$2:$S$102,$A576+1,FALSE),"")</f>
        <v/>
      </c>
      <c r="AG585" s="456" t="str">
        <f>IFERROR(HLOOKUP($C585*11,Declarations!$D$2:$S$102,$A576+1,FALSE),"")</f>
        <v/>
      </c>
    </row>
    <row r="586" spans="1:33" x14ac:dyDescent="0.35">
      <c r="A586" s="85" t="s">
        <v>501</v>
      </c>
      <c r="B586" s="9" t="s">
        <v>786</v>
      </c>
      <c r="C586" s="9" t="s">
        <v>183</v>
      </c>
      <c r="D586" s="46" t="s">
        <v>1263</v>
      </c>
      <c r="E586" s="46"/>
      <c r="F586" s="46"/>
      <c r="G586" s="46"/>
      <c r="H586" s="46"/>
      <c r="I586" s="9"/>
      <c r="J586" s="478"/>
      <c r="L586" s="466">
        <f>IFERROR(SEARCH("NS",B585),0)</f>
        <v>0</v>
      </c>
      <c r="M586" s="467"/>
      <c r="O586" s="476"/>
      <c r="P586" s="468" t="str">
        <f>IFERROR(IF(OR(AD586=0,AD586="-",AD586="",AD586=" ",AD586=" ",T($C586)&lt;&gt;"",$C586=""),"",IF($A582&gt;0,VLOOKUP(AD586,female_reg,3,FALSE)-$C586*10,VLOOKUP(AD586,male_reg,3,FALSE)-$C586*10)),2)</f>
        <v/>
      </c>
      <c r="Q586" s="468" t="str">
        <f>IFERROR(IF(OR(AE586=0,AE586="-",AE586="",AE586=" ",AE586=" ",T($C586)&lt;&gt;"",$C586=""),"",IF($A582&gt;0,VLOOKUP(AE586,female_reg,3,FALSE)-$C586*10,VLOOKUP(AE586,male_reg,3,FALSE)-$C586*10)),2)</f>
        <v/>
      </c>
      <c r="R586" s="468" t="str">
        <f>IFERROR(IF(OR(AF586=0,AF586="-",AF586="",AF586=" ",AF586=" ",T($C586)&lt;&gt;"",$C586=""),"",IF($A582&gt;0,VLOOKUP(AF586,female_reg,3,FALSE)-$C586*10,VLOOKUP(AF586,male_reg,3,FALSE)-$C586*10)),2)</f>
        <v/>
      </c>
      <c r="S586" s="468" t="str">
        <f>IFERROR(IF(OR(AG586=0,AG586="-",AG586="",AG586=" ",AG586=" ",T($C586)&lt;&gt;"",$C586=""),"",IF($A582&gt;0,VLOOKUP(AG586,female_reg,3,FALSE)-$C586*10,VLOOKUP(AG586,male_reg,3,FALSE)-$C586*10)),2)</f>
        <v/>
      </c>
      <c r="T586" s="468"/>
      <c r="Z586" s="467">
        <f t="shared" ca="1" si="318"/>
        <v>0</v>
      </c>
      <c r="AA586" s="467">
        <f t="shared" ca="1" si="319"/>
        <v>0</v>
      </c>
      <c r="AB586" s="467">
        <f t="shared" ca="1" si="315"/>
        <v>0</v>
      </c>
      <c r="AC586" s="467">
        <f t="shared" ca="1" si="316"/>
        <v>0</v>
      </c>
      <c r="AD586" s="456" t="str">
        <f>IFERROR(HLOOKUP($C586,Declarations!$D$2:$S$102,$A576,FALSE),"")</f>
        <v/>
      </c>
      <c r="AE586" s="456" t="str">
        <f>IFERROR(HLOOKUP($C586*11,Declarations!$D$2:$S$102,$A576,FALSE),"")</f>
        <v/>
      </c>
      <c r="AF586" s="457" t="str">
        <f>IFERROR(HLOOKUP($C586,Declarations!$D$2:$S$102,$A576+1,FALSE),"")</f>
        <v/>
      </c>
      <c r="AG586" s="456" t="str">
        <f>IFERROR(HLOOKUP($C586*11,Declarations!$D$2:$S$102,$A576+1,FALSE),"")</f>
        <v/>
      </c>
    </row>
    <row r="587" spans="1:33" x14ac:dyDescent="0.35">
      <c r="A587" s="181">
        <f>IFERROR(VLOOKUP(A585,Timetables!$A:$E,5,FALSE)-1,"")</f>
        <v>97</v>
      </c>
      <c r="B587" s="477">
        <v>1</v>
      </c>
      <c r="C587" s="477">
        <f>IFERROR(IF(B587&gt;MatchDay!$U$2,"",IF(MatchDay!$D$6=2,"",VLOOKUP(A585,Timetables!$A:$DK,MatchDay!$U$4+B587-MatchDay!$D$6,FALSE))),"")</f>
        <v>5</v>
      </c>
      <c r="D587" s="467" t="str">
        <f ca="1">IFERROR(IF(OR(AD587=0,AD587=""),"",AD587&amp;", "&amp;AE587&amp;", "&amp;AF587&amp;", "&amp;AG587),"")</f>
        <v>-, -, -, -</v>
      </c>
      <c r="F587" s="467"/>
      <c r="I587" s="482"/>
      <c r="K587" s="467" t="str">
        <f t="shared" ref="K587:K594" si="320">IFERROR(VLOOKUP(C587,teamlookup,5,FALSE),"")</f>
        <v>Scun</v>
      </c>
      <c r="M587" s="467"/>
      <c r="P587" s="468" t="str">
        <f ca="1">IFERROR(IF(OR(AD587=0,AD587="-",AD587="",AD587=" ",AD587=" ",T($C587)&lt;&gt;"",$C587=""),"",IF($A593&gt;0,VLOOKUP(AD587,female_reg,3,FALSE)-$C587*10,VLOOKUP(AD587,male_reg,3,FALSE)-$C587*10)),2)</f>
        <v/>
      </c>
      <c r="Q587" s="468" t="str">
        <f ca="1">IFERROR(IF(OR(AE587=0,AE587="-",AE587="",AE587=" ",AE587=" ",T($C587)&lt;&gt;"",$C587=""),"",IF($A593&gt;0,VLOOKUP(AE587,female_reg,3,FALSE)-$C587*10,VLOOKUP(AE587,male_reg,3,FALSE)-$C587*10)),2)</f>
        <v/>
      </c>
      <c r="R587" s="468" t="str">
        <f ca="1">IFERROR(IF(OR(AF587=0,AF587="-",AF587="",AF587=" ",AF587=" ",T($C587)&lt;&gt;"",$C587=""),"",IF($A593&gt;0,VLOOKUP(AF587,female_reg,3,FALSE)-$C587*10,VLOOKUP(AF587,male_reg,3,FALSE)-$C587*10)),2)</f>
        <v/>
      </c>
      <c r="S587" s="468" t="str">
        <f ca="1">IFERROR(IF(OR(AG587=0,AG587="-",AG587="",AG587=" ",AG587=" ",T($C587)&lt;&gt;"",$C587=""),"",IF($A593&gt;0,VLOOKUP(AG587,female_reg,3,FALSE)-$C587*10,VLOOKUP(AG587,male_reg,3,FALSE)-$C587*10)),2)</f>
        <v/>
      </c>
      <c r="T587" s="468"/>
      <c r="V587" s="467" t="str">
        <f t="shared" ref="V587:Y594" ca="1" si="321">IFERROR(IF(OR(AD587=0,AD587=""),"X",AD587&amp;VLOOKUP($C587,teamlookup,5,FALSE)),"X")</f>
        <v>-Scun</v>
      </c>
      <c r="W587" s="467" t="str">
        <f t="shared" ca="1" si="321"/>
        <v>-Scun</v>
      </c>
      <c r="X587" s="467" t="str">
        <f t="shared" ca="1" si="321"/>
        <v>-Scun</v>
      </c>
      <c r="Y587" s="467" t="str">
        <f t="shared" ca="1" si="321"/>
        <v>-Scun</v>
      </c>
      <c r="Z587" s="467">
        <f t="shared" ca="1" si="318"/>
        <v>4</v>
      </c>
      <c r="AA587" s="467">
        <f t="shared" ca="1" si="319"/>
        <v>4</v>
      </c>
      <c r="AB587" s="467">
        <f t="shared" ca="1" si="315"/>
        <v>4</v>
      </c>
      <c r="AC587" s="467">
        <f t="shared" ca="1" si="316"/>
        <v>4</v>
      </c>
      <c r="AD587" s="456" t="str">
        <f ca="1">IFERROR(HLOOKUP($C587,Declarations!$D$2:$S$102,$A587,FALSE),"")</f>
        <v>-</v>
      </c>
      <c r="AE587" s="456" t="str">
        <f ca="1">IFERROR(HLOOKUP($C587*11,Declarations!$D$2:$S$102,$A587,FALSE),"")</f>
        <v>-</v>
      </c>
      <c r="AF587" s="457" t="str">
        <f ca="1">IFERROR(HLOOKUP($C587,Declarations!$D$2:$S$102,$A587+1,FALSE),"")</f>
        <v>-</v>
      </c>
      <c r="AG587" s="456" t="str">
        <f ca="1">IFERROR(HLOOKUP($C587*11,Declarations!$D$2:$S$102,$A587+1,FALSE),"")</f>
        <v>-</v>
      </c>
    </row>
    <row r="588" spans="1:33" x14ac:dyDescent="0.35">
      <c r="A588" s="468">
        <v>34</v>
      </c>
      <c r="B588" s="477">
        <v>2</v>
      </c>
      <c r="C588" s="477">
        <f>IFERROR(IF(B588&gt;MatchDay!$U$2+MatchDay!$D$6-1,"",VLOOKUP(A585,Timetables!$A:$DK,MatchDay!$U$4+B588-MatchDay!$D$6,FALSE)),"")</f>
        <v>4</v>
      </c>
      <c r="D588" s="467" t="str">
        <f t="shared" ref="D588:D594" ca="1" si="322">IFERROR(IF(OR(AD588=0,AD588=""),"",AD588&amp;", "&amp;AE588&amp;", "&amp;AF588&amp;", "&amp;AG588),"")</f>
        <v>O'HARE Christy, MARRON Ethan, HONEYMAN Leo, MAYNARD Finley</v>
      </c>
      <c r="F588" s="467"/>
      <c r="I588" s="482"/>
      <c r="K588" s="467" t="str">
        <f t="shared" si="320"/>
        <v>M'bro</v>
      </c>
      <c r="M588" s="467"/>
      <c r="P588" s="468">
        <f ca="1">IFERROR(IF(OR(AD588=0,AD588="-",AD588="",AD588=" ",AD588=" ",T($C588)&lt;&gt;"",$C588=""),"",IF($A593&gt;0,VLOOKUP(AD588,female_reg,3,FALSE)-$C588*10,VLOOKUP(AD588,male_reg,3,FALSE)-$C588*10)),2)</f>
        <v>1</v>
      </c>
      <c r="Q588" s="468">
        <f ca="1">IFERROR(IF(OR(AE588=0,AE588="-",AE588="",AE588=" ",AE588=" ",T($C588)&lt;&gt;"",$C588=""),"",IF($A593&gt;0,VLOOKUP(AE588,female_reg,3,FALSE)-$C588*10,VLOOKUP(AE588,male_reg,3,FALSE)-$C588*10)),2)</f>
        <v>1</v>
      </c>
      <c r="R588" s="468">
        <f ca="1">IFERROR(IF(OR(AF588=0,AF588="-",AF588="",AF588=" ",AF588=" ",T($C588)&lt;&gt;"",$C588=""),"",IF($A593&gt;0,VLOOKUP(AF588,female_reg,3,FALSE)-$C588*10,VLOOKUP(AF588,male_reg,3,FALSE)-$C588*10)),2)</f>
        <v>0</v>
      </c>
      <c r="S588" s="468">
        <f ca="1">IFERROR(IF(OR(AG588=0,AG588="-",AG588="",AG588=" ",AG588=" ",T($C588)&lt;&gt;"",$C588=""),"",IF($A593&gt;0,VLOOKUP(AG588,female_reg,3,FALSE)-$C588*10,VLOOKUP(AG588,male_reg,3,FALSE)-$C588*10)),2)</f>
        <v>1</v>
      </c>
      <c r="T588" s="468"/>
      <c r="V588" s="467" t="str">
        <f t="shared" ca="1" si="321"/>
        <v>O'HARE ChristyM'bro</v>
      </c>
      <c r="W588" s="467" t="str">
        <f t="shared" ca="1" si="321"/>
        <v>MARRON EthanM'bro</v>
      </c>
      <c r="X588" s="467" t="str">
        <f t="shared" ca="1" si="321"/>
        <v>HONEYMAN LeoM'bro</v>
      </c>
      <c r="Y588" s="467" t="str">
        <f t="shared" ca="1" si="321"/>
        <v>MAYNARD FinleyM'bro</v>
      </c>
      <c r="Z588" s="467">
        <f t="shared" ca="1" si="318"/>
        <v>2</v>
      </c>
      <c r="AA588" s="467">
        <f t="shared" ca="1" si="319"/>
        <v>2</v>
      </c>
      <c r="AB588" s="467">
        <f t="shared" ca="1" si="315"/>
        <v>3</v>
      </c>
      <c r="AC588" s="467">
        <f t="shared" ca="1" si="316"/>
        <v>4</v>
      </c>
      <c r="AD588" s="456" t="str">
        <f ca="1">IFERROR(HLOOKUP($C588,Declarations!$D$2:$S$102,$A587,FALSE),"")</f>
        <v>O'HARE Christy</v>
      </c>
      <c r="AE588" s="456" t="str">
        <f ca="1">IFERROR(HLOOKUP($C588*11,Declarations!$D$2:$S$102,$A587,FALSE),"")</f>
        <v>MARRON Ethan</v>
      </c>
      <c r="AF588" s="457" t="str">
        <f ca="1">IFERROR(HLOOKUP($C588,Declarations!$D$2:$S$102,$A587+1,FALSE),"")</f>
        <v>HONEYMAN Leo</v>
      </c>
      <c r="AG588" s="456" t="str">
        <f ca="1">IFERROR(HLOOKUP($C588*11,Declarations!$D$2:$S$102,$A587+1,FALSE),"")</f>
        <v>MAYNARD Finley</v>
      </c>
    </row>
    <row r="589" spans="1:33" x14ac:dyDescent="0.35">
      <c r="A589" s="118" t="str">
        <f>IFERROR(VLOOKUP(A585,standards,3,FALSE)+0.01,"-")</f>
        <v>-</v>
      </c>
      <c r="B589" s="477">
        <v>3</v>
      </c>
      <c r="C589" s="477">
        <f>IFERROR(IF(B589&gt;MatchDay!$U$2+MatchDay!$D$6-1,"",VLOOKUP(A585,Timetables!$A:$DK,MatchDay!$U$4+B589-MatchDay!$D$6,FALSE)),"")</f>
        <v>2</v>
      </c>
      <c r="D589" s="467" t="str">
        <f t="shared" ca="1" si="322"/>
        <v>REILLY Arthur, WINGFIELD Tyler, MAY Rudi, CONNELLY George</v>
      </c>
      <c r="F589" s="467"/>
      <c r="I589" s="482"/>
      <c r="K589" s="467" t="str">
        <f t="shared" si="320"/>
        <v>Sheff+D</v>
      </c>
      <c r="M589" s="467"/>
      <c r="P589" s="468">
        <f ca="1">IFERROR(IF(OR(AD589=0,AD589="-",AD589="",AD589=" ",AD589=" ",T($C589)&lt;&gt;"",$C589=""),"",IF($A593&gt;0,VLOOKUP(AD589,female_reg,3,FALSE)-$C589*10,VLOOKUP(AD589,male_reg,3,FALSE)-$C589*10)),2)</f>
        <v>1</v>
      </c>
      <c r="Q589" s="468">
        <f ca="1">IFERROR(IF(OR(AE589=0,AE589="-",AE589="",AE589=" ",AE589=" ",T($C589)&lt;&gt;"",$C589=""),"",IF($A593&gt;0,VLOOKUP(AE589,female_reg,3,FALSE)-$C589*10,VLOOKUP(AE589,male_reg,3,FALSE)-$C589*10)),2)</f>
        <v>1</v>
      </c>
      <c r="R589" s="468">
        <f ca="1">IFERROR(IF(OR(AF589=0,AF589="-",AF589="",AF589=" ",AF589=" ",T($C589)&lt;&gt;"",$C589=""),"",IF($A593&gt;0,VLOOKUP(AF589,female_reg,3,FALSE)-$C589*10,VLOOKUP(AF589,male_reg,3,FALSE)-$C589*10)),2)</f>
        <v>1</v>
      </c>
      <c r="S589" s="468">
        <f ca="1">IFERROR(IF(OR(AG589=0,AG589="-",AG589="",AG589=" ",AG589=" ",T($C589)&lt;&gt;"",$C589=""),"",IF($A593&gt;0,VLOOKUP(AG589,female_reg,3,FALSE)-$C589*10,VLOOKUP(AG589,male_reg,3,FALSE)-$C589*10)),2)</f>
        <v>1</v>
      </c>
      <c r="T589" s="468"/>
      <c r="V589" s="467" t="str">
        <f t="shared" ca="1" si="321"/>
        <v>REILLY ArthurSheff+D</v>
      </c>
      <c r="W589" s="467" t="str">
        <f t="shared" ca="1" si="321"/>
        <v>WINGFIELD TylerSheff+D</v>
      </c>
      <c r="X589" s="467" t="str">
        <f t="shared" ca="1" si="321"/>
        <v>MAY RudiSheff+D</v>
      </c>
      <c r="Y589" s="467" t="str">
        <f t="shared" ca="1" si="321"/>
        <v>CONNELLY GeorgeSheff+D</v>
      </c>
      <c r="Z589" s="467">
        <f t="shared" ca="1" si="318"/>
        <v>4</v>
      </c>
      <c r="AA589" s="467">
        <f t="shared" ca="1" si="319"/>
        <v>3</v>
      </c>
      <c r="AB589" s="467">
        <f t="shared" ca="1" si="315"/>
        <v>4</v>
      </c>
      <c r="AC589" s="467">
        <f t="shared" ca="1" si="316"/>
        <v>3</v>
      </c>
      <c r="AD589" s="456" t="str">
        <f ca="1">IFERROR(HLOOKUP($C589,Declarations!$D$2:$S$102,$A587,FALSE),"")</f>
        <v>REILLY Arthur</v>
      </c>
      <c r="AE589" s="456" t="str">
        <f ca="1">IFERROR(HLOOKUP($C589*11,Declarations!$D$2:$S$102,$A587,FALSE),"")</f>
        <v>WINGFIELD Tyler</v>
      </c>
      <c r="AF589" s="457" t="str">
        <f ca="1">IFERROR(HLOOKUP($C589,Declarations!$D$2:$S$102,$A587+1,FALSE),"")</f>
        <v>MAY Rudi</v>
      </c>
      <c r="AG589" s="456" t="str">
        <f ca="1">IFERROR(HLOOKUP($C589*11,Declarations!$D$2:$S$102,$A587+1,FALSE),"")</f>
        <v>CONNELLY George</v>
      </c>
    </row>
    <row r="590" spans="1:33" x14ac:dyDescent="0.35">
      <c r="A590" s="118" t="str">
        <f>IFERROR(VLOOKUP(A585,standards,4,FALSE)+0.01,"-")</f>
        <v>-</v>
      </c>
      <c r="B590" s="477">
        <v>4</v>
      </c>
      <c r="C590" s="477">
        <f>IFERROR(IF(B590&gt;MatchDay!$U$2+MatchDay!$D$6-1,"",VLOOKUP(A585,Timetables!$A:$DK,MatchDay!$U$4+B590-MatchDay!$D$6,FALSE)),"")</f>
        <v>3</v>
      </c>
      <c r="D590" s="467" t="str">
        <f t="shared" ca="1" si="322"/>
        <v>BASTOW Isaac, PEARSON Adam, HICKLING William, MARSHALL Syd</v>
      </c>
      <c r="F590" s="467"/>
      <c r="I590" s="482"/>
      <c r="K590" s="467" t="str">
        <f t="shared" si="320"/>
        <v>York</v>
      </c>
      <c r="M590" s="467"/>
      <c r="P590" s="468">
        <f ca="1">IFERROR(IF(OR(AD590=0,AD590="-",AD590="",AD590=" ",AD590=" ",T($C590)&lt;&gt;"",$C590=""),"",IF($A593&gt;0,VLOOKUP(AD590,female_reg,3,FALSE)-$C590*10,VLOOKUP(AD590,male_reg,3,FALSE)-$C590*10)),2)</f>
        <v>1</v>
      </c>
      <c r="Q590" s="468">
        <f ca="1">IFERROR(IF(OR(AE590=0,AE590="-",AE590="",AE590=" ",AE590=" ",T($C590)&lt;&gt;"",$C590=""),"",IF($A593&gt;0,VLOOKUP(AE590,female_reg,3,FALSE)-$C590*10,VLOOKUP(AE590,male_reg,3,FALSE)-$C590*10)),2)</f>
        <v>1</v>
      </c>
      <c r="R590" s="468">
        <f ca="1">IFERROR(IF(OR(AF590=0,AF590="-",AF590="",AF590=" ",AF590=" ",T($C590)&lt;&gt;"",$C590=""),"",IF($A593&gt;0,VLOOKUP(AF590,female_reg,3,FALSE)-$C590*10,VLOOKUP(AF590,male_reg,3,FALSE)-$C590*10)),2)</f>
        <v>0</v>
      </c>
      <c r="S590" s="468">
        <f ca="1">IFERROR(IF(OR(AG590=0,AG590="-",AG590="",AG590=" ",AG590=" ",T($C590)&lt;&gt;"",$C590=""),"",IF($A593&gt;0,VLOOKUP(AG590,female_reg,3,FALSE)-$C590*10,VLOOKUP(AG590,male_reg,3,FALSE)-$C590*10)),2)</f>
        <v>0</v>
      </c>
      <c r="T590" s="468"/>
      <c r="V590" s="467" t="str">
        <f t="shared" ca="1" si="321"/>
        <v>BASTOW IsaacYork</v>
      </c>
      <c r="W590" s="467" t="str">
        <f t="shared" ca="1" si="321"/>
        <v>PEARSON AdamYork</v>
      </c>
      <c r="X590" s="467" t="str">
        <f t="shared" ca="1" si="321"/>
        <v>HICKLING WilliamYork</v>
      </c>
      <c r="Y590" s="467" t="str">
        <f t="shared" ca="1" si="321"/>
        <v>MARSHALL SydYork</v>
      </c>
      <c r="Z590" s="467">
        <f t="shared" ca="1" si="318"/>
        <v>4</v>
      </c>
      <c r="AA590" s="467">
        <f t="shared" ca="1" si="319"/>
        <v>3</v>
      </c>
      <c r="AB590" s="467">
        <f t="shared" ca="1" si="315"/>
        <v>3</v>
      </c>
      <c r="AC590" s="467">
        <f t="shared" ca="1" si="316"/>
        <v>3</v>
      </c>
      <c r="AD590" s="456" t="str">
        <f ca="1">IFERROR(HLOOKUP($C590,Declarations!$D$2:$S$102,$A587,FALSE),"")</f>
        <v>BASTOW Isaac</v>
      </c>
      <c r="AE590" s="456" t="str">
        <f ca="1">IFERROR(HLOOKUP($C590*11,Declarations!$D$2:$S$102,$A587,FALSE),"")</f>
        <v>PEARSON Adam</v>
      </c>
      <c r="AF590" s="457" t="str">
        <f ca="1">IFERROR(HLOOKUP($C590,Declarations!$D$2:$S$102,$A587+1,FALSE),"")</f>
        <v>HICKLING William</v>
      </c>
      <c r="AG590" s="456" t="str">
        <f ca="1">IFERROR(HLOOKUP($C590*11,Declarations!$D$2:$S$102,$A587+1,FALSE),"")</f>
        <v>MARSHALL Syd</v>
      </c>
    </row>
    <row r="591" spans="1:33" x14ac:dyDescent="0.35">
      <c r="A591" s="118" t="str">
        <f>IFERROR(VLOOKUP(A585,standards,5,FALSE)+0.01,"-")</f>
        <v>-</v>
      </c>
      <c r="B591" s="477">
        <v>5</v>
      </c>
      <c r="C591" s="477">
        <f>IFERROR(IF(B591&gt;MatchDay!$U$2+MatchDay!$D$6-1,"",VLOOKUP(A585,Timetables!$A:$DK,MatchDay!$U$4+B591-MatchDay!$D$6,FALSE)),"")</f>
        <v>1</v>
      </c>
      <c r="D591" s="467" t="str">
        <f t="shared" ca="1" si="322"/>
        <v>DREW Matthew, STOWELL Callum, LOWE Seth, GASKIN Nathanael</v>
      </c>
      <c r="F591" s="467"/>
      <c r="I591" s="482"/>
      <c r="K591" s="467" t="str">
        <f t="shared" si="320"/>
        <v>C'field</v>
      </c>
      <c r="M591" s="467"/>
      <c r="P591" s="468">
        <f ca="1">IFERROR(IF(OR(AD591=0,AD591="-",AD591="",AD591=" ",AD591=" ",T($C591)&lt;&gt;"",$C591=""),"",IF($A593&gt;0,VLOOKUP(AD591,female_reg,3,FALSE)-$C591*10,VLOOKUP(AD591,male_reg,3,FALSE)-$C591*10)),2)</f>
        <v>1</v>
      </c>
      <c r="Q591" s="468">
        <f ca="1">IFERROR(IF(OR(AE591=0,AE591="-",AE591="",AE591=" ",AE591=" ",T($C591)&lt;&gt;"",$C591=""),"",IF($A593&gt;0,VLOOKUP(AE591,female_reg,3,FALSE)-$C591*10,VLOOKUP(AE591,male_reg,3,FALSE)-$C591*10)),2)</f>
        <v>1</v>
      </c>
      <c r="R591" s="468">
        <f ca="1">IFERROR(IF(OR(AF591=0,AF591="-",AF591="",AF591=" ",AF591=" ",T($C591)&lt;&gt;"",$C591=""),"",IF($A593&gt;0,VLOOKUP(AF591,female_reg,3,FALSE)-$C591*10,VLOOKUP(AF591,male_reg,3,FALSE)-$C591*10)),2)</f>
        <v>1</v>
      </c>
      <c r="S591" s="468">
        <f ca="1">IFERROR(IF(OR(AG591=0,AG591="-",AG591="",AG591=" ",AG591=" ",T($C591)&lt;&gt;"",$C591=""),"",IF($A593&gt;0,VLOOKUP(AG591,female_reg,3,FALSE)-$C591*10,VLOOKUP(AG591,male_reg,3,FALSE)-$C591*10)),2)</f>
        <v>1</v>
      </c>
      <c r="T591" s="468"/>
      <c r="V591" s="467" t="str">
        <f t="shared" ca="1" si="321"/>
        <v>DREW MatthewC'field</v>
      </c>
      <c r="W591" s="467" t="str">
        <f t="shared" ca="1" si="321"/>
        <v>STOWELL CallumC'field</v>
      </c>
      <c r="X591" s="467" t="str">
        <f t="shared" ca="1" si="321"/>
        <v>LOWE SethC'field</v>
      </c>
      <c r="Y591" s="467" t="str">
        <f t="shared" ca="1" si="321"/>
        <v>GASKIN NathanaelC'field</v>
      </c>
      <c r="Z591" s="467">
        <f t="shared" ca="1" si="318"/>
        <v>4</v>
      </c>
      <c r="AA591" s="467">
        <f t="shared" ca="1" si="319"/>
        <v>4</v>
      </c>
      <c r="AB591" s="467">
        <f t="shared" ca="1" si="315"/>
        <v>4</v>
      </c>
      <c r="AC591" s="467">
        <f t="shared" ca="1" si="316"/>
        <v>4</v>
      </c>
      <c r="AD591" s="456" t="str">
        <f ca="1">IFERROR(HLOOKUP($C591,Declarations!$D$2:$S$102,$A587,FALSE),"")</f>
        <v>DREW Matthew</v>
      </c>
      <c r="AE591" s="456" t="str">
        <f ca="1">IFERROR(HLOOKUP($C591*11,Declarations!$D$2:$S$102,$A587,FALSE),"")</f>
        <v>STOWELL Callum</v>
      </c>
      <c r="AF591" s="457" t="str">
        <f ca="1">IFERROR(HLOOKUP($C591,Declarations!$D$2:$S$102,$A587+1,FALSE),"")</f>
        <v>LOWE Seth</v>
      </c>
      <c r="AG591" s="456" t="str">
        <f ca="1">IFERROR(HLOOKUP($C591*11,Declarations!$D$2:$S$102,$A587+1,FALSE),"")</f>
        <v>GASKIN Nathanael</v>
      </c>
    </row>
    <row r="592" spans="1:33" x14ac:dyDescent="0.35">
      <c r="A592" s="118" t="str">
        <f>IFERROR(VLOOKUP(A585,standards,6,FALSE)+0.01,"-")</f>
        <v>-</v>
      </c>
      <c r="B592" s="477">
        <v>6</v>
      </c>
      <c r="C592" s="477" t="str">
        <f>IFERROR(IF(B592&gt;MatchDay!$U$2+MatchDay!$D$6-1,"",VLOOKUP(A585,Timetables!$A:$DK,MatchDay!$U$4+B592-MatchDay!$D$6,FALSE)),"")</f>
        <v/>
      </c>
      <c r="D592" s="467" t="str">
        <f t="shared" si="322"/>
        <v/>
      </c>
      <c r="F592" s="467"/>
      <c r="I592" s="482"/>
      <c r="K592" s="467" t="str">
        <f t="shared" si="320"/>
        <v/>
      </c>
      <c r="M592" s="467"/>
      <c r="P592" s="468" t="str">
        <f>IFERROR(IF(OR(AD592=0,AD592="-",AD592="",AD592=" ",AD592=" ",T($C592)&lt;&gt;"",$C592=""),"",IF($A593&gt;0,VLOOKUP(AD592,female_reg,3,FALSE)-$C592*10,VLOOKUP(AD592,male_reg,3,FALSE)-$C592*10)),2)</f>
        <v/>
      </c>
      <c r="Q592" s="468" t="str">
        <f>IFERROR(IF(OR(AE592=0,AE592="-",AE592="",AE592=" ",AE592=" ",T($C592)&lt;&gt;"",$C592=""),"",IF($A593&gt;0,VLOOKUP(AE592,female_reg,3,FALSE)-$C592*10,VLOOKUP(AE592,male_reg,3,FALSE)-$C592*10)),2)</f>
        <v/>
      </c>
      <c r="R592" s="468" t="str">
        <f>IFERROR(IF(OR(AF592=0,AF592="-",AF592="",AF592=" ",AF592=" ",T($C592)&lt;&gt;"",$C592=""),"",IF($A593&gt;0,VLOOKUP(AF592,female_reg,3,FALSE)-$C592*10,VLOOKUP(AF592,male_reg,3,FALSE)-$C592*10)),2)</f>
        <v/>
      </c>
      <c r="S592" s="468" t="str">
        <f>IFERROR(IF(OR(AG592=0,AG592="-",AG592="",AG592=" ",AG592=" ",T($C592)&lt;&gt;"",$C592=""),"",IF($A593&gt;0,VLOOKUP(AG592,female_reg,3,FALSE)-$C592*10,VLOOKUP(AG592,male_reg,3,FALSE)-$C592*10)),2)</f>
        <v/>
      </c>
      <c r="T592" s="468"/>
      <c r="V592" s="467" t="str">
        <f t="shared" si="321"/>
        <v>X</v>
      </c>
      <c r="W592" s="467" t="str">
        <f t="shared" si="321"/>
        <v>X</v>
      </c>
      <c r="X592" s="467" t="str">
        <f t="shared" si="321"/>
        <v>X</v>
      </c>
      <c r="Y592" s="467" t="str">
        <f t="shared" si="321"/>
        <v>X</v>
      </c>
      <c r="Z592" s="467">
        <f t="shared" si="318"/>
        <v>0</v>
      </c>
      <c r="AA592" s="467">
        <f t="shared" si="319"/>
        <v>0</v>
      </c>
      <c r="AB592" s="467">
        <f t="shared" si="315"/>
        <v>0</v>
      </c>
      <c r="AC592" s="467">
        <f t="shared" si="316"/>
        <v>0</v>
      </c>
      <c r="AD592" s="456" t="str">
        <f>IFERROR(HLOOKUP($C592,Declarations!$D$2:$S$102,$A587,FALSE),"")</f>
        <v/>
      </c>
      <c r="AE592" s="456" t="str">
        <f>IFERROR(HLOOKUP($C592*11,Declarations!$D$2:$S$102,$A587,FALSE),"")</f>
        <v/>
      </c>
      <c r="AF592" s="457" t="str">
        <f>IFERROR(HLOOKUP($C592,Declarations!$D$2:$S$102,$A587+1,FALSE),"")</f>
        <v/>
      </c>
      <c r="AG592" s="456" t="str">
        <f>IFERROR(HLOOKUP($C592*11,Declarations!$D$2:$S$102,$A587+1,FALSE),"")</f>
        <v/>
      </c>
    </row>
    <row r="593" spans="1:33" x14ac:dyDescent="0.35">
      <c r="A593" s="479">
        <f>IFERROR(SEARCH("Girls",B585),0)</f>
        <v>0</v>
      </c>
      <c r="B593" s="477">
        <v>7</v>
      </c>
      <c r="C593" s="477" t="str">
        <f>IFERROR(IF(B593&gt;MatchDay!$U$2+MatchDay!$D$6-1,"",VLOOKUP(A585,Timetables!$A:$DK,MatchDay!$U$4+B593-MatchDay!$D$6,FALSE)),"")</f>
        <v/>
      </c>
      <c r="D593" s="467" t="str">
        <f t="shared" si="322"/>
        <v/>
      </c>
      <c r="F593" s="467"/>
      <c r="I593" s="482"/>
      <c r="K593" s="467" t="str">
        <f t="shared" si="320"/>
        <v/>
      </c>
      <c r="M593" s="467"/>
      <c r="P593" s="468" t="str">
        <f>IFERROR(IF(OR(AD593=0,AD593="-",AD593="",AD593=" ",AD593=" ",T($C593)&lt;&gt;"",$C593=""),"",IF($A593&gt;0,VLOOKUP(AD593,female_reg,3,FALSE)-$C593*10,VLOOKUP(AD593,male_reg,3,FALSE)-$C593*10)),2)</f>
        <v/>
      </c>
      <c r="Q593" s="468" t="str">
        <f>IFERROR(IF(OR(AE593=0,AE593="-",AE593="",AE593=" ",AE593=" ",T($C593)&lt;&gt;"",$C593=""),"",IF($A593&gt;0,VLOOKUP(AE593,female_reg,3,FALSE)-$C593*10,VLOOKUP(AE593,male_reg,3,FALSE)-$C593*10)),2)</f>
        <v/>
      </c>
      <c r="R593" s="468" t="str">
        <f>IFERROR(IF(OR(AF593=0,AF593="-",AF593="",AF593=" ",AF593=" ",T($C593)&lt;&gt;"",$C593=""),"",IF($A593&gt;0,VLOOKUP(AF593,female_reg,3,FALSE)-$C593*10,VLOOKUP(AF593,male_reg,3,FALSE)-$C593*10)),2)</f>
        <v/>
      </c>
      <c r="S593" s="468" t="str">
        <f>IFERROR(IF(OR(AG593=0,AG593="-",AG593="",AG593=" ",AG593=" ",T($C593)&lt;&gt;"",$C593=""),"",IF($A593&gt;0,VLOOKUP(AG593,female_reg,3,FALSE)-$C593*10,VLOOKUP(AG593,male_reg,3,FALSE)-$C593*10)),2)</f>
        <v/>
      </c>
      <c r="T593" s="468"/>
      <c r="V593" s="467" t="str">
        <f t="shared" si="321"/>
        <v>X</v>
      </c>
      <c r="W593" s="467" t="str">
        <f t="shared" si="321"/>
        <v>X</v>
      </c>
      <c r="X593" s="467" t="str">
        <f t="shared" si="321"/>
        <v>X</v>
      </c>
      <c r="Y593" s="467" t="str">
        <f t="shared" si="321"/>
        <v>X</v>
      </c>
      <c r="Z593" s="467">
        <f t="shared" si="318"/>
        <v>0</v>
      </c>
      <c r="AA593" s="467">
        <f t="shared" si="319"/>
        <v>0</v>
      </c>
      <c r="AB593" s="467">
        <f t="shared" si="315"/>
        <v>0</v>
      </c>
      <c r="AC593" s="467">
        <f t="shared" si="316"/>
        <v>0</v>
      </c>
      <c r="AD593" s="456" t="str">
        <f>IFERROR(HLOOKUP($C593,Declarations!$D$2:$S$102,$A587,FALSE),"")</f>
        <v/>
      </c>
      <c r="AE593" s="456" t="str">
        <f>IFERROR(HLOOKUP($C593*11,Declarations!$D$2:$S$102,$A587,FALSE),"")</f>
        <v/>
      </c>
      <c r="AF593" s="457" t="str">
        <f>IFERROR(HLOOKUP($C593,Declarations!$D$2:$S$102,$A587+1,FALSE),"")</f>
        <v/>
      </c>
      <c r="AG593" s="456" t="str">
        <f>IFERROR(HLOOKUP($C593*11,Declarations!$D$2:$S$102,$A587+1,FALSE),"")</f>
        <v/>
      </c>
    </row>
    <row r="594" spans="1:33" x14ac:dyDescent="0.35">
      <c r="A594" s="116">
        <f>IFERROR(VLOOKUP(A585,records,5,FALSE),"")</f>
        <v>50.3</v>
      </c>
      <c r="B594" s="477">
        <v>8</v>
      </c>
      <c r="C594" s="477" t="str">
        <f>IFERROR(IF(B594&gt;MatchDay!$U$2+MatchDay!$D$6-1,"",VLOOKUP(A585,Timetables!$A:$DK,MatchDay!$U$4+B594-MatchDay!$D$6,FALSE)),"")</f>
        <v/>
      </c>
      <c r="D594" s="467" t="str">
        <f t="shared" si="322"/>
        <v/>
      </c>
      <c r="F594" s="467"/>
      <c r="I594" s="482"/>
      <c r="K594" s="467" t="str">
        <f t="shared" si="320"/>
        <v/>
      </c>
      <c r="M594" s="467"/>
      <c r="P594" s="468" t="str">
        <f>IFERROR(IF(OR(AD594=0,AD594="-",AD594="",AD594=" ",AD594=" ",T($C594)&lt;&gt;"",$C594=""),"",IF($A593&gt;0,VLOOKUP(AD594,female_reg,3,FALSE)-$C594*10,VLOOKUP(AD594,male_reg,3,FALSE)-$C594*10)),2)</f>
        <v/>
      </c>
      <c r="Q594" s="468" t="str">
        <f>IFERROR(IF(OR(AE594=0,AE594="-",AE594="",AE594=" ",AE594=" ",T($C594)&lt;&gt;"",$C594=""),"",IF($A593&gt;0,VLOOKUP(AE594,female_reg,3,FALSE)-$C594*10,VLOOKUP(AE594,male_reg,3,FALSE)-$C594*10)),2)</f>
        <v/>
      </c>
      <c r="R594" s="468" t="str">
        <f>IFERROR(IF(OR(AF594=0,AF594="-",AF594="",AF594=" ",AF594=" ",T($C594)&lt;&gt;"",$C594=""),"",IF($A593&gt;0,VLOOKUP(AF594,female_reg,3,FALSE)-$C594*10,VLOOKUP(AF594,male_reg,3,FALSE)-$C594*10)),2)</f>
        <v/>
      </c>
      <c r="S594" s="468" t="str">
        <f>IFERROR(IF(OR(AG594=0,AG594="-",AG594="",AG594=" ",AG594=" ",T($C594)&lt;&gt;"",$C594=""),"",IF($A593&gt;0,VLOOKUP(AG594,female_reg,3,FALSE)-$C594*10,VLOOKUP(AG594,male_reg,3,FALSE)-$C594*10)),2)</f>
        <v/>
      </c>
      <c r="T594" s="468"/>
      <c r="V594" s="467" t="str">
        <f t="shared" si="321"/>
        <v>X</v>
      </c>
      <c r="W594" s="467" t="str">
        <f t="shared" si="321"/>
        <v>X</v>
      </c>
      <c r="X594" s="467" t="str">
        <f t="shared" si="321"/>
        <v>X</v>
      </c>
      <c r="Y594" s="467" t="str">
        <f t="shared" si="321"/>
        <v>X</v>
      </c>
      <c r="Z594" s="467">
        <f t="shared" si="318"/>
        <v>0</v>
      </c>
      <c r="AA594" s="467">
        <f t="shared" si="319"/>
        <v>0</v>
      </c>
      <c r="AB594" s="467">
        <f t="shared" si="315"/>
        <v>0</v>
      </c>
      <c r="AC594" s="467">
        <f t="shared" si="316"/>
        <v>0</v>
      </c>
      <c r="AD594" s="456" t="str">
        <f>IFERROR(HLOOKUP($C594,Declarations!$D$2:$S$102,$A587,FALSE),"")</f>
        <v/>
      </c>
      <c r="AE594" s="456" t="str">
        <f>IFERROR(HLOOKUP($C594*11,Declarations!$D$2:$S$102,$A587,FALSE),"")</f>
        <v/>
      </c>
      <c r="AF594" s="457" t="str">
        <f>IFERROR(HLOOKUP($C594,Declarations!$D$2:$S$102,$A587+1,FALSE),"")</f>
        <v/>
      </c>
      <c r="AG594" s="456" t="str">
        <f>IFERROR(HLOOKUP($C594*11,Declarations!$D$2:$S$102,$A587+1,FALSE),"")</f>
        <v/>
      </c>
    </row>
    <row r="595" spans="1:33" x14ac:dyDescent="0.35">
      <c r="P595" s="468" t="str">
        <f>IFERROR(IF(OR(AD595=0,AD595="-",AD595="",AD595=" ",AD595=" ",T($C595)&lt;&gt;"",$C595=""),"",IF($A593&gt;0,VLOOKUP(AD595,female_reg,3,FALSE)-$C595*10,VLOOKUP(AD595,male_reg,3,FALSE)-$C595*10)),2)</f>
        <v/>
      </c>
      <c r="Q595" s="468" t="str">
        <f>IFERROR(IF(OR(AE595=0,AE595="-",AE595="",AE595=" ",AE595=" ",T($C595)&lt;&gt;"",$C595=""),"",IF($A593&gt;0,VLOOKUP(AE595,female_reg,3,FALSE)-$C595*10,VLOOKUP(AE595,male_reg,3,FALSE)-$C595*10)),2)</f>
        <v/>
      </c>
      <c r="R595" s="468" t="str">
        <f>IFERROR(IF(OR(AF595=0,AF595="-",AF595="",AF595=" ",AF595=" ",T($C595)&lt;&gt;"",$C595=""),"",IF($A593&gt;0,VLOOKUP(AF595,female_reg,3,FALSE)-$C595*10,VLOOKUP(AF595,male_reg,3,FALSE)-$C595*10)),2)</f>
        <v/>
      </c>
      <c r="S595" s="468" t="str">
        <f>IFERROR(IF(OR(AG595=0,AG595="-",AG595="",AG595=" ",AG595=" ",T($C595)&lt;&gt;"",$C595=""),"",IF($A593&gt;0,VLOOKUP(AG595,female_reg,3,FALSE)-$C595*10,VLOOKUP(AG595,male_reg,3,FALSE)-$C595*10)),2)</f>
        <v/>
      </c>
      <c r="T595" s="468"/>
      <c r="Z595" s="467">
        <f t="shared" ca="1" si="318"/>
        <v>0</v>
      </c>
      <c r="AA595" s="467">
        <f t="shared" ca="1" si="319"/>
        <v>0</v>
      </c>
      <c r="AB595" s="467">
        <f t="shared" ca="1" si="315"/>
        <v>0</v>
      </c>
      <c r="AC595" s="467">
        <f t="shared" ca="1" si="316"/>
        <v>0</v>
      </c>
    </row>
    <row r="596" spans="1:33" x14ac:dyDescent="0.35">
      <c r="A596" s="111" t="str">
        <f>IFERROR("L"&amp;A597,"")</f>
        <v>LTR3</v>
      </c>
      <c r="B596" s="469" t="str">
        <f>IFERROR(VLOOKUP(A596,timetables,2,FALSE)&amp;" "&amp;VLOOKUP(A596,timetables,3,FALSE),"")</f>
        <v>4 x 100m U15 Girls</v>
      </c>
      <c r="C596" s="469"/>
      <c r="E596" s="470" t="str">
        <f>"Starts "&amp;TEXT(VLOOKUP(A596,timetables,7-MatchDay!$U$7,FALSE),"hh:mm")</f>
        <v>Starts 16:10</v>
      </c>
      <c r="F596" s="471"/>
      <c r="H596" s="472" t="str">
        <f>IFERROR("Rec: "&amp;TEXT(VLOOKUP(A596,records,5,FALSE),"#0.00")&amp;"s, "&amp;VLOOKUP(A596,records,4,FALSE)&amp;", "&amp;VLOOKUP(A596,records,8,FALSE),"")</f>
        <v>Rec: 48.61s, Enfield &amp; Haringey AC, 2015</v>
      </c>
      <c r="K596" s="473"/>
      <c r="L596" s="474"/>
      <c r="M596" s="467"/>
      <c r="P596" s="468" t="str">
        <f>IFERROR(IF(OR(AD596=0,AD596="-",AD596="",AD596=" ",AD596=" ",T($C596)&lt;&gt;"",$C596=""),"",IF($A593&gt;0,VLOOKUP(AD596,female_reg,3,FALSE)-$C596*10,VLOOKUP(AD596,male_reg,3,FALSE)-$C596*10)),2)</f>
        <v/>
      </c>
      <c r="Q596" s="468" t="str">
        <f>IFERROR(IF(OR(AE596=0,AE596="-",AE596="",AE596=" ",AE596=" ",T($C596)&lt;&gt;"",$C596=""),"",IF($A593&gt;0,VLOOKUP(AE596,female_reg,3,FALSE)-$C596*10,VLOOKUP(AE596,male_reg,3,FALSE)-$C596*10)),2)</f>
        <v/>
      </c>
      <c r="R596" s="468" t="str">
        <f>IFERROR(IF(OR(AF596=0,AF596="-",AF596="",AF596=" ",AF596=" ",T($C596)&lt;&gt;"",$C596=""),"",IF($A593&gt;0,VLOOKUP(AF596,female_reg,3,FALSE)-$C596*10,VLOOKUP(AF596,male_reg,3,FALSE)-$C596*10)),2)</f>
        <v/>
      </c>
      <c r="S596" s="468" t="str">
        <f>IFERROR(IF(OR(AG596=0,AG596="-",AG596="",AG596=" ",AG596=" ",T($C596)&lt;&gt;"",$C596=""),"",IF($A593&gt;0,VLOOKUP(AG596,female_reg,3,FALSE)-$C596*10,VLOOKUP(AG596,male_reg,3,FALSE)-$C596*10)),2)</f>
        <v/>
      </c>
      <c r="T596" s="468"/>
      <c r="Z596" s="467">
        <f t="shared" ca="1" si="318"/>
        <v>0</v>
      </c>
      <c r="AA596" s="467">
        <f t="shared" ca="1" si="319"/>
        <v>0</v>
      </c>
      <c r="AB596" s="467">
        <f t="shared" ca="1" si="315"/>
        <v>0</v>
      </c>
      <c r="AC596" s="467">
        <f t="shared" ca="1" si="316"/>
        <v>0</v>
      </c>
    </row>
    <row r="597" spans="1:33" x14ac:dyDescent="0.35">
      <c r="A597" s="85" t="s">
        <v>502</v>
      </c>
      <c r="B597" s="9" t="s">
        <v>786</v>
      </c>
      <c r="C597" s="9" t="s">
        <v>183</v>
      </c>
      <c r="D597" s="46" t="s">
        <v>1263</v>
      </c>
      <c r="E597" s="46"/>
      <c r="F597" s="46"/>
      <c r="G597" s="46"/>
      <c r="H597" s="46"/>
      <c r="I597" s="9"/>
      <c r="J597" s="478"/>
      <c r="L597" s="466">
        <f>IFERROR(SEARCH("NS",B596),0)</f>
        <v>0</v>
      </c>
      <c r="M597" s="467"/>
      <c r="O597" s="476"/>
      <c r="P597" s="468" t="str">
        <f>IFERROR(IF(OR(AD597=0,AD597="-",AD597="",AD597=" ",AD597=" ",T($C597)&lt;&gt;"",$C597=""),"",IF($A593&gt;0,VLOOKUP(AD597,female_reg,3,FALSE)-$C597*10,VLOOKUP(AD597,male_reg,3,FALSE)-$C597*10)),2)</f>
        <v/>
      </c>
      <c r="Q597" s="468" t="str">
        <f>IFERROR(IF(OR(AE597=0,AE597="-",AE597="",AE597=" ",AE597=" ",T($C597)&lt;&gt;"",$C597=""),"",IF($A593&gt;0,VLOOKUP(AE597,female_reg,3,FALSE)-$C597*10,VLOOKUP(AE597,male_reg,3,FALSE)-$C597*10)),2)</f>
        <v/>
      </c>
      <c r="R597" s="468" t="str">
        <f>IFERROR(IF(OR(AF597=0,AF597="-",AF597="",AF597=" ",AF597=" ",T($C597)&lt;&gt;"",$C597=""),"",IF($A593&gt;0,VLOOKUP(AF597,female_reg,3,FALSE)-$C597*10,VLOOKUP(AF597,male_reg,3,FALSE)-$C597*10)),2)</f>
        <v/>
      </c>
      <c r="S597" s="468" t="str">
        <f>IFERROR(IF(OR(AG597=0,AG597="-",AG597="",AG597=" ",AG597=" ",T($C597)&lt;&gt;"",$C597=""),"",IF($A593&gt;0,VLOOKUP(AG597,female_reg,3,FALSE)-$C597*10,VLOOKUP(AG597,male_reg,3,FALSE)-$C597*10)),2)</f>
        <v/>
      </c>
      <c r="T597" s="468"/>
      <c r="Z597" s="467">
        <f t="shared" ca="1" si="318"/>
        <v>0</v>
      </c>
      <c r="AA597" s="467">
        <f t="shared" ca="1" si="319"/>
        <v>0</v>
      </c>
      <c r="AB597" s="467">
        <f t="shared" ca="1" si="315"/>
        <v>0</v>
      </c>
      <c r="AC597" s="467">
        <f t="shared" ca="1" si="316"/>
        <v>0</v>
      </c>
    </row>
    <row r="598" spans="1:33" x14ac:dyDescent="0.35">
      <c r="A598" s="181">
        <f>IFERROR(VLOOKUP(A596,Timetables!$A:$E,5,FALSE)-1,"")</f>
        <v>22</v>
      </c>
      <c r="B598" s="477">
        <v>1</v>
      </c>
      <c r="C598" s="477">
        <f>IFERROR(IF(B598&gt;MatchDay!$U$2,"",IF(MatchDay!$D$6=2,"",VLOOKUP(A596,Timetables!$A:$DK,MatchDay!$U$4+B598-MatchDay!$D$6,FALSE))),"")</f>
        <v>5</v>
      </c>
      <c r="D598" s="467" t="str">
        <f ca="1">IFERROR(IF(OR(AD598=0,AD598=""),"",AD598&amp;", "&amp;AE598&amp;", "&amp;AF598&amp;", "&amp;AG598),"")</f>
        <v>VICKERS Cerys, WRIGHT Lucy, WHITTAKER Millie, BETTS Demi</v>
      </c>
      <c r="F598" s="467"/>
      <c r="I598" s="482"/>
      <c r="K598" s="467" t="str">
        <f t="shared" ref="K598:K605" si="323">IFERROR(VLOOKUP(C598,teamlookup,5,FALSE),"")</f>
        <v>Scun</v>
      </c>
      <c r="M598" s="467"/>
      <c r="P598" s="468">
        <f ca="1">IFERROR(IF(OR(AD598=0,AD598="-",AD598="",AD598=" ",AD598=" ",T($C598)&lt;&gt;"",$C598=""),"",IF($A604&gt;0,VLOOKUP(AD598,female_reg,3,FALSE)-$C598*10,VLOOKUP(AD598,male_reg,3,FALSE)-$C598*10)),2)</f>
        <v>1</v>
      </c>
      <c r="Q598" s="468">
        <f ca="1">IFERROR(IF(OR(AE598=0,AE598="-",AE598="",AE598=" ",AE598=" ",T($C598)&lt;&gt;"",$C598=""),"",IF($A604&gt;0,VLOOKUP(AE598,female_reg,3,FALSE)-$C598*10,VLOOKUP(AE598,male_reg,3,FALSE)-$C598*10)),2)</f>
        <v>1</v>
      </c>
      <c r="R598" s="468">
        <f ca="1">IFERROR(IF(OR(AF598=0,AF598="-",AF598="",AF598=" ",AF598=" ",T($C598)&lt;&gt;"",$C598=""),"",IF($A604&gt;0,VLOOKUP(AF598,female_reg,3,FALSE)-$C598*10,VLOOKUP(AF598,male_reg,3,FALSE)-$C598*10)),2)</f>
        <v>1</v>
      </c>
      <c r="S598" s="468">
        <f ca="1">IFERROR(IF(OR(AG598=0,AG598="-",AG598="",AG598=" ",AG598=" ",T($C598)&lt;&gt;"",$C598=""),"",IF($A604&gt;0,VLOOKUP(AG598,female_reg,3,FALSE)-$C598*10,VLOOKUP(AG598,male_reg,3,FALSE)-$C598*10)),2)</f>
        <v>1</v>
      </c>
      <c r="T598" s="468"/>
      <c r="V598" s="467" t="str">
        <f t="shared" ref="V598:Y605" ca="1" si="324">IFERROR(IF(OR(AD598=0,AD598=""),"X",AD598&amp;VLOOKUP($C598,teamlookup,5,FALSE)),"X")</f>
        <v>VICKERS CerysScun</v>
      </c>
      <c r="W598" s="467" t="str">
        <f t="shared" ca="1" si="324"/>
        <v>WRIGHT LucyScun</v>
      </c>
      <c r="X598" s="467" t="str">
        <f t="shared" ca="1" si="324"/>
        <v>WHITTAKER MillieScun</v>
      </c>
      <c r="Y598" s="467" t="str">
        <f t="shared" ca="1" si="324"/>
        <v>BETTS DemiScun</v>
      </c>
      <c r="Z598" s="467">
        <f t="shared" ca="1" si="318"/>
        <v>3</v>
      </c>
      <c r="AA598" s="467">
        <f t="shared" ca="1" si="319"/>
        <v>3</v>
      </c>
      <c r="AB598" s="467">
        <f t="shared" ca="1" si="315"/>
        <v>3</v>
      </c>
      <c r="AC598" s="467">
        <f t="shared" ca="1" si="316"/>
        <v>4</v>
      </c>
      <c r="AD598" s="456" t="str">
        <f ca="1">IFERROR(HLOOKUP($C598,Declarations!$D$2:$S$102,$A598,FALSE),"")</f>
        <v>VICKERS Cerys</v>
      </c>
      <c r="AE598" s="456" t="str">
        <f ca="1">IFERROR(HLOOKUP($C598*11,Declarations!$D$2:$S$102,$A598,FALSE),"")</f>
        <v>WRIGHT Lucy</v>
      </c>
      <c r="AF598" s="457" t="str">
        <f ca="1">IFERROR(HLOOKUP($C598,Declarations!$D$2:$S$102,$A598+1,FALSE),"")</f>
        <v>WHITTAKER Millie</v>
      </c>
      <c r="AG598" s="456" t="str">
        <f ca="1">IFERROR(HLOOKUP($C598*11,Declarations!$D$2:$S$102,$A598+1,FALSE),"")</f>
        <v>BETTS Demi</v>
      </c>
    </row>
    <row r="599" spans="1:33" x14ac:dyDescent="0.35">
      <c r="A599" s="468">
        <v>35</v>
      </c>
      <c r="B599" s="477">
        <v>2</v>
      </c>
      <c r="C599" s="477">
        <f>IFERROR(IF(B599&gt;MatchDay!$U$2+MatchDay!$D$6-1,"",VLOOKUP(A596,Timetables!$A:$DK,MatchDay!$U$4+B599-MatchDay!$D$6,FALSE)),"")</f>
        <v>4</v>
      </c>
      <c r="D599" s="467" t="str">
        <f t="shared" ref="D599:D605" ca="1" si="325">IFERROR(IF(OR(AD599=0,AD599=""),"",AD599&amp;", "&amp;AE599&amp;", "&amp;AF599&amp;", "&amp;AG599),"")</f>
        <v>OKEY Busonma, ROBSON Daisy, PYE Naiomi, WYATT Martha</v>
      </c>
      <c r="F599" s="467"/>
      <c r="I599" s="482"/>
      <c r="K599" s="467" t="str">
        <f t="shared" si="323"/>
        <v>M'bro</v>
      </c>
      <c r="M599" s="467"/>
      <c r="P599" s="468">
        <f ca="1">IFERROR(IF(OR(AD599=0,AD599="-",AD599="",AD599=" ",AD599=" ",T($C599)&lt;&gt;"",$C599=""),"",IF($A604&gt;0,VLOOKUP(AD599,female_reg,3,FALSE)-$C599*10,VLOOKUP(AD599,male_reg,3,FALSE)-$C599*10)),2)</f>
        <v>1</v>
      </c>
      <c r="Q599" s="468">
        <f ca="1">IFERROR(IF(OR(AE599=0,AE599="-",AE599="",AE599=" ",AE599=" ",T($C599)&lt;&gt;"",$C599=""),"",IF($A604&gt;0,VLOOKUP(AE599,female_reg,3,FALSE)-$C599*10,VLOOKUP(AE599,male_reg,3,FALSE)-$C599*10)),2)</f>
        <v>1</v>
      </c>
      <c r="R599" s="468">
        <f ca="1">IFERROR(IF(OR(AF599=0,AF599="-",AF599="",AF599=" ",AF599=" ",T($C599)&lt;&gt;"",$C599=""),"",IF($A604&gt;0,VLOOKUP(AF599,female_reg,3,FALSE)-$C599*10,VLOOKUP(AF599,male_reg,3,FALSE)-$C599*10)),2)</f>
        <v>1</v>
      </c>
      <c r="S599" s="468">
        <f ca="1">IFERROR(IF(OR(AG599=0,AG599="-",AG599="",AG599=" ",AG599=" ",T($C599)&lt;&gt;"",$C599=""),"",IF($A604&gt;0,VLOOKUP(AG599,female_reg,3,FALSE)-$C599*10,VLOOKUP(AG599,male_reg,3,FALSE)-$C599*10)),2)</f>
        <v>1</v>
      </c>
      <c r="T599" s="468"/>
      <c r="V599" s="467" t="str">
        <f t="shared" ca="1" si="324"/>
        <v>OKEY BusonmaM'bro</v>
      </c>
      <c r="W599" s="467" t="str">
        <f t="shared" ca="1" si="324"/>
        <v>ROBSON DaisyM'bro</v>
      </c>
      <c r="X599" s="467" t="str">
        <f t="shared" ca="1" si="324"/>
        <v>PYE NaiomiM'bro</v>
      </c>
      <c r="Y599" s="467" t="str">
        <f t="shared" ca="1" si="324"/>
        <v>WYATT MarthaM'bro</v>
      </c>
      <c r="Z599" s="467">
        <f t="shared" ca="1" si="318"/>
        <v>2</v>
      </c>
      <c r="AA599" s="467">
        <f t="shared" ca="1" si="319"/>
        <v>2</v>
      </c>
      <c r="AB599" s="467">
        <f t="shared" ca="1" si="315"/>
        <v>3</v>
      </c>
      <c r="AC599" s="467">
        <f t="shared" ca="1" si="316"/>
        <v>2</v>
      </c>
      <c r="AD599" s="456" t="str">
        <f ca="1">IFERROR(HLOOKUP($C599,Declarations!$D$2:$S$102,$A598,FALSE),"")</f>
        <v>OKEY Busonma</v>
      </c>
      <c r="AE599" s="456" t="str">
        <f ca="1">IFERROR(HLOOKUP($C599*11,Declarations!$D$2:$S$102,$A598,FALSE),"")</f>
        <v>ROBSON Daisy</v>
      </c>
      <c r="AF599" s="457" t="str">
        <f ca="1">IFERROR(HLOOKUP($C599,Declarations!$D$2:$S$102,$A598+1,FALSE),"")</f>
        <v>PYE Naiomi</v>
      </c>
      <c r="AG599" s="456" t="str">
        <f ca="1">IFERROR(HLOOKUP($C599*11,Declarations!$D$2:$S$102,$A598+1,FALSE),"")</f>
        <v>WYATT Martha</v>
      </c>
    </row>
    <row r="600" spans="1:33" x14ac:dyDescent="0.35">
      <c r="A600" s="118" t="str">
        <f>IFERROR(VLOOKUP(A596,standards,3,FALSE)+0.01,"-")</f>
        <v>-</v>
      </c>
      <c r="B600" s="477">
        <v>3</v>
      </c>
      <c r="C600" s="477">
        <f>IFERROR(IF(B600&gt;MatchDay!$U$2+MatchDay!$D$6-1,"",VLOOKUP(A596,Timetables!$A:$DK,MatchDay!$U$4+B600-MatchDay!$D$6,FALSE)),"")</f>
        <v>2</v>
      </c>
      <c r="D600" s="467" t="str">
        <f t="shared" ca="1" si="325"/>
        <v>PADDON Olivia, PADDON Freya, ADEBAYO Daphney, JELONKIEWICZ Viktoria</v>
      </c>
      <c r="F600" s="467"/>
      <c r="I600" s="482"/>
      <c r="K600" s="467" t="str">
        <f t="shared" si="323"/>
        <v>Sheff+D</v>
      </c>
      <c r="M600" s="467"/>
      <c r="P600" s="468">
        <f ca="1">IFERROR(IF(OR(AD600=0,AD600="-",AD600="",AD600=" ",AD600=" ",T($C600)&lt;&gt;"",$C600=""),"",IF($A604&gt;0,VLOOKUP(AD600,female_reg,3,FALSE)-$C600*10,VLOOKUP(AD600,male_reg,3,FALSE)-$C600*10)),2)</f>
        <v>1</v>
      </c>
      <c r="Q600" s="468">
        <f ca="1">IFERROR(IF(OR(AE600=0,AE600="-",AE600="",AE600=" ",AE600=" ",T($C600)&lt;&gt;"",$C600=""),"",IF($A604&gt;0,VLOOKUP(AE600,female_reg,3,FALSE)-$C600*10,VLOOKUP(AE600,male_reg,3,FALSE)-$C600*10)),2)</f>
        <v>1</v>
      </c>
      <c r="R600" s="468">
        <f ca="1">IFERROR(IF(OR(AF600=0,AF600="-",AF600="",AF600=" ",AF600=" ",T($C600)&lt;&gt;"",$C600=""),"",IF($A604&gt;0,VLOOKUP(AF600,female_reg,3,FALSE)-$C600*10,VLOOKUP(AF600,male_reg,3,FALSE)-$C600*10)),2)</f>
        <v>1</v>
      </c>
      <c r="S600" s="468">
        <f ca="1">IFERROR(IF(OR(AG600=0,AG600="-",AG600="",AG600=" ",AG600=" ",T($C600)&lt;&gt;"",$C600=""),"",IF($A604&gt;0,VLOOKUP(AG600,female_reg,3,FALSE)-$C600*10,VLOOKUP(AG600,male_reg,3,FALSE)-$C600*10)),2)</f>
        <v>1</v>
      </c>
      <c r="T600" s="468"/>
      <c r="V600" s="467" t="str">
        <f t="shared" ca="1" si="324"/>
        <v>PADDON OliviaSheff+D</v>
      </c>
      <c r="W600" s="467" t="str">
        <f t="shared" ca="1" si="324"/>
        <v>PADDON FreyaSheff+D</v>
      </c>
      <c r="X600" s="467" t="str">
        <f t="shared" ca="1" si="324"/>
        <v>ADEBAYO DaphneySheff+D</v>
      </c>
      <c r="Y600" s="467" t="str">
        <f t="shared" ca="1" si="324"/>
        <v>JELONKIEWICZ ViktoriaSheff+D</v>
      </c>
      <c r="Z600" s="467">
        <f t="shared" ca="1" si="318"/>
        <v>4</v>
      </c>
      <c r="AA600" s="467">
        <f t="shared" ca="1" si="319"/>
        <v>4</v>
      </c>
      <c r="AB600" s="467">
        <f t="shared" ca="1" si="315"/>
        <v>4</v>
      </c>
      <c r="AC600" s="467">
        <f t="shared" ca="1" si="316"/>
        <v>3</v>
      </c>
      <c r="AD600" s="456" t="str">
        <f ca="1">IFERROR(HLOOKUP($C600,Declarations!$D$2:$S$102,$A598,FALSE),"")</f>
        <v>PADDON Olivia</v>
      </c>
      <c r="AE600" s="456" t="str">
        <f ca="1">IFERROR(HLOOKUP($C600*11,Declarations!$D$2:$S$102,$A598,FALSE),"")</f>
        <v>PADDON Freya</v>
      </c>
      <c r="AF600" s="457" t="str">
        <f ca="1">IFERROR(HLOOKUP($C600,Declarations!$D$2:$S$102,$A598+1,FALSE),"")</f>
        <v>ADEBAYO Daphney</v>
      </c>
      <c r="AG600" s="456" t="str">
        <f ca="1">IFERROR(HLOOKUP($C600*11,Declarations!$D$2:$S$102,$A598+1,FALSE),"")</f>
        <v>JELONKIEWICZ Viktoria</v>
      </c>
    </row>
    <row r="601" spans="1:33" x14ac:dyDescent="0.35">
      <c r="A601" s="118" t="str">
        <f>IFERROR(VLOOKUP(A596,standards,4,FALSE)+0.01,"-")</f>
        <v>-</v>
      </c>
      <c r="B601" s="477">
        <v>4</v>
      </c>
      <c r="C601" s="477">
        <f>IFERROR(IF(B601&gt;MatchDay!$U$2+MatchDay!$D$6-1,"",VLOOKUP(A596,Timetables!$A:$DK,MatchDay!$U$4+B601-MatchDay!$D$6,FALSE)),"")</f>
        <v>3</v>
      </c>
      <c r="D601" s="467" t="str">
        <f t="shared" ca="1" si="325"/>
        <v>HOGG Frances, MAUDE Charlotte, HASTIE Eve, HICKLING Rosie</v>
      </c>
      <c r="F601" s="467"/>
      <c r="I601" s="482"/>
      <c r="K601" s="467" t="str">
        <f t="shared" si="323"/>
        <v>York</v>
      </c>
      <c r="M601" s="467"/>
      <c r="P601" s="468">
        <f ca="1">IFERROR(IF(OR(AD601=0,AD601="-",AD601="",AD601=" ",AD601=" ",T($C601)&lt;&gt;"",$C601=""),"",IF($A604&gt;0,VLOOKUP(AD601,female_reg,3,FALSE)-$C601*10,VLOOKUP(AD601,male_reg,3,FALSE)-$C601*10)),2)</f>
        <v>1</v>
      </c>
      <c r="Q601" s="468">
        <f ca="1">IFERROR(IF(OR(AE601=0,AE601="-",AE601="",AE601=" ",AE601=" ",T($C601)&lt;&gt;"",$C601=""),"",IF($A604&gt;0,VLOOKUP(AE601,female_reg,3,FALSE)-$C601*10,VLOOKUP(AE601,male_reg,3,FALSE)-$C601*10)),2)</f>
        <v>1</v>
      </c>
      <c r="R601" s="468">
        <f ca="1">IFERROR(IF(OR(AF601=0,AF601="-",AF601="",AF601=" ",AF601=" ",T($C601)&lt;&gt;"",$C601=""),"",IF($A604&gt;0,VLOOKUP(AF601,female_reg,3,FALSE)-$C601*10,VLOOKUP(AF601,male_reg,3,FALSE)-$C601*10)),2)</f>
        <v>1</v>
      </c>
      <c r="S601" s="468">
        <f ca="1">IFERROR(IF(OR(AG601=0,AG601="-",AG601="",AG601=" ",AG601=" ",T($C601)&lt;&gt;"",$C601=""),"",IF($A604&gt;0,VLOOKUP(AG601,female_reg,3,FALSE)-$C601*10,VLOOKUP(AG601,male_reg,3,FALSE)-$C601*10)),2)</f>
        <v>1</v>
      </c>
      <c r="T601" s="468"/>
      <c r="V601" s="467" t="str">
        <f t="shared" ca="1" si="324"/>
        <v>HOGG FrancesYork</v>
      </c>
      <c r="W601" s="467" t="str">
        <f t="shared" ca="1" si="324"/>
        <v>MAUDE CharlotteYork</v>
      </c>
      <c r="X601" s="467" t="str">
        <f t="shared" ca="1" si="324"/>
        <v>HASTIE EveYork</v>
      </c>
      <c r="Y601" s="467" t="str">
        <f t="shared" ca="1" si="324"/>
        <v>HICKLING RosieYork</v>
      </c>
      <c r="Z601" s="467">
        <f t="shared" ca="1" si="318"/>
        <v>4</v>
      </c>
      <c r="AA601" s="467">
        <f t="shared" ca="1" si="319"/>
        <v>3</v>
      </c>
      <c r="AB601" s="467">
        <f t="shared" ca="1" si="315"/>
        <v>4</v>
      </c>
      <c r="AC601" s="467">
        <f t="shared" ca="1" si="316"/>
        <v>3</v>
      </c>
      <c r="AD601" s="456" t="str">
        <f ca="1">IFERROR(HLOOKUP($C601,Declarations!$D$2:$S$102,$A598,FALSE),"")</f>
        <v>HOGG Frances</v>
      </c>
      <c r="AE601" s="456" t="str">
        <f ca="1">IFERROR(HLOOKUP($C601*11,Declarations!$D$2:$S$102,$A598,FALSE),"")</f>
        <v>MAUDE Charlotte</v>
      </c>
      <c r="AF601" s="457" t="str">
        <f ca="1">IFERROR(HLOOKUP($C601,Declarations!$D$2:$S$102,$A598+1,FALSE),"")</f>
        <v>HASTIE Eve</v>
      </c>
      <c r="AG601" s="456" t="str">
        <f ca="1">IFERROR(HLOOKUP($C601*11,Declarations!$D$2:$S$102,$A598+1,FALSE),"")</f>
        <v>HICKLING Rosie</v>
      </c>
    </row>
    <row r="602" spans="1:33" x14ac:dyDescent="0.35">
      <c r="A602" s="118" t="str">
        <f>IFERROR(VLOOKUP(A596,standards,5,FALSE)+0.01,"-")</f>
        <v>-</v>
      </c>
      <c r="B602" s="477">
        <v>5</v>
      </c>
      <c r="C602" s="477">
        <f>IFERROR(IF(B602&gt;MatchDay!$U$2+MatchDay!$D$6-1,"",VLOOKUP(A596,Timetables!$A:$DK,MatchDay!$U$4+B602-MatchDay!$D$6,FALSE)),"")</f>
        <v>1</v>
      </c>
      <c r="D602" s="467" t="str">
        <f t="shared" ca="1" si="325"/>
        <v>BAINES Lily, KIRKWOOD Eva, DUNKLEY Autum, BRIDDON Missy</v>
      </c>
      <c r="F602" s="467"/>
      <c r="I602" s="482"/>
      <c r="K602" s="467" t="str">
        <f t="shared" si="323"/>
        <v>C'field</v>
      </c>
      <c r="M602" s="467"/>
      <c r="P602" s="468">
        <f ca="1">IFERROR(IF(OR(AD602=0,AD602="-",AD602="",AD602=" ",AD602=" ",T($C602)&lt;&gt;"",$C602=""),"",IF($A604&gt;0,VLOOKUP(AD602,female_reg,3,FALSE)-$C602*10,VLOOKUP(AD602,male_reg,3,FALSE)-$C602*10)),2)</f>
        <v>1</v>
      </c>
      <c r="Q602" s="468">
        <f ca="1">IFERROR(IF(OR(AE602=0,AE602="-",AE602="",AE602=" ",AE602=" ",T($C602)&lt;&gt;"",$C602=""),"",IF($A604&gt;0,VLOOKUP(AE602,female_reg,3,FALSE)-$C602*10,VLOOKUP(AE602,male_reg,3,FALSE)-$C602*10)),2)</f>
        <v>1</v>
      </c>
      <c r="R602" s="468">
        <f ca="1">IFERROR(IF(OR(AF602=0,AF602="-",AF602="",AF602=" ",AF602=" ",T($C602)&lt;&gt;"",$C602=""),"",IF($A604&gt;0,VLOOKUP(AF602,female_reg,3,FALSE)-$C602*10,VLOOKUP(AF602,male_reg,3,FALSE)-$C602*10)),2)</f>
        <v>1</v>
      </c>
      <c r="S602" s="468">
        <f ca="1">IFERROR(IF(OR(AG602=0,AG602="-",AG602="",AG602=" ",AG602=" ",T($C602)&lt;&gt;"",$C602=""),"",IF($A604&gt;0,VLOOKUP(AG602,female_reg,3,FALSE)-$C602*10,VLOOKUP(AG602,male_reg,3,FALSE)-$C602*10)),2)</f>
        <v>1</v>
      </c>
      <c r="T602" s="468"/>
      <c r="V602" s="467" t="str">
        <f t="shared" ca="1" si="324"/>
        <v>BAINES LilyC'field</v>
      </c>
      <c r="W602" s="467" t="str">
        <f t="shared" ca="1" si="324"/>
        <v>KIRKWOOD EvaC'field</v>
      </c>
      <c r="X602" s="467" t="str">
        <f t="shared" ca="1" si="324"/>
        <v>DUNKLEY AutumC'field</v>
      </c>
      <c r="Y602" s="467" t="str">
        <f t="shared" ca="1" si="324"/>
        <v>BRIDDON MissyC'field</v>
      </c>
      <c r="Z602" s="467">
        <f t="shared" ca="1" si="318"/>
        <v>4</v>
      </c>
      <c r="AA602" s="467">
        <f t="shared" ca="1" si="319"/>
        <v>4</v>
      </c>
      <c r="AB602" s="467">
        <f t="shared" ca="1" si="315"/>
        <v>3</v>
      </c>
      <c r="AC602" s="467">
        <f t="shared" ca="1" si="316"/>
        <v>4</v>
      </c>
      <c r="AD602" s="456" t="str">
        <f ca="1">IFERROR(HLOOKUP($C602,Declarations!$D$2:$S$102,$A598,FALSE),"")</f>
        <v>BAINES Lily</v>
      </c>
      <c r="AE602" s="456" t="str">
        <f ca="1">IFERROR(HLOOKUP($C602*11,Declarations!$D$2:$S$102,$A598,FALSE),"")</f>
        <v>KIRKWOOD Eva</v>
      </c>
      <c r="AF602" s="457" t="str">
        <f ca="1">IFERROR(HLOOKUP($C602,Declarations!$D$2:$S$102,$A598+1,FALSE),"")</f>
        <v>DUNKLEY Autum</v>
      </c>
      <c r="AG602" s="456" t="str">
        <f ca="1">IFERROR(HLOOKUP($C602*11,Declarations!$D$2:$S$102,$A598+1,FALSE),"")</f>
        <v>BRIDDON Missy</v>
      </c>
    </row>
    <row r="603" spans="1:33" x14ac:dyDescent="0.35">
      <c r="A603" s="118" t="str">
        <f>IFERROR(VLOOKUP(A596,standards,6,FALSE)+0.01,"-")</f>
        <v>-</v>
      </c>
      <c r="B603" s="477">
        <v>6</v>
      </c>
      <c r="C603" s="477" t="str">
        <f>IFERROR(IF(B603&gt;MatchDay!$U$2+MatchDay!$D$6-1,"",VLOOKUP(A596,Timetables!$A:$DK,MatchDay!$U$4+B603-MatchDay!$D$6,FALSE)),"")</f>
        <v/>
      </c>
      <c r="D603" s="467" t="str">
        <f t="shared" si="325"/>
        <v/>
      </c>
      <c r="F603" s="467"/>
      <c r="I603" s="482"/>
      <c r="K603" s="467" t="str">
        <f t="shared" si="323"/>
        <v/>
      </c>
      <c r="M603" s="467"/>
      <c r="P603" s="468" t="str">
        <f>IFERROR(IF(OR(AD603=0,AD603="-",AD603="",AD603=" ",AD603=" ",T($C603)&lt;&gt;"",$C603=""),"",IF($A604&gt;0,VLOOKUP(AD603,female_reg,3,FALSE)-$C603*10,VLOOKUP(AD603,male_reg,3,FALSE)-$C603*10)),2)</f>
        <v/>
      </c>
      <c r="Q603" s="468" t="str">
        <f>IFERROR(IF(OR(AE603=0,AE603="-",AE603="",AE603=" ",AE603=" ",T($C603)&lt;&gt;"",$C603=""),"",IF($A604&gt;0,VLOOKUP(AE603,female_reg,3,FALSE)-$C603*10,VLOOKUP(AE603,male_reg,3,FALSE)-$C603*10)),2)</f>
        <v/>
      </c>
      <c r="R603" s="468" t="str">
        <f>IFERROR(IF(OR(AF603=0,AF603="-",AF603="",AF603=" ",AF603=" ",T($C603)&lt;&gt;"",$C603=""),"",IF($A604&gt;0,VLOOKUP(AF603,female_reg,3,FALSE)-$C603*10,VLOOKUP(AF603,male_reg,3,FALSE)-$C603*10)),2)</f>
        <v/>
      </c>
      <c r="S603" s="468" t="str">
        <f>IFERROR(IF(OR(AG603=0,AG603="-",AG603="",AG603=" ",AG603=" ",T($C603)&lt;&gt;"",$C603=""),"",IF($A604&gt;0,VLOOKUP(AG603,female_reg,3,FALSE)-$C603*10,VLOOKUP(AG603,male_reg,3,FALSE)-$C603*10)),2)</f>
        <v/>
      </c>
      <c r="T603" s="468"/>
      <c r="V603" s="467" t="str">
        <f t="shared" si="324"/>
        <v>X</v>
      </c>
      <c r="W603" s="467" t="str">
        <f t="shared" si="324"/>
        <v>X</v>
      </c>
      <c r="X603" s="467" t="str">
        <f t="shared" si="324"/>
        <v>X</v>
      </c>
      <c r="Y603" s="467" t="str">
        <f t="shared" si="324"/>
        <v>X</v>
      </c>
      <c r="Z603" s="467">
        <f t="shared" si="318"/>
        <v>0</v>
      </c>
      <c r="AA603" s="467">
        <f t="shared" si="319"/>
        <v>0</v>
      </c>
      <c r="AB603" s="467">
        <f t="shared" si="315"/>
        <v>0</v>
      </c>
      <c r="AC603" s="467">
        <f t="shared" si="316"/>
        <v>0</v>
      </c>
      <c r="AD603" s="456" t="str">
        <f>IFERROR(HLOOKUP($C603,Declarations!$D$2:$S$102,$A598,FALSE),"")</f>
        <v/>
      </c>
      <c r="AE603" s="456" t="str">
        <f>IFERROR(HLOOKUP($C603*11,Declarations!$D$2:$S$102,$A598,FALSE),"")</f>
        <v/>
      </c>
      <c r="AF603" s="457" t="str">
        <f>IFERROR(HLOOKUP($C603,Declarations!$D$2:$S$102,$A598+1,FALSE),"")</f>
        <v/>
      </c>
      <c r="AG603" s="456" t="str">
        <f>IFERROR(HLOOKUP($C603*11,Declarations!$D$2:$S$102,$A598+1,FALSE),"")</f>
        <v/>
      </c>
    </row>
    <row r="604" spans="1:33" x14ac:dyDescent="0.35">
      <c r="A604" s="479">
        <f>IFERROR(SEARCH("Girls",B596),0)</f>
        <v>14</v>
      </c>
      <c r="B604" s="477">
        <v>7</v>
      </c>
      <c r="C604" s="477" t="str">
        <f>IFERROR(IF(B604&gt;MatchDay!$U$2+MatchDay!$D$6-1,"",VLOOKUP(A596,Timetables!$A:$DK,MatchDay!$U$4+B604-MatchDay!$D$6,FALSE)),"")</f>
        <v/>
      </c>
      <c r="D604" s="467" t="str">
        <f t="shared" si="325"/>
        <v/>
      </c>
      <c r="F604" s="467"/>
      <c r="I604" s="482"/>
      <c r="K604" s="467" t="str">
        <f t="shared" si="323"/>
        <v/>
      </c>
      <c r="M604" s="467"/>
      <c r="P604" s="468" t="str">
        <f>IFERROR(IF(OR(AD604=0,AD604="-",AD604="",AD604=" ",AD604=" ",T($C604)&lt;&gt;"",$C604=""),"",IF($A604&gt;0,VLOOKUP(AD604,female_reg,3,FALSE)-$C604*10,VLOOKUP(AD604,male_reg,3,FALSE)-$C604*10)),2)</f>
        <v/>
      </c>
      <c r="Q604" s="468" t="str">
        <f>IFERROR(IF(OR(AE604=0,AE604="-",AE604="",AE604=" ",AE604=" ",T($C604)&lt;&gt;"",$C604=""),"",IF($A604&gt;0,VLOOKUP(AE604,female_reg,3,FALSE)-$C604*10,VLOOKUP(AE604,male_reg,3,FALSE)-$C604*10)),2)</f>
        <v/>
      </c>
      <c r="R604" s="468" t="str">
        <f>IFERROR(IF(OR(AF604=0,AF604="-",AF604="",AF604=" ",AF604=" ",T($C604)&lt;&gt;"",$C604=""),"",IF($A604&gt;0,VLOOKUP(AF604,female_reg,3,FALSE)-$C604*10,VLOOKUP(AF604,male_reg,3,FALSE)-$C604*10)),2)</f>
        <v/>
      </c>
      <c r="S604" s="468" t="str">
        <f>IFERROR(IF(OR(AG604=0,AG604="-",AG604="",AG604=" ",AG604=" ",T($C604)&lt;&gt;"",$C604=""),"",IF($A604&gt;0,VLOOKUP(AG604,female_reg,3,FALSE)-$C604*10,VLOOKUP(AG604,male_reg,3,FALSE)-$C604*10)),2)</f>
        <v/>
      </c>
      <c r="T604" s="468"/>
      <c r="V604" s="467" t="str">
        <f t="shared" si="324"/>
        <v>X</v>
      </c>
      <c r="W604" s="467" t="str">
        <f t="shared" si="324"/>
        <v>X</v>
      </c>
      <c r="X604" s="467" t="str">
        <f t="shared" si="324"/>
        <v>X</v>
      </c>
      <c r="Y604" s="467" t="str">
        <f t="shared" si="324"/>
        <v>X</v>
      </c>
      <c r="Z604" s="467">
        <f t="shared" si="318"/>
        <v>0</v>
      </c>
      <c r="AA604" s="467">
        <f t="shared" si="319"/>
        <v>0</v>
      </c>
      <c r="AB604" s="467">
        <f t="shared" si="315"/>
        <v>0</v>
      </c>
      <c r="AC604" s="467">
        <f t="shared" si="316"/>
        <v>0</v>
      </c>
      <c r="AD604" s="456" t="str">
        <f>IFERROR(HLOOKUP($C604,Declarations!$D$2:$S$102,$A598,FALSE),"")</f>
        <v/>
      </c>
      <c r="AE604" s="456" t="str">
        <f>IFERROR(HLOOKUP($C604*11,Declarations!$D$2:$S$102,$A598,FALSE),"")</f>
        <v/>
      </c>
      <c r="AF604" s="457" t="str">
        <f>IFERROR(HLOOKUP($C604,Declarations!$D$2:$S$102,$A598+1,FALSE),"")</f>
        <v/>
      </c>
      <c r="AG604" s="456" t="str">
        <f>IFERROR(HLOOKUP($C604*11,Declarations!$D$2:$S$102,$A598+1,FALSE),"")</f>
        <v/>
      </c>
    </row>
    <row r="605" spans="1:33" x14ac:dyDescent="0.35">
      <c r="A605" s="116">
        <f>IFERROR(VLOOKUP(A596,records,5,FALSE),"")</f>
        <v>48.61</v>
      </c>
      <c r="B605" s="477">
        <v>8</v>
      </c>
      <c r="C605" s="477" t="str">
        <f>IFERROR(IF(B605&gt;MatchDay!$U$2+MatchDay!$D$6-1,"",VLOOKUP(A596,Timetables!$A:$DK,MatchDay!$U$4+B605-MatchDay!$D$6,FALSE)),"")</f>
        <v/>
      </c>
      <c r="D605" s="467" t="str">
        <f t="shared" si="325"/>
        <v/>
      </c>
      <c r="F605" s="467"/>
      <c r="I605" s="482"/>
      <c r="K605" s="467" t="str">
        <f t="shared" si="323"/>
        <v/>
      </c>
      <c r="M605" s="467"/>
      <c r="P605" s="468" t="str">
        <f>IFERROR(IF(OR(AD605=0,AD605="-",AD605="",AD605=" ",AD605=" ",T($C605)&lt;&gt;"",$C605=""),"",IF($A604&gt;0,VLOOKUP(AD605,female_reg,3,FALSE)-$C605*10,VLOOKUP(AD605,male_reg,3,FALSE)-$C605*10)),2)</f>
        <v/>
      </c>
      <c r="Q605" s="468" t="str">
        <f>IFERROR(IF(OR(AE605=0,AE605="-",AE605="",AE605=" ",AE605=" ",T($C605)&lt;&gt;"",$C605=""),"",IF($A604&gt;0,VLOOKUP(AE605,female_reg,3,FALSE)-$C605*10,VLOOKUP(AE605,male_reg,3,FALSE)-$C605*10)),2)</f>
        <v/>
      </c>
      <c r="R605" s="468" t="str">
        <f>IFERROR(IF(OR(AF605=0,AF605="-",AF605="",AF605=" ",AF605=" ",T($C605)&lt;&gt;"",$C605=""),"",IF($A604&gt;0,VLOOKUP(AF605,female_reg,3,FALSE)-$C605*10,VLOOKUP(AF605,male_reg,3,FALSE)-$C605*10)),2)</f>
        <v/>
      </c>
      <c r="S605" s="468" t="str">
        <f>IFERROR(IF(OR(AG605=0,AG605="-",AG605="",AG605=" ",AG605=" ",T($C605)&lt;&gt;"",$C605=""),"",IF($A604&gt;0,VLOOKUP(AG605,female_reg,3,FALSE)-$C605*10,VLOOKUP(AG605,male_reg,3,FALSE)-$C605*10)),2)</f>
        <v/>
      </c>
      <c r="T605" s="468"/>
      <c r="V605" s="467" t="str">
        <f t="shared" si="324"/>
        <v>X</v>
      </c>
      <c r="W605" s="467" t="str">
        <f t="shared" si="324"/>
        <v>X</v>
      </c>
      <c r="X605" s="467" t="str">
        <f t="shared" si="324"/>
        <v>X</v>
      </c>
      <c r="Y605" s="467" t="str">
        <f t="shared" si="324"/>
        <v>X</v>
      </c>
      <c r="Z605" s="467">
        <f t="shared" si="318"/>
        <v>0</v>
      </c>
      <c r="AA605" s="467">
        <f t="shared" si="319"/>
        <v>0</v>
      </c>
      <c r="AB605" s="467">
        <f t="shared" si="315"/>
        <v>0</v>
      </c>
      <c r="AC605" s="467">
        <f t="shared" si="316"/>
        <v>0</v>
      </c>
      <c r="AD605" s="456" t="str">
        <f>IFERROR(HLOOKUP($C605,Declarations!$D$2:$S$102,$A598,FALSE),"")</f>
        <v/>
      </c>
      <c r="AE605" s="456" t="str">
        <f>IFERROR(HLOOKUP($C605*11,Declarations!$D$2:$S$102,$A598,FALSE),"")</f>
        <v/>
      </c>
      <c r="AF605" s="457" t="str">
        <f>IFERROR(HLOOKUP($C605,Declarations!$D$2:$S$102,$A598+1,FALSE),"")</f>
        <v/>
      </c>
      <c r="AG605" s="456" t="str">
        <f>IFERROR(HLOOKUP($C605*11,Declarations!$D$2:$S$102,$A598+1,FALSE),"")</f>
        <v/>
      </c>
    </row>
    <row r="606" spans="1:33" x14ac:dyDescent="0.35">
      <c r="P606" s="468" t="str">
        <f>IFERROR(IF(OR(AD606=0,AD606="-",AD606="",AD606=" ",AD606=" ",T($C606)&lt;&gt;"",$C606=""),"",IF($A604&gt;0,VLOOKUP(AD606,female_reg,3,FALSE)-$C606*10,VLOOKUP(AD606,male_reg,3,FALSE)-$C606*10)),2)</f>
        <v/>
      </c>
      <c r="Q606" s="468" t="str">
        <f>IFERROR(IF(OR(AE606=0,AE606="-",AE606="",AE606=" ",AE606=" ",T($C606)&lt;&gt;"",$C606=""),"",IF($A604&gt;0,VLOOKUP(AE606,female_reg,3,FALSE)-$C606*10,VLOOKUP(AE606,male_reg,3,FALSE)-$C606*10)),2)</f>
        <v/>
      </c>
      <c r="R606" s="468" t="str">
        <f>IFERROR(IF(OR(AF606=0,AF606="-",AF606="",AF606=" ",AF606=" ",T($C606)&lt;&gt;"",$C606=""),"",IF($A604&gt;0,VLOOKUP(AF606,female_reg,3,FALSE)-$C606*10,VLOOKUP(AF606,male_reg,3,FALSE)-$C606*10)),2)</f>
        <v/>
      </c>
      <c r="S606" s="468" t="str">
        <f>IFERROR(IF(OR(AG606=0,AG606="-",AG606="",AG606=" ",AG606=" ",T($C606)&lt;&gt;"",$C606=""),"",IF($A604&gt;0,VLOOKUP(AG606,female_reg,3,FALSE)-$C606*10,VLOOKUP(AG606,male_reg,3,FALSE)-$C606*10)),2)</f>
        <v/>
      </c>
      <c r="T606" s="468"/>
      <c r="Z606" s="467">
        <f t="shared" ca="1" si="318"/>
        <v>0</v>
      </c>
      <c r="AA606" s="467">
        <f t="shared" ca="1" si="319"/>
        <v>0</v>
      </c>
      <c r="AB606" s="467">
        <f t="shared" ca="1" si="315"/>
        <v>0</v>
      </c>
      <c r="AC606" s="467">
        <f t="shared" ca="1" si="316"/>
        <v>0</v>
      </c>
    </row>
    <row r="607" spans="1:33" x14ac:dyDescent="0.35">
      <c r="A607" s="111" t="str">
        <f>IFERROR("L"&amp;A608,"")</f>
        <v>LTR4</v>
      </c>
      <c r="B607" s="469" t="str">
        <f>IFERROR(VLOOKUP(A607,timetables,2,FALSE)&amp;" "&amp;VLOOKUP(A607,timetables,3,FALSE),"")</f>
        <v>4 x 100m U15 Boys</v>
      </c>
      <c r="C607" s="469"/>
      <c r="E607" s="470" t="str">
        <f>"Starts "&amp;TEXT(VLOOKUP(A607,timetables,7-MatchDay!$U$7,FALSE),"hh:mm")</f>
        <v>Starts 16:15</v>
      </c>
      <c r="F607" s="471"/>
      <c r="H607" s="472" t="str">
        <f>IFERROR("Rec: "&amp;TEXT(VLOOKUP(A607,records,5,FALSE),"#0.00")&amp;"s, "&amp;VLOOKUP(A607,records,4,FALSE)&amp;", "&amp;VLOOKUP(A607,records,8,FALSE),"")</f>
        <v>Rec: 45.40s, Croydon Harriers, 2014</v>
      </c>
      <c r="K607" s="473"/>
      <c r="L607" s="474"/>
      <c r="M607" s="467"/>
      <c r="P607" s="468" t="str">
        <f>IFERROR(IF(OR(AD607=0,AD607="-",AD607="",AD607=" ",AD607=" ",T($C607)&lt;&gt;"",$C607=""),"",IF($A604&gt;0,VLOOKUP(AD607,female_reg,3,FALSE)-$C607*10,VLOOKUP(AD607,male_reg,3,FALSE)-$C607*10)),2)</f>
        <v/>
      </c>
      <c r="Q607" s="468" t="str">
        <f>IFERROR(IF(OR(AE607=0,AE607="-",AE607="",AE607=" ",AE607=" ",T($C607)&lt;&gt;"",$C607=""),"",IF($A604&gt;0,VLOOKUP(AE607,female_reg,3,FALSE)-$C607*10,VLOOKUP(AE607,male_reg,3,FALSE)-$C607*10)),2)</f>
        <v/>
      </c>
      <c r="R607" s="468" t="str">
        <f>IFERROR(IF(OR(AF607=0,AF607="-",AF607="",AF607=" ",AF607=" ",T($C607)&lt;&gt;"",$C607=""),"",IF($A604&gt;0,VLOOKUP(AF607,female_reg,3,FALSE)-$C607*10,VLOOKUP(AF607,male_reg,3,FALSE)-$C607*10)),2)</f>
        <v/>
      </c>
      <c r="S607" s="468" t="str">
        <f>IFERROR(IF(OR(AG607=0,AG607="-",AG607="",AG607=" ",AG607=" ",T($C607)&lt;&gt;"",$C607=""),"",IF($A604&gt;0,VLOOKUP(AG607,female_reg,3,FALSE)-$C607*10,VLOOKUP(AG607,male_reg,3,FALSE)-$C607*10)),2)</f>
        <v/>
      </c>
      <c r="T607" s="468"/>
      <c r="Z607" s="467">
        <f t="shared" ca="1" si="318"/>
        <v>0</v>
      </c>
      <c r="AA607" s="467">
        <f t="shared" ca="1" si="319"/>
        <v>0</v>
      </c>
      <c r="AB607" s="467">
        <f t="shared" ca="1" si="315"/>
        <v>0</v>
      </c>
      <c r="AC607" s="467">
        <f t="shared" ca="1" si="316"/>
        <v>0</v>
      </c>
    </row>
    <row r="608" spans="1:33" x14ac:dyDescent="0.35">
      <c r="A608" s="85" t="s">
        <v>503</v>
      </c>
      <c r="B608" s="9" t="s">
        <v>786</v>
      </c>
      <c r="C608" s="9" t="s">
        <v>183</v>
      </c>
      <c r="D608" s="46" t="s">
        <v>1263</v>
      </c>
      <c r="E608" s="46"/>
      <c r="F608" s="46"/>
      <c r="G608" s="46"/>
      <c r="H608" s="46"/>
      <c r="I608" s="9"/>
      <c r="J608" s="478"/>
      <c r="L608" s="466">
        <f>IFERROR(SEARCH("NS",B607),0)</f>
        <v>0</v>
      </c>
      <c r="M608" s="467"/>
      <c r="O608" s="476"/>
      <c r="P608" s="468" t="str">
        <f>IFERROR(IF(OR(AD608=0,AD608="-",AD608="",AD608=" ",AD608=" ",T($C608)&lt;&gt;"",$C608=""),"",IF($A604&gt;0,VLOOKUP(AD608,female_reg,3,FALSE)-$C608*10,VLOOKUP(AD608,male_reg,3,FALSE)-$C608*10)),2)</f>
        <v/>
      </c>
      <c r="Q608" s="468" t="str">
        <f>IFERROR(IF(OR(AE608=0,AE608="-",AE608="",AE608=" ",AE608=" ",T($C608)&lt;&gt;"",$C608=""),"",IF($A604&gt;0,VLOOKUP(AE608,female_reg,3,FALSE)-$C608*10,VLOOKUP(AE608,male_reg,3,FALSE)-$C608*10)),2)</f>
        <v/>
      </c>
      <c r="R608" s="468" t="str">
        <f>IFERROR(IF(OR(AF608=0,AF608="-",AF608="",AF608=" ",AF608=" ",T($C608)&lt;&gt;"",$C608=""),"",IF($A604&gt;0,VLOOKUP(AF608,female_reg,3,FALSE)-$C608*10,VLOOKUP(AF608,male_reg,3,FALSE)-$C608*10)),2)</f>
        <v/>
      </c>
      <c r="S608" s="468" t="str">
        <f>IFERROR(IF(OR(AG608=0,AG608="-",AG608="",AG608=" ",AG608=" ",T($C608)&lt;&gt;"",$C608=""),"",IF($A604&gt;0,VLOOKUP(AG608,female_reg,3,FALSE)-$C608*10,VLOOKUP(AG608,male_reg,3,FALSE)-$C608*10)),2)</f>
        <v/>
      </c>
      <c r="T608" s="468"/>
      <c r="Z608" s="467">
        <f t="shared" ca="1" si="318"/>
        <v>0</v>
      </c>
      <c r="AA608" s="467">
        <f t="shared" ca="1" si="319"/>
        <v>0</v>
      </c>
      <c r="AB608" s="467">
        <f t="shared" ref="AB608:AB638" ca="1" si="326">IF(X608="X",0,COUNTIF($V$4:$Y$638,X608))</f>
        <v>0</v>
      </c>
      <c r="AC608" s="467">
        <f t="shared" ref="AC608:AC638" ca="1" si="327">IF(Y608="X",0,COUNTIF($V$4:$Y$638,Y608))</f>
        <v>0</v>
      </c>
    </row>
    <row r="609" spans="1:33" x14ac:dyDescent="0.35">
      <c r="A609" s="181">
        <f>IFERROR(VLOOKUP(A607,Timetables!$A:$E,5,FALSE)-1,"")</f>
        <v>72</v>
      </c>
      <c r="B609" s="477">
        <v>1</v>
      </c>
      <c r="C609" s="477">
        <f>IFERROR(IF(B609&gt;MatchDay!$U$2,"",IF(MatchDay!$D$6=2,"",VLOOKUP(A607,Timetables!$A:$DK,MatchDay!$U$4+B609-MatchDay!$D$6,FALSE))),"")</f>
        <v>5</v>
      </c>
      <c r="D609" s="467" t="str">
        <f ca="1">IFERROR(IF(OR(AD609=0,AD609=""),"",AD609&amp;", "&amp;AE609&amp;", "&amp;AF609&amp;", "&amp;AG609),"")</f>
        <v/>
      </c>
      <c r="F609" s="467"/>
      <c r="I609" s="482"/>
      <c r="K609" s="467" t="str">
        <f t="shared" ref="K609:K616" si="328">IFERROR(VLOOKUP(C609,teamlookup,5,FALSE),"")</f>
        <v>Scun</v>
      </c>
      <c r="M609" s="467"/>
      <c r="P609" s="468" t="str">
        <f ca="1">IFERROR(IF(OR(AD609=0,AD609="-",AD609="",AD609=" ",AD609=" ",T($C609)&lt;&gt;"",$C609=""),"",IF($A615&gt;0,VLOOKUP(AD609,female_reg,3,FALSE)-$C609*10,VLOOKUP(AD609,male_reg,3,FALSE)-$C609*10)),2)</f>
        <v/>
      </c>
      <c r="Q609" s="468" t="str">
        <f ca="1">IFERROR(IF(OR(AE609=0,AE609="-",AE609="",AE609=" ",AE609=" ",T($C609)&lt;&gt;"",$C609=""),"",IF($A615&gt;0,VLOOKUP(AE609,female_reg,3,FALSE)-$C609*10,VLOOKUP(AE609,male_reg,3,FALSE)-$C609*10)),2)</f>
        <v/>
      </c>
      <c r="R609" s="468" t="str">
        <f ca="1">IFERROR(IF(OR(AF609=0,AF609="-",AF609="",AF609=" ",AF609=" ",T($C609)&lt;&gt;"",$C609=""),"",IF($A615&gt;0,VLOOKUP(AF609,female_reg,3,FALSE)-$C609*10,VLOOKUP(AF609,male_reg,3,FALSE)-$C609*10)),2)</f>
        <v/>
      </c>
      <c r="S609" s="468" t="str">
        <f ca="1">IFERROR(IF(OR(AG609=0,AG609="-",AG609="",AG609=" ",AG609=" ",T($C609)&lt;&gt;"",$C609=""),"",IF($A615&gt;0,VLOOKUP(AG609,female_reg,3,FALSE)-$C609*10,VLOOKUP(AG609,male_reg,3,FALSE)-$C609*10)),2)</f>
        <v/>
      </c>
      <c r="T609" s="468"/>
      <c r="V609" s="467" t="str">
        <f t="shared" ref="V609:Y616" ca="1" si="329">IFERROR(IF(OR(AD609=0,AD609=""),"X",AD609&amp;VLOOKUP($C609,teamlookup,5,FALSE)),"X")</f>
        <v>X</v>
      </c>
      <c r="W609" s="467" t="str">
        <f t="shared" ca="1" si="329"/>
        <v>X</v>
      </c>
      <c r="X609" s="467" t="str">
        <f t="shared" ca="1" si="329"/>
        <v>X</v>
      </c>
      <c r="Y609" s="467" t="str">
        <f t="shared" ca="1" si="329"/>
        <v>X</v>
      </c>
      <c r="Z609" s="467">
        <f t="shared" ca="1" si="318"/>
        <v>0</v>
      </c>
      <c r="AA609" s="467">
        <f t="shared" ca="1" si="319"/>
        <v>0</v>
      </c>
      <c r="AB609" s="467">
        <f t="shared" ca="1" si="326"/>
        <v>0</v>
      </c>
      <c r="AC609" s="467">
        <f t="shared" ca="1" si="327"/>
        <v>0</v>
      </c>
      <c r="AD609" s="456">
        <f ca="1">IFERROR(HLOOKUP($C609,Declarations!$D$2:$S$102,$A609,FALSE),"")</f>
        <v>0</v>
      </c>
      <c r="AE609" s="456">
        <f ca="1">IFERROR(HLOOKUP($C609*11,Declarations!$D$2:$S$102,$A609,FALSE),"")</f>
        <v>0</v>
      </c>
      <c r="AF609" s="457">
        <f ca="1">IFERROR(HLOOKUP($C609,Declarations!$D$2:$S$102,$A609+1,FALSE),"")</f>
        <v>0</v>
      </c>
      <c r="AG609" s="456">
        <f ca="1">IFERROR(HLOOKUP($C609*11,Declarations!$D$2:$S$102,$A609+1,FALSE),"")</f>
        <v>0</v>
      </c>
    </row>
    <row r="610" spans="1:33" x14ac:dyDescent="0.35">
      <c r="A610" s="468">
        <v>36</v>
      </c>
      <c r="B610" s="477">
        <v>2</v>
      </c>
      <c r="C610" s="477">
        <f>IFERROR(IF(B610&gt;MatchDay!$U$2+MatchDay!$D$6-1,"",VLOOKUP(A607,Timetables!$A:$DK,MatchDay!$U$4+B610-MatchDay!$D$6,FALSE)),"")</f>
        <v>4</v>
      </c>
      <c r="D610" s="467" t="str">
        <f t="shared" ref="D610:D616" ca="1" si="330">IFERROR(IF(OR(AD610=0,AD610=""),"",AD610&amp;", "&amp;AE610&amp;", "&amp;AF610&amp;", "&amp;AG610),"")</f>
        <v>BUTLER Jake, OKEY Chieme, CHINNERY Norton, MAYNARD Tom</v>
      </c>
      <c r="F610" s="467"/>
      <c r="I610" s="482"/>
      <c r="K610" s="467" t="str">
        <f t="shared" si="328"/>
        <v>M'bro</v>
      </c>
      <c r="M610" s="467"/>
      <c r="P610" s="468">
        <f ca="1">IFERROR(IF(OR(AD610=0,AD610="-",AD610="",AD610=" ",AD610=" ",T($C610)&lt;&gt;"",$C610=""),"",IF($A615&gt;0,VLOOKUP(AD610,female_reg,3,FALSE)-$C610*10,VLOOKUP(AD610,male_reg,3,FALSE)-$C610*10)),2)</f>
        <v>1</v>
      </c>
      <c r="Q610" s="468">
        <f ca="1">IFERROR(IF(OR(AE610=0,AE610="-",AE610="",AE610=" ",AE610=" ",T($C610)&lt;&gt;"",$C610=""),"",IF($A615&gt;0,VLOOKUP(AE610,female_reg,3,FALSE)-$C610*10,VLOOKUP(AE610,male_reg,3,FALSE)-$C610*10)),2)</f>
        <v>1</v>
      </c>
      <c r="R610" s="468">
        <f ca="1">IFERROR(IF(OR(AF610=0,AF610="-",AF610="",AF610=" ",AF610=" ",T($C610)&lt;&gt;"",$C610=""),"",IF($A615&gt;0,VLOOKUP(AF610,female_reg,3,FALSE)-$C610*10,VLOOKUP(AF610,male_reg,3,FALSE)-$C610*10)),2)</f>
        <v>1</v>
      </c>
      <c r="S610" s="468">
        <f ca="1">IFERROR(IF(OR(AG610=0,AG610="-",AG610="",AG610=" ",AG610=" ",T($C610)&lt;&gt;"",$C610=""),"",IF($A615&gt;0,VLOOKUP(AG610,female_reg,3,FALSE)-$C610*10,VLOOKUP(AG610,male_reg,3,FALSE)-$C610*10)),2)</f>
        <v>1</v>
      </c>
      <c r="T610" s="468"/>
      <c r="V610" s="467" t="str">
        <f t="shared" ca="1" si="329"/>
        <v>BUTLER JakeM'bro</v>
      </c>
      <c r="W610" s="467" t="str">
        <f t="shared" ca="1" si="329"/>
        <v>OKEY ChiemeM'bro</v>
      </c>
      <c r="X610" s="467" t="str">
        <f t="shared" ca="1" si="329"/>
        <v>CHINNERY NortonM'bro</v>
      </c>
      <c r="Y610" s="467" t="str">
        <f t="shared" ca="1" si="329"/>
        <v>MAYNARD TomM'bro</v>
      </c>
      <c r="Z610" s="467">
        <f t="shared" ca="1" si="318"/>
        <v>2</v>
      </c>
      <c r="AA610" s="467">
        <f t="shared" ca="1" si="319"/>
        <v>2</v>
      </c>
      <c r="AB610" s="467">
        <f t="shared" ca="1" si="326"/>
        <v>4</v>
      </c>
      <c r="AC610" s="467">
        <f t="shared" ca="1" si="327"/>
        <v>3</v>
      </c>
      <c r="AD610" s="456" t="str">
        <f ca="1">IFERROR(HLOOKUP($C610,Declarations!$D$2:$S$102,$A609,FALSE),"")</f>
        <v>BUTLER Jake</v>
      </c>
      <c r="AE610" s="456" t="str">
        <f ca="1">IFERROR(HLOOKUP($C610*11,Declarations!$D$2:$S$102,$A609,FALSE),"")</f>
        <v>OKEY Chieme</v>
      </c>
      <c r="AF610" s="457" t="str">
        <f ca="1">IFERROR(HLOOKUP($C610,Declarations!$D$2:$S$102,$A609+1,FALSE),"")</f>
        <v>CHINNERY Norton</v>
      </c>
      <c r="AG610" s="456" t="str">
        <f ca="1">IFERROR(HLOOKUP($C610*11,Declarations!$D$2:$S$102,$A609+1,FALSE),"")</f>
        <v>MAYNARD Tom</v>
      </c>
    </row>
    <row r="611" spans="1:33" x14ac:dyDescent="0.35">
      <c r="A611" s="118" t="str">
        <f>IFERROR(VLOOKUP(A607,standards,3,FALSE)+0.01,"-")</f>
        <v>-</v>
      </c>
      <c r="B611" s="477">
        <v>3</v>
      </c>
      <c r="C611" s="477">
        <f>IFERROR(IF(B611&gt;MatchDay!$U$2+MatchDay!$D$6-1,"",VLOOKUP(A607,Timetables!$A:$DK,MatchDay!$U$4+B611-MatchDay!$D$6,FALSE)),"")</f>
        <v>2</v>
      </c>
      <c r="D611" s="467" t="str">
        <f t="shared" ca="1" si="330"/>
        <v>BENTLEY Tom, KRIEL PARR George, WAINWRIGHT James, OR KAM FAT Matteo</v>
      </c>
      <c r="F611" s="467"/>
      <c r="I611" s="482"/>
      <c r="K611" s="467" t="str">
        <f t="shared" si="328"/>
        <v>Sheff+D</v>
      </c>
      <c r="M611" s="467"/>
      <c r="P611" s="468">
        <f ca="1">IFERROR(IF(OR(AD611=0,AD611="-",AD611="",AD611=" ",AD611=" ",T($C611)&lt;&gt;"",$C611=""),"",IF($A615&gt;0,VLOOKUP(AD611,female_reg,3,FALSE)-$C611*10,VLOOKUP(AD611,male_reg,3,FALSE)-$C611*10)),2)</f>
        <v>1</v>
      </c>
      <c r="Q611" s="468">
        <f ca="1">IFERROR(IF(OR(AE611=0,AE611="-",AE611="",AE611=" ",AE611=" ",T($C611)&lt;&gt;"",$C611=""),"",IF($A615&gt;0,VLOOKUP(AE611,female_reg,3,FALSE)-$C611*10,VLOOKUP(AE611,male_reg,3,FALSE)-$C611*10)),2)</f>
        <v>1</v>
      </c>
      <c r="R611" s="468">
        <f ca="1">IFERROR(IF(OR(AF611=0,AF611="-",AF611="",AF611=" ",AF611=" ",T($C611)&lt;&gt;"",$C611=""),"",IF($A615&gt;0,VLOOKUP(AF611,female_reg,3,FALSE)-$C611*10,VLOOKUP(AF611,male_reg,3,FALSE)-$C611*10)),2)</f>
        <v>1</v>
      </c>
      <c r="S611" s="468">
        <f ca="1">IFERROR(IF(OR(AG611=0,AG611="-",AG611="",AG611=" ",AG611=" ",T($C611)&lt;&gt;"",$C611=""),"",IF($A615&gt;0,VLOOKUP(AG611,female_reg,3,FALSE)-$C611*10,VLOOKUP(AG611,male_reg,3,FALSE)-$C611*10)),2)</f>
        <v>1</v>
      </c>
      <c r="T611" s="468"/>
      <c r="V611" s="467" t="str">
        <f t="shared" ca="1" si="329"/>
        <v>BENTLEY TomSheff+D</v>
      </c>
      <c r="W611" s="467" t="str">
        <f t="shared" ca="1" si="329"/>
        <v>KRIEL PARR GeorgeSheff+D</v>
      </c>
      <c r="X611" s="467" t="str">
        <f t="shared" ca="1" si="329"/>
        <v>WAINWRIGHT JamesSheff+D</v>
      </c>
      <c r="Y611" s="467" t="str">
        <f t="shared" ca="1" si="329"/>
        <v>OR KAM FAT MatteoSheff+D</v>
      </c>
      <c r="Z611" s="467">
        <f t="shared" ca="1" si="318"/>
        <v>4</v>
      </c>
      <c r="AA611" s="467">
        <f t="shared" ca="1" si="319"/>
        <v>4</v>
      </c>
      <c r="AB611" s="467">
        <f t="shared" ca="1" si="326"/>
        <v>4</v>
      </c>
      <c r="AC611" s="467">
        <f t="shared" ca="1" si="327"/>
        <v>2</v>
      </c>
      <c r="AD611" s="456" t="str">
        <f ca="1">IFERROR(HLOOKUP($C611,Declarations!$D$2:$S$102,$A609,FALSE),"")</f>
        <v>BENTLEY Tom</v>
      </c>
      <c r="AE611" s="456" t="str">
        <f ca="1">IFERROR(HLOOKUP($C611*11,Declarations!$D$2:$S$102,$A609,FALSE),"")</f>
        <v>KRIEL PARR George</v>
      </c>
      <c r="AF611" s="457" t="str">
        <f ca="1">IFERROR(HLOOKUP($C611,Declarations!$D$2:$S$102,$A609+1,FALSE),"")</f>
        <v>WAINWRIGHT James</v>
      </c>
      <c r="AG611" s="456" t="str">
        <f ca="1">IFERROR(HLOOKUP($C611*11,Declarations!$D$2:$S$102,$A609+1,FALSE),"")</f>
        <v>OR KAM FAT Matteo</v>
      </c>
    </row>
    <row r="612" spans="1:33" x14ac:dyDescent="0.35">
      <c r="A612" s="118" t="str">
        <f>IFERROR(VLOOKUP(A607,standards,4,FALSE)+0.01,"-")</f>
        <v>-</v>
      </c>
      <c r="B612" s="477">
        <v>4</v>
      </c>
      <c r="C612" s="477">
        <f>IFERROR(IF(B612&gt;MatchDay!$U$2+MatchDay!$D$6-1,"",VLOOKUP(A607,Timetables!$A:$DK,MatchDay!$U$4+B612-MatchDay!$D$6,FALSE)),"")</f>
        <v>3</v>
      </c>
      <c r="D612" s="467" t="str">
        <f t="shared" ca="1" si="330"/>
        <v>LANSFORD Hollis, HOW Louis, PYE George, MEIGH William</v>
      </c>
      <c r="F612" s="467"/>
      <c r="I612" s="482"/>
      <c r="K612" s="467" t="str">
        <f t="shared" si="328"/>
        <v>York</v>
      </c>
      <c r="M612" s="467"/>
      <c r="P612" s="468">
        <f ca="1">IFERROR(IF(OR(AD612=0,AD612="-",AD612="",AD612=" ",AD612=" ",T($C612)&lt;&gt;"",$C612=""),"",IF($A615&gt;0,VLOOKUP(AD612,female_reg,3,FALSE)-$C612*10,VLOOKUP(AD612,male_reg,3,FALSE)-$C612*10)),2)</f>
        <v>1</v>
      </c>
      <c r="Q612" s="468">
        <f ca="1">IFERROR(IF(OR(AE612=0,AE612="-",AE612="",AE612=" ",AE612=" ",T($C612)&lt;&gt;"",$C612=""),"",IF($A615&gt;0,VLOOKUP(AE612,female_reg,3,FALSE)-$C612*10,VLOOKUP(AE612,male_reg,3,FALSE)-$C612*10)),2)</f>
        <v>1</v>
      </c>
      <c r="R612" s="468">
        <f ca="1">IFERROR(IF(OR(AF612=0,AF612="-",AF612="",AF612=" ",AF612=" ",T($C612)&lt;&gt;"",$C612=""),"",IF($A615&gt;0,VLOOKUP(AF612,female_reg,3,FALSE)-$C612*10,VLOOKUP(AF612,male_reg,3,FALSE)-$C612*10)),2)</f>
        <v>1</v>
      </c>
      <c r="S612" s="468">
        <f ca="1">IFERROR(IF(OR(AG612=0,AG612="-",AG612="",AG612=" ",AG612=" ",T($C612)&lt;&gt;"",$C612=""),"",IF($A615&gt;0,VLOOKUP(AG612,female_reg,3,FALSE)-$C612*10,VLOOKUP(AG612,male_reg,3,FALSE)-$C612*10)),2)</f>
        <v>1</v>
      </c>
      <c r="T612" s="468"/>
      <c r="V612" s="467" t="str">
        <f t="shared" ca="1" si="329"/>
        <v>LANSFORD HollisYork</v>
      </c>
      <c r="W612" s="467" t="str">
        <f t="shared" ca="1" si="329"/>
        <v>HOW LouisYork</v>
      </c>
      <c r="X612" s="467" t="str">
        <f t="shared" ca="1" si="329"/>
        <v>PYE GeorgeYork</v>
      </c>
      <c r="Y612" s="467" t="str">
        <f t="shared" ca="1" si="329"/>
        <v>MEIGH WilliamYork</v>
      </c>
      <c r="Z612" s="467">
        <f t="shared" ca="1" si="318"/>
        <v>3</v>
      </c>
      <c r="AA612" s="467">
        <f t="shared" ca="1" si="319"/>
        <v>3</v>
      </c>
      <c r="AB612" s="467">
        <f t="shared" ca="1" si="326"/>
        <v>3</v>
      </c>
      <c r="AC612" s="467">
        <f t="shared" ca="1" si="327"/>
        <v>4</v>
      </c>
      <c r="AD612" s="456" t="str">
        <f ca="1">IFERROR(HLOOKUP($C612,Declarations!$D$2:$S$102,$A609,FALSE),"")</f>
        <v>LANSFORD Hollis</v>
      </c>
      <c r="AE612" s="456" t="str">
        <f ca="1">IFERROR(HLOOKUP($C612*11,Declarations!$D$2:$S$102,$A609,FALSE),"")</f>
        <v>HOW Louis</v>
      </c>
      <c r="AF612" s="457" t="str">
        <f ca="1">IFERROR(HLOOKUP($C612,Declarations!$D$2:$S$102,$A609+1,FALSE),"")</f>
        <v>PYE George</v>
      </c>
      <c r="AG612" s="456" t="str">
        <f ca="1">IFERROR(HLOOKUP($C612*11,Declarations!$D$2:$S$102,$A609+1,FALSE),"")</f>
        <v>MEIGH William</v>
      </c>
    </row>
    <row r="613" spans="1:33" x14ac:dyDescent="0.35">
      <c r="A613" s="118" t="str">
        <f>IFERROR(VLOOKUP(A607,standards,5,FALSE)+0.01,"-")</f>
        <v>-</v>
      </c>
      <c r="B613" s="477">
        <v>5</v>
      </c>
      <c r="C613" s="477">
        <f>IFERROR(IF(B613&gt;MatchDay!$U$2+MatchDay!$D$6-1,"",VLOOKUP(A607,Timetables!$A:$DK,MatchDay!$U$4+B613-MatchDay!$D$6,FALSE)),"")</f>
        <v>1</v>
      </c>
      <c r="D613" s="467" t="str">
        <f t="shared" ca="1" si="330"/>
        <v>COOPER Malachi, MARRIOTT Thomas, SAS Reuben, FOGDEN Ben</v>
      </c>
      <c r="F613" s="467"/>
      <c r="I613" s="482"/>
      <c r="K613" s="467" t="str">
        <f t="shared" si="328"/>
        <v>C'field</v>
      </c>
      <c r="M613" s="467"/>
      <c r="P613" s="468">
        <f ca="1">IFERROR(IF(OR(AD613=0,AD613="-",AD613="",AD613=" ",AD613=" ",T($C613)&lt;&gt;"",$C613=""),"",IF($A615&gt;0,VLOOKUP(AD613,female_reg,3,FALSE)-$C613*10,VLOOKUP(AD613,male_reg,3,FALSE)-$C613*10)),2)</f>
        <v>1</v>
      </c>
      <c r="Q613" s="468">
        <f ca="1">IFERROR(IF(OR(AE613=0,AE613="-",AE613="",AE613=" ",AE613=" ",T($C613)&lt;&gt;"",$C613=""),"",IF($A615&gt;0,VLOOKUP(AE613,female_reg,3,FALSE)-$C613*10,VLOOKUP(AE613,male_reg,3,FALSE)-$C613*10)),2)</f>
        <v>1</v>
      </c>
      <c r="R613" s="468">
        <f ca="1">IFERROR(IF(OR(AF613=0,AF613="-",AF613="",AF613=" ",AF613=" ",T($C613)&lt;&gt;"",$C613=""),"",IF($A615&gt;0,VLOOKUP(AF613,female_reg,3,FALSE)-$C613*10,VLOOKUP(AF613,male_reg,3,FALSE)-$C613*10)),2)</f>
        <v>1</v>
      </c>
      <c r="S613" s="468">
        <f ca="1">IFERROR(IF(OR(AG613=0,AG613="-",AG613="",AG613=" ",AG613=" ",T($C613)&lt;&gt;"",$C613=""),"",IF($A615&gt;0,VLOOKUP(AG613,female_reg,3,FALSE)-$C613*10,VLOOKUP(AG613,male_reg,3,FALSE)-$C613*10)),2)</f>
        <v>1</v>
      </c>
      <c r="T613" s="468"/>
      <c r="V613" s="467" t="str">
        <f t="shared" ca="1" si="329"/>
        <v>COOPER MalachiC'field</v>
      </c>
      <c r="W613" s="467" t="str">
        <f t="shared" ca="1" si="329"/>
        <v>MARRIOTT ThomasC'field</v>
      </c>
      <c r="X613" s="467" t="str">
        <f t="shared" ca="1" si="329"/>
        <v>SAS ReubenC'field</v>
      </c>
      <c r="Y613" s="467" t="str">
        <f t="shared" ca="1" si="329"/>
        <v>FOGDEN BenC'field</v>
      </c>
      <c r="Z613" s="467">
        <f t="shared" ca="1" si="318"/>
        <v>4</v>
      </c>
      <c r="AA613" s="467">
        <f t="shared" ca="1" si="319"/>
        <v>4</v>
      </c>
      <c r="AB613" s="467">
        <f t="shared" ca="1" si="326"/>
        <v>4</v>
      </c>
      <c r="AC613" s="467">
        <f t="shared" ca="1" si="327"/>
        <v>4</v>
      </c>
      <c r="AD613" s="456" t="str">
        <f ca="1">IFERROR(HLOOKUP($C613,Declarations!$D$2:$S$102,$A609,FALSE),"")</f>
        <v>COOPER Malachi</v>
      </c>
      <c r="AE613" s="456" t="str">
        <f ca="1">IFERROR(HLOOKUP($C613*11,Declarations!$D$2:$S$102,$A609,FALSE),"")</f>
        <v>MARRIOTT Thomas</v>
      </c>
      <c r="AF613" s="457" t="str">
        <f ca="1">IFERROR(HLOOKUP($C613,Declarations!$D$2:$S$102,$A609+1,FALSE),"")</f>
        <v>SAS Reuben</v>
      </c>
      <c r="AG613" s="456" t="str">
        <f ca="1">IFERROR(HLOOKUP($C613*11,Declarations!$D$2:$S$102,$A609+1,FALSE),"")</f>
        <v>FOGDEN Ben</v>
      </c>
    </row>
    <row r="614" spans="1:33" x14ac:dyDescent="0.35">
      <c r="A614" s="118" t="str">
        <f>IFERROR(VLOOKUP(A607,standards,6,FALSE)+0.01,"-")</f>
        <v>-</v>
      </c>
      <c r="B614" s="477">
        <v>6</v>
      </c>
      <c r="C614" s="477" t="str">
        <f>IFERROR(IF(B614&gt;MatchDay!$U$2+MatchDay!$D$6-1,"",VLOOKUP(A607,Timetables!$A:$DK,MatchDay!$U$4+B614-MatchDay!$D$6,FALSE)),"")</f>
        <v/>
      </c>
      <c r="D614" s="467" t="str">
        <f t="shared" si="330"/>
        <v/>
      </c>
      <c r="F614" s="467"/>
      <c r="I614" s="482"/>
      <c r="K614" s="467" t="str">
        <f t="shared" si="328"/>
        <v/>
      </c>
      <c r="M614" s="467"/>
      <c r="P614" s="468" t="str">
        <f>IFERROR(IF(OR(AD614=0,AD614="-",AD614="",AD614=" ",AD614=" ",T($C614)&lt;&gt;"",$C614=""),"",IF($A615&gt;0,VLOOKUP(AD614,female_reg,3,FALSE)-$C614*10,VLOOKUP(AD614,male_reg,3,FALSE)-$C614*10)),2)</f>
        <v/>
      </c>
      <c r="Q614" s="468" t="str">
        <f>IFERROR(IF(OR(AE614=0,AE614="-",AE614="",AE614=" ",AE614=" ",T($C614)&lt;&gt;"",$C614=""),"",IF($A615&gt;0,VLOOKUP(AE614,female_reg,3,FALSE)-$C614*10,VLOOKUP(AE614,male_reg,3,FALSE)-$C614*10)),2)</f>
        <v/>
      </c>
      <c r="R614" s="468" t="str">
        <f>IFERROR(IF(OR(AF614=0,AF614="-",AF614="",AF614=" ",AF614=" ",T($C614)&lt;&gt;"",$C614=""),"",IF($A615&gt;0,VLOOKUP(AF614,female_reg,3,FALSE)-$C614*10,VLOOKUP(AF614,male_reg,3,FALSE)-$C614*10)),2)</f>
        <v/>
      </c>
      <c r="S614" s="468" t="str">
        <f>IFERROR(IF(OR(AG614=0,AG614="-",AG614="",AG614=" ",AG614=" ",T($C614)&lt;&gt;"",$C614=""),"",IF($A615&gt;0,VLOOKUP(AG614,female_reg,3,FALSE)-$C614*10,VLOOKUP(AG614,male_reg,3,FALSE)-$C614*10)),2)</f>
        <v/>
      </c>
      <c r="T614" s="468"/>
      <c r="V614" s="467" t="str">
        <f t="shared" si="329"/>
        <v>X</v>
      </c>
      <c r="W614" s="467" t="str">
        <f t="shared" si="329"/>
        <v>X</v>
      </c>
      <c r="X614" s="467" t="str">
        <f t="shared" si="329"/>
        <v>X</v>
      </c>
      <c r="Y614" s="467" t="str">
        <f t="shared" si="329"/>
        <v>X</v>
      </c>
      <c r="Z614" s="467">
        <f t="shared" si="318"/>
        <v>0</v>
      </c>
      <c r="AA614" s="467">
        <f t="shared" si="319"/>
        <v>0</v>
      </c>
      <c r="AB614" s="467">
        <f t="shared" si="326"/>
        <v>0</v>
      </c>
      <c r="AC614" s="467">
        <f t="shared" si="327"/>
        <v>0</v>
      </c>
      <c r="AD614" s="456" t="str">
        <f>IFERROR(HLOOKUP($C614,Declarations!$D$2:$S$102,$A609,FALSE),"")</f>
        <v/>
      </c>
      <c r="AE614" s="456" t="str">
        <f>IFERROR(HLOOKUP($C614*11,Declarations!$D$2:$S$102,$A609,FALSE),"")</f>
        <v/>
      </c>
      <c r="AF614" s="457" t="str">
        <f>IFERROR(HLOOKUP($C614,Declarations!$D$2:$S$102,$A609+1,FALSE),"")</f>
        <v/>
      </c>
      <c r="AG614" s="456" t="str">
        <f>IFERROR(HLOOKUP($C614*11,Declarations!$D$2:$S$102,$A609+1,FALSE),"")</f>
        <v/>
      </c>
    </row>
    <row r="615" spans="1:33" x14ac:dyDescent="0.35">
      <c r="A615" s="479">
        <f>IFERROR(SEARCH("Girls",B607),0)</f>
        <v>0</v>
      </c>
      <c r="B615" s="477">
        <v>7</v>
      </c>
      <c r="C615" s="477" t="str">
        <f>IFERROR(IF(B615&gt;MatchDay!$U$2+MatchDay!$D$6-1,"",VLOOKUP(A607,Timetables!$A:$DK,MatchDay!$U$4+B615-MatchDay!$D$6,FALSE)),"")</f>
        <v/>
      </c>
      <c r="D615" s="467" t="str">
        <f t="shared" si="330"/>
        <v/>
      </c>
      <c r="F615" s="467"/>
      <c r="I615" s="482"/>
      <c r="K615" s="467" t="str">
        <f t="shared" si="328"/>
        <v/>
      </c>
      <c r="M615" s="467"/>
      <c r="P615" s="468" t="str">
        <f>IFERROR(IF(OR(AD615=0,AD615="-",AD615="",AD615=" ",AD615=" ",T($C615)&lt;&gt;"",$C615=""),"",IF($A615&gt;0,VLOOKUP(AD615,female_reg,3,FALSE)-$C615*10,VLOOKUP(AD615,male_reg,3,FALSE)-$C615*10)),2)</f>
        <v/>
      </c>
      <c r="Q615" s="468" t="str">
        <f>IFERROR(IF(OR(AE615=0,AE615="-",AE615="",AE615=" ",AE615=" ",T($C615)&lt;&gt;"",$C615=""),"",IF($A615&gt;0,VLOOKUP(AE615,female_reg,3,FALSE)-$C615*10,VLOOKUP(AE615,male_reg,3,FALSE)-$C615*10)),2)</f>
        <v/>
      </c>
      <c r="R615" s="468" t="str">
        <f>IFERROR(IF(OR(AF615=0,AF615="-",AF615="",AF615=" ",AF615=" ",T($C615)&lt;&gt;"",$C615=""),"",IF($A615&gt;0,VLOOKUP(AF615,female_reg,3,FALSE)-$C615*10,VLOOKUP(AF615,male_reg,3,FALSE)-$C615*10)),2)</f>
        <v/>
      </c>
      <c r="S615" s="468" t="str">
        <f>IFERROR(IF(OR(AG615=0,AG615="-",AG615="",AG615=" ",AG615=" ",T($C615)&lt;&gt;"",$C615=""),"",IF($A615&gt;0,VLOOKUP(AG615,female_reg,3,FALSE)-$C615*10,VLOOKUP(AG615,male_reg,3,FALSE)-$C615*10)),2)</f>
        <v/>
      </c>
      <c r="T615" s="468"/>
      <c r="V615" s="467" t="str">
        <f t="shared" si="329"/>
        <v>X</v>
      </c>
      <c r="W615" s="467" t="str">
        <f t="shared" si="329"/>
        <v>X</v>
      </c>
      <c r="X615" s="467" t="str">
        <f t="shared" si="329"/>
        <v>X</v>
      </c>
      <c r="Y615" s="467" t="str">
        <f t="shared" si="329"/>
        <v>X</v>
      </c>
      <c r="Z615" s="467">
        <f t="shared" si="318"/>
        <v>0</v>
      </c>
      <c r="AA615" s="467">
        <f t="shared" si="319"/>
        <v>0</v>
      </c>
      <c r="AB615" s="467">
        <f t="shared" si="326"/>
        <v>0</v>
      </c>
      <c r="AC615" s="467">
        <f t="shared" si="327"/>
        <v>0</v>
      </c>
      <c r="AD615" s="456" t="str">
        <f>IFERROR(HLOOKUP($C615,Declarations!$D$2:$S$102,$A609,FALSE),"")</f>
        <v/>
      </c>
      <c r="AE615" s="456" t="str">
        <f>IFERROR(HLOOKUP($C615*11,Declarations!$D$2:$S$102,$A609,FALSE),"")</f>
        <v/>
      </c>
      <c r="AF615" s="457" t="str">
        <f>IFERROR(HLOOKUP($C615,Declarations!$D$2:$S$102,$A609+1,FALSE),"")</f>
        <v/>
      </c>
      <c r="AG615" s="456" t="str">
        <f>IFERROR(HLOOKUP($C615*11,Declarations!$D$2:$S$102,$A609+1,FALSE),"")</f>
        <v/>
      </c>
    </row>
    <row r="616" spans="1:33" x14ac:dyDescent="0.35">
      <c r="A616" s="116">
        <f>IFERROR(VLOOKUP(A607,records,5,FALSE),"")</f>
        <v>45.4</v>
      </c>
      <c r="B616" s="477">
        <v>8</v>
      </c>
      <c r="C616" s="477" t="str">
        <f>IFERROR(IF(B616&gt;MatchDay!$U$2+MatchDay!$D$6-1,"",VLOOKUP(A607,Timetables!$A:$DK,MatchDay!$U$4+B616-MatchDay!$D$6,FALSE)),"")</f>
        <v/>
      </c>
      <c r="D616" s="467" t="str">
        <f t="shared" si="330"/>
        <v/>
      </c>
      <c r="F616" s="467"/>
      <c r="I616" s="482"/>
      <c r="K616" s="467" t="str">
        <f t="shared" si="328"/>
        <v/>
      </c>
      <c r="M616" s="467"/>
      <c r="P616" s="468" t="str">
        <f>IFERROR(IF(OR(AD616=0,AD616="-",AD616="",AD616=" ",AD616=" ",T($C616)&lt;&gt;"",$C616=""),"",IF($A615&gt;0,VLOOKUP(AD616,female_reg,3,FALSE)-$C616*10,VLOOKUP(AD616,male_reg,3,FALSE)-$C616*10)),2)</f>
        <v/>
      </c>
      <c r="Q616" s="468" t="str">
        <f>IFERROR(IF(OR(AE616=0,AE616="-",AE616="",AE616=" ",AE616=" ",T($C616)&lt;&gt;"",$C616=""),"",IF($A615&gt;0,VLOOKUP(AE616,female_reg,3,FALSE)-$C616*10,VLOOKUP(AE616,male_reg,3,FALSE)-$C616*10)),2)</f>
        <v/>
      </c>
      <c r="R616" s="468" t="str">
        <f>IFERROR(IF(OR(AF616=0,AF616="-",AF616="",AF616=" ",AF616=" ",T($C616)&lt;&gt;"",$C616=""),"",IF($A615&gt;0,VLOOKUP(AF616,female_reg,3,FALSE)-$C616*10,VLOOKUP(AF616,male_reg,3,FALSE)-$C616*10)),2)</f>
        <v/>
      </c>
      <c r="S616" s="468" t="str">
        <f>IFERROR(IF(OR(AG616=0,AG616="-",AG616="",AG616=" ",AG616=" ",T($C616)&lt;&gt;"",$C616=""),"",IF($A615&gt;0,VLOOKUP(AG616,female_reg,3,FALSE)-$C616*10,VLOOKUP(AG616,male_reg,3,FALSE)-$C616*10)),2)</f>
        <v/>
      </c>
      <c r="T616" s="468"/>
      <c r="V616" s="467" t="str">
        <f t="shared" si="329"/>
        <v>X</v>
      </c>
      <c r="W616" s="467" t="str">
        <f t="shared" si="329"/>
        <v>X</v>
      </c>
      <c r="X616" s="467" t="str">
        <f t="shared" si="329"/>
        <v>X</v>
      </c>
      <c r="Y616" s="467" t="str">
        <f t="shared" si="329"/>
        <v>X</v>
      </c>
      <c r="Z616" s="467">
        <f t="shared" si="318"/>
        <v>0</v>
      </c>
      <c r="AA616" s="467">
        <f t="shared" si="319"/>
        <v>0</v>
      </c>
      <c r="AB616" s="467">
        <f t="shared" si="326"/>
        <v>0</v>
      </c>
      <c r="AC616" s="467">
        <f t="shared" si="327"/>
        <v>0</v>
      </c>
      <c r="AD616" s="456" t="str">
        <f>IFERROR(HLOOKUP($C616,Declarations!$D$2:$S$102,$A609,FALSE),"")</f>
        <v/>
      </c>
      <c r="AE616" s="456" t="str">
        <f>IFERROR(HLOOKUP($C616*11,Declarations!$D$2:$S$102,$A609,FALSE),"")</f>
        <v/>
      </c>
      <c r="AF616" s="457" t="str">
        <f>IFERROR(HLOOKUP($C616,Declarations!$D$2:$S$102,$A609+1,FALSE),"")</f>
        <v/>
      </c>
      <c r="AG616" s="456" t="str">
        <f>IFERROR(HLOOKUP($C616*11,Declarations!$D$2:$S$102,$A609+1,FALSE),"")</f>
        <v/>
      </c>
    </row>
    <row r="617" spans="1:33" x14ac:dyDescent="0.35">
      <c r="P617" s="468" t="str">
        <f>IFERROR(IF(OR(AD617=0,AD617="-",AD617="",AD617=" ",AD617=" ",T($C617)&lt;&gt;"",$C617=""),"",IF($A615&gt;0,VLOOKUP(AD617,female_reg,3,FALSE)-$C617*10,VLOOKUP(AD617,male_reg,3,FALSE)-$C617*10)),2)</f>
        <v/>
      </c>
      <c r="Q617" s="468" t="str">
        <f>IFERROR(IF(OR(AE617=0,AE617="-",AE617="",AE617=" ",AE617=" ",T($C617)&lt;&gt;"",$C617=""),"",IF($A615&gt;0,VLOOKUP(AE617,female_reg,3,FALSE)-$C617*10,VLOOKUP(AE617,male_reg,3,FALSE)-$C617*10)),2)</f>
        <v/>
      </c>
      <c r="R617" s="468" t="str">
        <f>IFERROR(IF(OR(AF617=0,AF617="-",AF617="",AF617=" ",AF617=" ",T($C617)&lt;&gt;"",$C617=""),"",IF($A615&gt;0,VLOOKUP(AF617,female_reg,3,FALSE)-$C617*10,VLOOKUP(AF617,male_reg,3,FALSE)-$C617*10)),2)</f>
        <v/>
      </c>
      <c r="S617" s="468" t="str">
        <f>IFERROR(IF(OR(AG617=0,AG617="-",AG617="",AG617=" ",AG617=" ",T($C617)&lt;&gt;"",$C617=""),"",IF($A615&gt;0,VLOOKUP(AG617,female_reg,3,FALSE)-$C617*10,VLOOKUP(AG617,male_reg,3,FALSE)-$C617*10)),2)</f>
        <v/>
      </c>
      <c r="T617" s="468"/>
      <c r="Z617" s="467">
        <f t="shared" ca="1" si="318"/>
        <v>0</v>
      </c>
      <c r="AA617" s="467">
        <f t="shared" ca="1" si="319"/>
        <v>0</v>
      </c>
      <c r="AB617" s="467">
        <f t="shared" ca="1" si="326"/>
        <v>0</v>
      </c>
      <c r="AC617" s="467">
        <f t="shared" ca="1" si="327"/>
        <v>0</v>
      </c>
    </row>
    <row r="618" spans="1:33" x14ac:dyDescent="0.35">
      <c r="A618" s="111" t="str">
        <f>IFERROR("L"&amp;A619,"")</f>
        <v>LTDR1</v>
      </c>
      <c r="B618" s="469" t="str">
        <f>IFERROR(VLOOKUP(A618,timetables,2,FALSE)&amp;" "&amp;VLOOKUP(A618,timetables,3,FALSE),"")</f>
        <v>4 x 300m U15 Girls</v>
      </c>
      <c r="C618" s="469"/>
      <c r="E618" s="470" t="str">
        <f>"Starts "&amp;TEXT(VLOOKUP(A618,timetables,7-MatchDay!$U$7,FALSE),"hh:mm")</f>
        <v>Starts 16:20</v>
      </c>
      <c r="F618" s="471"/>
      <c r="H618" s="472" t="str">
        <f>IFERROR("Rec: "&amp;TEXT(VLOOKUP(A618,records,5,FALSE),"mm:ss.00")&amp;", "&amp;VLOOKUP(A618,records,4,FALSE)&amp;", "&amp;VLOOKUP(A618,records,8,FALSE),"")</f>
        <v>Rec: 02:49.13, Blackheath &amp; Bromley Harriers AC, 2017</v>
      </c>
      <c r="K618" s="473"/>
      <c r="L618" s="474"/>
      <c r="M618" s="467"/>
      <c r="P618" s="468" t="str">
        <f>IFERROR(IF(OR(AD618=0,AD618="-",AD618="",AD618=" ",AD618=" ",T($C618)&lt;&gt;"",$C618=""),"",IF($A615&gt;0,VLOOKUP(AD618,female_reg,3,FALSE)-$C618*10,VLOOKUP(AD618,male_reg,3,FALSE)-$C618*10)),2)</f>
        <v/>
      </c>
      <c r="Q618" s="468" t="str">
        <f>IFERROR(IF(OR(AE618=0,AE618="-",AE618="",AE618=" ",AE618=" ",T($C618)&lt;&gt;"",$C618=""),"",IF($A615&gt;0,VLOOKUP(AE618,female_reg,3,FALSE)-$C618*10,VLOOKUP(AE618,male_reg,3,FALSE)-$C618*10)),2)</f>
        <v/>
      </c>
      <c r="R618" s="468" t="str">
        <f>IFERROR(IF(OR(AF618=0,AF618="-",AF618="",AF618=" ",AF618=" ",T($C618)&lt;&gt;"",$C618=""),"",IF($A615&gt;0,VLOOKUP(AF618,female_reg,3,FALSE)-$C618*10,VLOOKUP(AF618,male_reg,3,FALSE)-$C618*10)),2)</f>
        <v/>
      </c>
      <c r="S618" s="468" t="str">
        <f>IFERROR(IF(OR(AG618=0,AG618="-",AG618="",AG618=" ",AG618=" ",T($C618)&lt;&gt;"",$C618=""),"",IF($A615&gt;0,VLOOKUP(AG618,female_reg,3,FALSE)-$C618*10,VLOOKUP(AG618,male_reg,3,FALSE)-$C618*10)),2)</f>
        <v/>
      </c>
      <c r="T618" s="468"/>
      <c r="Z618" s="467">
        <f t="shared" ca="1" si="318"/>
        <v>0</v>
      </c>
      <c r="AA618" s="467">
        <f t="shared" ca="1" si="319"/>
        <v>0</v>
      </c>
      <c r="AB618" s="467">
        <f t="shared" ca="1" si="326"/>
        <v>0</v>
      </c>
      <c r="AC618" s="467">
        <f t="shared" ca="1" si="327"/>
        <v>0</v>
      </c>
    </row>
    <row r="619" spans="1:33" x14ac:dyDescent="0.35">
      <c r="A619" s="85" t="s">
        <v>504</v>
      </c>
      <c r="B619" s="9" t="s">
        <v>786</v>
      </c>
      <c r="C619" s="9" t="s">
        <v>183</v>
      </c>
      <c r="D619" s="46" t="s">
        <v>1263</v>
      </c>
      <c r="E619" s="46"/>
      <c r="F619" s="46"/>
      <c r="G619" s="46"/>
      <c r="H619" s="46"/>
      <c r="I619" s="9"/>
      <c r="J619" s="478"/>
      <c r="L619" s="466">
        <f>IFERROR(SEARCH("NS",B618),0)</f>
        <v>0</v>
      </c>
      <c r="M619" s="467"/>
      <c r="O619" s="476"/>
      <c r="P619" s="468" t="str">
        <f>IFERROR(IF(OR(AD619=0,AD619="-",AD619="",AD619=" ",AD619=" ",T($C619)&lt;&gt;"",$C619=""),"",IF($A615&gt;0,VLOOKUP(AD619,female_reg,3,FALSE)-$C619*10,VLOOKUP(AD619,male_reg,3,FALSE)-$C619*10)),2)</f>
        <v/>
      </c>
      <c r="Q619" s="468" t="str">
        <f>IFERROR(IF(OR(AE619=0,AE619="-",AE619="",AE619=" ",AE619=" ",T($C619)&lt;&gt;"",$C619=""),"",IF($A615&gt;0,VLOOKUP(AE619,female_reg,3,FALSE)-$C619*10,VLOOKUP(AE619,male_reg,3,FALSE)-$C619*10)),2)</f>
        <v/>
      </c>
      <c r="R619" s="468" t="str">
        <f>IFERROR(IF(OR(AF619=0,AF619="-",AF619="",AF619=" ",AF619=" ",T($C619)&lt;&gt;"",$C619=""),"",IF($A615&gt;0,VLOOKUP(AF619,female_reg,3,FALSE)-$C619*10,VLOOKUP(AF619,male_reg,3,FALSE)-$C619*10)),2)</f>
        <v/>
      </c>
      <c r="S619" s="468" t="str">
        <f>IFERROR(IF(OR(AG619=0,AG619="-",AG619="",AG619=" ",AG619=" ",T($C619)&lt;&gt;"",$C619=""),"",IF($A615&gt;0,VLOOKUP(AG619,female_reg,3,FALSE)-$C619*10,VLOOKUP(AG619,male_reg,3,FALSE)-$C619*10)),2)</f>
        <v/>
      </c>
      <c r="T619" s="468"/>
      <c r="Z619" s="467">
        <f t="shared" ca="1" si="318"/>
        <v>0</v>
      </c>
      <c r="AA619" s="467">
        <f t="shared" ca="1" si="319"/>
        <v>0</v>
      </c>
      <c r="AB619" s="467">
        <f t="shared" ca="1" si="326"/>
        <v>0</v>
      </c>
      <c r="AC619" s="467">
        <f t="shared" ca="1" si="327"/>
        <v>0</v>
      </c>
    </row>
    <row r="620" spans="1:33" x14ac:dyDescent="0.35">
      <c r="A620" s="181">
        <f>IFERROR(VLOOKUP(A618,Timetables!$A:$E,5,FALSE)-1,"")</f>
        <v>24</v>
      </c>
      <c r="B620" s="477">
        <v>1</v>
      </c>
      <c r="C620" s="477">
        <f>IFERROR(IF(B620&gt;MatchDay!$U$2,"",IF(MatchDay!$D$6=2,"",VLOOKUP(A618,Timetables!$A:$DK,MatchDay!$U$4+B620-MatchDay!$D$6,FALSE))),"")</f>
        <v>3</v>
      </c>
      <c r="D620" s="467" t="str">
        <f ca="1">IFERROR(IF(OR(AD620=0,AD620=""),"",AD620&amp;", "&amp;AE620&amp;", "&amp;AF620&amp;", "&amp;AG620),"")</f>
        <v>WALSH Tierney, BROOKS Carmen, LEE Isabel, TWEDDLE Bella</v>
      </c>
      <c r="F620" s="467"/>
      <c r="I620" s="482"/>
      <c r="K620" s="467" t="str">
        <f t="shared" ref="K620:K627" si="331">IFERROR(VLOOKUP(C620,teamlookup,5,FALSE),"")</f>
        <v>York</v>
      </c>
      <c r="M620" s="467"/>
      <c r="P620" s="468">
        <f ca="1">IFERROR(IF(OR(AD620=0,AD620="-",AD620="",AD620=" ",AD620=" ",T($C620)&lt;&gt;"",$C620=""),"",IF($A626&gt;0,VLOOKUP(AD620,female_reg,3,FALSE)-$C620*10,VLOOKUP(AD620,male_reg,3,FALSE)-$C620*10)),2)</f>
        <v>1</v>
      </c>
      <c r="Q620" s="468">
        <f ca="1">IFERROR(IF(OR(AE620=0,AE620="-",AE620="",AE620=" ",AE620=" ",T($C620)&lt;&gt;"",$C620=""),"",IF($A626&gt;0,VLOOKUP(AE620,female_reg,3,FALSE)-$C620*10,VLOOKUP(AE620,male_reg,3,FALSE)-$C620*10)),2)</f>
        <v>1</v>
      </c>
      <c r="R620" s="468">
        <f ca="1">IFERROR(IF(OR(AF620=0,AF620="-",AF620="",AF620=" ",AF620=" ",T($C620)&lt;&gt;"",$C620=""),"",IF($A626&gt;0,VLOOKUP(AF620,female_reg,3,FALSE)-$C620*10,VLOOKUP(AF620,male_reg,3,FALSE)-$C620*10)),2)</f>
        <v>1</v>
      </c>
      <c r="S620" s="468">
        <f ca="1">IFERROR(IF(OR(AG620=0,AG620="-",AG620="",AG620=" ",AG620=" ",T($C620)&lt;&gt;"",$C620=""),"",IF($A626&gt;0,VLOOKUP(AG620,female_reg,3,FALSE)-$C620*10,VLOOKUP(AG620,male_reg,3,FALSE)-$C620*10)),2)</f>
        <v>0</v>
      </c>
      <c r="T620" s="468"/>
      <c r="V620" s="467" t="str">
        <f t="shared" ref="V620:Y627" ca="1" si="332">IFERROR(IF(OR(AD620=0,AD620=""),"X",AD620&amp;VLOOKUP($C620,teamlookup,5,FALSE)),"X")</f>
        <v>WALSH TierneyYork</v>
      </c>
      <c r="W620" s="467" t="str">
        <f t="shared" ca="1" si="332"/>
        <v>BROOKS CarmenYork</v>
      </c>
      <c r="X620" s="467" t="str">
        <f t="shared" ca="1" si="332"/>
        <v>LEE IsabelYork</v>
      </c>
      <c r="Y620" s="467" t="str">
        <f t="shared" ca="1" si="332"/>
        <v>TWEDDLE BellaYork</v>
      </c>
      <c r="Z620" s="467">
        <f t="shared" ca="1" si="318"/>
        <v>3</v>
      </c>
      <c r="AA620" s="467">
        <f t="shared" ca="1" si="319"/>
        <v>4</v>
      </c>
      <c r="AB620" s="467">
        <f t="shared" ca="1" si="326"/>
        <v>4</v>
      </c>
      <c r="AC620" s="467">
        <f t="shared" ca="1" si="327"/>
        <v>2</v>
      </c>
      <c r="AD620" s="456" t="str">
        <f ca="1">IFERROR(HLOOKUP($C620,Declarations!$D$2:$S$102,$A620,FALSE),"")</f>
        <v>WALSH Tierney</v>
      </c>
      <c r="AE620" s="456" t="str">
        <f ca="1">IFERROR(HLOOKUP($C620*11,Declarations!$D$2:$S$102,$A620,FALSE),"")</f>
        <v>BROOKS Carmen</v>
      </c>
      <c r="AF620" s="457" t="str">
        <f ca="1">IFERROR(HLOOKUP($C620,Declarations!$D$2:$S$102,$A620+1,FALSE),"")</f>
        <v>LEE Isabel</v>
      </c>
      <c r="AG620" s="456" t="str">
        <f ca="1">IFERROR(HLOOKUP($C620*11,Declarations!$D$2:$S$102,$A620+1,FALSE),"")</f>
        <v>TWEDDLE Bella</v>
      </c>
    </row>
    <row r="621" spans="1:33" x14ac:dyDescent="0.35">
      <c r="A621" s="468">
        <v>37</v>
      </c>
      <c r="B621" s="477">
        <v>2</v>
      </c>
      <c r="C621" s="477">
        <f>IFERROR(IF(B621&gt;MatchDay!$U$2+MatchDay!$D$6-1,"",VLOOKUP(A618,Timetables!$A:$DK,MatchDay!$U$4+B621-MatchDay!$D$6,FALSE)),"")</f>
        <v>5</v>
      </c>
      <c r="D621" s="467" t="str">
        <f t="shared" ref="D621:D627" ca="1" si="333">IFERROR(IF(OR(AD621=0,AD621=""),"",AD621&amp;", "&amp;AE621&amp;", "&amp;AF621&amp;", "&amp;AG621),"")</f>
        <v/>
      </c>
      <c r="F621" s="467"/>
      <c r="I621" s="482"/>
      <c r="K621" s="467" t="str">
        <f t="shared" si="331"/>
        <v>Scun</v>
      </c>
      <c r="M621" s="467"/>
      <c r="P621" s="468" t="str">
        <f ca="1">IFERROR(IF(OR(AD621=0,AD621="-",AD621="",AD621=" ",AD621=" ",T($C621)&lt;&gt;"",$C621=""),"",IF($A626&gt;0,VLOOKUP(AD621,female_reg,3,FALSE)-$C621*10,VLOOKUP(AD621,male_reg,3,FALSE)-$C621*10)),2)</f>
        <v/>
      </c>
      <c r="Q621" s="468" t="str">
        <f ca="1">IFERROR(IF(OR(AE621=0,AE621="-",AE621="",AE621=" ",AE621=" ",T($C621)&lt;&gt;"",$C621=""),"",IF($A626&gt;0,VLOOKUP(AE621,female_reg,3,FALSE)-$C621*10,VLOOKUP(AE621,male_reg,3,FALSE)-$C621*10)),2)</f>
        <v/>
      </c>
      <c r="R621" s="468" t="str">
        <f ca="1">IFERROR(IF(OR(AF621=0,AF621="-",AF621="",AF621=" ",AF621=" ",T($C621)&lt;&gt;"",$C621=""),"",IF($A626&gt;0,VLOOKUP(AF621,female_reg,3,FALSE)-$C621*10,VLOOKUP(AF621,male_reg,3,FALSE)-$C621*10)),2)</f>
        <v/>
      </c>
      <c r="S621" s="468" t="str">
        <f ca="1">IFERROR(IF(OR(AG621=0,AG621="-",AG621="",AG621=" ",AG621=" ",T($C621)&lt;&gt;"",$C621=""),"",IF($A626&gt;0,VLOOKUP(AG621,female_reg,3,FALSE)-$C621*10,VLOOKUP(AG621,male_reg,3,FALSE)-$C621*10)),2)</f>
        <v/>
      </c>
      <c r="T621" s="468"/>
      <c r="V621" s="467" t="str">
        <f t="shared" ca="1" si="332"/>
        <v>X</v>
      </c>
      <c r="W621" s="467" t="str">
        <f t="shared" ca="1" si="332"/>
        <v>X</v>
      </c>
      <c r="X621" s="467" t="str">
        <f t="shared" ca="1" si="332"/>
        <v>X</v>
      </c>
      <c r="Y621" s="467" t="str">
        <f t="shared" ca="1" si="332"/>
        <v>X</v>
      </c>
      <c r="Z621" s="467">
        <f t="shared" ca="1" si="318"/>
        <v>0</v>
      </c>
      <c r="AA621" s="467">
        <f t="shared" ca="1" si="319"/>
        <v>0</v>
      </c>
      <c r="AB621" s="467">
        <f t="shared" ca="1" si="326"/>
        <v>0</v>
      </c>
      <c r="AC621" s="467">
        <f t="shared" ca="1" si="327"/>
        <v>0</v>
      </c>
      <c r="AD621" s="456">
        <f ca="1">IFERROR(HLOOKUP($C621,Declarations!$D$2:$S$102,$A620,FALSE),"")</f>
        <v>0</v>
      </c>
      <c r="AE621" s="456">
        <f ca="1">IFERROR(HLOOKUP($C621*11,Declarations!$D$2:$S$102,$A620,FALSE),"")</f>
        <v>0</v>
      </c>
      <c r="AF621" s="457">
        <f ca="1">IFERROR(HLOOKUP($C621,Declarations!$D$2:$S$102,$A620+1,FALSE),"")</f>
        <v>0</v>
      </c>
      <c r="AG621" s="456">
        <f ca="1">IFERROR(HLOOKUP($C621*11,Declarations!$D$2:$S$102,$A620+1,FALSE),"")</f>
        <v>0</v>
      </c>
    </row>
    <row r="622" spans="1:33" x14ac:dyDescent="0.35">
      <c r="A622" s="118" t="str">
        <f>IFERROR(VLOOKUP(A618,standards,3,FALSE)+0.01,"-")</f>
        <v>-</v>
      </c>
      <c r="B622" s="477">
        <v>3</v>
      </c>
      <c r="C622" s="477">
        <f>IFERROR(IF(B622&gt;MatchDay!$U$2+MatchDay!$D$6-1,"",VLOOKUP(A618,Timetables!$A:$DK,MatchDay!$U$4+B622-MatchDay!$D$6,FALSE)),"")</f>
        <v>2</v>
      </c>
      <c r="D622" s="467" t="str">
        <f t="shared" ca="1" si="333"/>
        <v/>
      </c>
      <c r="F622" s="467"/>
      <c r="I622" s="482"/>
      <c r="K622" s="467" t="str">
        <f t="shared" si="331"/>
        <v>Sheff+D</v>
      </c>
      <c r="M622" s="467"/>
      <c r="P622" s="468" t="str">
        <f ca="1">IFERROR(IF(OR(AD622=0,AD622="-",AD622="",AD622=" ",AD622=" ",T($C622)&lt;&gt;"",$C622=""),"",IF($A626&gt;0,VLOOKUP(AD622,female_reg,3,FALSE)-$C622*10,VLOOKUP(AD622,male_reg,3,FALSE)-$C622*10)),2)</f>
        <v/>
      </c>
      <c r="Q622" s="468" t="str">
        <f ca="1">IFERROR(IF(OR(AE622=0,AE622="-",AE622="",AE622=" ",AE622=" ",T($C622)&lt;&gt;"",$C622=""),"",IF($A626&gt;0,VLOOKUP(AE622,female_reg,3,FALSE)-$C622*10,VLOOKUP(AE622,male_reg,3,FALSE)-$C622*10)),2)</f>
        <v/>
      </c>
      <c r="R622" s="468" t="str">
        <f ca="1">IFERROR(IF(OR(AF622=0,AF622="-",AF622="",AF622=" ",AF622=" ",T($C622)&lt;&gt;"",$C622=""),"",IF($A626&gt;0,VLOOKUP(AF622,female_reg,3,FALSE)-$C622*10,VLOOKUP(AF622,male_reg,3,FALSE)-$C622*10)),2)</f>
        <v/>
      </c>
      <c r="S622" s="468" t="str">
        <f ca="1">IFERROR(IF(OR(AG622=0,AG622="-",AG622="",AG622=" ",AG622=" ",T($C622)&lt;&gt;"",$C622=""),"",IF($A626&gt;0,VLOOKUP(AG622,female_reg,3,FALSE)-$C622*10,VLOOKUP(AG622,male_reg,3,FALSE)-$C622*10)),2)</f>
        <v/>
      </c>
      <c r="T622" s="468"/>
      <c r="V622" s="467" t="str">
        <f t="shared" ca="1" si="332"/>
        <v>X</v>
      </c>
      <c r="W622" s="467" t="str">
        <f t="shared" ca="1" si="332"/>
        <v>X</v>
      </c>
      <c r="X622" s="467" t="str">
        <f t="shared" ca="1" si="332"/>
        <v>X</v>
      </c>
      <c r="Y622" s="467" t="str">
        <f t="shared" ca="1" si="332"/>
        <v>X</v>
      </c>
      <c r="Z622" s="467">
        <f t="shared" ca="1" si="318"/>
        <v>0</v>
      </c>
      <c r="AA622" s="467">
        <f t="shared" ca="1" si="319"/>
        <v>0</v>
      </c>
      <c r="AB622" s="467">
        <f t="shared" ca="1" si="326"/>
        <v>0</v>
      </c>
      <c r="AC622" s="467">
        <f t="shared" ca="1" si="327"/>
        <v>0</v>
      </c>
      <c r="AD622" s="456">
        <f ca="1">IFERROR(HLOOKUP($C622,Declarations!$D$2:$S$102,$A620,FALSE),"")</f>
        <v>0</v>
      </c>
      <c r="AE622" s="456">
        <f ca="1">IFERROR(HLOOKUP($C622*11,Declarations!$D$2:$S$102,$A620,FALSE),"")</f>
        <v>0</v>
      </c>
      <c r="AF622" s="457">
        <f ca="1">IFERROR(HLOOKUP($C622,Declarations!$D$2:$S$102,$A620+1,FALSE),"")</f>
        <v>0</v>
      </c>
      <c r="AG622" s="456">
        <f ca="1">IFERROR(HLOOKUP($C622*11,Declarations!$D$2:$S$102,$A620+1,FALSE),"")</f>
        <v>0</v>
      </c>
    </row>
    <row r="623" spans="1:33" x14ac:dyDescent="0.35">
      <c r="A623" s="118" t="str">
        <f>IFERROR(VLOOKUP(A618,standards,4,FALSE)+0.01,"-")</f>
        <v>-</v>
      </c>
      <c r="B623" s="477">
        <v>4</v>
      </c>
      <c r="C623" s="477">
        <f>IFERROR(IF(B623&gt;MatchDay!$U$2+MatchDay!$D$6-1,"",VLOOKUP(A618,Timetables!$A:$DK,MatchDay!$U$4+B623-MatchDay!$D$6,FALSE)),"")</f>
        <v>1</v>
      </c>
      <c r="D623" s="467" t="str">
        <f t="shared" ca="1" si="333"/>
        <v>LABAN Ella, DUNKLEY Autum, PROCTOR Alicia, MOODY Hannah</v>
      </c>
      <c r="F623" s="467"/>
      <c r="I623" s="482"/>
      <c r="K623" s="467" t="str">
        <f t="shared" si="331"/>
        <v>C'field</v>
      </c>
      <c r="M623" s="467"/>
      <c r="P623" s="468">
        <f ca="1">IFERROR(IF(OR(AD623=0,AD623="-",AD623="",AD623=" ",AD623=" ",T($C623)&lt;&gt;"",$C623=""),"",IF($A626&gt;0,VLOOKUP(AD623,female_reg,3,FALSE)-$C623*10,VLOOKUP(AD623,male_reg,3,FALSE)-$C623*10)),2)</f>
        <v>1</v>
      </c>
      <c r="Q623" s="468">
        <f ca="1">IFERROR(IF(OR(AE623=0,AE623="-",AE623="",AE623=" ",AE623=" ",T($C623)&lt;&gt;"",$C623=""),"",IF($A626&gt;0,VLOOKUP(AE623,female_reg,3,FALSE)-$C623*10,VLOOKUP(AE623,male_reg,3,FALSE)-$C623*10)),2)</f>
        <v>1</v>
      </c>
      <c r="R623" s="468">
        <f ca="1">IFERROR(IF(OR(AF623=0,AF623="-",AF623="",AF623=" ",AF623=" ",T($C623)&lt;&gt;"",$C623=""),"",IF($A626&gt;0,VLOOKUP(AF623,female_reg,3,FALSE)-$C623*10,VLOOKUP(AF623,male_reg,3,FALSE)-$C623*10)),2)</f>
        <v>1</v>
      </c>
      <c r="S623" s="468">
        <f ca="1">IFERROR(IF(OR(AG623=0,AG623="-",AG623="",AG623=" ",AG623=" ",T($C623)&lt;&gt;"",$C623=""),"",IF($A626&gt;0,VLOOKUP(AG623,female_reg,3,FALSE)-$C623*10,VLOOKUP(AG623,male_reg,3,FALSE)-$C623*10)),2)</f>
        <v>1</v>
      </c>
      <c r="T623" s="468"/>
      <c r="V623" s="467" t="str">
        <f t="shared" ca="1" si="332"/>
        <v>LABAN EllaC'field</v>
      </c>
      <c r="W623" s="467" t="str">
        <f t="shared" ca="1" si="332"/>
        <v>DUNKLEY AutumC'field</v>
      </c>
      <c r="X623" s="467" t="str">
        <f t="shared" ca="1" si="332"/>
        <v>PROCTOR AliciaC'field</v>
      </c>
      <c r="Y623" s="467" t="str">
        <f t="shared" ca="1" si="332"/>
        <v>MOODY HannahC'field</v>
      </c>
      <c r="Z623" s="467">
        <f t="shared" ca="1" si="318"/>
        <v>4</v>
      </c>
      <c r="AA623" s="467">
        <f t="shared" ca="1" si="319"/>
        <v>3</v>
      </c>
      <c r="AB623" s="467">
        <f t="shared" ca="1" si="326"/>
        <v>4</v>
      </c>
      <c r="AC623" s="467">
        <f t="shared" ca="1" si="327"/>
        <v>4</v>
      </c>
      <c r="AD623" s="456" t="str">
        <f ca="1">IFERROR(HLOOKUP($C623,Declarations!$D$2:$S$102,$A620,FALSE),"")</f>
        <v>LABAN Ella</v>
      </c>
      <c r="AE623" s="456" t="str">
        <f ca="1">IFERROR(HLOOKUP($C623*11,Declarations!$D$2:$S$102,$A620,FALSE),"")</f>
        <v>DUNKLEY Autum</v>
      </c>
      <c r="AF623" s="457" t="str">
        <f ca="1">IFERROR(HLOOKUP($C623,Declarations!$D$2:$S$102,$A620+1,FALSE),"")</f>
        <v>PROCTOR Alicia</v>
      </c>
      <c r="AG623" s="456" t="str">
        <f ca="1">IFERROR(HLOOKUP($C623*11,Declarations!$D$2:$S$102,$A620+1,FALSE),"")</f>
        <v>MOODY Hannah</v>
      </c>
    </row>
    <row r="624" spans="1:33" x14ac:dyDescent="0.35">
      <c r="A624" s="118" t="str">
        <f>IFERROR(VLOOKUP(A618,standards,5,FALSE)+0.01,"-")</f>
        <v>-</v>
      </c>
      <c r="B624" s="477">
        <v>5</v>
      </c>
      <c r="C624" s="477">
        <f>IFERROR(IF(B624&gt;MatchDay!$U$2+MatchDay!$D$6-1,"",VLOOKUP(A618,Timetables!$A:$DK,MatchDay!$U$4+B624-MatchDay!$D$6,FALSE)),"")</f>
        <v>4</v>
      </c>
      <c r="D624" s="467" t="str">
        <f t="shared" ca="1" si="333"/>
        <v>MCNEILL Emma, LILLIE Imogen, PYE Leoni, GILLIS Madelaine</v>
      </c>
      <c r="F624" s="467"/>
      <c r="I624" s="482"/>
      <c r="K624" s="467" t="str">
        <f t="shared" si="331"/>
        <v>M'bro</v>
      </c>
      <c r="M624" s="467"/>
      <c r="P624" s="468">
        <f ca="1">IFERROR(IF(OR(AD624=0,AD624="-",AD624="",AD624=" ",AD624=" ",T($C624)&lt;&gt;"",$C624=""),"",IF($A626&gt;0,VLOOKUP(AD624,female_reg,3,FALSE)-$C624*10,VLOOKUP(AD624,male_reg,3,FALSE)-$C624*10)),2)</f>
        <v>1</v>
      </c>
      <c r="Q624" s="468">
        <f ca="1">IFERROR(IF(OR(AE624=0,AE624="-",AE624="",AE624=" ",AE624=" ",T($C624)&lt;&gt;"",$C624=""),"",IF($A626&gt;0,VLOOKUP(AE624,female_reg,3,FALSE)-$C624*10,VLOOKUP(AE624,male_reg,3,FALSE)-$C624*10)),2)</f>
        <v>1</v>
      </c>
      <c r="R624" s="468">
        <f ca="1">IFERROR(IF(OR(AF624=0,AF624="-",AF624="",AF624=" ",AF624=" ",T($C624)&lt;&gt;"",$C624=""),"",IF($A626&gt;0,VLOOKUP(AF624,female_reg,3,FALSE)-$C624*10,VLOOKUP(AF624,male_reg,3,FALSE)-$C624*10)),2)</f>
        <v>1</v>
      </c>
      <c r="S624" s="468">
        <f ca="1">IFERROR(IF(OR(AG624=0,AG624="-",AG624="",AG624=" ",AG624=" ",T($C624)&lt;&gt;"",$C624=""),"",IF($A626&gt;0,VLOOKUP(AG624,female_reg,3,FALSE)-$C624*10,VLOOKUP(AG624,male_reg,3,FALSE)-$C624*10)),2)</f>
        <v>1</v>
      </c>
      <c r="T624" s="468"/>
      <c r="V624" s="467" t="str">
        <f t="shared" ca="1" si="332"/>
        <v>MCNEILL EmmaM'bro</v>
      </c>
      <c r="W624" s="467" t="str">
        <f t="shared" ca="1" si="332"/>
        <v>LILLIE ImogenM'bro</v>
      </c>
      <c r="X624" s="467" t="str">
        <f t="shared" ca="1" si="332"/>
        <v>PYE LeoniM'bro</v>
      </c>
      <c r="Y624" s="467" t="str">
        <f t="shared" ca="1" si="332"/>
        <v>GILLIS MadelaineM'bro</v>
      </c>
      <c r="Z624" s="467">
        <f t="shared" ca="1" si="318"/>
        <v>2</v>
      </c>
      <c r="AA624" s="467">
        <f t="shared" ca="1" si="319"/>
        <v>2</v>
      </c>
      <c r="AB624" s="467">
        <f t="shared" ca="1" si="326"/>
        <v>3</v>
      </c>
      <c r="AC624" s="467">
        <f t="shared" ca="1" si="327"/>
        <v>3</v>
      </c>
      <c r="AD624" s="456" t="str">
        <f ca="1">IFERROR(HLOOKUP($C624,Declarations!$D$2:$S$102,$A620,FALSE),"")</f>
        <v>MCNEILL Emma</v>
      </c>
      <c r="AE624" s="456" t="str">
        <f ca="1">IFERROR(HLOOKUP($C624*11,Declarations!$D$2:$S$102,$A620,FALSE),"")</f>
        <v>LILLIE Imogen</v>
      </c>
      <c r="AF624" s="457" t="str">
        <f ca="1">IFERROR(HLOOKUP($C624,Declarations!$D$2:$S$102,$A620+1,FALSE),"")</f>
        <v>PYE Leoni</v>
      </c>
      <c r="AG624" s="456" t="str">
        <f ca="1">IFERROR(HLOOKUP($C624*11,Declarations!$D$2:$S$102,$A620+1,FALSE),"")</f>
        <v>GILLIS Madelaine</v>
      </c>
    </row>
    <row r="625" spans="1:33" x14ac:dyDescent="0.35">
      <c r="A625" s="118" t="str">
        <f>IFERROR(VLOOKUP(A618,standards,6,FALSE)+0.01,"-")</f>
        <v>-</v>
      </c>
      <c r="B625" s="477">
        <v>6</v>
      </c>
      <c r="C625" s="477" t="str">
        <f>IFERROR(IF(B625&gt;MatchDay!$U$2+MatchDay!$D$6-1,"",VLOOKUP(A618,Timetables!$A:$DK,MatchDay!$U$4+B625-MatchDay!$D$6,FALSE)),"")</f>
        <v/>
      </c>
      <c r="D625" s="467" t="str">
        <f t="shared" si="333"/>
        <v/>
      </c>
      <c r="F625" s="467"/>
      <c r="I625" s="482"/>
      <c r="K625" s="467" t="str">
        <f t="shared" si="331"/>
        <v/>
      </c>
      <c r="M625" s="467"/>
      <c r="P625" s="468" t="str">
        <f>IFERROR(IF(OR(AD625=0,AD625="-",AD625="",AD625=" ",AD625=" ",T($C625)&lt;&gt;"",$C625=""),"",IF($A626&gt;0,VLOOKUP(AD625,female_reg,3,FALSE)-$C625*10,VLOOKUP(AD625,male_reg,3,FALSE)-$C625*10)),2)</f>
        <v/>
      </c>
      <c r="Q625" s="468" t="str">
        <f>IFERROR(IF(OR(AE625=0,AE625="-",AE625="",AE625=" ",AE625=" ",T($C625)&lt;&gt;"",$C625=""),"",IF($A626&gt;0,VLOOKUP(AE625,female_reg,3,FALSE)-$C625*10,VLOOKUP(AE625,male_reg,3,FALSE)-$C625*10)),2)</f>
        <v/>
      </c>
      <c r="R625" s="468" t="str">
        <f>IFERROR(IF(OR(AF625=0,AF625="-",AF625="",AF625=" ",AF625=" ",T($C625)&lt;&gt;"",$C625=""),"",IF($A626&gt;0,VLOOKUP(AF625,female_reg,3,FALSE)-$C625*10,VLOOKUP(AF625,male_reg,3,FALSE)-$C625*10)),2)</f>
        <v/>
      </c>
      <c r="S625" s="468" t="str">
        <f>IFERROR(IF(OR(AG625=0,AG625="-",AG625="",AG625=" ",AG625=" ",T($C625)&lt;&gt;"",$C625=""),"",IF($A626&gt;0,VLOOKUP(AG625,female_reg,3,FALSE)-$C625*10,VLOOKUP(AG625,male_reg,3,FALSE)-$C625*10)),2)</f>
        <v/>
      </c>
      <c r="T625" s="468"/>
      <c r="V625" s="467" t="str">
        <f t="shared" si="332"/>
        <v>X</v>
      </c>
      <c r="W625" s="467" t="str">
        <f t="shared" si="332"/>
        <v>X</v>
      </c>
      <c r="X625" s="467" t="str">
        <f t="shared" si="332"/>
        <v>X</v>
      </c>
      <c r="Y625" s="467" t="str">
        <f t="shared" si="332"/>
        <v>X</v>
      </c>
      <c r="Z625" s="467">
        <f t="shared" si="318"/>
        <v>0</v>
      </c>
      <c r="AA625" s="467">
        <f t="shared" si="319"/>
        <v>0</v>
      </c>
      <c r="AB625" s="467">
        <f t="shared" si="326"/>
        <v>0</v>
      </c>
      <c r="AC625" s="467">
        <f t="shared" si="327"/>
        <v>0</v>
      </c>
      <c r="AD625" s="456" t="str">
        <f>IFERROR(HLOOKUP($C625,Declarations!$D$2:$S$102,$A620,FALSE),"")</f>
        <v/>
      </c>
      <c r="AE625" s="456" t="str">
        <f>IFERROR(HLOOKUP($C625*11,Declarations!$D$2:$S$102,$A620,FALSE),"")</f>
        <v/>
      </c>
      <c r="AF625" s="457" t="str">
        <f>IFERROR(HLOOKUP($C625,Declarations!$D$2:$S$102,$A620+1,FALSE),"")</f>
        <v/>
      </c>
      <c r="AG625" s="456" t="str">
        <f>IFERROR(HLOOKUP($C625*11,Declarations!$D$2:$S$102,$A620+1,FALSE),"")</f>
        <v/>
      </c>
    </row>
    <row r="626" spans="1:33" x14ac:dyDescent="0.35">
      <c r="A626" s="479">
        <f>IFERROR(SEARCH("Girls",B618),0)</f>
        <v>14</v>
      </c>
      <c r="B626" s="477">
        <v>7</v>
      </c>
      <c r="C626" s="477" t="str">
        <f>IFERROR(IF(B626&gt;MatchDay!$U$2+MatchDay!$D$6-1,"",VLOOKUP(A618,Timetables!$A:$DK,MatchDay!$U$4+B626-MatchDay!$D$6,FALSE)),"")</f>
        <v/>
      </c>
      <c r="D626" s="467" t="str">
        <f t="shared" si="333"/>
        <v/>
      </c>
      <c r="F626" s="467"/>
      <c r="I626" s="482"/>
      <c r="K626" s="467" t="str">
        <f t="shared" si="331"/>
        <v/>
      </c>
      <c r="M626" s="467"/>
      <c r="P626" s="468" t="str">
        <f>IFERROR(IF(OR(AD626=0,AD626="-",AD626="",AD626=" ",AD626=" ",T($C626)&lt;&gt;"",$C626=""),"",IF($A626&gt;0,VLOOKUP(AD626,female_reg,3,FALSE)-$C626*10,VLOOKUP(AD626,male_reg,3,FALSE)-$C626*10)),2)</f>
        <v/>
      </c>
      <c r="Q626" s="468" t="str">
        <f>IFERROR(IF(OR(AE626=0,AE626="-",AE626="",AE626=" ",AE626=" ",T($C626)&lt;&gt;"",$C626=""),"",IF($A626&gt;0,VLOOKUP(AE626,female_reg,3,FALSE)-$C626*10,VLOOKUP(AE626,male_reg,3,FALSE)-$C626*10)),2)</f>
        <v/>
      </c>
      <c r="R626" s="468" t="str">
        <f>IFERROR(IF(OR(AF626=0,AF626="-",AF626="",AF626=" ",AF626=" ",T($C626)&lt;&gt;"",$C626=""),"",IF($A626&gt;0,VLOOKUP(AF626,female_reg,3,FALSE)-$C626*10,VLOOKUP(AF626,male_reg,3,FALSE)-$C626*10)),2)</f>
        <v/>
      </c>
      <c r="S626" s="468" t="str">
        <f>IFERROR(IF(OR(AG626=0,AG626="-",AG626="",AG626=" ",AG626=" ",T($C626)&lt;&gt;"",$C626=""),"",IF($A626&gt;0,VLOOKUP(AG626,female_reg,3,FALSE)-$C626*10,VLOOKUP(AG626,male_reg,3,FALSE)-$C626*10)),2)</f>
        <v/>
      </c>
      <c r="T626" s="468"/>
      <c r="V626" s="467" t="str">
        <f t="shared" si="332"/>
        <v>X</v>
      </c>
      <c r="W626" s="467" t="str">
        <f t="shared" si="332"/>
        <v>X</v>
      </c>
      <c r="X626" s="467" t="str">
        <f t="shared" si="332"/>
        <v>X</v>
      </c>
      <c r="Y626" s="467" t="str">
        <f t="shared" si="332"/>
        <v>X</v>
      </c>
      <c r="Z626" s="467">
        <f t="shared" si="318"/>
        <v>0</v>
      </c>
      <c r="AA626" s="467">
        <f t="shared" si="319"/>
        <v>0</v>
      </c>
      <c r="AB626" s="467">
        <f t="shared" si="326"/>
        <v>0</v>
      </c>
      <c r="AC626" s="467">
        <f t="shared" si="327"/>
        <v>0</v>
      </c>
      <c r="AD626" s="456" t="str">
        <f>IFERROR(HLOOKUP($C626,Declarations!$D$2:$S$102,$A620,FALSE),"")</f>
        <v/>
      </c>
      <c r="AE626" s="456" t="str">
        <f>IFERROR(HLOOKUP($C626*11,Declarations!$D$2:$S$102,$A620,FALSE),"")</f>
        <v/>
      </c>
      <c r="AF626" s="457" t="str">
        <f>IFERROR(HLOOKUP($C626,Declarations!$D$2:$S$102,$A620+1,FALSE),"")</f>
        <v/>
      </c>
      <c r="AG626" s="456" t="str">
        <f>IFERROR(HLOOKUP($C626*11,Declarations!$D$2:$S$102,$A620+1,FALSE),"")</f>
        <v/>
      </c>
    </row>
    <row r="627" spans="1:33" x14ac:dyDescent="0.35">
      <c r="A627" s="116">
        <f>IFERROR(VLOOKUP(A618,records,5,FALSE),"")</f>
        <v>1.9575231481481483E-3</v>
      </c>
      <c r="B627" s="477">
        <v>8</v>
      </c>
      <c r="C627" s="477" t="str">
        <f>IFERROR(IF(B627&gt;MatchDay!$U$2+MatchDay!$D$6-1,"",VLOOKUP(A618,Timetables!$A:$DK,MatchDay!$U$4+B627-MatchDay!$D$6,FALSE)),"")</f>
        <v/>
      </c>
      <c r="D627" s="467" t="str">
        <f t="shared" si="333"/>
        <v/>
      </c>
      <c r="F627" s="467"/>
      <c r="I627" s="482"/>
      <c r="K627" s="467" t="str">
        <f t="shared" si="331"/>
        <v/>
      </c>
      <c r="M627" s="467"/>
      <c r="P627" s="468" t="str">
        <f>IFERROR(IF(OR(AD627=0,AD627="-",AD627="",AD627=" ",AD627=" ",T($C627)&lt;&gt;"",$C627=""),"",IF($A626&gt;0,VLOOKUP(AD627,female_reg,3,FALSE)-$C627*10,VLOOKUP(AD627,male_reg,3,FALSE)-$C627*10)),2)</f>
        <v/>
      </c>
      <c r="Q627" s="468" t="str">
        <f>IFERROR(IF(OR(AE627=0,AE627="-",AE627="",AE627=" ",AE627=" ",T($C627)&lt;&gt;"",$C627=""),"",IF($A626&gt;0,VLOOKUP(AE627,female_reg,3,FALSE)-$C627*10,VLOOKUP(AE627,male_reg,3,FALSE)-$C627*10)),2)</f>
        <v/>
      </c>
      <c r="R627" s="468" t="str">
        <f>IFERROR(IF(OR(AF627=0,AF627="-",AF627="",AF627=" ",AF627=" ",T($C627)&lt;&gt;"",$C627=""),"",IF($A626&gt;0,VLOOKUP(AF627,female_reg,3,FALSE)-$C627*10,VLOOKUP(AF627,male_reg,3,FALSE)-$C627*10)),2)</f>
        <v/>
      </c>
      <c r="S627" s="468" t="str">
        <f>IFERROR(IF(OR(AG627=0,AG627="-",AG627="",AG627=" ",AG627=" ",T($C627)&lt;&gt;"",$C627=""),"",IF($A626&gt;0,VLOOKUP(AG627,female_reg,3,FALSE)-$C627*10,VLOOKUP(AG627,male_reg,3,FALSE)-$C627*10)),2)</f>
        <v/>
      </c>
      <c r="T627" s="468"/>
      <c r="V627" s="467" t="str">
        <f t="shared" si="332"/>
        <v>X</v>
      </c>
      <c r="W627" s="467" t="str">
        <f t="shared" si="332"/>
        <v>X</v>
      </c>
      <c r="X627" s="467" t="str">
        <f t="shared" si="332"/>
        <v>X</v>
      </c>
      <c r="Y627" s="467" t="str">
        <f t="shared" si="332"/>
        <v>X</v>
      </c>
      <c r="Z627" s="467">
        <f t="shared" si="318"/>
        <v>0</v>
      </c>
      <c r="AA627" s="467">
        <f t="shared" si="319"/>
        <v>0</v>
      </c>
      <c r="AB627" s="467">
        <f t="shared" si="326"/>
        <v>0</v>
      </c>
      <c r="AC627" s="467">
        <f t="shared" si="327"/>
        <v>0</v>
      </c>
      <c r="AD627" s="456" t="str">
        <f>IFERROR(HLOOKUP($C627,Declarations!$D$2:$S$102,$A620,FALSE),"")</f>
        <v/>
      </c>
      <c r="AE627" s="456" t="str">
        <f>IFERROR(HLOOKUP($C627*11,Declarations!$D$2:$S$102,$A620,FALSE),"")</f>
        <v/>
      </c>
      <c r="AF627" s="457" t="str">
        <f>IFERROR(HLOOKUP($C627,Declarations!$D$2:$S$102,$A620+1,FALSE),"")</f>
        <v/>
      </c>
      <c r="AG627" s="456" t="str">
        <f>IFERROR(HLOOKUP($C627*11,Declarations!$D$2:$S$102,$A620+1,FALSE),"")</f>
        <v/>
      </c>
    </row>
    <row r="628" spans="1:33" x14ac:dyDescent="0.35">
      <c r="P628" s="468" t="str">
        <f>IFERROR(IF(OR(AD628=0,AD628="-",AD628="",AD628=" ",AD628=" ",T($C628)&lt;&gt;"",$C628=""),"",IF($A626&gt;0,VLOOKUP(AD628,female_reg,3,FALSE)-$C628*10,VLOOKUP(AD628,male_reg,3,FALSE)-$C628*10)),2)</f>
        <v/>
      </c>
      <c r="Q628" s="468" t="str">
        <f>IFERROR(IF(OR(AE628=0,AE628="-",AE628="",AE628=" ",AE628=" ",T($C628)&lt;&gt;"",$C628=""),"",IF($A626&gt;0,VLOOKUP(AE628,female_reg,3,FALSE)-$C628*10,VLOOKUP(AE628,male_reg,3,FALSE)-$C628*10)),2)</f>
        <v/>
      </c>
      <c r="R628" s="468" t="str">
        <f>IFERROR(IF(OR(AF628=0,AF628="-",AF628="",AF628=" ",AF628=" ",T($C628)&lt;&gt;"",$C628=""),"",IF($A626&gt;0,VLOOKUP(AF628,female_reg,3,FALSE)-$C628*10,VLOOKUP(AF628,male_reg,3,FALSE)-$C628*10)),2)</f>
        <v/>
      </c>
      <c r="S628" s="468" t="str">
        <f>IFERROR(IF(OR(AG628=0,AG628="-",AG628="",AG628=" ",AG628=" ",T($C628)&lt;&gt;"",$C628=""),"",IF($A626&gt;0,VLOOKUP(AG628,female_reg,3,FALSE)-$C628*10,VLOOKUP(AG628,male_reg,3,FALSE)-$C628*10)),2)</f>
        <v/>
      </c>
      <c r="T628" s="468"/>
      <c r="Z628" s="467">
        <f t="shared" ca="1" si="318"/>
        <v>0</v>
      </c>
      <c r="AA628" s="467">
        <f t="shared" ca="1" si="319"/>
        <v>0</v>
      </c>
      <c r="AB628" s="467">
        <f t="shared" ca="1" si="326"/>
        <v>0</v>
      </c>
      <c r="AC628" s="467">
        <f t="shared" ca="1" si="327"/>
        <v>0</v>
      </c>
      <c r="AD628" s="456" t="str">
        <f>E628&amp;D628</f>
        <v/>
      </c>
      <c r="AE628" s="456" t="str">
        <f>G628&amp;D628</f>
        <v/>
      </c>
      <c r="AF628" s="456" t="str">
        <f>J628&amp;D628</f>
        <v/>
      </c>
      <c r="AG628" s="456" t="str">
        <f>K628&amp;D628</f>
        <v/>
      </c>
    </row>
    <row r="629" spans="1:33" x14ac:dyDescent="0.35">
      <c r="A629" s="111" t="str">
        <f>IFERROR("L"&amp;A630,"")</f>
        <v>LTDR2</v>
      </c>
      <c r="B629" s="469" t="str">
        <f>IFERROR(VLOOKUP(A629,timetables,2,FALSE)&amp;" "&amp;VLOOKUP(A629,timetables,3,FALSE),"")</f>
        <v>4 x 300m U15 Boys</v>
      </c>
      <c r="C629" s="469"/>
      <c r="E629" s="470" t="str">
        <f>"Starts "&amp;TEXT(VLOOKUP(A629,timetables,7-MatchDay!$U$7,FALSE),"hh:mm")</f>
        <v>Starts 16:25</v>
      </c>
      <c r="F629" s="471"/>
      <c r="H629" s="472" t="str">
        <f>IFERROR("Rec: "&amp;TEXT(VLOOKUP(A629,records,5,FALSE),"mm:ss.00")&amp;", "&amp;VLOOKUP(A629,records,4,FALSE)&amp;", "&amp;VLOOKUP(A629,records,8,FALSE),"")</f>
        <v>Rec: 02:33.40, Sale Harriers, 2017</v>
      </c>
      <c r="K629" s="473"/>
      <c r="L629" s="474"/>
      <c r="M629" s="467"/>
      <c r="P629" s="468" t="str">
        <f>IFERROR(IF(OR(AD629=0,AD629="-",AD629="",AD629=" ",AD629=" ",T($C629)&lt;&gt;"",$C629=""),"",IF($A626&gt;0,VLOOKUP(AD629,female_reg,3,FALSE)-$C629*10,VLOOKUP(AD629,male_reg,3,FALSE)-$C629*10)),2)</f>
        <v/>
      </c>
      <c r="Q629" s="468" t="str">
        <f>IFERROR(IF(OR(AE629=0,AE629="-",AE629="",AE629=" ",AE629=" ",T($C629)&lt;&gt;"",$C629=""),"",IF($A626&gt;0,VLOOKUP(AE629,female_reg,3,FALSE)-$C629*10,VLOOKUP(AE629,male_reg,3,FALSE)-$C629*10)),2)</f>
        <v/>
      </c>
      <c r="R629" s="468" t="str">
        <f>IFERROR(IF(OR(AF629=0,AF629="-",AF629="",AF629=" ",AF629=" ",T($C629)&lt;&gt;"",$C629=""),"",IF($A626&gt;0,VLOOKUP(AF629,female_reg,3,FALSE)-$C629*10,VLOOKUP(AF629,male_reg,3,FALSE)-$C629*10)),2)</f>
        <v/>
      </c>
      <c r="S629" s="468" t="str">
        <f>IFERROR(IF(OR(AG629=0,AG629="-",AG629="",AG629=" ",AG629=" ",T($C629)&lt;&gt;"",$C629=""),"",IF($A626&gt;0,VLOOKUP(AG629,female_reg,3,FALSE)-$C629*10,VLOOKUP(AG629,male_reg,3,FALSE)-$C629*10)),2)</f>
        <v/>
      </c>
      <c r="T629" s="468"/>
      <c r="Z629" s="467">
        <f t="shared" ca="1" si="318"/>
        <v>0</v>
      </c>
      <c r="AA629" s="467">
        <f t="shared" ca="1" si="319"/>
        <v>0</v>
      </c>
      <c r="AB629" s="467">
        <f t="shared" ca="1" si="326"/>
        <v>0</v>
      </c>
      <c r="AC629" s="467">
        <f t="shared" ca="1" si="327"/>
        <v>0</v>
      </c>
    </row>
    <row r="630" spans="1:33" x14ac:dyDescent="0.35">
      <c r="A630" s="85" t="s">
        <v>505</v>
      </c>
      <c r="B630" s="9" t="s">
        <v>786</v>
      </c>
      <c r="C630" s="9" t="s">
        <v>183</v>
      </c>
      <c r="D630" s="46" t="s">
        <v>1263</v>
      </c>
      <c r="E630" s="46"/>
      <c r="F630" s="46"/>
      <c r="G630" s="46"/>
      <c r="H630" s="46"/>
      <c r="I630" s="9"/>
      <c r="J630" s="478"/>
      <c r="L630" s="466">
        <f>IFERROR(SEARCH("NS",B629),0)</f>
        <v>0</v>
      </c>
      <c r="M630" s="467"/>
      <c r="O630" s="476"/>
      <c r="P630" s="468" t="str">
        <f>IFERROR(IF(OR(AD630=0,AD630="-",AD630="",AD630=" ",AD630=" ",T($C630)&lt;&gt;"",$C630=""),"",IF($A626&gt;0,VLOOKUP(AD630,female_reg,3,FALSE)-$C630*10,VLOOKUP(AD630,male_reg,3,FALSE)-$C630*10)),2)</f>
        <v/>
      </c>
      <c r="Q630" s="468" t="str">
        <f>IFERROR(IF(OR(AE630=0,AE630="-",AE630="",AE630=" ",AE630=" ",T($C630)&lt;&gt;"",$C630=""),"",IF($A626&gt;0,VLOOKUP(AE630,female_reg,3,FALSE)-$C630*10,VLOOKUP(AE630,male_reg,3,FALSE)-$C630*10)),2)</f>
        <v/>
      </c>
      <c r="R630" s="468" t="str">
        <f>IFERROR(IF(OR(AF630=0,AF630="-",AF630="",AF630=" ",AF630=" ",T($C630)&lt;&gt;"",$C630=""),"",IF($A626&gt;0,VLOOKUP(AF630,female_reg,3,FALSE)-$C630*10,VLOOKUP(AF630,male_reg,3,FALSE)-$C630*10)),2)</f>
        <v/>
      </c>
      <c r="S630" s="468" t="str">
        <f>IFERROR(IF(OR(AG630=0,AG630="-",AG630="",AG630=" ",AG630=" ",T($C630)&lt;&gt;"",$C630=""),"",IF($A626&gt;0,VLOOKUP(AG630,female_reg,3,FALSE)-$C630*10,VLOOKUP(AG630,male_reg,3,FALSE)-$C630*10)),2)</f>
        <v/>
      </c>
      <c r="T630" s="468"/>
      <c r="Z630" s="467">
        <f t="shared" ca="1" si="318"/>
        <v>0</v>
      </c>
      <c r="AA630" s="467">
        <f t="shared" ca="1" si="319"/>
        <v>0</v>
      </c>
      <c r="AB630" s="467">
        <f t="shared" ca="1" si="326"/>
        <v>0</v>
      </c>
      <c r="AC630" s="467">
        <f t="shared" ca="1" si="327"/>
        <v>0</v>
      </c>
    </row>
    <row r="631" spans="1:33" x14ac:dyDescent="0.35">
      <c r="A631" s="181">
        <f>IFERROR(VLOOKUP(A629,Timetables!$A:$E,5,FALSE)-1,"")</f>
        <v>74</v>
      </c>
      <c r="B631" s="477">
        <v>1</v>
      </c>
      <c r="C631" s="477">
        <f>IFERROR(IF(B631&gt;MatchDay!$U$2,"",IF(MatchDay!$D$6=2,"",VLOOKUP(A629,Timetables!$A:$DK,MatchDay!$U$4+B631-MatchDay!$D$6,FALSE))),"")</f>
        <v>3</v>
      </c>
      <c r="D631" s="467" t="str">
        <f ca="1">IFERROR(IF(OR(AD631=0,AD631=""),"",AD631&amp;", "&amp;AE631&amp;", "&amp;AF631&amp;", "&amp;AG631),"")</f>
        <v>HENSON Isaac, BRATLEY Jack, HANLEY Edward, BROOKS Rory</v>
      </c>
      <c r="F631" s="467"/>
      <c r="I631" s="482"/>
      <c r="K631" s="467" t="str">
        <f t="shared" ref="K631:K638" si="334">IFERROR(VLOOKUP(C631,teamlookup,5,FALSE),"")</f>
        <v>York</v>
      </c>
      <c r="M631" s="467"/>
      <c r="P631" s="468">
        <f ca="1">IFERROR(IF(OR(AD631=0,AD631="-",AD631="",AD631=" ",AD631=" ",T($C631)&lt;&gt;"",$C631=""),"",IF($A637&gt;0,VLOOKUP(AD631,female_reg,3,FALSE)-$C631*10,VLOOKUP(AD631,male_reg,3,FALSE)-$C631*10)),2)</f>
        <v>1</v>
      </c>
      <c r="Q631" s="468">
        <f ca="1">IFERROR(IF(OR(AE631=0,AE631="-",AE631="",AE631=" ",AE631=" ",T($C631)&lt;&gt;"",$C631=""),"",IF($A637&gt;0,VLOOKUP(AE631,female_reg,3,FALSE)-$C631*10,VLOOKUP(AE631,male_reg,3,FALSE)-$C631*10)),2)</f>
        <v>1</v>
      </c>
      <c r="R631" s="468">
        <f ca="1">IFERROR(IF(OR(AF631=0,AF631="-",AF631="",AF631=" ",AF631=" ",T($C631)&lt;&gt;"",$C631=""),"",IF($A637&gt;0,VLOOKUP(AF631,female_reg,3,FALSE)-$C631*10,VLOOKUP(AF631,male_reg,3,FALSE)-$C631*10)),2)</f>
        <v>1</v>
      </c>
      <c r="S631" s="468">
        <f ca="1">IFERROR(IF(OR(AG631=0,AG631="-",AG631="",AG631=" ",AG631=" ",T($C631)&lt;&gt;"",$C631=""),"",IF($A637&gt;0,VLOOKUP(AG631,female_reg,3,FALSE)-$C631*10,VLOOKUP(AG631,male_reg,3,FALSE)-$C631*10)),2)</f>
        <v>1</v>
      </c>
      <c r="T631" s="468"/>
      <c r="V631" s="467" t="str">
        <f t="shared" ref="V631:Y638" ca="1" si="335">IFERROR(IF(OR(AD631=0,AD631=""),"X",AD631&amp;VLOOKUP($C631,teamlookup,5,FALSE)),"X")</f>
        <v>HENSON IsaacYork</v>
      </c>
      <c r="W631" s="467" t="str">
        <f t="shared" ca="1" si="335"/>
        <v>BRATLEY JackYork</v>
      </c>
      <c r="X631" s="467" t="str">
        <f t="shared" ca="1" si="335"/>
        <v>HANLEY EdwardYork</v>
      </c>
      <c r="Y631" s="467" t="str">
        <f t="shared" ca="1" si="335"/>
        <v>BROOKS RoryYork</v>
      </c>
      <c r="Z631" s="467">
        <f t="shared" ca="1" si="318"/>
        <v>4</v>
      </c>
      <c r="AA631" s="467">
        <f t="shared" ca="1" si="319"/>
        <v>3</v>
      </c>
      <c r="AB631" s="467">
        <f t="shared" ca="1" si="326"/>
        <v>2</v>
      </c>
      <c r="AC631" s="467">
        <f t="shared" ca="1" si="327"/>
        <v>4</v>
      </c>
      <c r="AD631" s="456" t="str">
        <f ca="1">IFERROR(HLOOKUP($C631,Declarations!$D$2:$S$102,$A631,FALSE),"")</f>
        <v>HENSON Isaac</v>
      </c>
      <c r="AE631" s="456" t="str">
        <f ca="1">IFERROR(HLOOKUP($C631*11,Declarations!$D$2:$S$102,$A631,FALSE),"")</f>
        <v>BRATLEY Jack</v>
      </c>
      <c r="AF631" s="457" t="str">
        <f ca="1">IFERROR(HLOOKUP($C631,Declarations!$D$2:$S$102,$A631+1,FALSE),"")</f>
        <v>HANLEY Edward</v>
      </c>
      <c r="AG631" s="456" t="str">
        <f ca="1">IFERROR(HLOOKUP($C631*11,Declarations!$D$2:$S$102,$A631+1,FALSE),"")</f>
        <v>BROOKS Rory</v>
      </c>
    </row>
    <row r="632" spans="1:33" x14ac:dyDescent="0.35">
      <c r="A632" s="468">
        <v>38</v>
      </c>
      <c r="B632" s="477">
        <v>2</v>
      </c>
      <c r="C632" s="477">
        <f>IFERROR(IF(B632&gt;MatchDay!$U$2+MatchDay!$D$6-1,"",VLOOKUP(A629,Timetables!$A:$DK,MatchDay!$U$4+B632-MatchDay!$D$6,FALSE)),"")</f>
        <v>5</v>
      </c>
      <c r="D632" s="467" t="str">
        <f t="shared" ref="D632:D638" ca="1" si="336">IFERROR(IF(OR(AD632=0,AD632=""),"",AD632&amp;", "&amp;AE632&amp;", "&amp;AF632&amp;", "&amp;AG632),"")</f>
        <v/>
      </c>
      <c r="F632" s="467"/>
      <c r="I632" s="482"/>
      <c r="K632" s="467" t="str">
        <f t="shared" si="334"/>
        <v>Scun</v>
      </c>
      <c r="M632" s="467"/>
      <c r="P632" s="468" t="str">
        <f ca="1">IFERROR(IF(OR(AD632=0,AD632="-",AD632="",AD632=" ",AD632=" ",T($C632)&lt;&gt;"",$C632=""),"",IF($A637&gt;0,VLOOKUP(AD632,female_reg,3,FALSE)-$C632*10,VLOOKUP(AD632,male_reg,3,FALSE)-$C632*10)),2)</f>
        <v/>
      </c>
      <c r="Q632" s="468" t="str">
        <f ca="1">IFERROR(IF(OR(AE632=0,AE632="-",AE632="",AE632=" ",AE632=" ",T($C632)&lt;&gt;"",$C632=""),"",IF($A637&gt;0,VLOOKUP(AE632,female_reg,3,FALSE)-$C632*10,VLOOKUP(AE632,male_reg,3,FALSE)-$C632*10)),2)</f>
        <v/>
      </c>
      <c r="R632" s="468" t="str">
        <f ca="1">IFERROR(IF(OR(AF632=0,AF632="-",AF632="",AF632=" ",AF632=" ",T($C632)&lt;&gt;"",$C632=""),"",IF($A637&gt;0,VLOOKUP(AF632,female_reg,3,FALSE)-$C632*10,VLOOKUP(AF632,male_reg,3,FALSE)-$C632*10)),2)</f>
        <v/>
      </c>
      <c r="S632" s="468" t="str">
        <f ca="1">IFERROR(IF(OR(AG632=0,AG632="-",AG632="",AG632=" ",AG632=" ",T($C632)&lt;&gt;"",$C632=""),"",IF($A637&gt;0,VLOOKUP(AG632,female_reg,3,FALSE)-$C632*10,VLOOKUP(AG632,male_reg,3,FALSE)-$C632*10)),2)</f>
        <v/>
      </c>
      <c r="T632" s="468"/>
      <c r="V632" s="467" t="str">
        <f t="shared" ca="1" si="335"/>
        <v>X</v>
      </c>
      <c r="W632" s="467" t="str">
        <f t="shared" ca="1" si="335"/>
        <v>X</v>
      </c>
      <c r="X632" s="467" t="str">
        <f t="shared" ca="1" si="335"/>
        <v>X</v>
      </c>
      <c r="Y632" s="467" t="str">
        <f t="shared" ca="1" si="335"/>
        <v>X</v>
      </c>
      <c r="Z632" s="467">
        <f t="shared" ca="1" si="318"/>
        <v>0</v>
      </c>
      <c r="AA632" s="467">
        <f t="shared" ca="1" si="319"/>
        <v>0</v>
      </c>
      <c r="AB632" s="467">
        <f t="shared" ca="1" si="326"/>
        <v>0</v>
      </c>
      <c r="AC632" s="467">
        <f t="shared" ca="1" si="327"/>
        <v>0</v>
      </c>
      <c r="AD632" s="456">
        <f ca="1">IFERROR(HLOOKUP($C632,Declarations!$D$2:$S$102,$A631,FALSE),"")</f>
        <v>0</v>
      </c>
      <c r="AE632" s="456">
        <f ca="1">IFERROR(HLOOKUP($C632*11,Declarations!$D$2:$S$102,$A631,FALSE),"")</f>
        <v>0</v>
      </c>
      <c r="AF632" s="457">
        <f ca="1">IFERROR(HLOOKUP($C632,Declarations!$D$2:$S$102,$A631+1,FALSE),"")</f>
        <v>0</v>
      </c>
      <c r="AG632" s="456">
        <f ca="1">IFERROR(HLOOKUP($C632*11,Declarations!$D$2:$S$102,$A631+1,FALSE),"")</f>
        <v>0</v>
      </c>
    </row>
    <row r="633" spans="1:33" x14ac:dyDescent="0.35">
      <c r="A633" s="118" t="str">
        <f>IFERROR(VLOOKUP(A629,standards,3,FALSE)+0.01,"-")</f>
        <v>-</v>
      </c>
      <c r="B633" s="477">
        <v>3</v>
      </c>
      <c r="C633" s="477">
        <f>IFERROR(IF(B633&gt;MatchDay!$U$2+MatchDay!$D$6-1,"",VLOOKUP(A629,Timetables!$A:$DK,MatchDay!$U$4+B633-MatchDay!$D$6,FALSE)),"")</f>
        <v>2</v>
      </c>
      <c r="D633" s="467" t="str">
        <f t="shared" ca="1" si="336"/>
        <v/>
      </c>
      <c r="F633" s="467"/>
      <c r="I633" s="482"/>
      <c r="K633" s="467" t="str">
        <f t="shared" si="334"/>
        <v>Sheff+D</v>
      </c>
      <c r="M633" s="467"/>
      <c r="P633" s="468" t="str">
        <f ca="1">IFERROR(IF(OR(AD633=0,AD633="-",AD633="",AD633=" ",AD633=" ",T($C633)&lt;&gt;"",$C633=""),"",IF($A637&gt;0,VLOOKUP(AD633,female_reg,3,FALSE)-$C633*10,VLOOKUP(AD633,male_reg,3,FALSE)-$C633*10)),2)</f>
        <v/>
      </c>
      <c r="Q633" s="468" t="str">
        <f ca="1">IFERROR(IF(OR(AE633=0,AE633="-",AE633="",AE633=" ",AE633=" ",T($C633)&lt;&gt;"",$C633=""),"",IF($A637&gt;0,VLOOKUP(AE633,female_reg,3,FALSE)-$C633*10,VLOOKUP(AE633,male_reg,3,FALSE)-$C633*10)),2)</f>
        <v/>
      </c>
      <c r="R633" s="468" t="str">
        <f ca="1">IFERROR(IF(OR(AF633=0,AF633="-",AF633="",AF633=" ",AF633=" ",T($C633)&lt;&gt;"",$C633=""),"",IF($A637&gt;0,VLOOKUP(AF633,female_reg,3,FALSE)-$C633*10,VLOOKUP(AF633,male_reg,3,FALSE)-$C633*10)),2)</f>
        <v/>
      </c>
      <c r="S633" s="468" t="str">
        <f ca="1">IFERROR(IF(OR(AG633=0,AG633="-",AG633="",AG633=" ",AG633=" ",T($C633)&lt;&gt;"",$C633=""),"",IF($A637&gt;0,VLOOKUP(AG633,female_reg,3,FALSE)-$C633*10,VLOOKUP(AG633,male_reg,3,FALSE)-$C633*10)),2)</f>
        <v/>
      </c>
      <c r="T633" s="468"/>
      <c r="V633" s="467" t="str">
        <f t="shared" ca="1" si="335"/>
        <v>X</v>
      </c>
      <c r="W633" s="467" t="str">
        <f t="shared" ca="1" si="335"/>
        <v>X</v>
      </c>
      <c r="X633" s="467" t="str">
        <f t="shared" ca="1" si="335"/>
        <v>X</v>
      </c>
      <c r="Y633" s="467" t="str">
        <f t="shared" ca="1" si="335"/>
        <v>X</v>
      </c>
      <c r="Z633" s="467">
        <f t="shared" ca="1" si="318"/>
        <v>0</v>
      </c>
      <c r="AA633" s="467">
        <f t="shared" ca="1" si="319"/>
        <v>0</v>
      </c>
      <c r="AB633" s="467">
        <f t="shared" ca="1" si="326"/>
        <v>0</v>
      </c>
      <c r="AC633" s="467">
        <f t="shared" ca="1" si="327"/>
        <v>0</v>
      </c>
      <c r="AD633" s="456">
        <f ca="1">IFERROR(HLOOKUP($C633,Declarations!$D$2:$S$102,$A631,FALSE),"")</f>
        <v>0</v>
      </c>
      <c r="AE633" s="456">
        <f ca="1">IFERROR(HLOOKUP($C633*11,Declarations!$D$2:$S$102,$A631,FALSE),"")</f>
        <v>0</v>
      </c>
      <c r="AF633" s="457">
        <f ca="1">IFERROR(HLOOKUP($C633,Declarations!$D$2:$S$102,$A631+1,FALSE),"")</f>
        <v>0</v>
      </c>
      <c r="AG633" s="456">
        <f ca="1">IFERROR(HLOOKUP($C633*11,Declarations!$D$2:$S$102,$A631+1,FALSE),"")</f>
        <v>0</v>
      </c>
    </row>
    <row r="634" spans="1:33" x14ac:dyDescent="0.35">
      <c r="A634" s="118" t="str">
        <f>IFERROR(VLOOKUP(A629,standards,4,FALSE)+0.01,"-")</f>
        <v>-</v>
      </c>
      <c r="B634" s="477">
        <v>4</v>
      </c>
      <c r="C634" s="477">
        <f>IFERROR(IF(B634&gt;MatchDay!$U$2+MatchDay!$D$6-1,"",VLOOKUP(A629,Timetables!$A:$DK,MatchDay!$U$4+B634-MatchDay!$D$6,FALSE)),"")</f>
        <v>1</v>
      </c>
      <c r="D634" s="467" t="str">
        <f t="shared" ca="1" si="336"/>
        <v>FOOT James, BETTNEY Thomas, PEERS-WAIN Jacob, MAZUREK Gracjan</v>
      </c>
      <c r="F634" s="467"/>
      <c r="I634" s="482"/>
      <c r="K634" s="467" t="str">
        <f t="shared" si="334"/>
        <v>C'field</v>
      </c>
      <c r="M634" s="467"/>
      <c r="P634" s="468">
        <f ca="1">IFERROR(IF(OR(AD634=0,AD634="-",AD634="",AD634=" ",AD634=" ",T($C634)&lt;&gt;"",$C634=""),"",IF($A637&gt;0,VLOOKUP(AD634,female_reg,3,FALSE)-$C634*10,VLOOKUP(AD634,male_reg,3,FALSE)-$C634*10)),2)</f>
        <v>1</v>
      </c>
      <c r="Q634" s="468">
        <f ca="1">IFERROR(IF(OR(AE634=0,AE634="-",AE634="",AE634=" ",AE634=" ",T($C634)&lt;&gt;"",$C634=""),"",IF($A637&gt;0,VLOOKUP(AE634,female_reg,3,FALSE)-$C634*10,VLOOKUP(AE634,male_reg,3,FALSE)-$C634*10)),2)</f>
        <v>1</v>
      </c>
      <c r="R634" s="468">
        <f ca="1">IFERROR(IF(OR(AF634=0,AF634="-",AF634="",AF634=" ",AF634=" ",T($C634)&lt;&gt;"",$C634=""),"",IF($A637&gt;0,VLOOKUP(AF634,female_reg,3,FALSE)-$C634*10,VLOOKUP(AF634,male_reg,3,FALSE)-$C634*10)),2)</f>
        <v>1</v>
      </c>
      <c r="S634" s="468">
        <f ca="1">IFERROR(IF(OR(AG634=0,AG634="-",AG634="",AG634=" ",AG634=" ",T($C634)&lt;&gt;"",$C634=""),"",IF($A637&gt;0,VLOOKUP(AG634,female_reg,3,FALSE)-$C634*10,VLOOKUP(AG634,male_reg,3,FALSE)-$C634*10)),2)</f>
        <v>1</v>
      </c>
      <c r="T634" s="468"/>
      <c r="V634" s="467" t="str">
        <f t="shared" ca="1" si="335"/>
        <v>FOOT JamesC'field</v>
      </c>
      <c r="W634" s="467" t="str">
        <f t="shared" ca="1" si="335"/>
        <v>BETTNEY ThomasC'field</v>
      </c>
      <c r="X634" s="467" t="str">
        <f t="shared" ca="1" si="335"/>
        <v>PEERS-WAIN JacobC'field</v>
      </c>
      <c r="Y634" s="467" t="str">
        <f t="shared" ca="1" si="335"/>
        <v>MAZUREK GracjanC'field</v>
      </c>
      <c r="Z634" s="467">
        <f t="shared" ca="1" si="318"/>
        <v>4</v>
      </c>
      <c r="AA634" s="467">
        <f t="shared" ca="1" si="319"/>
        <v>4</v>
      </c>
      <c r="AB634" s="467">
        <f t="shared" ca="1" si="326"/>
        <v>4</v>
      </c>
      <c r="AC634" s="467">
        <f t="shared" ca="1" si="327"/>
        <v>4</v>
      </c>
      <c r="AD634" s="456" t="str">
        <f ca="1">IFERROR(HLOOKUP($C634,Declarations!$D$2:$S$102,$A631,FALSE),"")</f>
        <v>FOOT James</v>
      </c>
      <c r="AE634" s="456" t="str">
        <f ca="1">IFERROR(HLOOKUP($C634*11,Declarations!$D$2:$S$102,$A631,FALSE),"")</f>
        <v>BETTNEY Thomas</v>
      </c>
      <c r="AF634" s="457" t="str">
        <f ca="1">IFERROR(HLOOKUP($C634,Declarations!$D$2:$S$102,$A631+1,FALSE),"")</f>
        <v>PEERS-WAIN Jacob</v>
      </c>
      <c r="AG634" s="456" t="str">
        <f ca="1">IFERROR(HLOOKUP($C634*11,Declarations!$D$2:$S$102,$A631+1,FALSE),"")</f>
        <v>MAZUREK Gracjan</v>
      </c>
    </row>
    <row r="635" spans="1:33" x14ac:dyDescent="0.35">
      <c r="A635" s="118" t="str">
        <f>IFERROR(VLOOKUP(A629,standards,5,FALSE)+0.01,"-")</f>
        <v>-</v>
      </c>
      <c r="B635" s="477">
        <v>5</v>
      </c>
      <c r="C635" s="477">
        <f>IFERROR(IF(B635&gt;MatchDay!$U$2+MatchDay!$D$6-1,"",VLOOKUP(A629,Timetables!$A:$DK,MatchDay!$U$4+B635-MatchDay!$D$6,FALSE)),"")</f>
        <v>4</v>
      </c>
      <c r="D635" s="467" t="str">
        <f t="shared" ca="1" si="336"/>
        <v>SAYERS James, IBEH Terrell, KAYE Charlie, FRENCH William</v>
      </c>
      <c r="F635" s="467"/>
      <c r="I635" s="482"/>
      <c r="K635" s="467" t="str">
        <f t="shared" si="334"/>
        <v>M'bro</v>
      </c>
      <c r="M635" s="467"/>
      <c r="P635" s="468">
        <f ca="1">IFERROR(IF(OR(AD635=0,AD635="-",AD635="",AD635=" ",AD635=" ",T($C635)&lt;&gt;"",$C635=""),"",IF($A637&gt;0,VLOOKUP(AD635,female_reg,3,FALSE)-$C635*10,VLOOKUP(AD635,male_reg,3,FALSE)-$C635*10)),2)</f>
        <v>2</v>
      </c>
      <c r="Q635" s="468">
        <f ca="1">IFERROR(IF(OR(AE635=0,AE635="-",AE635="",AE635=" ",AE635=" ",T($C635)&lt;&gt;"",$C635=""),"",IF($A637&gt;0,VLOOKUP(AE635,female_reg,3,FALSE)-$C635*10,VLOOKUP(AE635,male_reg,3,FALSE)-$C635*10)),2)</f>
        <v>1</v>
      </c>
      <c r="R635" s="468">
        <f ca="1">IFERROR(IF(OR(AF635=0,AF635="-",AF635="",AF635=" ",AF635=" ",T($C635)&lt;&gt;"",$C635=""),"",IF($A637&gt;0,VLOOKUP(AF635,female_reg,3,FALSE)-$C635*10,VLOOKUP(AF635,male_reg,3,FALSE)-$C635*10)),2)</f>
        <v>1</v>
      </c>
      <c r="S635" s="468">
        <f ca="1">IFERROR(IF(OR(AG635=0,AG635="-",AG635="",AG635=" ",AG635=" ",T($C635)&lt;&gt;"",$C635=""),"",IF($A637&gt;0,VLOOKUP(AG635,female_reg,3,FALSE)-$C635*10,VLOOKUP(AG635,male_reg,3,FALSE)-$C635*10)),2)</f>
        <v>1</v>
      </c>
      <c r="T635" s="468"/>
      <c r="V635" s="467" t="str">
        <f t="shared" ca="1" si="335"/>
        <v>SAYERS JamesM'bro</v>
      </c>
      <c r="W635" s="467" t="str">
        <f t="shared" ca="1" si="335"/>
        <v>IBEH TerrellM'bro</v>
      </c>
      <c r="X635" s="467" t="str">
        <f t="shared" ca="1" si="335"/>
        <v>KAYE CharlieM'bro</v>
      </c>
      <c r="Y635" s="467" t="str">
        <f t="shared" ca="1" si="335"/>
        <v>FRENCH WilliamM'bro</v>
      </c>
      <c r="Z635" s="467">
        <f t="shared" ca="1" si="318"/>
        <v>2</v>
      </c>
      <c r="AA635" s="467">
        <f t="shared" ca="1" si="319"/>
        <v>3</v>
      </c>
      <c r="AB635" s="467">
        <f t="shared" ca="1" si="326"/>
        <v>3</v>
      </c>
      <c r="AC635" s="467">
        <f t="shared" ca="1" si="327"/>
        <v>2</v>
      </c>
      <c r="AD635" s="456" t="str">
        <f ca="1">IFERROR(HLOOKUP($C635,Declarations!$D$2:$S$102,$A631,FALSE),"")</f>
        <v>SAYERS James</v>
      </c>
      <c r="AE635" s="456" t="str">
        <f ca="1">IFERROR(HLOOKUP($C635*11,Declarations!$D$2:$S$102,$A631,FALSE),"")</f>
        <v>IBEH Terrell</v>
      </c>
      <c r="AF635" s="457" t="str">
        <f ca="1">IFERROR(HLOOKUP($C635,Declarations!$D$2:$S$102,$A631+1,FALSE),"")</f>
        <v>KAYE Charlie</v>
      </c>
      <c r="AG635" s="456" t="str">
        <f ca="1">IFERROR(HLOOKUP($C635*11,Declarations!$D$2:$S$102,$A631+1,FALSE),"")</f>
        <v>FRENCH William</v>
      </c>
    </row>
    <row r="636" spans="1:33" x14ac:dyDescent="0.35">
      <c r="A636" s="118" t="str">
        <f>IFERROR(VLOOKUP(A629,standards,6,FALSE)+0.01,"-")</f>
        <v>-</v>
      </c>
      <c r="B636" s="477">
        <v>6</v>
      </c>
      <c r="C636" s="477" t="str">
        <f>IFERROR(IF(B636&gt;MatchDay!$U$2+MatchDay!$D$6-1,"",VLOOKUP(A629,Timetables!$A:$DK,MatchDay!$U$4+B636-MatchDay!$D$6,FALSE)),"")</f>
        <v/>
      </c>
      <c r="D636" s="467" t="str">
        <f t="shared" si="336"/>
        <v/>
      </c>
      <c r="F636" s="467"/>
      <c r="I636" s="482"/>
      <c r="K636" s="467" t="str">
        <f t="shared" si="334"/>
        <v/>
      </c>
      <c r="M636" s="467"/>
      <c r="P636" s="468" t="str">
        <f>IFERROR(IF(OR(AD636=0,AD636="-",AD636="",AD636=" ",AD636=" ",T($C636)&lt;&gt;"",$C636=""),"",IF($A637&gt;0,VLOOKUP(AD636,female_reg,3,FALSE)-$C636*10,VLOOKUP(AD636,male_reg,3,FALSE)-$C636*10)),2)</f>
        <v/>
      </c>
      <c r="Q636" s="468" t="str">
        <f>IFERROR(IF(OR(AE636=0,AE636="-",AE636="",AE636=" ",AE636=" ",T($C636)&lt;&gt;"",$C636=""),"",IF($A637&gt;0,VLOOKUP(AE636,female_reg,3,FALSE)-$C636*10,VLOOKUP(AE636,male_reg,3,FALSE)-$C636*10)),2)</f>
        <v/>
      </c>
      <c r="R636" s="468" t="str">
        <f>IFERROR(IF(OR(AF636=0,AF636="-",AF636="",AF636=" ",AF636=" ",T($C636)&lt;&gt;"",$C636=""),"",IF($A637&gt;0,VLOOKUP(AF636,female_reg,3,FALSE)-$C636*10,VLOOKUP(AF636,male_reg,3,FALSE)-$C636*10)),2)</f>
        <v/>
      </c>
      <c r="S636" s="468" t="str">
        <f>IFERROR(IF(OR(AG636=0,AG636="-",AG636="",AG636=" ",AG636=" ",T($C636)&lt;&gt;"",$C636=""),"",IF($A637&gt;0,VLOOKUP(AG636,female_reg,3,FALSE)-$C636*10,VLOOKUP(AG636,male_reg,3,FALSE)-$C636*10)),2)</f>
        <v/>
      </c>
      <c r="T636" s="468"/>
      <c r="V636" s="467" t="str">
        <f t="shared" si="335"/>
        <v>X</v>
      </c>
      <c r="W636" s="467" t="str">
        <f t="shared" si="335"/>
        <v>X</v>
      </c>
      <c r="X636" s="467" t="str">
        <f t="shared" si="335"/>
        <v>X</v>
      </c>
      <c r="Y636" s="467" t="str">
        <f t="shared" si="335"/>
        <v>X</v>
      </c>
      <c r="Z636" s="467">
        <f t="shared" si="318"/>
        <v>0</v>
      </c>
      <c r="AA636" s="467">
        <f t="shared" si="319"/>
        <v>0</v>
      </c>
      <c r="AB636" s="467">
        <f t="shared" si="326"/>
        <v>0</v>
      </c>
      <c r="AC636" s="467">
        <f t="shared" si="327"/>
        <v>0</v>
      </c>
      <c r="AD636" s="456" t="str">
        <f>IFERROR(HLOOKUP($C636,Declarations!$D$2:$S$102,$A631,FALSE),"")</f>
        <v/>
      </c>
      <c r="AE636" s="456" t="str">
        <f>IFERROR(HLOOKUP($C636*11,Declarations!$D$2:$S$102,$A631,FALSE),"")</f>
        <v/>
      </c>
      <c r="AF636" s="457" t="str">
        <f>IFERROR(HLOOKUP($C636,Declarations!$D$2:$S$102,$A631+1,FALSE),"")</f>
        <v/>
      </c>
      <c r="AG636" s="456" t="str">
        <f>IFERROR(HLOOKUP($C636*11,Declarations!$D$2:$S$102,$A631+1,FALSE),"")</f>
        <v/>
      </c>
    </row>
    <row r="637" spans="1:33" x14ac:dyDescent="0.35">
      <c r="A637" s="479">
        <f>IFERROR(SEARCH("Girls",B629),0)</f>
        <v>0</v>
      </c>
      <c r="B637" s="477">
        <v>7</v>
      </c>
      <c r="C637" s="477" t="str">
        <f>IFERROR(IF(B637&gt;MatchDay!$U$2+MatchDay!$D$6-1,"",VLOOKUP(A629,Timetables!$A:$DK,MatchDay!$U$4+B637-MatchDay!$D$6,FALSE)),"")</f>
        <v/>
      </c>
      <c r="D637" s="467" t="str">
        <f t="shared" si="336"/>
        <v/>
      </c>
      <c r="F637" s="467"/>
      <c r="I637" s="482"/>
      <c r="K637" s="467" t="str">
        <f t="shared" si="334"/>
        <v/>
      </c>
      <c r="M637" s="467"/>
      <c r="P637" s="468" t="str">
        <f>IFERROR(IF(OR(AD637=0,AD637="-",AD637="",AD637=" ",AD637=" ",T($C637)&lt;&gt;"",$C637=""),"",IF($A637&gt;0,VLOOKUP(AD637,female_reg,3,FALSE)-$C637*10,VLOOKUP(AD637,male_reg,3,FALSE)-$C637*10)),2)</f>
        <v/>
      </c>
      <c r="Q637" s="468" t="str">
        <f>IFERROR(IF(OR(AE637=0,AE637="-",AE637="",AE637=" ",AE637=" ",T($C637)&lt;&gt;"",$C637=""),"",IF($A637&gt;0,VLOOKUP(AE637,female_reg,3,FALSE)-$C637*10,VLOOKUP(AE637,male_reg,3,FALSE)-$C637*10)),2)</f>
        <v/>
      </c>
      <c r="R637" s="468" t="str">
        <f>IFERROR(IF(OR(AF637=0,AF637="-",AF637="",AF637=" ",AF637=" ",T($C637)&lt;&gt;"",$C637=""),"",IF($A637&gt;0,VLOOKUP(AF637,female_reg,3,FALSE)-$C637*10,VLOOKUP(AF637,male_reg,3,FALSE)-$C637*10)),2)</f>
        <v/>
      </c>
      <c r="S637" s="468" t="str">
        <f>IFERROR(IF(OR(AG637=0,AG637="-",AG637="",AG637=" ",AG637=" ",T($C637)&lt;&gt;"",$C637=""),"",IF($A637&gt;0,VLOOKUP(AG637,female_reg,3,FALSE)-$C637*10,VLOOKUP(AG637,male_reg,3,FALSE)-$C637*10)),2)</f>
        <v/>
      </c>
      <c r="T637" s="468"/>
      <c r="V637" s="467" t="str">
        <f t="shared" si="335"/>
        <v>X</v>
      </c>
      <c r="W637" s="467" t="str">
        <f t="shared" si="335"/>
        <v>X</v>
      </c>
      <c r="X637" s="467" t="str">
        <f t="shared" si="335"/>
        <v>X</v>
      </c>
      <c r="Y637" s="467" t="str">
        <f t="shared" si="335"/>
        <v>X</v>
      </c>
      <c r="Z637" s="467">
        <f t="shared" si="318"/>
        <v>0</v>
      </c>
      <c r="AA637" s="467">
        <f t="shared" si="319"/>
        <v>0</v>
      </c>
      <c r="AB637" s="467">
        <f t="shared" si="326"/>
        <v>0</v>
      </c>
      <c r="AC637" s="467">
        <f t="shared" si="327"/>
        <v>0</v>
      </c>
      <c r="AD637" s="456" t="str">
        <f>IFERROR(HLOOKUP($C637,Declarations!$D$2:$S$102,$A631,FALSE),"")</f>
        <v/>
      </c>
      <c r="AE637" s="456" t="str">
        <f>IFERROR(HLOOKUP($C637*11,Declarations!$D$2:$S$102,$A631,FALSE),"")</f>
        <v/>
      </c>
      <c r="AF637" s="457" t="str">
        <f>IFERROR(HLOOKUP($C637,Declarations!$D$2:$S$102,$A631+1,FALSE),"")</f>
        <v/>
      </c>
      <c r="AG637" s="456" t="str">
        <f>IFERROR(HLOOKUP($C637*11,Declarations!$D$2:$S$102,$A631+1,FALSE),"")</f>
        <v/>
      </c>
    </row>
    <row r="638" spans="1:33" x14ac:dyDescent="0.35">
      <c r="A638" s="116">
        <f>IFERROR(VLOOKUP(A629,records,5,FALSE),"")</f>
        <v>1.7754629629629631E-3</v>
      </c>
      <c r="B638" s="477">
        <v>8</v>
      </c>
      <c r="C638" s="477" t="str">
        <f>IFERROR(IF(B638&gt;MatchDay!$U$2+MatchDay!$D$6-1,"",VLOOKUP(A629,Timetables!$A:$DK,MatchDay!$U$4+B638-MatchDay!$D$6,FALSE)),"")</f>
        <v/>
      </c>
      <c r="D638" s="467" t="str">
        <f t="shared" si="336"/>
        <v/>
      </c>
      <c r="F638" s="467"/>
      <c r="I638" s="482"/>
      <c r="K638" s="467" t="str">
        <f t="shared" si="334"/>
        <v/>
      </c>
      <c r="M638" s="467"/>
      <c r="P638" s="468" t="str">
        <f>IFERROR(IF(OR(AD638=0,AD638="-",AD638="",AD638=" ",AD638=" ",T($C638)&lt;&gt;"",$C638=""),"",IF($A637&gt;0,VLOOKUP(AD638,female_reg,3,FALSE)-$C638*10,VLOOKUP(AD638,male_reg,3,FALSE)-$C638*10)),2)</f>
        <v/>
      </c>
      <c r="Q638" s="468" t="str">
        <f>IFERROR(IF(OR(AE638=0,AE638="-",AE638="",AE638=" ",AE638=" ",T($C638)&lt;&gt;"",$C638=""),"",IF($A637&gt;0,VLOOKUP(AE638,female_reg,3,FALSE)-$C638*10,VLOOKUP(AE638,male_reg,3,FALSE)-$C638*10)),2)</f>
        <v/>
      </c>
      <c r="R638" s="468" t="str">
        <f>IFERROR(IF(OR(AF638=0,AF638="-",AF638="",AF638=" ",AF638=" ",T($C638)&lt;&gt;"",$C638=""),"",IF($A637&gt;0,VLOOKUP(AF638,female_reg,3,FALSE)-$C638*10,VLOOKUP(AF638,male_reg,3,FALSE)-$C638*10)),2)</f>
        <v/>
      </c>
      <c r="S638" s="468" t="str">
        <f>IFERROR(IF(OR(AG638=0,AG638="-",AG638="",AG638=" ",AG638=" ",T($C638)&lt;&gt;"",$C638=""),"",IF($A637&gt;0,VLOOKUP(AG638,female_reg,3,FALSE)-$C638*10,VLOOKUP(AG638,male_reg,3,FALSE)-$C638*10)),2)</f>
        <v/>
      </c>
      <c r="T638" s="468"/>
      <c r="V638" s="467" t="str">
        <f t="shared" si="335"/>
        <v>X</v>
      </c>
      <c r="W638" s="467" t="str">
        <f t="shared" si="335"/>
        <v>X</v>
      </c>
      <c r="X638" s="467" t="str">
        <f t="shared" si="335"/>
        <v>X</v>
      </c>
      <c r="Y638" s="467" t="str">
        <f t="shared" si="335"/>
        <v>X</v>
      </c>
      <c r="Z638" s="467">
        <f t="shared" si="318"/>
        <v>0</v>
      </c>
      <c r="AA638" s="467">
        <f t="shared" si="319"/>
        <v>0</v>
      </c>
      <c r="AB638" s="467">
        <f t="shared" si="326"/>
        <v>0</v>
      </c>
      <c r="AC638" s="467">
        <f t="shared" si="327"/>
        <v>0</v>
      </c>
      <c r="AD638" s="456" t="str">
        <f>IFERROR(HLOOKUP($C638,Declarations!$D$2:$S$102,$A631,FALSE),"")</f>
        <v/>
      </c>
      <c r="AE638" s="456" t="str">
        <f>IFERROR(HLOOKUP($C638*11,Declarations!$D$2:$S$102,$A631,FALSE),"")</f>
        <v/>
      </c>
      <c r="AF638" s="457" t="str">
        <f>IFERROR(HLOOKUP($C638,Declarations!$D$2:$S$102,$A631+1,FALSE),"")</f>
        <v/>
      </c>
      <c r="AG638" s="456" t="str">
        <f>IFERROR(HLOOKUP($C638*11,Declarations!$D$2:$S$102,$A631+1,FALSE),"")</f>
        <v/>
      </c>
    </row>
    <row r="639" spans="1:33" x14ac:dyDescent="0.35">
      <c r="P639" s="468" t="str">
        <f>IFERROR(IF(OR(AD639=0,AD639="-",AD639="",AD639=" ",AD639=" ",T($C639)&lt;&gt;"",$C639=""),"",IF($A637&gt;0,VLOOKUP(AD639,female_reg,3,FALSE)-$C639*10,VLOOKUP(AD639,male_reg,3,FALSE)-$C639*10)),"X")</f>
        <v/>
      </c>
      <c r="Q639" s="468" t="str">
        <f>IFERROR(IF(OR(AE639=0,AE639="-",AE639="",AE639=" ",AE639=" ",T($C639)&lt;&gt;"",$C639=""),"",IF($A637&gt;0,VLOOKUP(AE639,female_reg,3,FALSE)-$C639*10,VLOOKUP(AE639,male_reg,3,FALSE)-$C639*10)),"X")</f>
        <v/>
      </c>
      <c r="R639" s="468" t="str">
        <f>IFERROR(IF(OR(AF639=0,AF639="-",AF639="",AF639=" ",AF639=" ",T($C639)&lt;&gt;"",$C639=""),"",IF($A637&gt;0,VLOOKUP(AF639,female_reg,3,FALSE)-$C639*10,VLOOKUP(AF639,male_reg,3,FALSE)-$C639*10)),"X")</f>
        <v/>
      </c>
      <c r="S639" s="468" t="str">
        <f>IFERROR(IF(OR(AG639=0,AG639="-",AG639="",AG639=" ",AG639=" ",T($C639)&lt;&gt;"",$C639=""),"",IF($A637&gt;0,VLOOKUP(AG639,female_reg,3,FALSE)-$C639*10,VLOOKUP(AG639,male_reg,3,FALSE)-$C639*10)),"X")</f>
        <v/>
      </c>
      <c r="T639" s="468" t="str">
        <f>IFERROR(IF(OR(J639=0,J639="-",J639="",J639=" ",J639=" ",T(C639)&lt;&gt;"",C639=""),"",IF($A637&gt;0,VLOOKUP(J639,female_reg,3,FALSE)-C639*10,VLOOKUP(J639,male_reg,3,FALSE)-C639*10)),"X")</f>
        <v/>
      </c>
      <c r="U639" s="468" t="str">
        <f>IFERROR(IF(OR(K639=0,K639="-",K639=" ",K639="",K639=" ",T(C639)&lt;&gt;"",C639=""),"",IF($A637&gt;0,VLOOKUP(K639,female_reg,3,FALSE)-C639*10,VLOOKUP(K639,male_reg,3,FALSE)-C639*10)),"X")</f>
        <v/>
      </c>
    </row>
    <row r="640" spans="1:33" x14ac:dyDescent="0.35">
      <c r="P640" s="468" t="str">
        <f>IFERROR(IF(OR(AD640=0,AD640="-",AD640="",AD640=" ",AD640=" ",T($C640)&lt;&gt;"",$C640=""),"",IF($A637&gt;0,VLOOKUP(AD640,female_reg,3,FALSE)-$C640*10,VLOOKUP(AD640,male_reg,3,FALSE)-$C640*10)),"X")</f>
        <v/>
      </c>
      <c r="Q640" s="468" t="str">
        <f>IFERROR(IF(OR(AE640=0,AE640="-",AE640="",AE640=" ",AE640=" ",T($C640)&lt;&gt;"",$C640=""),"",IF($A637&gt;0,VLOOKUP(AE640,female_reg,3,FALSE)-$C640*10,VLOOKUP(AE640,male_reg,3,FALSE)-$C640*10)),"X")</f>
        <v/>
      </c>
      <c r="R640" s="468" t="str">
        <f>IFERROR(IF(OR(AF640=0,AF640="-",AF640="",AF640=" ",AF640=" ",T($C640)&lt;&gt;"",$C640=""),"",IF($A637&gt;0,VLOOKUP(AF640,female_reg,3,FALSE)-$C640*10,VLOOKUP(AF640,male_reg,3,FALSE)-$C640*10)),"X")</f>
        <v/>
      </c>
      <c r="S640" s="468" t="str">
        <f>IFERROR(IF(OR(AG640=0,AG640="-",AG640="",AG640=" ",AG640=" ",T($C640)&lt;&gt;"",$C640=""),"",IF($A637&gt;0,VLOOKUP(AG640,female_reg,3,FALSE)-$C640*10,VLOOKUP(AG640,male_reg,3,FALSE)-$C640*10)),"X")</f>
        <v/>
      </c>
      <c r="T640" s="468" t="str">
        <f>IFERROR(IF(OR(J640=0,J640="-",J640="",J640=" ",J640=" ",T(C640)&lt;&gt;"",C640=""),"",IF($A637&gt;0,VLOOKUP(J640,female_reg,3,FALSE)-C640*10,VLOOKUP(J640,male_reg,3,FALSE)-C640*10)),"X")</f>
        <v/>
      </c>
      <c r="U640" s="468" t="str">
        <f>IFERROR(IF(OR(K640=0,K640="-",K640=" ",K640="",K640=" ",T(C640)&lt;&gt;"",C640=""),"",IF($A637&gt;0,VLOOKUP(K640,female_reg,3,FALSE)-C640*10,VLOOKUP(K640,male_reg,3,FALSE)-C640*10)),"X")</f>
        <v/>
      </c>
    </row>
    <row r="641" spans="16:21" x14ac:dyDescent="0.35">
      <c r="P641" s="468" t="str">
        <f>IFERROR(IF(OR(AD641=0,AD641="-",AD641="",AD641=" ",AD641=" ",T($C641)&lt;&gt;"",$C641=""),"",IF($A637&gt;0,VLOOKUP(AD641,female_reg,3,FALSE)-$C641*10,VLOOKUP(AD641,male_reg,3,FALSE)-$C641*10)),"X")</f>
        <v/>
      </c>
      <c r="Q641" s="468" t="str">
        <f>IFERROR(IF(OR(AE641=0,AE641="-",AE641="",AE641=" ",AE641=" ",T($C641)&lt;&gt;"",$C641=""),"",IF($A637&gt;0,VLOOKUP(AE641,female_reg,3,FALSE)-$C641*10,VLOOKUP(AE641,male_reg,3,FALSE)-$C641*10)),"X")</f>
        <v/>
      </c>
      <c r="R641" s="468" t="str">
        <f>IFERROR(IF(OR(AF641=0,AF641="-",AF641="",AF641=" ",AF641=" ",T($C641)&lt;&gt;"",$C641=""),"",IF($A637&gt;0,VLOOKUP(AF641,female_reg,3,FALSE)-$C641*10,VLOOKUP(AF641,male_reg,3,FALSE)-$C641*10)),"X")</f>
        <v/>
      </c>
      <c r="S641" s="468" t="str">
        <f>IFERROR(IF(OR(AG641=0,AG641="-",AG641="",AG641=" ",AG641=" ",T($C641)&lt;&gt;"",$C641=""),"",IF($A637&gt;0,VLOOKUP(AG641,female_reg,3,FALSE)-$C641*10,VLOOKUP(AG641,male_reg,3,FALSE)-$C641*10)),"X")</f>
        <v/>
      </c>
      <c r="T641" s="468" t="str">
        <f>IFERROR(IF(OR(J641=0,J641="-",J641="",J641=" ",J641=" ",T(C641)&lt;&gt;"",C641=""),"",IF($A637&gt;0,VLOOKUP(J641,female_reg,3,FALSE)-C641*10,VLOOKUP(J641,male_reg,3,FALSE)-C641*10)),"X")</f>
        <v/>
      </c>
      <c r="U641" s="468" t="str">
        <f>IFERROR(IF(OR(K641=0,K641="-",K641=" ",K641="",K641=" ",T(C641)&lt;&gt;"",C641=""),"",IF($A637&gt;0,VLOOKUP(K641,female_reg,3,FALSE)-C641*10,VLOOKUP(K641,male_reg,3,FALSE)-C641*10)),"X")</f>
        <v/>
      </c>
    </row>
  </sheetData>
  <sheetProtection algorithmName="SHA-512" hashValue="DBvBuGdA6i/+zRWP3K/pYcbZJ4OMdKnJOCbLprMk0KgBmQRUVK8PSJPe1zKZ+Vs/eomGD0O1bOkstxeKFHaRnQ==" saltValue="yIdoY6BgDzCx3hQRLrtO8Q==" spinCount="100000" sheet="1" objects="1" scenarios="1" formatCells="0" formatColumns="0" formatRows="0" sort="0" autoFilter="0"/>
  <mergeCells count="1">
    <mergeCell ref="Z1:AC1"/>
  </mergeCells>
  <conditionalFormatting sqref="C1:C134 C244 C255 C266:C572 C189 C200:C233 C178 C167 C156 C145">
    <cfRule type="expression" dxfId="151" priority="67">
      <formula>OR(AND(T($T1)="",$T1&gt;3),AND(T($Z1)="",$Z1&gt;4))</formula>
    </cfRule>
  </conditionalFormatting>
  <conditionalFormatting sqref="I1:I134 I244 I255 I266:I572 I189 I200:I233 I178 I167 I156 I145">
    <cfRule type="expression" dxfId="150" priority="66">
      <formula>OR(AND(T($U1)="",$U1&gt;3),AND(T($AA1)="",$AA1&gt;4))</formula>
    </cfRule>
  </conditionalFormatting>
  <conditionalFormatting sqref="D1:D134 D244 D255 D266:D572 D189 D200:D233 D178 D167 D156 D145">
    <cfRule type="expression" dxfId="149" priority="65">
      <formula>AND(T($P1)="",$P1=0)</formula>
    </cfRule>
  </conditionalFormatting>
  <conditionalFormatting sqref="J1:J134 J244 J255 J266:J572 J189 J200:J233 J178 J167 J156 J145">
    <cfRule type="expression" dxfId="148" priority="64">
      <formula>AND(T($Q1)="",$Q1=0)</formula>
    </cfRule>
  </conditionalFormatting>
  <conditionalFormatting sqref="E1:E134 E244 E255 E266:E572 E189 E200:E233 E178 E167 E156 E145">
    <cfRule type="expression" dxfId="147" priority="63">
      <formula>OR(AND(T($P1)="",$P1=2),AND(T($P1)="",$P1=3))</formula>
    </cfRule>
  </conditionalFormatting>
  <conditionalFormatting sqref="K1:K134 K244 K255 K266:K572 K189 K200:K233 K178 K167 K156 K145">
    <cfRule type="expression" dxfId="146" priority="62">
      <formula>OR(AND(T($Q1)="",$Q1=2),AND(T($Q1)="",$Q1=3))</formula>
    </cfRule>
  </conditionalFormatting>
  <conditionalFormatting sqref="AD576:AD638">
    <cfRule type="expression" dxfId="145" priority="61">
      <formula>AND(T($Z576)="",$Z576&gt;4)</formula>
    </cfRule>
    <cfRule type="expression" dxfId="144" priority="55">
      <formula>OR(AND(T($Z576)="",$Z576&gt;4),AND(T($P576)="",$P576=0),AND(T($P576)="",$P576=2),AND(T($P576)="",$P576=3))</formula>
    </cfRule>
  </conditionalFormatting>
  <conditionalFormatting sqref="AE576:AE638">
    <cfRule type="expression" dxfId="143" priority="60">
      <formula>AND(T($AA576)="",$AA576&gt;4)</formula>
    </cfRule>
    <cfRule type="expression" dxfId="142" priority="56">
      <formula>OR(AND(T($AA576)="",$AA576&gt;4),AND(T($Q576)="",$Q576=0),AND(T($Q576)="",$Q576=2),AND(T($Q576)="",$Q576=3))</formula>
    </cfRule>
  </conditionalFormatting>
  <conditionalFormatting sqref="AF576:AF638">
    <cfRule type="expression" dxfId="141" priority="59">
      <formula>AND(T($AB576)="",$AB576&gt;4)</formula>
    </cfRule>
    <cfRule type="expression" dxfId="140" priority="57">
      <formula>OR(AND(T($AB576)="",$AB576&gt;4),AND(T($R576)="",$R576=0),AND(T($R576)="",$R576=2),AND(T($R576)="",$R576=3))</formula>
    </cfRule>
  </conditionalFormatting>
  <conditionalFormatting sqref="AG576:AG638">
    <cfRule type="expression" dxfId="139" priority="58">
      <formula>OR(AND(T($AC576)="",$AC576&gt;4),AND(T($S576)="",$S576=0),AND(T($S576)="",$S576=2),AND(T($S576)="",$S576=3))</formula>
    </cfRule>
  </conditionalFormatting>
  <conditionalFormatting sqref="C234:C243">
    <cfRule type="expression" dxfId="138" priority="54">
      <formula>OR(AND(T($T234)="",$T234&gt;3),AND(T($Z234)="",$Z234&gt;4))</formula>
    </cfRule>
  </conditionalFormatting>
  <conditionalFormatting sqref="I234:I243">
    <cfRule type="expression" dxfId="137" priority="53">
      <formula>OR(AND(T($U234)="",$U234&gt;3),AND(T($AA234)="",$AA234&gt;4))</formula>
    </cfRule>
  </conditionalFormatting>
  <conditionalFormatting sqref="D234:D243">
    <cfRule type="expression" dxfId="136" priority="52">
      <formula>AND(T($P234)="",$P234=0)</formula>
    </cfRule>
  </conditionalFormatting>
  <conditionalFormatting sqref="J234:J243">
    <cfRule type="expression" dxfId="135" priority="51">
      <formula>AND(T($Q234)="",$Q234=0)</formula>
    </cfRule>
  </conditionalFormatting>
  <conditionalFormatting sqref="E234:E243">
    <cfRule type="expression" dxfId="134" priority="50">
      <formula>OR(AND(T($P234)="",$P234=2),AND(T($P234)="",$P234=3))</formula>
    </cfRule>
  </conditionalFormatting>
  <conditionalFormatting sqref="K234:K243">
    <cfRule type="expression" dxfId="133" priority="49">
      <formula>OR(AND(T($Q234)="",$Q234=2),AND(T($Q234)="",$Q234=3))</formula>
    </cfRule>
  </conditionalFormatting>
  <conditionalFormatting sqref="C245:C254">
    <cfRule type="expression" dxfId="132" priority="48">
      <formula>OR(AND(T($T245)="",$T245&gt;3),AND(T($Z245)="",$Z245&gt;4))</formula>
    </cfRule>
  </conditionalFormatting>
  <conditionalFormatting sqref="I245:I254">
    <cfRule type="expression" dxfId="131" priority="47">
      <formula>OR(AND(T($U245)="",$U245&gt;3),AND(T($AA245)="",$AA245&gt;4))</formula>
    </cfRule>
  </conditionalFormatting>
  <conditionalFormatting sqref="D245:D254">
    <cfRule type="expression" dxfId="130" priority="46">
      <formula>AND(T($P245)="",$P245=0)</formula>
    </cfRule>
  </conditionalFormatting>
  <conditionalFormatting sqref="J245:J254">
    <cfRule type="expression" dxfId="129" priority="45">
      <formula>AND(T($Q245)="",$Q245=0)</formula>
    </cfRule>
  </conditionalFormatting>
  <conditionalFormatting sqref="E245:E254">
    <cfRule type="expression" dxfId="128" priority="44">
      <formula>OR(AND(T($P245)="",$P245=2),AND(T($P245)="",$P245=3))</formula>
    </cfRule>
  </conditionalFormatting>
  <conditionalFormatting sqref="K245:K254">
    <cfRule type="expression" dxfId="127" priority="43">
      <formula>OR(AND(T($Q245)="",$Q245=2),AND(T($Q245)="",$Q245=3))</formula>
    </cfRule>
  </conditionalFormatting>
  <conditionalFormatting sqref="C256:C265">
    <cfRule type="expression" dxfId="126" priority="42">
      <formula>OR(AND(T($T256)="",$T256&gt;3),AND(T($Z256)="",$Z256&gt;4))</formula>
    </cfRule>
  </conditionalFormatting>
  <conditionalFormatting sqref="I256:I265">
    <cfRule type="expression" dxfId="125" priority="41">
      <formula>OR(AND(T($U256)="",$U256&gt;3),AND(T($AA256)="",$AA256&gt;4))</formula>
    </cfRule>
  </conditionalFormatting>
  <conditionalFormatting sqref="D256:D265">
    <cfRule type="expression" dxfId="124" priority="40">
      <formula>AND(T($P256)="",$P256=0)</formula>
    </cfRule>
  </conditionalFormatting>
  <conditionalFormatting sqref="J256:J265">
    <cfRule type="expression" dxfId="123" priority="39">
      <formula>AND(T($Q256)="",$Q256=0)</formula>
    </cfRule>
  </conditionalFormatting>
  <conditionalFormatting sqref="E256:E265">
    <cfRule type="expression" dxfId="122" priority="38">
      <formula>OR(AND(T($P256)="",$P256=2),AND(T($P256)="",$P256=3))</formula>
    </cfRule>
  </conditionalFormatting>
  <conditionalFormatting sqref="K256:K265">
    <cfRule type="expression" dxfId="121" priority="37">
      <formula>OR(AND(T($Q256)="",$Q256=2),AND(T($Q256)="",$Q256=3))</formula>
    </cfRule>
  </conditionalFormatting>
  <conditionalFormatting sqref="C179:C188">
    <cfRule type="expression" dxfId="120" priority="36">
      <formula>OR(AND(T($T179)="",$T179&gt;3),AND(T($Z179)="",$Z179&gt;4))</formula>
    </cfRule>
  </conditionalFormatting>
  <conditionalFormatting sqref="I179:I188">
    <cfRule type="expression" dxfId="119" priority="35">
      <formula>OR(AND(T($U179)="",$U179&gt;3),AND(T($AA179)="",$AA179&gt;4))</formula>
    </cfRule>
  </conditionalFormatting>
  <conditionalFormatting sqref="D179:D188">
    <cfRule type="expression" dxfId="118" priority="34">
      <formula>AND(T($P179)="",$P179=0)</formula>
    </cfRule>
  </conditionalFormatting>
  <conditionalFormatting sqref="J179:J188">
    <cfRule type="expression" dxfId="117" priority="33">
      <formula>AND(T($Q179)="",$Q179=0)</formula>
    </cfRule>
  </conditionalFormatting>
  <conditionalFormatting sqref="E179:E188">
    <cfRule type="expression" dxfId="116" priority="32">
      <formula>OR(AND(T($P179)="",$P179=2),AND(T($P179)="",$P179=3))</formula>
    </cfRule>
  </conditionalFormatting>
  <conditionalFormatting sqref="K179:K188">
    <cfRule type="expression" dxfId="115" priority="31">
      <formula>OR(AND(T($Q179)="",$Q179=2),AND(T($Q179)="",$Q179=3))</formula>
    </cfRule>
  </conditionalFormatting>
  <conditionalFormatting sqref="C190:C199">
    <cfRule type="expression" dxfId="114" priority="30">
      <formula>OR(AND(T($T190)="",$T190&gt;3),AND(T($Z190)="",$Z190&gt;4))</formula>
    </cfRule>
  </conditionalFormatting>
  <conditionalFormatting sqref="I190:I199">
    <cfRule type="expression" dxfId="113" priority="29">
      <formula>OR(AND(T($U190)="",$U190&gt;3),AND(T($AA190)="",$AA190&gt;4))</formula>
    </cfRule>
  </conditionalFormatting>
  <conditionalFormatting sqref="D190:D199">
    <cfRule type="expression" dxfId="112" priority="28">
      <formula>AND(T($P190)="",$P190=0)</formula>
    </cfRule>
  </conditionalFormatting>
  <conditionalFormatting sqref="J190:J199">
    <cfRule type="expression" dxfId="111" priority="27">
      <formula>AND(T($Q190)="",$Q190=0)</formula>
    </cfRule>
  </conditionalFormatting>
  <conditionalFormatting sqref="E190:E199">
    <cfRule type="expression" dxfId="110" priority="26">
      <formula>OR(AND(T($P190)="",$P190=2),AND(T($P190)="",$P190=3))</formula>
    </cfRule>
  </conditionalFormatting>
  <conditionalFormatting sqref="K190:K199">
    <cfRule type="expression" dxfId="109" priority="25">
      <formula>OR(AND(T($Q190)="",$Q190=2),AND(T($Q190)="",$Q190=3))</formula>
    </cfRule>
  </conditionalFormatting>
  <conditionalFormatting sqref="C168:C177">
    <cfRule type="expression" dxfId="108" priority="24">
      <formula>OR(AND(T($T168)="",$T168&gt;3),AND(T($Z168)="",$Z168&gt;4))</formula>
    </cfRule>
  </conditionalFormatting>
  <conditionalFormatting sqref="I168:I177">
    <cfRule type="expression" dxfId="107" priority="23">
      <formula>OR(AND(T($U168)="",$U168&gt;3),AND(T($AA168)="",$AA168&gt;4))</formula>
    </cfRule>
  </conditionalFormatting>
  <conditionalFormatting sqref="D168:D177">
    <cfRule type="expression" dxfId="106" priority="22">
      <formula>AND(T($P168)="",$P168=0)</formula>
    </cfRule>
  </conditionalFormatting>
  <conditionalFormatting sqref="J168:J177">
    <cfRule type="expression" dxfId="105" priority="21">
      <formula>AND(T($Q168)="",$Q168=0)</formula>
    </cfRule>
  </conditionalFormatting>
  <conditionalFormatting sqref="E168:E177">
    <cfRule type="expression" dxfId="104" priority="20">
      <formula>OR(AND(T($P168)="",$P168=2),AND(T($P168)="",$P168=3))</formula>
    </cfRule>
  </conditionalFormatting>
  <conditionalFormatting sqref="K168:K177">
    <cfRule type="expression" dxfId="103" priority="19">
      <formula>OR(AND(T($Q168)="",$Q168=2),AND(T($Q168)="",$Q168=3))</formula>
    </cfRule>
  </conditionalFormatting>
  <conditionalFormatting sqref="C157:C166">
    <cfRule type="expression" dxfId="102" priority="18">
      <formula>OR(AND(T($T157)="",$T157&gt;3),AND(T($Z157)="",$Z157&gt;4))</formula>
    </cfRule>
  </conditionalFormatting>
  <conditionalFormatting sqref="I157:I166">
    <cfRule type="expression" dxfId="101" priority="17">
      <formula>OR(AND(T($U157)="",$U157&gt;3),AND(T($AA157)="",$AA157&gt;4))</formula>
    </cfRule>
  </conditionalFormatting>
  <conditionalFormatting sqref="D157:D166">
    <cfRule type="expression" dxfId="100" priority="16">
      <formula>AND(T($P157)="",$P157=0)</formula>
    </cfRule>
  </conditionalFormatting>
  <conditionalFormatting sqref="J157:J166">
    <cfRule type="expression" dxfId="99" priority="15">
      <formula>AND(T($Q157)="",$Q157=0)</formula>
    </cfRule>
  </conditionalFormatting>
  <conditionalFormatting sqref="E157:E166">
    <cfRule type="expression" dxfId="98" priority="14">
      <formula>OR(AND(T($P157)="",$P157=2),AND(T($P157)="",$P157=3))</formula>
    </cfRule>
  </conditionalFormatting>
  <conditionalFormatting sqref="K157:K166">
    <cfRule type="expression" dxfId="97" priority="13">
      <formula>OR(AND(T($Q157)="",$Q157=2),AND(T($Q157)="",$Q157=3))</formula>
    </cfRule>
  </conditionalFormatting>
  <conditionalFormatting sqref="C146:C155">
    <cfRule type="expression" dxfId="96" priority="12">
      <formula>OR(AND(T($T146)="",$T146&gt;3),AND(T($Z146)="",$Z146&gt;4))</formula>
    </cfRule>
  </conditionalFormatting>
  <conditionalFormatting sqref="I146:I155">
    <cfRule type="expression" dxfId="95" priority="11">
      <formula>OR(AND(T($U146)="",$U146&gt;3),AND(T($AA146)="",$AA146&gt;4))</formula>
    </cfRule>
  </conditionalFormatting>
  <conditionalFormatting sqref="D146:D155">
    <cfRule type="expression" dxfId="94" priority="10">
      <formula>AND(T($P146)="",$P146=0)</formula>
    </cfRule>
  </conditionalFormatting>
  <conditionalFormatting sqref="J146:J155">
    <cfRule type="expression" dxfId="93" priority="9">
      <formula>AND(T($Q146)="",$Q146=0)</formula>
    </cfRule>
  </conditionalFormatting>
  <conditionalFormatting sqref="E146:E155">
    <cfRule type="expression" dxfId="92" priority="8">
      <formula>OR(AND(T($P146)="",$P146=2),AND(T($P146)="",$P146=3))</formula>
    </cfRule>
  </conditionalFormatting>
  <conditionalFormatting sqref="K146:K155">
    <cfRule type="expression" dxfId="91" priority="7">
      <formula>OR(AND(T($Q146)="",$Q146=2),AND(T($Q146)="",$Q146=3))</formula>
    </cfRule>
  </conditionalFormatting>
  <conditionalFormatting sqref="C135:C144">
    <cfRule type="expression" dxfId="90" priority="6">
      <formula>OR(AND(T($T135)="",$T135&gt;3),AND(T($Z135)="",$Z135&gt;4))</formula>
    </cfRule>
  </conditionalFormatting>
  <conditionalFormatting sqref="I135:I144">
    <cfRule type="expression" dxfId="89" priority="5">
      <formula>OR(AND(T($U135)="",$U135&gt;3),AND(T($AA135)="",$AA135&gt;4))</formula>
    </cfRule>
  </conditionalFormatting>
  <conditionalFormatting sqref="D135:D144">
    <cfRule type="expression" dxfId="88" priority="4">
      <formula>AND(T($P135)="",$P135=0)</formula>
    </cfRule>
  </conditionalFormatting>
  <conditionalFormatting sqref="J135:J144">
    <cfRule type="expression" dxfId="87" priority="3">
      <formula>AND(T($Q135)="",$Q135=0)</formula>
    </cfRule>
  </conditionalFormatting>
  <conditionalFormatting sqref="E135:E144">
    <cfRule type="expression" dxfId="86" priority="2">
      <formula>OR(AND(T($P135)="",$P135=2),AND(T($P135)="",$P135=3))</formula>
    </cfRule>
  </conditionalFormatting>
  <conditionalFormatting sqref="K135:K144">
    <cfRule type="expression" dxfId="85" priority="1">
      <formula>OR(AND(T($Q135)="",$Q135=2),AND(T($Q135)="",$Q135=3))</formula>
    </cfRule>
  </conditionalFormatting>
  <dataValidations count="1">
    <dataValidation type="custom" allowBlank="1" showInputMessage="1" showErrorMessage="1" errorTitle="Check Performance" error="Better than the one before" sqref="F5:F11 L5:M11 F16:F22 L16:M22 F27:F33 L27:M33 F38:F44 L38:M44 F49:F55 L49:M55 F60:F66 L60:M66 F71:F77 L71:M77 F82:F88 L82:M88 F93:F99 L93:M99 F104:F110 L104:M110 F115:F121 L115:M121 F126:F132 L126:M132 F148:F154 L148:M154 F159:F165 L159:M165 F170:F176 L170:M176 F192:F198 L192:M198 F258:F264 L258:M264 F181:F187 L181:M187 F203:F209 L203:M209 F214:F220 L214:M220 F225:F231 L225:M231 F566:F572 L566:M572 F236:F242 L236:M242 F247:F253 L247:M253 F269:F275 L269:M275 F280:F286 L280:M286 F291:F297 L291:M297 F302:F308 L302:M308 F313:F319 L313:M319 F324:F330 L324:M330 F335:F341 L335:M341 F346:F352 L346:M352 F357:F363 L357:M363 F368:F374 L368:M374 F379:F385 L379:M385 F390:F396 L390:M396 F401:F407 L401:M407 F412:F418 L412:M418 F423:F429 L423:M429 F434:F440 L434:M440 F445:F451 L445:M451 F456:F462 L456:M462 F467:F473 L467:M473 F478:F484 L478:M484 F489:F495 L489:M495 F500:F506 L500:M506 F511:F517 L511:M517 F522:F528 L522:M528 F533:F539 L533:M539 F544:F550 L544:M550 F555:F561 L555:M561 F137:F143 L137:M143" xr:uid="{00000000-0002-0000-0C00-000000000000}">
      <formula1>F5&gt;=F4</formula1>
    </dataValidation>
  </dataValidation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13" manualBreakCount="13">
    <brk id="45" min="1" max="13" man="1"/>
    <brk id="89" min="1" max="13" man="1"/>
    <brk id="133" min="1" max="13" man="1"/>
    <brk id="232" min="1" max="13" man="1"/>
    <brk id="309" min="1" max="13" man="1"/>
    <brk id="331" max="16383" man="1"/>
    <brk id="375" min="1" max="12" man="1"/>
    <brk id="419" min="1" max="12" man="1"/>
    <brk id="463" min="1" max="12" man="1"/>
    <brk id="507" min="1" max="12" man="1"/>
    <brk id="551" min="1" max="12" man="1"/>
    <brk id="573" max="16383" man="1"/>
    <brk id="617" min="1" max="12"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theme="7" tint="-0.249977111117893"/>
  </sheetPr>
  <dimension ref="A1:V286"/>
  <sheetViews>
    <sheetView showZeros="0" topLeftCell="B1" zoomScaleNormal="100" zoomScaleSheetLayoutView="100" workbookViewId="0">
      <pane ySplit="1" topLeftCell="A214" activePane="bottomLeft" state="frozen"/>
      <selection activeCell="T1" sqref="T1:W1048576"/>
      <selection pane="bottomLeft" activeCell="L1" sqref="L1:N1"/>
    </sheetView>
  </sheetViews>
  <sheetFormatPr defaultColWidth="8.86328125" defaultRowHeight="11.65" x14ac:dyDescent="0.35"/>
  <cols>
    <col min="1" max="1" width="8.86328125" style="64" hidden="1" customWidth="1"/>
    <col min="2" max="2" width="3.86328125" style="64" customWidth="1"/>
    <col min="3" max="3" width="3.86328125" style="66" customWidth="1"/>
    <col min="4" max="4" width="20.86328125" style="64" customWidth="1"/>
    <col min="5" max="5" width="7.86328125" style="64" customWidth="1"/>
    <col min="6" max="6" width="7.1328125" style="390" customWidth="1"/>
    <col min="7" max="7" width="4" style="198" customWidth="1"/>
    <col min="8" max="8" width="1.73046875" style="64" customWidth="1"/>
    <col min="9" max="9" width="3.86328125" style="64" customWidth="1"/>
    <col min="10" max="10" width="3.86328125" style="389" customWidth="1"/>
    <col min="11" max="11" width="20.86328125" style="64" customWidth="1"/>
    <col min="12" max="12" width="7.86328125" style="64" customWidth="1"/>
    <col min="13" max="13" width="7.1328125" style="65" customWidth="1"/>
    <col min="14" max="14" width="4" style="200" customWidth="1"/>
    <col min="15" max="15" width="8.86328125" style="64"/>
    <col min="16" max="17" width="8.86328125" style="64" customWidth="1"/>
    <col min="18" max="18" width="8.86328125" style="219" customWidth="1"/>
    <col min="19" max="19" width="8.86328125" style="66" hidden="1" customWidth="1"/>
    <col min="20" max="21" width="8.86328125" style="64" hidden="1" customWidth="1"/>
    <col min="22" max="16384" width="8.86328125" style="64"/>
  </cols>
  <sheetData>
    <row r="1" spans="1:20" ht="45" customHeight="1" x14ac:dyDescent="0.35">
      <c r="A1" s="201" t="str">
        <f>"UK ATHLETICS :: YOUTH DEVELOPMENT LEAGUE 2017 "</f>
        <v xml:space="preserve">UK ATHLETICS :: YOUTH DEVELOPMENT LEAGUE 2017 </v>
      </c>
      <c r="B1" s="223" t="str">
        <f>Dashboard!E1</f>
        <v>LOWER NORTH East 1 @ Doncaster</v>
      </c>
      <c r="D1" s="223"/>
      <c r="K1" s="202"/>
      <c r="L1" s="497">
        <f>Dashboard!E2</f>
        <v>43582</v>
      </c>
      <c r="M1" s="497"/>
      <c r="N1" s="497"/>
      <c r="P1" s="82" t="s">
        <v>253</v>
      </c>
      <c r="Q1" s="70"/>
      <c r="R1" s="203">
        <f>SUM(R2:R279)</f>
        <v>18</v>
      </c>
      <c r="S1" s="82">
        <f>SUM(S2:S279)</f>
        <v>0</v>
      </c>
    </row>
    <row r="2" spans="1:20" x14ac:dyDescent="0.35">
      <c r="A2" s="111" t="s">
        <v>32</v>
      </c>
      <c r="B2" s="112" t="str">
        <f>IFERROR(VLOOKUP(A2,timetables,2,FALSE)&amp;" "&amp;VLOOKUP(A2,timetables,3,FALSE)&amp;" A","")</f>
        <v>70m Hurdles U13 Girls A</v>
      </c>
      <c r="C2" s="112"/>
      <c r="E2" s="130" t="str">
        <f>IFERROR(IF(VLOOKUP($A2,timetables,8,FALSE)="W","Wind = ",""),"")</f>
        <v xml:space="preserve">Wind = </v>
      </c>
      <c r="F2" s="414"/>
      <c r="G2" s="119" t="str">
        <f>IFERROR(IF(OR(F4=0,F4=""),"",IF(F4&lt;A11,"REC",IF(F4=A11,"=Rec",""))),"")</f>
        <v/>
      </c>
      <c r="I2" s="114" t="str">
        <f>IFERROR(VLOOKUP(A2,timetables,2,FALSE)&amp;" "&amp;VLOOKUP(A2,timetables,3,FALSE)&amp;" B","")</f>
        <v>70m Hurdles U13 Girls B</v>
      </c>
      <c r="J2" s="115"/>
      <c r="L2" s="130" t="str">
        <f>IFERROR(IF(VLOOKUP($A2,timetables,8,FALSE)="W","Wind = ",""),"")</f>
        <v xml:space="preserve">Wind = </v>
      </c>
      <c r="M2" s="414"/>
      <c r="P2" s="66" t="s">
        <v>53</v>
      </c>
      <c r="Q2" s="66" t="s">
        <v>54</v>
      </c>
    </row>
    <row r="3" spans="1:20" x14ac:dyDescent="0.35">
      <c r="A3" s="82"/>
      <c r="B3" s="45" t="s">
        <v>230</v>
      </c>
      <c r="C3" s="45" t="s">
        <v>183</v>
      </c>
      <c r="D3" s="47" t="s">
        <v>227</v>
      </c>
      <c r="E3" s="47" t="s">
        <v>228</v>
      </c>
      <c r="F3" s="149" t="s">
        <v>229</v>
      </c>
      <c r="G3" s="199" t="s">
        <v>55</v>
      </c>
      <c r="H3" s="47"/>
      <c r="I3" s="45" t="s">
        <v>230</v>
      </c>
      <c r="J3" s="45" t="s">
        <v>183</v>
      </c>
      <c r="K3" s="47" t="s">
        <v>227</v>
      </c>
      <c r="L3" s="47" t="s">
        <v>228</v>
      </c>
      <c r="M3" s="149" t="s">
        <v>229</v>
      </c>
      <c r="N3" s="199" t="s">
        <v>55</v>
      </c>
      <c r="P3" s="66">
        <f>IFERROR(SEARCH("NS",B2),0)</f>
        <v>0</v>
      </c>
      <c r="T3" s="67"/>
    </row>
    <row r="4" spans="1:20" x14ac:dyDescent="0.35">
      <c r="A4" s="181">
        <f>IFERROR(VLOOKUP(A2,Timetables!$A:$E,5,FALSE)-1,"")</f>
        <v>35</v>
      </c>
      <c r="B4" s="117">
        <v>1</v>
      </c>
      <c r="C4" s="120">
        <v>3</v>
      </c>
      <c r="D4" s="64" t="str">
        <f ca="1">IFERROR(IF(A10=0,HLOOKUP(C4,Declarations!$D$2:$S$102,A4,FALSE),HLOOKUP(VLOOKUP(C4,Teams!$V$2:$W$19,2,FALSE),Declarations!$D$2:$S$102,A4,FALSE)),"")</f>
        <v>POUNDER Esme</v>
      </c>
      <c r="E4" s="64" t="str">
        <f>IFERROR(VLOOKUP(C4,teamlookup,5,FALSE),"")</f>
        <v>York</v>
      </c>
      <c r="F4" s="393">
        <v>11.9</v>
      </c>
      <c r="G4" s="198">
        <f>IFERROR(IF(OR(F4=0,F4="",F4&gt;$A$9-0.01),"",VLOOKUP(VLOOKUP(F4,A5:B9,2,TRUE),Points!$H$7:$I$10,2,FALSE)),"")</f>
        <v>1</v>
      </c>
      <c r="H4" s="67"/>
      <c r="I4" s="117">
        <v>1</v>
      </c>
      <c r="J4" s="392">
        <v>33</v>
      </c>
      <c r="K4" s="64" t="str">
        <f ca="1">IFERROR(IF(A10=0,HLOOKUP(J4,Declarations!$D$2:$S$102,A4,FALSE),HLOOKUP(VLOOKUP(J4,Teams!$V$2:$W$19,2,FALSE),Declarations!$D$2:$S$102,A4,FALSE)),"")</f>
        <v>GREEN-HEMMINGS Grace</v>
      </c>
      <c r="L4" s="64" t="str">
        <f t="shared" ref="L4:L11" si="0">IFERROR(VLOOKUP(J4,teamlookup,5,FALSE),"")</f>
        <v>York</v>
      </c>
      <c r="M4" s="313">
        <v>13.1</v>
      </c>
      <c r="N4" s="198">
        <f>IFERROR(IF(OR(M4=0,M4="",M4&gt;$A9-0.01),"",VLOOKUP(VLOOKUP(M4,A5:B9,2,TRUE),Points!$H$7:$I$10,2,FALSE)),"")</f>
        <v>4</v>
      </c>
      <c r="P4" s="66">
        <f ca="1">IFERROR(IF(OR(C4=0,C4="",F4=0,F4="",$P3&lt;&gt;0,LEFT(F4,1)="D"),0,VLOOKUP(B4,INDIRECT(MatchDay!$W$2),2,FALSE)),"")</f>
        <v>8</v>
      </c>
      <c r="Q4" s="66">
        <f ca="1">IFERROR(IF(OR(J4=0,J4="",M4=0,M4="",$P3&lt;&gt;0,LEFT(M4,1)="D"),0,VLOOKUP(I4,INDIRECT(MatchDay!$W$2),3,FALSE)),"")</f>
        <v>6</v>
      </c>
      <c r="R4" s="219">
        <f>COUNTIF(C4,"&gt;0")</f>
        <v>1</v>
      </c>
      <c r="S4" s="66">
        <f>IFERROR(IF(C4&gt;88,1,0),0)</f>
        <v>0</v>
      </c>
    </row>
    <row r="5" spans="1:20" x14ac:dyDescent="0.35">
      <c r="A5" s="64">
        <v>0</v>
      </c>
      <c r="B5" s="117">
        <v>2</v>
      </c>
      <c r="C5" s="120">
        <v>1</v>
      </c>
      <c r="D5" s="64" t="str">
        <f ca="1">IFERROR(IF(A10=0,HLOOKUP(C5,Declarations!$D$2:$S$102,A4,FALSE),HLOOKUP(VLOOKUP(C5,Teams!$V$2:$W$19,2,FALSE),Declarations!$D$2:$S$102,A4,FALSE)),"")</f>
        <v>STANILAND Charlotte</v>
      </c>
      <c r="E5" s="64" t="str">
        <f t="shared" ref="E5:E11" si="1">IFERROR(VLOOKUP(C5,teamlookup,5,FALSE),"")</f>
        <v>C'field</v>
      </c>
      <c r="F5" s="393">
        <v>12.8</v>
      </c>
      <c r="G5" s="198">
        <f>IFERROR(IF(OR(F5=0,F5="",F5&gt;$A$9-0.01),"",VLOOKUP(VLOOKUP(F5,A5:B9,2,TRUE),Points!$H$7:$I$10,2,FALSE)),"")</f>
        <v>4</v>
      </c>
      <c r="H5" s="67"/>
      <c r="I5" s="117">
        <v>2</v>
      </c>
      <c r="J5" s="392">
        <v>11</v>
      </c>
      <c r="K5" s="64" t="str">
        <f ca="1">IFERROR(IF(A10=0,HLOOKUP(J5,Declarations!$D$2:$S$102,A4,FALSE),HLOOKUP(VLOOKUP(J5,Teams!$V$2:$W$19,2,FALSE),Declarations!$D$2:$S$102,A4,FALSE)),"")</f>
        <v>HALL Lottie</v>
      </c>
      <c r="L5" s="64" t="str">
        <f t="shared" si="0"/>
        <v>C'field</v>
      </c>
      <c r="M5" s="313">
        <v>13.7</v>
      </c>
      <c r="N5" s="198" t="str">
        <f>IFERROR(IF(OR(M5=0,M5="",M5&gt;$A9-0.01),"",VLOOKUP(VLOOKUP(M5,A5:B9,2,TRUE),Points!$H$7:$I$10,2,FALSE)),"")</f>
        <v/>
      </c>
      <c r="P5" s="66">
        <f ca="1">IFERROR(IF(OR(C5=0,C5="",F5=0,F5="",$P3&lt;&gt;0,LEFT(F5,1)="D"),0,VLOOKUP(B5,INDIRECT(MatchDay!$W$2),2,FALSE)),"")</f>
        <v>6</v>
      </c>
      <c r="Q5" s="66">
        <f ca="1">IFERROR(IF(OR(J5=0,J5="",M5=0,M5="",$P3&lt;&gt;0,LEFT(M5,1)="D"),0,VLOOKUP(I5,INDIRECT(MatchDay!$W$2),3,FALSE)),"")</f>
        <v>4</v>
      </c>
    </row>
    <row r="6" spans="1:20" x14ac:dyDescent="0.35">
      <c r="A6" s="118">
        <f>IFERROR(VLOOKUP(A2,standards,3,FALSE)+0.01,"-")</f>
        <v>11.91</v>
      </c>
      <c r="B6" s="117">
        <v>3</v>
      </c>
      <c r="C6" s="120">
        <v>4</v>
      </c>
      <c r="D6" s="64" t="str">
        <f ca="1">IFERROR(IF(A10=0,HLOOKUP(C6,Declarations!$D$2:$S$102,A4,FALSE),HLOOKUP(VLOOKUP(C6,Teams!$V$2:$W$19,2,FALSE),Declarations!$D$2:$S$102,A4,FALSE)),"")</f>
        <v>SEDGWICK Emma</v>
      </c>
      <c r="E6" s="64" t="str">
        <f t="shared" si="1"/>
        <v>M'bro</v>
      </c>
      <c r="F6" s="393">
        <v>13.2</v>
      </c>
      <c r="G6" s="198">
        <f>IFERROR(IF(OR(F6=0,F6="",F6&gt;$A$9-0.01),"",VLOOKUP(VLOOKUP(F6,A5:B9,2,TRUE),Points!$H$7:$I$10,2,FALSE)),"")</f>
        <v>4</v>
      </c>
      <c r="H6" s="67"/>
      <c r="I6" s="117">
        <v>3</v>
      </c>
      <c r="J6" s="392"/>
      <c r="K6" s="64" t="str">
        <f>IFERROR(IF(A10=0,HLOOKUP(J6,Declarations!$D$2:$S$102,A4,FALSE),HLOOKUP(VLOOKUP(J6,Teams!$V$2:$W$19,2,FALSE),Declarations!$D$2:$S$102,A4,FALSE)),"")</f>
        <v/>
      </c>
      <c r="L6" s="64" t="str">
        <f t="shared" si="0"/>
        <v/>
      </c>
      <c r="M6" s="313"/>
      <c r="N6" s="198" t="str">
        <f>IFERROR(IF(OR(M6=0,M6="",M6&gt;$A9-0.01),"",VLOOKUP(VLOOKUP(M6,A5:B9,2,TRUE),Points!$H$7:$I$10,2,FALSE)),"")</f>
        <v/>
      </c>
      <c r="P6" s="66">
        <f ca="1">IFERROR(IF(OR(C6=0,C6="",F6=0,F6="",$P3&lt;&gt;0,LEFT(F6,1)="D"),0,VLOOKUP(B6,INDIRECT(MatchDay!$W$2),2,FALSE)),"")</f>
        <v>5</v>
      </c>
      <c r="Q6" s="66">
        <f ca="1">IFERROR(IF(OR(J6=0,J6="",M6=0,M6="",$P3&lt;&gt;0,LEFT(M6,1)="D"),0,VLOOKUP(I6,INDIRECT(MatchDay!$W$2),3,FALSE)),"")</f>
        <v>0</v>
      </c>
    </row>
    <row r="7" spans="1:20" x14ac:dyDescent="0.35">
      <c r="A7" s="118">
        <f>IFERROR(VLOOKUP(A2,standards,4,FALSE)+0.01,"-")</f>
        <v>12.209999999999999</v>
      </c>
      <c r="B7" s="117">
        <v>4</v>
      </c>
      <c r="C7" s="120">
        <v>2</v>
      </c>
      <c r="D7" s="64" t="str">
        <f ca="1">IFERROR(IF(A10=0,HLOOKUP(C7,Declarations!$D$2:$S$102,A4,FALSE),HLOOKUP(VLOOKUP(C7,Teams!$V$2:$W$19,2,FALSE),Declarations!$D$2:$S$102,A4,FALSE)),"")</f>
        <v>COOPER Amy</v>
      </c>
      <c r="E7" s="64" t="str">
        <f t="shared" si="1"/>
        <v>Sheff+D</v>
      </c>
      <c r="F7" s="393">
        <v>16.8</v>
      </c>
      <c r="G7" s="198" t="str">
        <f>IFERROR(IF(OR(F7=0,F7="",F7&gt;$A$9-0.01),"",VLOOKUP(VLOOKUP(F7,A5:B9,2,TRUE),Points!$H$7:$I$10,2,FALSE)),"")</f>
        <v/>
      </c>
      <c r="H7" s="67"/>
      <c r="I7" s="117">
        <v>4</v>
      </c>
      <c r="J7" s="392"/>
      <c r="K7" s="64" t="str">
        <f>IFERROR(IF(A10=0,HLOOKUP(J7,Declarations!$D$2:$S$102,A4,FALSE),HLOOKUP(VLOOKUP(J7,Teams!$V$2:$W$19,2,FALSE),Declarations!$D$2:$S$102,A4,FALSE)),"")</f>
        <v/>
      </c>
      <c r="L7" s="64" t="str">
        <f t="shared" si="0"/>
        <v/>
      </c>
      <c r="M7" s="313"/>
      <c r="N7" s="198" t="str">
        <f>IFERROR(IF(OR(M7=0,M7="",M7&gt;$A9-0.01),"",VLOOKUP(VLOOKUP(M7,A5:B9,2,TRUE),Points!$H$7:$I$10,2,FALSE)),"")</f>
        <v/>
      </c>
      <c r="P7" s="66">
        <f ca="1">IFERROR(IF(OR(C7=0,C7="",F7=0,F7="",$P3&lt;&gt;0,LEFT(F7,1)="D"),0,VLOOKUP(B7,INDIRECT(MatchDay!$W$2),2,FALSE)),"")</f>
        <v>4</v>
      </c>
      <c r="Q7" s="66">
        <f ca="1">IFERROR(IF(OR(J7=0,J7="",M7=0,M7="",$P3&lt;&gt;0,LEFT(M7,1)="D"),0,VLOOKUP(I7,INDIRECT(MatchDay!$W$2),3,FALSE)),"")</f>
        <v>0</v>
      </c>
    </row>
    <row r="8" spans="1:20" x14ac:dyDescent="0.35">
      <c r="A8" s="118">
        <f>IFERROR(VLOOKUP(A2,standards,5,FALSE)+0.01,"-")</f>
        <v>12.51</v>
      </c>
      <c r="B8" s="117">
        <v>5</v>
      </c>
      <c r="C8" s="120"/>
      <c r="D8" s="64" t="str">
        <f>IFERROR(IF(A10=0,HLOOKUP(C8,Declarations!$D$2:$S$102,A4,FALSE),HLOOKUP(VLOOKUP(C8,Teams!$V$2:$W$19,2,FALSE),Declarations!$D$2:$S$102,A4,FALSE)),"")</f>
        <v/>
      </c>
      <c r="E8" s="64" t="str">
        <f t="shared" si="1"/>
        <v/>
      </c>
      <c r="F8" s="393"/>
      <c r="G8" s="198" t="str">
        <f>IFERROR(IF(OR(F8=0,F8="",F8&gt;$A$9-0.01),"",VLOOKUP(VLOOKUP(F8,A5:B9,2,TRUE),Points!$H$7:$I$10,2,FALSE)),"")</f>
        <v/>
      </c>
      <c r="H8" s="67"/>
      <c r="I8" s="117">
        <v>5</v>
      </c>
      <c r="J8" s="392"/>
      <c r="K8" s="64" t="str">
        <f>IFERROR(IF(A10=0,HLOOKUP(J8,Declarations!$D$2:$S$102,A4,FALSE),HLOOKUP(VLOOKUP(J8,Teams!$V$2:$W$19,2,FALSE),Declarations!$D$2:$S$102,A4,FALSE)),"")</f>
        <v/>
      </c>
      <c r="L8" s="64" t="str">
        <f t="shared" si="0"/>
        <v/>
      </c>
      <c r="M8" s="313"/>
      <c r="N8" s="198" t="str">
        <f>IFERROR(IF(OR(M8=0,M8="",M8&gt;$A9-0.01),"",VLOOKUP(VLOOKUP(M8,A5:B9,2,TRUE),Points!$H$7:$I$10,2,FALSE)),"")</f>
        <v/>
      </c>
      <c r="P8" s="66">
        <f ca="1">IFERROR(IF(OR(C8=0,C8="",F8=0,F8="",$P3&lt;&gt;0,LEFT(F8,1)="D"),0,VLOOKUP(B8,INDIRECT(MatchDay!$W$2),2,FALSE)),"")</f>
        <v>0</v>
      </c>
      <c r="Q8" s="66">
        <f ca="1">IFERROR(IF(OR(J8=0,J8="",M8=0,M8="",$P3&lt;&gt;0,LEFT(M8,1)="D"),0,VLOOKUP(I8,INDIRECT(MatchDay!$W$2),3,FALSE)),"")</f>
        <v>0</v>
      </c>
    </row>
    <row r="9" spans="1:20" x14ac:dyDescent="0.35">
      <c r="A9" s="118">
        <f>IFERROR(VLOOKUP(A2,standards,6,FALSE)+0.01,"-")</f>
        <v>13.31</v>
      </c>
      <c r="B9" s="117">
        <v>6</v>
      </c>
      <c r="C9" s="120"/>
      <c r="D9" s="64" t="str">
        <f>IFERROR(IF(A10=0,HLOOKUP(C9,Declarations!$D$2:$S$102,A4,FALSE),HLOOKUP(VLOOKUP(C9,Teams!$V$2:$W$19,2,FALSE),Declarations!$D$2:$S$102,A4,FALSE)),"")</f>
        <v/>
      </c>
      <c r="E9" s="64" t="str">
        <f t="shared" si="1"/>
        <v/>
      </c>
      <c r="F9" s="393"/>
      <c r="G9" s="198" t="str">
        <f>IFERROR(IF(OR(F9=0,F9="",F9&gt;$A$9-0.01),"",VLOOKUP(VLOOKUP(F9,A5:B9,2,TRUE),Points!$H$7:$I$10,2,FALSE)),"")</f>
        <v/>
      </c>
      <c r="H9" s="67"/>
      <c r="I9" s="117">
        <v>6</v>
      </c>
      <c r="J9" s="392"/>
      <c r="K9" s="64" t="str">
        <f>IFERROR(IF(A10=0,HLOOKUP(J9,Declarations!$D$2:$S$102,A4,FALSE),HLOOKUP(VLOOKUP(J9,Teams!$V$2:$W$19,2,FALSE),Declarations!$D$2:$S$102,A4,FALSE)),"")</f>
        <v/>
      </c>
      <c r="L9" s="64" t="str">
        <f t="shared" si="0"/>
        <v/>
      </c>
      <c r="M9" s="313"/>
      <c r="N9" s="198" t="str">
        <f>IFERROR(IF(OR(M9=0,M9="",M9&gt;$A9-0.01),"",VLOOKUP(VLOOKUP(M9,A5:B9,2,TRUE),Points!$H$7:$I$10,2,FALSE)),"")</f>
        <v/>
      </c>
      <c r="P9" s="66">
        <f ca="1">IFERROR(IF(OR(C9=0,C9="",F9=0,F9="",$P3&lt;&gt;0,LEFT(F9,1)="D"),0,VLOOKUP(B9,INDIRECT(MatchDay!$W$2),2,FALSE)),"")</f>
        <v>0</v>
      </c>
      <c r="Q9" s="66">
        <f ca="1">IFERROR(IF(OR(J9=0,J9="",M9=0,M9="",$P3&lt;&gt;0,LEFT(M9,1)="D"),0,VLOOKUP(I9,INDIRECT(MatchDay!$W$2),3,FALSE)),"")</f>
        <v>0</v>
      </c>
    </row>
    <row r="10" spans="1:20" x14ac:dyDescent="0.35">
      <c r="A10" s="136">
        <f>IFERROR(SEARCH("U17",B2),0)</f>
        <v>0</v>
      </c>
      <c r="B10" s="117">
        <v>7</v>
      </c>
      <c r="C10" s="120"/>
      <c r="D10" s="64" t="str">
        <f>IFERROR(IF(A10=0,HLOOKUP(C10,Declarations!$D$2:$S$102,A4,FALSE),HLOOKUP(VLOOKUP(C10,Teams!$V$2:$W$19,2,FALSE),Declarations!$D$2:$S$102,A4,FALSE)),"")</f>
        <v/>
      </c>
      <c r="E10" s="64" t="str">
        <f t="shared" si="1"/>
        <v/>
      </c>
      <c r="F10" s="393"/>
      <c r="G10" s="198" t="str">
        <f>IFERROR(IF(OR(F10=0,F10="",F10&gt;$A$9-0.01),"",VLOOKUP(VLOOKUP(F10,A5:B9,2,TRUE),Points!$H$7:$I$10,2,FALSE)),"")</f>
        <v/>
      </c>
      <c r="H10" s="67"/>
      <c r="I10" s="117">
        <v>7</v>
      </c>
      <c r="J10" s="392"/>
      <c r="K10" s="64" t="str">
        <f>IFERROR(IF(A10=0,HLOOKUP(J10,Declarations!$D$2:$S$102,A4,FALSE),HLOOKUP(VLOOKUP(J10,Teams!$V$2:$W$19,2,FALSE),Declarations!$D$2:$S$102,A4,FALSE)),"")</f>
        <v/>
      </c>
      <c r="L10" s="64" t="str">
        <f t="shared" si="0"/>
        <v/>
      </c>
      <c r="M10" s="313"/>
      <c r="N10" s="198" t="str">
        <f>IFERROR(IF(OR(M10=0,M10="",M10&gt;$A9-0.01),"",VLOOKUP(VLOOKUP(M10,A5:B9,2,TRUE),Points!$H$7:$I$10,2,FALSE)),"")</f>
        <v/>
      </c>
      <c r="P10" s="66">
        <f ca="1">IFERROR(IF(OR(C10=0,C10="",F10=0,F10="",$P3&lt;&gt;0,LEFT(F10,1)="D"),0,VLOOKUP(B10,INDIRECT(MatchDay!$W$2),2,FALSE)),"")</f>
        <v>0</v>
      </c>
      <c r="Q10" s="66">
        <f ca="1">IFERROR(IF(OR(J10=0,J10="",M10=0,M10="",$P3&lt;&gt;0,LEFT(M10,1)="D"),0,VLOOKUP(I10,INDIRECT(MatchDay!$W$2),3,FALSE)),"")</f>
        <v>0</v>
      </c>
    </row>
    <row r="11" spans="1:20" x14ac:dyDescent="0.35">
      <c r="A11" s="116">
        <f>IFERROR(VLOOKUP(A2,records,5,FALSE),"")</f>
        <v>10.9</v>
      </c>
      <c r="B11" s="117">
        <v>8</v>
      </c>
      <c r="C11" s="120"/>
      <c r="D11" s="64" t="str">
        <f>IFERROR(IF(A10=0,HLOOKUP(C11,Declarations!$D$2:$S$102,A4,FALSE),HLOOKUP(VLOOKUP(C11,Teams!$V$2:$W$19,2,FALSE),Declarations!$D$2:$S$102,A4,FALSE)),"")</f>
        <v/>
      </c>
      <c r="E11" s="64" t="str">
        <f t="shared" si="1"/>
        <v/>
      </c>
      <c r="F11" s="393"/>
      <c r="G11" s="198" t="str">
        <f>IFERROR(IF(OR(F11=0,F11="",F11&gt;$A$9-0.01),"",VLOOKUP(VLOOKUP(F11,A5:B9,2,TRUE),Points!$H$7:$I$10,2,FALSE)),"")</f>
        <v/>
      </c>
      <c r="H11" s="67"/>
      <c r="I11" s="117">
        <v>8</v>
      </c>
      <c r="J11" s="392"/>
      <c r="K11" s="64" t="str">
        <f>IFERROR(IF(A10=0,HLOOKUP(J11,Declarations!$D$2:$S$102,A4,FALSE),HLOOKUP(VLOOKUP(J11,Teams!$V$2:$W$19,2,FALSE),Declarations!$D$2:$S$102,A4,FALSE)),"")</f>
        <v/>
      </c>
      <c r="L11" s="64" t="str">
        <f t="shared" si="0"/>
        <v/>
      </c>
      <c r="M11" s="313"/>
      <c r="N11" s="198" t="str">
        <f>IFERROR(IF(OR(M11=0,M11="",M11&gt;$A9-0.01),"",VLOOKUP(VLOOKUP(M11,A5:B9,2,TRUE),Points!$H$7:$I$10,2,FALSE)),"")</f>
        <v/>
      </c>
      <c r="P11" s="66">
        <f ca="1">IFERROR(IF(OR(C11=0,C11="",F11=0,F11="",$P3&lt;&gt;0,LEFT(F11,1)="D"),0,VLOOKUP(B11,INDIRECT(MatchDay!$W$2),2,FALSE)),"")</f>
        <v>0</v>
      </c>
      <c r="Q11" s="66">
        <f ca="1">IFERROR(IF(OR(J11=0,J11="",M11=0,M11="",$P3&lt;&gt;0,LEFT(M11,1)="D"),0,VLOOKUP(I11,INDIRECT(MatchDay!$W$2),3,FALSE)),"")</f>
        <v>0</v>
      </c>
    </row>
    <row r="13" spans="1:20" x14ac:dyDescent="0.35">
      <c r="A13" s="111" t="s">
        <v>33</v>
      </c>
      <c r="B13" s="112" t="str">
        <f>IFERROR(VLOOKUP(A13,timetables,2,FALSE)&amp;" "&amp;VLOOKUP(A13,timetables,3,FALSE)&amp;" A","")</f>
        <v>75m Hurdles U13 Boys A</v>
      </c>
      <c r="C13" s="112"/>
      <c r="E13" s="130" t="str">
        <f>IFERROR(IF(VLOOKUP($A13,timetables,8,FALSE)="W","Wind = ",""),"")</f>
        <v xml:space="preserve">Wind = </v>
      </c>
      <c r="F13" s="414"/>
      <c r="G13" s="119" t="str">
        <f>IFERROR(IF(OR(F15=0,F15=""),"",IF(F15&lt;A22,"REC",IF(F15=A22,"=Rec",""))),"")</f>
        <v/>
      </c>
      <c r="I13" s="114" t="str">
        <f>IFERROR(VLOOKUP(A13,timetables,2,FALSE)&amp;" "&amp;VLOOKUP(A13,timetables,3,FALSE)&amp;" B","")</f>
        <v>75m Hurdles U13 Boys B</v>
      </c>
      <c r="J13" s="115"/>
      <c r="L13" s="130" t="str">
        <f>IFERROR(IF(VLOOKUP($A13,timetables,8,FALSE)="W","Wind = ",""),"")</f>
        <v xml:space="preserve">Wind = </v>
      </c>
      <c r="M13" s="414"/>
      <c r="P13" s="66" t="s">
        <v>53</v>
      </c>
      <c r="Q13" s="66" t="s">
        <v>54</v>
      </c>
    </row>
    <row r="14" spans="1:20" x14ac:dyDescent="0.35">
      <c r="A14" s="82"/>
      <c r="B14" s="45" t="s">
        <v>230</v>
      </c>
      <c r="C14" s="45" t="s">
        <v>183</v>
      </c>
      <c r="D14" s="47" t="s">
        <v>227</v>
      </c>
      <c r="E14" s="47" t="s">
        <v>228</v>
      </c>
      <c r="F14" s="149" t="s">
        <v>229</v>
      </c>
      <c r="G14" s="199" t="s">
        <v>55</v>
      </c>
      <c r="H14" s="47"/>
      <c r="I14" s="45" t="s">
        <v>230</v>
      </c>
      <c r="J14" s="45" t="s">
        <v>183</v>
      </c>
      <c r="K14" s="47" t="s">
        <v>227</v>
      </c>
      <c r="L14" s="47" t="s">
        <v>228</v>
      </c>
      <c r="M14" s="149" t="s">
        <v>229</v>
      </c>
      <c r="N14" s="199" t="s">
        <v>55</v>
      </c>
      <c r="P14" s="66">
        <f>IFERROR(SEARCH("NS",B13),0)</f>
        <v>0</v>
      </c>
      <c r="T14" s="67"/>
    </row>
    <row r="15" spans="1:20" x14ac:dyDescent="0.35">
      <c r="A15" s="181">
        <f>IFERROR(VLOOKUP(A13,Timetables!$A:$E,5,FALSE)-1,"")</f>
        <v>85</v>
      </c>
      <c r="B15" s="117">
        <v>1</v>
      </c>
      <c r="C15" s="120">
        <v>2</v>
      </c>
      <c r="D15" s="64" t="str">
        <f ca="1">IFERROR(IF(A21=0,HLOOKUP(C15,Declarations!$D$2:$S$102,A15,FALSE),HLOOKUP(VLOOKUP(C15,Teams!$V$2:$W$19,2,FALSE),Declarations!$D$2:$S$102,A15,FALSE)),"")</f>
        <v>MAY Rudi</v>
      </c>
      <c r="E15" s="64" t="str">
        <f t="shared" ref="E15:E22" si="2">IFERROR(VLOOKUP(C15,teamlookup,5,FALSE),"")</f>
        <v>Sheff+D</v>
      </c>
      <c r="F15" s="393">
        <v>13.5</v>
      </c>
      <c r="G15" s="198" t="str">
        <f>IFERROR(IF(OR(F15=0,F15="",F15&gt;$A$9-0.01),"",VLOOKUP(VLOOKUP(F15,A16:B20,2,TRUE),Points!$H$7:$I$10,2,FALSE)),"")</f>
        <v/>
      </c>
      <c r="H15" s="67"/>
      <c r="I15" s="117">
        <v>1</v>
      </c>
      <c r="J15" s="392">
        <v>22</v>
      </c>
      <c r="K15" s="64" t="str">
        <f ca="1">IFERROR(IF(A21=0,HLOOKUP(J15,Declarations!$D$2:$S$102,A15,FALSE),HLOOKUP(VLOOKUP(J15,Teams!$V$2:$W$19,2,FALSE),Declarations!$D$2:$S$102,A15,FALSE)),"")</f>
        <v>REILLY Arthur</v>
      </c>
      <c r="L15" s="64" t="str">
        <f t="shared" ref="L15:L22" si="3">IFERROR(VLOOKUP(J15,teamlookup,5,FALSE),"")</f>
        <v>Sheff+D</v>
      </c>
      <c r="M15" s="313">
        <v>13.6</v>
      </c>
      <c r="N15" s="198">
        <f>IFERROR(IF(OR(M15=0,M15="",M15&gt;$A20-0.01),"",VLOOKUP(VLOOKUP(M15,A16:B20,2,TRUE),Points!$H$7:$I$10,2,FALSE)),"")</f>
        <v>3</v>
      </c>
      <c r="P15" s="66">
        <f ca="1">IFERROR(IF(OR(C15=0,C15="",F15=0,F15="",$P14&lt;&gt;0,LEFT(F15,1)="D"),0,VLOOKUP(B15,INDIRECT(MatchDay!$W$2),2,FALSE)),"")</f>
        <v>8</v>
      </c>
      <c r="Q15" s="66">
        <f ca="1">IFERROR(IF(OR(J15=0,J15="",M15=0,M15="",$P14&lt;&gt;0,LEFT(M15,1)="D"),0,VLOOKUP(I15,INDIRECT(MatchDay!$W$2),3,FALSE)),"")</f>
        <v>6</v>
      </c>
      <c r="R15" s="219">
        <f>COUNTIF(C15,"&gt;0")</f>
        <v>1</v>
      </c>
      <c r="S15" s="66">
        <f>IFERROR(IF(C15&gt;88,1,0),0)</f>
        <v>0</v>
      </c>
    </row>
    <row r="16" spans="1:20" x14ac:dyDescent="0.35">
      <c r="A16" s="64">
        <v>0</v>
      </c>
      <c r="B16" s="117">
        <v>2</v>
      </c>
      <c r="C16" s="120">
        <v>3</v>
      </c>
      <c r="D16" s="64" t="str">
        <f ca="1">IFERROR(IF(A21=0,HLOOKUP(C16,Declarations!$D$2:$S$102,A15,FALSE),HLOOKUP(VLOOKUP(C16,Teams!$V$2:$W$19,2,FALSE),Declarations!$D$2:$S$102,A15,FALSE)),"")</f>
        <v>HICKLING William</v>
      </c>
      <c r="E16" s="64" t="str">
        <f t="shared" si="2"/>
        <v>York</v>
      </c>
      <c r="F16" s="393">
        <v>15.2</v>
      </c>
      <c r="G16" s="198" t="str">
        <f>IFERROR(IF(OR(F16=0,F16="",F16&gt;$A$9-0.01),"",VLOOKUP(VLOOKUP(F16,A16:B20,2,TRUE),Points!$H$7:$I$10,2,FALSE)),"")</f>
        <v/>
      </c>
      <c r="H16" s="67"/>
      <c r="I16" s="117">
        <v>2</v>
      </c>
      <c r="J16" s="392">
        <v>33</v>
      </c>
      <c r="K16" s="64" t="str">
        <f ca="1">IFERROR(IF(A21=0,HLOOKUP(J16,Declarations!$D$2:$S$102,A15,FALSE),HLOOKUP(VLOOKUP(J16,Teams!$V$2:$W$19,2,FALSE),Declarations!$D$2:$S$102,A15,FALSE)),"")</f>
        <v>JONES Alex</v>
      </c>
      <c r="L16" s="64" t="str">
        <f t="shared" si="3"/>
        <v>York</v>
      </c>
      <c r="M16" s="313">
        <v>17.2</v>
      </c>
      <c r="N16" s="198" t="str">
        <f>IFERROR(IF(OR(M16=0,M16="",M16&gt;$A20-0.01),"",VLOOKUP(VLOOKUP(M16,A16:B20,2,TRUE),Points!$H$7:$I$10,2,FALSE)),"")</f>
        <v/>
      </c>
      <c r="P16" s="66">
        <f ca="1">IFERROR(IF(OR(C16=0,C16="",F16=0,F16="",$P14&lt;&gt;0,LEFT(F16,1)="D"),0,VLOOKUP(B16,INDIRECT(MatchDay!$W$2),2,FALSE)),"")</f>
        <v>6</v>
      </c>
      <c r="Q16" s="66">
        <f ca="1">IFERROR(IF(OR(J16=0,J16="",M16=0,M16="",$P14&lt;&gt;0,LEFT(M16,1)="D"),0,VLOOKUP(I16,INDIRECT(MatchDay!$W$2),3,FALSE)),"")</f>
        <v>4</v>
      </c>
    </row>
    <row r="17" spans="1:20" x14ac:dyDescent="0.35">
      <c r="A17" s="118">
        <f>IFERROR(VLOOKUP(A13,standards,3,FALSE)+0.01,"-")</f>
        <v>12.91</v>
      </c>
      <c r="B17" s="117">
        <v>3</v>
      </c>
      <c r="C17" s="120">
        <v>4</v>
      </c>
      <c r="D17" s="64" t="str">
        <f ca="1">IFERROR(IF(A21=0,HLOOKUP(C17,Declarations!$D$2:$S$102,A15,FALSE),HLOOKUP(VLOOKUP(C17,Teams!$V$2:$W$19,2,FALSE),Declarations!$D$2:$S$102,A15,FALSE)),"")</f>
        <v>BAKER Edward</v>
      </c>
      <c r="E17" s="64" t="str">
        <f t="shared" si="2"/>
        <v>M'bro</v>
      </c>
      <c r="F17" s="393">
        <v>16.2</v>
      </c>
      <c r="G17" s="198" t="str">
        <f>IFERROR(IF(OR(F17=0,F17="",F17&gt;$A$9-0.01),"",VLOOKUP(VLOOKUP(F17,A16:B20,2,TRUE),Points!$H$7:$I$10,2,FALSE)),"")</f>
        <v/>
      </c>
      <c r="H17" s="67"/>
      <c r="I17" s="117">
        <v>3</v>
      </c>
      <c r="J17" s="392"/>
      <c r="K17" s="64" t="str">
        <f>IFERROR(IF(A21=0,HLOOKUP(J17,Declarations!$D$2:$S$102,A15,FALSE),HLOOKUP(VLOOKUP(J17,Teams!$V$2:$W$19,2,FALSE),Declarations!$D$2:$S$102,A15,FALSE)),"")</f>
        <v/>
      </c>
      <c r="L17" s="64" t="str">
        <f t="shared" si="3"/>
        <v/>
      </c>
      <c r="M17" s="313"/>
      <c r="N17" s="198" t="str">
        <f>IFERROR(IF(OR(M17=0,M17="",M17&gt;$A20-0.01),"",VLOOKUP(VLOOKUP(M17,A16:B20,2,TRUE),Points!$H$7:$I$10,2,FALSE)),"")</f>
        <v/>
      </c>
      <c r="P17" s="66">
        <f ca="1">IFERROR(IF(OR(C17=0,C17="",F17=0,F17="",$P14&lt;&gt;0,LEFT(F17,1)="D"),0,VLOOKUP(B17,INDIRECT(MatchDay!$W$2),2,FALSE)),"")</f>
        <v>5</v>
      </c>
      <c r="Q17" s="66">
        <f ca="1">IFERROR(IF(OR(J17=0,J17="",M17=0,M17="",$P14&lt;&gt;0,LEFT(M17,1)="D"),0,VLOOKUP(I17,INDIRECT(MatchDay!$W$2),3,FALSE)),"")</f>
        <v>0</v>
      </c>
    </row>
    <row r="18" spans="1:20" x14ac:dyDescent="0.35">
      <c r="A18" s="118">
        <f>IFERROR(VLOOKUP(A13,standards,4,FALSE)+0.01,"-")</f>
        <v>13.31</v>
      </c>
      <c r="B18" s="117">
        <v>4</v>
      </c>
      <c r="C18" s="120"/>
      <c r="D18" s="64" t="str">
        <f>IFERROR(IF(A21=0,HLOOKUP(C18,Declarations!$D$2:$S$102,A15,FALSE),HLOOKUP(VLOOKUP(C18,Teams!$V$2:$W$19,2,FALSE),Declarations!$D$2:$S$102,A15,FALSE)),"")</f>
        <v/>
      </c>
      <c r="E18" s="64" t="str">
        <f t="shared" si="2"/>
        <v/>
      </c>
      <c r="F18" s="393"/>
      <c r="G18" s="198" t="str">
        <f>IFERROR(IF(OR(F18=0,F18="",F18&gt;$A$9-0.01),"",VLOOKUP(VLOOKUP(F18,A16:B20,2,TRUE),Points!$H$7:$I$10,2,FALSE)),"")</f>
        <v/>
      </c>
      <c r="H18" s="67"/>
      <c r="I18" s="117">
        <v>4</v>
      </c>
      <c r="J18" s="392"/>
      <c r="K18" s="64" t="str">
        <f>IFERROR(IF(A21=0,HLOOKUP(J18,Declarations!$D$2:$S$102,A15,FALSE),HLOOKUP(VLOOKUP(J18,Teams!$V$2:$W$19,2,FALSE),Declarations!$D$2:$S$102,A15,FALSE)),"")</f>
        <v/>
      </c>
      <c r="L18" s="64" t="str">
        <f t="shared" si="3"/>
        <v/>
      </c>
      <c r="M18" s="313"/>
      <c r="N18" s="198" t="str">
        <f>IFERROR(IF(OR(M18=0,M18="",M18&gt;$A20-0.01),"",VLOOKUP(VLOOKUP(M18,A16:B20,2,TRUE),Points!$H$7:$I$10,2,FALSE)),"")</f>
        <v/>
      </c>
      <c r="P18" s="66">
        <f ca="1">IFERROR(IF(OR(C18=0,C18="",F18=0,F18="",$P14&lt;&gt;0,LEFT(F18,1)="D"),0,VLOOKUP(B18,INDIRECT(MatchDay!$W$2),2,FALSE)),"")</f>
        <v>0</v>
      </c>
      <c r="Q18" s="66">
        <f ca="1">IFERROR(IF(OR(J18=0,J18="",M18=0,M18="",$P14&lt;&gt;0,LEFT(M18,1)="D"),0,VLOOKUP(I18,INDIRECT(MatchDay!$W$2),3,FALSE)),"")</f>
        <v>0</v>
      </c>
    </row>
    <row r="19" spans="1:20" x14ac:dyDescent="0.35">
      <c r="A19" s="118">
        <f>IFERROR(VLOOKUP(A13,standards,5,FALSE)+0.01,"-")</f>
        <v>14.209999999999999</v>
      </c>
      <c r="B19" s="117">
        <v>5</v>
      </c>
      <c r="C19" s="120"/>
      <c r="D19" s="64" t="str">
        <f>IFERROR(IF(A21=0,HLOOKUP(C19,Declarations!$D$2:$S$102,A15,FALSE),HLOOKUP(VLOOKUP(C19,Teams!$V$2:$W$19,2,FALSE),Declarations!$D$2:$S$102,A15,FALSE)),"")</f>
        <v/>
      </c>
      <c r="E19" s="64" t="str">
        <f t="shared" si="2"/>
        <v/>
      </c>
      <c r="F19" s="393"/>
      <c r="G19" s="198" t="str">
        <f>IFERROR(IF(OR(F19=0,F19="",F19&gt;$A$9-0.01),"",VLOOKUP(VLOOKUP(F19,A16:B20,2,TRUE),Points!$H$7:$I$10,2,FALSE)),"")</f>
        <v/>
      </c>
      <c r="H19" s="67"/>
      <c r="I19" s="117">
        <v>5</v>
      </c>
      <c r="J19" s="392"/>
      <c r="K19" s="64" t="str">
        <f>IFERROR(IF(A21=0,HLOOKUP(J19,Declarations!$D$2:$S$102,A15,FALSE),HLOOKUP(VLOOKUP(J19,Teams!$V$2:$W$19,2,FALSE),Declarations!$D$2:$S$102,A15,FALSE)),"")</f>
        <v/>
      </c>
      <c r="L19" s="64" t="str">
        <f t="shared" si="3"/>
        <v/>
      </c>
      <c r="M19" s="313"/>
      <c r="N19" s="198" t="str">
        <f>IFERROR(IF(OR(M19=0,M19="",M19&gt;$A20-0.01),"",VLOOKUP(VLOOKUP(M19,A16:B20,2,TRUE),Points!$H$7:$I$10,2,FALSE)),"")</f>
        <v/>
      </c>
      <c r="P19" s="66">
        <f ca="1">IFERROR(IF(OR(C19=0,C19="",F19=0,F19="",$P14&lt;&gt;0,LEFT(F19,1)="D"),0,VLOOKUP(B19,INDIRECT(MatchDay!$W$2),2,FALSE)),"")</f>
        <v>0</v>
      </c>
      <c r="Q19" s="66">
        <f ca="1">IFERROR(IF(OR(J19=0,J19="",M19=0,M19="",$P14&lt;&gt;0,LEFT(M19,1)="D"),0,VLOOKUP(I19,INDIRECT(MatchDay!$W$2),3,FALSE)),"")</f>
        <v>0</v>
      </c>
    </row>
    <row r="20" spans="1:20" x14ac:dyDescent="0.35">
      <c r="A20" s="118">
        <f>IFERROR(VLOOKUP(A13,standards,6,FALSE)+0.01,"-")</f>
        <v>15.31</v>
      </c>
      <c r="B20" s="117">
        <v>6</v>
      </c>
      <c r="C20" s="120"/>
      <c r="D20" s="64" t="str">
        <f>IFERROR(IF(A21=0,HLOOKUP(C20,Declarations!$D$2:$S$102,A15,FALSE),HLOOKUP(VLOOKUP(C20,Teams!$V$2:$W$19,2,FALSE),Declarations!$D$2:$S$102,A15,FALSE)),"")</f>
        <v/>
      </c>
      <c r="E20" s="64" t="str">
        <f t="shared" si="2"/>
        <v/>
      </c>
      <c r="F20" s="393"/>
      <c r="G20" s="198" t="str">
        <f>IFERROR(IF(OR(F20=0,F20="",F20&gt;$A$9-0.01),"",VLOOKUP(VLOOKUP(F20,A16:B20,2,TRUE),Points!$H$7:$I$10,2,FALSE)),"")</f>
        <v/>
      </c>
      <c r="H20" s="67"/>
      <c r="I20" s="117">
        <v>6</v>
      </c>
      <c r="J20" s="392"/>
      <c r="K20" s="64" t="str">
        <f>IFERROR(IF(A21=0,HLOOKUP(J20,Declarations!$D$2:$S$102,A15,FALSE),HLOOKUP(VLOOKUP(J20,Teams!$V$2:$W$19,2,FALSE),Declarations!$D$2:$S$102,A15,FALSE)),"")</f>
        <v/>
      </c>
      <c r="L20" s="64" t="str">
        <f t="shared" si="3"/>
        <v/>
      </c>
      <c r="M20" s="313"/>
      <c r="N20" s="198" t="str">
        <f>IFERROR(IF(OR(M20=0,M20="",M20&gt;$A20-0.01),"",VLOOKUP(VLOOKUP(M20,A16:B20,2,TRUE),Points!$H$7:$I$10,2,FALSE)),"")</f>
        <v/>
      </c>
      <c r="P20" s="66">
        <f ca="1">IFERROR(IF(OR(C20=0,C20="",F20=0,F20="",$P14&lt;&gt;0,LEFT(F20,1)="D"),0,VLOOKUP(B20,INDIRECT(MatchDay!$W$2),2,FALSE)),"")</f>
        <v>0</v>
      </c>
      <c r="Q20" s="66">
        <f ca="1">IFERROR(IF(OR(J20=0,J20="",M20=0,M20="",$P14&lt;&gt;0,LEFT(M20,1)="D"),0,VLOOKUP(I20,INDIRECT(MatchDay!$W$2),3,FALSE)),"")</f>
        <v>0</v>
      </c>
    </row>
    <row r="21" spans="1:20" x14ac:dyDescent="0.35">
      <c r="A21" s="136">
        <f>IFERROR(SEARCH("U17",B13),0)</f>
        <v>0</v>
      </c>
      <c r="B21" s="117">
        <v>7</v>
      </c>
      <c r="C21" s="120"/>
      <c r="D21" s="64" t="str">
        <f>IFERROR(IF(A21=0,HLOOKUP(C21,Declarations!$D$2:$S$102,A15,FALSE),HLOOKUP(VLOOKUP(C21,Teams!$V$2:$W$19,2,FALSE),Declarations!$D$2:$S$102,A15,FALSE)),"")</f>
        <v/>
      </c>
      <c r="E21" s="64" t="str">
        <f t="shared" si="2"/>
        <v/>
      </c>
      <c r="F21" s="415"/>
      <c r="G21" s="198" t="str">
        <f>IFERROR(IF(OR(F21=0,F21="",F21&gt;$A$9-0.01),"",VLOOKUP(VLOOKUP(F21,A16:B20,2,TRUE),Points!$H$7:$I$10,2,FALSE)),"")</f>
        <v/>
      </c>
      <c r="H21" s="67"/>
      <c r="I21" s="117">
        <v>7</v>
      </c>
      <c r="J21" s="392"/>
      <c r="K21" s="64" t="str">
        <f>IFERROR(IF(A21=0,HLOOKUP(J21,Declarations!$D$2:$S$102,A15,FALSE),HLOOKUP(VLOOKUP(J21,Teams!$V$2:$W$19,2,FALSE),Declarations!$D$2:$S$102,A15,FALSE)),"")</f>
        <v/>
      </c>
      <c r="L21" s="64" t="str">
        <f t="shared" si="3"/>
        <v/>
      </c>
      <c r="M21" s="313"/>
      <c r="N21" s="198" t="str">
        <f>IFERROR(IF(OR(M21=0,M21="",M21&gt;$A20-0.01),"",VLOOKUP(VLOOKUP(M21,A16:B20,2,TRUE),Points!$H$7:$I$10,2,FALSE)),"")</f>
        <v/>
      </c>
      <c r="P21" s="66">
        <f ca="1">IFERROR(IF(OR(C21=0,C21="",F21=0,F21="",$P14&lt;&gt;0,LEFT(F21,1)="D"),0,VLOOKUP(B21,INDIRECT(MatchDay!$W$2),2,FALSE)),"")</f>
        <v>0</v>
      </c>
      <c r="Q21" s="66">
        <f ca="1">IFERROR(IF(OR(J21=0,J21="",M21=0,M21="",$P14&lt;&gt;0,LEFT(M21,1)="D"),0,VLOOKUP(I21,INDIRECT(MatchDay!$W$2),3,FALSE)),"")</f>
        <v>0</v>
      </c>
    </row>
    <row r="22" spans="1:20" x14ac:dyDescent="0.35">
      <c r="A22" s="116">
        <f>IFERROR(VLOOKUP(A13,records,5,FALSE),"")</f>
        <v>11.15</v>
      </c>
      <c r="B22" s="117">
        <v>8</v>
      </c>
      <c r="C22" s="120"/>
      <c r="D22" s="64" t="str">
        <f>IFERROR(IF(A21=0,HLOOKUP(C22,Declarations!$D$2:$S$102,A15,FALSE),HLOOKUP(VLOOKUP(C22,Teams!$V$2:$W$19,2,FALSE),Declarations!$D$2:$S$102,A15,FALSE)),"")</f>
        <v/>
      </c>
      <c r="E22" s="64" t="str">
        <f t="shared" si="2"/>
        <v/>
      </c>
      <c r="F22" s="393"/>
      <c r="G22" s="198" t="str">
        <f>IFERROR(IF(OR(F22=0,F22="",F22&gt;$A$9-0.01),"",VLOOKUP(VLOOKUP(F22,A16:B20,2,TRUE),Points!$H$7:$I$10,2,FALSE)),"")</f>
        <v/>
      </c>
      <c r="H22" s="67"/>
      <c r="I22" s="117">
        <v>8</v>
      </c>
      <c r="J22" s="392"/>
      <c r="K22" s="64" t="str">
        <f>IFERROR(IF(A21=0,HLOOKUP(J22,Declarations!$D$2:$S$102,A15,FALSE),HLOOKUP(VLOOKUP(J22,Teams!$V$2:$W$19,2,FALSE),Declarations!$D$2:$S$102,A15,FALSE)),"")</f>
        <v/>
      </c>
      <c r="L22" s="64" t="str">
        <f t="shared" si="3"/>
        <v/>
      </c>
      <c r="M22" s="313"/>
      <c r="N22" s="198" t="str">
        <f>IFERROR(IF(OR(M22=0,M22="",M22&gt;$A20-0.01),"",VLOOKUP(VLOOKUP(M22,A16:B20,2,TRUE),Points!$H$7:$I$10,2,FALSE)),"")</f>
        <v/>
      </c>
      <c r="P22" s="66">
        <f ca="1">IFERROR(IF(OR(C22=0,C22="",F22=0,F22="",$P14&lt;&gt;0,LEFT(F22,1)="D"),0,VLOOKUP(B22,INDIRECT(MatchDay!$W$2),2,FALSE)),"")</f>
        <v>0</v>
      </c>
      <c r="Q22" s="66">
        <f ca="1">IFERROR(IF(OR(J22=0,J22="",M22=0,M22="",$P14&lt;&gt;0,LEFT(M22,1)="D"),0,VLOOKUP(I22,INDIRECT(MatchDay!$W$2),3,FALSE)),"")</f>
        <v>0</v>
      </c>
    </row>
    <row r="24" spans="1:20" x14ac:dyDescent="0.35">
      <c r="A24" s="111" t="s">
        <v>34</v>
      </c>
      <c r="B24" s="112" t="str">
        <f>IFERROR(VLOOKUP(A24,timetables,2,FALSE)&amp;" "&amp;VLOOKUP(A24,timetables,3,FALSE)&amp;" A","")</f>
        <v>75m Hurdles U15 Girls A</v>
      </c>
      <c r="C24" s="112"/>
      <c r="E24" s="130" t="str">
        <f>IFERROR(IF(VLOOKUP($A24,timetables,8,FALSE)="W","Wind = ",""),"")</f>
        <v xml:space="preserve">Wind = </v>
      </c>
      <c r="F24" s="414"/>
      <c r="G24" s="119" t="str">
        <f>IFERROR(IF(OR(F26=0,F26=""),"",IF(F26&lt;A33,"REC",IF(F26=A33,"=Rec",""))),"")</f>
        <v/>
      </c>
      <c r="I24" s="114" t="str">
        <f>IFERROR(VLOOKUP(A24,timetables,2,FALSE)&amp;" "&amp;VLOOKUP(A24,timetables,3,FALSE)&amp;" B","")</f>
        <v>75m Hurdles U15 Girls B</v>
      </c>
      <c r="J24" s="115"/>
      <c r="L24" s="130" t="str">
        <f>IFERROR(IF(VLOOKUP($A24,timetables,8,FALSE)="W","Wind = ",""),"")</f>
        <v xml:space="preserve">Wind = </v>
      </c>
      <c r="M24" s="414"/>
      <c r="P24" s="66" t="s">
        <v>53</v>
      </c>
      <c r="Q24" s="66" t="s">
        <v>54</v>
      </c>
    </row>
    <row r="25" spans="1:20" x14ac:dyDescent="0.35">
      <c r="A25" s="82"/>
      <c r="B25" s="45" t="s">
        <v>230</v>
      </c>
      <c r="C25" s="45" t="s">
        <v>183</v>
      </c>
      <c r="D25" s="47" t="s">
        <v>227</v>
      </c>
      <c r="E25" s="47" t="s">
        <v>228</v>
      </c>
      <c r="F25" s="149" t="s">
        <v>229</v>
      </c>
      <c r="G25" s="199" t="s">
        <v>55</v>
      </c>
      <c r="H25" s="47"/>
      <c r="I25" s="45" t="s">
        <v>230</v>
      </c>
      <c r="J25" s="45" t="s">
        <v>183</v>
      </c>
      <c r="K25" s="47" t="s">
        <v>227</v>
      </c>
      <c r="L25" s="47" t="s">
        <v>228</v>
      </c>
      <c r="M25" s="149" t="s">
        <v>229</v>
      </c>
      <c r="N25" s="199" t="s">
        <v>55</v>
      </c>
      <c r="P25" s="66">
        <f>IFERROR(SEARCH("NS",B24),0)</f>
        <v>0</v>
      </c>
      <c r="T25" s="67"/>
    </row>
    <row r="26" spans="1:20" x14ac:dyDescent="0.35">
      <c r="A26" s="181">
        <f>IFERROR(VLOOKUP(A24,Timetables!$A:$E,5,FALSE)-1,"")</f>
        <v>10</v>
      </c>
      <c r="B26" s="117">
        <v>1</v>
      </c>
      <c r="C26" s="120">
        <v>2</v>
      </c>
      <c r="D26" s="64" t="str">
        <f ca="1">IFERROR(IF(A32=0,HLOOKUP(C26,Declarations!$D$2:$S$102,A26,FALSE),HLOOKUP(VLOOKUP(C26,Teams!$V$2:$W$19,2,FALSE),Declarations!$D$2:$S$102,A26,FALSE)),"")</f>
        <v>PADDON Freya</v>
      </c>
      <c r="E26" s="64" t="str">
        <f t="shared" ref="E26:E33" si="4">IFERROR(VLOOKUP(C26,teamlookup,5,FALSE),"")</f>
        <v>Sheff+D</v>
      </c>
      <c r="F26" s="393">
        <v>13</v>
      </c>
      <c r="G26" s="198">
        <f>IFERROR(IF(OR(F26=0,F26="",F26&gt;$A$9-0.01),"",VLOOKUP(VLOOKUP(F26,A27:B31,2,TRUE),Points!$H$7:$I$10,2,FALSE)),"")</f>
        <v>4</v>
      </c>
      <c r="H26" s="67"/>
      <c r="I26" s="117">
        <v>1</v>
      </c>
      <c r="J26" s="392">
        <v>22</v>
      </c>
      <c r="K26" s="64" t="str">
        <f ca="1">IFERROR(IF(A32=0,HLOOKUP(J26,Declarations!$D$2:$S$102,A26,FALSE),HLOOKUP(VLOOKUP(J26,Teams!$V$2:$W$19,2,FALSE),Declarations!$D$2:$S$102,A26,FALSE)),"")</f>
        <v>PADDON Olivia</v>
      </c>
      <c r="L26" s="64" t="str">
        <f t="shared" ref="L26:L33" si="5">IFERROR(VLOOKUP(J26,teamlookup,5,FALSE),"")</f>
        <v>Sheff+D</v>
      </c>
      <c r="M26" s="313">
        <v>13.2</v>
      </c>
      <c r="N26" s="198">
        <f>IFERROR(IF(OR(M26=0,M26="",M26&gt;$A31-0.01),"",VLOOKUP(VLOOKUP(M26,A27:B31,2,TRUE),Points!$H$7:$I$10,2,FALSE)),"")</f>
        <v>4</v>
      </c>
      <c r="P26" s="66">
        <f ca="1">IFERROR(IF(OR(C26=0,C26="",F26=0,F26="",$P25&lt;&gt;0,LEFT(F26,1)="D"),0,VLOOKUP(B26,INDIRECT(MatchDay!$W$2),2,FALSE)),"")</f>
        <v>8</v>
      </c>
      <c r="Q26" s="66">
        <f ca="1">IFERROR(IF(OR(J26=0,J26="",M26=0,M26="",$P25&lt;&gt;0,LEFT(M26,1)="D"),0,VLOOKUP(I26,INDIRECT(MatchDay!$W$2),3,FALSE)),"")</f>
        <v>6</v>
      </c>
      <c r="R26" s="219">
        <f>COUNTIF(C26,"&gt;0")</f>
        <v>1</v>
      </c>
      <c r="S26" s="66">
        <f>IFERROR(IF(C26&gt;88,1,0),0)</f>
        <v>0</v>
      </c>
    </row>
    <row r="27" spans="1:20" x14ac:dyDescent="0.35">
      <c r="A27" s="64">
        <v>0</v>
      </c>
      <c r="B27" s="117">
        <v>2</v>
      </c>
      <c r="C27" s="120">
        <v>3</v>
      </c>
      <c r="D27" s="64" t="str">
        <f ca="1">IFERROR(IF(A32=0,HLOOKUP(C27,Declarations!$D$2:$S$102,A26,FALSE),HLOOKUP(VLOOKUP(C27,Teams!$V$2:$W$19,2,FALSE),Declarations!$D$2:$S$102,A26,FALSE)),"")</f>
        <v>MAUDE Charlotte</v>
      </c>
      <c r="E27" s="64" t="str">
        <f t="shared" si="4"/>
        <v>York</v>
      </c>
      <c r="F27" s="393">
        <v>13.2</v>
      </c>
      <c r="G27" s="198">
        <f>IFERROR(IF(OR(F27=0,F27="",F27&gt;$A$9-0.01),"",VLOOKUP(VLOOKUP(F27,A27:B31,2,TRUE),Points!$H$7:$I$10,2,FALSE)),"")</f>
        <v>4</v>
      </c>
      <c r="H27" s="67"/>
      <c r="I27" s="117">
        <v>2</v>
      </c>
      <c r="J27" s="392">
        <v>33</v>
      </c>
      <c r="K27" s="64" t="str">
        <f ca="1">IFERROR(IF(A32=0,HLOOKUP(J27,Declarations!$D$2:$S$102,A26,FALSE),HLOOKUP(VLOOKUP(J27,Teams!$V$2:$W$19,2,FALSE),Declarations!$D$2:$S$102,A26,FALSE)),"")</f>
        <v>CROSSAN Lily</v>
      </c>
      <c r="L27" s="64" t="str">
        <f t="shared" si="5"/>
        <v>York</v>
      </c>
      <c r="M27" s="313">
        <v>13.7</v>
      </c>
      <c r="N27" s="198" t="str">
        <f>IFERROR(IF(OR(M27=0,M27="",M27&gt;$A31-0.01),"",VLOOKUP(VLOOKUP(M27,A27:B31,2,TRUE),Points!$H$7:$I$10,2,FALSE)),"")</f>
        <v/>
      </c>
      <c r="P27" s="66">
        <f ca="1">IFERROR(IF(OR(C27=0,C27="",F27=0,F27="",$P25&lt;&gt;0,LEFT(F27,1)="D"),0,VLOOKUP(B27,INDIRECT(MatchDay!$W$2),2,FALSE)),"")</f>
        <v>6</v>
      </c>
      <c r="Q27" s="66">
        <f ca="1">IFERROR(IF(OR(J27=0,J27="",M27=0,M27="",$P25&lt;&gt;0,LEFT(M27,1)="D"),0,VLOOKUP(I27,INDIRECT(MatchDay!$W$2),3,FALSE)),"")</f>
        <v>4</v>
      </c>
    </row>
    <row r="28" spans="1:20" x14ac:dyDescent="0.35">
      <c r="A28" s="118">
        <f>IFERROR(VLOOKUP(A24,standards,3,FALSE)+0.01,"-")</f>
        <v>11.91</v>
      </c>
      <c r="B28" s="117">
        <v>3</v>
      </c>
      <c r="C28" s="120">
        <v>1</v>
      </c>
      <c r="D28" s="64" t="str">
        <f ca="1">IFERROR(IF(A32=0,HLOOKUP(C28,Declarations!$D$2:$S$102,A26,FALSE),HLOOKUP(VLOOKUP(C28,Teams!$V$2:$W$19,2,FALSE),Declarations!$D$2:$S$102,A26,FALSE)),"")</f>
        <v>LABAN Ella</v>
      </c>
      <c r="E28" s="64" t="str">
        <f t="shared" si="4"/>
        <v>C'field</v>
      </c>
      <c r="F28" s="393">
        <v>17.399999999999999</v>
      </c>
      <c r="G28" s="198" t="str">
        <f>IFERROR(IF(OR(F28=0,F28="",F28&gt;$A$9-0.01),"",VLOOKUP(VLOOKUP(F28,A27:B31,2,TRUE),Points!$H$7:$I$10,2,FALSE)),"")</f>
        <v/>
      </c>
      <c r="H28" s="67"/>
      <c r="I28" s="117">
        <v>3</v>
      </c>
      <c r="J28" s="392">
        <v>11</v>
      </c>
      <c r="K28" s="64" t="str">
        <f ca="1">IFERROR(IF(A32=0,HLOOKUP(J28,Declarations!$D$2:$S$102,A26,FALSE),HLOOKUP(VLOOKUP(J28,Teams!$V$2:$W$19,2,FALSE),Declarations!$D$2:$S$102,A26,FALSE)),"")</f>
        <v>ROGERS Emily</v>
      </c>
      <c r="L28" s="64" t="str">
        <f t="shared" si="5"/>
        <v>C'field</v>
      </c>
      <c r="M28" s="313">
        <v>17.899999999999999</v>
      </c>
      <c r="N28" s="198" t="str">
        <f>IFERROR(IF(OR(M28=0,M28="",M28&gt;$A31-0.01),"",VLOOKUP(VLOOKUP(M28,A27:B31,2,TRUE),Points!$H$7:$I$10,2,FALSE)),"")</f>
        <v/>
      </c>
      <c r="P28" s="66">
        <f ca="1">IFERROR(IF(OR(C28=0,C28="",F28=0,F28="",$P25&lt;&gt;0,LEFT(F28,1)="D"),0,VLOOKUP(B28,INDIRECT(MatchDay!$W$2),2,FALSE)),"")</f>
        <v>5</v>
      </c>
      <c r="Q28" s="66">
        <f ca="1">IFERROR(IF(OR(J28=0,J28="",M28=0,M28="",$P25&lt;&gt;0,LEFT(M28,1)="D"),0,VLOOKUP(I28,INDIRECT(MatchDay!$W$2),3,FALSE)),"")</f>
        <v>3</v>
      </c>
    </row>
    <row r="29" spans="1:20" x14ac:dyDescent="0.35">
      <c r="A29" s="118">
        <f>IFERROR(VLOOKUP(A24,standards,4,FALSE)+0.01,"-")</f>
        <v>12.209999999999999</v>
      </c>
      <c r="B29" s="117">
        <v>4</v>
      </c>
      <c r="C29" s="120"/>
      <c r="D29" s="64" t="str">
        <f>IFERROR(IF(A32=0,HLOOKUP(C29,Declarations!$D$2:$S$102,A26,FALSE),HLOOKUP(VLOOKUP(C29,Teams!$V$2:$W$19,2,FALSE),Declarations!$D$2:$S$102,A26,FALSE)),"")</f>
        <v/>
      </c>
      <c r="E29" s="64" t="str">
        <f t="shared" si="4"/>
        <v/>
      </c>
      <c r="F29" s="393"/>
      <c r="G29" s="198" t="str">
        <f>IFERROR(IF(OR(F29=0,F29="",F29&gt;$A$9-0.01),"",VLOOKUP(VLOOKUP(F29,A27:B31,2,TRUE),Points!$H$7:$I$10,2,FALSE)),"")</f>
        <v/>
      </c>
      <c r="H29" s="67"/>
      <c r="I29" s="117">
        <v>4</v>
      </c>
      <c r="J29" s="392"/>
      <c r="K29" s="64" t="str">
        <f>IFERROR(IF(A32=0,HLOOKUP(J29,Declarations!$D$2:$S$102,A26,FALSE),HLOOKUP(VLOOKUP(J29,Teams!$V$2:$W$19,2,FALSE),Declarations!$D$2:$S$102,A26,FALSE)),"")</f>
        <v/>
      </c>
      <c r="L29" s="64" t="str">
        <f t="shared" si="5"/>
        <v/>
      </c>
      <c r="M29" s="313"/>
      <c r="N29" s="198" t="str">
        <f>IFERROR(IF(OR(M29=0,M29="",M29&gt;$A31-0.01),"",VLOOKUP(VLOOKUP(M29,A27:B31,2,TRUE),Points!$H$7:$I$10,2,FALSE)),"")</f>
        <v/>
      </c>
      <c r="P29" s="66">
        <f ca="1">IFERROR(IF(OR(C29=0,C29="",F29=0,F29="",$P25&lt;&gt;0,LEFT(F29,1)="D"),0,VLOOKUP(B29,INDIRECT(MatchDay!$W$2),2,FALSE)),"")</f>
        <v>0</v>
      </c>
      <c r="Q29" s="66">
        <f ca="1">IFERROR(IF(OR(J29=0,J29="",M29=0,M29="",$P25&lt;&gt;0,LEFT(M29,1)="D"),0,VLOOKUP(I29,INDIRECT(MatchDay!$W$2),3,FALSE)),"")</f>
        <v>0</v>
      </c>
    </row>
    <row r="30" spans="1:20" x14ac:dyDescent="0.35">
      <c r="A30" s="118">
        <f>IFERROR(VLOOKUP(A24,standards,5,FALSE)+0.01,"-")</f>
        <v>12.61</v>
      </c>
      <c r="B30" s="117">
        <v>5</v>
      </c>
      <c r="C30" s="120"/>
      <c r="D30" s="64" t="str">
        <f>IFERROR(IF(A32=0,HLOOKUP(C30,Declarations!$D$2:$S$102,A26,FALSE),HLOOKUP(VLOOKUP(C30,Teams!$V$2:$W$19,2,FALSE),Declarations!$D$2:$S$102,A26,FALSE)),"")</f>
        <v/>
      </c>
      <c r="E30" s="64" t="str">
        <f t="shared" si="4"/>
        <v/>
      </c>
      <c r="F30" s="393"/>
      <c r="G30" s="198" t="str">
        <f>IFERROR(IF(OR(F30=0,F30="",F30&gt;$A$9-0.01),"",VLOOKUP(VLOOKUP(F30,A27:B31,2,TRUE),Points!$H$7:$I$10,2,FALSE)),"")</f>
        <v/>
      </c>
      <c r="H30" s="67"/>
      <c r="I30" s="117">
        <v>5</v>
      </c>
      <c r="J30" s="392"/>
      <c r="K30" s="64" t="str">
        <f>IFERROR(IF(A32=0,HLOOKUP(J30,Declarations!$D$2:$S$102,A26,FALSE),HLOOKUP(VLOOKUP(J30,Teams!$V$2:$W$19,2,FALSE),Declarations!$D$2:$S$102,A26,FALSE)),"")</f>
        <v/>
      </c>
      <c r="L30" s="64" t="str">
        <f t="shared" si="5"/>
        <v/>
      </c>
      <c r="M30" s="313"/>
      <c r="N30" s="198" t="str">
        <f>IFERROR(IF(OR(M30=0,M30="",M30&gt;$A31-0.01),"",VLOOKUP(VLOOKUP(M30,A27:B31,2,TRUE),Points!$H$7:$I$10,2,FALSE)),"")</f>
        <v/>
      </c>
      <c r="P30" s="66">
        <f ca="1">IFERROR(IF(OR(C30=0,C30="",F30=0,F30="",$P25&lt;&gt;0,LEFT(F30,1)="D"),0,VLOOKUP(B30,INDIRECT(MatchDay!$W$2),2,FALSE)),"")</f>
        <v>0</v>
      </c>
      <c r="Q30" s="66">
        <f ca="1">IFERROR(IF(OR(J30=0,J30="",M30=0,M30="",$P25&lt;&gt;0,LEFT(M30,1)="D"),0,VLOOKUP(I30,INDIRECT(MatchDay!$W$2),3,FALSE)),"")</f>
        <v>0</v>
      </c>
    </row>
    <row r="31" spans="1:20" x14ac:dyDescent="0.35">
      <c r="A31" s="118">
        <f>IFERROR(VLOOKUP(A24,standards,6,FALSE)+0.01,"-")</f>
        <v>13.41</v>
      </c>
      <c r="B31" s="117">
        <v>6</v>
      </c>
      <c r="C31" s="120"/>
      <c r="D31" s="64" t="str">
        <f>IFERROR(IF(A32=0,HLOOKUP(C31,Declarations!$D$2:$S$102,A26,FALSE),HLOOKUP(VLOOKUP(C31,Teams!$V$2:$W$19,2,FALSE),Declarations!$D$2:$S$102,A26,FALSE)),"")</f>
        <v/>
      </c>
      <c r="E31" s="64" t="str">
        <f t="shared" si="4"/>
        <v/>
      </c>
      <c r="F31" s="393"/>
      <c r="G31" s="198" t="str">
        <f>IFERROR(IF(OR(F31=0,F31="",F31&gt;$A$9-0.01),"",VLOOKUP(VLOOKUP(F31,A27:B31,2,TRUE),Points!$H$7:$I$10,2,FALSE)),"")</f>
        <v/>
      </c>
      <c r="H31" s="67"/>
      <c r="I31" s="117">
        <v>6</v>
      </c>
      <c r="J31" s="392"/>
      <c r="K31" s="64" t="str">
        <f>IFERROR(IF(A32=0,HLOOKUP(J31,Declarations!$D$2:$S$102,A26,FALSE),HLOOKUP(VLOOKUP(J31,Teams!$V$2:$W$19,2,FALSE),Declarations!$D$2:$S$102,A26,FALSE)),"")</f>
        <v/>
      </c>
      <c r="L31" s="64" t="str">
        <f t="shared" si="5"/>
        <v/>
      </c>
      <c r="M31" s="313"/>
      <c r="N31" s="198" t="str">
        <f>IFERROR(IF(OR(M31=0,M31="",M31&gt;$A31-0.01),"",VLOOKUP(VLOOKUP(M31,A27:B31,2,TRUE),Points!$H$7:$I$10,2,FALSE)),"")</f>
        <v/>
      </c>
      <c r="P31" s="66">
        <f ca="1">IFERROR(IF(OR(C31=0,C31="",F31=0,F31="",$P25&lt;&gt;0,LEFT(F31,1)="D"),0,VLOOKUP(B31,INDIRECT(MatchDay!$W$2),2,FALSE)),"")</f>
        <v>0</v>
      </c>
      <c r="Q31" s="66">
        <f ca="1">IFERROR(IF(OR(J31=0,J31="",M31=0,M31="",$P25&lt;&gt;0,LEFT(M31,1)="D"),0,VLOOKUP(I31,INDIRECT(MatchDay!$W$2),3,FALSE)),"")</f>
        <v>0</v>
      </c>
    </row>
    <row r="32" spans="1:20" x14ac:dyDescent="0.35">
      <c r="A32" s="136">
        <f>IFERROR(SEARCH("U17",B24),0)</f>
        <v>0</v>
      </c>
      <c r="B32" s="117">
        <v>7</v>
      </c>
      <c r="C32" s="120"/>
      <c r="D32" s="64" t="str">
        <f>IFERROR(IF(A32=0,HLOOKUP(C32,Declarations!$D$2:$S$102,A26,FALSE),HLOOKUP(VLOOKUP(C32,Teams!$V$2:$W$19,2,FALSE),Declarations!$D$2:$S$102,A26,FALSE)),"")</f>
        <v/>
      </c>
      <c r="E32" s="64" t="str">
        <f t="shared" si="4"/>
        <v/>
      </c>
      <c r="F32" s="393"/>
      <c r="G32" s="198" t="str">
        <f>IFERROR(IF(OR(F32=0,F32="",F32&gt;$A$9-0.01),"",VLOOKUP(VLOOKUP(F32,A27:B31,2,TRUE),Points!$H$7:$I$10,2,FALSE)),"")</f>
        <v/>
      </c>
      <c r="H32" s="67"/>
      <c r="I32" s="117">
        <v>7</v>
      </c>
      <c r="J32" s="392"/>
      <c r="K32" s="64" t="str">
        <f>IFERROR(IF(A32=0,HLOOKUP(J32,Declarations!$D$2:$S$102,A26,FALSE),HLOOKUP(VLOOKUP(J32,Teams!$V$2:$W$19,2,FALSE),Declarations!$D$2:$S$102,A26,FALSE)),"")</f>
        <v/>
      </c>
      <c r="L32" s="64" t="str">
        <f t="shared" si="5"/>
        <v/>
      </c>
      <c r="M32" s="416"/>
      <c r="N32" s="198" t="str">
        <f>IFERROR(IF(OR(M32=0,M32="",M32&gt;$A31-0.01),"",VLOOKUP(VLOOKUP(M32,A27:B31,2,TRUE),Points!$H$7:$I$10,2,FALSE)),"")</f>
        <v/>
      </c>
      <c r="P32" s="66">
        <f ca="1">IFERROR(IF(OR(C32=0,C32="",F32=0,F32="",$P25&lt;&gt;0,LEFT(F32,1)="D"),0,VLOOKUP(B32,INDIRECT(MatchDay!$W$2),2,FALSE)),"")</f>
        <v>0</v>
      </c>
      <c r="Q32" s="66">
        <f ca="1">IFERROR(IF(OR(J32=0,J32="",M32=0,M32="",$P25&lt;&gt;0,LEFT(M32,1)="D"),0,VLOOKUP(I32,INDIRECT(MatchDay!$W$2),3,FALSE)),"")</f>
        <v>0</v>
      </c>
    </row>
    <row r="33" spans="1:20" x14ac:dyDescent="0.35">
      <c r="A33" s="116">
        <f>IFERROR(VLOOKUP(A24,records,5,FALSE),"")</f>
        <v>11.1</v>
      </c>
      <c r="B33" s="117">
        <v>8</v>
      </c>
      <c r="C33" s="120"/>
      <c r="D33" s="64" t="str">
        <f>IFERROR(IF(A32=0,HLOOKUP(C33,Declarations!$D$2:$S$102,A26,FALSE),HLOOKUP(VLOOKUP(C33,Teams!$V$2:$W$19,2,FALSE),Declarations!$D$2:$S$102,A26,FALSE)),"")</f>
        <v/>
      </c>
      <c r="E33" s="64" t="str">
        <f t="shared" si="4"/>
        <v/>
      </c>
      <c r="F33" s="393"/>
      <c r="G33" s="198" t="str">
        <f>IFERROR(IF(OR(F33=0,F33="",F33&gt;$A$9-0.01),"",VLOOKUP(VLOOKUP(F33,A27:B31,2,TRUE),Points!$H$7:$I$10,2,FALSE)),"")</f>
        <v/>
      </c>
      <c r="H33" s="67"/>
      <c r="I33" s="117">
        <v>8</v>
      </c>
      <c r="J33" s="392"/>
      <c r="K33" s="64" t="str">
        <f>IFERROR(IF(A32=0,HLOOKUP(J33,Declarations!$D$2:$S$102,A26,FALSE),HLOOKUP(VLOOKUP(J33,Teams!$V$2:$W$19,2,FALSE),Declarations!$D$2:$S$102,A26,FALSE)),"")</f>
        <v/>
      </c>
      <c r="L33" s="64" t="str">
        <f t="shared" si="5"/>
        <v/>
      </c>
      <c r="M33" s="313"/>
      <c r="N33" s="198" t="str">
        <f>IFERROR(IF(OR(M33=0,M33="",M33&gt;$A31-0.01),"",VLOOKUP(VLOOKUP(M33,A27:B31,2,TRUE),Points!$H$7:$I$10,2,FALSE)),"")</f>
        <v/>
      </c>
      <c r="P33" s="66">
        <f ca="1">IFERROR(IF(OR(C33=0,C33="",F33=0,F33="",$P25&lt;&gt;0,LEFT(F33,1)="D"),0,VLOOKUP(B33,INDIRECT(MatchDay!$W$2),2,FALSE)),"")</f>
        <v>0</v>
      </c>
      <c r="Q33" s="66">
        <f ca="1">IFERROR(IF(OR(J33=0,J33="",M33=0,M33="",$P25&lt;&gt;0,LEFT(M33,1)="D"),0,VLOOKUP(I33,INDIRECT(MatchDay!$W$2),3,FALSE)),"")</f>
        <v>0</v>
      </c>
    </row>
    <row r="35" spans="1:20" x14ac:dyDescent="0.35">
      <c r="A35" s="111" t="s">
        <v>35</v>
      </c>
      <c r="B35" s="112" t="str">
        <f>IFERROR(VLOOKUP(A35,timetables,2,FALSE)&amp;" "&amp;VLOOKUP(A35,timetables,3,FALSE)&amp;" A","")</f>
        <v>80m Hurdles U15 Boys A</v>
      </c>
      <c r="C35" s="112"/>
      <c r="E35" s="64" t="str">
        <f>IFERROR(IF(VLOOKUP($A35,timetables,8,FALSE)="W","Wind = ",""),"")</f>
        <v xml:space="preserve">Wind = </v>
      </c>
      <c r="F35" s="414"/>
      <c r="G35" s="119" t="str">
        <f>IFERROR(IF(OR(F37=0,F37=""),"",IF(F37&lt;A44,"REC",IF(F37=A44,"=Rec",""))),"")</f>
        <v/>
      </c>
      <c r="I35" s="114" t="str">
        <f>IFERROR(VLOOKUP(A35,timetables,2,FALSE)&amp;" "&amp;VLOOKUP(A35,timetables,3,FALSE)&amp;" B","")</f>
        <v>80m Hurdles U15 Boys B</v>
      </c>
      <c r="J35" s="115"/>
      <c r="L35" s="130" t="str">
        <f>IFERROR(IF(VLOOKUP($A35,timetables,8,FALSE)="W","Wind = ",""),"")</f>
        <v xml:space="preserve">Wind = </v>
      </c>
      <c r="M35" s="414"/>
      <c r="P35" s="66" t="s">
        <v>53</v>
      </c>
      <c r="Q35" s="66" t="s">
        <v>54</v>
      </c>
    </row>
    <row r="36" spans="1:20" x14ac:dyDescent="0.35">
      <c r="A36" s="82"/>
      <c r="B36" s="45" t="s">
        <v>230</v>
      </c>
      <c r="C36" s="45" t="s">
        <v>183</v>
      </c>
      <c r="D36" s="47" t="s">
        <v>227</v>
      </c>
      <c r="E36" s="47" t="s">
        <v>228</v>
      </c>
      <c r="F36" s="149" t="s">
        <v>229</v>
      </c>
      <c r="G36" s="199" t="s">
        <v>55</v>
      </c>
      <c r="H36" s="47"/>
      <c r="I36" s="45" t="s">
        <v>230</v>
      </c>
      <c r="J36" s="45" t="s">
        <v>183</v>
      </c>
      <c r="K36" s="47" t="s">
        <v>227</v>
      </c>
      <c r="L36" s="47" t="s">
        <v>228</v>
      </c>
      <c r="M36" s="149" t="s">
        <v>229</v>
      </c>
      <c r="N36" s="199" t="s">
        <v>55</v>
      </c>
      <c r="P36" s="66">
        <f>IFERROR(SEARCH("NS",B35),0)</f>
        <v>0</v>
      </c>
      <c r="T36" s="67"/>
    </row>
    <row r="37" spans="1:20" x14ac:dyDescent="0.35">
      <c r="A37" s="181">
        <f>IFERROR(VLOOKUP(A35,Timetables!$A:$E,5,FALSE)-1,"")</f>
        <v>60</v>
      </c>
      <c r="B37" s="117">
        <v>1</v>
      </c>
      <c r="C37" s="120">
        <v>2</v>
      </c>
      <c r="D37" s="64" t="str">
        <f ca="1">IFERROR(IF(A43=0,HLOOKUP(C37,Declarations!$D$2:$S$102,A37,FALSE),HLOOKUP(VLOOKUP(C37,Teams!$V$2:$W$19,2,FALSE),Declarations!$D$2:$S$102,A37,FALSE)),"")</f>
        <v>BENTLEY Tom</v>
      </c>
      <c r="E37" s="64" t="str">
        <f t="shared" ref="E37:E44" si="6">IFERROR(VLOOKUP(C37,teamlookup,5,FALSE),"")</f>
        <v>Sheff+D</v>
      </c>
      <c r="F37" s="393">
        <v>13.8</v>
      </c>
      <c r="G37" s="198" t="str">
        <f>IFERROR(IF(OR(F37=0,F37="",F37&gt;$A$9-0.01),"",VLOOKUP(VLOOKUP(F37,A38:B42,2,TRUE),Points!$H$7:$I$10,2,FALSE)),"")</f>
        <v/>
      </c>
      <c r="H37" s="67"/>
      <c r="I37" s="117">
        <v>1</v>
      </c>
      <c r="J37" s="399">
        <v>1</v>
      </c>
      <c r="K37" s="64" t="str">
        <f ca="1">IFERROR(IF(A43=0,HLOOKUP(J37,Declarations!$D$2:$S$102,A37,FALSE),HLOOKUP(VLOOKUP(J37,Teams!$V$2:$W$19,2,FALSE),Declarations!$D$2:$S$102,A37,FALSE)),"")</f>
        <v>MARRIOTT Thomas</v>
      </c>
      <c r="L37" s="64" t="str">
        <f t="shared" ref="L37:L44" si="7">IFERROR(VLOOKUP(J37,teamlookup,5,FALSE),"")</f>
        <v>C'field</v>
      </c>
      <c r="M37" s="313">
        <v>16.2</v>
      </c>
      <c r="N37" s="198" t="str">
        <f>IFERROR(IF(OR(M37=0,M37="",M37&gt;$A42-0.01),"",VLOOKUP(VLOOKUP(M37,A38:B42,2,TRUE),Points!$H$7:$I$10,2,FALSE)),"")</f>
        <v/>
      </c>
      <c r="P37" s="66">
        <f ca="1">IFERROR(IF(OR(C37=0,C37="",F37=0,F37="",$P36&lt;&gt;0,LEFT(F37,1)="D"),0,VLOOKUP(B37,INDIRECT(MatchDay!$W$2),2,FALSE)),"")</f>
        <v>8</v>
      </c>
      <c r="Q37" s="66">
        <f ca="1">IFERROR(IF(OR(J37=0,J37="",M37=0,M37="",$P36&lt;&gt;0,LEFT(M37,1)="D"),0,VLOOKUP(I37,INDIRECT(MatchDay!$W$2),3,FALSE)),"")</f>
        <v>6</v>
      </c>
      <c r="R37" s="219">
        <f>COUNTIF(C37,"&gt;0")</f>
        <v>1</v>
      </c>
      <c r="S37" s="66">
        <f>IFERROR(IF(C37&gt;88,1,0),0)</f>
        <v>0</v>
      </c>
    </row>
    <row r="38" spans="1:20" x14ac:dyDescent="0.35">
      <c r="A38" s="64">
        <v>0</v>
      </c>
      <c r="B38" s="117">
        <v>2</v>
      </c>
      <c r="C38" s="120">
        <v>11</v>
      </c>
      <c r="D38" s="64" t="str">
        <f ca="1">IFERROR(IF(A43=0,HLOOKUP(C38,Declarations!$D$2:$S$102,A37,FALSE),HLOOKUP(VLOOKUP(C38,Teams!$V$2:$W$19,2,FALSE),Declarations!$D$2:$S$102,A37,FALSE)),"")</f>
        <v>FOOT James</v>
      </c>
      <c r="E38" s="64" t="str">
        <f t="shared" si="6"/>
        <v>C'field</v>
      </c>
      <c r="F38" s="393">
        <v>15.3</v>
      </c>
      <c r="G38" s="198" t="str">
        <f>IFERROR(IF(OR(F38=0,F38="",F38&gt;$A$9-0.01),"",VLOOKUP(VLOOKUP(F38,A38:B42,2,TRUE),Points!$H$7:$I$10,2,FALSE)),"")</f>
        <v/>
      </c>
      <c r="H38" s="67"/>
      <c r="I38" s="117">
        <v>2</v>
      </c>
      <c r="J38" s="399">
        <v>3</v>
      </c>
      <c r="K38" s="64" t="str">
        <f ca="1">IFERROR(IF(A43=0,HLOOKUP(J38,Declarations!$D$2:$S$102,A37,FALSE),HLOOKUP(VLOOKUP(J38,Teams!$V$2:$W$19,2,FALSE),Declarations!$D$2:$S$102,A37,FALSE)),"")</f>
        <v>HENSON Isaac</v>
      </c>
      <c r="L38" s="64" t="str">
        <f t="shared" si="7"/>
        <v>York</v>
      </c>
      <c r="M38" s="313">
        <v>16.399999999999999</v>
      </c>
      <c r="N38" s="198" t="str">
        <f>IFERROR(IF(OR(M38=0,M38="",M38&gt;$A42-0.01),"",VLOOKUP(VLOOKUP(M38,A38:B42,2,TRUE),Points!$H$7:$I$10,2,FALSE)),"")</f>
        <v/>
      </c>
      <c r="P38" s="66">
        <f ca="1">IFERROR(IF(OR(C38=0,C38="",F38=0,F38="",$P36&lt;&gt;0,LEFT(F38,1)="D"),0,VLOOKUP(B38,INDIRECT(MatchDay!$W$2),2,FALSE)),"")</f>
        <v>6</v>
      </c>
      <c r="Q38" s="66">
        <f ca="1">IFERROR(IF(OR(J38=0,J38="",M38=0,M38="",$P36&lt;&gt;0,LEFT(M38,1)="D"),0,VLOOKUP(I38,INDIRECT(MatchDay!$W$2),3,FALSE)),"")</f>
        <v>4</v>
      </c>
    </row>
    <row r="39" spans="1:20" x14ac:dyDescent="0.35">
      <c r="A39" s="118">
        <f>IFERROR(VLOOKUP(A35,standards,3,FALSE)+0.01,"-")</f>
        <v>11.91</v>
      </c>
      <c r="B39" s="117">
        <v>3</v>
      </c>
      <c r="C39" s="120">
        <v>33</v>
      </c>
      <c r="D39" s="64" t="str">
        <f ca="1">IFERROR(IF(A43=0,HLOOKUP(C39,Declarations!$D$2:$S$102,A37,FALSE),HLOOKUP(VLOOKUP(C39,Teams!$V$2:$W$19,2,FALSE),Declarations!$D$2:$S$102,A37,FALSE)),"")</f>
        <v>LANSFORD Hollis</v>
      </c>
      <c r="E39" s="64" t="str">
        <f t="shared" si="6"/>
        <v>York</v>
      </c>
      <c r="F39" s="393">
        <v>16.2</v>
      </c>
      <c r="G39" s="198" t="str">
        <f>IFERROR(IF(OR(F39=0,F39="",F39&gt;$A$9-0.01),"",VLOOKUP(VLOOKUP(F39,A38:B42,2,TRUE),Points!$H$7:$I$10,2,FALSE)),"")</f>
        <v/>
      </c>
      <c r="H39" s="67"/>
      <c r="I39" s="117">
        <v>3</v>
      </c>
      <c r="J39" s="399">
        <v>22</v>
      </c>
      <c r="K39" s="64" t="str">
        <f ca="1">IFERROR(IF(A43=0,HLOOKUP(J39,Declarations!$D$2:$S$102,A37,FALSE),HLOOKUP(VLOOKUP(J39,Teams!$V$2:$W$19,2,FALSE),Declarations!$D$2:$S$102,A37,FALSE)),"")</f>
        <v>SCOTT Leni</v>
      </c>
      <c r="L39" s="64" t="str">
        <f t="shared" si="7"/>
        <v>Sheff+D</v>
      </c>
      <c r="M39" s="313">
        <v>17</v>
      </c>
      <c r="N39" s="198" t="str">
        <f>IFERROR(IF(OR(M39=0,M39="",M39&gt;$A42-0.01),"",VLOOKUP(VLOOKUP(M39,A38:B42,2,TRUE),Points!$H$7:$I$10,2,FALSE)),"")</f>
        <v/>
      </c>
      <c r="P39" s="66">
        <f ca="1">IFERROR(IF(OR(C39=0,C39="",F39=0,F39="",$P36&lt;&gt;0,LEFT(F39,1)="D"),0,VLOOKUP(B39,INDIRECT(MatchDay!$W$2),2,FALSE)),"")</f>
        <v>5</v>
      </c>
      <c r="Q39" s="66">
        <f ca="1">IFERROR(IF(OR(J39=0,J39="",M39=0,M39="",$P36&lt;&gt;0,LEFT(M39,1)="D"),0,VLOOKUP(I39,INDIRECT(MatchDay!$W$2),3,FALSE)),"")</f>
        <v>3</v>
      </c>
    </row>
    <row r="40" spans="1:20" x14ac:dyDescent="0.35">
      <c r="A40" s="118">
        <f>IFERROR(VLOOKUP(A35,standards,4,FALSE)+0.01,"-")</f>
        <v>12.209999999999999</v>
      </c>
      <c r="B40" s="117">
        <v>4</v>
      </c>
      <c r="C40" s="120"/>
      <c r="D40" s="64" t="str">
        <f>IFERROR(IF(A43=0,HLOOKUP(C40,Declarations!$D$2:$S$102,A37,FALSE),HLOOKUP(VLOOKUP(C40,Teams!$V$2:$W$19,2,FALSE),Declarations!$D$2:$S$102,A37,FALSE)),"")</f>
        <v/>
      </c>
      <c r="E40" s="64" t="str">
        <f t="shared" si="6"/>
        <v/>
      </c>
      <c r="F40" s="393"/>
      <c r="G40" s="198" t="str">
        <f>IFERROR(IF(OR(F40=0,F40="",F40&gt;$A$9-0.01),"",VLOOKUP(VLOOKUP(F40,A38:B42,2,TRUE),Points!$H$7:$I$10,2,FALSE)),"")</f>
        <v/>
      </c>
      <c r="H40" s="67"/>
      <c r="I40" s="117">
        <v>4</v>
      </c>
      <c r="J40" s="399"/>
      <c r="K40" s="64" t="str">
        <f>IFERROR(IF(A43=0,HLOOKUP(J40,Declarations!$D$2:$S$102,A37,FALSE),HLOOKUP(VLOOKUP(J40,Teams!$V$2:$W$19,2,FALSE),Declarations!$D$2:$S$102,A37,FALSE)),"")</f>
        <v/>
      </c>
      <c r="L40" s="64" t="str">
        <f t="shared" si="7"/>
        <v/>
      </c>
      <c r="M40" s="313"/>
      <c r="N40" s="198" t="str">
        <f>IFERROR(IF(OR(M40=0,M40="",M40&gt;$A42-0.01),"",VLOOKUP(VLOOKUP(M40,A38:B42,2,TRUE),Points!$H$7:$I$10,2,FALSE)),"")</f>
        <v/>
      </c>
      <c r="P40" s="66">
        <f ca="1">IFERROR(IF(OR(C40=0,C40="",F40=0,F40="",$P36&lt;&gt;0,LEFT(F40,1)="D"),0,VLOOKUP(B40,INDIRECT(MatchDay!$W$2),2,FALSE)),"")</f>
        <v>0</v>
      </c>
      <c r="Q40" s="66">
        <f ca="1">IFERROR(IF(OR(J40=0,J40="",M40=0,M40="",$P36&lt;&gt;0,LEFT(M40,1)="D"),0,VLOOKUP(I40,INDIRECT(MatchDay!$W$2),3,FALSE)),"")</f>
        <v>0</v>
      </c>
    </row>
    <row r="41" spans="1:20" x14ac:dyDescent="0.35">
      <c r="A41" s="118">
        <f>IFERROR(VLOOKUP(A35,standards,5,FALSE)+0.01,"-")</f>
        <v>12.709999999999999</v>
      </c>
      <c r="B41" s="117">
        <v>5</v>
      </c>
      <c r="C41" s="120"/>
      <c r="D41" s="64" t="str">
        <f>IFERROR(IF(A43=0,HLOOKUP(C41,Declarations!$D$2:$S$102,A37,FALSE),HLOOKUP(VLOOKUP(C41,Teams!$V$2:$W$19,2,FALSE),Declarations!$D$2:$S$102,A37,FALSE)),"")</f>
        <v/>
      </c>
      <c r="E41" s="64" t="str">
        <f t="shared" si="6"/>
        <v/>
      </c>
      <c r="F41" s="393"/>
      <c r="G41" s="198" t="str">
        <f>IFERROR(IF(OR(F41=0,F41="",F41&gt;$A$9-0.01),"",VLOOKUP(VLOOKUP(F41,A38:B42,2,TRUE),Points!$H$7:$I$10,2,FALSE)),"")</f>
        <v/>
      </c>
      <c r="H41" s="67"/>
      <c r="I41" s="117">
        <v>5</v>
      </c>
      <c r="J41" s="399"/>
      <c r="K41" s="64" t="str">
        <f>IFERROR(IF(A43=0,HLOOKUP(J41,Declarations!$D$2:$S$102,A37,FALSE),HLOOKUP(VLOOKUP(J41,Teams!$V$2:$W$19,2,FALSE),Declarations!$D$2:$S$102,A37,FALSE)),"")</f>
        <v/>
      </c>
      <c r="L41" s="64" t="str">
        <f t="shared" si="7"/>
        <v/>
      </c>
      <c r="M41" s="313"/>
      <c r="N41" s="198" t="str">
        <f>IFERROR(IF(OR(M41=0,M41="",M41&gt;$A42-0.01),"",VLOOKUP(VLOOKUP(M41,A38:B42,2,TRUE),Points!$H$7:$I$10,2,FALSE)),"")</f>
        <v/>
      </c>
      <c r="P41" s="66">
        <f ca="1">IFERROR(IF(OR(C41=0,C41="",F41=0,F41="",$P36&lt;&gt;0,LEFT(F41,1)="D"),0,VLOOKUP(B41,INDIRECT(MatchDay!$W$2),2,FALSE)),"")</f>
        <v>0</v>
      </c>
      <c r="Q41" s="66">
        <f ca="1">IFERROR(IF(OR(J41=0,J41="",M41=0,M41="",$P36&lt;&gt;0,LEFT(M41,1)="D"),0,VLOOKUP(I41,INDIRECT(MatchDay!$W$2),3,FALSE)),"")</f>
        <v>0</v>
      </c>
    </row>
    <row r="42" spans="1:20" x14ac:dyDescent="0.35">
      <c r="A42" s="118">
        <f>IFERROR(VLOOKUP(A35,standards,6,FALSE)+0.01,"-")</f>
        <v>13.41</v>
      </c>
      <c r="B42" s="117">
        <v>6</v>
      </c>
      <c r="C42" s="120"/>
      <c r="D42" s="64" t="str">
        <f>IFERROR(IF(A43=0,HLOOKUP(C42,Declarations!$D$2:$S$102,A37,FALSE),HLOOKUP(VLOOKUP(C42,Teams!$V$2:$W$19,2,FALSE),Declarations!$D$2:$S$102,A37,FALSE)),"")</f>
        <v/>
      </c>
      <c r="E42" s="64" t="str">
        <f t="shared" si="6"/>
        <v/>
      </c>
      <c r="F42" s="393"/>
      <c r="G42" s="198" t="str">
        <f>IFERROR(IF(OR(F42=0,F42="",F42&gt;$A$9-0.01),"",VLOOKUP(VLOOKUP(F42,A38:B42,2,TRUE),Points!$H$7:$I$10,2,FALSE)),"")</f>
        <v/>
      </c>
      <c r="H42" s="67"/>
      <c r="I42" s="117">
        <v>6</v>
      </c>
      <c r="J42" s="399"/>
      <c r="K42" s="64" t="str">
        <f>IFERROR(IF(A43=0,HLOOKUP(J42,Declarations!$D$2:$S$102,A37,FALSE),HLOOKUP(VLOOKUP(J42,Teams!$V$2:$W$19,2,FALSE),Declarations!$D$2:$S$102,A37,FALSE)),"")</f>
        <v/>
      </c>
      <c r="L42" s="64" t="str">
        <f t="shared" si="7"/>
        <v/>
      </c>
      <c r="M42" s="313"/>
      <c r="N42" s="198" t="str">
        <f>IFERROR(IF(OR(M42=0,M42="",M42&gt;$A42-0.01),"",VLOOKUP(VLOOKUP(M42,A38:B42,2,TRUE),Points!$H$7:$I$10,2,FALSE)),"")</f>
        <v/>
      </c>
      <c r="P42" s="66">
        <f ca="1">IFERROR(IF(OR(C42=0,C42="",F42=0,F42="",$P36&lt;&gt;0,LEFT(F42,1)="D"),0,VLOOKUP(B42,INDIRECT(MatchDay!$W$2),2,FALSE)),"")</f>
        <v>0</v>
      </c>
      <c r="Q42" s="66">
        <f ca="1">IFERROR(IF(OR(J42=0,J42="",M42=0,M42="",$P36&lt;&gt;0,LEFT(M42,1)="D"),0,VLOOKUP(I42,INDIRECT(MatchDay!$W$2),3,FALSE)),"")</f>
        <v>0</v>
      </c>
    </row>
    <row r="43" spans="1:20" x14ac:dyDescent="0.35">
      <c r="A43" s="136">
        <f>IFERROR(SEARCH("U17",B35),0)</f>
        <v>0</v>
      </c>
      <c r="B43" s="117">
        <v>7</v>
      </c>
      <c r="C43" s="120"/>
      <c r="D43" s="64" t="str">
        <f>IFERROR(IF(A43=0,HLOOKUP(C43,Declarations!$D$2:$S$102,A37,FALSE),HLOOKUP(VLOOKUP(C43,Teams!$V$2:$W$19,2,FALSE),Declarations!$D$2:$S$102,A37,FALSE)),"")</f>
        <v/>
      </c>
      <c r="E43" s="64" t="str">
        <f t="shared" si="6"/>
        <v/>
      </c>
      <c r="F43" s="393"/>
      <c r="G43" s="198" t="str">
        <f>IFERROR(IF(OR(F43=0,F43="",F43&gt;$A$9-0.01),"",VLOOKUP(VLOOKUP(F43,A38:B42,2,TRUE),Points!$H$7:$I$10,2,FALSE)),"")</f>
        <v/>
      </c>
      <c r="H43" s="67"/>
      <c r="I43" s="117">
        <v>7</v>
      </c>
      <c r="J43" s="399"/>
      <c r="K43" s="64" t="str">
        <f>IFERROR(IF(A43=0,HLOOKUP(J43,Declarations!$D$2:$S$102,A37,FALSE),HLOOKUP(VLOOKUP(J43,Teams!$V$2:$W$19,2,FALSE),Declarations!$D$2:$S$102,A37,FALSE)),"")</f>
        <v/>
      </c>
      <c r="L43" s="64" t="str">
        <f t="shared" si="7"/>
        <v/>
      </c>
      <c r="M43" s="313"/>
      <c r="N43" s="198" t="str">
        <f>IFERROR(IF(OR(M43=0,M43="",M43&gt;$A42-0.01),"",VLOOKUP(VLOOKUP(M43,A38:B42,2,TRUE),Points!$H$7:$I$10,2,FALSE)),"")</f>
        <v/>
      </c>
      <c r="P43" s="66">
        <f ca="1">IFERROR(IF(OR(C43=0,C43="",F43=0,F43="",$P36&lt;&gt;0,LEFT(F43,1)="D"),0,VLOOKUP(B43,INDIRECT(MatchDay!$W$2),2,FALSE)),"")</f>
        <v>0</v>
      </c>
      <c r="Q43" s="66">
        <f ca="1">IFERROR(IF(OR(J43=0,J43="",M43=0,M43="",$P36&lt;&gt;0,LEFT(M43,1)="D"),0,VLOOKUP(I43,INDIRECT(MatchDay!$W$2),3,FALSE)),"")</f>
        <v>0</v>
      </c>
    </row>
    <row r="44" spans="1:20" x14ac:dyDescent="0.35">
      <c r="A44" s="116">
        <f>IFERROR(VLOOKUP(A35,records,5,FALSE),"")</f>
        <v>11</v>
      </c>
      <c r="B44" s="117">
        <v>8</v>
      </c>
      <c r="C44" s="120"/>
      <c r="D44" s="64" t="str">
        <f>IFERROR(IF(A43=0,HLOOKUP(C44,Declarations!$D$2:$S$102,A37,FALSE),HLOOKUP(VLOOKUP(C44,Teams!$V$2:$W$19,2,FALSE),Declarations!$D$2:$S$102,A37,FALSE)),"")</f>
        <v/>
      </c>
      <c r="E44" s="64" t="str">
        <f t="shared" si="6"/>
        <v/>
      </c>
      <c r="F44" s="393"/>
      <c r="G44" s="198" t="str">
        <f>IFERROR(IF(OR(F44=0,F44="",F44&gt;$A$9-0.01),"",VLOOKUP(VLOOKUP(F44,A38:B42,2,TRUE),Points!$H$7:$I$10,2,FALSE)),"")</f>
        <v/>
      </c>
      <c r="H44" s="67"/>
      <c r="I44" s="117">
        <v>8</v>
      </c>
      <c r="J44" s="399"/>
      <c r="K44" s="64" t="str">
        <f>IFERROR(IF(A43=0,HLOOKUP(J44,Declarations!$D$2:$S$102,A37,FALSE),HLOOKUP(VLOOKUP(J44,Teams!$V$2:$W$19,2,FALSE),Declarations!$D$2:$S$102,A37,FALSE)),"")</f>
        <v/>
      </c>
      <c r="L44" s="64" t="str">
        <f t="shared" si="7"/>
        <v/>
      </c>
      <c r="M44" s="313"/>
      <c r="N44" s="198" t="str">
        <f>IFERROR(IF(OR(M44=0,M44="",M44&gt;$A42-0.01),"",VLOOKUP(VLOOKUP(M44,A38:B42,2,TRUE),Points!$H$7:$I$10,2,FALSE)),"")</f>
        <v/>
      </c>
      <c r="P44" s="66">
        <f ca="1">IFERROR(IF(OR(C44=0,C44="",F44=0,F44="",$P36&lt;&gt;0,LEFT(F44,1)="D"),0,VLOOKUP(B44,INDIRECT(MatchDay!$W$2),2,FALSE)),"")</f>
        <v>0</v>
      </c>
      <c r="Q44" s="66">
        <f ca="1">IFERROR(IF(OR(J44=0,J44="",M44=0,M44="",$P36&lt;&gt;0,LEFT(M44,1)="D"),0,VLOOKUP(I44,INDIRECT(MatchDay!$W$2),3,FALSE)),"")</f>
        <v>0</v>
      </c>
    </row>
    <row r="46" spans="1:20" x14ac:dyDescent="0.35">
      <c r="A46" s="111" t="s">
        <v>36</v>
      </c>
      <c r="B46" s="112" t="str">
        <f>IFERROR(VLOOKUP(A46,timetables,2,FALSE)&amp;" "&amp;VLOOKUP(A46,timetables,3,FALSE)&amp;" A","")</f>
        <v>150m U13 Girls A</v>
      </c>
      <c r="C46" s="112"/>
      <c r="E46" s="130" t="str">
        <f>IFERROR(IF(VLOOKUP($A46,timetables,8,FALSE)="W","Wind = ",""),"")</f>
        <v xml:space="preserve">Wind = </v>
      </c>
      <c r="F46" s="414"/>
      <c r="G46" s="119" t="str">
        <f>IFERROR(IF(OR(F48=0,F48=""),"",IF(F48&lt;A55,"REC",IF(F48=A55,"=Rec",""))),"")</f>
        <v/>
      </c>
      <c r="I46" s="114" t="str">
        <f>IFERROR(VLOOKUP(A46,timetables,2,FALSE)&amp;" "&amp;VLOOKUP(A46,timetables,3,FALSE)&amp;" B","")</f>
        <v>150m U13 Girls B</v>
      </c>
      <c r="J46" s="115"/>
      <c r="L46" s="130" t="str">
        <f>IFERROR(IF(VLOOKUP($A46,timetables,8,FALSE)="W","Wind = ",""),"")</f>
        <v xml:space="preserve">Wind = </v>
      </c>
      <c r="M46" s="414"/>
      <c r="P46" s="66" t="s">
        <v>53</v>
      </c>
      <c r="Q46" s="66" t="s">
        <v>54</v>
      </c>
    </row>
    <row r="47" spans="1:20" x14ac:dyDescent="0.35">
      <c r="A47" s="82"/>
      <c r="B47" s="45" t="s">
        <v>230</v>
      </c>
      <c r="C47" s="45" t="s">
        <v>183</v>
      </c>
      <c r="D47" s="47" t="s">
        <v>227</v>
      </c>
      <c r="E47" s="47" t="s">
        <v>228</v>
      </c>
      <c r="F47" s="149" t="s">
        <v>229</v>
      </c>
      <c r="G47" s="199" t="s">
        <v>55</v>
      </c>
      <c r="H47" s="47"/>
      <c r="I47" s="45" t="s">
        <v>230</v>
      </c>
      <c r="J47" s="45" t="s">
        <v>183</v>
      </c>
      <c r="K47" s="47" t="s">
        <v>227</v>
      </c>
      <c r="L47" s="47" t="s">
        <v>228</v>
      </c>
      <c r="M47" s="149" t="s">
        <v>229</v>
      </c>
      <c r="N47" s="199" t="s">
        <v>55</v>
      </c>
      <c r="P47" s="66">
        <f>IFERROR(SEARCH("NS",B46),0)</f>
        <v>0</v>
      </c>
      <c r="T47" s="67"/>
    </row>
    <row r="48" spans="1:20" x14ac:dyDescent="0.35">
      <c r="A48" s="181">
        <f>IFERROR(VLOOKUP(A46,Timetables!$A:$E,5,FALSE)-1,"")</f>
        <v>30</v>
      </c>
      <c r="B48" s="117">
        <v>1</v>
      </c>
      <c r="C48" s="120">
        <v>2</v>
      </c>
      <c r="D48" s="64" t="str">
        <f ca="1">IFERROR(IF(A54=0,HLOOKUP(C48,Declarations!$D$2:$S$102,A48,FALSE),HLOOKUP(VLOOKUP(C48,Teams!$V$2:$W$19,2,FALSE),Declarations!$D$2:$S$102,A48,FALSE)),"")</f>
        <v>GROVE Abigail</v>
      </c>
      <c r="E48" s="64" t="str">
        <f t="shared" ref="E48:E55" si="8">IFERROR(VLOOKUP(C48,teamlookup,5,FALSE),"")</f>
        <v>Sheff+D</v>
      </c>
      <c r="F48" s="393">
        <v>21.4</v>
      </c>
      <c r="G48" s="198">
        <f>IFERROR(IF(OR(F48=0,F48="",F48&gt;$A$64-0.01),"",VLOOKUP(VLOOKUP(F48,A49:B53,2,TRUE),Points!$H$7:$I$10,2,FALSE)),"")</f>
        <v>3</v>
      </c>
      <c r="H48" s="67"/>
      <c r="I48" s="117">
        <v>1</v>
      </c>
      <c r="J48" s="392">
        <v>22</v>
      </c>
      <c r="K48" s="64" t="str">
        <f ca="1">IFERROR(IF(A54=0,HLOOKUP(J48,Declarations!$D$2:$S$102,A48,FALSE),HLOOKUP(VLOOKUP(J48,Teams!$V$2:$W$19,2,FALSE),Declarations!$D$2:$S$102,A48,FALSE)),"")</f>
        <v>HARTLEY Eleanor</v>
      </c>
      <c r="L48" s="64" t="str">
        <f t="shared" ref="L48:L55" si="9">IFERROR(VLOOKUP(J48,teamlookup,5,FALSE),"")</f>
        <v>Sheff+D</v>
      </c>
      <c r="M48" s="313">
        <v>22</v>
      </c>
      <c r="N48" s="198">
        <f>IFERROR(IF(OR(M48=0,M48="",M48&gt;$A53-0.01),"",VLOOKUP(VLOOKUP(M48,A49:B53,2,TRUE),Points!$H$7:$I$10,2,FALSE)),"")</f>
        <v>4</v>
      </c>
      <c r="P48" s="66">
        <f ca="1">IFERROR(IF(OR(C48=0,C48="",F48=0,F48="",$P47&lt;&gt;0,LEFT(F48,1)="D"),0,VLOOKUP(B48,INDIRECT(MatchDay!$W$2),2,FALSE)),"")</f>
        <v>8</v>
      </c>
      <c r="Q48" s="66">
        <f ca="1">IFERROR(IF(OR(J48=0,J48="",M48=0,M48="",$P47&lt;&gt;0,LEFT(M48,1)="D"),0,VLOOKUP(I48,INDIRECT(MatchDay!$W$2),3,FALSE)),"")</f>
        <v>6</v>
      </c>
      <c r="R48" s="219">
        <f>COUNTIF(C48,"&gt;0")</f>
        <v>1</v>
      </c>
      <c r="S48" s="66">
        <f>IFERROR(IF(C48&gt;88,1,0),0)</f>
        <v>0</v>
      </c>
    </row>
    <row r="49" spans="1:20" x14ac:dyDescent="0.35">
      <c r="A49" s="64">
        <v>0</v>
      </c>
      <c r="B49" s="117">
        <v>2</v>
      </c>
      <c r="C49" s="120">
        <v>3</v>
      </c>
      <c r="D49" s="64" t="str">
        <f ca="1">IFERROR(IF(A54=0,HLOOKUP(C49,Declarations!$D$2:$S$102,A48,FALSE),HLOOKUP(VLOOKUP(C49,Teams!$V$2:$W$19,2,FALSE),Declarations!$D$2:$S$102,A48,FALSE)),"")</f>
        <v>MARSHALL Nancy</v>
      </c>
      <c r="E49" s="64" t="str">
        <f t="shared" si="8"/>
        <v>York</v>
      </c>
      <c r="F49" s="393">
        <v>21.5</v>
      </c>
      <c r="G49" s="198">
        <f>IFERROR(IF(OR(F49=0,F49="",F49&gt;$A$64-0.01),"",VLOOKUP(VLOOKUP(F49,A49:B53,2,TRUE),Points!$H$7:$I$10,2,FALSE)),"")</f>
        <v>3</v>
      </c>
      <c r="H49" s="67"/>
      <c r="I49" s="117">
        <v>2</v>
      </c>
      <c r="J49" s="392">
        <v>44</v>
      </c>
      <c r="K49" s="64" t="str">
        <f ca="1">IFERROR(IF(A54=0,HLOOKUP(J49,Declarations!$D$2:$S$102,A48,FALSE),HLOOKUP(VLOOKUP(J49,Teams!$V$2:$W$19,2,FALSE),Declarations!$D$2:$S$102,A48,FALSE)),"")</f>
        <v>SEDGWICK Emma</v>
      </c>
      <c r="L49" s="64" t="str">
        <f t="shared" si="9"/>
        <v>M'bro</v>
      </c>
      <c r="M49" s="313">
        <v>22</v>
      </c>
      <c r="N49" s="198">
        <f>IFERROR(IF(OR(M49=0,M49="",M49&gt;$A53-0.01),"",VLOOKUP(VLOOKUP(M49,A49:B53,2,TRUE),Points!$H$7:$I$10,2,FALSE)),"")</f>
        <v>4</v>
      </c>
      <c r="P49" s="66">
        <f ca="1">IFERROR(IF(OR(C49=0,C49="",F49=0,F49="",$P47&lt;&gt;0,LEFT(F49,1)="D"),0,VLOOKUP(B49,INDIRECT(MatchDay!$W$2),2,FALSE)),"")</f>
        <v>6</v>
      </c>
      <c r="Q49" s="66">
        <f ca="1">IFERROR(IF(OR(J49=0,J49="",M49=0,M49="",$P47&lt;&gt;0,LEFT(M49,1)="D"),0,VLOOKUP(I49,INDIRECT(MatchDay!$W$2),3,FALSE)),"")</f>
        <v>4</v>
      </c>
    </row>
    <row r="50" spans="1:20" x14ac:dyDescent="0.35">
      <c r="A50" s="118">
        <f>IFERROR(VLOOKUP(A46,standards,3,FALSE)+0.01,"-")</f>
        <v>20.51</v>
      </c>
      <c r="B50" s="117">
        <v>3</v>
      </c>
      <c r="C50" s="120">
        <v>4</v>
      </c>
      <c r="D50" s="64" t="str">
        <f ca="1">IFERROR(IF(A54=0,HLOOKUP(C50,Declarations!$D$2:$S$102,A48,FALSE),HLOOKUP(VLOOKUP(C50,Teams!$V$2:$W$19,2,FALSE),Declarations!$D$2:$S$102,A48,FALSE)),"")</f>
        <v>SULLOCK Beth</v>
      </c>
      <c r="E50" s="64" t="str">
        <f t="shared" si="8"/>
        <v>M'bro</v>
      </c>
      <c r="F50" s="393">
        <v>22.8</v>
      </c>
      <c r="G50" s="198" t="str">
        <f>IFERROR(IF(OR(F50=0,F50="",F50&gt;$A$64-0.01),"",VLOOKUP(VLOOKUP(F50,A49:B53,2,TRUE),Points!$H$7:$I$10,2,FALSE)),"")</f>
        <v/>
      </c>
      <c r="H50" s="67"/>
      <c r="I50" s="117">
        <v>3</v>
      </c>
      <c r="J50" s="392">
        <v>33</v>
      </c>
      <c r="K50" s="64" t="str">
        <f ca="1">IFERROR(IF(A54=0,HLOOKUP(J50,Declarations!$D$2:$S$102,A48,FALSE),HLOOKUP(VLOOKUP(J50,Teams!$V$2:$W$19,2,FALSE),Declarations!$D$2:$S$102,A48,FALSE)),"")</f>
        <v>BIRCH Louisa</v>
      </c>
      <c r="L50" s="64" t="str">
        <f t="shared" si="9"/>
        <v>York</v>
      </c>
      <c r="M50" s="313">
        <v>22.5</v>
      </c>
      <c r="N50" s="198" t="str">
        <f>IFERROR(IF(OR(M50=0,M50="",M50&gt;$A53-0.01),"",VLOOKUP(VLOOKUP(M50,A49:B53,2,TRUE),Points!$H$7:$I$10,2,FALSE)),"")</f>
        <v/>
      </c>
      <c r="P50" s="66">
        <f ca="1">IFERROR(IF(OR(C50=0,C50="",F50=0,F50="",$P47&lt;&gt;0,LEFT(F50,1)="D"),0,VLOOKUP(B50,INDIRECT(MatchDay!$W$2),2,FALSE)),"")</f>
        <v>5</v>
      </c>
      <c r="Q50" s="66">
        <f ca="1">IFERROR(IF(OR(J50=0,J50="",M50=0,M50="",$P47&lt;&gt;0,LEFT(M50,1)="D"),0,VLOOKUP(I50,INDIRECT(MatchDay!$W$2),3,FALSE)),"")</f>
        <v>3</v>
      </c>
    </row>
    <row r="51" spans="1:20" x14ac:dyDescent="0.35">
      <c r="A51" s="118">
        <f>IFERROR(VLOOKUP(A46,standards,4,FALSE)+0.01,"-")</f>
        <v>21.01</v>
      </c>
      <c r="B51" s="117">
        <v>4</v>
      </c>
      <c r="C51" s="120">
        <v>5</v>
      </c>
      <c r="D51" s="64" t="str">
        <f ca="1">IFERROR(IF(A54=0,HLOOKUP(C51,Declarations!$D$2:$S$102,A48,FALSE),HLOOKUP(VLOOKUP(C51,Teams!$V$2:$W$19,2,FALSE),Declarations!$D$2:$S$102,A48,FALSE)),"")</f>
        <v>LINGARD Beatrice</v>
      </c>
      <c r="E51" s="64" t="str">
        <f t="shared" si="8"/>
        <v>Scun</v>
      </c>
      <c r="F51" s="393">
        <v>23.4</v>
      </c>
      <c r="G51" s="198" t="str">
        <f>IFERROR(IF(OR(F51=0,F51="",F51&gt;$A$64-0.01),"",VLOOKUP(VLOOKUP(F51,A49:B53,2,TRUE),Points!$H$7:$I$10,2,FALSE)),"")</f>
        <v/>
      </c>
      <c r="H51" s="67"/>
      <c r="I51" s="117">
        <v>4</v>
      </c>
      <c r="J51" s="392">
        <v>11</v>
      </c>
      <c r="K51" s="64" t="str">
        <f ca="1">IFERROR(IF(A54=0,HLOOKUP(J51,Declarations!$D$2:$S$102,A48,FALSE),HLOOKUP(VLOOKUP(J51,Teams!$V$2:$W$19,2,FALSE),Declarations!$D$2:$S$102,A48,FALSE)),"")</f>
        <v>SAS Evelyn</v>
      </c>
      <c r="L51" s="64" t="str">
        <f t="shared" si="9"/>
        <v>C'field</v>
      </c>
      <c r="M51" s="313">
        <v>24.4</v>
      </c>
      <c r="N51" s="198" t="str">
        <f>IFERROR(IF(OR(M51=0,M51="",M51&gt;$A53-0.01),"",VLOOKUP(VLOOKUP(M51,A49:B53,2,TRUE),Points!$H$7:$I$10,2,FALSE)),"")</f>
        <v/>
      </c>
      <c r="P51" s="66">
        <f ca="1">IFERROR(IF(OR(C51=0,C51="",F51=0,F51="",$P47&lt;&gt;0,LEFT(F51,1)="D"),0,VLOOKUP(B51,INDIRECT(MatchDay!$W$2),2,FALSE)),"")</f>
        <v>4</v>
      </c>
      <c r="Q51" s="66">
        <f ca="1">IFERROR(IF(OR(J51=0,J51="",M51=0,M51="",$P47&lt;&gt;0,LEFT(M51,1)="D"),0,VLOOKUP(I51,INDIRECT(MatchDay!$W$2),3,FALSE)),"")</f>
        <v>2</v>
      </c>
    </row>
    <row r="52" spans="1:20" x14ac:dyDescent="0.35">
      <c r="A52" s="118">
        <f>IFERROR(VLOOKUP(A46,standards,5,FALSE)+0.01,"-")</f>
        <v>21.51</v>
      </c>
      <c r="B52" s="117">
        <v>5</v>
      </c>
      <c r="C52" s="120">
        <v>1</v>
      </c>
      <c r="D52" s="64" t="str">
        <f ca="1">IFERROR(IF(A54=0,HLOOKUP(C52,Declarations!$D$2:$S$102,A48,FALSE),HLOOKUP(VLOOKUP(C52,Teams!$V$2:$W$19,2,FALSE),Declarations!$D$2:$S$102,A48,FALSE)),"")</f>
        <v>GRIFFIN Lydia</v>
      </c>
      <c r="E52" s="64" t="str">
        <f t="shared" si="8"/>
        <v>C'field</v>
      </c>
      <c r="F52" s="393">
        <v>25.2</v>
      </c>
      <c r="G52" s="198" t="str">
        <f>IFERROR(IF(OR(F52=0,F52="",F52&gt;$A$64-0.01),"",VLOOKUP(VLOOKUP(F52,A49:B53,2,TRUE),Points!$H$7:$I$10,2,FALSE)),"")</f>
        <v/>
      </c>
      <c r="H52" s="67"/>
      <c r="I52" s="117">
        <v>5</v>
      </c>
      <c r="J52" s="392">
        <v>55</v>
      </c>
      <c r="K52" s="64" t="str">
        <f ca="1">IFERROR(IF(A54=0,HLOOKUP(J52,Declarations!$D$2:$S$102,A48,FALSE),HLOOKUP(VLOOKUP(J52,Teams!$V$2:$W$19,2,FALSE),Declarations!$D$2:$S$102,A48,FALSE)),"")</f>
        <v>HAYES Zara</v>
      </c>
      <c r="L52" s="64" t="str">
        <f t="shared" si="9"/>
        <v>Scun</v>
      </c>
      <c r="M52" s="313">
        <v>25.6</v>
      </c>
      <c r="N52" s="198" t="str">
        <f>IFERROR(IF(OR(M52=0,M52="",M52&gt;$A53-0.01),"",VLOOKUP(VLOOKUP(M52,A49:B53,2,TRUE),Points!$H$7:$I$10,2,FALSE)),"")</f>
        <v/>
      </c>
      <c r="P52" s="66">
        <f ca="1">IFERROR(IF(OR(C52=0,C52="",F52=0,F52="",$P47&lt;&gt;0,LEFT(F52,1)="D"),0,VLOOKUP(B52,INDIRECT(MatchDay!$W$2),2,FALSE)),"")</f>
        <v>3</v>
      </c>
      <c r="Q52" s="66">
        <f ca="1">IFERROR(IF(OR(J52=0,J52="",M52=0,M52="",$P47&lt;&gt;0,LEFT(M52,1)="D"),0,VLOOKUP(I52,INDIRECT(MatchDay!$W$2),3,FALSE)),"")</f>
        <v>1</v>
      </c>
    </row>
    <row r="53" spans="1:20" x14ac:dyDescent="0.35">
      <c r="A53" s="118">
        <f>IFERROR(VLOOKUP(A46,standards,6,FALSE)+0.01,"-")</f>
        <v>22.41</v>
      </c>
      <c r="B53" s="117">
        <v>6</v>
      </c>
      <c r="C53" s="120"/>
      <c r="D53" s="64" t="str">
        <f>IFERROR(IF(A54=0,HLOOKUP(C53,Declarations!$D$2:$S$102,A48,FALSE),HLOOKUP(VLOOKUP(C53,Teams!$V$2:$W$19,2,FALSE),Declarations!$D$2:$S$102,A48,FALSE)),"")</f>
        <v/>
      </c>
      <c r="E53" s="64" t="str">
        <f t="shared" si="8"/>
        <v/>
      </c>
      <c r="F53" s="393"/>
      <c r="G53" s="198" t="str">
        <f>IFERROR(IF(OR(F53=0,F53="",F53&gt;$A$64-0.01),"",VLOOKUP(VLOOKUP(F53,A49:B53,2,TRUE),Points!$H$7:$I$10,2,FALSE)),"")</f>
        <v/>
      </c>
      <c r="H53" s="67"/>
      <c r="I53" s="117">
        <v>6</v>
      </c>
      <c r="J53" s="392"/>
      <c r="K53" s="64" t="str">
        <f>IFERROR(IF(A54=0,HLOOKUP(J53,Declarations!$D$2:$S$102,A48,FALSE),HLOOKUP(VLOOKUP(J53,Teams!$V$2:$W$19,2,FALSE),Declarations!$D$2:$S$102,A48,FALSE)),"")</f>
        <v/>
      </c>
      <c r="L53" s="64" t="str">
        <f t="shared" si="9"/>
        <v/>
      </c>
      <c r="M53" s="313"/>
      <c r="N53" s="198" t="str">
        <f>IFERROR(IF(OR(M53=0,M53="",M53&gt;$A53-0.01),"",VLOOKUP(VLOOKUP(M53,A49:B53,2,TRUE),Points!$H$7:$I$10,2,FALSE)),"")</f>
        <v/>
      </c>
      <c r="P53" s="66">
        <f ca="1">IFERROR(IF(OR(C53=0,C53="",F53=0,F53="",$P47&lt;&gt;0,LEFT(F53,1)="D"),0,VLOOKUP(B53,INDIRECT(MatchDay!$W$2),2,FALSE)),"")</f>
        <v>0</v>
      </c>
      <c r="Q53" s="66">
        <f ca="1">IFERROR(IF(OR(J53=0,J53="",M53=0,M53="",$P47&lt;&gt;0,LEFT(M53,1)="D"),0,VLOOKUP(I53,INDIRECT(MatchDay!$W$2),3,FALSE)),"")</f>
        <v>0</v>
      </c>
    </row>
    <row r="54" spans="1:20" x14ac:dyDescent="0.35">
      <c r="A54" s="136">
        <f>IFERROR(SEARCH("U17",B46),0)</f>
        <v>0</v>
      </c>
      <c r="B54" s="117">
        <v>7</v>
      </c>
      <c r="C54" s="120"/>
      <c r="D54" s="64" t="str">
        <f>IFERROR(IF(A54=0,HLOOKUP(C54,Declarations!$D$2:$S$102,A48,FALSE),HLOOKUP(VLOOKUP(C54,Teams!$V$2:$W$19,2,FALSE),Declarations!$D$2:$S$102,A48,FALSE)),"")</f>
        <v/>
      </c>
      <c r="E54" s="64" t="str">
        <f t="shared" si="8"/>
        <v/>
      </c>
      <c r="F54" s="393"/>
      <c r="G54" s="198" t="str">
        <f>IFERROR(IF(OR(F54=0,F54="",F54&gt;$A$64-0.01),"",VLOOKUP(VLOOKUP(F54,A49:B53,2,TRUE),Points!$H$7:$I$10,2,FALSE)),"")</f>
        <v/>
      </c>
      <c r="H54" s="67"/>
      <c r="I54" s="117">
        <v>7</v>
      </c>
      <c r="J54" s="392"/>
      <c r="K54" s="64" t="str">
        <f>IFERROR(IF(A54=0,HLOOKUP(J54,Declarations!$D$2:$S$102,A48,FALSE),HLOOKUP(VLOOKUP(J54,Teams!$V$2:$W$19,2,FALSE),Declarations!$D$2:$S$102,A48,FALSE)),"")</f>
        <v/>
      </c>
      <c r="L54" s="64" t="str">
        <f t="shared" si="9"/>
        <v/>
      </c>
      <c r="M54" s="313"/>
      <c r="N54" s="198" t="str">
        <f>IFERROR(IF(OR(M54=0,M54="",M54&gt;$A53-0.01),"",VLOOKUP(VLOOKUP(M54,A49:B53,2,TRUE),Points!$H$7:$I$10,2,FALSE)),"")</f>
        <v/>
      </c>
      <c r="P54" s="66">
        <f ca="1">IFERROR(IF(OR(C54=0,C54="",F54=0,F54="",$P47&lt;&gt;0,LEFT(F54,1)="D"),0,VLOOKUP(B54,INDIRECT(MatchDay!$W$2),2,FALSE)),"")</f>
        <v>0</v>
      </c>
      <c r="Q54" s="66">
        <f ca="1">IFERROR(IF(OR(J54=0,J54="",M54=0,M54="",$P47&lt;&gt;0,LEFT(M54,1)="D"),0,VLOOKUP(I54,INDIRECT(MatchDay!$W$2),3,FALSE)),"")</f>
        <v>0</v>
      </c>
    </row>
    <row r="55" spans="1:20" x14ac:dyDescent="0.35">
      <c r="A55" s="116">
        <f>IFERROR(VLOOKUP(A46,records,5,FALSE),"")</f>
        <v>18.7</v>
      </c>
      <c r="B55" s="117">
        <v>8</v>
      </c>
      <c r="C55" s="120"/>
      <c r="D55" s="64" t="str">
        <f>IFERROR(IF(A54=0,HLOOKUP(C55,Declarations!$D$2:$S$102,A48,FALSE),HLOOKUP(VLOOKUP(C55,Teams!$V$2:$W$19,2,FALSE),Declarations!$D$2:$S$102,A48,FALSE)),"")</f>
        <v/>
      </c>
      <c r="E55" s="64" t="str">
        <f t="shared" si="8"/>
        <v/>
      </c>
      <c r="F55" s="393"/>
      <c r="G55" s="198" t="str">
        <f>IFERROR(IF(OR(F55=0,F55="",F55&gt;$A$64-0.01),"",VLOOKUP(VLOOKUP(F55,A49:B53,2,TRUE),Points!$H$7:$I$10,2,FALSE)),"")</f>
        <v/>
      </c>
      <c r="H55" s="67"/>
      <c r="I55" s="117">
        <v>8</v>
      </c>
      <c r="J55" s="392"/>
      <c r="K55" s="64" t="str">
        <f>IFERROR(IF(A54=0,HLOOKUP(J55,Declarations!$D$2:$S$102,A48,FALSE),HLOOKUP(VLOOKUP(J55,Teams!$V$2:$W$19,2,FALSE),Declarations!$D$2:$S$102,A48,FALSE)),"")</f>
        <v/>
      </c>
      <c r="L55" s="64" t="str">
        <f t="shared" si="9"/>
        <v/>
      </c>
      <c r="M55" s="313"/>
      <c r="N55" s="198" t="str">
        <f>IFERROR(IF(OR(M55=0,M55="",M55&gt;$A53-0.01),"",VLOOKUP(VLOOKUP(M55,A49:B53,2,TRUE),Points!$H$7:$I$10,2,FALSE)),"")</f>
        <v/>
      </c>
      <c r="P55" s="66">
        <f ca="1">IFERROR(IF(OR(C55=0,C55="",F55=0,F55="",$P47&lt;&gt;0,LEFT(F55,1)="D"),0,VLOOKUP(B55,INDIRECT(MatchDay!$W$2),2,FALSE)),"")</f>
        <v>0</v>
      </c>
      <c r="Q55" s="66">
        <f ca="1">IFERROR(IF(OR(J55=0,J55="",M55=0,M55="",$P47&lt;&gt;0,LEFT(M55,1)="D"),0,VLOOKUP(I55,INDIRECT(MatchDay!$W$2),3,FALSE)),"")</f>
        <v>0</v>
      </c>
    </row>
    <row r="57" spans="1:20" x14ac:dyDescent="0.35">
      <c r="A57" s="111" t="s">
        <v>37</v>
      </c>
      <c r="B57" s="112" t="str">
        <f>IFERROR(VLOOKUP(A57,timetables,2,FALSE)&amp;" "&amp;VLOOKUP(A57,timetables,3,FALSE)&amp;" A","")</f>
        <v>200m U13 Boys A</v>
      </c>
      <c r="C57" s="112"/>
      <c r="E57" s="130" t="str">
        <f>IFERROR(IF(VLOOKUP($A57,timetables,8,FALSE)="W","Wind = ",""),"")</f>
        <v xml:space="preserve">Wind = </v>
      </c>
      <c r="F57" s="414"/>
      <c r="G57" s="119" t="str">
        <f>IFERROR(IF(OR(F59=0,F59=""),"",IF(F59&lt;A66,"REC",IF(F59=A66,"=Rec",""))),"")</f>
        <v/>
      </c>
      <c r="I57" s="114" t="str">
        <f>IFERROR(VLOOKUP(A57,timetables,2,FALSE)&amp;" "&amp;VLOOKUP(A57,timetables,3,FALSE)&amp;" B","")</f>
        <v>200m U13 Boys B</v>
      </c>
      <c r="J57" s="115"/>
      <c r="L57" s="130" t="str">
        <f>IFERROR(IF(VLOOKUP($A57,timetables,8,FALSE)="W","Wind = ",""),"")</f>
        <v xml:space="preserve">Wind = </v>
      </c>
      <c r="M57" s="414"/>
      <c r="P57" s="66" t="s">
        <v>53</v>
      </c>
      <c r="Q57" s="66" t="s">
        <v>54</v>
      </c>
    </row>
    <row r="58" spans="1:20" x14ac:dyDescent="0.35">
      <c r="A58" s="82"/>
      <c r="B58" s="45" t="s">
        <v>230</v>
      </c>
      <c r="C58" s="45" t="s">
        <v>183</v>
      </c>
      <c r="D58" s="47" t="s">
        <v>227</v>
      </c>
      <c r="E58" s="47" t="s">
        <v>228</v>
      </c>
      <c r="F58" s="149" t="s">
        <v>229</v>
      </c>
      <c r="G58" s="199" t="s">
        <v>55</v>
      </c>
      <c r="H58" s="47"/>
      <c r="I58" s="45" t="s">
        <v>230</v>
      </c>
      <c r="J58" s="45" t="s">
        <v>183</v>
      </c>
      <c r="K58" s="47" t="s">
        <v>227</v>
      </c>
      <c r="L58" s="47" t="s">
        <v>228</v>
      </c>
      <c r="M58" s="149" t="s">
        <v>229</v>
      </c>
      <c r="N58" s="199" t="s">
        <v>55</v>
      </c>
      <c r="P58" s="66">
        <f>IFERROR(SEARCH("NS",B57),0)</f>
        <v>0</v>
      </c>
      <c r="T58" s="67"/>
    </row>
    <row r="59" spans="1:20" x14ac:dyDescent="0.35">
      <c r="A59" s="181">
        <f>IFERROR(VLOOKUP(A57,Timetables!$A:$E,5,FALSE)-1,"")</f>
        <v>80</v>
      </c>
      <c r="B59" s="117">
        <v>1</v>
      </c>
      <c r="C59" s="120">
        <v>4</v>
      </c>
      <c r="D59" s="64" t="str">
        <f ca="1">IFERROR(IF(A65=0,HLOOKUP(C59,Declarations!$D$2:$S$102,A59,FALSE),HLOOKUP(VLOOKUP(C59,Teams!$V$2:$W$19,2,FALSE),Declarations!$D$2:$S$102,A59,FALSE)),"")</f>
        <v>MAYNARD Finley</v>
      </c>
      <c r="E59" s="64" t="str">
        <f t="shared" ref="E59:E66" si="10">IFERROR(VLOOKUP(C59,teamlookup,5,FALSE),"")</f>
        <v>M'bro</v>
      </c>
      <c r="F59" s="393">
        <v>28.4</v>
      </c>
      <c r="G59" s="198">
        <f>IFERROR(IF(OR(F59=0,F59="",F59&gt;$A$64-0.01),"",VLOOKUP(VLOOKUP(F59,A60:B64,2,TRUE),Points!$H$7:$I$10,2,FALSE)),"")</f>
        <v>4</v>
      </c>
      <c r="H59" s="67"/>
      <c r="I59" s="117">
        <v>1</v>
      </c>
      <c r="J59" s="392">
        <v>33</v>
      </c>
      <c r="K59" s="64" t="str">
        <f ca="1">IFERROR(IF(A65=0,HLOOKUP(J59,Declarations!$D$2:$S$102,A59,FALSE),HLOOKUP(VLOOKUP(J59,Teams!$V$2:$W$19,2,FALSE),Declarations!$D$2:$S$102,A59,FALSE)),"")</f>
        <v>BASTOW Isaac</v>
      </c>
      <c r="L59" s="64" t="str">
        <f t="shared" ref="L59:L66" si="11">IFERROR(VLOOKUP(J59,teamlookup,5,FALSE),"")</f>
        <v>York</v>
      </c>
      <c r="M59" s="313">
        <v>29.6</v>
      </c>
      <c r="N59" s="198" t="str">
        <f>IFERROR(IF(OR(M59=0,M59="",M59&gt;$A64-0.01),"",VLOOKUP(VLOOKUP(M59,A60:B64,2,TRUE),Points!$H$7:$I$10,2,FALSE)),"")</f>
        <v/>
      </c>
      <c r="P59" s="66">
        <f ca="1">IFERROR(IF(OR(C59=0,C59="",F59=0,F59="",$P58&lt;&gt;0,LEFT(F59,1)="D"),0,VLOOKUP(B59,INDIRECT(MatchDay!$W$2),2,FALSE)),"")</f>
        <v>8</v>
      </c>
      <c r="Q59" s="66">
        <f ca="1">IFERROR(IF(OR(J59=0,J59="",M59=0,M59="",$P58&lt;&gt;0,LEFT(M59,1)="D"),0,VLOOKUP(I59,INDIRECT(MatchDay!$W$2),3,FALSE)),"")</f>
        <v>6</v>
      </c>
      <c r="R59" s="219">
        <f>COUNTIF(C59,"&gt;0")</f>
        <v>1</v>
      </c>
      <c r="S59" s="66">
        <f>IFERROR(IF(C59&gt;88,1,0),0)</f>
        <v>0</v>
      </c>
    </row>
    <row r="60" spans="1:20" x14ac:dyDescent="0.35">
      <c r="A60" s="64">
        <v>0</v>
      </c>
      <c r="B60" s="117">
        <v>2</v>
      </c>
      <c r="C60" s="120">
        <v>3</v>
      </c>
      <c r="D60" s="64" t="str">
        <f ca="1">IFERROR(IF(A65=0,HLOOKUP(C60,Declarations!$D$2:$S$102,A59,FALSE),HLOOKUP(VLOOKUP(C60,Teams!$V$2:$W$19,2,FALSE),Declarations!$D$2:$S$102,A59,FALSE)),"")</f>
        <v>MARSHALL Syd</v>
      </c>
      <c r="E60" s="64" t="str">
        <f t="shared" si="10"/>
        <v>York</v>
      </c>
      <c r="F60" s="393">
        <v>29</v>
      </c>
      <c r="G60" s="198">
        <f>IFERROR(IF(OR(F60=0,F60="",F60&gt;$A$64-0.01),"",VLOOKUP(VLOOKUP(F60,A60:B64,2,TRUE),Points!$H$7:$I$10,2,FALSE)),"")</f>
        <v>4</v>
      </c>
      <c r="H60" s="67"/>
      <c r="I60" s="117">
        <v>2</v>
      </c>
      <c r="J60" s="392">
        <v>11</v>
      </c>
      <c r="K60" s="64" t="str">
        <f ca="1">IFERROR(IF(A65=0,HLOOKUP(J60,Declarations!$D$2:$S$102,A59,FALSE),HLOOKUP(VLOOKUP(J60,Teams!$V$2:$W$19,2,FALSE),Declarations!$D$2:$S$102,A59,FALSE)),"")</f>
        <v>LOWE Seth</v>
      </c>
      <c r="L60" s="64" t="str">
        <f t="shared" si="11"/>
        <v>C'field</v>
      </c>
      <c r="M60" s="313">
        <v>29.9</v>
      </c>
      <c r="N60" s="198" t="str">
        <f>IFERROR(IF(OR(M60=0,M60="",M60&gt;$A64-0.01),"",VLOOKUP(VLOOKUP(M60,A60:B64,2,TRUE),Points!$H$7:$I$10,2,FALSE)),"")</f>
        <v/>
      </c>
      <c r="P60" s="66">
        <f ca="1">IFERROR(IF(OR(C60=0,C60="",F60=0,F60="",$P58&lt;&gt;0,LEFT(F60,1)="D"),0,VLOOKUP(B60,INDIRECT(MatchDay!$W$2),2,FALSE)),"")</f>
        <v>6</v>
      </c>
      <c r="Q60" s="66">
        <f ca="1">IFERROR(IF(OR(J60=0,J60="",M60=0,M60="",$P58&lt;&gt;0,LEFT(M60,1)="D"),0,VLOOKUP(I60,INDIRECT(MatchDay!$W$2),3,FALSE)),"")</f>
        <v>4</v>
      </c>
    </row>
    <row r="61" spans="1:20" x14ac:dyDescent="0.35">
      <c r="A61" s="118">
        <f>IFERROR(VLOOKUP(A57,standards,3,FALSE)+0.01,"-")</f>
        <v>26.810000000000002</v>
      </c>
      <c r="B61" s="117">
        <v>3</v>
      </c>
      <c r="C61" s="120">
        <v>1</v>
      </c>
      <c r="D61" s="64" t="str">
        <f ca="1">IFERROR(IF(A65=0,HLOOKUP(C61,Declarations!$D$2:$S$102,A59,FALSE),HLOOKUP(VLOOKUP(C61,Teams!$V$2:$W$19,2,FALSE),Declarations!$D$2:$S$102,A59,FALSE)),"")</f>
        <v>GASKIN Nathanael</v>
      </c>
      <c r="E61" s="64" t="str">
        <f t="shared" si="10"/>
        <v>C'field</v>
      </c>
      <c r="F61" s="393">
        <v>30</v>
      </c>
      <c r="G61" s="198" t="str">
        <f>IFERROR(IF(OR(F61=0,F61="",F61&gt;$A$64-0.01),"",VLOOKUP(VLOOKUP(F61,A60:B64,2,TRUE),Points!$H$7:$I$10,2,FALSE)),"")</f>
        <v/>
      </c>
      <c r="H61" s="67"/>
      <c r="I61" s="117">
        <v>3</v>
      </c>
      <c r="J61" s="392">
        <v>22</v>
      </c>
      <c r="K61" s="64" t="str">
        <f ca="1">IFERROR(IF(A65=0,HLOOKUP(J61,Declarations!$D$2:$S$102,A59,FALSE),HLOOKUP(VLOOKUP(J61,Teams!$V$2:$W$19,2,FALSE),Declarations!$D$2:$S$102,A59,FALSE)),"")</f>
        <v>MAY Rudi</v>
      </c>
      <c r="L61" s="64" t="str">
        <f t="shared" si="11"/>
        <v>Sheff+D</v>
      </c>
      <c r="M61" s="313">
        <v>30.6</v>
      </c>
      <c r="N61" s="198" t="str">
        <f>IFERROR(IF(OR(M61=0,M61="",M61&gt;$A64-0.01),"",VLOOKUP(VLOOKUP(M61,A60:B64,2,TRUE),Points!$H$7:$I$10,2,FALSE)),"")</f>
        <v/>
      </c>
      <c r="P61" s="66">
        <f ca="1">IFERROR(IF(OR(C61=0,C61="",F61=0,F61="",$P58&lt;&gt;0,LEFT(F61,1)="D"),0,VLOOKUP(B61,INDIRECT(MatchDay!$W$2),2,FALSE)),"")</f>
        <v>5</v>
      </c>
      <c r="Q61" s="66">
        <f ca="1">IFERROR(IF(OR(J61=0,J61="",M61=0,M61="",$P58&lt;&gt;0,LEFT(M61,1)="D"),0,VLOOKUP(I61,INDIRECT(MatchDay!$W$2),3,FALSE)),"")</f>
        <v>3</v>
      </c>
    </row>
    <row r="62" spans="1:20" x14ac:dyDescent="0.35">
      <c r="A62" s="118">
        <f>IFERROR(VLOOKUP(A57,standards,4,FALSE)+0.01,"-")</f>
        <v>27.41</v>
      </c>
      <c r="B62" s="117">
        <v>4</v>
      </c>
      <c r="C62" s="120">
        <v>2</v>
      </c>
      <c r="D62" s="64" t="str">
        <f ca="1">IFERROR(IF(A65=0,HLOOKUP(C62,Declarations!$D$2:$S$102,A59,FALSE),HLOOKUP(VLOOKUP(C62,Teams!$V$2:$W$19,2,FALSE),Declarations!$D$2:$S$102,A59,FALSE)),"")</f>
        <v>WINGFIELD Tyler</v>
      </c>
      <c r="E62" s="64" t="str">
        <f t="shared" si="10"/>
        <v>Sheff+D</v>
      </c>
      <c r="F62" s="393">
        <v>30.1</v>
      </c>
      <c r="G62" s="198" t="str">
        <f>IFERROR(IF(OR(F62=0,F62="",F62&gt;$A$64-0.01),"",VLOOKUP(VLOOKUP(F62,A60:B64,2,TRUE),Points!$H$7:$I$10,2,FALSE)),"")</f>
        <v/>
      </c>
      <c r="H62" s="67"/>
      <c r="I62" s="117">
        <v>4</v>
      </c>
      <c r="J62" s="392">
        <v>44</v>
      </c>
      <c r="K62" s="64" t="str">
        <f ca="1">IFERROR(IF(A65=0,HLOOKUP(J62,Declarations!$D$2:$S$102,A59,FALSE),HLOOKUP(VLOOKUP(J62,Teams!$V$2:$W$19,2,FALSE),Declarations!$D$2:$S$102,A59,FALSE)),"")</f>
        <v>HONEYMAN Leo</v>
      </c>
      <c r="L62" s="64" t="str">
        <f t="shared" si="11"/>
        <v>M'bro</v>
      </c>
      <c r="M62" s="313">
        <v>31.6</v>
      </c>
      <c r="N62" s="198" t="str">
        <f>IFERROR(IF(OR(M62=0,M62="",M62&gt;$A64-0.01),"",VLOOKUP(VLOOKUP(M62,A60:B64,2,TRUE),Points!$H$7:$I$10,2,FALSE)),"")</f>
        <v/>
      </c>
      <c r="P62" s="66">
        <f ca="1">IFERROR(IF(OR(C62=0,C62="",F62=0,F62="",$P58&lt;&gt;0,LEFT(F62,1)="D"),0,VLOOKUP(B62,INDIRECT(MatchDay!$W$2),2,FALSE)),"")</f>
        <v>4</v>
      </c>
      <c r="Q62" s="66">
        <f ca="1">IFERROR(IF(OR(J62=0,J62="",M62=0,M62="",$P58&lt;&gt;0,LEFT(M62,1)="D"),0,VLOOKUP(I62,INDIRECT(MatchDay!$W$2),3,FALSE)),"")</f>
        <v>2</v>
      </c>
    </row>
    <row r="63" spans="1:20" x14ac:dyDescent="0.35">
      <c r="A63" s="118">
        <f>IFERROR(VLOOKUP(A57,standards,5,FALSE)+0.01,"-")</f>
        <v>28.110000000000003</v>
      </c>
      <c r="B63" s="117">
        <v>5</v>
      </c>
      <c r="C63" s="120">
        <v>5</v>
      </c>
      <c r="D63" s="64" t="str">
        <f ca="1">IFERROR(IF(A65=0,HLOOKUP(C63,Declarations!$D$2:$S$102,A59,FALSE),HLOOKUP(VLOOKUP(C63,Teams!$V$2:$W$19,2,FALSE),Declarations!$D$2:$S$102,A59,FALSE)),"")</f>
        <v>LANGTON Cody</v>
      </c>
      <c r="E63" s="64" t="str">
        <f t="shared" si="10"/>
        <v>Scun</v>
      </c>
      <c r="F63" s="393">
        <v>30.4</v>
      </c>
      <c r="G63" s="198" t="str">
        <f>IFERROR(IF(OR(F63=0,F63="",F63&gt;$A$64-0.01),"",VLOOKUP(VLOOKUP(F63,A60:B64,2,TRUE),Points!$H$7:$I$10,2,FALSE)),"")</f>
        <v/>
      </c>
      <c r="H63" s="67"/>
      <c r="I63" s="117">
        <v>5</v>
      </c>
      <c r="J63" s="392"/>
      <c r="K63" s="64" t="str">
        <f>IFERROR(IF(A65=0,HLOOKUP(J63,Declarations!$D$2:$S$102,A59,FALSE),HLOOKUP(VLOOKUP(J63,Teams!$V$2:$W$19,2,FALSE),Declarations!$D$2:$S$102,A59,FALSE)),"")</f>
        <v/>
      </c>
      <c r="L63" s="64" t="str">
        <f t="shared" si="11"/>
        <v/>
      </c>
      <c r="M63" s="313"/>
      <c r="N63" s="198" t="str">
        <f>IFERROR(IF(OR(M63=0,M63="",M63&gt;$A64-0.01),"",VLOOKUP(VLOOKUP(M63,A60:B64,2,TRUE),Points!$H$7:$I$10,2,FALSE)),"")</f>
        <v/>
      </c>
      <c r="P63" s="66">
        <f ca="1">IFERROR(IF(OR(C63=0,C63="",F63=0,F63="",$P58&lt;&gt;0,LEFT(F63,1)="D"),0,VLOOKUP(B63,INDIRECT(MatchDay!$W$2),2,FALSE)),"")</f>
        <v>3</v>
      </c>
      <c r="Q63" s="66">
        <f ca="1">IFERROR(IF(OR(J63=0,J63="",M63=0,M63="",$P58&lt;&gt;0,LEFT(M63,1)="D"),0,VLOOKUP(I63,INDIRECT(MatchDay!$W$2),3,FALSE)),"")</f>
        <v>0</v>
      </c>
    </row>
    <row r="64" spans="1:20" x14ac:dyDescent="0.35">
      <c r="A64" s="118">
        <f>IFERROR(VLOOKUP(A57,standards,6,FALSE)+0.01,"-")</f>
        <v>29.110000000000003</v>
      </c>
      <c r="B64" s="117">
        <v>6</v>
      </c>
      <c r="C64" s="120"/>
      <c r="D64" s="64" t="str">
        <f>IFERROR(IF(A65=0,HLOOKUP(C64,Declarations!$D$2:$S$102,A59,FALSE),HLOOKUP(VLOOKUP(C64,Teams!$V$2:$W$19,2,FALSE),Declarations!$D$2:$S$102,A59,FALSE)),"")</f>
        <v/>
      </c>
      <c r="E64" s="64" t="str">
        <f t="shared" si="10"/>
        <v/>
      </c>
      <c r="F64" s="393"/>
      <c r="G64" s="198" t="str">
        <f>IFERROR(IF(OR(F64=0,F64="",F64&gt;$A$64-0.01),"",VLOOKUP(VLOOKUP(F64,A60:B64,2,TRUE),Points!$H$7:$I$10,2,FALSE)),"")</f>
        <v/>
      </c>
      <c r="H64" s="67"/>
      <c r="I64" s="117">
        <v>6</v>
      </c>
      <c r="J64" s="392"/>
      <c r="K64" s="64" t="str">
        <f>IFERROR(IF(A65=0,HLOOKUP(J64,Declarations!$D$2:$S$102,A59,FALSE),HLOOKUP(VLOOKUP(J64,Teams!$V$2:$W$19,2,FALSE),Declarations!$D$2:$S$102,A59,FALSE)),"")</f>
        <v/>
      </c>
      <c r="L64" s="64" t="str">
        <f t="shared" si="11"/>
        <v/>
      </c>
      <c r="M64" s="313"/>
      <c r="N64" s="198" t="str">
        <f>IFERROR(IF(OR(M64=0,M64="",M64&gt;$A64-0.01),"",VLOOKUP(VLOOKUP(M64,A60:B64,2,TRUE),Points!$H$7:$I$10,2,FALSE)),"")</f>
        <v/>
      </c>
      <c r="P64" s="66">
        <f ca="1">IFERROR(IF(OR(C64=0,C64="",F64=0,F64="",$P58&lt;&gt;0,LEFT(F64,1)="D"),0,VLOOKUP(B64,INDIRECT(MatchDay!$W$2),2,FALSE)),"")</f>
        <v>0</v>
      </c>
      <c r="Q64" s="66">
        <f ca="1">IFERROR(IF(OR(J64=0,J64="",M64=0,M64="",$P58&lt;&gt;0,LEFT(M64,1)="D"),0,VLOOKUP(I64,INDIRECT(MatchDay!$W$2),3,FALSE)),"")</f>
        <v>0</v>
      </c>
    </row>
    <row r="65" spans="1:20" x14ac:dyDescent="0.35">
      <c r="A65" s="136">
        <f>IFERROR(SEARCH("U17",B57),0)</f>
        <v>0</v>
      </c>
      <c r="B65" s="117">
        <v>7</v>
      </c>
      <c r="C65" s="120"/>
      <c r="D65" s="64" t="str">
        <f>IFERROR(IF(A65=0,HLOOKUP(C65,Declarations!$D$2:$S$102,A59,FALSE),HLOOKUP(VLOOKUP(C65,Teams!$V$2:$W$19,2,FALSE),Declarations!$D$2:$S$102,A59,FALSE)),"")</f>
        <v/>
      </c>
      <c r="E65" s="64" t="str">
        <f t="shared" si="10"/>
        <v/>
      </c>
      <c r="F65" s="393"/>
      <c r="G65" s="198" t="str">
        <f>IFERROR(IF(OR(F65=0,F65="",F65&gt;$A$64-0.01),"",VLOOKUP(VLOOKUP(F65,A60:B64,2,TRUE),Points!$H$7:$I$10,2,FALSE)),"")</f>
        <v/>
      </c>
      <c r="H65" s="67"/>
      <c r="I65" s="117">
        <v>7</v>
      </c>
      <c r="J65" s="392"/>
      <c r="K65" s="64" t="str">
        <f>IFERROR(IF(A65=0,HLOOKUP(J65,Declarations!$D$2:$S$102,A59,FALSE),HLOOKUP(VLOOKUP(J65,Teams!$V$2:$W$19,2,FALSE),Declarations!$D$2:$S$102,A59,FALSE)),"")</f>
        <v/>
      </c>
      <c r="L65" s="64" t="str">
        <f t="shared" si="11"/>
        <v/>
      </c>
      <c r="M65" s="313"/>
      <c r="N65" s="198" t="str">
        <f>IFERROR(IF(OR(M65=0,M65="",M65&gt;$A64-0.01),"",VLOOKUP(VLOOKUP(M65,A60:B64,2,TRUE),Points!$H$7:$I$10,2,FALSE)),"")</f>
        <v/>
      </c>
      <c r="P65" s="66">
        <f ca="1">IFERROR(IF(OR(C65=0,C65="",F65=0,F65="",$P58&lt;&gt;0,LEFT(F65,1)="D"),0,VLOOKUP(B65,INDIRECT(MatchDay!$W$2),2,FALSE)),"")</f>
        <v>0</v>
      </c>
      <c r="Q65" s="66">
        <f ca="1">IFERROR(IF(OR(J65=0,J65="",M65=0,M65="",$P58&lt;&gt;0,LEFT(M65,1)="D"),0,VLOOKUP(I65,INDIRECT(MatchDay!$W$2),3,FALSE)),"")</f>
        <v>0</v>
      </c>
    </row>
    <row r="66" spans="1:20" x14ac:dyDescent="0.35">
      <c r="A66" s="116">
        <f>IFERROR(VLOOKUP(A57,records,5,FALSE),"")</f>
        <v>24.34</v>
      </c>
      <c r="B66" s="117">
        <v>8</v>
      </c>
      <c r="C66" s="120"/>
      <c r="D66" s="64" t="str">
        <f>IFERROR(IF(A65=0,HLOOKUP(C66,Declarations!$D$2:$S$102,A59,FALSE),HLOOKUP(VLOOKUP(C66,Teams!$V$2:$W$19,2,FALSE),Declarations!$D$2:$S$102,A59,FALSE)),"")</f>
        <v/>
      </c>
      <c r="E66" s="64" t="str">
        <f t="shared" si="10"/>
        <v/>
      </c>
      <c r="F66" s="393"/>
      <c r="G66" s="198" t="str">
        <f>IFERROR(IF(OR(F66=0,F66="",F66&gt;$A$64-0.01),"",VLOOKUP(VLOOKUP(F66,A60:B64,2,TRUE),Points!$H$7:$I$10,2,FALSE)),"")</f>
        <v/>
      </c>
      <c r="H66" s="67"/>
      <c r="I66" s="117">
        <v>8</v>
      </c>
      <c r="J66" s="392"/>
      <c r="K66" s="64" t="str">
        <f>IFERROR(IF(A65=0,HLOOKUP(J66,Declarations!$D$2:$S$102,A59,FALSE),HLOOKUP(VLOOKUP(J66,Teams!$V$2:$W$19,2,FALSE),Declarations!$D$2:$S$102,A59,FALSE)),"")</f>
        <v/>
      </c>
      <c r="L66" s="64" t="str">
        <f t="shared" si="11"/>
        <v/>
      </c>
      <c r="M66" s="313"/>
      <c r="N66" s="198" t="str">
        <f>IFERROR(IF(OR(M66=0,M66="",M66&gt;$A64-0.01),"",VLOOKUP(VLOOKUP(M66,A60:B64,2,TRUE),Points!$H$7:$I$10,2,FALSE)),"")</f>
        <v/>
      </c>
      <c r="P66" s="66">
        <f ca="1">IFERROR(IF(OR(C66=0,C66="",F66=0,F66="",$P58&lt;&gt;0,LEFT(F66,1)="D"),0,VLOOKUP(B66,INDIRECT(MatchDay!$W$2),2,FALSE)),"")</f>
        <v>0</v>
      </c>
      <c r="Q66" s="66">
        <f ca="1">IFERROR(IF(OR(J66=0,J66="",M66=0,M66="",$P58&lt;&gt;0,LEFT(M66,1)="D"),0,VLOOKUP(I66,INDIRECT(MatchDay!$W$2),3,FALSE)),"")</f>
        <v>0</v>
      </c>
    </row>
    <row r="68" spans="1:20" x14ac:dyDescent="0.35">
      <c r="A68" s="111" t="s">
        <v>38</v>
      </c>
      <c r="B68" s="112" t="str">
        <f>IFERROR(VLOOKUP(A68,timetables,2,FALSE)&amp;" "&amp;VLOOKUP(A68,timetables,3,FALSE)&amp;" A","")</f>
        <v>200m U15 Girls A</v>
      </c>
      <c r="C68" s="112"/>
      <c r="E68" s="130" t="str">
        <f>IFERROR(IF(VLOOKUP($A68,timetables,8,FALSE)="W","Wind = ",""),"")</f>
        <v xml:space="preserve">Wind = </v>
      </c>
      <c r="F68" s="414"/>
      <c r="G68" s="119" t="str">
        <f>IFERROR(IF(OR(F70=0,F70=""),"",IF(F70&lt;A77,"REC",IF(F70=A77,"=Rec",""))),"")</f>
        <v/>
      </c>
      <c r="I68" s="114" t="str">
        <f>IFERROR(VLOOKUP(A68,timetables,2,FALSE)&amp;" "&amp;VLOOKUP(A68,timetables,3,FALSE)&amp;" B","")</f>
        <v>200m U15 Girls B</v>
      </c>
      <c r="J68" s="115"/>
      <c r="L68" s="130" t="str">
        <f>IFERROR(IF(VLOOKUP($A68,timetables,8,FALSE)="W","Wind = ",""),"")</f>
        <v xml:space="preserve">Wind = </v>
      </c>
      <c r="M68" s="414"/>
      <c r="P68" s="66" t="s">
        <v>53</v>
      </c>
      <c r="Q68" s="66" t="s">
        <v>54</v>
      </c>
    </row>
    <row r="69" spans="1:20" x14ac:dyDescent="0.35">
      <c r="A69" s="82"/>
      <c r="B69" s="45" t="s">
        <v>230</v>
      </c>
      <c r="C69" s="45" t="s">
        <v>183</v>
      </c>
      <c r="D69" s="47" t="s">
        <v>227</v>
      </c>
      <c r="E69" s="47" t="s">
        <v>228</v>
      </c>
      <c r="F69" s="149" t="s">
        <v>229</v>
      </c>
      <c r="G69" s="199" t="s">
        <v>55</v>
      </c>
      <c r="H69" s="47"/>
      <c r="I69" s="45" t="s">
        <v>230</v>
      </c>
      <c r="J69" s="45" t="s">
        <v>183</v>
      </c>
      <c r="K69" s="47" t="s">
        <v>227</v>
      </c>
      <c r="L69" s="47" t="s">
        <v>228</v>
      </c>
      <c r="M69" s="149" t="s">
        <v>229</v>
      </c>
      <c r="N69" s="199" t="s">
        <v>55</v>
      </c>
      <c r="P69" s="66">
        <f>IFERROR(SEARCH("NS",B68),0)</f>
        <v>0</v>
      </c>
      <c r="T69" s="67"/>
    </row>
    <row r="70" spans="1:20" x14ac:dyDescent="0.35">
      <c r="A70" s="181">
        <f>IFERROR(VLOOKUP(A68,Timetables!$A:$E,5,FALSE)-1,"")</f>
        <v>5</v>
      </c>
      <c r="B70" s="117">
        <v>1</v>
      </c>
      <c r="C70" s="120">
        <v>3</v>
      </c>
      <c r="D70" s="64" t="str">
        <f ca="1">IFERROR(IF(A76=0,HLOOKUP(C70,Declarations!$D$2:$S$102,A70,FALSE),HLOOKUP(VLOOKUP(C70,Teams!$V$2:$W$19,2,FALSE),Declarations!$D$2:$S$102,A70,FALSE)),"")</f>
        <v>HOGG Frances</v>
      </c>
      <c r="E70" s="64" t="str">
        <f t="shared" ref="E70:E77" si="12">IFERROR(VLOOKUP(C70,teamlookup,5,FALSE),"")</f>
        <v>York</v>
      </c>
      <c r="F70" s="393">
        <v>27</v>
      </c>
      <c r="G70" s="198">
        <f>IFERROR(IF(OR(F70=0,F70="",F70&gt;$A$75-0.01),"",VLOOKUP(VLOOKUP(F70,A71:B75,2,TRUE),Points!$H$7:$I$10,2,FALSE)),"")</f>
        <v>3</v>
      </c>
      <c r="H70" s="67"/>
      <c r="I70" s="117">
        <v>1</v>
      </c>
      <c r="J70" s="392">
        <v>44</v>
      </c>
      <c r="K70" s="64" t="str">
        <f ca="1">IFERROR(IF(A76=0,HLOOKUP(J70,Declarations!$D$2:$S$102,A70,FALSE),HLOOKUP(VLOOKUP(J70,Teams!$V$2:$W$19,2,FALSE),Declarations!$D$2:$S$102,A70,FALSE)),"")</f>
        <v>PYE Leoni</v>
      </c>
      <c r="L70" s="64" t="str">
        <f t="shared" ref="L70:L77" si="13">IFERROR(VLOOKUP(J70,teamlookup,5,FALSE),"")</f>
        <v>M'bro</v>
      </c>
      <c r="M70" s="313">
        <v>28</v>
      </c>
      <c r="N70" s="198">
        <f>IFERROR(IF(OR(M70=0,M70="",M70&gt;$A75-0.01),"",VLOOKUP(VLOOKUP(M70,A71:B75,2,TRUE),Points!$H$7:$I$10,2,FALSE)),"")</f>
        <v>4</v>
      </c>
      <c r="P70" s="66">
        <f ca="1">IFERROR(IF(OR(C70=0,C70="",F70=0,F70="",$P69&lt;&gt;0,LEFT(F70,1)="D"),0,VLOOKUP(B70,INDIRECT(MatchDay!$W$2),2,FALSE)),"")</f>
        <v>8</v>
      </c>
      <c r="Q70" s="66">
        <f ca="1">IFERROR(IF(OR(J70=0,J70="",M70=0,M70="",$P69&lt;&gt;0,LEFT(M70,1)="D"),0,VLOOKUP(I70,INDIRECT(MatchDay!$W$2),3,FALSE)),"")</f>
        <v>6</v>
      </c>
      <c r="R70" s="219">
        <f>COUNTIF(C70,"&gt;0")</f>
        <v>1</v>
      </c>
      <c r="S70" s="66">
        <f>IFERROR(IF(C70&gt;88,1,0),0)</f>
        <v>0</v>
      </c>
    </row>
    <row r="71" spans="1:20" x14ac:dyDescent="0.35">
      <c r="A71" s="64">
        <v>0</v>
      </c>
      <c r="B71" s="117">
        <v>2</v>
      </c>
      <c r="C71" s="120">
        <v>2</v>
      </c>
      <c r="D71" s="64" t="str">
        <f ca="1">IFERROR(IF(A76=0,HLOOKUP(C71,Declarations!$D$2:$S$102,A70,FALSE),HLOOKUP(VLOOKUP(C71,Teams!$V$2:$W$19,2,FALSE),Declarations!$D$2:$S$102,A70,FALSE)),"")</f>
        <v>ADEBAYO Daphney</v>
      </c>
      <c r="E71" s="64" t="str">
        <f t="shared" si="12"/>
        <v>Sheff+D</v>
      </c>
      <c r="F71" s="393">
        <v>27.4</v>
      </c>
      <c r="G71" s="198">
        <f>IFERROR(IF(OR(F71=0,F71="",F71&gt;$A$75-0.01),"",VLOOKUP(VLOOKUP(F71,A71:B75,2,TRUE),Points!$H$7:$I$10,2,FALSE)),"")</f>
        <v>4</v>
      </c>
      <c r="H71" s="67"/>
      <c r="I71" s="117">
        <v>2</v>
      </c>
      <c r="J71" s="392">
        <v>33</v>
      </c>
      <c r="K71" s="64" t="str">
        <f ca="1">IFERROR(IF(A76=0,HLOOKUP(J71,Declarations!$D$2:$S$102,A70,FALSE),HLOOKUP(VLOOKUP(J71,Teams!$V$2:$W$19,2,FALSE),Declarations!$D$2:$S$102,A70,FALSE)),"")</f>
        <v>HASTIE Eve</v>
      </c>
      <c r="L71" s="64" t="str">
        <f t="shared" si="13"/>
        <v>York</v>
      </c>
      <c r="M71" s="313">
        <v>28.8</v>
      </c>
      <c r="N71" s="198" t="str">
        <f>IFERROR(IF(OR(M71=0,M71="",M71&gt;$A75-0.01),"",VLOOKUP(VLOOKUP(M71,A71:B75,2,TRUE),Points!$H$7:$I$10,2,FALSE)),"")</f>
        <v/>
      </c>
      <c r="P71" s="66">
        <f ca="1">IFERROR(IF(OR(C71=0,C71="",F71=0,F71="",$P69&lt;&gt;0,LEFT(F71,1)="D"),0,VLOOKUP(B71,INDIRECT(MatchDay!$W$2),2,FALSE)),"")</f>
        <v>6</v>
      </c>
      <c r="Q71" s="66">
        <f ca="1">IFERROR(IF(OR(J71=0,J71="",M71=0,M71="",$P69&lt;&gt;0,LEFT(M71,1)="D"),0,VLOOKUP(I71,INDIRECT(MatchDay!$W$2),3,FALSE)),"")</f>
        <v>4</v>
      </c>
    </row>
    <row r="72" spans="1:20" x14ac:dyDescent="0.35">
      <c r="A72" s="118">
        <f>IFERROR(VLOOKUP(A68,standards,3,FALSE)+0.01,"-")</f>
        <v>26.310000000000002</v>
      </c>
      <c r="B72" s="117">
        <v>3</v>
      </c>
      <c r="C72" s="120">
        <v>4</v>
      </c>
      <c r="D72" s="64" t="str">
        <f ca="1">IFERROR(IF(A76=0,HLOOKUP(C72,Declarations!$D$2:$S$102,A70,FALSE),HLOOKUP(VLOOKUP(C72,Teams!$V$2:$W$19,2,FALSE),Declarations!$D$2:$S$102,A70,FALSE)),"")</f>
        <v>PYE Naiomi</v>
      </c>
      <c r="E72" s="64" t="str">
        <f t="shared" si="12"/>
        <v>M'bro</v>
      </c>
      <c r="F72" s="393">
        <v>27.5</v>
      </c>
      <c r="G72" s="198">
        <f>IFERROR(IF(OR(F72=0,F72="",F72&gt;$A$75-0.01),"",VLOOKUP(VLOOKUP(F72,A71:B75,2,TRUE),Points!$H$7:$I$10,2,FALSE)),"")</f>
        <v>4</v>
      </c>
      <c r="H72" s="67"/>
      <c r="I72" s="117">
        <v>3</v>
      </c>
      <c r="J72" s="392">
        <v>22</v>
      </c>
      <c r="K72" s="64" t="str">
        <f ca="1">IFERROR(IF(A76=0,HLOOKUP(J72,Declarations!$D$2:$S$102,A70,FALSE),HLOOKUP(VLOOKUP(J72,Teams!$V$2:$W$19,2,FALSE),Declarations!$D$2:$S$102,A70,FALSE)),"")</f>
        <v>PADDON Olivia</v>
      </c>
      <c r="L72" s="64" t="str">
        <f t="shared" si="13"/>
        <v>Sheff+D</v>
      </c>
      <c r="M72" s="313">
        <v>29.5</v>
      </c>
      <c r="N72" s="198" t="str">
        <f>IFERROR(IF(OR(M72=0,M72="",M72&gt;$A75-0.01),"",VLOOKUP(VLOOKUP(M72,A71:B75,2,TRUE),Points!$H$7:$I$10,2,FALSE)),"")</f>
        <v/>
      </c>
      <c r="P72" s="66">
        <f ca="1">IFERROR(IF(OR(C72=0,C72="",F72=0,F72="",$P69&lt;&gt;0,LEFT(F72,1)="D"),0,VLOOKUP(B72,INDIRECT(MatchDay!$W$2),2,FALSE)),"")</f>
        <v>5</v>
      </c>
      <c r="Q72" s="66">
        <f ca="1">IFERROR(IF(OR(J72=0,J72="",M72=0,M72="",$P69&lt;&gt;0,LEFT(M72,1)="D"),0,VLOOKUP(I72,INDIRECT(MatchDay!$W$2),3,FALSE)),"")</f>
        <v>3</v>
      </c>
    </row>
    <row r="73" spans="1:20" x14ac:dyDescent="0.35">
      <c r="A73" s="118">
        <f>IFERROR(VLOOKUP(A68,standards,4,FALSE)+0.01,"-")</f>
        <v>26.71</v>
      </c>
      <c r="B73" s="117">
        <v>4</v>
      </c>
      <c r="C73" s="120">
        <v>5</v>
      </c>
      <c r="D73" s="64" t="str">
        <f ca="1">IFERROR(IF(A76=0,HLOOKUP(C73,Declarations!$D$2:$S$102,A70,FALSE),HLOOKUP(VLOOKUP(C73,Teams!$V$2:$W$19,2,FALSE),Declarations!$D$2:$S$102,A70,FALSE)),"")</f>
        <v>LINGARD Alice</v>
      </c>
      <c r="E73" s="64" t="str">
        <f t="shared" si="12"/>
        <v>Scun</v>
      </c>
      <c r="F73" s="393">
        <v>28.6</v>
      </c>
      <c r="G73" s="198" t="str">
        <f>IFERROR(IF(OR(F73=0,F73="",F73&gt;$A$75-0.01),"",VLOOKUP(VLOOKUP(F73,A71:B75,2,TRUE),Points!$H$7:$I$10,2,FALSE)),"")</f>
        <v/>
      </c>
      <c r="H73" s="67"/>
      <c r="I73" s="117">
        <v>4</v>
      </c>
      <c r="J73" s="392">
        <v>11</v>
      </c>
      <c r="K73" s="64" t="str">
        <f ca="1">IFERROR(IF(A76=0,HLOOKUP(J73,Declarations!$D$2:$S$102,A70,FALSE),HLOOKUP(VLOOKUP(J73,Teams!$V$2:$W$19,2,FALSE),Declarations!$D$2:$S$102,A70,FALSE)),"")</f>
        <v>ROGERS Emily</v>
      </c>
      <c r="L73" s="64" t="str">
        <f t="shared" si="13"/>
        <v>C'field</v>
      </c>
      <c r="M73" s="313">
        <v>30.9</v>
      </c>
      <c r="N73" s="198" t="str">
        <f>IFERROR(IF(OR(M73=0,M73="",M73&gt;$A75-0.01),"",VLOOKUP(VLOOKUP(M73,A71:B75,2,TRUE),Points!$H$7:$I$10,2,FALSE)),"")</f>
        <v/>
      </c>
      <c r="P73" s="66">
        <f ca="1">IFERROR(IF(OR(C73=0,C73="",F73=0,F73="",$P69&lt;&gt;0,LEFT(F73,1)="D"),0,VLOOKUP(B73,INDIRECT(MatchDay!$W$2),2,FALSE)),"")</f>
        <v>4</v>
      </c>
      <c r="Q73" s="66">
        <f ca="1">IFERROR(IF(OR(J73=0,J73="",M73=0,M73="",$P69&lt;&gt;0,LEFT(M73,1)="D"),0,VLOOKUP(I73,INDIRECT(MatchDay!$W$2),3,FALSE)),"")</f>
        <v>2</v>
      </c>
    </row>
    <row r="74" spans="1:20" x14ac:dyDescent="0.35">
      <c r="A74" s="118">
        <f>IFERROR(VLOOKUP(A68,standards,5,FALSE)+0.01,"-")</f>
        <v>27.21</v>
      </c>
      <c r="B74" s="117">
        <v>5</v>
      </c>
      <c r="C74" s="120">
        <v>1</v>
      </c>
      <c r="D74" s="64" t="str">
        <f ca="1">IFERROR(IF(A76=0,HLOOKUP(C74,Declarations!$D$2:$S$102,A70,FALSE),HLOOKUP(VLOOKUP(C74,Teams!$V$2:$W$19,2,FALSE),Declarations!$D$2:$S$102,A70,FALSE)),"")</f>
        <v>BRIDDON Missy</v>
      </c>
      <c r="E74" s="64" t="str">
        <f t="shared" si="12"/>
        <v>C'field</v>
      </c>
      <c r="F74" s="393">
        <v>29</v>
      </c>
      <c r="G74" s="198" t="str">
        <f>IFERROR(IF(OR(F74=0,F74="",F74&gt;$A$75-0.01),"",VLOOKUP(VLOOKUP(F74,A71:B75,2,TRUE),Points!$H$7:$I$10,2,FALSE)),"")</f>
        <v/>
      </c>
      <c r="H74" s="67"/>
      <c r="I74" s="117">
        <v>5</v>
      </c>
      <c r="J74" s="392"/>
      <c r="K74" s="64" t="str">
        <f>IFERROR(IF(A76=0,HLOOKUP(J74,Declarations!$D$2:$S$102,A70,FALSE),HLOOKUP(VLOOKUP(J74,Teams!$V$2:$W$19,2,FALSE),Declarations!$D$2:$S$102,A70,FALSE)),"")</f>
        <v/>
      </c>
      <c r="L74" s="64" t="str">
        <f t="shared" si="13"/>
        <v/>
      </c>
      <c r="M74" s="313"/>
      <c r="N74" s="198" t="str">
        <f>IFERROR(IF(OR(M74=0,M74="",M74&gt;$A75-0.01),"",VLOOKUP(VLOOKUP(M74,A71:B75,2,TRUE),Points!$H$7:$I$10,2,FALSE)),"")</f>
        <v/>
      </c>
      <c r="P74" s="66">
        <f ca="1">IFERROR(IF(OR(C74=0,C74="",F74=0,F74="",$P69&lt;&gt;0,LEFT(F74,1)="D"),0,VLOOKUP(B74,INDIRECT(MatchDay!$W$2),2,FALSE)),"")</f>
        <v>3</v>
      </c>
      <c r="Q74" s="66">
        <f ca="1">IFERROR(IF(OR(J74=0,J74="",M74=0,M74="",$P69&lt;&gt;0,LEFT(M74,1)="D"),0,VLOOKUP(I74,INDIRECT(MatchDay!$W$2),3,FALSE)),"")</f>
        <v>0</v>
      </c>
    </row>
    <row r="75" spans="1:20" x14ac:dyDescent="0.35">
      <c r="A75" s="118">
        <f>IFERROR(VLOOKUP(A68,standards,6,FALSE)+0.01,"-")</f>
        <v>28.01</v>
      </c>
      <c r="B75" s="117">
        <v>6</v>
      </c>
      <c r="C75" s="120"/>
      <c r="D75" s="64" t="str">
        <f>IFERROR(IF(A76=0,HLOOKUP(C75,Declarations!$D$2:$S$102,A70,FALSE),HLOOKUP(VLOOKUP(C75,Teams!$V$2:$W$19,2,FALSE),Declarations!$D$2:$S$102,A70,FALSE)),"")</f>
        <v/>
      </c>
      <c r="E75" s="64" t="str">
        <f t="shared" si="12"/>
        <v/>
      </c>
      <c r="F75" s="393"/>
      <c r="G75" s="198" t="str">
        <f>IFERROR(IF(OR(F75=0,F75="",F75&gt;$A$75-0.01),"",VLOOKUP(VLOOKUP(F75,A71:B75,2,TRUE),Points!$H$7:$I$10,2,FALSE)),"")</f>
        <v/>
      </c>
      <c r="H75" s="67"/>
      <c r="I75" s="117">
        <v>6</v>
      </c>
      <c r="J75" s="392"/>
      <c r="K75" s="64" t="str">
        <f>IFERROR(IF(A76=0,HLOOKUP(J75,Declarations!$D$2:$S$102,A70,FALSE),HLOOKUP(VLOOKUP(J75,Teams!$V$2:$W$19,2,FALSE),Declarations!$D$2:$S$102,A70,FALSE)),"")</f>
        <v/>
      </c>
      <c r="L75" s="64" t="str">
        <f t="shared" si="13"/>
        <v/>
      </c>
      <c r="M75" s="313"/>
      <c r="N75" s="198" t="str">
        <f>IFERROR(IF(OR(M75=0,M75="",M75&gt;$A75-0.01),"",VLOOKUP(VLOOKUP(M75,A71:B75,2,TRUE),Points!$H$7:$I$10,2,FALSE)),"")</f>
        <v/>
      </c>
      <c r="P75" s="66">
        <f ca="1">IFERROR(IF(OR(C75=0,C75="",F75=0,F75="",$P69&lt;&gt;0,LEFT(F75,1)="D"),0,VLOOKUP(B75,INDIRECT(MatchDay!$W$2),2,FALSE)),"")</f>
        <v>0</v>
      </c>
      <c r="Q75" s="66">
        <f ca="1">IFERROR(IF(OR(J75=0,J75="",M75=0,M75="",$P69&lt;&gt;0,LEFT(M75,1)="D"),0,VLOOKUP(I75,INDIRECT(MatchDay!$W$2),3,FALSE)),"")</f>
        <v>0</v>
      </c>
    </row>
    <row r="76" spans="1:20" x14ac:dyDescent="0.35">
      <c r="A76" s="136">
        <f>IFERROR(SEARCH("U17",B68),0)</f>
        <v>0</v>
      </c>
      <c r="B76" s="117">
        <v>7</v>
      </c>
      <c r="C76" s="120"/>
      <c r="D76" s="64" t="str">
        <f>IFERROR(IF(A76=0,HLOOKUP(C76,Declarations!$D$2:$S$102,A70,FALSE),HLOOKUP(VLOOKUP(C76,Teams!$V$2:$W$19,2,FALSE),Declarations!$D$2:$S$102,A70,FALSE)),"")</f>
        <v/>
      </c>
      <c r="E76" s="64" t="str">
        <f t="shared" si="12"/>
        <v/>
      </c>
      <c r="F76" s="393"/>
      <c r="G76" s="198" t="str">
        <f>IFERROR(IF(OR(F76=0,F76="",F76&gt;$A$75-0.01),"",VLOOKUP(VLOOKUP(F76,A71:B75,2,TRUE),Points!$H$7:$I$10,2,FALSE)),"")</f>
        <v/>
      </c>
      <c r="H76" s="67"/>
      <c r="I76" s="117">
        <v>7</v>
      </c>
      <c r="J76" s="392"/>
      <c r="K76" s="64" t="str">
        <f>IFERROR(IF(A76=0,HLOOKUP(J76,Declarations!$D$2:$S$102,A70,FALSE),HLOOKUP(VLOOKUP(J76,Teams!$V$2:$W$19,2,FALSE),Declarations!$D$2:$S$102,A70,FALSE)),"")</f>
        <v/>
      </c>
      <c r="L76" s="64" t="str">
        <f t="shared" si="13"/>
        <v/>
      </c>
      <c r="M76" s="313"/>
      <c r="N76" s="198" t="str">
        <f>IFERROR(IF(OR(M76=0,M76="",M76&gt;$A75-0.01),"",VLOOKUP(VLOOKUP(M76,A71:B75,2,TRUE),Points!$H$7:$I$10,2,FALSE)),"")</f>
        <v/>
      </c>
      <c r="P76" s="66">
        <f ca="1">IFERROR(IF(OR(C76=0,C76="",F76=0,F76="",$P69&lt;&gt;0,LEFT(F76,1)="D"),0,VLOOKUP(B76,INDIRECT(MatchDay!$W$2),2,FALSE)),"")</f>
        <v>0</v>
      </c>
      <c r="Q76" s="66">
        <f ca="1">IFERROR(IF(OR(J76=0,J76="",M76=0,M76="",$P69&lt;&gt;0,LEFT(M76,1)="D"),0,VLOOKUP(I76,INDIRECT(MatchDay!$W$2),3,FALSE)),"")</f>
        <v>0</v>
      </c>
    </row>
    <row r="77" spans="1:20" x14ac:dyDescent="0.35">
      <c r="A77" s="116">
        <f>IFERROR(VLOOKUP(A68,records,5,FALSE),"")</f>
        <v>24.6</v>
      </c>
      <c r="B77" s="117">
        <v>8</v>
      </c>
      <c r="C77" s="120"/>
      <c r="D77" s="64" t="str">
        <f>IFERROR(IF(A76=0,HLOOKUP(C77,Declarations!$D$2:$S$102,A70,FALSE),HLOOKUP(VLOOKUP(C77,Teams!$V$2:$W$19,2,FALSE),Declarations!$D$2:$S$102,A70,FALSE)),"")</f>
        <v/>
      </c>
      <c r="E77" s="64" t="str">
        <f t="shared" si="12"/>
        <v/>
      </c>
      <c r="F77" s="393"/>
      <c r="G77" s="198" t="str">
        <f>IFERROR(IF(OR(F77=0,F77="",F77&gt;$A$75-0.01),"",VLOOKUP(VLOOKUP(F77,A71:B75,2,TRUE),Points!$H$7:$I$10,2,FALSE)),"")</f>
        <v/>
      </c>
      <c r="H77" s="67"/>
      <c r="I77" s="117">
        <v>8</v>
      </c>
      <c r="J77" s="392"/>
      <c r="K77" s="64" t="str">
        <f>IFERROR(IF(A76=0,HLOOKUP(J77,Declarations!$D$2:$S$102,A70,FALSE),HLOOKUP(VLOOKUP(J77,Teams!$V$2:$W$19,2,FALSE),Declarations!$D$2:$S$102,A70,FALSE)),"")</f>
        <v/>
      </c>
      <c r="L77" s="64" t="str">
        <f t="shared" si="13"/>
        <v/>
      </c>
      <c r="M77" s="313"/>
      <c r="N77" s="198" t="str">
        <f>IFERROR(IF(OR(M77=0,M77="",M77&gt;$A75-0.01),"",VLOOKUP(VLOOKUP(M77,A71:B75,2,TRUE),Points!$H$7:$I$10,2,FALSE)),"")</f>
        <v/>
      </c>
      <c r="P77" s="66">
        <f ca="1">IFERROR(IF(OR(C77=0,C77="",F77=0,F77="",$P69&lt;&gt;0,LEFT(F77,1)="D"),0,VLOOKUP(B77,INDIRECT(MatchDay!$W$2),2,FALSE)),"")</f>
        <v>0</v>
      </c>
      <c r="Q77" s="66">
        <f ca="1">IFERROR(IF(OR(J77=0,J77="",M77=0,M77="",$P69&lt;&gt;0,LEFT(M77,1)="D"),0,VLOOKUP(I77,INDIRECT(MatchDay!$W$2),3,FALSE)),"")</f>
        <v>0</v>
      </c>
    </row>
    <row r="79" spans="1:20" x14ac:dyDescent="0.35">
      <c r="A79" s="111" t="s">
        <v>39</v>
      </c>
      <c r="B79" s="112" t="str">
        <f>IFERROR(VLOOKUP(A79,timetables,2,FALSE)&amp;" "&amp;VLOOKUP(A79,timetables,3,FALSE)&amp;" A","")</f>
        <v>200m U15 Boys A</v>
      </c>
      <c r="C79" s="112"/>
      <c r="E79" s="130" t="str">
        <f>IFERROR(IF(VLOOKUP($A79,timetables,8,FALSE)="W","Wind = ",""),"")</f>
        <v xml:space="preserve">Wind = </v>
      </c>
      <c r="F79" s="414"/>
      <c r="G79" s="119" t="str">
        <f>IFERROR(IF(OR(F81=0,F81=""),"",IF(F81&lt;A88,"REC",IF(F81=A88,"=Rec",""))),"")</f>
        <v/>
      </c>
      <c r="I79" s="114" t="str">
        <f>IFERROR(VLOOKUP(A79,timetables,2,FALSE)&amp;" "&amp;VLOOKUP(A79,timetables,3,FALSE)&amp;" B","")</f>
        <v>200m U15 Boys B</v>
      </c>
      <c r="J79" s="115"/>
      <c r="L79" s="130" t="str">
        <f>IFERROR(IF(VLOOKUP($A79,timetables,8,FALSE)="W","Wind = ",""),"")</f>
        <v xml:space="preserve">Wind = </v>
      </c>
      <c r="M79" s="414"/>
      <c r="P79" s="66" t="s">
        <v>53</v>
      </c>
      <c r="Q79" s="66" t="s">
        <v>54</v>
      </c>
    </row>
    <row r="80" spans="1:20" x14ac:dyDescent="0.35">
      <c r="A80" s="82"/>
      <c r="B80" s="45" t="s">
        <v>230</v>
      </c>
      <c r="C80" s="45" t="s">
        <v>183</v>
      </c>
      <c r="D80" s="47" t="s">
        <v>227</v>
      </c>
      <c r="E80" s="47" t="s">
        <v>228</v>
      </c>
      <c r="F80" s="149" t="s">
        <v>229</v>
      </c>
      <c r="G80" s="199" t="s">
        <v>55</v>
      </c>
      <c r="H80" s="47"/>
      <c r="I80" s="45" t="s">
        <v>230</v>
      </c>
      <c r="J80" s="45" t="s">
        <v>183</v>
      </c>
      <c r="K80" s="47" t="s">
        <v>227</v>
      </c>
      <c r="L80" s="47" t="s">
        <v>228</v>
      </c>
      <c r="M80" s="149" t="s">
        <v>229</v>
      </c>
      <c r="N80" s="199" t="s">
        <v>55</v>
      </c>
      <c r="P80" s="66">
        <f>IFERROR(SEARCH("NS",B79),0)</f>
        <v>0</v>
      </c>
      <c r="T80" s="67"/>
    </row>
    <row r="81" spans="1:20" x14ac:dyDescent="0.35">
      <c r="A81" s="181">
        <f>IFERROR(VLOOKUP(A79,Timetables!$A:$E,5,FALSE)-1,"")</f>
        <v>55</v>
      </c>
      <c r="B81" s="117">
        <v>1</v>
      </c>
      <c r="C81" s="120">
        <v>4</v>
      </c>
      <c r="D81" s="64" t="str">
        <f ca="1">IFERROR(IF(A87=0,HLOOKUP(C81,Declarations!$D$2:$S$102,A81,FALSE),HLOOKUP(VLOOKUP(C81,Teams!$V$2:$W$19,2,FALSE),Declarations!$D$2:$S$102,A81,FALSE)),"")</f>
        <v>MAYNARD Tom</v>
      </c>
      <c r="E81" s="64" t="str">
        <f t="shared" ref="E81:E88" si="14">IFERROR(VLOOKUP(C81,teamlookup,5,FALSE),"")</f>
        <v>M'bro</v>
      </c>
      <c r="F81" s="393">
        <v>25.2</v>
      </c>
      <c r="G81" s="198">
        <f>IFERROR(IF(OR(F81=0,F81="",F81&gt;$A86-0.01),"",VLOOKUP(VLOOKUP(F81,A82:B86,2,TRUE),Points!$H$7:$I$10,2,FALSE)),"")</f>
        <v>4</v>
      </c>
      <c r="H81" s="67"/>
      <c r="I81" s="117">
        <v>1</v>
      </c>
      <c r="J81" s="392">
        <v>33</v>
      </c>
      <c r="K81" s="64" t="str">
        <f ca="1">IFERROR(IF(A87=0,HLOOKUP(J81,Declarations!$D$2:$S$102,A81,FALSE),HLOOKUP(VLOOKUP(J81,Teams!$V$2:$W$19,2,FALSE),Declarations!$D$2:$S$102,A81,FALSE)),"")</f>
        <v>PYE George</v>
      </c>
      <c r="L81" s="64" t="str">
        <f t="shared" ref="L81:L88" si="15">IFERROR(VLOOKUP(J81,teamlookup,5,FALSE),"")</f>
        <v>York</v>
      </c>
      <c r="M81" s="313">
        <v>26.1</v>
      </c>
      <c r="N81" s="198" t="str">
        <f>IFERROR(IF(OR(M81=0,M81="",M81&gt;$A86-0.01),"",VLOOKUP(VLOOKUP(M81,A82:B86,2,TRUE),Points!$H$7:$I$10,2,FALSE)),"")</f>
        <v/>
      </c>
      <c r="P81" s="66">
        <f ca="1">IFERROR(IF(OR(C81=0,C81="",F81=0,F81="",$P80&lt;&gt;0,LEFT(F81,1)="D"),0,VLOOKUP(B81,INDIRECT(MatchDay!$W$2),2,FALSE)),"")</f>
        <v>8</v>
      </c>
      <c r="Q81" s="66">
        <f ca="1">IFERROR(IF(OR(J81=0,J81="",M81=0,M81="",$P80&lt;&gt;0,LEFT(M81,1)="D"),0,VLOOKUP(I81,INDIRECT(MatchDay!$W$2),3,FALSE)),"")</f>
        <v>6</v>
      </c>
      <c r="R81" s="219">
        <f>COUNTIF(C81,"&gt;0")</f>
        <v>1</v>
      </c>
      <c r="S81" s="66">
        <f>IFERROR(IF(C81&gt;88,1,0),0)</f>
        <v>0</v>
      </c>
    </row>
    <row r="82" spans="1:20" x14ac:dyDescent="0.35">
      <c r="A82" s="64">
        <v>0</v>
      </c>
      <c r="B82" s="117">
        <v>2</v>
      </c>
      <c r="C82" s="120">
        <v>1</v>
      </c>
      <c r="D82" s="64" t="str">
        <f ca="1">IFERROR(IF(A87=0,HLOOKUP(C82,Declarations!$D$2:$S$102,A81,FALSE),HLOOKUP(VLOOKUP(C82,Teams!$V$2:$W$19,2,FALSE),Declarations!$D$2:$S$102,A81,FALSE)),"")</f>
        <v>FOGDEN Ben</v>
      </c>
      <c r="E82" s="64" t="str">
        <f t="shared" si="14"/>
        <v>C'field</v>
      </c>
      <c r="F82" s="393">
        <v>25.5</v>
      </c>
      <c r="G82" s="198">
        <f>IFERROR(IF(OR(F82=0,F82="",F82&gt;$A86-0.01),"",VLOOKUP(VLOOKUP(F82,A82:B86,2,TRUE),Points!$H$7:$I$10,2,FALSE)),"")</f>
        <v>4</v>
      </c>
      <c r="H82" s="67"/>
      <c r="I82" s="117">
        <v>2</v>
      </c>
      <c r="J82" s="392">
        <v>22</v>
      </c>
      <c r="K82" s="64" t="str">
        <f ca="1">IFERROR(IF(A87=0,HLOOKUP(J82,Declarations!$D$2:$S$102,A81,FALSE),HLOOKUP(VLOOKUP(J82,Teams!$V$2:$W$19,2,FALSE),Declarations!$D$2:$S$102,A81,FALSE)),"")</f>
        <v>BENTLEY Tom</v>
      </c>
      <c r="L82" s="64" t="str">
        <f t="shared" si="15"/>
        <v>Sheff+D</v>
      </c>
      <c r="M82" s="313">
        <v>26.1</v>
      </c>
      <c r="N82" s="198" t="str">
        <f>IFERROR(IF(OR(M82=0,M82="",M82&gt;$A86-0.01),"",VLOOKUP(VLOOKUP(M82,A82:B86,2,TRUE),Points!$H$7:$I$10,2,FALSE)),"")</f>
        <v/>
      </c>
      <c r="P82" s="66">
        <f ca="1">IFERROR(IF(OR(C82=0,C82="",F82=0,F82="",$P80&lt;&gt;0,LEFT(F82,1)="D"),0,VLOOKUP(B82,INDIRECT(MatchDay!$W$2),2,FALSE)),"")</f>
        <v>6</v>
      </c>
      <c r="Q82" s="66">
        <f ca="1">IFERROR(IF(OR(J82=0,J82="",M82=0,M82="",$P80&lt;&gt;0,LEFT(M82,1)="D"),0,VLOOKUP(I82,INDIRECT(MatchDay!$W$2),3,FALSE)),"")</f>
        <v>4</v>
      </c>
    </row>
    <row r="83" spans="1:20" x14ac:dyDescent="0.35">
      <c r="A83" s="118">
        <f>IFERROR(VLOOKUP(A79,standards,3,FALSE)+0.01,"-")</f>
        <v>24.01</v>
      </c>
      <c r="B83" s="117">
        <v>3</v>
      </c>
      <c r="C83" s="120">
        <v>3</v>
      </c>
      <c r="D83" s="64" t="str">
        <f ca="1">IFERROR(IF(A87=0,HLOOKUP(C83,Declarations!$D$2:$S$102,A81,FALSE),HLOOKUP(VLOOKUP(C83,Teams!$V$2:$W$19,2,FALSE),Declarations!$D$2:$S$102,A81,FALSE)),"")</f>
        <v>HOW Louis</v>
      </c>
      <c r="E83" s="64" t="str">
        <f t="shared" si="14"/>
        <v>York</v>
      </c>
      <c r="F83" s="393">
        <v>25.7</v>
      </c>
      <c r="G83" s="198" t="str">
        <f>IFERROR(IF(OR(F83=0,F83="",F83&gt;$A86-0.01),"",VLOOKUP(VLOOKUP(F83,A82:B86,2,TRUE),Points!$H$7:$I$10,2,FALSE)),"")</f>
        <v/>
      </c>
      <c r="H83" s="67"/>
      <c r="I83" s="117">
        <v>3</v>
      </c>
      <c r="J83" s="392">
        <v>44</v>
      </c>
      <c r="K83" s="64" t="str">
        <f ca="1">IFERROR(IF(A87=0,HLOOKUP(J83,Declarations!$D$2:$S$102,A81,FALSE),HLOOKUP(VLOOKUP(J83,Teams!$V$2:$W$19,2,FALSE),Declarations!$D$2:$S$102,A81,FALSE)),"")</f>
        <v>CHINNERY Norton</v>
      </c>
      <c r="L83" s="64" t="str">
        <f t="shared" si="15"/>
        <v>M'bro</v>
      </c>
      <c r="M83" s="313">
        <v>26.2</v>
      </c>
      <c r="N83" s="198" t="str">
        <f>IFERROR(IF(OR(M83=0,M83="",M83&gt;$A86-0.01),"",VLOOKUP(VLOOKUP(M83,A82:B86,2,TRUE),Points!$H$7:$I$10,2,FALSE)),"")</f>
        <v/>
      </c>
      <c r="P83" s="66">
        <f ca="1">IFERROR(IF(OR(C83=0,C83="",F83=0,F83="",$P80&lt;&gt;0,LEFT(F83,1)="D"),0,VLOOKUP(B83,INDIRECT(MatchDay!$W$2),2,FALSE)),"")</f>
        <v>5</v>
      </c>
      <c r="Q83" s="66">
        <f ca="1">IFERROR(IF(OR(J83=0,J83="",M83=0,M83="",$P80&lt;&gt;0,LEFT(M83,1)="D"),0,VLOOKUP(I83,INDIRECT(MatchDay!$W$2),3,FALSE)),"")</f>
        <v>3</v>
      </c>
    </row>
    <row r="84" spans="1:20" x14ac:dyDescent="0.35">
      <c r="A84" s="118">
        <f>IFERROR(VLOOKUP(A79,standards,4,FALSE)+0.01,"-")</f>
        <v>24.310000000000002</v>
      </c>
      <c r="B84" s="117">
        <v>4</v>
      </c>
      <c r="C84" s="120">
        <v>2</v>
      </c>
      <c r="D84" s="64" t="str">
        <f ca="1">IFERROR(IF(A87=0,HLOOKUP(C84,Declarations!$D$2:$S$102,A81,FALSE),HLOOKUP(VLOOKUP(C84,Teams!$V$2:$W$19,2,FALSE),Declarations!$D$2:$S$102,A81,FALSE)),"")</f>
        <v>OR KAM FAT Matteo</v>
      </c>
      <c r="E84" s="64" t="str">
        <f t="shared" si="14"/>
        <v>Sheff+D</v>
      </c>
      <c r="F84" s="393">
        <v>26.2</v>
      </c>
      <c r="G84" s="198" t="str">
        <f>IFERROR(IF(OR(F84=0,F84="",F84&gt;$A86-0.01),"",VLOOKUP(VLOOKUP(F84,A82:B86,2,TRUE),Points!$H$7:$I$10,2,FALSE)),"")</f>
        <v/>
      </c>
      <c r="H84" s="67"/>
      <c r="I84" s="117">
        <v>4</v>
      </c>
      <c r="J84" s="392">
        <v>11</v>
      </c>
      <c r="K84" s="64" t="str">
        <f ca="1">IFERROR(IF(A87=0,HLOOKUP(J84,Declarations!$D$2:$S$102,A81,FALSE),HLOOKUP(VLOOKUP(J84,Teams!$V$2:$W$19,2,FALSE),Declarations!$D$2:$S$102,A81,FALSE)),"")</f>
        <v>SAS Reuben</v>
      </c>
      <c r="L84" s="64" t="str">
        <f t="shared" si="15"/>
        <v>C'field</v>
      </c>
      <c r="M84" s="313">
        <v>29.6</v>
      </c>
      <c r="N84" s="198" t="str">
        <f>IFERROR(IF(OR(M84=0,M84="",M84&gt;$A86-0.01),"",VLOOKUP(VLOOKUP(M84,A82:B86,2,TRUE),Points!$H$7:$I$10,2,FALSE)),"")</f>
        <v/>
      </c>
      <c r="P84" s="66">
        <f ca="1">IFERROR(IF(OR(C84=0,C84="",F84=0,F84="",$P80&lt;&gt;0,LEFT(F84,1)="D"),0,VLOOKUP(B84,INDIRECT(MatchDay!$W$2),2,FALSE)),"")</f>
        <v>4</v>
      </c>
      <c r="Q84" s="66">
        <f ca="1">IFERROR(IF(OR(J84=0,J84="",M84=0,M84="",$P80&lt;&gt;0,LEFT(M84,1)="D"),0,VLOOKUP(I84,INDIRECT(MatchDay!$W$2),3,FALSE)),"")</f>
        <v>2</v>
      </c>
    </row>
    <row r="85" spans="1:20" x14ac:dyDescent="0.35">
      <c r="A85" s="118">
        <f>IFERROR(VLOOKUP(A79,standards,5,FALSE)+0.01,"-")</f>
        <v>24.810000000000002</v>
      </c>
      <c r="B85" s="117">
        <v>5</v>
      </c>
      <c r="C85" s="120"/>
      <c r="D85" s="64" t="str">
        <f>IFERROR(IF(A87=0,HLOOKUP(C85,Declarations!$D$2:$S$102,A81,FALSE),HLOOKUP(VLOOKUP(C85,Teams!$V$2:$W$19,2,FALSE),Declarations!$D$2:$S$102,A81,FALSE)),"")</f>
        <v/>
      </c>
      <c r="E85" s="64" t="str">
        <f t="shared" si="14"/>
        <v/>
      </c>
      <c r="F85" s="393"/>
      <c r="G85" s="198" t="str">
        <f>IFERROR(IF(OR(F85=0,F85="",F85&gt;$A86-0.01),"",VLOOKUP(VLOOKUP(F85,A82:B86,2,TRUE),Points!$H$7:$I$10,2,FALSE)),"")</f>
        <v/>
      </c>
      <c r="H85" s="67"/>
      <c r="I85" s="117">
        <v>5</v>
      </c>
      <c r="J85" s="392"/>
      <c r="K85" s="64" t="str">
        <f>IFERROR(IF(A87=0,HLOOKUP(J85,Declarations!$D$2:$S$102,A81,FALSE),HLOOKUP(VLOOKUP(J85,Teams!$V$2:$W$19,2,FALSE),Declarations!$D$2:$S$102,A81,FALSE)),"")</f>
        <v/>
      </c>
      <c r="L85" s="64" t="str">
        <f t="shared" si="15"/>
        <v/>
      </c>
      <c r="M85" s="313"/>
      <c r="N85" s="198" t="str">
        <f>IFERROR(IF(OR(M85=0,M85="",M85&gt;$A86-0.01),"",VLOOKUP(VLOOKUP(M85,A82:B86,2,TRUE),Points!$H$7:$I$10,2,FALSE)),"")</f>
        <v/>
      </c>
      <c r="P85" s="66">
        <f ca="1">IFERROR(IF(OR(C85=0,C85="",F85=0,F85="",$P80&lt;&gt;0,LEFT(F85,1)="D"),0,VLOOKUP(B85,INDIRECT(MatchDay!$W$2),2,FALSE)),"")</f>
        <v>0</v>
      </c>
      <c r="Q85" s="66">
        <f ca="1">IFERROR(IF(OR(J85=0,J85="",M85=0,M85="",$P80&lt;&gt;0,LEFT(M85,1)="D"),0,VLOOKUP(I85,INDIRECT(MatchDay!$W$2),3,FALSE)),"")</f>
        <v>0</v>
      </c>
    </row>
    <row r="86" spans="1:20" x14ac:dyDescent="0.35">
      <c r="A86" s="118">
        <f>IFERROR(VLOOKUP(A79,standards,6,FALSE)+0.01,"-")</f>
        <v>25.610000000000003</v>
      </c>
      <c r="B86" s="117">
        <v>6</v>
      </c>
      <c r="C86" s="120"/>
      <c r="D86" s="64" t="str">
        <f>IFERROR(IF(A87=0,HLOOKUP(C86,Declarations!$D$2:$S$102,A81,FALSE),HLOOKUP(VLOOKUP(C86,Teams!$V$2:$W$19,2,FALSE),Declarations!$D$2:$S$102,A81,FALSE)),"")</f>
        <v/>
      </c>
      <c r="E86" s="64" t="str">
        <f t="shared" si="14"/>
        <v/>
      </c>
      <c r="F86" s="393"/>
      <c r="G86" s="198" t="str">
        <f>IFERROR(IF(OR(F86=0,F86="",F86&gt;$A86-0.01),"",VLOOKUP(VLOOKUP(F86,A82:B86,2,TRUE),Points!$H$7:$I$10,2,FALSE)),"")</f>
        <v/>
      </c>
      <c r="H86" s="67"/>
      <c r="I86" s="117">
        <v>6</v>
      </c>
      <c r="J86" s="392"/>
      <c r="K86" s="64" t="str">
        <f>IFERROR(IF(A87=0,HLOOKUP(J86,Declarations!$D$2:$S$102,A81,FALSE),HLOOKUP(VLOOKUP(J86,Teams!$V$2:$W$19,2,FALSE),Declarations!$D$2:$S$102,A81,FALSE)),"")</f>
        <v/>
      </c>
      <c r="L86" s="64" t="str">
        <f t="shared" si="15"/>
        <v/>
      </c>
      <c r="M86" s="313"/>
      <c r="N86" s="198" t="str">
        <f>IFERROR(IF(OR(M86=0,M86="",M86&gt;$A86-0.01),"",VLOOKUP(VLOOKUP(M86,A82:B86,2,TRUE),Points!$H$7:$I$10,2,FALSE)),"")</f>
        <v/>
      </c>
      <c r="P86" s="66">
        <f ca="1">IFERROR(IF(OR(C86=0,C86="",F86=0,F86="",$P80&lt;&gt;0,LEFT(F86,1)="D"),0,VLOOKUP(B86,INDIRECT(MatchDay!$W$2),2,FALSE)),"")</f>
        <v>0</v>
      </c>
      <c r="Q86" s="66">
        <f ca="1">IFERROR(IF(OR(J86=0,J86="",M86=0,M86="",$P80&lt;&gt;0,LEFT(M86,1)="D"),0,VLOOKUP(I86,INDIRECT(MatchDay!$W$2),3,FALSE)),"")</f>
        <v>0</v>
      </c>
    </row>
    <row r="87" spans="1:20" x14ac:dyDescent="0.35">
      <c r="A87" s="136">
        <f>IFERROR(SEARCH("U17",B79),0)</f>
        <v>0</v>
      </c>
      <c r="B87" s="117">
        <v>7</v>
      </c>
      <c r="C87" s="120"/>
      <c r="D87" s="64" t="str">
        <f>IFERROR(IF(A87=0,HLOOKUP(C87,Declarations!$D$2:$S$102,A81,FALSE),HLOOKUP(VLOOKUP(C87,Teams!$V$2:$W$19,2,FALSE),Declarations!$D$2:$S$102,A81,FALSE)),"")</f>
        <v/>
      </c>
      <c r="E87" s="64" t="str">
        <f t="shared" si="14"/>
        <v/>
      </c>
      <c r="F87" s="393"/>
      <c r="G87" s="198" t="str">
        <f>IFERROR(IF(OR(F87=0,F87="",F87&gt;$A86-0.01),"",VLOOKUP(VLOOKUP(F87,A82:B86,2,TRUE),Points!$H$7:$I$10,2,FALSE)),"")</f>
        <v/>
      </c>
      <c r="H87" s="67"/>
      <c r="I87" s="117">
        <v>7</v>
      </c>
      <c r="J87" s="392"/>
      <c r="K87" s="64" t="str">
        <f>IFERROR(IF(A87=0,HLOOKUP(J87,Declarations!$D$2:$S$102,A81,FALSE),HLOOKUP(VLOOKUP(J87,Teams!$V$2:$W$19,2,FALSE),Declarations!$D$2:$S$102,A81,FALSE)),"")</f>
        <v/>
      </c>
      <c r="L87" s="64" t="str">
        <f t="shared" si="15"/>
        <v/>
      </c>
      <c r="M87" s="313"/>
      <c r="N87" s="198" t="str">
        <f>IFERROR(IF(OR(M87=0,M87="",M87&gt;$A86-0.01),"",VLOOKUP(VLOOKUP(M87,A82:B86,2,TRUE),Points!$H$7:$I$10,2,FALSE)),"")</f>
        <v/>
      </c>
      <c r="P87" s="66">
        <f ca="1">IFERROR(IF(OR(C87=0,C87="",F87=0,F87="",$P80&lt;&gt;0,LEFT(F87,1)="D"),0,VLOOKUP(B87,INDIRECT(MatchDay!$W$2),2,FALSE)),"")</f>
        <v>0</v>
      </c>
      <c r="Q87" s="66">
        <f ca="1">IFERROR(IF(OR(J87=0,J87="",M87=0,M87="",$P80&lt;&gt;0,LEFT(M87,1)="D"),0,VLOOKUP(I87,INDIRECT(MatchDay!$W$2),3,FALSE)),"")</f>
        <v>0</v>
      </c>
    </row>
    <row r="88" spans="1:20" x14ac:dyDescent="0.35">
      <c r="A88" s="116">
        <f>IFERROR(VLOOKUP(A79,records,5,FALSE),"")</f>
        <v>22.2</v>
      </c>
      <c r="B88" s="117">
        <v>8</v>
      </c>
      <c r="C88" s="120"/>
      <c r="D88" s="64" t="str">
        <f>IFERROR(IF(A87=0,HLOOKUP(C88,Declarations!$D$2:$S$102,A81,FALSE),HLOOKUP(VLOOKUP(C88,Teams!$V$2:$W$19,2,FALSE),Declarations!$D$2:$S$102,A81,FALSE)),"")</f>
        <v/>
      </c>
      <c r="E88" s="64" t="str">
        <f t="shared" si="14"/>
        <v/>
      </c>
      <c r="F88" s="393"/>
      <c r="G88" s="198" t="str">
        <f>IFERROR(IF(OR(F88=0,F88="",F88&gt;$A86-0.01),"",VLOOKUP(VLOOKUP(F88,A82:B86,2,TRUE),Points!$H$7:$I$10,2,FALSE)),"")</f>
        <v/>
      </c>
      <c r="H88" s="67"/>
      <c r="I88" s="117">
        <v>8</v>
      </c>
      <c r="J88" s="392"/>
      <c r="K88" s="64" t="str">
        <f>IFERROR(IF(A87=0,HLOOKUP(J88,Declarations!$D$2:$S$102,A81,FALSE),HLOOKUP(VLOOKUP(J88,Teams!$V$2:$W$19,2,FALSE),Declarations!$D$2:$S$102,A81,FALSE)),"")</f>
        <v/>
      </c>
      <c r="L88" s="64" t="str">
        <f t="shared" si="15"/>
        <v/>
      </c>
      <c r="M88" s="313"/>
      <c r="N88" s="198" t="str">
        <f>IFERROR(IF(OR(M88=0,M88="",M88&gt;$A86-0.01),"",VLOOKUP(VLOOKUP(M88,A82:B86,2,TRUE),Points!$H$7:$I$10,2,FALSE)),"")</f>
        <v/>
      </c>
      <c r="P88" s="66">
        <f ca="1">IFERROR(IF(OR(C88=0,C88="",F88=0,F88="",$P80&lt;&gt;0,LEFT(F88,1)="D"),0,VLOOKUP(B88,INDIRECT(MatchDay!$W$2),2,FALSE)),"")</f>
        <v>0</v>
      </c>
      <c r="Q88" s="66">
        <f ca="1">IFERROR(IF(OR(J88=0,J88="",M88=0,M88="",$P80&lt;&gt;0,LEFT(M88,1)="D"),0,VLOOKUP(I88,INDIRECT(MatchDay!$W$2),3,FALSE)),"")</f>
        <v>0</v>
      </c>
    </row>
    <row r="90" spans="1:20" x14ac:dyDescent="0.35">
      <c r="A90" s="111" t="s">
        <v>40</v>
      </c>
      <c r="B90" s="112" t="str">
        <f>IFERROR(VLOOKUP(A90,timetables,2,FALSE)&amp;" "&amp;VLOOKUP(A90,timetables,3,FALSE)&amp;" A","")</f>
        <v>75m U13 Girls A</v>
      </c>
      <c r="C90" s="112"/>
      <c r="E90" s="130" t="str">
        <f>IFERROR(IF(VLOOKUP($A90,timetables,8,FALSE)="W","Wind = ",""),"")</f>
        <v xml:space="preserve">Wind = </v>
      </c>
      <c r="F90" s="414"/>
      <c r="G90" s="119" t="str">
        <f>IFERROR(IF(OR(F92=0,F92=""),"",IF(F92&lt;A99,"REC",IF(F92=A99,"=Rec",""))),"")</f>
        <v/>
      </c>
      <c r="I90" s="114" t="str">
        <f>IFERROR(VLOOKUP(A90,timetables,2,FALSE)&amp;" "&amp;VLOOKUP(A90,timetables,3,FALSE)&amp;" B","")</f>
        <v>75m U13 Girls B</v>
      </c>
      <c r="J90" s="115"/>
      <c r="L90" s="130" t="str">
        <f>IFERROR(IF(VLOOKUP($A90,timetables,8,FALSE)="W","Wind = ",""),"")</f>
        <v xml:space="preserve">Wind = </v>
      </c>
      <c r="M90" s="414"/>
      <c r="P90" s="66" t="s">
        <v>53</v>
      </c>
      <c r="Q90" s="66" t="s">
        <v>54</v>
      </c>
    </row>
    <row r="91" spans="1:20" x14ac:dyDescent="0.35">
      <c r="A91" s="82"/>
      <c r="B91" s="45" t="s">
        <v>230</v>
      </c>
      <c r="C91" s="45" t="s">
        <v>183</v>
      </c>
      <c r="D91" s="47" t="s">
        <v>227</v>
      </c>
      <c r="E91" s="47" t="s">
        <v>228</v>
      </c>
      <c r="F91" s="149" t="s">
        <v>229</v>
      </c>
      <c r="G91" s="199" t="s">
        <v>55</v>
      </c>
      <c r="H91" s="47"/>
      <c r="I91" s="45" t="s">
        <v>230</v>
      </c>
      <c r="J91" s="45" t="s">
        <v>183</v>
      </c>
      <c r="K91" s="47" t="s">
        <v>227</v>
      </c>
      <c r="L91" s="47" t="s">
        <v>228</v>
      </c>
      <c r="M91" s="149" t="s">
        <v>229</v>
      </c>
      <c r="N91" s="199" t="s">
        <v>55</v>
      </c>
      <c r="P91" s="66">
        <f>IFERROR(SEARCH("NS",B90),0)</f>
        <v>0</v>
      </c>
      <c r="T91" s="67"/>
    </row>
    <row r="92" spans="1:20" x14ac:dyDescent="0.35">
      <c r="A92" s="181">
        <f>IFERROR(VLOOKUP(A90,Timetables!$A:$E,5,FALSE)-1,"")</f>
        <v>28</v>
      </c>
      <c r="B92" s="117">
        <v>1</v>
      </c>
      <c r="C92" s="392">
        <v>3</v>
      </c>
      <c r="D92" s="64" t="str">
        <f ca="1">IFERROR(IF(A98=0,HLOOKUP(C92,Declarations!$D$2:$S$102,A92,FALSE),HLOOKUP(VLOOKUP(C92,Teams!$V$2:$W$19,2,FALSE),Declarations!$D$2:$S$102,A92,FALSE)),"")</f>
        <v>MAUDE Emily</v>
      </c>
      <c r="E92" s="64" t="str">
        <f t="shared" ref="E92:E99" si="16">IFERROR(VLOOKUP(C92,teamlookup,5,FALSE),"")</f>
        <v>York</v>
      </c>
      <c r="F92" s="393">
        <v>10.3</v>
      </c>
      <c r="G92" s="198">
        <f>IFERROR(IF(OR(F92=0,F92="",F92&gt;$A97-0.01),"",VLOOKUP(VLOOKUP(F92,A93:B97,2,TRUE),Points!$H$7:$I$10,2,FALSE)),"")</f>
        <v>1</v>
      </c>
      <c r="H92" s="67"/>
      <c r="I92" s="117">
        <v>1</v>
      </c>
      <c r="J92" s="392">
        <v>33</v>
      </c>
      <c r="K92" s="64" t="str">
        <f ca="1">IFERROR(IF(A98=0,HLOOKUP(J92,Declarations!$D$2:$S$102,A92,FALSE),HLOOKUP(VLOOKUP(J92,Teams!$V$2:$W$19,2,FALSE),Declarations!$D$2:$S$102,A92,FALSE)),"")</f>
        <v>SIGSWORTH Martha</v>
      </c>
      <c r="L92" s="64" t="str">
        <f t="shared" ref="L92:L99" si="17">IFERROR(VLOOKUP(J92,teamlookup,5,FALSE),"")</f>
        <v>York</v>
      </c>
      <c r="M92" s="313">
        <v>11.2</v>
      </c>
      <c r="N92" s="198">
        <f>IFERROR(IF(OR(M92=0,M92="",M92&gt;$A97-0.01),"",VLOOKUP(VLOOKUP(M92,A93:B97,2,TRUE),Points!$H$7:$I$10,2,FALSE)),"")</f>
        <v>4</v>
      </c>
      <c r="P92" s="66">
        <f ca="1">IFERROR(IF(OR(C92=0,C92="",F92=0,F92="",$P91&lt;&gt;0,LEFT(F92,1)="D"),0,VLOOKUP(B92,INDIRECT(MatchDay!$W$2),2,FALSE)),"")</f>
        <v>8</v>
      </c>
      <c r="Q92" s="66">
        <f ca="1">IFERROR(IF(OR(J92=0,J92="",M92=0,M92="",$P91&lt;&gt;0,LEFT(M92,1)="D"),0,VLOOKUP(I92,INDIRECT(MatchDay!$W$2),3,FALSE)),"")</f>
        <v>6</v>
      </c>
      <c r="R92" s="219">
        <f>COUNTIF(C92,"&gt;0")</f>
        <v>1</v>
      </c>
      <c r="S92" s="66">
        <f>IFERROR(IF(C92&gt;88,1,0),0)</f>
        <v>0</v>
      </c>
    </row>
    <row r="93" spans="1:20" x14ac:dyDescent="0.35">
      <c r="A93" s="64">
        <v>0</v>
      </c>
      <c r="B93" s="117">
        <v>2</v>
      </c>
      <c r="C93" s="392">
        <v>4</v>
      </c>
      <c r="D93" s="64" t="str">
        <f ca="1">IFERROR(IF(A98=0,HLOOKUP(C93,Declarations!$D$2:$S$102,A92,FALSE),HLOOKUP(VLOOKUP(C93,Teams!$V$2:$W$19,2,FALSE),Declarations!$D$2:$S$102,A92,FALSE)),"")</f>
        <v>WILMOT Amy</v>
      </c>
      <c r="E93" s="64" t="str">
        <f t="shared" si="16"/>
        <v>M'bro</v>
      </c>
      <c r="F93" s="393">
        <v>10.7</v>
      </c>
      <c r="G93" s="198">
        <f>IFERROR(IF(OR(F93=0,F93="",F93&gt;$A97-0.01),"",VLOOKUP(VLOOKUP(F93,A93:B97,2,TRUE),Points!$H$7:$I$10,2,FALSE)),"")</f>
        <v>3</v>
      </c>
      <c r="H93" s="67"/>
      <c r="I93" s="117">
        <v>2</v>
      </c>
      <c r="J93" s="392">
        <v>44</v>
      </c>
      <c r="K93" s="64" t="str">
        <f ca="1">IFERROR(IF(A98=0,HLOOKUP(J93,Declarations!$D$2:$S$102,A92,FALSE),HLOOKUP(VLOOKUP(J93,Teams!$V$2:$W$19,2,FALSE),Declarations!$D$2:$S$102,A92,FALSE)),"")</f>
        <v>SULLOCK Beth</v>
      </c>
      <c r="L93" s="64" t="str">
        <f t="shared" si="17"/>
        <v>M'bro</v>
      </c>
      <c r="M93" s="313">
        <v>11.2</v>
      </c>
      <c r="N93" s="198">
        <f>IFERROR(IF(OR(M93=0,M93="",M93&gt;$A97-0.01),"",VLOOKUP(VLOOKUP(M93,A93:B97,2,TRUE),Points!$H$7:$I$10,2,FALSE)),"")</f>
        <v>4</v>
      </c>
      <c r="P93" s="66">
        <f ca="1">IFERROR(IF(OR(C93=0,C93="",F93=0,F93="",$P91&lt;&gt;0,LEFT(F93,1)="D"),0,VLOOKUP(B93,INDIRECT(MatchDay!$W$2),2,FALSE)),"")</f>
        <v>6</v>
      </c>
      <c r="Q93" s="66">
        <f ca="1">IFERROR(IF(OR(J93=0,J93="",M93=0,M93="",$P91&lt;&gt;0,LEFT(M93,1)="D"),0,VLOOKUP(I93,INDIRECT(MatchDay!$W$2),3,FALSE)),"")</f>
        <v>4</v>
      </c>
    </row>
    <row r="94" spans="1:20" x14ac:dyDescent="0.35">
      <c r="A94" s="118">
        <f>IFERROR(VLOOKUP(A90,standards,3,FALSE)+0.01,"-")</f>
        <v>10.41</v>
      </c>
      <c r="B94" s="117">
        <v>3</v>
      </c>
      <c r="C94" s="392">
        <v>2</v>
      </c>
      <c r="D94" s="64" t="str">
        <f ca="1">IFERROR(IF(A98=0,HLOOKUP(C94,Declarations!$D$2:$S$102,A92,FALSE),HLOOKUP(VLOOKUP(C94,Teams!$V$2:$W$19,2,FALSE),Declarations!$D$2:$S$102,A92,FALSE)),"")</f>
        <v>HARTLEY Eleanor</v>
      </c>
      <c r="E94" s="64" t="str">
        <f t="shared" si="16"/>
        <v>Sheff+D</v>
      </c>
      <c r="F94" s="393">
        <v>10.9</v>
      </c>
      <c r="G94" s="198">
        <f>IFERROR(IF(OR(F94=0,F94="",F94&gt;$A97-0.01),"",VLOOKUP(VLOOKUP(F94,A93:B97,2,TRUE),Points!$H$7:$I$10,2,FALSE)),"")</f>
        <v>3</v>
      </c>
      <c r="H94" s="67"/>
      <c r="I94" s="117">
        <v>3</v>
      </c>
      <c r="J94" s="392">
        <v>11</v>
      </c>
      <c r="K94" s="64" t="str">
        <f ca="1">IFERROR(IF(A98=0,HLOOKUP(J94,Declarations!$D$2:$S$102,A92,FALSE),HLOOKUP(VLOOKUP(J94,Teams!$V$2:$W$19,2,FALSE),Declarations!$D$2:$S$102,A92,FALSE)),"")</f>
        <v>PELL Gracie</v>
      </c>
      <c r="L94" s="64" t="str">
        <f t="shared" si="17"/>
        <v>C'field</v>
      </c>
      <c r="M94" s="313">
        <v>11.7</v>
      </c>
      <c r="N94" s="198" t="str">
        <f>IFERROR(IF(OR(M94=0,M94="",M94&gt;$A97-0.01),"",VLOOKUP(VLOOKUP(M94,A93:B97,2,TRUE),Points!$H$7:$I$10,2,FALSE)),"")</f>
        <v/>
      </c>
      <c r="P94" s="66">
        <f ca="1">IFERROR(IF(OR(C94=0,C94="",F94=0,F94="",$P91&lt;&gt;0,LEFT(F94,1)="D"),0,VLOOKUP(B94,INDIRECT(MatchDay!$W$2),2,FALSE)),"")</f>
        <v>5</v>
      </c>
      <c r="Q94" s="66">
        <f ca="1">IFERROR(IF(OR(J94=0,J94="",M94=0,M94="",$P91&lt;&gt;0,LEFT(M94,1)="D"),0,VLOOKUP(I94,INDIRECT(MatchDay!$W$2),3,FALSE)),"")</f>
        <v>3</v>
      </c>
    </row>
    <row r="95" spans="1:20" x14ac:dyDescent="0.35">
      <c r="A95" s="118">
        <f>IFERROR(VLOOKUP(A90,standards,4,FALSE)+0.01,"-")</f>
        <v>10.61</v>
      </c>
      <c r="B95" s="117">
        <v>4</v>
      </c>
      <c r="C95" s="392">
        <v>1</v>
      </c>
      <c r="D95" s="64" t="str">
        <f ca="1">IFERROR(IF(A98=0,HLOOKUP(C95,Declarations!$D$2:$S$102,A92,FALSE),HLOOKUP(VLOOKUP(C95,Teams!$V$2:$W$19,2,FALSE),Declarations!$D$2:$S$102,A92,FALSE)),"")</f>
        <v>HUMPHREYS Melissa</v>
      </c>
      <c r="E95" s="64" t="str">
        <f t="shared" si="16"/>
        <v>C'field</v>
      </c>
      <c r="F95" s="393">
        <v>11.2</v>
      </c>
      <c r="G95" s="198">
        <f>IFERROR(IF(OR(F95=0,F95="",F95&gt;$A97-0.01),"",VLOOKUP(VLOOKUP(F95,A93:B97,2,TRUE),Points!$H$7:$I$10,2,FALSE)),"")</f>
        <v>4</v>
      </c>
      <c r="H95" s="67"/>
      <c r="I95" s="117">
        <v>4</v>
      </c>
      <c r="J95" s="392">
        <v>22</v>
      </c>
      <c r="K95" s="64" t="str">
        <f ca="1">IFERROR(IF(A98=0,HLOOKUP(J95,Declarations!$D$2:$S$102,A92,FALSE),HLOOKUP(VLOOKUP(J95,Teams!$V$2:$W$19,2,FALSE),Declarations!$D$2:$S$102,A92,FALSE)),"")</f>
        <v>ROBERTS Eve</v>
      </c>
      <c r="L95" s="64" t="str">
        <f t="shared" si="17"/>
        <v>Sheff+D</v>
      </c>
      <c r="M95" s="313">
        <v>11.7</v>
      </c>
      <c r="N95" s="198" t="str">
        <f>IFERROR(IF(OR(M95=0,M95="",M95&gt;$A97-0.01),"",VLOOKUP(VLOOKUP(M95,A93:B97,2,TRUE),Points!$H$7:$I$10,2,FALSE)),"")</f>
        <v/>
      </c>
      <c r="P95" s="66">
        <f ca="1">IFERROR(IF(OR(C95=0,C95="",F95=0,F95="",$P91&lt;&gt;0,LEFT(F95,1)="D"),0,VLOOKUP(B95,INDIRECT(MatchDay!$W$2),2,FALSE)),"")</f>
        <v>4</v>
      </c>
      <c r="Q95" s="66">
        <f ca="1">IFERROR(IF(OR(J95=0,J95="",M95=0,M95="",$P91&lt;&gt;0,LEFT(M95,1)="D"),0,VLOOKUP(I95,INDIRECT(MatchDay!$W$2),3,FALSE)),"")</f>
        <v>2</v>
      </c>
    </row>
    <row r="96" spans="1:20" x14ac:dyDescent="0.35">
      <c r="A96" s="118">
        <f>IFERROR(VLOOKUP(A90,standards,5,FALSE)+0.01,"-")</f>
        <v>10.91</v>
      </c>
      <c r="B96" s="117">
        <v>5</v>
      </c>
      <c r="C96" s="392">
        <v>5</v>
      </c>
      <c r="D96" s="64" t="str">
        <f ca="1">IFERROR(IF(A98=0,HLOOKUP(C96,Declarations!$D$2:$S$102,A92,FALSE),HLOOKUP(VLOOKUP(C96,Teams!$V$2:$W$19,2,FALSE),Declarations!$D$2:$S$102,A92,FALSE)),"")</f>
        <v>STOW Libby</v>
      </c>
      <c r="E96" s="64" t="str">
        <f t="shared" si="16"/>
        <v>Scun</v>
      </c>
      <c r="F96" s="393">
        <v>12.2</v>
      </c>
      <c r="G96" s="198" t="str">
        <f>IFERROR(IF(OR(F96=0,F96="",F96&gt;$A97-0.01),"",VLOOKUP(VLOOKUP(F96,A93:B97,2,TRUE),Points!$H$7:$I$10,2,FALSE)),"")</f>
        <v/>
      </c>
      <c r="H96" s="67"/>
      <c r="I96" s="117">
        <v>5</v>
      </c>
      <c r="J96" s="392">
        <v>55</v>
      </c>
      <c r="K96" s="64" t="str">
        <f ca="1">IFERROR(IF(A98=0,HLOOKUP(J96,Declarations!$D$2:$S$102,A92,FALSE),HLOOKUP(VLOOKUP(J96,Teams!$V$2:$W$19,2,FALSE),Declarations!$D$2:$S$102,A92,FALSE)),"")</f>
        <v>ABDI Zulekha</v>
      </c>
      <c r="L96" s="64" t="str">
        <f t="shared" si="17"/>
        <v>Scun</v>
      </c>
      <c r="M96" s="313">
        <v>13.5</v>
      </c>
      <c r="N96" s="198" t="str">
        <f>IFERROR(IF(OR(M96=0,M96="",M96&gt;$A97-0.01),"",VLOOKUP(VLOOKUP(M96,A93:B97,2,TRUE),Points!$H$7:$I$10,2,FALSE)),"")</f>
        <v/>
      </c>
      <c r="P96" s="66">
        <f ca="1">IFERROR(IF(OR(C96=0,C96="",F96=0,F96="",$P91&lt;&gt;0,LEFT(F96,1)="D"),0,VLOOKUP(B96,INDIRECT(MatchDay!$W$2),2,FALSE)),"")</f>
        <v>3</v>
      </c>
      <c r="Q96" s="66">
        <f ca="1">IFERROR(IF(OR(J96=0,J96="",M96=0,M96="",$P91&lt;&gt;0,LEFT(M96,1)="D"),0,VLOOKUP(I96,INDIRECT(MatchDay!$W$2),3,FALSE)),"")</f>
        <v>1</v>
      </c>
    </row>
    <row r="97" spans="1:20" x14ac:dyDescent="0.35">
      <c r="A97" s="118">
        <f>IFERROR(VLOOKUP(A90,standards,6,FALSE)+0.01,"-")</f>
        <v>11.31</v>
      </c>
      <c r="B97" s="117">
        <v>6</v>
      </c>
      <c r="C97" s="120"/>
      <c r="D97" s="64" t="str">
        <f>IFERROR(IF(A98=0,HLOOKUP(C97,Declarations!$D$2:$S$102,A92,FALSE),HLOOKUP(VLOOKUP(C97,Teams!$V$2:$W$19,2,FALSE),Declarations!$D$2:$S$102,A92,FALSE)),"")</f>
        <v/>
      </c>
      <c r="E97" s="64" t="str">
        <f t="shared" si="16"/>
        <v/>
      </c>
      <c r="F97" s="393"/>
      <c r="G97" s="198" t="str">
        <f>IFERROR(IF(OR(F97=0,F97="",F97&gt;$A97-0.01),"",VLOOKUP(VLOOKUP(F97,A93:B97,2,TRUE),Points!$H$7:$I$10,2,FALSE)),"")</f>
        <v/>
      </c>
      <c r="H97" s="67"/>
      <c r="I97" s="117">
        <v>6</v>
      </c>
      <c r="J97" s="392"/>
      <c r="K97" s="64" t="str">
        <f>IFERROR(IF(A98=0,HLOOKUP(J97,Declarations!$D$2:$S$102,A92,FALSE),HLOOKUP(VLOOKUP(J97,Teams!$V$2:$W$19,2,FALSE),Declarations!$D$2:$S$102,A92,FALSE)),"")</f>
        <v/>
      </c>
      <c r="L97" s="64" t="str">
        <f t="shared" si="17"/>
        <v/>
      </c>
      <c r="M97" s="313"/>
      <c r="N97" s="198" t="str">
        <f>IFERROR(IF(OR(M97=0,M97="",M97&gt;$A97-0.01),"",VLOOKUP(VLOOKUP(M97,A93:B97,2,TRUE),Points!$H$7:$I$10,2,FALSE)),"")</f>
        <v/>
      </c>
      <c r="P97" s="66">
        <f ca="1">IFERROR(IF(OR(C97=0,C97="",F97=0,F97="",$P91&lt;&gt;0,LEFT(F97,1)="D"),0,VLOOKUP(B97,INDIRECT(MatchDay!$W$2),2,FALSE)),"")</f>
        <v>0</v>
      </c>
      <c r="Q97" s="66">
        <f ca="1">IFERROR(IF(OR(J97=0,J97="",M97=0,M97="",$P91&lt;&gt;0,LEFT(M97,1)="D"),0,VLOOKUP(I97,INDIRECT(MatchDay!$W$2),3,FALSE)),"")</f>
        <v>0</v>
      </c>
    </row>
    <row r="98" spans="1:20" x14ac:dyDescent="0.35">
      <c r="A98" s="136">
        <f>IFERROR(SEARCH("U17",B90),0)</f>
        <v>0</v>
      </c>
      <c r="B98" s="117">
        <v>7</v>
      </c>
      <c r="C98" s="120"/>
      <c r="D98" s="64" t="str">
        <f>IFERROR(IF(A98=0,HLOOKUP(C98,Declarations!$D$2:$S$102,A92,FALSE),HLOOKUP(VLOOKUP(C98,Teams!$V$2:$W$19,2,FALSE),Declarations!$D$2:$S$102,A92,FALSE)),"")</f>
        <v/>
      </c>
      <c r="E98" s="64" t="str">
        <f t="shared" si="16"/>
        <v/>
      </c>
      <c r="F98" s="393"/>
      <c r="G98" s="198" t="str">
        <f>IFERROR(IF(OR(F98=0,F98="",F98&gt;$A97-0.01),"",VLOOKUP(VLOOKUP(F98,A93:B97,2,TRUE),Points!$H$7:$I$10,2,FALSE)),"")</f>
        <v/>
      </c>
      <c r="H98" s="67"/>
      <c r="I98" s="117">
        <v>7</v>
      </c>
      <c r="J98" s="392"/>
      <c r="K98" s="64" t="str">
        <f>IFERROR(IF(A98=0,HLOOKUP(J98,Declarations!$D$2:$S$102,A92,FALSE),HLOOKUP(VLOOKUP(J98,Teams!$V$2:$W$19,2,FALSE),Declarations!$D$2:$S$102,A92,FALSE)),"")</f>
        <v/>
      </c>
      <c r="L98" s="64" t="str">
        <f t="shared" si="17"/>
        <v/>
      </c>
      <c r="M98" s="313"/>
      <c r="N98" s="198" t="str">
        <f>IFERROR(IF(OR(M98=0,M98="",M98&gt;$A97-0.01),"",VLOOKUP(VLOOKUP(M98,A93:B97,2,TRUE),Points!$H$7:$I$10,2,FALSE)),"")</f>
        <v/>
      </c>
      <c r="P98" s="66">
        <f ca="1">IFERROR(IF(OR(C98=0,C98="",F98=0,F98="",$P91&lt;&gt;0,LEFT(F98,1)="D"),0,VLOOKUP(B98,INDIRECT(MatchDay!$W$2),2,FALSE)),"")</f>
        <v>0</v>
      </c>
      <c r="Q98" s="66">
        <f ca="1">IFERROR(IF(OR(J98=0,J98="",M98=0,M98="",$P91&lt;&gt;0,LEFT(M98,1)="D"),0,VLOOKUP(I98,INDIRECT(MatchDay!$W$2),3,FALSE)),"")</f>
        <v>0</v>
      </c>
    </row>
    <row r="99" spans="1:20" x14ac:dyDescent="0.35">
      <c r="A99" s="116">
        <f>IFERROR(VLOOKUP(A90,records,5,FALSE),"")</f>
        <v>9.5</v>
      </c>
      <c r="B99" s="117">
        <v>8</v>
      </c>
      <c r="C99" s="120"/>
      <c r="D99" s="64" t="str">
        <f>IFERROR(IF(A98=0,HLOOKUP(C99,Declarations!$D$2:$S$102,A92,FALSE),HLOOKUP(VLOOKUP(C99,Teams!$V$2:$W$19,2,FALSE),Declarations!$D$2:$S$102,A92,FALSE)),"")</f>
        <v/>
      </c>
      <c r="E99" s="64" t="str">
        <f t="shared" si="16"/>
        <v/>
      </c>
      <c r="F99" s="393"/>
      <c r="G99" s="198" t="str">
        <f>IFERROR(IF(OR(F99=0,F99="",F99&gt;$A97-0.01),"",VLOOKUP(VLOOKUP(F99,A93:B97,2,TRUE),Points!$H$7:$I$10,2,FALSE)),"")</f>
        <v/>
      </c>
      <c r="H99" s="67"/>
      <c r="I99" s="117">
        <v>8</v>
      </c>
      <c r="J99" s="392"/>
      <c r="K99" s="64" t="str">
        <f>IFERROR(IF(A98=0,HLOOKUP(J99,Declarations!$D$2:$S$102,A92,FALSE),HLOOKUP(VLOOKUP(J99,Teams!$V$2:$W$19,2,FALSE),Declarations!$D$2:$S$102,A92,FALSE)),"")</f>
        <v/>
      </c>
      <c r="L99" s="64" t="str">
        <f t="shared" si="17"/>
        <v/>
      </c>
      <c r="M99" s="313"/>
      <c r="N99" s="198" t="str">
        <f>IFERROR(IF(OR(M99=0,M99="",M99&gt;$A97-0.01),"",VLOOKUP(VLOOKUP(M99,A93:B97,2,TRUE),Points!$H$7:$I$10,2,FALSE)),"")</f>
        <v/>
      </c>
      <c r="P99" s="66">
        <f ca="1">IFERROR(IF(OR(C99=0,C99="",F99=0,F99="",$P91&lt;&gt;0,LEFT(F99,1)="D"),0,VLOOKUP(B99,INDIRECT(MatchDay!$W$2),2,FALSE)),"")</f>
        <v>0</v>
      </c>
      <c r="Q99" s="66">
        <f ca="1">IFERROR(IF(OR(J99=0,J99="",M99=0,M99="",$P91&lt;&gt;0,LEFT(M99,1)="D"),0,VLOOKUP(I99,INDIRECT(MatchDay!$W$2),3,FALSE)),"")</f>
        <v>0</v>
      </c>
    </row>
    <row r="101" spans="1:20" x14ac:dyDescent="0.35">
      <c r="A101" s="111" t="s">
        <v>42</v>
      </c>
      <c r="B101" s="112" t="str">
        <f>IFERROR(VLOOKUP(A101,timetables,2,FALSE)&amp;" "&amp;VLOOKUP(A101,timetables,3,FALSE)&amp;" A","")</f>
        <v>100m U13 Boys A</v>
      </c>
      <c r="C101" s="112"/>
      <c r="E101" s="130" t="str">
        <f>IFERROR(IF(VLOOKUP($A101,timetables,8,FALSE)="W","Wind = ",""),"")</f>
        <v xml:space="preserve">Wind = </v>
      </c>
      <c r="F101" s="414"/>
      <c r="G101" s="119" t="str">
        <f>IFERROR(IF(OR(F103=0,F103=""),"",IF(F103&lt;A110,"REC",IF(F103=A110,"=Rec",""))),"")</f>
        <v/>
      </c>
      <c r="I101" s="114" t="str">
        <f>IFERROR(VLOOKUP(A101,timetables,2,FALSE)&amp;" "&amp;VLOOKUP(A101,timetables,3,FALSE)&amp;" B","")</f>
        <v>100m U13 Boys B</v>
      </c>
      <c r="J101" s="115"/>
      <c r="L101" s="130" t="str">
        <f>IFERROR(IF(VLOOKUP($A101,timetables,8,FALSE)="W","Wind = ",""),"")</f>
        <v xml:space="preserve">Wind = </v>
      </c>
      <c r="M101" s="414"/>
      <c r="P101" s="66" t="s">
        <v>53</v>
      </c>
      <c r="Q101" s="66" t="s">
        <v>54</v>
      </c>
    </row>
    <row r="102" spans="1:20" x14ac:dyDescent="0.35">
      <c r="A102" s="82"/>
      <c r="B102" s="45" t="s">
        <v>230</v>
      </c>
      <c r="C102" s="45" t="s">
        <v>183</v>
      </c>
      <c r="D102" s="47" t="s">
        <v>227</v>
      </c>
      <c r="E102" s="47" t="s">
        <v>228</v>
      </c>
      <c r="F102" s="149" t="s">
        <v>229</v>
      </c>
      <c r="G102" s="199" t="s">
        <v>55</v>
      </c>
      <c r="H102" s="47"/>
      <c r="I102" s="45" t="s">
        <v>230</v>
      </c>
      <c r="J102" s="45" t="s">
        <v>183</v>
      </c>
      <c r="K102" s="47" t="s">
        <v>227</v>
      </c>
      <c r="L102" s="47" t="s">
        <v>228</v>
      </c>
      <c r="M102" s="149" t="s">
        <v>229</v>
      </c>
      <c r="N102" s="199" t="s">
        <v>55</v>
      </c>
      <c r="P102" s="66">
        <f>IFERROR(SEARCH("NS",B101),0)</f>
        <v>0</v>
      </c>
      <c r="T102" s="67"/>
    </row>
    <row r="103" spans="1:20" x14ac:dyDescent="0.35">
      <c r="A103" s="181">
        <f>IFERROR(VLOOKUP(A101,Timetables!$A:$E,5,FALSE)-1,"")</f>
        <v>78</v>
      </c>
      <c r="B103" s="117">
        <v>1</v>
      </c>
      <c r="C103" s="120">
        <v>3</v>
      </c>
      <c r="D103" s="64" t="str">
        <f ca="1">IFERROR(IF(A109=0,HLOOKUP(C103,Declarations!$D$2:$S$102,A103,FALSE),HLOOKUP(VLOOKUP(C103,Teams!$V$2:$W$19,2,FALSE),Declarations!$D$2:$S$102,A103,FALSE)),"")</f>
        <v>PEARSON Adam</v>
      </c>
      <c r="E103" s="64" t="str">
        <f t="shared" ref="E103:E110" si="18">IFERROR(VLOOKUP(C103,teamlookup,5,FALSE),"")</f>
        <v>York</v>
      </c>
      <c r="F103" s="393">
        <v>14</v>
      </c>
      <c r="G103" s="198" t="str">
        <f>IFERROR(IF(OR(F103=0,F103="",F103&gt;$A108-0.01),"",VLOOKUP(VLOOKUP(F103,A104:B108,2,TRUE),Points!$H$7:$I$10,2,FALSE)),"")</f>
        <v/>
      </c>
      <c r="H103" s="67"/>
      <c r="I103" s="117">
        <v>1</v>
      </c>
      <c r="J103" s="392">
        <v>22</v>
      </c>
      <c r="K103" s="64" t="str">
        <f ca="1">IFERROR(IF(A109=0,HLOOKUP(J103,Declarations!$D$2:$S$102,A103,FALSE),HLOOKUP(VLOOKUP(J103,Teams!$V$2:$W$19,2,FALSE),Declarations!$D$2:$S$102,A103,FALSE)),"")</f>
        <v>CONNELLY George</v>
      </c>
      <c r="L103" s="64" t="str">
        <f t="shared" ref="L103:L110" si="19">IFERROR(VLOOKUP(J103,teamlookup,5,FALSE),"")</f>
        <v>Sheff+D</v>
      </c>
      <c r="M103" s="313">
        <v>14.3</v>
      </c>
      <c r="N103" s="198" t="str">
        <f>IFERROR(IF(OR(M103=0,M103="",M103&gt;$A108-0.01),"",VLOOKUP(VLOOKUP(M103,A104:B108,2,TRUE),Points!$H$7:$I$10,2,FALSE)),"")</f>
        <v/>
      </c>
      <c r="P103" s="66">
        <f ca="1">IFERROR(IF(OR(C103=0,C103="",F103=0,F103="",$P102&lt;&gt;0,LEFT(F103,1)="D"),0,VLOOKUP(B103,INDIRECT(MatchDay!$W$2),2,FALSE)),"")</f>
        <v>8</v>
      </c>
      <c r="Q103" s="66">
        <f ca="1">IFERROR(IF(OR(J103=0,J103="",M103=0,M103="",$P102&lt;&gt;0,LEFT(M103,1)="D"),0,VLOOKUP(I103,INDIRECT(MatchDay!$W$2),3,FALSE)),"")</f>
        <v>6</v>
      </c>
      <c r="R103" s="219">
        <f>COUNTIF(C103,"&gt;0")</f>
        <v>1</v>
      </c>
      <c r="S103" s="66">
        <f>IFERROR(IF(C103&gt;88,1,0),0)</f>
        <v>0</v>
      </c>
    </row>
    <row r="104" spans="1:20" x14ac:dyDescent="0.35">
      <c r="A104" s="64">
        <v>0</v>
      </c>
      <c r="B104" s="117">
        <v>2</v>
      </c>
      <c r="C104" s="120">
        <v>4</v>
      </c>
      <c r="D104" s="64" t="str">
        <f ca="1">IFERROR(IF(A109=0,HLOOKUP(C104,Declarations!$D$2:$S$102,A103,FALSE),HLOOKUP(VLOOKUP(C104,Teams!$V$2:$W$19,2,FALSE),Declarations!$D$2:$S$102,A103,FALSE)),"")</f>
        <v>MAYNARD Finley</v>
      </c>
      <c r="E104" s="64" t="str">
        <f t="shared" si="18"/>
        <v>M'bro</v>
      </c>
      <c r="F104" s="393">
        <v>14</v>
      </c>
      <c r="G104" s="198" t="str">
        <f>IFERROR(IF(OR(F104=0,F104="",F104&gt;$A108-0.01),"",VLOOKUP(VLOOKUP(F104,A104:B108,2,TRUE),Points!$H$7:$I$10,2,FALSE)),"")</f>
        <v/>
      </c>
      <c r="H104" s="67"/>
      <c r="I104" s="117">
        <v>2</v>
      </c>
      <c r="J104" s="392">
        <v>33</v>
      </c>
      <c r="K104" s="64" t="str">
        <f ca="1">IFERROR(IF(A109=0,HLOOKUP(J104,Declarations!$D$2:$S$102,A103,FALSE),HLOOKUP(VLOOKUP(J104,Teams!$V$2:$W$19,2,FALSE),Declarations!$D$2:$S$102,A103,FALSE)),"")</f>
        <v>HICKLING William</v>
      </c>
      <c r="L104" s="64" t="str">
        <f t="shared" si="19"/>
        <v>York</v>
      </c>
      <c r="M104" s="313">
        <v>14.6</v>
      </c>
      <c r="N104" s="198" t="str">
        <f>IFERROR(IF(OR(M104=0,M104="",M104&gt;$A108-0.01),"",VLOOKUP(VLOOKUP(M104,A104:B108,2,TRUE),Points!$H$7:$I$10,2,FALSE)),"")</f>
        <v/>
      </c>
      <c r="P104" s="66">
        <f ca="1">IFERROR(IF(OR(C104=0,C104="",F104=0,F104="",$P102&lt;&gt;0,LEFT(F104,1)="D"),0,VLOOKUP(B104,INDIRECT(MatchDay!$W$2),2,FALSE)),"")</f>
        <v>6</v>
      </c>
      <c r="Q104" s="66">
        <f ca="1">IFERROR(IF(OR(J104=0,J104="",M104=0,M104="",$P102&lt;&gt;0,LEFT(M104,1)="D"),0,VLOOKUP(I104,INDIRECT(MatchDay!$W$2),3,FALSE)),"")</f>
        <v>4</v>
      </c>
    </row>
    <row r="105" spans="1:20" x14ac:dyDescent="0.35">
      <c r="A105" s="118">
        <f>IFERROR(VLOOKUP(A101,standards,3,FALSE)+0.01,"-")</f>
        <v>13.01</v>
      </c>
      <c r="B105" s="117">
        <v>3</v>
      </c>
      <c r="C105" s="120">
        <v>2</v>
      </c>
      <c r="D105" s="64" t="str">
        <f ca="1">IFERROR(IF(A109=0,HLOOKUP(C105,Declarations!$D$2:$S$102,A103,FALSE),HLOOKUP(VLOOKUP(C105,Teams!$V$2:$W$19,2,FALSE),Declarations!$D$2:$S$102,A103,FALSE)),"")</f>
        <v>REILLY Arthur</v>
      </c>
      <c r="E105" s="64" t="str">
        <f t="shared" si="18"/>
        <v>Sheff+D</v>
      </c>
      <c r="F105" s="393">
        <v>14.4</v>
      </c>
      <c r="G105" s="198" t="str">
        <f>IFERROR(IF(OR(F105=0,F105="",F105&gt;$A108-0.01),"",VLOOKUP(VLOOKUP(F105,A104:B108,2,TRUE),Points!$H$7:$I$10,2,FALSE)),"")</f>
        <v/>
      </c>
      <c r="H105" s="67"/>
      <c r="I105" s="117">
        <v>3</v>
      </c>
      <c r="J105" s="392">
        <v>44</v>
      </c>
      <c r="K105" s="64" t="str">
        <f ca="1">IFERROR(IF(A109=0,HLOOKUP(J105,Declarations!$D$2:$S$102,A103,FALSE),HLOOKUP(VLOOKUP(J105,Teams!$V$2:$W$19,2,FALSE),Declarations!$D$2:$S$102,A103,FALSE)),"")</f>
        <v>HONEYMAN Leo</v>
      </c>
      <c r="L105" s="64" t="str">
        <f t="shared" si="19"/>
        <v>M'bro</v>
      </c>
      <c r="M105" s="313">
        <v>15.2</v>
      </c>
      <c r="N105" s="198" t="str">
        <f>IFERROR(IF(OR(M105=0,M105="",M105&gt;$A108-0.01),"",VLOOKUP(VLOOKUP(M105,A104:B108,2,TRUE),Points!$H$7:$I$10,2,FALSE)),"")</f>
        <v/>
      </c>
      <c r="P105" s="66">
        <f ca="1">IFERROR(IF(OR(C105=0,C105="",F105=0,F105="",$P102&lt;&gt;0,LEFT(F105,1)="D"),0,VLOOKUP(B105,INDIRECT(MatchDay!$W$2),2,FALSE)),"")</f>
        <v>5</v>
      </c>
      <c r="Q105" s="66">
        <f ca="1">IFERROR(IF(OR(J105=0,J105="",M105=0,M105="",$P102&lt;&gt;0,LEFT(M105,1)="D"),0,VLOOKUP(I105,INDIRECT(MatchDay!$W$2),3,FALSE)),"")</f>
        <v>3</v>
      </c>
    </row>
    <row r="106" spans="1:20" x14ac:dyDescent="0.35">
      <c r="A106" s="118">
        <f>IFERROR(VLOOKUP(A101,standards,4,FALSE)+0.01,"-")</f>
        <v>13.209999999999999</v>
      </c>
      <c r="B106" s="117">
        <v>4</v>
      </c>
      <c r="C106" s="120">
        <v>1</v>
      </c>
      <c r="D106" s="64" t="str">
        <f ca="1">IFERROR(IF(A109=0,HLOOKUP(C106,Declarations!$D$2:$S$102,A103,FALSE),HLOOKUP(VLOOKUP(C106,Teams!$V$2:$W$19,2,FALSE),Declarations!$D$2:$S$102,A103,FALSE)),"")</f>
        <v>GASKIN Nathanael</v>
      </c>
      <c r="E106" s="64" t="str">
        <f t="shared" si="18"/>
        <v>C'field</v>
      </c>
      <c r="F106" s="393">
        <v>15.2</v>
      </c>
      <c r="G106" s="198" t="str">
        <f>IFERROR(IF(OR(F106=0,F106="",F106&gt;$A108-0.01),"",VLOOKUP(VLOOKUP(F106,A104:B108,2,TRUE),Points!$H$7:$I$10,2,FALSE)),"")</f>
        <v/>
      </c>
      <c r="H106" s="67"/>
      <c r="I106" s="117">
        <v>4</v>
      </c>
      <c r="J106" s="392">
        <v>11</v>
      </c>
      <c r="K106" s="64" t="str">
        <f ca="1">IFERROR(IF(A109=0,HLOOKUP(J106,Declarations!$D$2:$S$102,A103,FALSE),HLOOKUP(VLOOKUP(J106,Teams!$V$2:$W$19,2,FALSE),Declarations!$D$2:$S$102,A103,FALSE)),"")</f>
        <v>DREW Matthew</v>
      </c>
      <c r="L106" s="64" t="str">
        <f t="shared" si="19"/>
        <v>C'field</v>
      </c>
      <c r="M106" s="313">
        <v>16.399999999999999</v>
      </c>
      <c r="N106" s="198" t="str">
        <f>IFERROR(IF(OR(M106=0,M106="",M106&gt;$A108-0.01),"",VLOOKUP(VLOOKUP(M106,A104:B108,2,TRUE),Points!$H$7:$I$10,2,FALSE)),"")</f>
        <v/>
      </c>
      <c r="P106" s="66">
        <f ca="1">IFERROR(IF(OR(C106=0,C106="",F106=0,F106="",$P102&lt;&gt;0,LEFT(F106,1)="D"),0,VLOOKUP(B106,INDIRECT(MatchDay!$W$2),2,FALSE)),"")</f>
        <v>4</v>
      </c>
      <c r="Q106" s="66">
        <f ca="1">IFERROR(IF(OR(J106=0,J106="",M106=0,M106="",$P102&lt;&gt;0,LEFT(M106,1)="D"),0,VLOOKUP(I106,INDIRECT(MatchDay!$W$2),3,FALSE)),"")</f>
        <v>2</v>
      </c>
    </row>
    <row r="107" spans="1:20" x14ac:dyDescent="0.35">
      <c r="A107" s="118">
        <f>IFERROR(VLOOKUP(A101,standards,5,FALSE)+0.01,"-")</f>
        <v>13.51</v>
      </c>
      <c r="B107" s="117">
        <v>5</v>
      </c>
      <c r="C107" s="120">
        <v>5</v>
      </c>
      <c r="D107" s="64" t="str">
        <f ca="1">IFERROR(IF(A109=0,HLOOKUP(C107,Declarations!$D$2:$S$102,A103,FALSE),HLOOKUP(VLOOKUP(C107,Teams!$V$2:$W$19,2,FALSE),Declarations!$D$2:$S$102,A103,FALSE)),"")</f>
        <v>LANGTON Cody</v>
      </c>
      <c r="E107" s="64" t="str">
        <f t="shared" si="18"/>
        <v>Scun</v>
      </c>
      <c r="F107" s="393">
        <v>15.7</v>
      </c>
      <c r="G107" s="198" t="str">
        <f>IFERROR(IF(OR(F107=0,F107="",F107&gt;$A108-0.01),"",VLOOKUP(VLOOKUP(F107,A104:B108,2,TRUE),Points!$H$7:$I$10,2,FALSE)),"")</f>
        <v/>
      </c>
      <c r="H107" s="67"/>
      <c r="I107" s="117">
        <v>5</v>
      </c>
      <c r="J107" s="392"/>
      <c r="K107" s="64" t="str">
        <f>IFERROR(IF(A109=0,HLOOKUP(J107,Declarations!$D$2:$S$102,A103,FALSE),HLOOKUP(VLOOKUP(J107,Teams!$V$2:$W$19,2,FALSE),Declarations!$D$2:$S$102,A103,FALSE)),"")</f>
        <v/>
      </c>
      <c r="L107" s="64" t="str">
        <f t="shared" si="19"/>
        <v/>
      </c>
      <c r="M107" s="485" t="s">
        <v>2269</v>
      </c>
      <c r="N107" s="198" t="str">
        <f>IFERROR(IF(OR(M107=0,M107="",M107&gt;$A108-0.01),"",VLOOKUP(VLOOKUP(M107,A104:B108,2,TRUE),Points!$H$7:$I$10,2,FALSE)),"")</f>
        <v/>
      </c>
      <c r="P107" s="66">
        <f ca="1">IFERROR(IF(OR(C107=0,C107="",F107=0,F107="",$P102&lt;&gt;0,LEFT(F107,1)="D"),0,VLOOKUP(B107,INDIRECT(MatchDay!$W$2),2,FALSE)),"")</f>
        <v>3</v>
      </c>
      <c r="Q107" s="66">
        <f ca="1">IFERROR(IF(OR(J107=0,J107="",M107=0,M107="",$P102&lt;&gt;0,LEFT(M107,1)="D"),0,VLOOKUP(I107,INDIRECT(MatchDay!$W$2),3,FALSE)),"")</f>
        <v>0</v>
      </c>
    </row>
    <row r="108" spans="1:20" x14ac:dyDescent="0.35">
      <c r="A108" s="118">
        <f>IFERROR(VLOOKUP(A101,standards,6,FALSE)+0.01,"-")</f>
        <v>13.91</v>
      </c>
      <c r="B108" s="117">
        <v>6</v>
      </c>
      <c r="C108" s="120"/>
      <c r="D108" s="64" t="str">
        <f>IFERROR(IF(A109=0,HLOOKUP(C108,Declarations!$D$2:$S$102,A103,FALSE),HLOOKUP(VLOOKUP(C108,Teams!$V$2:$W$19,2,FALSE),Declarations!$D$2:$S$102,A103,FALSE)),"")</f>
        <v/>
      </c>
      <c r="E108" s="64" t="str">
        <f t="shared" si="18"/>
        <v/>
      </c>
      <c r="F108" s="393"/>
      <c r="G108" s="198" t="str">
        <f>IFERROR(IF(OR(F108=0,F108="",F108&gt;$A108-0.01),"",VLOOKUP(VLOOKUP(F108,A104:B108,2,TRUE),Points!$H$7:$I$10,2,FALSE)),"")</f>
        <v/>
      </c>
      <c r="H108" s="67"/>
      <c r="I108" s="117">
        <v>6</v>
      </c>
      <c r="J108" s="392"/>
      <c r="K108" s="64" t="str">
        <f>IFERROR(IF(A109=0,HLOOKUP(J108,Declarations!$D$2:$S$102,A103,FALSE),HLOOKUP(VLOOKUP(J108,Teams!$V$2:$W$19,2,FALSE),Declarations!$D$2:$S$102,A103,FALSE)),"")</f>
        <v/>
      </c>
      <c r="L108" s="64" t="str">
        <f t="shared" si="19"/>
        <v/>
      </c>
      <c r="M108" s="313"/>
      <c r="N108" s="198" t="str">
        <f>IFERROR(IF(OR(M108=0,M108="",M108&gt;$A108-0.01),"",VLOOKUP(VLOOKUP(M108,A104:B108,2,TRUE),Points!$H$7:$I$10,2,FALSE)),"")</f>
        <v/>
      </c>
      <c r="P108" s="66">
        <f ca="1">IFERROR(IF(OR(C108=0,C108="",F108=0,F108="",$P102&lt;&gt;0,LEFT(F108,1)="D"),0,VLOOKUP(B108,INDIRECT(MatchDay!$W$2),2,FALSE)),"")</f>
        <v>0</v>
      </c>
      <c r="Q108" s="66">
        <f ca="1">IFERROR(IF(OR(J108=0,J108="",M108=0,M108="",$P102&lt;&gt;0,LEFT(M108,1)="D"),0,VLOOKUP(I108,INDIRECT(MatchDay!$W$2),3,FALSE)),"")</f>
        <v>0</v>
      </c>
    </row>
    <row r="109" spans="1:20" x14ac:dyDescent="0.35">
      <c r="A109" s="136">
        <f>IFERROR(SEARCH("U17",B101),0)</f>
        <v>0</v>
      </c>
      <c r="B109" s="117">
        <v>7</v>
      </c>
      <c r="C109" s="120"/>
      <c r="D109" s="64" t="str">
        <f>IFERROR(IF(A109=0,HLOOKUP(C109,Declarations!$D$2:$S$102,A103,FALSE),HLOOKUP(VLOOKUP(C109,Teams!$V$2:$W$19,2,FALSE),Declarations!$D$2:$S$102,A103,FALSE)),"")</f>
        <v/>
      </c>
      <c r="E109" s="64" t="str">
        <f t="shared" si="18"/>
        <v/>
      </c>
      <c r="F109" s="393"/>
      <c r="G109" s="198" t="str">
        <f>IFERROR(IF(OR(F109=0,F109="",F109&gt;$A108-0.01),"",VLOOKUP(VLOOKUP(F109,A104:B108,2,TRUE),Points!$H$7:$I$10,2,FALSE)),"")</f>
        <v/>
      </c>
      <c r="H109" s="67"/>
      <c r="I109" s="117">
        <v>7</v>
      </c>
      <c r="J109" s="392"/>
      <c r="K109" s="64" t="str">
        <f>IFERROR(IF(A109=0,HLOOKUP(J109,Declarations!$D$2:$S$102,A103,FALSE),HLOOKUP(VLOOKUP(J109,Teams!$V$2:$W$19,2,FALSE),Declarations!$D$2:$S$102,A103,FALSE)),"")</f>
        <v/>
      </c>
      <c r="L109" s="64" t="str">
        <f t="shared" si="19"/>
        <v/>
      </c>
      <c r="M109" s="313"/>
      <c r="N109" s="198" t="str">
        <f>IFERROR(IF(OR(M109=0,M109="",M109&gt;$A108-0.01),"",VLOOKUP(VLOOKUP(M109,A104:B108,2,TRUE),Points!$H$7:$I$10,2,FALSE)),"")</f>
        <v/>
      </c>
      <c r="P109" s="66">
        <f ca="1">IFERROR(IF(OR(C109=0,C109="",F109=0,F109="",$P102&lt;&gt;0,LEFT(F109,1)="D"),0,VLOOKUP(B109,INDIRECT(MatchDay!$W$2),2,FALSE)),"")</f>
        <v>0</v>
      </c>
      <c r="Q109" s="66">
        <f ca="1">IFERROR(IF(OR(J109=0,J109="",M109=0,M109="",$P102&lt;&gt;0,LEFT(M109,1)="D"),0,VLOOKUP(I109,INDIRECT(MatchDay!$W$2),3,FALSE)),"")</f>
        <v>0</v>
      </c>
    </row>
    <row r="110" spans="1:20" x14ac:dyDescent="0.35">
      <c r="A110" s="116">
        <f>IFERROR(VLOOKUP(A101,records,5,FALSE),"")</f>
        <v>12</v>
      </c>
      <c r="B110" s="117">
        <v>8</v>
      </c>
      <c r="C110" s="120"/>
      <c r="D110" s="64" t="str">
        <f>IFERROR(IF(A109=0,HLOOKUP(C110,Declarations!$D$2:$S$102,A103,FALSE),HLOOKUP(VLOOKUP(C110,Teams!$V$2:$W$19,2,FALSE),Declarations!$D$2:$S$102,A103,FALSE)),"")</f>
        <v/>
      </c>
      <c r="E110" s="64" t="str">
        <f t="shared" si="18"/>
        <v/>
      </c>
      <c r="F110" s="393"/>
      <c r="G110" s="198" t="str">
        <f>IFERROR(IF(OR(F110=0,F110="",F110&gt;$A108-0.01),"",VLOOKUP(VLOOKUP(F110,A104:B108,2,TRUE),Points!$H$7:$I$10,2,FALSE)),"")</f>
        <v/>
      </c>
      <c r="H110" s="67"/>
      <c r="I110" s="117">
        <v>8</v>
      </c>
      <c r="J110" s="392"/>
      <c r="K110" s="64" t="str">
        <f>IFERROR(IF(A109=0,HLOOKUP(J110,Declarations!$D$2:$S$102,A103,FALSE),HLOOKUP(VLOOKUP(J110,Teams!$V$2:$W$19,2,FALSE),Declarations!$D$2:$S$102,A103,FALSE)),"")</f>
        <v/>
      </c>
      <c r="L110" s="64" t="str">
        <f t="shared" si="19"/>
        <v/>
      </c>
      <c r="M110" s="313"/>
      <c r="N110" s="198" t="str">
        <f>IFERROR(IF(OR(M110=0,M110="",M110&gt;$A108-0.01),"",VLOOKUP(VLOOKUP(M110,A104:B108,2,TRUE),Points!$H$7:$I$10,2,FALSE)),"")</f>
        <v/>
      </c>
      <c r="P110" s="66">
        <f ca="1">IFERROR(IF(OR(C110=0,C110="",F110=0,F110="",$P102&lt;&gt;0,LEFT(F110,1)="D"),0,VLOOKUP(B110,INDIRECT(MatchDay!$W$2),2,FALSE)),"")</f>
        <v>0</v>
      </c>
      <c r="Q110" s="66">
        <f ca="1">IFERROR(IF(OR(J110=0,J110="",M110=0,M110="",$P102&lt;&gt;0,LEFT(M110,1)="D"),0,VLOOKUP(I110,INDIRECT(MatchDay!$W$2),3,FALSE)),"")</f>
        <v>0</v>
      </c>
    </row>
    <row r="112" spans="1:20" x14ac:dyDescent="0.35">
      <c r="A112" s="111" t="s">
        <v>43</v>
      </c>
      <c r="B112" s="112" t="str">
        <f>IFERROR(VLOOKUP(A112,timetables,2,FALSE)&amp;" "&amp;VLOOKUP(A112,timetables,3,FALSE)&amp;" A","")</f>
        <v>100m U15 Girls A</v>
      </c>
      <c r="C112" s="112"/>
      <c r="E112" s="130" t="str">
        <f>IFERROR(IF(VLOOKUP($A112,timetables,8,FALSE)="W","Wind = ",""),"")</f>
        <v xml:space="preserve">Wind = </v>
      </c>
      <c r="F112" s="414"/>
      <c r="G112" s="119" t="str">
        <f>IFERROR(IF(OR(F114=0,F114=""),"",IF(F114&lt;A121,"REC",IF(F114=A121,"=Rec",""))),"")</f>
        <v/>
      </c>
      <c r="I112" s="114" t="str">
        <f>IFERROR(VLOOKUP(A112,timetables,2,FALSE)&amp;" "&amp;VLOOKUP(A112,timetables,3,FALSE)&amp;" B","")</f>
        <v>100m U15 Girls B</v>
      </c>
      <c r="J112" s="115"/>
      <c r="L112" s="130" t="str">
        <f>IFERROR(IF(VLOOKUP($A112,timetables,8,FALSE)="W","Wind = ",""),"")</f>
        <v xml:space="preserve">Wind = </v>
      </c>
      <c r="M112" s="414"/>
      <c r="P112" s="66" t="s">
        <v>53</v>
      </c>
      <c r="Q112" s="66" t="s">
        <v>54</v>
      </c>
    </row>
    <row r="113" spans="1:20" x14ac:dyDescent="0.35">
      <c r="A113" s="82"/>
      <c r="B113" s="45" t="s">
        <v>230</v>
      </c>
      <c r="C113" s="45" t="s">
        <v>183</v>
      </c>
      <c r="D113" s="47" t="s">
        <v>227</v>
      </c>
      <c r="E113" s="47" t="s">
        <v>228</v>
      </c>
      <c r="F113" s="149" t="s">
        <v>229</v>
      </c>
      <c r="G113" s="199" t="s">
        <v>55</v>
      </c>
      <c r="H113" s="47"/>
      <c r="I113" s="45" t="s">
        <v>230</v>
      </c>
      <c r="J113" s="45" t="s">
        <v>183</v>
      </c>
      <c r="K113" s="47" t="s">
        <v>227</v>
      </c>
      <c r="L113" s="47" t="s">
        <v>228</v>
      </c>
      <c r="M113" s="149" t="s">
        <v>229</v>
      </c>
      <c r="N113" s="199" t="s">
        <v>55</v>
      </c>
      <c r="P113" s="66">
        <f>IFERROR(SEARCH("NS",B112),0)</f>
        <v>0</v>
      </c>
      <c r="T113" s="67"/>
    </row>
    <row r="114" spans="1:20" x14ac:dyDescent="0.35">
      <c r="A114" s="181">
        <f>IFERROR(VLOOKUP(A112,Timetables!$A:$E,5,FALSE)-1,"")</f>
        <v>3</v>
      </c>
      <c r="B114" s="117">
        <v>1</v>
      </c>
      <c r="C114" s="120">
        <v>4</v>
      </c>
      <c r="D114" s="64" t="str">
        <f ca="1">IFERROR(IF(A120=0,HLOOKUP(C114,Declarations!$D$2:$S$102,A114,FALSE),HLOOKUP(VLOOKUP(C114,Teams!$V$2:$W$19,2,FALSE),Declarations!$D$2:$S$102,A114,FALSE)),"")</f>
        <v>WYATT Martha</v>
      </c>
      <c r="E114" s="64" t="str">
        <f t="shared" ref="E114:E121" si="20">IFERROR(VLOOKUP(C114,teamlookup,5,FALSE),"")</f>
        <v>M'bro</v>
      </c>
      <c r="F114" s="393">
        <v>12.8</v>
      </c>
      <c r="G114" s="198">
        <f>IFERROR(IF(OR(F114=0,F114="",F114&gt;$A119-0.01),"",VLOOKUP(VLOOKUP(F114,A115:B119,2,TRUE),Points!$H$7:$I$10,2,FALSE)),"")</f>
        <v>2</v>
      </c>
      <c r="H114" s="67"/>
      <c r="I114" s="117">
        <v>1</v>
      </c>
      <c r="J114" s="392">
        <v>3</v>
      </c>
      <c r="K114" s="64" t="str">
        <f ca="1">IFERROR(IF(A120=0,HLOOKUP(J114,Declarations!$D$2:$S$102,A114,FALSE),HLOOKUP(VLOOKUP(J114,Teams!$V$2:$W$19,2,FALSE),Declarations!$D$2:$S$102,A114,FALSE)),"")</f>
        <v>BROOKS Carmen</v>
      </c>
      <c r="L114" s="64" t="str">
        <f t="shared" ref="L114:L121" si="21">IFERROR(VLOOKUP(J114,teamlookup,5,FALSE),"")</f>
        <v>York</v>
      </c>
      <c r="M114" s="313">
        <v>13.5</v>
      </c>
      <c r="N114" s="198">
        <f>IFERROR(IF(OR(M114=0,M114="",M114&gt;$A119-0.01),"",VLOOKUP(VLOOKUP(M114,A115:B119,2,TRUE),Points!$H$7:$I$10,2,FALSE)),"")</f>
        <v>4</v>
      </c>
      <c r="P114" s="66">
        <f ca="1">IFERROR(IF(OR(C114=0,C114="",F114=0,F114="",$P113&lt;&gt;0,LEFT(F114,1)="D"),0,VLOOKUP(B114,INDIRECT(MatchDay!$W$2),2,FALSE)),"")</f>
        <v>8</v>
      </c>
      <c r="Q114" s="66">
        <f ca="1">IFERROR(IF(OR(J114=0,J114="",M114=0,M114="",$P113&lt;&gt;0,LEFT(M114,1)="D"),0,VLOOKUP(I114,INDIRECT(MatchDay!$W$2),3,FALSE)),"")</f>
        <v>6</v>
      </c>
      <c r="R114" s="219">
        <f>COUNTIF(C114,"&gt;0")</f>
        <v>1</v>
      </c>
      <c r="S114" s="66">
        <f>IFERROR(IF(C114&gt;88,1,0),0)</f>
        <v>0</v>
      </c>
    </row>
    <row r="115" spans="1:20" x14ac:dyDescent="0.35">
      <c r="A115" s="64">
        <v>0</v>
      </c>
      <c r="B115" s="117">
        <v>2</v>
      </c>
      <c r="C115" s="120">
        <v>2</v>
      </c>
      <c r="D115" s="64" t="str">
        <f ca="1">IFERROR(IF(A120=0,HLOOKUP(C115,Declarations!$D$2:$S$102,A114,FALSE),HLOOKUP(VLOOKUP(C115,Teams!$V$2:$W$19,2,FALSE),Declarations!$D$2:$S$102,A114,FALSE)),"")</f>
        <v>MYCROFT Tilly</v>
      </c>
      <c r="E115" s="64" t="str">
        <f t="shared" si="20"/>
        <v>Sheff+D</v>
      </c>
      <c r="F115" s="393">
        <v>13.3</v>
      </c>
      <c r="G115" s="198">
        <f>IFERROR(IF(OR(F115=0,F115="",F115&gt;$A119-0.01),"",VLOOKUP(VLOOKUP(F115,A115:B119,2,TRUE),Points!$H$7:$I$10,2,FALSE)),"")</f>
        <v>4</v>
      </c>
      <c r="H115" s="67"/>
      <c r="I115" s="117">
        <v>2</v>
      </c>
      <c r="J115" s="392">
        <v>44</v>
      </c>
      <c r="K115" s="64" t="str">
        <f ca="1">IFERROR(IF(A120=0,HLOOKUP(J115,Declarations!$D$2:$S$102,A114,FALSE),HLOOKUP(VLOOKUP(J115,Teams!$V$2:$W$19,2,FALSE),Declarations!$D$2:$S$102,A114,FALSE)),"")</f>
        <v>GILLIS Madelaine</v>
      </c>
      <c r="L115" s="64" t="str">
        <f t="shared" si="21"/>
        <v>M'bro</v>
      </c>
      <c r="M115" s="313">
        <v>13.8</v>
      </c>
      <c r="N115" s="198" t="str">
        <f>IFERROR(IF(OR(M115=0,M115="",M115&gt;$A119-0.01),"",VLOOKUP(VLOOKUP(M115,A115:B119,2,TRUE),Points!$H$7:$I$10,2,FALSE)),"")</f>
        <v/>
      </c>
      <c r="P115" s="66">
        <f ca="1">IFERROR(IF(OR(C115=0,C115="",F115=0,F115="",$P113&lt;&gt;0,LEFT(F115,1)="D"),0,VLOOKUP(B115,INDIRECT(MatchDay!$W$2),2,FALSE)),"")</f>
        <v>6</v>
      </c>
      <c r="Q115" s="66">
        <f ca="1">IFERROR(IF(OR(J115=0,J115="",M115=0,M115="",$P113&lt;&gt;0,LEFT(M115,1)="D"),0,VLOOKUP(I115,INDIRECT(MatchDay!$W$2),3,FALSE)),"")</f>
        <v>4</v>
      </c>
    </row>
    <row r="116" spans="1:20" x14ac:dyDescent="0.35">
      <c r="A116" s="118">
        <f>IFERROR(VLOOKUP(A112,standards,3,FALSE)+0.01,"-")</f>
        <v>12.709999999999999</v>
      </c>
      <c r="B116" s="117">
        <v>3</v>
      </c>
      <c r="C116" s="120">
        <v>33</v>
      </c>
      <c r="D116" s="64" t="str">
        <f ca="1">IFERROR(IF(A120=0,HLOOKUP(C116,Declarations!$D$2:$S$102,A114,FALSE),HLOOKUP(VLOOKUP(C116,Teams!$V$2:$W$19,2,FALSE),Declarations!$D$2:$S$102,A114,FALSE)),"")</f>
        <v>HICKLING Rosie</v>
      </c>
      <c r="E116" s="64" t="str">
        <f t="shared" si="20"/>
        <v>York</v>
      </c>
      <c r="F116" s="393">
        <v>13.3</v>
      </c>
      <c r="G116" s="198">
        <f>IFERROR(IF(OR(F116=0,F116="",F116&gt;$A119-0.01),"",VLOOKUP(VLOOKUP(F116,A115:B119,2,TRUE),Points!$H$7:$I$10,2,FALSE)),"")</f>
        <v>4</v>
      </c>
      <c r="H116" s="67"/>
      <c r="I116" s="117">
        <v>3</v>
      </c>
      <c r="J116" s="392">
        <v>22</v>
      </c>
      <c r="K116" s="64" t="str">
        <f ca="1">IFERROR(IF(A120=0,HLOOKUP(J116,Declarations!$D$2:$S$102,A114,FALSE),HLOOKUP(VLOOKUP(J116,Teams!$V$2:$W$19,2,FALSE),Declarations!$D$2:$S$102,A114,FALSE)),"")</f>
        <v>JELONKIEWICZ Viktoria</v>
      </c>
      <c r="L116" s="64" t="str">
        <f t="shared" si="21"/>
        <v>Sheff+D</v>
      </c>
      <c r="M116" s="313">
        <v>13.9</v>
      </c>
      <c r="N116" s="198" t="str">
        <f>IFERROR(IF(OR(M116=0,M116="",M116&gt;$A119-0.01),"",VLOOKUP(VLOOKUP(M116,A115:B119,2,TRUE),Points!$H$7:$I$10,2,FALSE)),"")</f>
        <v/>
      </c>
      <c r="P116" s="66">
        <f ca="1">IFERROR(IF(OR(C116=0,C116="",F116=0,F116="",$P113&lt;&gt;0,LEFT(F116,1)="D"),0,VLOOKUP(B116,INDIRECT(MatchDay!$W$2),2,FALSE)),"")</f>
        <v>5</v>
      </c>
      <c r="Q116" s="66">
        <f ca="1">IFERROR(IF(OR(J116=0,J116="",M116=0,M116="",$P113&lt;&gt;0,LEFT(M116,1)="D"),0,VLOOKUP(I116,INDIRECT(MatchDay!$W$2),3,FALSE)),"")</f>
        <v>3</v>
      </c>
    </row>
    <row r="117" spans="1:20" x14ac:dyDescent="0.35">
      <c r="A117" s="118">
        <f>IFERROR(VLOOKUP(A112,standards,4,FALSE)+0.01,"-")</f>
        <v>12.91</v>
      </c>
      <c r="B117" s="117">
        <v>4</v>
      </c>
      <c r="C117" s="120">
        <v>1</v>
      </c>
      <c r="D117" s="64" t="str">
        <f ca="1">IFERROR(IF(A120=0,HLOOKUP(C117,Declarations!$D$2:$S$102,A114,FALSE),HLOOKUP(VLOOKUP(C117,Teams!$V$2:$W$19,2,FALSE),Declarations!$D$2:$S$102,A114,FALSE)),"")</f>
        <v>BRIDDON Missy</v>
      </c>
      <c r="E117" s="64" t="str">
        <f t="shared" si="20"/>
        <v>C'field</v>
      </c>
      <c r="F117" s="393">
        <v>13.7</v>
      </c>
      <c r="G117" s="198" t="str">
        <f>IFERROR(IF(OR(F117=0,F117="",F117&gt;$A119-0.01),"",VLOOKUP(VLOOKUP(F117,A115:B119,2,TRUE),Points!$H$7:$I$10,2,FALSE)),"")</f>
        <v/>
      </c>
      <c r="H117" s="67"/>
      <c r="I117" s="117">
        <v>4</v>
      </c>
      <c r="J117" s="392">
        <v>11</v>
      </c>
      <c r="K117" s="64" t="str">
        <f ca="1">IFERROR(IF(A120=0,HLOOKUP(J117,Declarations!$D$2:$S$102,A114,FALSE),HLOOKUP(VLOOKUP(J117,Teams!$V$2:$W$19,2,FALSE),Declarations!$D$2:$S$102,A114,FALSE)),"")</f>
        <v>BAINES Lily</v>
      </c>
      <c r="L117" s="64" t="str">
        <f t="shared" si="21"/>
        <v>C'field</v>
      </c>
      <c r="M117" s="313">
        <v>15.2</v>
      </c>
      <c r="N117" s="198" t="str">
        <f>IFERROR(IF(OR(M117=0,M117="",M117&gt;$A119-0.01),"",VLOOKUP(VLOOKUP(M117,A115:B119,2,TRUE),Points!$H$7:$I$10,2,FALSE)),"")</f>
        <v/>
      </c>
      <c r="P117" s="66">
        <f ca="1">IFERROR(IF(OR(C117=0,C117="",F117=0,F117="",$P113&lt;&gt;0,LEFT(F117,1)="D"),0,VLOOKUP(B117,INDIRECT(MatchDay!$W$2),2,FALSE)),"")</f>
        <v>4</v>
      </c>
      <c r="Q117" s="66">
        <f ca="1">IFERROR(IF(OR(J117=0,J117="",M117=0,M117="",$P113&lt;&gt;0,LEFT(M117,1)="D"),0,VLOOKUP(I117,INDIRECT(MatchDay!$W$2),3,FALSE)),"")</f>
        <v>2</v>
      </c>
    </row>
    <row r="118" spans="1:20" x14ac:dyDescent="0.35">
      <c r="A118" s="118">
        <f>IFERROR(VLOOKUP(A112,standards,5,FALSE)+0.01,"-")</f>
        <v>13.209999999999999</v>
      </c>
      <c r="B118" s="117">
        <v>5</v>
      </c>
      <c r="C118" s="120"/>
      <c r="D118" s="64" t="str">
        <f>IFERROR(IF(A120=0,HLOOKUP(C118,Declarations!$D$2:$S$102,A114,FALSE),HLOOKUP(VLOOKUP(C118,Teams!$V$2:$W$19,2,FALSE),Declarations!$D$2:$S$102,A114,FALSE)),"")</f>
        <v/>
      </c>
      <c r="E118" s="64" t="str">
        <f t="shared" si="20"/>
        <v/>
      </c>
      <c r="F118" s="393"/>
      <c r="G118" s="198" t="str">
        <f>IFERROR(IF(OR(F118=0,F118="",F118&gt;$A119-0.01),"",VLOOKUP(VLOOKUP(F118,A115:B119,2,TRUE),Points!$H$7:$I$10,2,FALSE)),"")</f>
        <v/>
      </c>
      <c r="H118" s="67"/>
      <c r="I118" s="117">
        <v>5</v>
      </c>
      <c r="J118" s="392"/>
      <c r="K118" s="64" t="str">
        <f>IFERROR(IF(A120=0,HLOOKUP(J118,Declarations!$D$2:$S$102,A114,FALSE),HLOOKUP(VLOOKUP(J118,Teams!$V$2:$W$19,2,FALSE),Declarations!$D$2:$S$102,A114,FALSE)),"")</f>
        <v/>
      </c>
      <c r="L118" s="64" t="str">
        <f t="shared" si="21"/>
        <v/>
      </c>
      <c r="M118" s="313"/>
      <c r="N118" s="198" t="str">
        <f>IFERROR(IF(OR(M118=0,M118="",M118&gt;$A119-0.01),"",VLOOKUP(VLOOKUP(M118,A115:B119,2,TRUE),Points!$H$7:$I$10,2,FALSE)),"")</f>
        <v/>
      </c>
      <c r="P118" s="66">
        <f ca="1">IFERROR(IF(OR(C118=0,C118="",F118=0,F118="",$P113&lt;&gt;0,LEFT(F118,1)="D"),0,VLOOKUP(B118,INDIRECT(MatchDay!$W$2),2,FALSE)),"")</f>
        <v>0</v>
      </c>
      <c r="Q118" s="66">
        <f ca="1">IFERROR(IF(OR(J118=0,J118="",M118=0,M118="",$P113&lt;&gt;0,LEFT(M118,1)="D"),0,VLOOKUP(I118,INDIRECT(MatchDay!$W$2),3,FALSE)),"")</f>
        <v>0</v>
      </c>
    </row>
    <row r="119" spans="1:20" x14ac:dyDescent="0.35">
      <c r="A119" s="118">
        <f>IFERROR(VLOOKUP(A112,standards,6,FALSE)+0.01,"-")</f>
        <v>13.51</v>
      </c>
      <c r="B119" s="117">
        <v>6</v>
      </c>
      <c r="C119" s="120"/>
      <c r="D119" s="64" t="str">
        <f>IFERROR(IF(A120=0,HLOOKUP(C119,Declarations!$D$2:$S$102,A114,FALSE),HLOOKUP(VLOOKUP(C119,Teams!$V$2:$W$19,2,FALSE),Declarations!$D$2:$S$102,A114,FALSE)),"")</f>
        <v/>
      </c>
      <c r="E119" s="64" t="str">
        <f t="shared" si="20"/>
        <v/>
      </c>
      <c r="F119" s="393"/>
      <c r="G119" s="198" t="str">
        <f>IFERROR(IF(OR(F119=0,F119="",F119&gt;$A119-0.01),"",VLOOKUP(VLOOKUP(F119,A115:B119,2,TRUE),Points!$H$7:$I$10,2,FALSE)),"")</f>
        <v/>
      </c>
      <c r="H119" s="67"/>
      <c r="I119" s="117">
        <v>6</v>
      </c>
      <c r="J119" s="392"/>
      <c r="K119" s="64" t="str">
        <f>IFERROR(IF(A120=0,HLOOKUP(J119,Declarations!$D$2:$S$102,A114,FALSE),HLOOKUP(VLOOKUP(J119,Teams!$V$2:$W$19,2,FALSE),Declarations!$D$2:$S$102,A114,FALSE)),"")</f>
        <v/>
      </c>
      <c r="L119" s="64" t="str">
        <f t="shared" si="21"/>
        <v/>
      </c>
      <c r="M119" s="313"/>
      <c r="N119" s="198" t="str">
        <f>IFERROR(IF(OR(M119=0,M119="",M119&gt;$A119-0.01),"",VLOOKUP(VLOOKUP(M119,A115:B119,2,TRUE),Points!$H$7:$I$10,2,FALSE)),"")</f>
        <v/>
      </c>
      <c r="P119" s="66">
        <f ca="1">IFERROR(IF(OR(C119=0,C119="",F119=0,F119="",$P113&lt;&gt;0,LEFT(F119,1)="D"),0,VLOOKUP(B119,INDIRECT(MatchDay!$W$2),2,FALSE)),"")</f>
        <v>0</v>
      </c>
      <c r="Q119" s="66">
        <f ca="1">IFERROR(IF(OR(J119=0,J119="",M119=0,M119="",$P113&lt;&gt;0,LEFT(M119,1)="D"),0,VLOOKUP(I119,INDIRECT(MatchDay!$W$2),3,FALSE)),"")</f>
        <v>0</v>
      </c>
    </row>
    <row r="120" spans="1:20" x14ac:dyDescent="0.35">
      <c r="A120" s="136">
        <f>IFERROR(SEARCH("U17",B112),0)</f>
        <v>0</v>
      </c>
      <c r="B120" s="117">
        <v>7</v>
      </c>
      <c r="C120" s="120"/>
      <c r="D120" s="64" t="str">
        <f>IFERROR(IF(A120=0,HLOOKUP(C120,Declarations!$D$2:$S$102,A114,FALSE),HLOOKUP(VLOOKUP(C120,Teams!$V$2:$W$19,2,FALSE),Declarations!$D$2:$S$102,A114,FALSE)),"")</f>
        <v/>
      </c>
      <c r="E120" s="64" t="str">
        <f t="shared" si="20"/>
        <v/>
      </c>
      <c r="F120" s="393"/>
      <c r="G120" s="198" t="str">
        <f>IFERROR(IF(OR(F120=0,F120="",F120&gt;$A119-0.01),"",VLOOKUP(VLOOKUP(F120,A115:B119,2,TRUE),Points!$H$7:$I$10,2,FALSE)),"")</f>
        <v/>
      </c>
      <c r="H120" s="67"/>
      <c r="I120" s="117">
        <v>7</v>
      </c>
      <c r="J120" s="392"/>
      <c r="K120" s="64" t="str">
        <f>IFERROR(IF(A120=0,HLOOKUP(J120,Declarations!$D$2:$S$102,A114,FALSE),HLOOKUP(VLOOKUP(J120,Teams!$V$2:$W$19,2,FALSE),Declarations!$D$2:$S$102,A114,FALSE)),"")</f>
        <v/>
      </c>
      <c r="L120" s="64" t="str">
        <f t="shared" si="21"/>
        <v/>
      </c>
      <c r="M120" s="313"/>
      <c r="N120" s="198" t="str">
        <f>IFERROR(IF(OR(M120=0,M120="",M120&gt;$A119-0.01),"",VLOOKUP(VLOOKUP(M120,A115:B119,2,TRUE),Points!$H$7:$I$10,2,FALSE)),"")</f>
        <v/>
      </c>
      <c r="P120" s="66">
        <f ca="1">IFERROR(IF(OR(C120=0,C120="",F120=0,F120="",$P113&lt;&gt;0,LEFT(F120,1)="D"),0,VLOOKUP(B120,INDIRECT(MatchDay!$W$2),2,FALSE)),"")</f>
        <v>0</v>
      </c>
      <c r="Q120" s="66">
        <f ca="1">IFERROR(IF(OR(J120=0,J120="",M120=0,M120="",$P113&lt;&gt;0,LEFT(M120,1)="D"),0,VLOOKUP(I120,INDIRECT(MatchDay!$W$2),3,FALSE)),"")</f>
        <v>0</v>
      </c>
    </row>
    <row r="121" spans="1:20" x14ac:dyDescent="0.35">
      <c r="A121" s="116">
        <f>IFERROR(VLOOKUP(A112,records,5,FALSE),"")</f>
        <v>12.1</v>
      </c>
      <c r="B121" s="117">
        <v>8</v>
      </c>
      <c r="C121" s="120"/>
      <c r="D121" s="64" t="str">
        <f>IFERROR(IF(A120=0,HLOOKUP(C121,Declarations!$D$2:$S$102,A114,FALSE),HLOOKUP(VLOOKUP(C121,Teams!$V$2:$W$19,2,FALSE),Declarations!$D$2:$S$102,A114,FALSE)),"")</f>
        <v/>
      </c>
      <c r="E121" s="64" t="str">
        <f t="shared" si="20"/>
        <v/>
      </c>
      <c r="F121" s="393"/>
      <c r="G121" s="198" t="str">
        <f>IFERROR(IF(OR(F121=0,F121="",F121&gt;$A119-0.01),"",VLOOKUP(VLOOKUP(F121,A115:B119,2,TRUE),Points!$H$7:$I$10,2,FALSE)),"")</f>
        <v/>
      </c>
      <c r="H121" s="67"/>
      <c r="I121" s="117">
        <v>8</v>
      </c>
      <c r="J121" s="392"/>
      <c r="K121" s="64" t="str">
        <f>IFERROR(IF(A120=0,HLOOKUP(J121,Declarations!$D$2:$S$102,A114,FALSE),HLOOKUP(VLOOKUP(J121,Teams!$V$2:$W$19,2,FALSE),Declarations!$D$2:$S$102,A114,FALSE)),"")</f>
        <v/>
      </c>
      <c r="L121" s="64" t="str">
        <f t="shared" si="21"/>
        <v/>
      </c>
      <c r="M121" s="313"/>
      <c r="N121" s="198" t="str">
        <f>IFERROR(IF(OR(M121=0,M121="",M121&gt;$A119-0.01),"",VLOOKUP(VLOOKUP(M121,A115:B119,2,TRUE),Points!$H$7:$I$10,2,FALSE)),"")</f>
        <v/>
      </c>
      <c r="P121" s="66">
        <f ca="1">IFERROR(IF(OR(C121=0,C121="",F121=0,F121="",$P113&lt;&gt;0,LEFT(F121,1)="D"),0,VLOOKUP(B121,INDIRECT(MatchDay!$W$2),2,FALSE)),"")</f>
        <v>0</v>
      </c>
      <c r="Q121" s="66">
        <f ca="1">IFERROR(IF(OR(J121=0,J121="",M121=0,M121="",$P113&lt;&gt;0,LEFT(M121,1)="D"),0,VLOOKUP(I121,INDIRECT(MatchDay!$W$2),3,FALSE)),"")</f>
        <v>0</v>
      </c>
    </row>
    <row r="123" spans="1:20" x14ac:dyDescent="0.35">
      <c r="A123" s="111" t="s">
        <v>44</v>
      </c>
      <c r="B123" s="112" t="str">
        <f>IFERROR(VLOOKUP(A123,timetables,2,FALSE)&amp;" "&amp;VLOOKUP(A123,timetables,3,FALSE)&amp;" A","")</f>
        <v>100m U15 Boys A</v>
      </c>
      <c r="C123" s="112"/>
      <c r="E123" s="130" t="str">
        <f>IFERROR(IF(VLOOKUP($A123,timetables,8,FALSE)="W","Wind = ",""),"")</f>
        <v xml:space="preserve">Wind = </v>
      </c>
      <c r="F123" s="414"/>
      <c r="G123" s="119" t="str">
        <f>IFERROR(IF(OR(F125=0,F125=""),"",IF(F125&lt;A132,"REC",IF(F125=A132,"=Rec",""))),"")</f>
        <v/>
      </c>
      <c r="I123" s="114" t="str">
        <f>IFERROR(VLOOKUP(A123,timetables,2,FALSE)&amp;" "&amp;VLOOKUP(A123,timetables,3,FALSE)&amp;" B","")</f>
        <v>100m U15 Boys B</v>
      </c>
      <c r="J123" s="115"/>
      <c r="L123" s="130" t="str">
        <f>IFERROR(IF(VLOOKUP($A123,timetables,8,FALSE)="W","Wind = ",""),"")</f>
        <v xml:space="preserve">Wind = </v>
      </c>
      <c r="M123" s="414"/>
      <c r="P123" s="66" t="s">
        <v>53</v>
      </c>
      <c r="Q123" s="66" t="s">
        <v>54</v>
      </c>
    </row>
    <row r="124" spans="1:20" x14ac:dyDescent="0.35">
      <c r="A124" s="82"/>
      <c r="B124" s="45" t="s">
        <v>230</v>
      </c>
      <c r="C124" s="45" t="s">
        <v>183</v>
      </c>
      <c r="D124" s="47" t="s">
        <v>227</v>
      </c>
      <c r="E124" s="47" t="s">
        <v>228</v>
      </c>
      <c r="F124" s="149" t="s">
        <v>229</v>
      </c>
      <c r="G124" s="199" t="s">
        <v>55</v>
      </c>
      <c r="H124" s="47"/>
      <c r="I124" s="45" t="s">
        <v>230</v>
      </c>
      <c r="J124" s="45" t="s">
        <v>183</v>
      </c>
      <c r="K124" s="47" t="s">
        <v>227</v>
      </c>
      <c r="L124" s="47" t="s">
        <v>228</v>
      </c>
      <c r="M124" s="149" t="s">
        <v>229</v>
      </c>
      <c r="N124" s="199" t="s">
        <v>55</v>
      </c>
      <c r="P124" s="66">
        <f>IFERROR(SEARCH("NS",B123),0)</f>
        <v>0</v>
      </c>
      <c r="T124" s="67"/>
    </row>
    <row r="125" spans="1:20" x14ac:dyDescent="0.35">
      <c r="A125" s="181">
        <f>IFERROR(VLOOKUP(A123,Timetables!$A:$E,5,FALSE)-1,"")</f>
        <v>53</v>
      </c>
      <c r="B125" s="117">
        <v>1</v>
      </c>
      <c r="C125" s="120">
        <v>44</v>
      </c>
      <c r="D125" s="64" t="str">
        <f ca="1">IFERROR(IF(A131=0,HLOOKUP(C125,Declarations!$D$2:$S$102,A125,FALSE),HLOOKUP(VLOOKUP(C125,Teams!$V$2:$W$19,2,FALSE),Declarations!$D$2:$S$102,A125,FALSE)),"")</f>
        <v>OKEY Chieme</v>
      </c>
      <c r="E125" s="64" t="str">
        <f t="shared" ref="E125:E132" si="22">IFERROR(VLOOKUP(C125,teamlookup,5,FALSE),"")</f>
        <v>M'bro</v>
      </c>
      <c r="F125" s="393">
        <v>12.3</v>
      </c>
      <c r="G125" s="198">
        <f>IFERROR(IF(OR(F125=0,F125="",F125&gt;$A130-0.01),"",VLOOKUP(VLOOKUP(F125,A126:B130,2,TRUE),Points!$H$7:$I$10,2,FALSE)),"")</f>
        <v>4</v>
      </c>
      <c r="H125" s="67"/>
      <c r="I125" s="117">
        <v>1</v>
      </c>
      <c r="J125" s="392">
        <v>4</v>
      </c>
      <c r="K125" s="64" t="str">
        <f ca="1">IFERROR(IF(A131=0,HLOOKUP(J125,Declarations!$D$2:$S$102,A125,FALSE),HLOOKUP(VLOOKUP(J125,Teams!$V$2:$W$19,2,FALSE),Declarations!$D$2:$S$102,A125,FALSE)),"")</f>
        <v>MAYNARD Tom</v>
      </c>
      <c r="L125" s="64" t="str">
        <f t="shared" ref="L125:L132" si="23">IFERROR(VLOOKUP(J125,teamlookup,5,FALSE),"")</f>
        <v>M'bro</v>
      </c>
      <c r="M125" s="313">
        <v>12.6</v>
      </c>
      <c r="N125" s="198" t="str">
        <f>IFERROR(IF(OR(M125=0,M125="",M125&gt;$A130-0.01),"",VLOOKUP(VLOOKUP(M125,A126:B130,2,TRUE),Points!$H$7:$I$10,2,FALSE)),"")</f>
        <v/>
      </c>
      <c r="P125" s="66">
        <f ca="1">IFERROR(IF(OR(C125=0,C125="",F125=0,F125="",$P124&lt;&gt;0,LEFT(F125,1)="D"),0,VLOOKUP(B125,INDIRECT(MatchDay!$W$2),2,FALSE)),"")</f>
        <v>8</v>
      </c>
      <c r="Q125" s="66">
        <f ca="1">IFERROR(IF(OR(J125=0,J125="",M125=0,M125="",$P124&lt;&gt;0,LEFT(M125,1)="D"),0,VLOOKUP(I125,INDIRECT(MatchDay!$W$2),3,FALSE)),"")</f>
        <v>6</v>
      </c>
      <c r="R125" s="219">
        <f>COUNTIF(C125,"&gt;0")</f>
        <v>1</v>
      </c>
      <c r="S125" s="66">
        <f>IFERROR(IF(C125&gt;88,1,0),0)</f>
        <v>0</v>
      </c>
    </row>
    <row r="126" spans="1:20" x14ac:dyDescent="0.35">
      <c r="A126" s="64">
        <v>0</v>
      </c>
      <c r="B126" s="117">
        <v>2</v>
      </c>
      <c r="C126" s="120">
        <v>1</v>
      </c>
      <c r="D126" s="64" t="str">
        <f ca="1">IFERROR(IF(A131=0,HLOOKUP(C126,Declarations!$D$2:$S$102,A125,FALSE),HLOOKUP(VLOOKUP(C126,Teams!$V$2:$W$19,2,FALSE),Declarations!$D$2:$S$102,A125,FALSE)),"")</f>
        <v>FOGDEN Ben</v>
      </c>
      <c r="E126" s="64" t="str">
        <f t="shared" si="22"/>
        <v>C'field</v>
      </c>
      <c r="F126" s="393">
        <v>12.4</v>
      </c>
      <c r="G126" s="198">
        <f>IFERROR(IF(OR(F126=0,F126="",F126&gt;$A130-0.01),"",VLOOKUP(VLOOKUP(F126,A126:B130,2,TRUE),Points!$H$7:$I$10,2,FALSE)),"")</f>
        <v>4</v>
      </c>
      <c r="H126" s="67"/>
      <c r="I126" s="117">
        <v>2</v>
      </c>
      <c r="J126" s="392">
        <v>33</v>
      </c>
      <c r="K126" s="64" t="str">
        <f ca="1">IFERROR(IF(A131=0,HLOOKUP(J126,Declarations!$D$2:$S$102,A125,FALSE),HLOOKUP(VLOOKUP(J126,Teams!$V$2:$W$19,2,FALSE),Declarations!$D$2:$S$102,A125,FALSE)),"")</f>
        <v>PYE George</v>
      </c>
      <c r="L126" s="64" t="str">
        <f t="shared" si="23"/>
        <v>York</v>
      </c>
      <c r="M126" s="313">
        <v>12.8</v>
      </c>
      <c r="N126" s="198" t="str">
        <f>IFERROR(IF(OR(M126=0,M126="",M126&gt;$A130-0.01),"",VLOOKUP(VLOOKUP(M126,A126:B130,2,TRUE),Points!$H$7:$I$10,2,FALSE)),"")</f>
        <v/>
      </c>
      <c r="P126" s="66">
        <f ca="1">IFERROR(IF(OR(C126=0,C126="",F126=0,F126="",$P124&lt;&gt;0,LEFT(F126,1)="D"),0,VLOOKUP(B126,INDIRECT(MatchDay!$W$2),2,FALSE)),"")</f>
        <v>6</v>
      </c>
      <c r="Q126" s="66">
        <f ca="1">IFERROR(IF(OR(J126=0,J126="",M126=0,M126="",$P124&lt;&gt;0,LEFT(M126,1)="D"),0,VLOOKUP(I126,INDIRECT(MatchDay!$W$2),3,FALSE)),"")</f>
        <v>4</v>
      </c>
    </row>
    <row r="127" spans="1:20" x14ac:dyDescent="0.35">
      <c r="A127" s="118">
        <f>IFERROR(VLOOKUP(A123,standards,3,FALSE)+0.01,"-")</f>
        <v>11.709999999999999</v>
      </c>
      <c r="B127" s="117">
        <v>3</v>
      </c>
      <c r="C127" s="120">
        <v>3</v>
      </c>
      <c r="D127" s="64" t="str">
        <f ca="1">IFERROR(IF(A131=0,HLOOKUP(C127,Declarations!$D$2:$S$102,A125,FALSE),HLOOKUP(VLOOKUP(C127,Teams!$V$2:$W$19,2,FALSE),Declarations!$D$2:$S$102,A125,FALSE)),"")</f>
        <v>MEIGH William</v>
      </c>
      <c r="E127" s="64" t="str">
        <f t="shared" si="22"/>
        <v>York</v>
      </c>
      <c r="F127" s="393">
        <v>12.6</v>
      </c>
      <c r="G127" s="198" t="str">
        <f>IFERROR(IF(OR(F127=0,F127="",F127&gt;$A130-0.01),"",VLOOKUP(VLOOKUP(F127,A126:B130,2,TRUE),Points!$H$7:$I$10,2,FALSE)),"")</f>
        <v/>
      </c>
      <c r="H127" s="67"/>
      <c r="I127" s="117">
        <v>3</v>
      </c>
      <c r="J127" s="392"/>
      <c r="K127" s="64" t="str">
        <f>IFERROR(IF(A131=0,HLOOKUP(J127,Declarations!$D$2:$S$102,A125,FALSE),HLOOKUP(VLOOKUP(J127,Teams!$V$2:$W$19,2,FALSE),Declarations!$D$2:$S$102,A125,FALSE)),"")</f>
        <v/>
      </c>
      <c r="L127" s="64" t="str">
        <f t="shared" si="23"/>
        <v/>
      </c>
      <c r="M127" s="313"/>
      <c r="N127" s="198" t="str">
        <f>IFERROR(IF(OR(M127=0,M127="",M127&gt;$A130-0.01),"",VLOOKUP(VLOOKUP(M127,A126:B130,2,TRUE),Points!$H$7:$I$10,2,FALSE)),"")</f>
        <v/>
      </c>
      <c r="P127" s="66">
        <f ca="1">IFERROR(IF(OR(C127=0,C127="",F127=0,F127="",$P124&lt;&gt;0,LEFT(F127,1)="D"),0,VLOOKUP(B127,INDIRECT(MatchDay!$W$2),2,FALSE)),"")</f>
        <v>5</v>
      </c>
      <c r="Q127" s="66">
        <f ca="1">IFERROR(IF(OR(J127=0,J127="",M127=0,M127="",$P124&lt;&gt;0,LEFT(M127,1)="D"),0,VLOOKUP(I127,INDIRECT(MatchDay!$W$2),3,FALSE)),"")</f>
        <v>0</v>
      </c>
    </row>
    <row r="128" spans="1:20" x14ac:dyDescent="0.35">
      <c r="A128" s="118">
        <f>IFERROR(VLOOKUP(A123,standards,4,FALSE)+0.01,"-")</f>
        <v>11.91</v>
      </c>
      <c r="B128" s="117">
        <v>4</v>
      </c>
      <c r="C128" s="120">
        <v>2</v>
      </c>
      <c r="D128" s="64" t="str">
        <f ca="1">IFERROR(IF(A131=0,HLOOKUP(C128,Declarations!$D$2:$S$102,A125,FALSE),HLOOKUP(VLOOKUP(C128,Teams!$V$2:$W$19,2,FALSE),Declarations!$D$2:$S$102,A125,FALSE)),"")</f>
        <v>WAINWRIGHT James</v>
      </c>
      <c r="E128" s="64" t="str">
        <f t="shared" si="22"/>
        <v>Sheff+D</v>
      </c>
      <c r="F128" s="393">
        <v>13.7</v>
      </c>
      <c r="G128" s="198" t="str">
        <f>IFERROR(IF(OR(F128=0,F128="",F128&gt;$A130-0.01),"",VLOOKUP(VLOOKUP(F128,A126:B130,2,TRUE),Points!$H$7:$I$10,2,FALSE)),"")</f>
        <v/>
      </c>
      <c r="H128" s="67"/>
      <c r="I128" s="117">
        <v>4</v>
      </c>
      <c r="J128" s="392"/>
      <c r="K128" s="64" t="str">
        <f>IFERROR(IF(A131=0,HLOOKUP(J128,Declarations!$D$2:$S$102,A125,FALSE),HLOOKUP(VLOOKUP(J128,Teams!$V$2:$W$19,2,FALSE),Declarations!$D$2:$S$102,A125,FALSE)),"")</f>
        <v/>
      </c>
      <c r="L128" s="64" t="str">
        <f t="shared" si="23"/>
        <v/>
      </c>
      <c r="M128" s="313"/>
      <c r="N128" s="198" t="str">
        <f>IFERROR(IF(OR(M128=0,M128="",M128&gt;$A130-0.01),"",VLOOKUP(VLOOKUP(M128,A126:B130,2,TRUE),Points!$H$7:$I$10,2,FALSE)),"")</f>
        <v/>
      </c>
      <c r="P128" s="66">
        <f ca="1">IFERROR(IF(OR(C128=0,C128="",F128=0,F128="",$P124&lt;&gt;0,LEFT(F128,1)="D"),0,VLOOKUP(B128,INDIRECT(MatchDay!$W$2),2,FALSE)),"")</f>
        <v>4</v>
      </c>
      <c r="Q128" s="66">
        <f ca="1">IFERROR(IF(OR(J128=0,J128="",M128=0,M128="",$P124&lt;&gt;0,LEFT(M128,1)="D"),0,VLOOKUP(I128,INDIRECT(MatchDay!$W$2),3,FALSE)),"")</f>
        <v>0</v>
      </c>
    </row>
    <row r="129" spans="1:20" x14ac:dyDescent="0.35">
      <c r="A129" s="118">
        <f>IFERROR(VLOOKUP(A123,standards,5,FALSE)+0.01,"-")</f>
        <v>12.11</v>
      </c>
      <c r="B129" s="117">
        <v>5</v>
      </c>
      <c r="C129" s="120"/>
      <c r="D129" s="64" t="str">
        <f>IFERROR(IF(A131=0,HLOOKUP(C129,Declarations!$D$2:$S$102,A125,FALSE),HLOOKUP(VLOOKUP(C129,Teams!$V$2:$W$19,2,FALSE),Declarations!$D$2:$S$102,A125,FALSE)),"")</f>
        <v/>
      </c>
      <c r="E129" s="64" t="str">
        <f t="shared" si="22"/>
        <v/>
      </c>
      <c r="F129" s="393"/>
      <c r="G129" s="198" t="str">
        <f>IFERROR(IF(OR(F129=0,F129="",F129&gt;$A130-0.01),"",VLOOKUP(VLOOKUP(F129,A126:B130,2,TRUE),Points!$H$7:$I$10,2,FALSE)),"")</f>
        <v/>
      </c>
      <c r="H129" s="67"/>
      <c r="I129" s="117">
        <v>5</v>
      </c>
      <c r="J129" s="392"/>
      <c r="K129" s="64" t="str">
        <f>IFERROR(IF(A131=0,HLOOKUP(J129,Declarations!$D$2:$S$102,A125,FALSE),HLOOKUP(VLOOKUP(J129,Teams!$V$2:$W$19,2,FALSE),Declarations!$D$2:$S$102,A125,FALSE)),"")</f>
        <v/>
      </c>
      <c r="L129" s="64" t="str">
        <f t="shared" si="23"/>
        <v/>
      </c>
      <c r="M129" s="313"/>
      <c r="N129" s="198" t="str">
        <f>IFERROR(IF(OR(M129=0,M129="",M129&gt;$A130-0.01),"",VLOOKUP(VLOOKUP(M129,A126:B130,2,TRUE),Points!$H$7:$I$10,2,FALSE)),"")</f>
        <v/>
      </c>
      <c r="P129" s="66">
        <f ca="1">IFERROR(IF(OR(C129=0,C129="",F129=0,F129="",$P124&lt;&gt;0,LEFT(F129,1)="D"),0,VLOOKUP(B129,INDIRECT(MatchDay!$W$2),2,FALSE)),"")</f>
        <v>0</v>
      </c>
      <c r="Q129" s="66">
        <f ca="1">IFERROR(IF(OR(J129=0,J129="",M129=0,M129="",$P124&lt;&gt;0,LEFT(M129,1)="D"),0,VLOOKUP(I129,INDIRECT(MatchDay!$W$2),3,FALSE)),"")</f>
        <v>0</v>
      </c>
    </row>
    <row r="130" spans="1:20" x14ac:dyDescent="0.35">
      <c r="A130" s="118">
        <f>IFERROR(VLOOKUP(A123,standards,6,FALSE)+0.01,"-")</f>
        <v>12.51</v>
      </c>
      <c r="B130" s="117">
        <v>6</v>
      </c>
      <c r="C130" s="120"/>
      <c r="D130" s="64" t="str">
        <f>IFERROR(IF(A131=0,HLOOKUP(C130,Declarations!$D$2:$S$102,A125,FALSE),HLOOKUP(VLOOKUP(C130,Teams!$V$2:$W$19,2,FALSE),Declarations!$D$2:$S$102,A125,FALSE)),"")</f>
        <v/>
      </c>
      <c r="E130" s="64" t="str">
        <f t="shared" si="22"/>
        <v/>
      </c>
      <c r="F130" s="393"/>
      <c r="G130" s="198" t="str">
        <f>IFERROR(IF(OR(F130=0,F130="",F130&gt;$A130-0.01),"",VLOOKUP(VLOOKUP(F130,A126:B130,2,TRUE),Points!$H$7:$I$10,2,FALSE)),"")</f>
        <v/>
      </c>
      <c r="H130" s="67"/>
      <c r="I130" s="117">
        <v>6</v>
      </c>
      <c r="J130" s="392"/>
      <c r="K130" s="64" t="str">
        <f>IFERROR(IF(A131=0,HLOOKUP(J130,Declarations!$D$2:$S$102,A125,FALSE),HLOOKUP(VLOOKUP(J130,Teams!$V$2:$W$19,2,FALSE),Declarations!$D$2:$S$102,A125,FALSE)),"")</f>
        <v/>
      </c>
      <c r="L130" s="64" t="str">
        <f t="shared" si="23"/>
        <v/>
      </c>
      <c r="M130" s="313"/>
      <c r="N130" s="198" t="str">
        <f>IFERROR(IF(OR(M130=0,M130="",M130&gt;$A130-0.01),"",VLOOKUP(VLOOKUP(M130,A126:B130,2,TRUE),Points!$H$7:$I$10,2,FALSE)),"")</f>
        <v/>
      </c>
      <c r="P130" s="66">
        <f ca="1">IFERROR(IF(OR(C130=0,C130="",F130=0,F130="",$P124&lt;&gt;0,LEFT(F130,1)="D"),0,VLOOKUP(B130,INDIRECT(MatchDay!$W$2),2,FALSE)),"")</f>
        <v>0</v>
      </c>
      <c r="Q130" s="66">
        <f ca="1">IFERROR(IF(OR(J130=0,J130="",M130=0,M130="",$P124&lt;&gt;0,LEFT(M130,1)="D"),0,VLOOKUP(I130,INDIRECT(MatchDay!$W$2),3,FALSE)),"")</f>
        <v>0</v>
      </c>
    </row>
    <row r="131" spans="1:20" x14ac:dyDescent="0.35">
      <c r="A131" s="136">
        <f>IFERROR(SEARCH("U17",B123),0)</f>
        <v>0</v>
      </c>
      <c r="B131" s="117">
        <v>7</v>
      </c>
      <c r="C131" s="120"/>
      <c r="D131" s="64" t="str">
        <f>IFERROR(IF(A131=0,HLOOKUP(C131,Declarations!$D$2:$S$102,A125,FALSE),HLOOKUP(VLOOKUP(C131,Teams!$V$2:$W$19,2,FALSE),Declarations!$D$2:$S$102,A125,FALSE)),"")</f>
        <v/>
      </c>
      <c r="E131" s="64" t="str">
        <f t="shared" si="22"/>
        <v/>
      </c>
      <c r="F131" s="393"/>
      <c r="G131" s="198" t="str">
        <f>IFERROR(IF(OR(F131=0,F131="",F131&gt;$A130-0.01),"",VLOOKUP(VLOOKUP(F131,A126:B130,2,TRUE),Points!$H$7:$I$10,2,FALSE)),"")</f>
        <v/>
      </c>
      <c r="H131" s="67"/>
      <c r="I131" s="117">
        <v>7</v>
      </c>
      <c r="J131" s="392"/>
      <c r="K131" s="64" t="str">
        <f>IFERROR(IF(A131=0,HLOOKUP(J131,Declarations!$D$2:$S$102,A125,FALSE),HLOOKUP(VLOOKUP(J131,Teams!$V$2:$W$19,2,FALSE),Declarations!$D$2:$S$102,A125,FALSE)),"")</f>
        <v/>
      </c>
      <c r="L131" s="64" t="str">
        <f t="shared" si="23"/>
        <v/>
      </c>
      <c r="M131" s="313"/>
      <c r="N131" s="198" t="str">
        <f>IFERROR(IF(OR(M131=0,M131="",M131&gt;$A130-0.01),"",VLOOKUP(VLOOKUP(M131,A126:B130,2,TRUE),Points!$H$7:$I$10,2,FALSE)),"")</f>
        <v/>
      </c>
      <c r="P131" s="66">
        <f ca="1">IFERROR(IF(OR(C131=0,C131="",F131=0,F131="",$P124&lt;&gt;0,LEFT(F131,1)="D"),0,VLOOKUP(B131,INDIRECT(MatchDay!$W$2),2,FALSE)),"")</f>
        <v>0</v>
      </c>
      <c r="Q131" s="66">
        <f ca="1">IFERROR(IF(OR(J131=0,J131="",M131=0,M131="",$P124&lt;&gt;0,LEFT(M131,1)="D"),0,VLOOKUP(I131,INDIRECT(MatchDay!$W$2),3,FALSE)),"")</f>
        <v>0</v>
      </c>
    </row>
    <row r="132" spans="1:20" x14ac:dyDescent="0.35">
      <c r="A132" s="116">
        <f>IFERROR(VLOOKUP(A123,records,5,FALSE),"")</f>
        <v>11</v>
      </c>
      <c r="B132" s="117">
        <v>8</v>
      </c>
      <c r="C132" s="120"/>
      <c r="D132" s="64" t="str">
        <f>IFERROR(IF(A131=0,HLOOKUP(C132,Declarations!$D$2:$S$102,A125,FALSE),HLOOKUP(VLOOKUP(C132,Teams!$V$2:$W$19,2,FALSE),Declarations!$D$2:$S$102,A125,FALSE)),"")</f>
        <v/>
      </c>
      <c r="E132" s="64" t="str">
        <f t="shared" si="22"/>
        <v/>
      </c>
      <c r="F132" s="393"/>
      <c r="G132" s="198" t="str">
        <f>IFERROR(IF(OR(F132=0,F132="",F132&gt;$A130-0.01),"",VLOOKUP(VLOOKUP(F132,A126:B130,2,TRUE),Points!$H$7:$I$10,2,FALSE)),"")</f>
        <v/>
      </c>
      <c r="H132" s="67"/>
      <c r="I132" s="117">
        <v>8</v>
      </c>
      <c r="J132" s="392"/>
      <c r="K132" s="64" t="str">
        <f>IFERROR(IF(A131=0,HLOOKUP(J132,Declarations!$D$2:$S$102,A125,FALSE),HLOOKUP(VLOOKUP(J132,Teams!$V$2:$W$19,2,FALSE),Declarations!$D$2:$S$102,A125,FALSE)),"")</f>
        <v/>
      </c>
      <c r="L132" s="64" t="str">
        <f t="shared" si="23"/>
        <v/>
      </c>
      <c r="M132" s="313"/>
      <c r="N132" s="198" t="str">
        <f>IFERROR(IF(OR(M132=0,M132="",M132&gt;$A130-0.01),"",VLOOKUP(VLOOKUP(M132,A126:B130,2,TRUE),Points!$H$7:$I$10,2,FALSE)),"")</f>
        <v/>
      </c>
      <c r="P132" s="66">
        <f ca="1">IFERROR(IF(OR(C132=0,C132="",F132=0,F132="",$P124&lt;&gt;0,LEFT(F132,1)="D"),0,VLOOKUP(B132,INDIRECT(MatchDay!$W$2),2,FALSE)),"")</f>
        <v>0</v>
      </c>
      <c r="Q132" s="66">
        <f ca="1">IFERROR(IF(OR(J132=0,J132="",M132=0,M132="",$P124&lt;&gt;0,LEFT(M132,1)="D"),0,VLOOKUP(I132,INDIRECT(MatchDay!$W$2),3,FALSE)),"")</f>
        <v>0</v>
      </c>
    </row>
    <row r="134" spans="1:20" x14ac:dyDescent="0.35">
      <c r="A134" s="111" t="s">
        <v>41</v>
      </c>
      <c r="B134" s="112" t="str">
        <f>IFERROR(VLOOKUP(A134,timetables,2,FALSE)&amp;" "&amp;VLOOKUP(A134,timetables,3,FALSE)&amp;" A","")</f>
        <v>75m NS U13 Girls A</v>
      </c>
      <c r="C134" s="112"/>
      <c r="E134" s="130" t="str">
        <f>IFERROR(IF(VLOOKUP($A134,timetables,8,FALSE)="W","Wind = ",""),"")</f>
        <v xml:space="preserve">Wind = </v>
      </c>
      <c r="F134" s="394"/>
      <c r="G134" s="119" t="str">
        <f>IFERROR(IF(OR(F136=0,F136=""),"",IF(F136&lt;A143,"REC",IF(F136=A143,"=Rec",""))),"")</f>
        <v/>
      </c>
      <c r="I134" s="114" t="str">
        <f>IFERROR(VLOOKUP(A134,timetables,2,FALSE)&amp;" "&amp;VLOOKUP(A134,timetables,3,FALSE)&amp;" B","")</f>
        <v>75m NS U13 Girls B</v>
      </c>
      <c r="J134" s="115"/>
      <c r="L134" s="130" t="str">
        <f>IFERROR(IF(VLOOKUP($A134,timetables,8,FALSE)="W","Wind = ",""),"")</f>
        <v xml:space="preserve">Wind = </v>
      </c>
      <c r="M134" s="394"/>
      <c r="P134" s="66" t="s">
        <v>53</v>
      </c>
      <c r="Q134" s="66" t="s">
        <v>54</v>
      </c>
    </row>
    <row r="135" spans="1:20" x14ac:dyDescent="0.35">
      <c r="A135" s="82"/>
      <c r="B135" s="45" t="s">
        <v>230</v>
      </c>
      <c r="C135" s="45" t="s">
        <v>183</v>
      </c>
      <c r="D135" s="47" t="s">
        <v>227</v>
      </c>
      <c r="E135" s="47" t="s">
        <v>228</v>
      </c>
      <c r="F135" s="149" t="s">
        <v>229</v>
      </c>
      <c r="G135" s="199" t="s">
        <v>55</v>
      </c>
      <c r="H135" s="47"/>
      <c r="I135" s="45" t="s">
        <v>230</v>
      </c>
      <c r="J135" s="45" t="s">
        <v>183</v>
      </c>
      <c r="K135" s="47" t="s">
        <v>227</v>
      </c>
      <c r="L135" s="47" t="s">
        <v>228</v>
      </c>
      <c r="M135" s="149" t="s">
        <v>229</v>
      </c>
      <c r="N135" s="199" t="s">
        <v>55</v>
      </c>
      <c r="P135" s="66">
        <f>IFERROR(SEARCH("NS",B134),0)</f>
        <v>5</v>
      </c>
      <c r="T135" s="67"/>
    </row>
    <row r="136" spans="1:20" x14ac:dyDescent="0.35">
      <c r="A136" s="181">
        <f>IFERROR(VLOOKUP(A134,Timetables!$A:$E,5,FALSE)-1,"")</f>
        <v>29</v>
      </c>
      <c r="B136" s="117">
        <v>1</v>
      </c>
      <c r="C136" s="120"/>
      <c r="D136" s="64" t="str">
        <f>IFERROR(IF(A142=0,HLOOKUP(C136,Declarations!$D$2:$S$102,A136,FALSE),HLOOKUP(VLOOKUP(C136,Teams!$V$2:$W$19,2,FALSE),Declarations!$D$2:$S$102,A136,FALSE)),"")</f>
        <v/>
      </c>
      <c r="E136" s="64" t="str">
        <f t="shared" ref="E136:E143" si="24">IFERROR(VLOOKUP(C136,teamlookup,5,FALSE),"")</f>
        <v/>
      </c>
      <c r="F136" s="393"/>
      <c r="G136" s="198" t="str">
        <f>IFERROR(IF(OR(F136=0,F136="",F136&gt;$A$9-0.01),"",VLOOKUP(VLOOKUP(F136,A137:B141,2,TRUE),Points!$H$7:$I$10,2,FALSE)),"")</f>
        <v/>
      </c>
      <c r="H136" s="67"/>
      <c r="I136" s="117">
        <v>1</v>
      </c>
      <c r="J136" s="392"/>
      <c r="K136" s="64" t="str">
        <f>IFERROR(IF(A142=0,HLOOKUP(J136,Declarations!$D$2:$S$102,A136,FALSE),HLOOKUP(VLOOKUP(J136,Teams!$V$2:$W$19,2,FALSE),Declarations!$D$2:$S$102,A136,FALSE)),"")</f>
        <v/>
      </c>
      <c r="L136" s="64" t="str">
        <f t="shared" ref="L136:L143" si="25">IFERROR(VLOOKUP(J136,teamlookup,5,FALSE),"")</f>
        <v/>
      </c>
      <c r="M136" s="393"/>
      <c r="N136" s="198" t="str">
        <f>IFERROR(IF(OR(M136=0,M136="",M136&gt;$A$9-0.01),"",VLOOKUP(VLOOKUP(M136,A137:B141,2,TRUE),Points!$H$7:$I$10,2,FALSE)),"")</f>
        <v/>
      </c>
      <c r="P136" s="66">
        <f ca="1">IFERROR(IF(OR(C136=0,C136="",F136=0,F136="",$P135&lt;&gt;0,LEFT(F136,1)="D"),0,VLOOKUP(B136,INDIRECT(MatchDay!$W$2),2,FALSE)),"")</f>
        <v>0</v>
      </c>
      <c r="Q136" s="66">
        <f ca="1">IFERROR(IF(OR(J136=0,J136="",M136=0,M136="",$P135&lt;&gt;0,LEFT(M136,1)="D"),0,VLOOKUP(I136,INDIRECT(MatchDay!$W$2),3,FALSE)),"")</f>
        <v>0</v>
      </c>
      <c r="R136" s="219">
        <f>COUNTIF(C136,"&gt;0")</f>
        <v>0</v>
      </c>
      <c r="S136" s="66">
        <f>IFERROR(IF(C136&gt;88,1,0),0)</f>
        <v>0</v>
      </c>
    </row>
    <row r="137" spans="1:20" x14ac:dyDescent="0.35">
      <c r="A137" s="64">
        <v>0</v>
      </c>
      <c r="B137" s="117">
        <v>2</v>
      </c>
      <c r="C137" s="120"/>
      <c r="D137" s="64" t="str">
        <f>IFERROR(IF(A142=0,HLOOKUP(C137,Declarations!$D$2:$S$102,A136,FALSE),HLOOKUP(VLOOKUP(C137,Teams!$V$2:$W$19,2,FALSE),Declarations!$D$2:$S$102,A136,FALSE)),"")</f>
        <v/>
      </c>
      <c r="E137" s="64" t="str">
        <f t="shared" si="24"/>
        <v/>
      </c>
      <c r="F137" s="393"/>
      <c r="G137" s="198" t="str">
        <f>IFERROR(IF(OR(F137=0,F137="",F137&gt;$A$9-0.01),"",VLOOKUP(VLOOKUP(F137,A137:B141,2,TRUE),Points!$H$7:$I$10,2,FALSE)),"")</f>
        <v/>
      </c>
      <c r="H137" s="67"/>
      <c r="I137" s="117">
        <v>2</v>
      </c>
      <c r="J137" s="392"/>
      <c r="K137" s="64" t="str">
        <f>IFERROR(IF(A142=0,HLOOKUP(J137,Declarations!$D$2:$S$102,A136,FALSE),HLOOKUP(VLOOKUP(J137,Teams!$V$2:$W$19,2,FALSE),Declarations!$D$2:$S$102,A136,FALSE)),"")</f>
        <v/>
      </c>
      <c r="L137" s="64" t="str">
        <f t="shared" si="25"/>
        <v/>
      </c>
      <c r="M137" s="393"/>
      <c r="N137" s="198" t="str">
        <f>IFERROR(IF(OR(M137=0,M137="",M137&gt;$A$9-0.01),"",VLOOKUP(VLOOKUP(M137,A137:B141,2,TRUE),Points!$H$7:$I$10,2,FALSE)),"")</f>
        <v/>
      </c>
      <c r="P137" s="66">
        <f ca="1">IFERROR(IF(OR(C137=0,C137="",F137=0,F137="",$P135&lt;&gt;0,LEFT(F137,1)="D"),0,VLOOKUP(B137,INDIRECT(MatchDay!$W$2),2,FALSE)),"")</f>
        <v>0</v>
      </c>
      <c r="Q137" s="66">
        <f ca="1">IFERROR(IF(OR(J137=0,J137="",M137=0,M137="",$P135&lt;&gt;0,LEFT(M137,1)="D"),0,VLOOKUP(I137,INDIRECT(MatchDay!$W$2),3,FALSE)),"")</f>
        <v>0</v>
      </c>
    </row>
    <row r="138" spans="1:20" x14ac:dyDescent="0.35">
      <c r="A138" s="118">
        <f>IFERROR(VLOOKUP(A134,standards,3,FALSE)+0.01,"-")</f>
        <v>10.41</v>
      </c>
      <c r="B138" s="117">
        <v>3</v>
      </c>
      <c r="C138" s="120"/>
      <c r="D138" s="64" t="str">
        <f>IFERROR(IF(A142=0,HLOOKUP(C138,Declarations!$D$2:$S$102,A136,FALSE),HLOOKUP(VLOOKUP(C138,Teams!$V$2:$W$19,2,FALSE),Declarations!$D$2:$S$102,A136,FALSE)),"")</f>
        <v/>
      </c>
      <c r="E138" s="64" t="str">
        <f t="shared" si="24"/>
        <v/>
      </c>
      <c r="F138" s="393"/>
      <c r="G138" s="198" t="str">
        <f>IFERROR(IF(OR(F138=0,F138="",F138&gt;$A$9-0.01),"",VLOOKUP(VLOOKUP(F138,A137:B141,2,TRUE),Points!$H$7:$I$10,2,FALSE)),"")</f>
        <v/>
      </c>
      <c r="H138" s="67"/>
      <c r="I138" s="117">
        <v>3</v>
      </c>
      <c r="J138" s="392"/>
      <c r="K138" s="64" t="str">
        <f>IFERROR(IF(A142=0,HLOOKUP(J138,Declarations!$D$2:$S$102,A136,FALSE),HLOOKUP(VLOOKUP(J138,Teams!$V$2:$W$19,2,FALSE),Declarations!$D$2:$S$102,A136,FALSE)),"")</f>
        <v/>
      </c>
      <c r="L138" s="64" t="str">
        <f t="shared" si="25"/>
        <v/>
      </c>
      <c r="M138" s="393"/>
      <c r="N138" s="198" t="str">
        <f>IFERROR(IF(OR(M138=0,M138="",M138&gt;$A$9-0.01),"",VLOOKUP(VLOOKUP(M138,A137:B141,2,TRUE),Points!$H$7:$I$10,2,FALSE)),"")</f>
        <v/>
      </c>
      <c r="P138" s="66">
        <f ca="1">IFERROR(IF(OR(C138=0,C138="",F138=0,F138="",$P135&lt;&gt;0,LEFT(F138,1)="D"),0,VLOOKUP(B138,INDIRECT(MatchDay!$W$2),2,FALSE)),"")</f>
        <v>0</v>
      </c>
      <c r="Q138" s="66">
        <f ca="1">IFERROR(IF(OR(J138=0,J138="",M138=0,M138="",$P135&lt;&gt;0,LEFT(M138,1)="D"),0,VLOOKUP(I138,INDIRECT(MatchDay!$W$2),3,FALSE)),"")</f>
        <v>0</v>
      </c>
    </row>
    <row r="139" spans="1:20" x14ac:dyDescent="0.35">
      <c r="A139" s="118">
        <f>IFERROR(VLOOKUP(A134,standards,4,FALSE)+0.01,"-")</f>
        <v>10.61</v>
      </c>
      <c r="B139" s="117">
        <v>4</v>
      </c>
      <c r="C139" s="120"/>
      <c r="D139" s="64" t="str">
        <f>IFERROR(IF(A142=0,HLOOKUP(C139,Declarations!$D$2:$S$102,A136,FALSE),HLOOKUP(VLOOKUP(C139,Teams!$V$2:$W$19,2,FALSE),Declarations!$D$2:$S$102,A136,FALSE)),"")</f>
        <v/>
      </c>
      <c r="E139" s="64" t="str">
        <f t="shared" si="24"/>
        <v/>
      </c>
      <c r="F139" s="393"/>
      <c r="G139" s="198" t="str">
        <f>IFERROR(IF(OR(F139=0,F139="",F139&gt;$A$9-0.01),"",VLOOKUP(VLOOKUP(F139,A137:B141,2,TRUE),Points!$H$7:$I$10,2,FALSE)),"")</f>
        <v/>
      </c>
      <c r="H139" s="67"/>
      <c r="I139" s="117">
        <v>4</v>
      </c>
      <c r="J139" s="392"/>
      <c r="K139" s="64" t="str">
        <f>IFERROR(IF(A142=0,HLOOKUP(J139,Declarations!$D$2:$S$102,A136,FALSE),HLOOKUP(VLOOKUP(J139,Teams!$V$2:$W$19,2,FALSE),Declarations!$D$2:$S$102,A136,FALSE)),"")</f>
        <v/>
      </c>
      <c r="L139" s="64" t="str">
        <f t="shared" si="25"/>
        <v/>
      </c>
      <c r="M139" s="393"/>
      <c r="N139" s="198" t="str">
        <f>IFERROR(IF(OR(M139=0,M139="",M139&gt;$A$9-0.01),"",VLOOKUP(VLOOKUP(M139,A137:B141,2,TRUE),Points!$H$7:$I$10,2,FALSE)),"")</f>
        <v/>
      </c>
      <c r="P139" s="66">
        <f ca="1">IFERROR(IF(OR(C139=0,C139="",F139=0,F139="",$P135&lt;&gt;0,LEFT(F139,1)="D"),0,VLOOKUP(B139,INDIRECT(MatchDay!$W$2),2,FALSE)),"")</f>
        <v>0</v>
      </c>
      <c r="Q139" s="66">
        <f ca="1">IFERROR(IF(OR(J139=0,J139="",M139=0,M139="",$P135&lt;&gt;0,LEFT(M139,1)="D"),0,VLOOKUP(I139,INDIRECT(MatchDay!$W$2),3,FALSE)),"")</f>
        <v>0</v>
      </c>
    </row>
    <row r="140" spans="1:20" x14ac:dyDescent="0.35">
      <c r="A140" s="118">
        <f>IFERROR(VLOOKUP(A134,standards,5,FALSE)+0.01,"-")</f>
        <v>10.91</v>
      </c>
      <c r="B140" s="117">
        <v>5</v>
      </c>
      <c r="C140" s="120"/>
      <c r="D140" s="64" t="str">
        <f>IFERROR(IF(A142=0,HLOOKUP(C140,Declarations!$D$2:$S$102,A136,FALSE),HLOOKUP(VLOOKUP(C140,Teams!$V$2:$W$19,2,FALSE),Declarations!$D$2:$S$102,A136,FALSE)),"")</f>
        <v/>
      </c>
      <c r="E140" s="64" t="str">
        <f t="shared" si="24"/>
        <v/>
      </c>
      <c r="F140" s="393"/>
      <c r="G140" s="198" t="str">
        <f>IFERROR(IF(OR(F140=0,F140="",F140&gt;$A$9-0.01),"",VLOOKUP(VLOOKUP(F140,A137:B141,2,TRUE),Points!$H$7:$I$10,2,FALSE)),"")</f>
        <v/>
      </c>
      <c r="H140" s="67"/>
      <c r="I140" s="117">
        <v>5</v>
      </c>
      <c r="J140" s="392"/>
      <c r="K140" s="64" t="str">
        <f>IFERROR(IF(A142=0,HLOOKUP(J140,Declarations!$D$2:$S$102,A136,FALSE),HLOOKUP(VLOOKUP(J140,Teams!$V$2:$W$19,2,FALSE),Declarations!$D$2:$S$102,A136,FALSE)),"")</f>
        <v/>
      </c>
      <c r="L140" s="64" t="str">
        <f t="shared" si="25"/>
        <v/>
      </c>
      <c r="M140" s="393"/>
      <c r="N140" s="198" t="str">
        <f>IFERROR(IF(OR(M140=0,M140="",M140&gt;$A$9-0.01),"",VLOOKUP(VLOOKUP(M140,A137:B141,2,TRUE),Points!$H$7:$I$10,2,FALSE)),"")</f>
        <v/>
      </c>
      <c r="P140" s="66">
        <f ca="1">IFERROR(IF(OR(C140=0,C140="",F140=0,F140="",$P135&lt;&gt;0,LEFT(F140,1)="D"),0,VLOOKUP(B140,INDIRECT(MatchDay!$W$2),2,FALSE)),"")</f>
        <v>0</v>
      </c>
      <c r="Q140" s="66">
        <f ca="1">IFERROR(IF(OR(J140=0,J140="",M140=0,M140="",$P135&lt;&gt;0,LEFT(M140,1)="D"),0,VLOOKUP(I140,INDIRECT(MatchDay!$W$2),3,FALSE)),"")</f>
        <v>0</v>
      </c>
    </row>
    <row r="141" spans="1:20" x14ac:dyDescent="0.35">
      <c r="A141" s="118">
        <f>IFERROR(VLOOKUP(A134,standards,6,FALSE)+0.01,"-")</f>
        <v>11.31</v>
      </c>
      <c r="B141" s="117">
        <v>6</v>
      </c>
      <c r="C141" s="120"/>
      <c r="D141" s="64" t="str">
        <f>IFERROR(IF(A142=0,HLOOKUP(C141,Declarations!$D$2:$S$102,A136,FALSE),HLOOKUP(VLOOKUP(C141,Teams!$V$2:$W$19,2,FALSE),Declarations!$D$2:$S$102,A136,FALSE)),"")</f>
        <v/>
      </c>
      <c r="E141" s="64" t="str">
        <f t="shared" si="24"/>
        <v/>
      </c>
      <c r="F141" s="393"/>
      <c r="G141" s="198" t="str">
        <f>IFERROR(IF(OR(F141=0,F141="",F141&gt;$A$9-0.01),"",VLOOKUP(VLOOKUP(F141,A137:B141,2,TRUE),Points!$H$7:$I$10,2,FALSE)),"")</f>
        <v/>
      </c>
      <c r="H141" s="67"/>
      <c r="I141" s="117">
        <v>6</v>
      </c>
      <c r="J141" s="392"/>
      <c r="K141" s="64" t="str">
        <f>IFERROR(IF(A142=0,HLOOKUP(J141,Declarations!$D$2:$S$102,A136,FALSE),HLOOKUP(VLOOKUP(J141,Teams!$V$2:$W$19,2,FALSE),Declarations!$D$2:$S$102,A136,FALSE)),"")</f>
        <v/>
      </c>
      <c r="L141" s="64" t="str">
        <f t="shared" si="25"/>
        <v/>
      </c>
      <c r="M141" s="313"/>
      <c r="N141" s="198" t="str">
        <f>IFERROR(IF(OR(M141=0,M141="",M141&gt;$A$9-0.01),"",VLOOKUP(VLOOKUP(M141,A137:B141,2,TRUE),Points!$H$7:$I$10,2,FALSE)),"")</f>
        <v/>
      </c>
      <c r="P141" s="66">
        <f ca="1">IFERROR(IF(OR(C141=0,C141="",F141=0,F141="",$P135&lt;&gt;0,LEFT(F141,1)="D"),0,VLOOKUP(B141,INDIRECT(MatchDay!$W$2),2,FALSE)),"")</f>
        <v>0</v>
      </c>
      <c r="Q141" s="66">
        <f ca="1">IFERROR(IF(OR(J141=0,J141="",M141=0,M141="",$P135&lt;&gt;0,LEFT(M141,1)="D"),0,VLOOKUP(I141,INDIRECT(MatchDay!$W$2),3,FALSE)),"")</f>
        <v>0</v>
      </c>
    </row>
    <row r="142" spans="1:20" x14ac:dyDescent="0.35">
      <c r="A142" s="136">
        <f>IFERROR(SEARCH("U17",B134),0)</f>
        <v>0</v>
      </c>
      <c r="B142" s="117">
        <v>7</v>
      </c>
      <c r="C142" s="120"/>
      <c r="D142" s="64" t="str">
        <f>IFERROR(IF(A142=0,HLOOKUP(C142,Declarations!$D$2:$S$102,A136,FALSE),HLOOKUP(VLOOKUP(C142,Teams!$V$2:$W$19,2,FALSE),Declarations!$D$2:$S$102,A136,FALSE)),"")</f>
        <v/>
      </c>
      <c r="E142" s="64" t="str">
        <f t="shared" si="24"/>
        <v/>
      </c>
      <c r="F142" s="393"/>
      <c r="G142" s="198" t="str">
        <f>IFERROR(IF(OR(F142=0,F142="",F142&gt;$A$9-0.01),"",VLOOKUP(VLOOKUP(F142,A137:B141,2,TRUE),Points!$H$7:$I$10,2,FALSE)),"")</f>
        <v/>
      </c>
      <c r="H142" s="67"/>
      <c r="I142" s="117">
        <v>7</v>
      </c>
      <c r="J142" s="392"/>
      <c r="K142" s="64" t="str">
        <f>IFERROR(IF(A142=0,HLOOKUP(J142,Declarations!$D$2:$S$102,A136,FALSE),HLOOKUP(VLOOKUP(J142,Teams!$V$2:$W$19,2,FALSE),Declarations!$D$2:$S$102,A136,FALSE)),"")</f>
        <v/>
      </c>
      <c r="L142" s="64" t="str">
        <f t="shared" si="25"/>
        <v/>
      </c>
      <c r="M142" s="313"/>
      <c r="N142" s="198" t="str">
        <f>IFERROR(IF(OR(M142=0,M142="",M142&gt;$A$9-0.01),"",VLOOKUP(VLOOKUP(M142,A137:B141,2,TRUE),Points!$H$7:$I$10,2,FALSE)),"")</f>
        <v/>
      </c>
      <c r="P142" s="66">
        <f ca="1">IFERROR(IF(OR(C142=0,C142="",F142=0,F142="",$P135&lt;&gt;0,LEFT(F142,1)="D"),0,VLOOKUP(B142,INDIRECT(MatchDay!$W$2),2,FALSE)),"")</f>
        <v>0</v>
      </c>
      <c r="Q142" s="66">
        <f ca="1">IFERROR(IF(OR(J142=0,J142="",M142=0,M142="",$P135&lt;&gt;0,LEFT(M142,1)="D"),0,VLOOKUP(I142,INDIRECT(MatchDay!$W$2),3,FALSE)),"")</f>
        <v>0</v>
      </c>
    </row>
    <row r="143" spans="1:20" x14ac:dyDescent="0.35">
      <c r="A143" s="116">
        <f>IFERROR(VLOOKUP(A134,records,5,FALSE),"")</f>
        <v>9.5</v>
      </c>
      <c r="B143" s="117">
        <v>8</v>
      </c>
      <c r="C143" s="120"/>
      <c r="D143" s="64" t="str">
        <f>IFERROR(IF(A142=0,HLOOKUP(C143,Declarations!$D$2:$S$102,A136,FALSE),HLOOKUP(VLOOKUP(C143,Teams!$V$2:$W$19,2,FALSE),Declarations!$D$2:$S$102,A136,FALSE)),"")</f>
        <v/>
      </c>
      <c r="E143" s="64" t="str">
        <f t="shared" si="24"/>
        <v/>
      </c>
      <c r="F143" s="393"/>
      <c r="G143" s="198" t="str">
        <f>IFERROR(IF(OR(F143=0,F143="",F143&gt;$A$9-0.01),"",VLOOKUP(VLOOKUP(F143,A137:B141,2,TRUE),Points!$H$7:$I$10,2,FALSE)),"")</f>
        <v/>
      </c>
      <c r="H143" s="67"/>
      <c r="I143" s="117">
        <v>8</v>
      </c>
      <c r="J143" s="392"/>
      <c r="K143" s="64" t="str">
        <f>IFERROR(IF(A142=0,HLOOKUP(J143,Declarations!$D$2:$S$102,A136,FALSE),HLOOKUP(VLOOKUP(J143,Teams!$V$2:$W$19,2,FALSE),Declarations!$D$2:$S$102,A136,FALSE)),"")</f>
        <v/>
      </c>
      <c r="L143" s="64" t="str">
        <f t="shared" si="25"/>
        <v/>
      </c>
      <c r="M143" s="313"/>
      <c r="N143" s="198" t="str">
        <f>IFERROR(IF(OR(M143=0,M143="",M143&gt;$A$9-0.01),"",VLOOKUP(VLOOKUP(M143,A137:B141,2,TRUE),Points!$H$7:$I$10,2,FALSE)),"")</f>
        <v/>
      </c>
      <c r="P143" s="66">
        <f ca="1">IFERROR(IF(OR(C143=0,C143="",F143=0,F143="",$P135&lt;&gt;0,LEFT(F143,1)="D"),0,VLOOKUP(B143,INDIRECT(MatchDay!$W$2),2,FALSE)),"")</f>
        <v>0</v>
      </c>
      <c r="Q143" s="66">
        <f ca="1">IFERROR(IF(OR(J143=0,J143="",M143=0,M143="",$P135&lt;&gt;0,LEFT(M143,1)="D"),0,VLOOKUP(I143,INDIRECT(MatchDay!$W$2),3,FALSE)),"")</f>
        <v>0</v>
      </c>
    </row>
    <row r="145" spans="1:20" x14ac:dyDescent="0.35">
      <c r="A145" s="111" t="s">
        <v>45</v>
      </c>
      <c r="B145" s="112" t="str">
        <f>IFERROR(VLOOKUP(A145,timetables,2,FALSE)&amp;" "&amp;VLOOKUP(A145,timetables,3,FALSE)&amp;" A","")</f>
        <v>100m NS U13 Boys A</v>
      </c>
      <c r="C145" s="112"/>
      <c r="E145" s="130" t="str">
        <f>IFERROR(IF(VLOOKUP($A145,timetables,8,FALSE)="W","Wind = ",""),"")</f>
        <v xml:space="preserve">Wind = </v>
      </c>
      <c r="F145" s="394"/>
      <c r="G145" s="119" t="str">
        <f>IFERROR(IF(OR(F147=0,F147=""),"",IF(F147&lt;A154,"REC",IF(F147=A154,"=Rec",""))),"")</f>
        <v/>
      </c>
      <c r="I145" s="114" t="str">
        <f>IFERROR(VLOOKUP(A145,timetables,2,FALSE)&amp;" "&amp;VLOOKUP(A145,timetables,3,FALSE)&amp;" B","")</f>
        <v>100m NS U13 Boys B</v>
      </c>
      <c r="J145" s="115"/>
      <c r="L145" s="130" t="str">
        <f>IFERROR(IF(VLOOKUP($A145,timetables,8,FALSE)="W","Wind = ",""),"")</f>
        <v xml:space="preserve">Wind = </v>
      </c>
      <c r="M145" s="394" t="s">
        <v>1016</v>
      </c>
      <c r="P145" s="66" t="s">
        <v>53</v>
      </c>
      <c r="Q145" s="66" t="s">
        <v>54</v>
      </c>
    </row>
    <row r="146" spans="1:20" x14ac:dyDescent="0.35">
      <c r="A146" s="82"/>
      <c r="B146" s="45" t="s">
        <v>230</v>
      </c>
      <c r="C146" s="45" t="s">
        <v>183</v>
      </c>
      <c r="D146" s="47" t="s">
        <v>227</v>
      </c>
      <c r="E146" s="47" t="s">
        <v>228</v>
      </c>
      <c r="F146" s="149" t="s">
        <v>229</v>
      </c>
      <c r="G146" s="199" t="s">
        <v>55</v>
      </c>
      <c r="H146" s="47"/>
      <c r="I146" s="45" t="s">
        <v>230</v>
      </c>
      <c r="J146" s="45" t="s">
        <v>183</v>
      </c>
      <c r="K146" s="47" t="s">
        <v>227</v>
      </c>
      <c r="L146" s="47" t="s">
        <v>228</v>
      </c>
      <c r="M146" s="149" t="s">
        <v>229</v>
      </c>
      <c r="N146" s="199" t="s">
        <v>55</v>
      </c>
      <c r="P146" s="66">
        <f>IFERROR(SEARCH("NS",B145),0)</f>
        <v>6</v>
      </c>
      <c r="T146" s="67"/>
    </row>
    <row r="147" spans="1:20" x14ac:dyDescent="0.35">
      <c r="A147" s="181">
        <f>IFERROR(VLOOKUP(A145,Timetables!$A:$E,5,FALSE)-1,"")</f>
        <v>79</v>
      </c>
      <c r="B147" s="117">
        <v>1</v>
      </c>
      <c r="C147" s="120"/>
      <c r="D147" s="64" t="str">
        <f>IFERROR(IF(A153=0,HLOOKUP(C147,Declarations!$D$2:$S$102,A147,FALSE),HLOOKUP(VLOOKUP(C147,Teams!$V$2:$W$19,2,FALSE),Declarations!$D$2:$S$102,A147,FALSE)),"")</f>
        <v/>
      </c>
      <c r="E147" s="64" t="str">
        <f t="shared" ref="E147:E154" si="26">IFERROR(VLOOKUP(C147,teamlookup,5,FALSE),"")</f>
        <v/>
      </c>
      <c r="F147" s="393"/>
      <c r="G147" s="198" t="str">
        <f>IFERROR(IF(OR(F147=0,F147="",F147&gt;$A$9-0.01),"",VLOOKUP(VLOOKUP(F147,A148:B152,2,TRUE),Points!$H$7:$I$10,2,FALSE)),"")</f>
        <v/>
      </c>
      <c r="H147" s="67"/>
      <c r="I147" s="117">
        <v>1</v>
      </c>
      <c r="J147" s="392"/>
      <c r="K147" s="64" t="str">
        <f>IFERROR(IF(A153=0,HLOOKUP(J147,Declarations!$D$2:$S$102,A147,FALSE),HLOOKUP(VLOOKUP(J147,Teams!$V$2:$W$19,2,FALSE),Declarations!$D$2:$S$102,A147,FALSE)),"")</f>
        <v/>
      </c>
      <c r="L147" s="64" t="str">
        <f t="shared" ref="L147:L154" si="27">IFERROR(VLOOKUP(J147,teamlookup,5,FALSE),"")</f>
        <v/>
      </c>
      <c r="M147" s="313"/>
      <c r="N147" s="198" t="str">
        <f>IFERROR(IF(OR(M147=0,M147="",M147&gt;$A$9-0.01),"",VLOOKUP(VLOOKUP(M147,A148:B152,2,TRUE),Points!$H$7:$I$10,2,FALSE)),"")</f>
        <v/>
      </c>
      <c r="P147" s="66">
        <f ca="1">IFERROR(IF(OR(C147=0,C147="",F147=0,F147="",$P146&lt;&gt;0,LEFT(F147,1)="D"),0,VLOOKUP(B147,INDIRECT(MatchDay!$W$2),2,FALSE)),"")</f>
        <v>0</v>
      </c>
      <c r="Q147" s="66">
        <f ca="1">IFERROR(IF(OR(J147=0,J147="",M147=0,M147="",$P146&lt;&gt;0,LEFT(M147,1)="D"),0,VLOOKUP(I147,INDIRECT(MatchDay!$W$2),3,FALSE)),"")</f>
        <v>0</v>
      </c>
      <c r="R147" s="219">
        <f>COUNTIF(C147,"&gt;0")</f>
        <v>0</v>
      </c>
      <c r="S147" s="66">
        <f>IFERROR(IF(C147&gt;88,1,0),0)</f>
        <v>0</v>
      </c>
    </row>
    <row r="148" spans="1:20" x14ac:dyDescent="0.35">
      <c r="A148" s="64">
        <v>0</v>
      </c>
      <c r="B148" s="117">
        <v>2</v>
      </c>
      <c r="C148" s="120"/>
      <c r="D148" s="64" t="str">
        <f>IFERROR(IF(A153=0,HLOOKUP(C148,Declarations!$D$2:$S$102,A147,FALSE),HLOOKUP(VLOOKUP(C148,Teams!$V$2:$W$19,2,FALSE),Declarations!$D$2:$S$102,A147,FALSE)),"")</f>
        <v/>
      </c>
      <c r="E148" s="64" t="str">
        <f t="shared" si="26"/>
        <v/>
      </c>
      <c r="F148" s="393"/>
      <c r="G148" s="198" t="str">
        <f>IFERROR(IF(OR(F148=0,F148="",F148&gt;$A$9-0.01),"",VLOOKUP(VLOOKUP(F148,A148:B152,2,TRUE),Points!$H$7:$I$10,2,FALSE)),"")</f>
        <v/>
      </c>
      <c r="H148" s="67"/>
      <c r="I148" s="117">
        <v>2</v>
      </c>
      <c r="J148" s="392"/>
      <c r="K148" s="64" t="str">
        <f>IFERROR(IF(A153=0,HLOOKUP(J148,Declarations!$D$2:$S$102,A147,FALSE),HLOOKUP(VLOOKUP(J148,Teams!$V$2:$W$19,2,FALSE),Declarations!$D$2:$S$102,A147,FALSE)),"")</f>
        <v/>
      </c>
      <c r="L148" s="64" t="str">
        <f t="shared" si="27"/>
        <v/>
      </c>
      <c r="M148" s="313"/>
      <c r="N148" s="198" t="str">
        <f>IFERROR(IF(OR(M148=0,M148="",M148&gt;$A$9-0.01),"",VLOOKUP(VLOOKUP(M148,A148:B152,2,TRUE),Points!$H$7:$I$10,2,FALSE)),"")</f>
        <v/>
      </c>
      <c r="P148" s="66">
        <f ca="1">IFERROR(IF(OR(C148=0,C148="",F148=0,F148="",$P146&lt;&gt;0,LEFT(F148,1)="D"),0,VLOOKUP(B148,INDIRECT(MatchDay!$W$2),2,FALSE)),"")</f>
        <v>0</v>
      </c>
      <c r="Q148" s="66">
        <f ca="1">IFERROR(IF(OR(J148=0,J148="",M148=0,M148="",$P146&lt;&gt;0,LEFT(M148,1)="D"),0,VLOOKUP(I148,INDIRECT(MatchDay!$W$2),3,FALSE)),"")</f>
        <v>0</v>
      </c>
    </row>
    <row r="149" spans="1:20" x14ac:dyDescent="0.35">
      <c r="A149" s="118">
        <f>IFERROR(VLOOKUP(A145,standards,3,FALSE)+0.01,"-")</f>
        <v>13.01</v>
      </c>
      <c r="B149" s="117">
        <v>3</v>
      </c>
      <c r="C149" s="120"/>
      <c r="D149" s="64" t="str">
        <f>IFERROR(IF(A153=0,HLOOKUP(C149,Declarations!$D$2:$S$102,A147,FALSE),HLOOKUP(VLOOKUP(C149,Teams!$V$2:$W$19,2,FALSE),Declarations!$D$2:$S$102,A147,FALSE)),"")</f>
        <v/>
      </c>
      <c r="E149" s="64" t="str">
        <f t="shared" si="26"/>
        <v/>
      </c>
      <c r="F149" s="393"/>
      <c r="G149" s="198" t="str">
        <f>IFERROR(IF(OR(F149=0,F149="",F149&gt;$A$9-0.01),"",VLOOKUP(VLOOKUP(F149,A148:B152,2,TRUE),Points!$H$7:$I$10,2,FALSE)),"")</f>
        <v/>
      </c>
      <c r="H149" s="67"/>
      <c r="I149" s="117">
        <v>3</v>
      </c>
      <c r="J149" s="392"/>
      <c r="K149" s="64" t="str">
        <f>IFERROR(IF(A153=0,HLOOKUP(J149,Declarations!$D$2:$S$102,A147,FALSE),HLOOKUP(VLOOKUP(J149,Teams!$V$2:$W$19,2,FALSE),Declarations!$D$2:$S$102,A147,FALSE)),"")</f>
        <v/>
      </c>
      <c r="L149" s="64" t="str">
        <f t="shared" si="27"/>
        <v/>
      </c>
      <c r="M149" s="313"/>
      <c r="N149" s="198" t="str">
        <f>IFERROR(IF(OR(M149=0,M149="",M149&gt;$A$9-0.01),"",VLOOKUP(VLOOKUP(M149,A148:B152,2,TRUE),Points!$H$7:$I$10,2,FALSE)),"")</f>
        <v/>
      </c>
      <c r="P149" s="66">
        <f ca="1">IFERROR(IF(OR(C149=0,C149="",F149=0,F149="",$P146&lt;&gt;0,LEFT(F149,1)="D"),0,VLOOKUP(B149,INDIRECT(MatchDay!$W$2),2,FALSE)),"")</f>
        <v>0</v>
      </c>
      <c r="Q149" s="66">
        <f ca="1">IFERROR(IF(OR(J149=0,J149="",M149=0,M149="",$P146&lt;&gt;0,LEFT(M149,1)="D"),0,VLOOKUP(I149,INDIRECT(MatchDay!$W$2),3,FALSE)),"")</f>
        <v>0</v>
      </c>
    </row>
    <row r="150" spans="1:20" x14ac:dyDescent="0.35">
      <c r="A150" s="118">
        <f>IFERROR(VLOOKUP(A145,standards,4,FALSE)+0.01,"-")</f>
        <v>13.209999999999999</v>
      </c>
      <c r="B150" s="117">
        <v>4</v>
      </c>
      <c r="C150" s="120"/>
      <c r="D150" s="64" t="str">
        <f>IFERROR(IF(A153=0,HLOOKUP(C150,Declarations!$D$2:$S$102,A147,FALSE),HLOOKUP(VLOOKUP(C150,Teams!$V$2:$W$19,2,FALSE),Declarations!$D$2:$S$102,A147,FALSE)),"")</f>
        <v/>
      </c>
      <c r="E150" s="64" t="str">
        <f t="shared" si="26"/>
        <v/>
      </c>
      <c r="F150" s="393"/>
      <c r="G150" s="198" t="str">
        <f>IFERROR(IF(OR(F150=0,F150="",F150&gt;$A$9-0.01),"",VLOOKUP(VLOOKUP(F150,A148:B152,2,TRUE),Points!$H$7:$I$10,2,FALSE)),"")</f>
        <v/>
      </c>
      <c r="H150" s="67"/>
      <c r="I150" s="117">
        <v>4</v>
      </c>
      <c r="J150" s="392"/>
      <c r="K150" s="64" t="str">
        <f>IFERROR(IF(A153=0,HLOOKUP(J150,Declarations!$D$2:$S$102,A147,FALSE),HLOOKUP(VLOOKUP(J150,Teams!$V$2:$W$19,2,FALSE),Declarations!$D$2:$S$102,A147,FALSE)),"")</f>
        <v/>
      </c>
      <c r="L150" s="64" t="str">
        <f t="shared" si="27"/>
        <v/>
      </c>
      <c r="M150" s="313"/>
      <c r="N150" s="198" t="str">
        <f>IFERROR(IF(OR(M150=0,M150="",M150&gt;$A$9-0.01),"",VLOOKUP(VLOOKUP(M150,A148:B152,2,TRUE),Points!$H$7:$I$10,2,FALSE)),"")</f>
        <v/>
      </c>
      <c r="P150" s="66">
        <f ca="1">IFERROR(IF(OR(C150=0,C150="",F150=0,F150="",$P146&lt;&gt;0,LEFT(F150,1)="D"),0,VLOOKUP(B150,INDIRECT(MatchDay!$W$2),2,FALSE)),"")</f>
        <v>0</v>
      </c>
      <c r="Q150" s="66">
        <f ca="1">IFERROR(IF(OR(J150=0,J150="",M150=0,M150="",$P146&lt;&gt;0,LEFT(M150,1)="D"),0,VLOOKUP(I150,INDIRECT(MatchDay!$W$2),3,FALSE)),"")</f>
        <v>0</v>
      </c>
    </row>
    <row r="151" spans="1:20" x14ac:dyDescent="0.35">
      <c r="A151" s="118">
        <f>IFERROR(VLOOKUP(A145,standards,5,FALSE)+0.01,"-")</f>
        <v>13.51</v>
      </c>
      <c r="B151" s="117">
        <v>5</v>
      </c>
      <c r="C151" s="120"/>
      <c r="D151" s="64" t="str">
        <f>IFERROR(IF(A153=0,HLOOKUP(C151,Declarations!$D$2:$S$102,A147,FALSE),HLOOKUP(VLOOKUP(C151,Teams!$V$2:$W$19,2,FALSE),Declarations!$D$2:$S$102,A147,FALSE)),"")</f>
        <v/>
      </c>
      <c r="E151" s="64" t="str">
        <f t="shared" si="26"/>
        <v/>
      </c>
      <c r="F151" s="393"/>
      <c r="G151" s="198" t="str">
        <f>IFERROR(IF(OR(F151=0,F151="",F151&gt;$A$9-0.01),"",VLOOKUP(VLOOKUP(F151,A148:B152,2,TRUE),Points!$H$7:$I$10,2,FALSE)),"")</f>
        <v/>
      </c>
      <c r="H151" s="67"/>
      <c r="I151" s="117">
        <v>5</v>
      </c>
      <c r="J151" s="392"/>
      <c r="K151" s="64" t="str">
        <f>IFERROR(IF(A153=0,HLOOKUP(J151,Declarations!$D$2:$S$102,A147,FALSE),HLOOKUP(VLOOKUP(J151,Teams!$V$2:$W$19,2,FALSE),Declarations!$D$2:$S$102,A147,FALSE)),"")</f>
        <v/>
      </c>
      <c r="L151" s="64" t="str">
        <f t="shared" si="27"/>
        <v/>
      </c>
      <c r="M151" s="313"/>
      <c r="N151" s="198" t="str">
        <f>IFERROR(IF(OR(M151=0,M151="",M151&gt;$A$9-0.01),"",VLOOKUP(VLOOKUP(M151,A148:B152,2,TRUE),Points!$H$7:$I$10,2,FALSE)),"")</f>
        <v/>
      </c>
      <c r="P151" s="66">
        <f ca="1">IFERROR(IF(OR(C151=0,C151="",F151=0,F151="",$P146&lt;&gt;0,LEFT(F151,1)="D"),0,VLOOKUP(B151,INDIRECT(MatchDay!$W$2),2,FALSE)),"")</f>
        <v>0</v>
      </c>
      <c r="Q151" s="66">
        <f ca="1">IFERROR(IF(OR(J151=0,J151="",M151=0,M151="",$P146&lt;&gt;0,LEFT(M151,1)="D"),0,VLOOKUP(I151,INDIRECT(MatchDay!$W$2),3,FALSE)),"")</f>
        <v>0</v>
      </c>
    </row>
    <row r="152" spans="1:20" x14ac:dyDescent="0.35">
      <c r="A152" s="118">
        <f>IFERROR(VLOOKUP(A145,standards,6,FALSE)+0.01,"-")</f>
        <v>13.91</v>
      </c>
      <c r="B152" s="117">
        <v>6</v>
      </c>
      <c r="C152" s="120"/>
      <c r="D152" s="64" t="str">
        <f>IFERROR(IF(A153=0,HLOOKUP(C152,Declarations!$D$2:$S$102,A147,FALSE),HLOOKUP(VLOOKUP(C152,Teams!$V$2:$W$19,2,FALSE),Declarations!$D$2:$S$102,A147,FALSE)),"")</f>
        <v/>
      </c>
      <c r="E152" s="64" t="str">
        <f t="shared" si="26"/>
        <v/>
      </c>
      <c r="F152" s="393"/>
      <c r="G152" s="198" t="str">
        <f>IFERROR(IF(OR(F152=0,F152="",F152&gt;$A$9-0.01),"",VLOOKUP(VLOOKUP(F152,A148:B152,2,TRUE),Points!$H$7:$I$10,2,FALSE)),"")</f>
        <v/>
      </c>
      <c r="H152" s="67"/>
      <c r="I152" s="117">
        <v>6</v>
      </c>
      <c r="J152" s="392"/>
      <c r="K152" s="64" t="str">
        <f>IFERROR(IF(A153=0,HLOOKUP(J152,Declarations!$D$2:$S$102,A147,FALSE),HLOOKUP(VLOOKUP(J152,Teams!$V$2:$W$19,2,FALSE),Declarations!$D$2:$S$102,A147,FALSE)),"")</f>
        <v/>
      </c>
      <c r="L152" s="64" t="str">
        <f t="shared" si="27"/>
        <v/>
      </c>
      <c r="M152" s="313"/>
      <c r="N152" s="198" t="str">
        <f>IFERROR(IF(OR(M152=0,M152="",M152&gt;$A$9-0.01),"",VLOOKUP(VLOOKUP(M152,A148:B152,2,TRUE),Points!$H$7:$I$10,2,FALSE)),"")</f>
        <v/>
      </c>
      <c r="P152" s="66">
        <f ca="1">IFERROR(IF(OR(C152=0,C152="",F152=0,F152="",$P146&lt;&gt;0,LEFT(F152,1)="D"),0,VLOOKUP(B152,INDIRECT(MatchDay!$W$2),2,FALSE)),"")</f>
        <v>0</v>
      </c>
      <c r="Q152" s="66">
        <f ca="1">IFERROR(IF(OR(J152=0,J152="",M152=0,M152="",$P146&lt;&gt;0,LEFT(M152,1)="D"),0,VLOOKUP(I152,INDIRECT(MatchDay!$W$2),3,FALSE)),"")</f>
        <v>0</v>
      </c>
    </row>
    <row r="153" spans="1:20" x14ac:dyDescent="0.35">
      <c r="A153" s="136">
        <f>IFERROR(SEARCH("U17",B145),0)</f>
        <v>0</v>
      </c>
      <c r="B153" s="117">
        <v>7</v>
      </c>
      <c r="C153" s="120"/>
      <c r="D153" s="64" t="str">
        <f>IFERROR(IF(A153=0,HLOOKUP(C153,Declarations!$D$2:$S$102,A147,FALSE),HLOOKUP(VLOOKUP(C153,Teams!$V$2:$W$19,2,FALSE),Declarations!$D$2:$S$102,A147,FALSE)),"")</f>
        <v/>
      </c>
      <c r="E153" s="64" t="str">
        <f t="shared" si="26"/>
        <v/>
      </c>
      <c r="F153" s="393"/>
      <c r="G153" s="198" t="str">
        <f>IFERROR(IF(OR(F153=0,F153="",F153&gt;$A$9-0.01),"",VLOOKUP(VLOOKUP(F153,A148:B152,2,TRUE),Points!$H$7:$I$10,2,FALSE)),"")</f>
        <v/>
      </c>
      <c r="H153" s="67"/>
      <c r="I153" s="117">
        <v>7</v>
      </c>
      <c r="J153" s="392"/>
      <c r="K153" s="64" t="str">
        <f>IFERROR(IF(A153=0,HLOOKUP(J153,Declarations!$D$2:$S$102,A147,FALSE),HLOOKUP(VLOOKUP(J153,Teams!$V$2:$W$19,2,FALSE),Declarations!$D$2:$S$102,A147,FALSE)),"")</f>
        <v/>
      </c>
      <c r="L153" s="64" t="str">
        <f t="shared" si="27"/>
        <v/>
      </c>
      <c r="M153" s="313"/>
      <c r="N153" s="198" t="str">
        <f>IFERROR(IF(OR(M153=0,M153="",M153&gt;$A$9-0.01),"",VLOOKUP(VLOOKUP(M153,A148:B152,2,TRUE),Points!$H$7:$I$10,2,FALSE)),"")</f>
        <v/>
      </c>
      <c r="P153" s="66">
        <f ca="1">IFERROR(IF(OR(C153=0,C153="",F153=0,F153="",$P146&lt;&gt;0,LEFT(F153,1)="D"),0,VLOOKUP(B153,INDIRECT(MatchDay!$W$2),2,FALSE)),"")</f>
        <v>0</v>
      </c>
      <c r="Q153" s="66">
        <f ca="1">IFERROR(IF(OR(J153=0,J153="",M153=0,M153="",$P146&lt;&gt;0,LEFT(M153,1)="D"),0,VLOOKUP(I153,INDIRECT(MatchDay!$W$2),3,FALSE)),"")</f>
        <v>0</v>
      </c>
    </row>
    <row r="154" spans="1:20" x14ac:dyDescent="0.35">
      <c r="A154" s="116">
        <f>IFERROR(VLOOKUP(A145,records,5,FALSE),"")</f>
        <v>12</v>
      </c>
      <c r="B154" s="117">
        <v>8</v>
      </c>
      <c r="C154" s="120"/>
      <c r="D154" s="64" t="str">
        <f>IFERROR(IF(A153=0,HLOOKUP(C154,Declarations!$D$2:$S$102,A147,FALSE),HLOOKUP(VLOOKUP(C154,Teams!$V$2:$W$19,2,FALSE),Declarations!$D$2:$S$102,A147,FALSE)),"")</f>
        <v/>
      </c>
      <c r="E154" s="64" t="str">
        <f t="shared" si="26"/>
        <v/>
      </c>
      <c r="F154" s="393"/>
      <c r="G154" s="198" t="str">
        <f>IFERROR(IF(OR(F154=0,F154="",F154&gt;$A$9-0.01),"",VLOOKUP(VLOOKUP(F154,A148:B152,2,TRUE),Points!$H$7:$I$10,2,FALSE)),"")</f>
        <v/>
      </c>
      <c r="H154" s="67"/>
      <c r="I154" s="117">
        <v>8</v>
      </c>
      <c r="J154" s="392"/>
      <c r="K154" s="64" t="str">
        <f>IFERROR(IF(A153=0,HLOOKUP(J154,Declarations!$D$2:$S$102,A147,FALSE),HLOOKUP(VLOOKUP(J154,Teams!$V$2:$W$19,2,FALSE),Declarations!$D$2:$S$102,A147,FALSE)),"")</f>
        <v/>
      </c>
      <c r="L154" s="64" t="str">
        <f t="shared" si="27"/>
        <v/>
      </c>
      <c r="M154" s="313"/>
      <c r="N154" s="198" t="str">
        <f>IFERROR(IF(OR(M154=0,M154="",M154&gt;$A$9-0.01),"",VLOOKUP(VLOOKUP(M154,A148:B152,2,TRUE),Points!$H$7:$I$10,2,FALSE)),"")</f>
        <v/>
      </c>
      <c r="P154" s="66">
        <f ca="1">IFERROR(IF(OR(C154=0,C154="",F154=0,F154="",$P146&lt;&gt;0,LEFT(F154,1)="D"),0,VLOOKUP(B154,INDIRECT(MatchDay!$W$2),2,FALSE)),"")</f>
        <v>0</v>
      </c>
      <c r="Q154" s="66">
        <f ca="1">IFERROR(IF(OR(J154=0,J154="",M154=0,M154="",$P146&lt;&gt;0,LEFT(M154,1)="D"),0,VLOOKUP(I154,INDIRECT(MatchDay!$W$2),3,FALSE)),"")</f>
        <v>0</v>
      </c>
    </row>
    <row r="156" spans="1:20" x14ac:dyDescent="0.35">
      <c r="A156" s="111" t="s">
        <v>46</v>
      </c>
      <c r="B156" s="112" t="str">
        <f>IFERROR(VLOOKUP(A156,timetables,2,FALSE)&amp;" "&amp;VLOOKUP(A156,timetables,3,FALSE)&amp;" A","")</f>
        <v>100m NS U15 Girls A</v>
      </c>
      <c r="C156" s="112"/>
      <c r="E156" s="130" t="str">
        <f>IFERROR(IF(VLOOKUP($A156,timetables,8,FALSE)="W","Wind = ",""),"")</f>
        <v xml:space="preserve">Wind = </v>
      </c>
      <c r="F156" s="394"/>
      <c r="G156" s="119" t="str">
        <f>IFERROR(IF(OR(F158=0,F158=""),"",IF(F158&lt;A165,"REC",IF(F158=A165,"=Rec",""))),"")</f>
        <v/>
      </c>
      <c r="I156" s="114" t="str">
        <f>IFERROR(VLOOKUP(A156,timetables,2,FALSE)&amp;" "&amp;VLOOKUP(A156,timetables,3,FALSE)&amp;" B","")</f>
        <v>100m NS U15 Girls B</v>
      </c>
      <c r="J156" s="115"/>
      <c r="L156" s="130" t="str">
        <f>IFERROR(IF(VLOOKUP($A156,timetables,8,FALSE)="W","Wind = ",""),"")</f>
        <v xml:space="preserve">Wind = </v>
      </c>
      <c r="M156" s="394"/>
      <c r="P156" s="66" t="s">
        <v>53</v>
      </c>
      <c r="Q156" s="66" t="s">
        <v>54</v>
      </c>
    </row>
    <row r="157" spans="1:20" x14ac:dyDescent="0.35">
      <c r="A157" s="82"/>
      <c r="B157" s="45" t="s">
        <v>230</v>
      </c>
      <c r="C157" s="45" t="s">
        <v>183</v>
      </c>
      <c r="D157" s="47" t="s">
        <v>227</v>
      </c>
      <c r="E157" s="47" t="s">
        <v>228</v>
      </c>
      <c r="F157" s="149" t="s">
        <v>229</v>
      </c>
      <c r="G157" s="199" t="s">
        <v>55</v>
      </c>
      <c r="H157" s="47"/>
      <c r="I157" s="45" t="s">
        <v>230</v>
      </c>
      <c r="J157" s="45" t="s">
        <v>183</v>
      </c>
      <c r="K157" s="47" t="s">
        <v>227</v>
      </c>
      <c r="L157" s="47" t="s">
        <v>228</v>
      </c>
      <c r="M157" s="149" t="s">
        <v>229</v>
      </c>
      <c r="N157" s="199" t="s">
        <v>55</v>
      </c>
      <c r="P157" s="66">
        <f>IFERROR(SEARCH("NS",B156),0)</f>
        <v>6</v>
      </c>
      <c r="T157" s="67"/>
    </row>
    <row r="158" spans="1:20" x14ac:dyDescent="0.35">
      <c r="A158" s="181">
        <f>IFERROR(VLOOKUP(A156,Timetables!$A:$E,5,FALSE)-1,"")</f>
        <v>4</v>
      </c>
      <c r="B158" s="117">
        <v>1</v>
      </c>
      <c r="C158" s="392"/>
      <c r="D158" s="64" t="str">
        <f>IFERROR(IF(A164=0,HLOOKUP(C158,Declarations!$D$2:$S$102,A158,FALSE),HLOOKUP(VLOOKUP(C158,Teams!$V$2:$W$19,2,FALSE),Declarations!$D$2:$S$102,A158,FALSE)),"")</f>
        <v/>
      </c>
      <c r="E158" s="64" t="str">
        <f t="shared" ref="E158:E165" si="28">IFERROR(VLOOKUP(C158,teamlookup,5,FALSE),"")</f>
        <v/>
      </c>
      <c r="F158" s="393"/>
      <c r="G158" s="198" t="str">
        <f>IFERROR(IF(OR(F158=0,F158="",F158&gt;$A$9-0.01),"",VLOOKUP(VLOOKUP(F158,A159:B163,2,TRUE),Points!$H$7:$I$10,2,FALSE)),"")</f>
        <v/>
      </c>
      <c r="H158" s="67"/>
      <c r="I158" s="117">
        <v>1</v>
      </c>
      <c r="J158" s="392"/>
      <c r="K158" s="64" t="str">
        <f>IFERROR(IF(A164=0,HLOOKUP(J158,Declarations!$D$2:$S$102,A158,FALSE),HLOOKUP(VLOOKUP(J158,Teams!$V$2:$W$19,2,FALSE),Declarations!$D$2:$S$102,A158,FALSE)),"")</f>
        <v/>
      </c>
      <c r="L158" s="64" t="str">
        <f t="shared" ref="L158:L165" si="29">IFERROR(VLOOKUP(J158,teamlookup,5,FALSE),"")</f>
        <v/>
      </c>
      <c r="M158" s="313"/>
      <c r="N158" s="198" t="str">
        <f>IFERROR(IF(OR(M158=0,M158="",M158&gt;$A$9-0.01),"",VLOOKUP(VLOOKUP(M158,A159:B163,2,TRUE),Points!$H$7:$I$10,2,FALSE)),"")</f>
        <v/>
      </c>
      <c r="P158" s="66">
        <f ca="1">IFERROR(IF(OR(C158=0,C158="",F158=0,F158="",$P157&lt;&gt;0,LEFT(F158,1)="D"),0,VLOOKUP(B158,INDIRECT(MatchDay!$W$2),2,FALSE)),"")</f>
        <v>0</v>
      </c>
      <c r="Q158" s="66">
        <f ca="1">IFERROR(IF(OR(J158=0,J158="",M158=0,M158="",$P157&lt;&gt;0,LEFT(M158,1)="D"),0,VLOOKUP(I158,INDIRECT(MatchDay!$W$2),3,FALSE)),"")</f>
        <v>0</v>
      </c>
      <c r="R158" s="219">
        <f>COUNTIF(C158,"&gt;0")</f>
        <v>0</v>
      </c>
      <c r="S158" s="66">
        <f>IFERROR(IF(C158&gt;88,1,0),0)</f>
        <v>0</v>
      </c>
    </row>
    <row r="159" spans="1:20" x14ac:dyDescent="0.35">
      <c r="A159" s="64">
        <v>0</v>
      </c>
      <c r="B159" s="117">
        <v>2</v>
      </c>
      <c r="C159" s="392"/>
      <c r="D159" s="64" t="str">
        <f>IFERROR(IF(A164=0,HLOOKUP(C159,Declarations!$D$2:$S$102,A158,FALSE),HLOOKUP(VLOOKUP(C159,Teams!$V$2:$W$19,2,FALSE),Declarations!$D$2:$S$102,A158,FALSE)),"")</f>
        <v/>
      </c>
      <c r="E159" s="64" t="str">
        <f t="shared" si="28"/>
        <v/>
      </c>
      <c r="F159" s="393"/>
      <c r="G159" s="198" t="str">
        <f>IFERROR(IF(OR(F159=0,F159="",F159&gt;$A$9-0.01),"",VLOOKUP(VLOOKUP(F159,A159:B163,2,TRUE),Points!$H$7:$I$10,2,FALSE)),"")</f>
        <v/>
      </c>
      <c r="H159" s="67"/>
      <c r="I159" s="117">
        <v>2</v>
      </c>
      <c r="J159" s="392"/>
      <c r="K159" s="64" t="str">
        <f>IFERROR(IF(A164=0,HLOOKUP(J159,Declarations!$D$2:$S$102,A158,FALSE),HLOOKUP(VLOOKUP(J159,Teams!$V$2:$W$19,2,FALSE),Declarations!$D$2:$S$102,A158,FALSE)),"")</f>
        <v/>
      </c>
      <c r="L159" s="64" t="str">
        <f t="shared" si="29"/>
        <v/>
      </c>
      <c r="M159" s="313"/>
      <c r="N159" s="198" t="str">
        <f>IFERROR(IF(OR(M159=0,M159="",M159&gt;$A$9-0.01),"",VLOOKUP(VLOOKUP(M159,A159:B163,2,TRUE),Points!$H$7:$I$10,2,FALSE)),"")</f>
        <v/>
      </c>
      <c r="P159" s="66">
        <f ca="1">IFERROR(IF(OR(C159=0,C159="",F159=0,F159="",$P157&lt;&gt;0,LEFT(F159,1)="D"),0,VLOOKUP(B159,INDIRECT(MatchDay!$W$2),2,FALSE)),"")</f>
        <v>0</v>
      </c>
      <c r="Q159" s="66">
        <f ca="1">IFERROR(IF(OR(J159=0,J159="",M159=0,M159="",$P157&lt;&gt;0,LEFT(M159,1)="D"),0,VLOOKUP(I159,INDIRECT(MatchDay!$W$2),3,FALSE)),"")</f>
        <v>0</v>
      </c>
    </row>
    <row r="160" spans="1:20" x14ac:dyDescent="0.35">
      <c r="A160" s="118">
        <f>IFERROR(VLOOKUP(A156,standards,3,FALSE)+0.01,"-")</f>
        <v>12.709999999999999</v>
      </c>
      <c r="B160" s="117">
        <v>3</v>
      </c>
      <c r="C160" s="392"/>
      <c r="D160" s="64" t="str">
        <f>IFERROR(IF(A164=0,HLOOKUP(C160,Declarations!$D$2:$S$102,A158,FALSE),HLOOKUP(VLOOKUP(C160,Teams!$V$2:$W$19,2,FALSE),Declarations!$D$2:$S$102,A158,FALSE)),"")</f>
        <v/>
      </c>
      <c r="E160" s="64" t="str">
        <f t="shared" si="28"/>
        <v/>
      </c>
      <c r="F160" s="393"/>
      <c r="G160" s="198" t="str">
        <f>IFERROR(IF(OR(F160=0,F160="",F160&gt;$A$9-0.01),"",VLOOKUP(VLOOKUP(F160,A159:B163,2,TRUE),Points!$H$7:$I$10,2,FALSE)),"")</f>
        <v/>
      </c>
      <c r="H160" s="67"/>
      <c r="I160" s="117">
        <v>3</v>
      </c>
      <c r="J160" s="392"/>
      <c r="K160" s="64" t="str">
        <f>IFERROR(IF(A164=0,HLOOKUP(J160,Declarations!$D$2:$S$102,A158,FALSE),HLOOKUP(VLOOKUP(J160,Teams!$V$2:$W$19,2,FALSE),Declarations!$D$2:$S$102,A158,FALSE)),"")</f>
        <v/>
      </c>
      <c r="L160" s="64" t="str">
        <f t="shared" si="29"/>
        <v/>
      </c>
      <c r="M160" s="313"/>
      <c r="N160" s="198" t="str">
        <f>IFERROR(IF(OR(M160=0,M160="",M160&gt;$A$9-0.01),"",VLOOKUP(VLOOKUP(M160,A159:B163,2,TRUE),Points!$H$7:$I$10,2,FALSE)),"")</f>
        <v/>
      </c>
      <c r="P160" s="66">
        <f ca="1">IFERROR(IF(OR(C160=0,C160="",F160=0,F160="",$P157&lt;&gt;0,LEFT(F160,1)="D"),0,VLOOKUP(B160,INDIRECT(MatchDay!$W$2),2,FALSE)),"")</f>
        <v>0</v>
      </c>
      <c r="Q160" s="66">
        <f ca="1">IFERROR(IF(OR(J160=0,J160="",M160=0,M160="",$P157&lt;&gt;0,LEFT(M160,1)="D"),0,VLOOKUP(I160,INDIRECT(MatchDay!$W$2),3,FALSE)),"")</f>
        <v>0</v>
      </c>
    </row>
    <row r="161" spans="1:20" x14ac:dyDescent="0.35">
      <c r="A161" s="118">
        <f>IFERROR(VLOOKUP(A156,standards,4,FALSE)+0.01,"-")</f>
        <v>12.91</v>
      </c>
      <c r="B161" s="117">
        <v>4</v>
      </c>
      <c r="C161" s="120"/>
      <c r="D161" s="64" t="str">
        <f>IFERROR(IF(A164=0,HLOOKUP(C161,Declarations!$D$2:$S$102,A158,FALSE),HLOOKUP(VLOOKUP(C161,Teams!$V$2:$W$19,2,FALSE),Declarations!$D$2:$S$102,A158,FALSE)),"")</f>
        <v/>
      </c>
      <c r="E161" s="64" t="str">
        <f t="shared" si="28"/>
        <v/>
      </c>
      <c r="F161" s="393"/>
      <c r="G161" s="198" t="str">
        <f>IFERROR(IF(OR(F161=0,F161="",F161&gt;$A$9-0.01),"",VLOOKUP(VLOOKUP(F161,A159:B163,2,TRUE),Points!$H$7:$I$10,2,FALSE)),"")</f>
        <v/>
      </c>
      <c r="H161" s="67"/>
      <c r="I161" s="117">
        <v>4</v>
      </c>
      <c r="J161" s="392"/>
      <c r="K161" s="64" t="str">
        <f>IFERROR(IF(A164=0,HLOOKUP(J161,Declarations!$D$2:$S$102,A158,FALSE),HLOOKUP(VLOOKUP(J161,Teams!$V$2:$W$19,2,FALSE),Declarations!$D$2:$S$102,A158,FALSE)),"")</f>
        <v/>
      </c>
      <c r="L161" s="64" t="str">
        <f t="shared" si="29"/>
        <v/>
      </c>
      <c r="M161" s="313"/>
      <c r="N161" s="198" t="str">
        <f>IFERROR(IF(OR(M161=0,M161="",M161&gt;$A$9-0.01),"",VLOOKUP(VLOOKUP(M161,A159:B163,2,TRUE),Points!$H$7:$I$10,2,FALSE)),"")</f>
        <v/>
      </c>
      <c r="P161" s="66">
        <f ca="1">IFERROR(IF(OR(C161=0,C161="",F161=0,F161="",$P157&lt;&gt;0,LEFT(F161,1)="D"),0,VLOOKUP(B161,INDIRECT(MatchDay!$W$2),2,FALSE)),"")</f>
        <v>0</v>
      </c>
      <c r="Q161" s="66">
        <f ca="1">IFERROR(IF(OR(J161=0,J161="",M161=0,M161="",$P157&lt;&gt;0,LEFT(M161,1)="D"),0,VLOOKUP(I161,INDIRECT(MatchDay!$W$2),3,FALSE)),"")</f>
        <v>0</v>
      </c>
    </row>
    <row r="162" spans="1:20" x14ac:dyDescent="0.35">
      <c r="A162" s="118">
        <f>IFERROR(VLOOKUP(A156,standards,5,FALSE)+0.01,"-")</f>
        <v>13.209999999999999</v>
      </c>
      <c r="B162" s="117">
        <v>5</v>
      </c>
      <c r="C162" s="120"/>
      <c r="D162" s="64" t="str">
        <f>IFERROR(IF(A164=0,HLOOKUP(C162,Declarations!$D$2:$S$102,A158,FALSE),HLOOKUP(VLOOKUP(C162,Teams!$V$2:$W$19,2,FALSE),Declarations!$D$2:$S$102,A158,FALSE)),"")</f>
        <v/>
      </c>
      <c r="E162" s="64" t="str">
        <f t="shared" si="28"/>
        <v/>
      </c>
      <c r="F162" s="393"/>
      <c r="G162" s="198" t="str">
        <f>IFERROR(IF(OR(F162=0,F162="",F162&gt;$A$9-0.01),"",VLOOKUP(VLOOKUP(F162,A159:B163,2,TRUE),Points!$H$7:$I$10,2,FALSE)),"")</f>
        <v/>
      </c>
      <c r="H162" s="67"/>
      <c r="I162" s="117">
        <v>5</v>
      </c>
      <c r="J162" s="392"/>
      <c r="K162" s="64" t="str">
        <f>IFERROR(IF(A164=0,HLOOKUP(J162,Declarations!$D$2:$S$102,A158,FALSE),HLOOKUP(VLOOKUP(J162,Teams!$V$2:$W$19,2,FALSE),Declarations!$D$2:$S$102,A158,FALSE)),"")</f>
        <v/>
      </c>
      <c r="L162" s="64" t="str">
        <f t="shared" si="29"/>
        <v/>
      </c>
      <c r="M162" s="313"/>
      <c r="N162" s="198" t="str">
        <f>IFERROR(IF(OR(M162=0,M162="",M162&gt;$A$9-0.01),"",VLOOKUP(VLOOKUP(M162,A159:B163,2,TRUE),Points!$H$7:$I$10,2,FALSE)),"")</f>
        <v/>
      </c>
      <c r="P162" s="66">
        <f ca="1">IFERROR(IF(OR(C162=0,C162="",F162=0,F162="",$P157&lt;&gt;0,LEFT(F162,1)="D"),0,VLOOKUP(B162,INDIRECT(MatchDay!$W$2),2,FALSE)),"")</f>
        <v>0</v>
      </c>
      <c r="Q162" s="66">
        <f ca="1">IFERROR(IF(OR(J162=0,J162="",M162=0,M162="",$P157&lt;&gt;0,LEFT(M162,1)="D"),0,VLOOKUP(I162,INDIRECT(MatchDay!$W$2),3,FALSE)),"")</f>
        <v>0</v>
      </c>
    </row>
    <row r="163" spans="1:20" x14ac:dyDescent="0.35">
      <c r="A163" s="118">
        <f>IFERROR(VLOOKUP(A156,standards,6,FALSE)+0.01,"-")</f>
        <v>13.51</v>
      </c>
      <c r="B163" s="117">
        <v>6</v>
      </c>
      <c r="C163" s="120"/>
      <c r="D163" s="64" t="str">
        <f>IFERROR(IF(A164=0,HLOOKUP(C163,Declarations!$D$2:$S$102,A158,FALSE),HLOOKUP(VLOOKUP(C163,Teams!$V$2:$W$19,2,FALSE),Declarations!$D$2:$S$102,A158,FALSE)),"")</f>
        <v/>
      </c>
      <c r="E163" s="64" t="str">
        <f t="shared" si="28"/>
        <v/>
      </c>
      <c r="F163" s="393"/>
      <c r="G163" s="198" t="str">
        <f>IFERROR(IF(OR(F163=0,F163="",F163&gt;$A$9-0.01),"",VLOOKUP(VLOOKUP(F163,A159:B163,2,TRUE),Points!$H$7:$I$10,2,FALSE)),"")</f>
        <v/>
      </c>
      <c r="H163" s="67"/>
      <c r="I163" s="117">
        <v>6</v>
      </c>
      <c r="J163" s="392"/>
      <c r="K163" s="64" t="str">
        <f>IFERROR(IF(A164=0,HLOOKUP(J163,Declarations!$D$2:$S$102,A158,FALSE),HLOOKUP(VLOOKUP(J163,Teams!$V$2:$W$19,2,FALSE),Declarations!$D$2:$S$102,A158,FALSE)),"")</f>
        <v/>
      </c>
      <c r="L163" s="64" t="str">
        <f t="shared" si="29"/>
        <v/>
      </c>
      <c r="M163" s="313"/>
      <c r="N163" s="198" t="str">
        <f>IFERROR(IF(OR(M163=0,M163="",M163&gt;$A$9-0.01),"",VLOOKUP(VLOOKUP(M163,A159:B163,2,TRUE),Points!$H$7:$I$10,2,FALSE)),"")</f>
        <v/>
      </c>
      <c r="P163" s="66">
        <f ca="1">IFERROR(IF(OR(C163=0,C163="",F163=0,F163="",$P157&lt;&gt;0,LEFT(F163,1)="D"),0,VLOOKUP(B163,INDIRECT(MatchDay!$W$2),2,FALSE)),"")</f>
        <v>0</v>
      </c>
      <c r="Q163" s="66">
        <f ca="1">IFERROR(IF(OR(J163=0,J163="",M163=0,M163="",$P157&lt;&gt;0,LEFT(M163,1)="D"),0,VLOOKUP(I163,INDIRECT(MatchDay!$W$2),3,FALSE)),"")</f>
        <v>0</v>
      </c>
    </row>
    <row r="164" spans="1:20" x14ac:dyDescent="0.35">
      <c r="A164" s="136">
        <f>IFERROR(SEARCH("U17",B156),0)</f>
        <v>0</v>
      </c>
      <c r="B164" s="117">
        <v>7</v>
      </c>
      <c r="C164" s="120"/>
      <c r="D164" s="64" t="str">
        <f>IFERROR(IF(A164=0,HLOOKUP(C164,Declarations!$D$2:$S$102,A158,FALSE),HLOOKUP(VLOOKUP(C164,Teams!$V$2:$W$19,2,FALSE),Declarations!$D$2:$S$102,A158,FALSE)),"")</f>
        <v/>
      </c>
      <c r="E164" s="64" t="str">
        <f t="shared" si="28"/>
        <v/>
      </c>
      <c r="F164" s="393"/>
      <c r="G164" s="198" t="str">
        <f>IFERROR(IF(OR(F164=0,F164="",F164&gt;$A$9-0.01),"",VLOOKUP(VLOOKUP(F164,A159:B163,2,TRUE),Points!$H$7:$I$10,2,FALSE)),"")</f>
        <v/>
      </c>
      <c r="H164" s="67"/>
      <c r="I164" s="117">
        <v>7</v>
      </c>
      <c r="J164" s="392"/>
      <c r="K164" s="64" t="str">
        <f>IFERROR(IF(A164=0,HLOOKUP(J164,Declarations!$D$2:$S$102,A158,FALSE),HLOOKUP(VLOOKUP(J164,Teams!$V$2:$W$19,2,FALSE),Declarations!$D$2:$S$102,A158,FALSE)),"")</f>
        <v/>
      </c>
      <c r="L164" s="64" t="str">
        <f t="shared" si="29"/>
        <v/>
      </c>
      <c r="M164" s="313"/>
      <c r="N164" s="198" t="str">
        <f>IFERROR(IF(OR(M164=0,M164="",M164&gt;$A$9-0.01),"",VLOOKUP(VLOOKUP(M164,A159:B163,2,TRUE),Points!$H$7:$I$10,2,FALSE)),"")</f>
        <v/>
      </c>
      <c r="P164" s="66">
        <f ca="1">IFERROR(IF(OR(C164=0,C164="",F164=0,F164="",$P157&lt;&gt;0,LEFT(F164,1)="D"),0,VLOOKUP(B164,INDIRECT(MatchDay!$W$2),2,FALSE)),"")</f>
        <v>0</v>
      </c>
      <c r="Q164" s="66">
        <f ca="1">IFERROR(IF(OR(J164=0,J164="",M164=0,M164="",$P157&lt;&gt;0,LEFT(M164,1)="D"),0,VLOOKUP(I164,INDIRECT(MatchDay!$W$2),3,FALSE)),"")</f>
        <v>0</v>
      </c>
    </row>
    <row r="165" spans="1:20" x14ac:dyDescent="0.35">
      <c r="A165" s="116">
        <f>IFERROR(VLOOKUP(A156,records,5,FALSE),"")</f>
        <v>12.1</v>
      </c>
      <c r="B165" s="117">
        <v>8</v>
      </c>
      <c r="C165" s="120"/>
      <c r="D165" s="64" t="str">
        <f>IFERROR(IF(A164=0,HLOOKUP(C165,Declarations!$D$2:$S$102,A158,FALSE),HLOOKUP(VLOOKUP(C165,Teams!$V$2:$W$19,2,FALSE),Declarations!$D$2:$S$102,A158,FALSE)),"")</f>
        <v/>
      </c>
      <c r="E165" s="64" t="str">
        <f t="shared" si="28"/>
        <v/>
      </c>
      <c r="F165" s="393"/>
      <c r="G165" s="198" t="str">
        <f>IFERROR(IF(OR(F165=0,F165="",F165&gt;$A$9-0.01),"",VLOOKUP(VLOOKUP(F165,A159:B163,2,TRUE),Points!$H$7:$I$10,2,FALSE)),"")</f>
        <v/>
      </c>
      <c r="H165" s="67"/>
      <c r="I165" s="117">
        <v>8</v>
      </c>
      <c r="J165" s="392"/>
      <c r="K165" s="64" t="str">
        <f>IFERROR(IF(A164=0,HLOOKUP(J165,Declarations!$D$2:$S$102,A158,FALSE),HLOOKUP(VLOOKUP(J165,Teams!$V$2:$W$19,2,FALSE),Declarations!$D$2:$S$102,A158,FALSE)),"")</f>
        <v/>
      </c>
      <c r="L165" s="64" t="str">
        <f t="shared" si="29"/>
        <v/>
      </c>
      <c r="M165" s="313"/>
      <c r="N165" s="198" t="str">
        <f>IFERROR(IF(OR(M165=0,M165="",M165&gt;$A$9-0.01),"",VLOOKUP(VLOOKUP(M165,A159:B163,2,TRUE),Points!$H$7:$I$10,2,FALSE)),"")</f>
        <v/>
      </c>
      <c r="P165" s="66">
        <f ca="1">IFERROR(IF(OR(C165=0,C165="",F165=0,F165="",$P157&lt;&gt;0,LEFT(F165,1)="D"),0,VLOOKUP(B165,INDIRECT(MatchDay!$W$2),2,FALSE)),"")</f>
        <v>0</v>
      </c>
      <c r="Q165" s="66">
        <f ca="1">IFERROR(IF(OR(J165=0,J165="",M165=0,M165="",$P157&lt;&gt;0,LEFT(M165,1)="D"),0,VLOOKUP(I165,INDIRECT(MatchDay!$W$2),3,FALSE)),"")</f>
        <v>0</v>
      </c>
    </row>
    <row r="167" spans="1:20" x14ac:dyDescent="0.35">
      <c r="A167" s="111" t="s">
        <v>47</v>
      </c>
      <c r="B167" s="112" t="str">
        <f>IFERROR(VLOOKUP(A167,timetables,2,FALSE)&amp;" "&amp;VLOOKUP(A167,timetables,3,FALSE)&amp;" A","")</f>
        <v>100m NS U15 Boys A</v>
      </c>
      <c r="C167" s="112"/>
      <c r="E167" s="130" t="str">
        <f>IFERROR(IF(VLOOKUP($A167,timetables,8,FALSE)="W","Wind = ",""),"")</f>
        <v xml:space="preserve">Wind = </v>
      </c>
      <c r="F167" s="394"/>
      <c r="G167" s="119" t="str">
        <f>IFERROR(IF(OR(F169=0,F169=""),"",IF(F169&lt;A176,"REC",IF(F169=A176,"=Rec",""))),"")</f>
        <v/>
      </c>
      <c r="I167" s="114" t="str">
        <f>IFERROR(VLOOKUP(A167,timetables,2,FALSE)&amp;" "&amp;VLOOKUP(A167,timetables,3,FALSE)&amp;" B","")</f>
        <v>100m NS U15 Boys B</v>
      </c>
      <c r="J167" s="115"/>
      <c r="L167" s="130" t="str">
        <f>IFERROR(IF(VLOOKUP($A167,timetables,8,FALSE)="W","Wind = ",""),"")</f>
        <v xml:space="preserve">Wind = </v>
      </c>
      <c r="M167" s="394"/>
      <c r="P167" s="66" t="s">
        <v>53</v>
      </c>
      <c r="Q167" s="66" t="s">
        <v>54</v>
      </c>
    </row>
    <row r="168" spans="1:20" x14ac:dyDescent="0.35">
      <c r="A168" s="82"/>
      <c r="B168" s="45" t="s">
        <v>230</v>
      </c>
      <c r="C168" s="45" t="s">
        <v>183</v>
      </c>
      <c r="D168" s="47" t="s">
        <v>227</v>
      </c>
      <c r="E168" s="47" t="s">
        <v>228</v>
      </c>
      <c r="F168" s="149" t="s">
        <v>229</v>
      </c>
      <c r="G168" s="199" t="s">
        <v>55</v>
      </c>
      <c r="H168" s="47"/>
      <c r="I168" s="45" t="s">
        <v>230</v>
      </c>
      <c r="J168" s="45" t="s">
        <v>183</v>
      </c>
      <c r="K168" s="47" t="s">
        <v>227</v>
      </c>
      <c r="L168" s="47" t="s">
        <v>228</v>
      </c>
      <c r="M168" s="149" t="s">
        <v>229</v>
      </c>
      <c r="N168" s="199" t="s">
        <v>55</v>
      </c>
      <c r="P168" s="66">
        <f>IFERROR(SEARCH("NS",B167),0)</f>
        <v>6</v>
      </c>
      <c r="T168" s="67"/>
    </row>
    <row r="169" spans="1:20" x14ac:dyDescent="0.35">
      <c r="A169" s="181">
        <f>IFERROR(VLOOKUP(A167,Timetables!$A:$E,5,FALSE)-1,"")</f>
        <v>54</v>
      </c>
      <c r="B169" s="117">
        <v>1</v>
      </c>
      <c r="C169" s="120"/>
      <c r="D169" s="64" t="str">
        <f>IFERROR(IF(A175=0,HLOOKUP(C169,Declarations!$D$2:$S$102,A169,FALSE),HLOOKUP(VLOOKUP(C169,Teams!$V$2:$W$19,2,FALSE),Declarations!$D$2:$S$102,A169,FALSE)),"")</f>
        <v/>
      </c>
      <c r="E169" s="64" t="str">
        <f t="shared" ref="E169:E176" si="30">IFERROR(VLOOKUP(C169,teamlookup,5,FALSE),"")</f>
        <v/>
      </c>
      <c r="F169" s="393"/>
      <c r="G169" s="198" t="str">
        <f>IFERROR(IF(OR(F169=0,F169="",F169&gt;$A$9-0.01),"",VLOOKUP(VLOOKUP(F169,A170:B174,2,TRUE),Points!$H$7:$I$10,2,FALSE)),"")</f>
        <v/>
      </c>
      <c r="H169" s="67"/>
      <c r="I169" s="117">
        <v>1</v>
      </c>
      <c r="J169" s="392"/>
      <c r="K169" s="64" t="str">
        <f>IFERROR(IF(A175=0,HLOOKUP(J169,Declarations!$D$2:$S$102,A169,FALSE),HLOOKUP(VLOOKUP(J169,Teams!$V$2:$W$19,2,FALSE),Declarations!$D$2:$S$102,A169,FALSE)),"")</f>
        <v/>
      </c>
      <c r="L169" s="64" t="str">
        <f t="shared" ref="L169:L176" si="31">IFERROR(VLOOKUP(J169,teamlookup,5,FALSE),"")</f>
        <v/>
      </c>
      <c r="M169" s="313"/>
      <c r="N169" s="198" t="str">
        <f>IFERROR(IF(OR(M169=0,M169="",M169&gt;$A$9-0.01),"",VLOOKUP(VLOOKUP(M169,A170:B174,2,TRUE),Points!$H$7:$I$10,2,FALSE)),"")</f>
        <v/>
      </c>
      <c r="P169" s="66">
        <f ca="1">IFERROR(IF(OR(C169=0,C169="",F169=0,F169="",$P168&lt;&gt;0,LEFT(F169,1)="D"),0,VLOOKUP(B169,INDIRECT(MatchDay!$W$2),2,FALSE)),"")</f>
        <v>0</v>
      </c>
      <c r="Q169" s="66">
        <f ca="1">IFERROR(IF(OR(J169=0,J169="",M169=0,M169="",$P168&lt;&gt;0,LEFT(M169,1)="D"),0,VLOOKUP(I169,INDIRECT(MatchDay!$W$2),3,FALSE)),"")</f>
        <v>0</v>
      </c>
      <c r="R169" s="219">
        <f>COUNTIF(C169,"&gt;0")</f>
        <v>0</v>
      </c>
      <c r="S169" s="66">
        <f>IFERROR(IF(C169&gt;88,1,0),0)</f>
        <v>0</v>
      </c>
    </row>
    <row r="170" spans="1:20" x14ac:dyDescent="0.35">
      <c r="A170" s="64">
        <v>0</v>
      </c>
      <c r="B170" s="117">
        <v>2</v>
      </c>
      <c r="C170" s="120"/>
      <c r="D170" s="64" t="str">
        <f>IFERROR(IF(A175=0,HLOOKUP(C170,Declarations!$D$2:$S$102,A169,FALSE),HLOOKUP(VLOOKUP(C170,Teams!$V$2:$W$19,2,FALSE),Declarations!$D$2:$S$102,A169,FALSE)),"")</f>
        <v/>
      </c>
      <c r="E170" s="64" t="str">
        <f t="shared" si="30"/>
        <v/>
      </c>
      <c r="F170" s="393"/>
      <c r="G170" s="198" t="str">
        <f>IFERROR(IF(OR(F170=0,F170="",F170&gt;$A$9-0.01),"",VLOOKUP(VLOOKUP(F170,A170:B174,2,TRUE),Points!$H$7:$I$10,2,FALSE)),"")</f>
        <v/>
      </c>
      <c r="H170" s="67"/>
      <c r="I170" s="117">
        <v>2</v>
      </c>
      <c r="J170" s="392"/>
      <c r="K170" s="64" t="str">
        <f>IFERROR(IF(A175=0,HLOOKUP(J170,Declarations!$D$2:$S$102,A169,FALSE),HLOOKUP(VLOOKUP(J170,Teams!$V$2:$W$19,2,FALSE),Declarations!$D$2:$S$102,A169,FALSE)),"")</f>
        <v/>
      </c>
      <c r="L170" s="64" t="str">
        <f t="shared" si="31"/>
        <v/>
      </c>
      <c r="M170" s="313"/>
      <c r="N170" s="198" t="str">
        <f>IFERROR(IF(OR(M170=0,M170="",M170&gt;$A$9-0.01),"",VLOOKUP(VLOOKUP(M170,A170:B174,2,TRUE),Points!$H$7:$I$10,2,FALSE)),"")</f>
        <v/>
      </c>
      <c r="P170" s="66">
        <f ca="1">IFERROR(IF(OR(C170=0,C170="",F170=0,F170="",$P168&lt;&gt;0,LEFT(F170,1)="D"),0,VLOOKUP(B170,INDIRECT(MatchDay!$W$2),2,FALSE)),"")</f>
        <v>0</v>
      </c>
      <c r="Q170" s="66">
        <f ca="1">IFERROR(IF(OR(J170=0,J170="",M170=0,M170="",$P168&lt;&gt;0,LEFT(M170,1)="D"),0,VLOOKUP(I170,INDIRECT(MatchDay!$W$2),3,FALSE)),"")</f>
        <v>0</v>
      </c>
    </row>
    <row r="171" spans="1:20" x14ac:dyDescent="0.35">
      <c r="A171" s="118">
        <f>IFERROR(VLOOKUP(A167,standards,3,FALSE)+0.01,"-")</f>
        <v>11.709999999999999</v>
      </c>
      <c r="B171" s="117">
        <v>3</v>
      </c>
      <c r="C171" s="120"/>
      <c r="D171" s="64" t="str">
        <f>IFERROR(IF(A175=0,HLOOKUP(C171,Declarations!$D$2:$S$102,A169,FALSE),HLOOKUP(VLOOKUP(C171,Teams!$V$2:$W$19,2,FALSE),Declarations!$D$2:$S$102,A169,FALSE)),"")</f>
        <v/>
      </c>
      <c r="E171" s="64" t="str">
        <f t="shared" si="30"/>
        <v/>
      </c>
      <c r="F171" s="393"/>
      <c r="G171" s="198" t="str">
        <f>IFERROR(IF(OR(F171=0,F171="",F171&gt;$A$9-0.01),"",VLOOKUP(VLOOKUP(F171,A170:B174,2,TRUE),Points!$H$7:$I$10,2,FALSE)),"")</f>
        <v/>
      </c>
      <c r="H171" s="67"/>
      <c r="I171" s="117">
        <v>3</v>
      </c>
      <c r="J171" s="392"/>
      <c r="K171" s="64" t="str">
        <f>IFERROR(IF(A175=0,HLOOKUP(J171,Declarations!$D$2:$S$102,A169,FALSE),HLOOKUP(VLOOKUP(J171,Teams!$V$2:$W$19,2,FALSE),Declarations!$D$2:$S$102,A169,FALSE)),"")</f>
        <v/>
      </c>
      <c r="L171" s="64" t="str">
        <f t="shared" si="31"/>
        <v/>
      </c>
      <c r="M171" s="313"/>
      <c r="N171" s="198" t="str">
        <f>IFERROR(IF(OR(M171=0,M171="",M171&gt;$A$9-0.01),"",VLOOKUP(VLOOKUP(M171,A170:B174,2,TRUE),Points!$H$7:$I$10,2,FALSE)),"")</f>
        <v/>
      </c>
      <c r="P171" s="66">
        <f ca="1">IFERROR(IF(OR(C171=0,C171="",F171=0,F171="",$P168&lt;&gt;0,LEFT(F171,1)="D"),0,VLOOKUP(B171,INDIRECT(MatchDay!$W$2),2,FALSE)),"")</f>
        <v>0</v>
      </c>
      <c r="Q171" s="66">
        <f ca="1">IFERROR(IF(OR(J171=0,J171="",M171=0,M171="",$P168&lt;&gt;0,LEFT(M171,1)="D"),0,VLOOKUP(I171,INDIRECT(MatchDay!$W$2),3,FALSE)),"")</f>
        <v>0</v>
      </c>
    </row>
    <row r="172" spans="1:20" x14ac:dyDescent="0.35">
      <c r="A172" s="118">
        <f>IFERROR(VLOOKUP(A167,standards,4,FALSE)+0.01,"-")</f>
        <v>11.91</v>
      </c>
      <c r="B172" s="117">
        <v>4</v>
      </c>
      <c r="C172" s="120"/>
      <c r="D172" s="64" t="str">
        <f>IFERROR(IF(A175=0,HLOOKUP(C172,Declarations!$D$2:$S$102,A169,FALSE),HLOOKUP(VLOOKUP(C172,Teams!$V$2:$W$19,2,FALSE),Declarations!$D$2:$S$102,A169,FALSE)),"")</f>
        <v/>
      </c>
      <c r="E172" s="64" t="str">
        <f t="shared" si="30"/>
        <v/>
      </c>
      <c r="F172" s="393"/>
      <c r="G172" s="198" t="str">
        <f>IFERROR(IF(OR(F172=0,F172="",F172&gt;$A$9-0.01),"",VLOOKUP(VLOOKUP(F172,A170:B174,2,TRUE),Points!$H$7:$I$10,2,FALSE)),"")</f>
        <v/>
      </c>
      <c r="H172" s="67"/>
      <c r="I172" s="117">
        <v>4</v>
      </c>
      <c r="J172" s="392"/>
      <c r="K172" s="64" t="str">
        <f>IFERROR(IF(A175=0,HLOOKUP(J172,Declarations!$D$2:$S$102,A169,FALSE),HLOOKUP(VLOOKUP(J172,Teams!$V$2:$W$19,2,FALSE),Declarations!$D$2:$S$102,A169,FALSE)),"")</f>
        <v/>
      </c>
      <c r="L172" s="64" t="str">
        <f t="shared" si="31"/>
        <v/>
      </c>
      <c r="M172" s="313"/>
      <c r="N172" s="198" t="str">
        <f>IFERROR(IF(OR(M172=0,M172="",M172&gt;$A$9-0.01),"",VLOOKUP(VLOOKUP(M172,A170:B174,2,TRUE),Points!$H$7:$I$10,2,FALSE)),"")</f>
        <v/>
      </c>
      <c r="P172" s="66">
        <f ca="1">IFERROR(IF(OR(C172=0,C172="",F172=0,F172="",$P168&lt;&gt;0,LEFT(F172,1)="D"),0,VLOOKUP(B172,INDIRECT(MatchDay!$W$2),2,FALSE)),"")</f>
        <v>0</v>
      </c>
      <c r="Q172" s="66">
        <f ca="1">IFERROR(IF(OR(J172=0,J172="",M172=0,M172="",$P168&lt;&gt;0,LEFT(M172,1)="D"),0,VLOOKUP(I172,INDIRECT(MatchDay!$W$2),3,FALSE)),"")</f>
        <v>0</v>
      </c>
    </row>
    <row r="173" spans="1:20" x14ac:dyDescent="0.35">
      <c r="A173" s="118">
        <f>IFERROR(VLOOKUP(A167,standards,5,FALSE)+0.01,"-")</f>
        <v>12.11</v>
      </c>
      <c r="B173" s="117">
        <v>5</v>
      </c>
      <c r="C173" s="120"/>
      <c r="D173" s="64" t="str">
        <f>IFERROR(IF(A175=0,HLOOKUP(C173,Declarations!$D$2:$S$102,A169,FALSE),HLOOKUP(VLOOKUP(C173,Teams!$V$2:$W$19,2,FALSE),Declarations!$D$2:$S$102,A169,FALSE)),"")</f>
        <v/>
      </c>
      <c r="E173" s="64" t="str">
        <f t="shared" si="30"/>
        <v/>
      </c>
      <c r="F173" s="393"/>
      <c r="G173" s="198" t="str">
        <f>IFERROR(IF(OR(F173=0,F173="",F173&gt;$A$9-0.01),"",VLOOKUP(VLOOKUP(F173,A170:B174,2,TRUE),Points!$H$7:$I$10,2,FALSE)),"")</f>
        <v/>
      </c>
      <c r="H173" s="67"/>
      <c r="I173" s="117">
        <v>5</v>
      </c>
      <c r="J173" s="392"/>
      <c r="K173" s="64" t="str">
        <f>IFERROR(IF(A175=0,HLOOKUP(J173,Declarations!$D$2:$S$102,A169,FALSE),HLOOKUP(VLOOKUP(J173,Teams!$V$2:$W$19,2,FALSE),Declarations!$D$2:$S$102,A169,FALSE)),"")</f>
        <v/>
      </c>
      <c r="L173" s="64" t="str">
        <f t="shared" si="31"/>
        <v/>
      </c>
      <c r="M173" s="313"/>
      <c r="N173" s="198" t="str">
        <f>IFERROR(IF(OR(M173=0,M173="",M173&gt;$A$9-0.01),"",VLOOKUP(VLOOKUP(M173,A170:B174,2,TRUE),Points!$H$7:$I$10,2,FALSE)),"")</f>
        <v/>
      </c>
      <c r="P173" s="66">
        <f ca="1">IFERROR(IF(OR(C173=0,C173="",F173=0,F173="",$P168&lt;&gt;0,LEFT(F173,1)="D"),0,VLOOKUP(B173,INDIRECT(MatchDay!$W$2),2,FALSE)),"")</f>
        <v>0</v>
      </c>
      <c r="Q173" s="66">
        <f ca="1">IFERROR(IF(OR(J173=0,J173="",M173=0,M173="",$P168&lt;&gt;0,LEFT(M173,1)="D"),0,VLOOKUP(I173,INDIRECT(MatchDay!$W$2),3,FALSE)),"")</f>
        <v>0</v>
      </c>
    </row>
    <row r="174" spans="1:20" x14ac:dyDescent="0.35">
      <c r="A174" s="118">
        <f>IFERROR(VLOOKUP(A167,standards,6,FALSE)+0.01,"-")</f>
        <v>12.41</v>
      </c>
      <c r="B174" s="117">
        <v>6</v>
      </c>
      <c r="C174" s="120"/>
      <c r="D174" s="64" t="str">
        <f>IFERROR(IF(A175=0,HLOOKUP(C174,Declarations!$D$2:$S$102,A169,FALSE),HLOOKUP(VLOOKUP(C174,Teams!$V$2:$W$19,2,FALSE),Declarations!$D$2:$S$102,A169,FALSE)),"")</f>
        <v/>
      </c>
      <c r="E174" s="64" t="str">
        <f t="shared" si="30"/>
        <v/>
      </c>
      <c r="F174" s="393"/>
      <c r="G174" s="198" t="str">
        <f>IFERROR(IF(OR(F174=0,F174="",F174&gt;$A$9-0.01),"",VLOOKUP(VLOOKUP(F174,A170:B174,2,TRUE),Points!$H$7:$I$10,2,FALSE)),"")</f>
        <v/>
      </c>
      <c r="H174" s="67"/>
      <c r="I174" s="117">
        <v>6</v>
      </c>
      <c r="J174" s="392"/>
      <c r="K174" s="64" t="str">
        <f>IFERROR(IF(A175=0,HLOOKUP(J174,Declarations!$D$2:$S$102,A169,FALSE),HLOOKUP(VLOOKUP(J174,Teams!$V$2:$W$19,2,FALSE),Declarations!$D$2:$S$102,A169,FALSE)),"")</f>
        <v/>
      </c>
      <c r="L174" s="64" t="str">
        <f t="shared" si="31"/>
        <v/>
      </c>
      <c r="M174" s="313"/>
      <c r="N174" s="198" t="str">
        <f>IFERROR(IF(OR(M174=0,M174="",M174&gt;$A$9-0.01),"",VLOOKUP(VLOOKUP(M174,A170:B174,2,TRUE),Points!$H$7:$I$10,2,FALSE)),"")</f>
        <v/>
      </c>
      <c r="P174" s="66">
        <f ca="1">IFERROR(IF(OR(C174=0,C174="",F174=0,F174="",$P168&lt;&gt;0,LEFT(F174,1)="D"),0,VLOOKUP(B174,INDIRECT(MatchDay!$W$2),2,FALSE)),"")</f>
        <v>0</v>
      </c>
      <c r="Q174" s="66">
        <f ca="1">IFERROR(IF(OR(J174=0,J174="",M174=0,M174="",$P168&lt;&gt;0,LEFT(M174,1)="D"),0,VLOOKUP(I174,INDIRECT(MatchDay!$W$2),3,FALSE)),"")</f>
        <v>0</v>
      </c>
    </row>
    <row r="175" spans="1:20" x14ac:dyDescent="0.35">
      <c r="A175" s="136">
        <f>IFERROR(SEARCH("U17",B167),0)</f>
        <v>0</v>
      </c>
      <c r="B175" s="117">
        <v>7</v>
      </c>
      <c r="C175" s="120"/>
      <c r="D175" s="64" t="str">
        <f>IFERROR(IF(A175=0,HLOOKUP(C175,Declarations!$D$2:$S$102,A169,FALSE),HLOOKUP(VLOOKUP(C175,Teams!$V$2:$W$19,2,FALSE),Declarations!$D$2:$S$102,A169,FALSE)),"")</f>
        <v/>
      </c>
      <c r="E175" s="64" t="str">
        <f t="shared" si="30"/>
        <v/>
      </c>
      <c r="F175" s="393"/>
      <c r="G175" s="198" t="str">
        <f>IFERROR(IF(OR(F175=0,F175="",F175&gt;$A$9-0.01),"",VLOOKUP(VLOOKUP(F175,A170:B174,2,TRUE),Points!$H$7:$I$10,2,FALSE)),"")</f>
        <v/>
      </c>
      <c r="H175" s="67"/>
      <c r="I175" s="117">
        <v>7</v>
      </c>
      <c r="J175" s="392"/>
      <c r="K175" s="64" t="str">
        <f>IFERROR(IF(A175=0,HLOOKUP(J175,Declarations!$D$2:$S$102,A169,FALSE),HLOOKUP(VLOOKUP(J175,Teams!$V$2:$W$19,2,FALSE),Declarations!$D$2:$S$102,A169,FALSE)),"")</f>
        <v/>
      </c>
      <c r="L175" s="64" t="str">
        <f t="shared" si="31"/>
        <v/>
      </c>
      <c r="M175" s="313"/>
      <c r="N175" s="198" t="str">
        <f>IFERROR(IF(OR(M175=0,M175="",M175&gt;$A$9-0.01),"",VLOOKUP(VLOOKUP(M175,A170:B174,2,TRUE),Points!$H$7:$I$10,2,FALSE)),"")</f>
        <v/>
      </c>
      <c r="P175" s="66">
        <f ca="1">IFERROR(IF(OR(C175=0,C175="",F175=0,F175="",$P168&lt;&gt;0,LEFT(F175,1)="D"),0,VLOOKUP(B175,INDIRECT(MatchDay!$W$2),2,FALSE)),"")</f>
        <v>0</v>
      </c>
      <c r="Q175" s="66">
        <f ca="1">IFERROR(IF(OR(J175=0,J175="",M175=0,M175="",$P168&lt;&gt;0,LEFT(M175,1)="D"),0,VLOOKUP(I175,INDIRECT(MatchDay!$W$2),3,FALSE)),"")</f>
        <v>0</v>
      </c>
    </row>
    <row r="176" spans="1:20" x14ac:dyDescent="0.35">
      <c r="A176" s="116">
        <f>IFERROR(VLOOKUP(A167,records,5,FALSE),"")</f>
        <v>11</v>
      </c>
      <c r="B176" s="117">
        <v>8</v>
      </c>
      <c r="C176" s="120"/>
      <c r="D176" s="64" t="str">
        <f>IFERROR(IF(A175=0,HLOOKUP(C176,Declarations!$D$2:$S$102,A169,FALSE),HLOOKUP(VLOOKUP(C176,Teams!$V$2:$W$19,2,FALSE),Declarations!$D$2:$S$102,A169,FALSE)),"")</f>
        <v/>
      </c>
      <c r="E176" s="64" t="str">
        <f t="shared" si="30"/>
        <v/>
      </c>
      <c r="F176" s="393"/>
      <c r="G176" s="198" t="str">
        <f>IFERROR(IF(OR(F176=0,F176="",F176&gt;$A$9-0.01),"",VLOOKUP(VLOOKUP(F176,A170:B174,2,TRUE),Points!$H$7:$I$10,2,FALSE)),"")</f>
        <v/>
      </c>
      <c r="H176" s="67"/>
      <c r="I176" s="117">
        <v>8</v>
      </c>
      <c r="J176" s="392"/>
      <c r="K176" s="64" t="str">
        <f>IFERROR(IF(A175=0,HLOOKUP(J176,Declarations!$D$2:$S$102,A169,FALSE),HLOOKUP(VLOOKUP(J176,Teams!$V$2:$W$19,2,FALSE),Declarations!$D$2:$S$102,A169,FALSE)),"")</f>
        <v/>
      </c>
      <c r="L176" s="64" t="str">
        <f t="shared" si="31"/>
        <v/>
      </c>
      <c r="M176" s="313"/>
      <c r="N176" s="198" t="str">
        <f>IFERROR(IF(OR(M176=0,M176="",M176&gt;$A$9-0.01),"",VLOOKUP(VLOOKUP(M176,A170:B174,2,TRUE),Points!$H$7:$I$10,2,FALSE)),"")</f>
        <v/>
      </c>
      <c r="P176" s="66">
        <f ca="1">IFERROR(IF(OR(C176=0,C176="",F176=0,F176="",$P168&lt;&gt;0,LEFT(F176,1)="D"),0,VLOOKUP(B176,INDIRECT(MatchDay!$W$2),2,FALSE)),"")</f>
        <v>0</v>
      </c>
      <c r="Q176" s="66">
        <f ca="1">IFERROR(IF(OR(J176=0,J176="",M176=0,M176="",$P168&lt;&gt;0,LEFT(M176,1)="D"),0,VLOOKUP(I176,INDIRECT(MatchDay!$W$2),3,FALSE)),"")</f>
        <v>0</v>
      </c>
    </row>
    <row r="178" spans="1:20" x14ac:dyDescent="0.35">
      <c r="A178" s="111" t="s">
        <v>48</v>
      </c>
      <c r="B178" s="112" t="str">
        <f>IFERROR(VLOOKUP(A178,timetables,2,FALSE)&amp;" "&amp;VLOOKUP(A178,timetables,3,FALSE)&amp;" A","")</f>
        <v>300m U15 Girls A</v>
      </c>
      <c r="C178" s="112"/>
      <c r="E178" s="130" t="str">
        <f>IFERROR(IF(VLOOKUP($A178,timetables,8,FALSE)="W","Wind = ",""),"")</f>
        <v/>
      </c>
      <c r="G178" s="119" t="str">
        <f>IFERROR(IF(OR(F180=0,F180=""),"",IF(F180&lt;A187,"REC",IF(F180=A187,"=Rec",""))),"")</f>
        <v/>
      </c>
      <c r="I178" s="114" t="str">
        <f>IFERROR(VLOOKUP(A178,timetables,2,FALSE)&amp;" "&amp;VLOOKUP(A178,timetables,3,FALSE)&amp;" B","")</f>
        <v>300m U15 Girls B</v>
      </c>
      <c r="J178" s="115"/>
      <c r="L178" s="130" t="str">
        <f>IFERROR(IF(VLOOKUP($A178,timetables,8,FALSE)="W","Wind = ",""),"")</f>
        <v/>
      </c>
      <c r="P178" s="66" t="s">
        <v>53</v>
      </c>
      <c r="Q178" s="66" t="s">
        <v>54</v>
      </c>
    </row>
    <row r="179" spans="1:20" x14ac:dyDescent="0.35">
      <c r="A179" s="82"/>
      <c r="B179" s="45" t="s">
        <v>230</v>
      </c>
      <c r="C179" s="45" t="s">
        <v>183</v>
      </c>
      <c r="D179" s="47" t="s">
        <v>227</v>
      </c>
      <c r="E179" s="47" t="s">
        <v>228</v>
      </c>
      <c r="F179" s="149" t="s">
        <v>229</v>
      </c>
      <c r="G179" s="199" t="s">
        <v>55</v>
      </c>
      <c r="H179" s="47"/>
      <c r="I179" s="45" t="s">
        <v>230</v>
      </c>
      <c r="J179" s="45" t="s">
        <v>183</v>
      </c>
      <c r="K179" s="47" t="s">
        <v>227</v>
      </c>
      <c r="L179" s="47" t="s">
        <v>228</v>
      </c>
      <c r="M179" s="149" t="s">
        <v>229</v>
      </c>
      <c r="N179" s="199" t="s">
        <v>55</v>
      </c>
      <c r="P179" s="66">
        <f>IFERROR(SEARCH("NS",B178),0)</f>
        <v>0</v>
      </c>
      <c r="T179" s="67"/>
    </row>
    <row r="180" spans="1:20" x14ac:dyDescent="0.35">
      <c r="A180" s="181">
        <f>IFERROR(VLOOKUP(A178,Timetables!$A:$E,5,FALSE)-1,"")</f>
        <v>6</v>
      </c>
      <c r="B180" s="117">
        <v>1</v>
      </c>
      <c r="C180" s="392">
        <v>1</v>
      </c>
      <c r="D180" s="64" t="str">
        <f ca="1">IFERROR(IF(A186=0,HLOOKUP(C180,Declarations!$D$2:$S$102,A180,FALSE),HLOOKUP(VLOOKUP(C180,Teams!$V$2:$W$19,2,FALSE),Declarations!$D$2:$S$102,A180,FALSE)),"")</f>
        <v>MOODY Hannah</v>
      </c>
      <c r="E180" s="64" t="str">
        <f t="shared" ref="E180:E187" si="32">IFERROR(VLOOKUP(C180,teamlookup,5,FALSE),"")</f>
        <v>C'field</v>
      </c>
      <c r="F180" s="393">
        <v>45.7</v>
      </c>
      <c r="G180" s="198">
        <f>IFERROR(IF(OR(F180=0,F180="",F180&gt;$A185-0.01),"",VLOOKUP(VLOOKUP(F180,A181:B185,2,TRUE),Points!$H$7:$I$10,2,FALSE)),"")</f>
        <v>4</v>
      </c>
      <c r="H180" s="67"/>
      <c r="I180" s="117">
        <v>1</v>
      </c>
      <c r="J180" s="392">
        <v>44</v>
      </c>
      <c r="K180" s="64" t="str">
        <f ca="1">IFERROR(IF(A186=0,HLOOKUP(J180,Declarations!$D$2:$S$102,A180,FALSE),HLOOKUP(VLOOKUP(J180,Teams!$V$2:$W$19,2,FALSE),Declarations!$D$2:$S$102,A180,FALSE)),"")</f>
        <v>PYE Leoni</v>
      </c>
      <c r="L180" s="64" t="str">
        <f t="shared" ref="L180:L187" si="33">IFERROR(VLOOKUP(J180,teamlookup,5,FALSE),"")</f>
        <v>M'bro</v>
      </c>
      <c r="M180" s="393">
        <v>47.5</v>
      </c>
      <c r="N180" s="198" t="str">
        <f>IFERROR(IF(OR(M180=0,M180="",M180&gt;$A185-0.01),"",VLOOKUP(VLOOKUP(M180,A181:B185,2,TRUE),Points!$H$7:$I$10,2,FALSE)),"")</f>
        <v/>
      </c>
      <c r="P180" s="66">
        <f ca="1">IFERROR(IF(OR(C180=0,C180="",F180=0,F180="",$P179&lt;&gt;0,LEFT(F180,1)="D"),0,VLOOKUP(B180,INDIRECT(MatchDay!$W$2),2,FALSE)),"")</f>
        <v>8</v>
      </c>
      <c r="Q180" s="66">
        <f ca="1">IFERROR(IF(OR(J180=0,J180="",M180=0,M180="",$P179&lt;&gt;0,LEFT(M180,1)="D"),0,VLOOKUP(I180,INDIRECT(MatchDay!$W$2),3,FALSE)),"")</f>
        <v>6</v>
      </c>
      <c r="R180" s="219">
        <f>COUNTIF(C180,"&gt;0")</f>
        <v>1</v>
      </c>
      <c r="S180" s="66">
        <f>IFERROR(IF(C180&gt;88,1,0),0)</f>
        <v>0</v>
      </c>
    </row>
    <row r="181" spans="1:20" x14ac:dyDescent="0.35">
      <c r="A181" s="64">
        <v>0</v>
      </c>
      <c r="B181" s="117">
        <v>2</v>
      </c>
      <c r="C181" s="392">
        <v>4</v>
      </c>
      <c r="D181" s="64" t="str">
        <f ca="1">IFERROR(IF(A186=0,HLOOKUP(C181,Declarations!$D$2:$S$102,A180,FALSE),HLOOKUP(VLOOKUP(C181,Teams!$V$2:$W$19,2,FALSE),Declarations!$D$2:$S$102,A180,FALSE)),"")</f>
        <v>GILLIS Madelaine</v>
      </c>
      <c r="E181" s="64" t="str">
        <f t="shared" si="32"/>
        <v>M'bro</v>
      </c>
      <c r="F181" s="393">
        <v>46.2</v>
      </c>
      <c r="G181" s="198" t="str">
        <f>IFERROR(IF(OR(F181=0,F181="",F181&gt;$A185-0.01),"",VLOOKUP(VLOOKUP(F181,A181:B185,2,TRUE),Points!$H$7:$I$10,2,FALSE)),"")</f>
        <v/>
      </c>
      <c r="H181" s="67"/>
      <c r="I181" s="117">
        <v>2</v>
      </c>
      <c r="J181" s="392">
        <v>33</v>
      </c>
      <c r="K181" s="64" t="str">
        <f ca="1">IFERROR(IF(A186=0,HLOOKUP(J181,Declarations!$D$2:$S$102,A180,FALSE),HLOOKUP(VLOOKUP(J181,Teams!$V$2:$W$19,2,FALSE),Declarations!$D$2:$S$102,A180,FALSE)),"")</f>
        <v>COURTNEY Libby</v>
      </c>
      <c r="L181" s="64" t="str">
        <f t="shared" si="33"/>
        <v>York</v>
      </c>
      <c r="M181" s="393">
        <v>50.9</v>
      </c>
      <c r="N181" s="198" t="str">
        <f>IFERROR(IF(OR(M181=0,M181="",M181&gt;$A185-0.01),"",VLOOKUP(VLOOKUP(M181,A181:B185,2,TRUE),Points!$H$7:$I$10,2,FALSE)),"")</f>
        <v/>
      </c>
      <c r="P181" s="66">
        <f ca="1">IFERROR(IF(OR(C181=0,C181="",F181=0,F181="",$P179&lt;&gt;0,LEFT(F181,1)="D"),0,VLOOKUP(B181,INDIRECT(MatchDay!$W$2),2,FALSE)),"")</f>
        <v>6</v>
      </c>
      <c r="Q181" s="66">
        <f ca="1">IFERROR(IF(OR(J181=0,J181="",M181=0,M181="",$P179&lt;&gt;0,LEFT(M181,1)="D"),0,VLOOKUP(I181,INDIRECT(MatchDay!$W$2),3,FALSE)),"")</f>
        <v>4</v>
      </c>
    </row>
    <row r="182" spans="1:20" x14ac:dyDescent="0.35">
      <c r="A182" s="118">
        <f>IFERROR(VLOOKUP(A178,standards,3,FALSE)+0.01,"-")</f>
        <v>42.71</v>
      </c>
      <c r="B182" s="117">
        <v>3</v>
      </c>
      <c r="C182" s="392">
        <v>3</v>
      </c>
      <c r="D182" s="64" t="str">
        <f ca="1">IFERROR(IF(A186=0,HLOOKUP(C182,Declarations!$D$2:$S$102,A180,FALSE),HLOOKUP(VLOOKUP(C182,Teams!$V$2:$W$19,2,FALSE),Declarations!$D$2:$S$102,A180,FALSE)),"")</f>
        <v>WALSH Tierney</v>
      </c>
      <c r="E182" s="64" t="str">
        <f t="shared" si="32"/>
        <v>York</v>
      </c>
      <c r="F182" s="393">
        <v>47.1</v>
      </c>
      <c r="G182" s="198" t="str">
        <f>IFERROR(IF(OR(F182=0,F182="",F182&gt;$A185-0.01),"",VLOOKUP(VLOOKUP(F182,A181:B185,2,TRUE),Points!$H$7:$I$10,2,FALSE)),"")</f>
        <v/>
      </c>
      <c r="H182" s="67"/>
      <c r="I182" s="117">
        <v>3</v>
      </c>
      <c r="J182" s="392">
        <v>11</v>
      </c>
      <c r="K182" s="64" t="str">
        <f ca="1">IFERROR(IF(A186=0,HLOOKUP(J182,Declarations!$D$2:$S$102,A180,FALSE),HLOOKUP(VLOOKUP(J182,Teams!$V$2:$W$19,2,FALSE),Declarations!$D$2:$S$102,A180,FALSE)),"")</f>
        <v>PROCTOR Alicia</v>
      </c>
      <c r="L182" s="64" t="str">
        <f t="shared" si="33"/>
        <v>C'field</v>
      </c>
      <c r="M182" s="393">
        <v>53.4</v>
      </c>
      <c r="N182" s="198" t="str">
        <f>IFERROR(IF(OR(M182=0,M182="",M182&gt;$A185-0.01),"",VLOOKUP(VLOOKUP(M182,A181:B185,2,TRUE),Points!$H$7:$I$10,2,FALSE)),"")</f>
        <v/>
      </c>
      <c r="P182" s="66">
        <f ca="1">IFERROR(IF(OR(C182=0,C182="",F182=0,F182="",$P179&lt;&gt;0,LEFT(F182,1)="D"),0,VLOOKUP(B182,INDIRECT(MatchDay!$W$2),2,FALSE)),"")</f>
        <v>5</v>
      </c>
      <c r="Q182" s="66">
        <f ca="1">IFERROR(IF(OR(J182=0,J182="",M182=0,M182="",$P179&lt;&gt;0,LEFT(M182,1)="D"),0,VLOOKUP(I182,INDIRECT(MatchDay!$W$2),3,FALSE)),"")</f>
        <v>3</v>
      </c>
    </row>
    <row r="183" spans="1:20" x14ac:dyDescent="0.35">
      <c r="A183" s="118">
        <f>IFERROR(VLOOKUP(A178,standards,4,FALSE)+0.01,"-")</f>
        <v>43.309999999999995</v>
      </c>
      <c r="B183" s="117">
        <v>4</v>
      </c>
      <c r="C183" s="392">
        <v>5</v>
      </c>
      <c r="D183" s="64" t="str">
        <f ca="1">IFERROR(IF(A186=0,HLOOKUP(C183,Declarations!$D$2:$S$102,A180,FALSE),HLOOKUP(VLOOKUP(C183,Teams!$V$2:$W$19,2,FALSE),Declarations!$D$2:$S$102,A180,FALSE)),"")</f>
        <v>WRIGHT Lucy</v>
      </c>
      <c r="E183" s="64" t="str">
        <f t="shared" si="32"/>
        <v>Scun</v>
      </c>
      <c r="F183" s="393">
        <v>52.5</v>
      </c>
      <c r="G183" s="198" t="str">
        <f>IFERROR(IF(OR(F183=0,F183="",F183&gt;$A185-0.01),"",VLOOKUP(VLOOKUP(F183,A181:B185,2,TRUE),Points!$H$7:$I$10,2,FALSE)),"")</f>
        <v/>
      </c>
      <c r="H183" s="67"/>
      <c r="I183" s="117">
        <v>4</v>
      </c>
      <c r="J183" s="392"/>
      <c r="K183" s="64" t="str">
        <f>IFERROR(IF(A186=0,HLOOKUP(J183,Declarations!$D$2:$S$102,A180,FALSE),HLOOKUP(VLOOKUP(J183,Teams!$V$2:$W$19,2,FALSE),Declarations!$D$2:$S$102,A180,FALSE)),"")</f>
        <v/>
      </c>
      <c r="L183" s="64" t="str">
        <f t="shared" si="33"/>
        <v/>
      </c>
      <c r="M183" s="393"/>
      <c r="N183" s="198" t="str">
        <f>IFERROR(IF(OR(M183=0,M183="",M183&gt;$A185-0.01),"",VLOOKUP(VLOOKUP(M183,A181:B185,2,TRUE),Points!$H$7:$I$10,2,FALSE)),"")</f>
        <v/>
      </c>
      <c r="P183" s="66">
        <f ca="1">IFERROR(IF(OR(C183=0,C183="",F183=0,F183="",$P179&lt;&gt;0,LEFT(F183,1)="D"),0,VLOOKUP(B183,INDIRECT(MatchDay!$W$2),2,FALSE)),"")</f>
        <v>4</v>
      </c>
      <c r="Q183" s="66">
        <f ca="1">IFERROR(IF(OR(J183=0,J183="",M183=0,M183="",$P179&lt;&gt;0,LEFT(M183,1)="D"),0,VLOOKUP(I183,INDIRECT(MatchDay!$W$2),3,FALSE)),"")</f>
        <v>0</v>
      </c>
    </row>
    <row r="184" spans="1:20" x14ac:dyDescent="0.35">
      <c r="A184" s="118">
        <f>IFERROR(VLOOKUP(A178,standards,5,FALSE)+0.01,"-")</f>
        <v>44.309999999999995</v>
      </c>
      <c r="B184" s="117">
        <v>5</v>
      </c>
      <c r="C184" s="392"/>
      <c r="D184" s="64" t="str">
        <f>IFERROR(IF(A186=0,HLOOKUP(C184,Declarations!$D$2:$S$102,A180,FALSE),HLOOKUP(VLOOKUP(C184,Teams!$V$2:$W$19,2,FALSE),Declarations!$D$2:$S$102,A180,FALSE)),"")</f>
        <v/>
      </c>
      <c r="E184" s="64" t="str">
        <f t="shared" si="32"/>
        <v/>
      </c>
      <c r="F184" s="393"/>
      <c r="G184" s="198" t="str">
        <f>IFERROR(IF(OR(F184=0,F184="",F184&gt;$A185-0.01),"",VLOOKUP(VLOOKUP(F184,A181:B185,2,TRUE),Points!$H$7:$I$10,2,FALSE)),"")</f>
        <v/>
      </c>
      <c r="H184" s="67"/>
      <c r="I184" s="117">
        <v>5</v>
      </c>
      <c r="J184" s="392"/>
      <c r="K184" s="64" t="str">
        <f>IFERROR(IF(A186=0,HLOOKUP(J184,Declarations!$D$2:$S$102,A180,FALSE),HLOOKUP(VLOOKUP(J184,Teams!$V$2:$W$19,2,FALSE),Declarations!$D$2:$S$102,A180,FALSE)),"")</f>
        <v/>
      </c>
      <c r="L184" s="64" t="str">
        <f t="shared" si="33"/>
        <v/>
      </c>
      <c r="M184" s="313"/>
      <c r="N184" s="198" t="str">
        <f>IFERROR(IF(OR(M184=0,M184="",M184&gt;$A185-0.01),"",VLOOKUP(VLOOKUP(M184,A181:B185,2,TRUE),Points!$H$7:$I$10,2,FALSE)),"")</f>
        <v/>
      </c>
      <c r="P184" s="66">
        <f ca="1">IFERROR(IF(OR(C184=0,C184="",F184=0,F184="",$P179&lt;&gt;0,LEFT(F184,1)="D"),0,VLOOKUP(B184,INDIRECT(MatchDay!$W$2),2,FALSE)),"")</f>
        <v>0</v>
      </c>
      <c r="Q184" s="66">
        <f ca="1">IFERROR(IF(OR(J184=0,J184="",M184=0,M184="",$P179&lt;&gt;0,LEFT(M184,1)="D"),0,VLOOKUP(I184,INDIRECT(MatchDay!$W$2),3,FALSE)),"")</f>
        <v>0</v>
      </c>
    </row>
    <row r="185" spans="1:20" x14ac:dyDescent="0.35">
      <c r="A185" s="118">
        <f>IFERROR(VLOOKUP(A178,standards,6,FALSE)+0.01,"-")</f>
        <v>45.71</v>
      </c>
      <c r="B185" s="117">
        <v>6</v>
      </c>
      <c r="C185" s="120"/>
      <c r="D185" s="64" t="str">
        <f>IFERROR(IF(A186=0,HLOOKUP(C185,Declarations!$D$2:$S$102,A180,FALSE),HLOOKUP(VLOOKUP(C185,Teams!$V$2:$W$19,2,FALSE),Declarations!$D$2:$S$102,A180,FALSE)),"")</f>
        <v/>
      </c>
      <c r="E185" s="64" t="str">
        <f t="shared" si="32"/>
        <v/>
      </c>
      <c r="F185" s="393"/>
      <c r="G185" s="198" t="str">
        <f>IFERROR(IF(OR(F185=0,F185="",F185&gt;$A185-0.01),"",VLOOKUP(VLOOKUP(F185,A181:B185,2,TRUE),Points!$H$7:$I$10,2,FALSE)),"")</f>
        <v/>
      </c>
      <c r="H185" s="67"/>
      <c r="I185" s="117">
        <v>6</v>
      </c>
      <c r="J185" s="392"/>
      <c r="K185" s="64" t="str">
        <f>IFERROR(IF(A186=0,HLOOKUP(J185,Declarations!$D$2:$S$102,A180,FALSE),HLOOKUP(VLOOKUP(J185,Teams!$V$2:$W$19,2,FALSE),Declarations!$D$2:$S$102,A180,FALSE)),"")</f>
        <v/>
      </c>
      <c r="L185" s="64" t="str">
        <f t="shared" si="33"/>
        <v/>
      </c>
      <c r="M185" s="313"/>
      <c r="N185" s="198" t="str">
        <f>IFERROR(IF(OR(M185=0,M185="",M185&gt;$A185-0.01),"",VLOOKUP(VLOOKUP(M185,A181:B185,2,TRUE),Points!$H$7:$I$10,2,FALSE)),"")</f>
        <v/>
      </c>
      <c r="P185" s="66">
        <f ca="1">IFERROR(IF(OR(C185=0,C185="",F185=0,F185="",$P179&lt;&gt;0,LEFT(F185,1)="D"),0,VLOOKUP(B185,INDIRECT(MatchDay!$W$2),2,FALSE)),"")</f>
        <v>0</v>
      </c>
      <c r="Q185" s="66">
        <f ca="1">IFERROR(IF(OR(J185=0,J185="",M185=0,M185="",$P179&lt;&gt;0,LEFT(M185,1)="D"),0,VLOOKUP(I185,INDIRECT(MatchDay!$W$2),3,FALSE)),"")</f>
        <v>0</v>
      </c>
    </row>
    <row r="186" spans="1:20" x14ac:dyDescent="0.35">
      <c r="A186" s="136">
        <f>IFERROR(SEARCH("U17",B178),0)</f>
        <v>0</v>
      </c>
      <c r="B186" s="117">
        <v>7</v>
      </c>
      <c r="C186" s="120"/>
      <c r="D186" s="64" t="str">
        <f>IFERROR(IF(A186=0,HLOOKUP(C186,Declarations!$D$2:$S$102,A180,FALSE),HLOOKUP(VLOOKUP(C186,Teams!$V$2:$W$19,2,FALSE),Declarations!$D$2:$S$102,A180,FALSE)),"")</f>
        <v/>
      </c>
      <c r="E186" s="64" t="str">
        <f t="shared" si="32"/>
        <v/>
      </c>
      <c r="F186" s="416"/>
      <c r="G186" s="198" t="str">
        <f>IFERROR(IF(OR(F186=0,F186="",F186&gt;$A185-0.01),"",VLOOKUP(VLOOKUP(F186,A181:B185,2,TRUE),Points!$H$7:$I$10,2,FALSE)),"")</f>
        <v/>
      </c>
      <c r="H186" s="67"/>
      <c r="I186" s="117">
        <v>7</v>
      </c>
      <c r="J186" s="392"/>
      <c r="K186" s="64" t="str">
        <f>IFERROR(IF(A186=0,HLOOKUP(J186,Declarations!$D$2:$S$102,A180,FALSE),HLOOKUP(VLOOKUP(J186,Teams!$V$2:$W$19,2,FALSE),Declarations!$D$2:$S$102,A180,FALSE)),"")</f>
        <v/>
      </c>
      <c r="L186" s="64" t="str">
        <f t="shared" si="33"/>
        <v/>
      </c>
      <c r="M186" s="416"/>
      <c r="N186" s="198" t="str">
        <f>IFERROR(IF(OR(M186=0,M186="",M186&gt;$A185-0.01),"",VLOOKUP(VLOOKUP(M186,A181:B185,2,TRUE),Points!$H$7:$I$10,2,FALSE)),"")</f>
        <v/>
      </c>
      <c r="P186" s="66">
        <f ca="1">IFERROR(IF(OR(C186=0,C186="",F186=0,F186="",$P179&lt;&gt;0,LEFT(F186,1)="D"),0,VLOOKUP(B186,INDIRECT(MatchDay!$W$2),2,FALSE)),"")</f>
        <v>0</v>
      </c>
      <c r="Q186" s="66">
        <f ca="1">IFERROR(IF(OR(J186=0,J186="",M186=0,M186="",$P179&lt;&gt;0,LEFT(M186,1)="D"),0,VLOOKUP(I186,INDIRECT(MatchDay!$W$2),3,FALSE)),"")</f>
        <v>0</v>
      </c>
    </row>
    <row r="187" spans="1:20" x14ac:dyDescent="0.35">
      <c r="A187" s="116">
        <f>IFERROR(VLOOKUP(A178,records,5,FALSE),"")</f>
        <v>40.11</v>
      </c>
      <c r="B187" s="117">
        <v>8</v>
      </c>
      <c r="C187" s="120"/>
      <c r="D187" s="64" t="str">
        <f>IFERROR(IF(A186=0,HLOOKUP(C187,Declarations!$D$2:$S$102,A180,FALSE),HLOOKUP(VLOOKUP(C187,Teams!$V$2:$W$19,2,FALSE),Declarations!$D$2:$S$102,A180,FALSE)),"")</f>
        <v/>
      </c>
      <c r="E187" s="64" t="str">
        <f t="shared" si="32"/>
        <v/>
      </c>
      <c r="F187" s="393"/>
      <c r="G187" s="198" t="str">
        <f>IFERROR(IF(OR(F187=0,F187="",F187&gt;$A185-0.01),"",VLOOKUP(VLOOKUP(F187,A181:B185,2,TRUE),Points!$H$7:$I$10,2,FALSE)),"")</f>
        <v/>
      </c>
      <c r="H187" s="67"/>
      <c r="I187" s="117">
        <v>8</v>
      </c>
      <c r="J187" s="392"/>
      <c r="K187" s="64" t="str">
        <f>IFERROR(IF(A186=0,HLOOKUP(J187,Declarations!$D$2:$S$102,A180,FALSE),HLOOKUP(VLOOKUP(J187,Teams!$V$2:$W$19,2,FALSE),Declarations!$D$2:$S$102,A180,FALSE)),"")</f>
        <v/>
      </c>
      <c r="L187" s="64" t="str">
        <f t="shared" si="33"/>
        <v/>
      </c>
      <c r="M187" s="313"/>
      <c r="N187" s="198" t="str">
        <f>IFERROR(IF(OR(M187=0,M187="",M187&gt;$A185-0.01),"",VLOOKUP(VLOOKUP(M187,A181:B185,2,TRUE),Points!$H$7:$I$10,2,FALSE)),"")</f>
        <v/>
      </c>
      <c r="P187" s="66">
        <f ca="1">IFERROR(IF(OR(C187=0,C187="",F187=0,F187="",$P179&lt;&gt;0,LEFT(F187,1)="D"),0,VLOOKUP(B187,INDIRECT(MatchDay!$W$2),2,FALSE)),"")</f>
        <v>0</v>
      </c>
      <c r="Q187" s="66">
        <f ca="1">IFERROR(IF(OR(J187=0,J187="",M187=0,M187="",$P179&lt;&gt;0,LEFT(M187,1)="D"),0,VLOOKUP(I187,INDIRECT(MatchDay!$W$2),3,FALSE)),"")</f>
        <v>0</v>
      </c>
    </row>
    <row r="189" spans="1:20" x14ac:dyDescent="0.35">
      <c r="A189" s="111" t="s">
        <v>514</v>
      </c>
      <c r="B189" s="112" t="str">
        <f>IFERROR(VLOOKUP(A189,timetables,2,FALSE)&amp;" "&amp;VLOOKUP(A189,timetables,3,FALSE)&amp;" A","")</f>
        <v>300m U15 Boys A</v>
      </c>
      <c r="C189" s="112"/>
      <c r="E189" s="130" t="str">
        <f>IFERROR(IF(VLOOKUP($A189,timetables,8,FALSE)="W","Wind = ",""),"")</f>
        <v/>
      </c>
      <c r="G189" s="119" t="str">
        <f>IFERROR(IF(OR(F191=0,F191=""),"",IF(F191&lt;A198,"REC",IF(F191=A198,"=Rec",""))),"")</f>
        <v/>
      </c>
      <c r="I189" s="114" t="str">
        <f>IFERROR(VLOOKUP(A189,timetables,2,FALSE)&amp;" "&amp;VLOOKUP(A189,timetables,3,FALSE)&amp;" B","")</f>
        <v>300m U15 Boys B</v>
      </c>
      <c r="J189" s="115"/>
      <c r="L189" s="130" t="str">
        <f>IFERROR(IF(VLOOKUP($A189,timetables,8,FALSE)="W","Wind = ",""),"")</f>
        <v/>
      </c>
      <c r="P189" s="66" t="s">
        <v>53</v>
      </c>
      <c r="Q189" s="66" t="s">
        <v>54</v>
      </c>
    </row>
    <row r="190" spans="1:20" x14ac:dyDescent="0.35">
      <c r="A190" s="82"/>
      <c r="B190" s="45" t="s">
        <v>230</v>
      </c>
      <c r="C190" s="45" t="s">
        <v>183</v>
      </c>
      <c r="D190" s="47" t="s">
        <v>227</v>
      </c>
      <c r="E190" s="47" t="s">
        <v>228</v>
      </c>
      <c r="F190" s="149" t="s">
        <v>229</v>
      </c>
      <c r="G190" s="199" t="s">
        <v>55</v>
      </c>
      <c r="H190" s="47"/>
      <c r="I190" s="45" t="s">
        <v>230</v>
      </c>
      <c r="J190" s="45" t="s">
        <v>183</v>
      </c>
      <c r="K190" s="47" t="s">
        <v>227</v>
      </c>
      <c r="L190" s="47" t="s">
        <v>228</v>
      </c>
      <c r="M190" s="149" t="s">
        <v>229</v>
      </c>
      <c r="N190" s="199" t="s">
        <v>55</v>
      </c>
      <c r="P190" s="66">
        <f>IFERROR(SEARCH("NS",B189),0)</f>
        <v>0</v>
      </c>
      <c r="T190" s="67"/>
    </row>
    <row r="191" spans="1:20" x14ac:dyDescent="0.35">
      <c r="A191" s="181">
        <f>IFERROR(VLOOKUP(A189,Timetables!$A:$E,5,FALSE)-1,"")</f>
        <v>56</v>
      </c>
      <c r="B191" s="117">
        <v>1</v>
      </c>
      <c r="C191" s="120">
        <v>1</v>
      </c>
      <c r="D191" s="64" t="str">
        <f ca="1">IFERROR(IF(A197=0,HLOOKUP(C191,Declarations!$D$2:$S$102,A191,FALSE),HLOOKUP(VLOOKUP(C191,Teams!$V$2:$W$19,2,FALSE),Declarations!$D$2:$S$102,A191,FALSE)),"")</f>
        <v>MARRIOTT Thomas</v>
      </c>
      <c r="E191" s="64" t="str">
        <f t="shared" ref="E191:E198" si="34">IFERROR(VLOOKUP(C191,teamlookup,5,FALSE),"")</f>
        <v>C'field</v>
      </c>
      <c r="F191" s="393">
        <v>42.8</v>
      </c>
      <c r="G191" s="198" t="str">
        <f>IFERROR(IF(OR(F191=0,F191="",F191&gt;$A196-0.01),"",VLOOKUP(VLOOKUP(F191,A192:B196,2,TRUE),Points!$H$7:$I$10,2,FALSE)),"")</f>
        <v/>
      </c>
      <c r="H191" s="67"/>
      <c r="I191" s="117">
        <v>1</v>
      </c>
      <c r="J191" s="392">
        <v>44</v>
      </c>
      <c r="K191" s="64" t="str">
        <f ca="1">IFERROR(IF(A197=0,HLOOKUP(J191,Declarations!$D$2:$S$102,A191,FALSE),HLOOKUP(VLOOKUP(J191,Teams!$V$2:$W$19,2,FALSE),Declarations!$D$2:$S$102,A191,FALSE)),"")</f>
        <v>KAYE Charlie</v>
      </c>
      <c r="L191" s="64" t="str">
        <f t="shared" ref="L191:L198" si="35">IFERROR(VLOOKUP(J191,teamlookup,5,FALSE),"")</f>
        <v>M'bro</v>
      </c>
      <c r="M191" s="313">
        <v>47.8</v>
      </c>
      <c r="N191" s="198" t="str">
        <f>IFERROR(IF(OR(M191=0,M191="",M191&gt;$A196-0.01),"",VLOOKUP(VLOOKUP(M191,A192:B196,2,TRUE),Points!$H$7:$I$10,2,FALSE)),"")</f>
        <v/>
      </c>
      <c r="P191" s="66">
        <f ca="1">IFERROR(IF(OR(C191=0,C191="",F191=0,F191="",$P190&lt;&gt;0,LEFT(F191,1)="D"),0,VLOOKUP(B191,INDIRECT(MatchDay!$W$2),2,FALSE)),"")</f>
        <v>8</v>
      </c>
      <c r="Q191" s="66">
        <f ca="1">IFERROR(IF(OR(J191=0,J191="",M191=0,M191="",$P190&lt;&gt;0,LEFT(M191,1)="D"),0,VLOOKUP(I191,INDIRECT(MatchDay!$W$2),3,FALSE)),"")</f>
        <v>6</v>
      </c>
      <c r="R191" s="219">
        <f>COUNTIF(C191,"&gt;0")</f>
        <v>1</v>
      </c>
      <c r="S191" s="66">
        <f>IFERROR(IF(C191&gt;88,1,0),0)</f>
        <v>0</v>
      </c>
    </row>
    <row r="192" spans="1:20" x14ac:dyDescent="0.35">
      <c r="A192" s="64">
        <v>0</v>
      </c>
      <c r="B192" s="117">
        <v>2</v>
      </c>
      <c r="C192" s="120">
        <v>2</v>
      </c>
      <c r="D192" s="64" t="str">
        <f ca="1">IFERROR(IF(A197=0,HLOOKUP(C192,Declarations!$D$2:$S$102,A191,FALSE),HLOOKUP(VLOOKUP(C192,Teams!$V$2:$W$19,2,FALSE),Declarations!$D$2:$S$102,A191,FALSE)),"")</f>
        <v>KRIEL PARR George</v>
      </c>
      <c r="E192" s="64" t="str">
        <f t="shared" si="34"/>
        <v>Sheff+D</v>
      </c>
      <c r="F192" s="393">
        <v>44.4</v>
      </c>
      <c r="G192" s="198" t="str">
        <f>IFERROR(IF(OR(F192=0,F192="",F192&gt;$A196-0.01),"",VLOOKUP(VLOOKUP(F192,A192:B196,2,TRUE),Points!$H$7:$I$10,2,FALSE)),"")</f>
        <v/>
      </c>
      <c r="H192" s="67"/>
      <c r="I192" s="117">
        <v>2</v>
      </c>
      <c r="J192" s="392">
        <v>11</v>
      </c>
      <c r="K192" s="64" t="str">
        <f ca="1">IFERROR(IF(A197=0,HLOOKUP(J192,Declarations!$D$2:$S$102,A191,FALSE),HLOOKUP(VLOOKUP(J192,Teams!$V$2:$W$19,2,FALSE),Declarations!$D$2:$S$102,A191,FALSE)),"")</f>
        <v>BAKER Joseph</v>
      </c>
      <c r="L192" s="64" t="str">
        <f t="shared" si="35"/>
        <v>C'field</v>
      </c>
      <c r="M192" s="313">
        <v>48.9</v>
      </c>
      <c r="N192" s="198" t="str">
        <f>IFERROR(IF(OR(M192=0,M192="",M192&gt;$A196-0.01),"",VLOOKUP(VLOOKUP(M192,A192:B196,2,TRUE),Points!$H$7:$I$10,2,FALSE)),"")</f>
        <v/>
      </c>
      <c r="P192" s="66">
        <f ca="1">IFERROR(IF(OR(C192=0,C192="",F192=0,F192="",$P190&lt;&gt;0,LEFT(F192,1)="D"),0,VLOOKUP(B192,INDIRECT(MatchDay!$W$2),2,FALSE)),"")</f>
        <v>6</v>
      </c>
      <c r="Q192" s="66">
        <f ca="1">IFERROR(IF(OR(J192=0,J192="",M192=0,M192="",$P190&lt;&gt;0,LEFT(M192,1)="D"),0,VLOOKUP(I192,INDIRECT(MatchDay!$W$2),3,FALSE)),"")</f>
        <v>4</v>
      </c>
    </row>
    <row r="193" spans="1:22" x14ac:dyDescent="0.35">
      <c r="A193" s="118">
        <f>IFERROR(VLOOKUP(A189,standards,3,FALSE)+0.01,"-")</f>
        <v>38.71</v>
      </c>
      <c r="B193" s="117">
        <v>3</v>
      </c>
      <c r="C193" s="120">
        <v>3</v>
      </c>
      <c r="D193" s="64" t="str">
        <f ca="1">IFERROR(IF(A197=0,HLOOKUP(C193,Declarations!$D$2:$S$102,A191,FALSE),HLOOKUP(VLOOKUP(C193,Teams!$V$2:$W$19,2,FALSE),Declarations!$D$2:$S$102,A191,FALSE)),"")</f>
        <v>BRATLEY Jack</v>
      </c>
      <c r="E193" s="64" t="str">
        <f t="shared" si="34"/>
        <v>York</v>
      </c>
      <c r="F193" s="393">
        <v>44.4</v>
      </c>
      <c r="G193" s="198" t="str">
        <f>IFERROR(IF(OR(F193=0,F193="",F193&gt;$A196-0.01),"",VLOOKUP(VLOOKUP(F193,A192:B196,2,TRUE),Points!$H$7:$I$10,2,FALSE)),"")</f>
        <v/>
      </c>
      <c r="H193" s="67"/>
      <c r="I193" s="117">
        <v>3</v>
      </c>
      <c r="J193" s="392">
        <v>33</v>
      </c>
      <c r="K193" s="64" t="str">
        <f ca="1">IFERROR(IF(A197=0,HLOOKUP(J193,Declarations!$D$2:$S$102,A191,FALSE),HLOOKUP(VLOOKUP(J193,Teams!$V$2:$W$19,2,FALSE),Declarations!$D$2:$S$102,A191,FALSE)),"")</f>
        <v>BROOKS Rory</v>
      </c>
      <c r="L193" s="64" t="str">
        <f t="shared" si="35"/>
        <v>York</v>
      </c>
      <c r="M193" s="313">
        <v>51.2</v>
      </c>
      <c r="N193" s="198" t="str">
        <f>IFERROR(IF(OR(M193=0,M193="",M193&gt;$A196-0.01),"",VLOOKUP(VLOOKUP(M193,A192:B196,2,TRUE),Points!$H$7:$I$10,2,FALSE)),"")</f>
        <v/>
      </c>
      <c r="P193" s="66">
        <f ca="1">IFERROR(IF(OR(C193=0,C193="",F193=0,F193="",$P190&lt;&gt;0,LEFT(F193,1)="D"),0,VLOOKUP(B193,INDIRECT(MatchDay!$W$2),2,FALSE)),"")</f>
        <v>5</v>
      </c>
      <c r="Q193" s="66">
        <f ca="1">IFERROR(IF(OR(J193=0,J193="",M193=0,M193="",$P190&lt;&gt;0,LEFT(M193,1)="D"),0,VLOOKUP(I193,INDIRECT(MatchDay!$W$2),3,FALSE)),"")</f>
        <v>3</v>
      </c>
    </row>
    <row r="194" spans="1:22" x14ac:dyDescent="0.35">
      <c r="A194" s="118">
        <f>IFERROR(VLOOKUP(A189,standards,4,FALSE)+0.01,"-")</f>
        <v>39.409999999999997</v>
      </c>
      <c r="B194" s="117">
        <v>4</v>
      </c>
      <c r="C194" s="120">
        <v>4</v>
      </c>
      <c r="D194" s="64" t="str">
        <f ca="1">IFERROR(IF(A197=0,HLOOKUP(C194,Declarations!$D$2:$S$102,A191,FALSE),HLOOKUP(VLOOKUP(C194,Teams!$V$2:$W$19,2,FALSE),Declarations!$D$2:$S$102,A191,FALSE)),"")</f>
        <v>FRENCH William</v>
      </c>
      <c r="E194" s="64" t="str">
        <f t="shared" si="34"/>
        <v>M'bro</v>
      </c>
      <c r="F194" s="393">
        <v>44.8</v>
      </c>
      <c r="G194" s="198" t="str">
        <f>IFERROR(IF(OR(F194=0,F194="",F194&gt;$A196-0.01),"",VLOOKUP(VLOOKUP(F194,A192:B196,2,TRUE),Points!$H$7:$I$10,2,FALSE)),"")</f>
        <v/>
      </c>
      <c r="H194" s="67"/>
      <c r="I194" s="117">
        <v>4</v>
      </c>
      <c r="J194" s="392"/>
      <c r="K194" s="64" t="str">
        <f>IFERROR(IF(A197=0,HLOOKUP(J194,Declarations!$D$2:$S$102,A191,FALSE),HLOOKUP(VLOOKUP(J194,Teams!$V$2:$W$19,2,FALSE),Declarations!$D$2:$S$102,A191,FALSE)),"")</f>
        <v/>
      </c>
      <c r="L194" s="64" t="str">
        <f t="shared" si="35"/>
        <v/>
      </c>
      <c r="M194" s="313"/>
      <c r="N194" s="198" t="str">
        <f>IFERROR(IF(OR(M194=0,M194="",M194&gt;$A196-0.01),"",VLOOKUP(VLOOKUP(M194,A192:B196,2,TRUE),Points!$H$7:$I$10,2,FALSE)),"")</f>
        <v/>
      </c>
      <c r="P194" s="66">
        <f ca="1">IFERROR(IF(OR(C194=0,C194="",F194=0,F194="",$P190&lt;&gt;0,LEFT(F194,1)="D"),0,VLOOKUP(B194,INDIRECT(MatchDay!$W$2),2,FALSE)),"")</f>
        <v>4</v>
      </c>
      <c r="Q194" s="66">
        <f ca="1">IFERROR(IF(OR(J194=0,J194="",M194=0,M194="",$P190&lt;&gt;0,LEFT(M194,1)="D"),0,VLOOKUP(I194,INDIRECT(MatchDay!$W$2),3,FALSE)),"")</f>
        <v>0</v>
      </c>
    </row>
    <row r="195" spans="1:22" x14ac:dyDescent="0.35">
      <c r="A195" s="118">
        <f>IFERROR(VLOOKUP(A189,standards,5,FALSE)+0.01,"-")</f>
        <v>40.51</v>
      </c>
      <c r="B195" s="117">
        <v>5</v>
      </c>
      <c r="C195" s="120">
        <v>5</v>
      </c>
      <c r="D195" s="64" t="str">
        <f ca="1">IFERROR(IF(A197=0,HLOOKUP(C195,Declarations!$D$2:$S$102,A191,FALSE),HLOOKUP(VLOOKUP(C195,Teams!$V$2:$W$19,2,FALSE),Declarations!$D$2:$S$102,A191,FALSE)),"")</f>
        <v>OADES Matthew</v>
      </c>
      <c r="E195" s="64" t="str">
        <f t="shared" si="34"/>
        <v>Scun</v>
      </c>
      <c r="F195" s="393">
        <v>50.8</v>
      </c>
      <c r="G195" s="198" t="str">
        <f>IFERROR(IF(OR(F195=0,F195="",F195&gt;$A196-0.01),"",VLOOKUP(VLOOKUP(F195,A192:B196,2,TRUE),Points!$H$7:$I$10,2,FALSE)),"")</f>
        <v/>
      </c>
      <c r="H195" s="67"/>
      <c r="I195" s="117">
        <v>5</v>
      </c>
      <c r="J195" s="392"/>
      <c r="K195" s="64" t="str">
        <f>IFERROR(IF(A197=0,HLOOKUP(J195,Declarations!$D$2:$S$102,A191,FALSE),HLOOKUP(VLOOKUP(J195,Teams!$V$2:$W$19,2,FALSE),Declarations!$D$2:$S$102,A191,FALSE)),"")</f>
        <v/>
      </c>
      <c r="L195" s="64" t="str">
        <f t="shared" si="35"/>
        <v/>
      </c>
      <c r="M195" s="313"/>
      <c r="N195" s="198" t="str">
        <f>IFERROR(IF(OR(M195=0,M195="",M195&gt;$A196-0.01),"",VLOOKUP(VLOOKUP(M195,A192:B196,2,TRUE),Points!$H$7:$I$10,2,FALSE)),"")</f>
        <v/>
      </c>
      <c r="P195" s="66">
        <f ca="1">IFERROR(IF(OR(C195=0,C195="",F195=0,F195="",$P190&lt;&gt;0,LEFT(F195,1)="D"),0,VLOOKUP(B195,INDIRECT(MatchDay!$W$2),2,FALSE)),"")</f>
        <v>3</v>
      </c>
      <c r="Q195" s="66">
        <f ca="1">IFERROR(IF(OR(J195=0,J195="",M195=0,M195="",$P190&lt;&gt;0,LEFT(M195,1)="D"),0,VLOOKUP(I195,INDIRECT(MatchDay!$W$2),3,FALSE)),"")</f>
        <v>0</v>
      </c>
    </row>
    <row r="196" spans="1:22" x14ac:dyDescent="0.35">
      <c r="A196" s="118">
        <f>IFERROR(VLOOKUP(A189,standards,6,FALSE)+0.01,"-")</f>
        <v>42.11</v>
      </c>
      <c r="B196" s="117">
        <v>6</v>
      </c>
      <c r="C196" s="120"/>
      <c r="D196" s="64" t="str">
        <f>IFERROR(IF(A197=0,HLOOKUP(C196,Declarations!$D$2:$S$102,A191,FALSE),HLOOKUP(VLOOKUP(C196,Teams!$V$2:$W$19,2,FALSE),Declarations!$D$2:$S$102,A191,FALSE)),"")</f>
        <v/>
      </c>
      <c r="E196" s="64" t="str">
        <f t="shared" si="34"/>
        <v/>
      </c>
      <c r="F196" s="393"/>
      <c r="G196" s="198" t="str">
        <f>IFERROR(IF(OR(F196=0,F196="",F196&gt;$A196-0.01),"",VLOOKUP(VLOOKUP(F196,A192:B196,2,TRUE),Points!$H$7:$I$10,2,FALSE)),"")</f>
        <v/>
      </c>
      <c r="H196" s="67"/>
      <c r="I196" s="117">
        <v>6</v>
      </c>
      <c r="J196" s="392"/>
      <c r="K196" s="64" t="str">
        <f>IFERROR(IF(A197=0,HLOOKUP(J196,Declarations!$D$2:$S$102,A191,FALSE),HLOOKUP(VLOOKUP(J196,Teams!$V$2:$W$19,2,FALSE),Declarations!$D$2:$S$102,A191,FALSE)),"")</f>
        <v/>
      </c>
      <c r="L196" s="64" t="str">
        <f t="shared" si="35"/>
        <v/>
      </c>
      <c r="M196" s="313"/>
      <c r="N196" s="198" t="str">
        <f>IFERROR(IF(OR(M196=0,M196="",M196&gt;$A196-0.01),"",VLOOKUP(VLOOKUP(M196,A192:B196,2,TRUE),Points!$H$7:$I$10,2,FALSE)),"")</f>
        <v/>
      </c>
      <c r="P196" s="66">
        <f ca="1">IFERROR(IF(OR(C196=0,C196="",F196=0,F196="",$P190&lt;&gt;0,LEFT(F196,1)="D"),0,VLOOKUP(B196,INDIRECT(MatchDay!$W$2),2,FALSE)),"")</f>
        <v>0</v>
      </c>
      <c r="Q196" s="66">
        <f ca="1">IFERROR(IF(OR(J196=0,J196="",M196=0,M196="",$P190&lt;&gt;0,LEFT(M196,1)="D"),0,VLOOKUP(I196,INDIRECT(MatchDay!$W$2),3,FALSE)),"")</f>
        <v>0</v>
      </c>
    </row>
    <row r="197" spans="1:22" x14ac:dyDescent="0.35">
      <c r="A197" s="136">
        <f>IFERROR(SEARCH("U17",B189),0)</f>
        <v>0</v>
      </c>
      <c r="B197" s="117">
        <v>7</v>
      </c>
      <c r="C197" s="120"/>
      <c r="D197" s="64" t="str">
        <f>IFERROR(IF(A197=0,HLOOKUP(C197,Declarations!$D$2:$S$102,A191,FALSE),HLOOKUP(VLOOKUP(C197,Teams!$V$2:$W$19,2,FALSE),Declarations!$D$2:$S$102,A191,FALSE)),"")</f>
        <v/>
      </c>
      <c r="E197" s="64" t="str">
        <f t="shared" si="34"/>
        <v/>
      </c>
      <c r="F197" s="393"/>
      <c r="G197" s="198" t="str">
        <f>IFERROR(IF(OR(F197=0,F197="",F197&gt;$A196-0.01),"",VLOOKUP(VLOOKUP(F197,A192:B196,2,TRUE),Points!$H$7:$I$10,2,FALSE)),"")</f>
        <v/>
      </c>
      <c r="H197" s="67"/>
      <c r="I197" s="117">
        <v>7</v>
      </c>
      <c r="J197" s="392"/>
      <c r="K197" s="64" t="str">
        <f>IFERROR(IF(A197=0,HLOOKUP(J197,Declarations!$D$2:$S$102,A191,FALSE),HLOOKUP(VLOOKUP(J197,Teams!$V$2:$W$19,2,FALSE),Declarations!$D$2:$S$102,A191,FALSE)),"")</f>
        <v/>
      </c>
      <c r="L197" s="64" t="str">
        <f t="shared" si="35"/>
        <v/>
      </c>
      <c r="M197" s="313"/>
      <c r="N197" s="198" t="str">
        <f>IFERROR(IF(OR(M197=0,M197="",M197&gt;$A196-0.01),"",VLOOKUP(VLOOKUP(M197,A192:B196,2,TRUE),Points!$H$7:$I$10,2,FALSE)),"")</f>
        <v/>
      </c>
      <c r="P197" s="66">
        <f ca="1">IFERROR(IF(OR(C197=0,C197="",F197=0,F197="",$P190&lt;&gt;0,LEFT(F197,1)="D"),0,VLOOKUP(B197,INDIRECT(MatchDay!$W$2),2,FALSE)),"")</f>
        <v>0</v>
      </c>
      <c r="Q197" s="66">
        <f ca="1">IFERROR(IF(OR(J197=0,J197="",M197=0,M197="",$P190&lt;&gt;0,LEFT(M197,1)="D"),0,VLOOKUP(I197,INDIRECT(MatchDay!$W$2),3,FALSE)),"")</f>
        <v>0</v>
      </c>
    </row>
    <row r="198" spans="1:22" x14ac:dyDescent="0.35">
      <c r="A198" s="116">
        <f>IFERROR(VLOOKUP(A189,records,5,FALSE),"")</f>
        <v>35.4</v>
      </c>
      <c r="B198" s="117">
        <v>8</v>
      </c>
      <c r="C198" s="120"/>
      <c r="D198" s="64" t="str">
        <f>IFERROR(IF(A197=0,HLOOKUP(C198,Declarations!$D$2:$S$102,A191,FALSE),HLOOKUP(VLOOKUP(C198,Teams!$V$2:$W$19,2,FALSE),Declarations!$D$2:$S$102,A191,FALSE)),"")</f>
        <v/>
      </c>
      <c r="E198" s="64" t="str">
        <f t="shared" si="34"/>
        <v/>
      </c>
      <c r="F198" s="393"/>
      <c r="G198" s="198" t="str">
        <f>IFERROR(IF(OR(F198=0,F198="",F198&gt;$A196-0.01),"",VLOOKUP(VLOOKUP(F198,A192:B196,2,TRUE),Points!$H$7:$I$10,2,FALSE)),"")</f>
        <v/>
      </c>
      <c r="H198" s="67"/>
      <c r="I198" s="117">
        <v>8</v>
      </c>
      <c r="J198" s="392"/>
      <c r="K198" s="64" t="str">
        <f>IFERROR(IF(A197=0,HLOOKUP(J198,Declarations!$D$2:$S$102,A191,FALSE),HLOOKUP(VLOOKUP(J198,Teams!$V$2:$W$19,2,FALSE),Declarations!$D$2:$S$102,A191,FALSE)),"")</f>
        <v/>
      </c>
      <c r="L198" s="64" t="str">
        <f t="shared" si="35"/>
        <v/>
      </c>
      <c r="M198" s="313"/>
      <c r="N198" s="198" t="str">
        <f>IFERROR(IF(OR(M198=0,M198="",M198&gt;$A196-0.01),"",VLOOKUP(VLOOKUP(M198,A192:B196,2,TRUE),Points!$H$7:$I$10,2,FALSE)),"")</f>
        <v/>
      </c>
      <c r="P198" s="66">
        <f ca="1">IFERROR(IF(OR(C198=0,C198="",F198=0,F198="",$P190&lt;&gt;0,LEFT(F198,1)="D"),0,VLOOKUP(B198,INDIRECT(MatchDay!$W$2),2,FALSE)),"")</f>
        <v>0</v>
      </c>
      <c r="Q198" s="66">
        <f ca="1">IFERROR(IF(OR(J198=0,J198="",M198=0,M198="",$P190&lt;&gt;0,LEFT(M198,1)="D"),0,VLOOKUP(I198,INDIRECT(MatchDay!$W$2),3,FALSE)),"")</f>
        <v>0</v>
      </c>
    </row>
    <row r="200" spans="1:22" x14ac:dyDescent="0.35">
      <c r="A200" s="111" t="s">
        <v>506</v>
      </c>
      <c r="B200" s="112" t="str">
        <f>IFERROR(VLOOKUP(A200,timetables,2,FALSE)&amp;" "&amp;VLOOKUP(A200,timetables,3,FALSE)&amp;" A","")</f>
        <v>800m U13 Girls A</v>
      </c>
      <c r="C200" s="112"/>
      <c r="E200" s="130" t="str">
        <f>IFERROR(IF(VLOOKUP($A200,timetables,8,FALSE)="W","Wind = ",""),"")</f>
        <v/>
      </c>
      <c r="G200" s="119" t="str">
        <f>IFERROR(IF(OR(F202=0,F202=""),"",IF(F202&lt;A209,"REC",IF(F202=A209,"=Rec",""))),"")</f>
        <v/>
      </c>
      <c r="I200" s="114" t="str">
        <f>IFERROR(VLOOKUP(A200,timetables,2,FALSE)&amp;" "&amp;VLOOKUP(A200,timetables,3,FALSE)&amp;" B","")</f>
        <v>800m U13 Girls B</v>
      </c>
      <c r="J200" s="115"/>
      <c r="L200" s="130" t="str">
        <f>IFERROR(IF(VLOOKUP($A200,timetables,8,FALSE)="W","Wind = ",""),"")</f>
        <v/>
      </c>
      <c r="P200" s="66" t="s">
        <v>53</v>
      </c>
      <c r="Q200" s="66" t="s">
        <v>54</v>
      </c>
    </row>
    <row r="201" spans="1:22" x14ac:dyDescent="0.35">
      <c r="A201" s="82"/>
      <c r="B201" s="45" t="s">
        <v>230</v>
      </c>
      <c r="C201" s="45" t="s">
        <v>183</v>
      </c>
      <c r="D201" s="47" t="s">
        <v>227</v>
      </c>
      <c r="E201" s="47" t="s">
        <v>228</v>
      </c>
      <c r="F201" s="149" t="s">
        <v>229</v>
      </c>
      <c r="G201" s="199" t="s">
        <v>55</v>
      </c>
      <c r="H201" s="47"/>
      <c r="I201" s="45" t="s">
        <v>230</v>
      </c>
      <c r="J201" s="45" t="s">
        <v>183</v>
      </c>
      <c r="K201" s="47" t="s">
        <v>227</v>
      </c>
      <c r="L201" s="47" t="s">
        <v>228</v>
      </c>
      <c r="M201" s="149" t="s">
        <v>229</v>
      </c>
      <c r="N201" s="199" t="s">
        <v>55</v>
      </c>
      <c r="P201" s="66">
        <f>IFERROR(SEARCH("NS",B200),0)</f>
        <v>0</v>
      </c>
      <c r="T201" s="67"/>
    </row>
    <row r="202" spans="1:22" x14ac:dyDescent="0.35">
      <c r="A202" s="181">
        <f>IFERROR(VLOOKUP(A200,Timetables!$A:$E,5,FALSE)-1,"")</f>
        <v>32</v>
      </c>
      <c r="B202" s="117">
        <v>1</v>
      </c>
      <c r="C202" s="120">
        <v>3</v>
      </c>
      <c r="D202" s="64" t="str">
        <f ca="1">IFERROR(IF(A208=0,HLOOKUP(C202,Declarations!$D$2:$S$102,A202,FALSE),HLOOKUP(VLOOKUP(C202,Teams!$V$2:$W$19,2,FALSE),Declarations!$D$2:$S$102,A202,FALSE)),"")</f>
        <v>SIGSWORTH Martha</v>
      </c>
      <c r="E202" s="64" t="str">
        <f t="shared" ref="E202:E209" si="36">IFERROR(VLOOKUP(C202,teamlookup,5,FALSE),"")</f>
        <v>York</v>
      </c>
      <c r="F202" s="431">
        <v>2.4350000000000001</v>
      </c>
      <c r="G202" s="198" t="str">
        <f>IFERROR(IF(OR(F202=0,F202="",F202&gt;$A207-0.01),"",VLOOKUP(VLOOKUP(F202,A203:B207,2,TRUE),Points!$H$7:$I$10,2,FALSE)),"")</f>
        <v/>
      </c>
      <c r="H202" s="67"/>
      <c r="I202" s="117">
        <v>1</v>
      </c>
      <c r="J202" s="392">
        <v>33</v>
      </c>
      <c r="K202" s="64" t="str">
        <f ca="1">IFERROR(IF(A208=0,HLOOKUP(J202,Declarations!$D$2:$S$102,A202,FALSE),HLOOKUP(VLOOKUP(J202,Teams!$V$2:$W$19,2,FALSE),Declarations!$D$2:$S$102,A202,FALSE)),"")</f>
        <v>BROOKS Laura</v>
      </c>
      <c r="L202" s="64" t="str">
        <f t="shared" ref="L202:L209" si="37">IFERROR(VLOOKUP(J202,teamlookup,5,FALSE),"")</f>
        <v>York</v>
      </c>
      <c r="M202" s="384">
        <v>2.4740000000000002</v>
      </c>
      <c r="N202" s="198" t="str">
        <f>IFERROR(IF(OR(M202=0,M202="",M202&gt;$A207-0.01),"",VLOOKUP(VLOOKUP(M202,A203:B207,2,TRUE),Points!$H$7:$I$10,2,FALSE)),"")</f>
        <v/>
      </c>
      <c r="P202" s="66">
        <f ca="1">IFERROR(IF(OR(C202=0,C202="",F202=0,F202="",$P201&lt;&gt;0,LEFT(F202,1)="D"),0,VLOOKUP(B202,INDIRECT(MatchDay!$W$2),2,FALSE)),"")</f>
        <v>8</v>
      </c>
      <c r="Q202" s="66">
        <f ca="1">IFERROR(IF(OR(J202=0,J202="",M202=0,M202="",$P201&lt;&gt;0,LEFT(M202,1)="D"),0,VLOOKUP(I202,INDIRECT(MatchDay!$W$2),3,FALSE)),"")</f>
        <v>6</v>
      </c>
      <c r="R202" s="219">
        <f>COUNTIF(C202,"&gt;0")</f>
        <v>1</v>
      </c>
      <c r="S202" s="66">
        <f>IFERROR(IF(C202&gt;88,1,0),0)</f>
        <v>0</v>
      </c>
      <c r="T202" s="109">
        <f>IFERROR(IF(LEFT(F202,1)="D",0,(INT(F202)*60+(F202-INT(F202))*100)/86400),"X")</f>
        <v>1.8923611111111112E-3</v>
      </c>
      <c r="U202" s="109">
        <f>IFERROR(IF(LEFT(M202,1)="D",0,(INT(M202)*60+(M202-INT(M202))*100)/86400),"X")</f>
        <v>1.9375000000000004E-3</v>
      </c>
      <c r="V202" s="67"/>
    </row>
    <row r="203" spans="1:22" x14ac:dyDescent="0.35">
      <c r="A203" s="64">
        <v>0</v>
      </c>
      <c r="B203" s="117">
        <v>2</v>
      </c>
      <c r="C203" s="120">
        <v>4</v>
      </c>
      <c r="D203" s="64" t="str">
        <f ca="1">IFERROR(IF(A208=0,HLOOKUP(C203,Declarations!$D$2:$S$102,A202,FALSE),HLOOKUP(VLOOKUP(C203,Teams!$V$2:$W$19,2,FALSE),Declarations!$D$2:$S$102,A202,FALSE)),"")</f>
        <v>LILLIE Freya</v>
      </c>
      <c r="E203" s="64" t="str">
        <f t="shared" si="36"/>
        <v>M'bro</v>
      </c>
      <c r="F203" s="391">
        <v>2.448</v>
      </c>
      <c r="G203" s="198" t="str">
        <f>IFERROR(IF(OR(F203=0,F203="",F203&gt;$A207-0.01),"",VLOOKUP(VLOOKUP(F203,A203:B207,2,TRUE),Points!$H$7:$I$10,2,FALSE)),"")</f>
        <v/>
      </c>
      <c r="H203" s="67"/>
      <c r="I203" s="117">
        <v>2</v>
      </c>
      <c r="J203" s="392">
        <v>11</v>
      </c>
      <c r="K203" s="64" t="str">
        <f ca="1">IFERROR(IF(A208=0,HLOOKUP(J203,Declarations!$D$2:$S$102,A202,FALSE),HLOOKUP(VLOOKUP(J203,Teams!$V$2:$W$19,2,FALSE),Declarations!$D$2:$S$102,A202,FALSE)),"")</f>
        <v>PELL Gracie</v>
      </c>
      <c r="L203" s="64" t="str">
        <f t="shared" si="37"/>
        <v>C'field</v>
      </c>
      <c r="M203" s="384">
        <v>2.5880000000000001</v>
      </c>
      <c r="N203" s="198" t="str">
        <f>IFERROR(IF(OR(M203=0,M203="",M203&gt;$A207-0.01),"",VLOOKUP(VLOOKUP(M203,A203:B207,2,TRUE),Points!$H$7:$I$10,2,FALSE)),"")</f>
        <v/>
      </c>
      <c r="P203" s="66">
        <f ca="1">IFERROR(IF(OR(C203=0,C203="",F203=0,F203="",$P201&lt;&gt;0,LEFT(F203,1)="D"),0,VLOOKUP(B203,INDIRECT(MatchDay!$W$2),2,FALSE)),"")</f>
        <v>6</v>
      </c>
      <c r="Q203" s="66">
        <f ca="1">IFERROR(IF(OR(J203=0,J203="",M203=0,M203="",$P201&lt;&gt;0,LEFT(M203,1)="D"),0,VLOOKUP(I203,INDIRECT(MatchDay!$W$2),3,FALSE)),"")</f>
        <v>4</v>
      </c>
      <c r="T203" s="109">
        <f t="shared" ref="T203:T209" si="38">IFERROR(IF(LEFT(F203,1)="D",0,(INT(F203)*60+(F203-INT(F203))*100)/86400),"X")</f>
        <v>1.9074074074074076E-3</v>
      </c>
      <c r="U203" s="109">
        <f t="shared" ref="U203:U209" si="39">IFERROR(IF(LEFT(M203,1)="D",0,(INT(M203)*60+(M203-INT(M203))*100)/86400),"X")</f>
        <v>2.0694444444444445E-3</v>
      </c>
    </row>
    <row r="204" spans="1:22" x14ac:dyDescent="0.35">
      <c r="A204" s="118">
        <f>IFERROR(VLOOKUP(A200,standards,3,FALSE)+0.01,"-")</f>
        <v>2.2949999999999999</v>
      </c>
      <c r="B204" s="117">
        <v>3</v>
      </c>
      <c r="C204" s="120">
        <v>1</v>
      </c>
      <c r="D204" s="64" t="str">
        <f ca="1">IFERROR(IF(A208=0,HLOOKUP(C204,Declarations!$D$2:$S$102,A202,FALSE),HLOOKUP(VLOOKUP(C204,Teams!$V$2:$W$19,2,FALSE),Declarations!$D$2:$S$102,A202,FALSE)),"")</f>
        <v>STANILAND Charlotte</v>
      </c>
      <c r="E204" s="64" t="str">
        <f t="shared" si="36"/>
        <v>C'field</v>
      </c>
      <c r="F204" s="391">
        <v>2.5470000000000002</v>
      </c>
      <c r="G204" s="198" t="str">
        <f>IFERROR(IF(OR(F204=0,F204="",F204&gt;$A207-0.01),"",VLOOKUP(VLOOKUP(F204,A203:B207,2,TRUE),Points!$H$7:$I$10,2,FALSE)),"")</f>
        <v/>
      </c>
      <c r="H204" s="67"/>
      <c r="I204" s="117">
        <v>3</v>
      </c>
      <c r="J204" s="392"/>
      <c r="K204" s="64" t="str">
        <f>IFERROR(IF(A208=0,HLOOKUP(J204,Declarations!$D$2:$S$102,A202,FALSE),HLOOKUP(VLOOKUP(J204,Teams!$V$2:$W$19,2,FALSE),Declarations!$D$2:$S$102,A202,FALSE)),"")</f>
        <v/>
      </c>
      <c r="L204" s="64" t="str">
        <f t="shared" si="37"/>
        <v/>
      </c>
      <c r="M204" s="384"/>
      <c r="N204" s="198" t="str">
        <f>IFERROR(IF(OR(M204=0,M204="",M204&gt;$A207-0.01),"",VLOOKUP(VLOOKUP(M204,A203:B207,2,TRUE),Points!$H$7:$I$10,2,FALSE)),"")</f>
        <v/>
      </c>
      <c r="P204" s="66">
        <f ca="1">IFERROR(IF(OR(C204=0,C204="",F204=0,F204="",$P201&lt;&gt;0,LEFT(F204,1)="D"),0,VLOOKUP(B204,INDIRECT(MatchDay!$W$2),2,FALSE)),"")</f>
        <v>5</v>
      </c>
      <c r="Q204" s="66">
        <f ca="1">IFERROR(IF(OR(J204=0,J204="",M204=0,M204="",$P201&lt;&gt;0,LEFT(M204,1)="D"),0,VLOOKUP(I204,INDIRECT(MatchDay!$W$2),3,FALSE)),"")</f>
        <v>0</v>
      </c>
      <c r="T204" s="109">
        <f t="shared" si="38"/>
        <v>2.0219907407407409E-3</v>
      </c>
      <c r="U204" s="109">
        <f t="shared" si="39"/>
        <v>0</v>
      </c>
    </row>
    <row r="205" spans="1:22" x14ac:dyDescent="0.35">
      <c r="A205" s="118">
        <f>IFERROR(VLOOKUP(A200,standards,4,FALSE)+0.01,"-")</f>
        <v>2.3249999999999997</v>
      </c>
      <c r="B205" s="117">
        <v>4</v>
      </c>
      <c r="C205" s="120">
        <v>5</v>
      </c>
      <c r="D205" s="64" t="str">
        <f ca="1">IFERROR(IF(A208=0,HLOOKUP(C205,Declarations!$D$2:$S$102,A202,FALSE),HLOOKUP(VLOOKUP(C205,Teams!$V$2:$W$19,2,FALSE),Declarations!$D$2:$S$102,A202,FALSE)),"")</f>
        <v>ABDI Zulekha</v>
      </c>
      <c r="E205" s="64" t="str">
        <f t="shared" si="36"/>
        <v>Scun</v>
      </c>
      <c r="F205" s="391">
        <v>3.331</v>
      </c>
      <c r="G205" s="198" t="str">
        <f>IFERROR(IF(OR(F205=0,F205="",F205&gt;$A207-0.01),"",VLOOKUP(VLOOKUP(F205,A203:B207,2,TRUE),Points!$H$7:$I$10,2,FALSE)),"")</f>
        <v/>
      </c>
      <c r="H205" s="67"/>
      <c r="I205" s="117">
        <v>4</v>
      </c>
      <c r="J205" s="392"/>
      <c r="K205" s="64" t="str">
        <f>IFERROR(IF(A208=0,HLOOKUP(J205,Declarations!$D$2:$S$102,A202,FALSE),HLOOKUP(VLOOKUP(J205,Teams!$V$2:$W$19,2,FALSE),Declarations!$D$2:$S$102,A202,FALSE)),"")</f>
        <v/>
      </c>
      <c r="L205" s="64" t="str">
        <f t="shared" si="37"/>
        <v/>
      </c>
      <c r="M205" s="384"/>
      <c r="N205" s="198" t="str">
        <f>IFERROR(IF(OR(M205=0,M205="",M205&gt;$A207-0.01),"",VLOOKUP(VLOOKUP(M205,A203:B207,2,TRUE),Points!$H$7:$I$10,2,FALSE)),"")</f>
        <v/>
      </c>
      <c r="P205" s="66">
        <f ca="1">IFERROR(IF(OR(C205=0,C205="",F205=0,F205="",$P201&lt;&gt;0,LEFT(F205,1)="D"),0,VLOOKUP(B205,INDIRECT(MatchDay!$W$2),2,FALSE)),"")</f>
        <v>4</v>
      </c>
      <c r="Q205" s="66">
        <f ca="1">IFERROR(IF(OR(J205=0,J205="",M205=0,M205="",$P201&lt;&gt;0,LEFT(M205,1)="D"),0,VLOOKUP(I205,INDIRECT(MatchDay!$W$2),3,FALSE)),"")</f>
        <v>0</v>
      </c>
      <c r="T205" s="109">
        <f t="shared" si="38"/>
        <v>2.4664351851851852E-3</v>
      </c>
      <c r="U205" s="109">
        <f t="shared" si="39"/>
        <v>0</v>
      </c>
    </row>
    <row r="206" spans="1:22" x14ac:dyDescent="0.35">
      <c r="A206" s="118">
        <f>IFERROR(VLOOKUP(A200,standards,5,FALSE)+0.01,"-")</f>
        <v>2.36</v>
      </c>
      <c r="B206" s="117">
        <v>5</v>
      </c>
      <c r="C206" s="120"/>
      <c r="D206" s="64" t="str">
        <f>IFERROR(IF(A208=0,HLOOKUP(C206,Declarations!$D$2:$S$102,A202,FALSE),HLOOKUP(VLOOKUP(C206,Teams!$V$2:$W$19,2,FALSE),Declarations!$D$2:$S$102,A202,FALSE)),"")</f>
        <v/>
      </c>
      <c r="E206" s="64" t="str">
        <f t="shared" si="36"/>
        <v/>
      </c>
      <c r="F206" s="391"/>
      <c r="G206" s="198" t="str">
        <f>IFERROR(IF(OR(F206=0,F206="",F206&gt;$A207-0.01),"",VLOOKUP(VLOOKUP(F206,A203:B207,2,TRUE),Points!$H$7:$I$10,2,FALSE)),"")</f>
        <v/>
      </c>
      <c r="H206" s="67"/>
      <c r="I206" s="117">
        <v>5</v>
      </c>
      <c r="J206" s="392"/>
      <c r="K206" s="64" t="str">
        <f>IFERROR(IF(A208=0,HLOOKUP(J206,Declarations!$D$2:$S$102,A202,FALSE),HLOOKUP(VLOOKUP(J206,Teams!$V$2:$W$19,2,FALSE),Declarations!$D$2:$S$102,A202,FALSE)),"")</f>
        <v/>
      </c>
      <c r="L206" s="64" t="str">
        <f t="shared" si="37"/>
        <v/>
      </c>
      <c r="M206" s="384"/>
      <c r="N206" s="198" t="str">
        <f>IFERROR(IF(OR(M206=0,M206="",M206&gt;$A207-0.01),"",VLOOKUP(VLOOKUP(M206,A203:B207,2,TRUE),Points!$H$7:$I$10,2,FALSE)),"")</f>
        <v/>
      </c>
      <c r="P206" s="66">
        <f ca="1">IFERROR(IF(OR(C206=0,C206="",F206=0,F206="",$P201&lt;&gt;0,LEFT(F206,1)="D"),0,VLOOKUP(B206,INDIRECT(MatchDay!$W$2),2,FALSE)),"")</f>
        <v>0</v>
      </c>
      <c r="Q206" s="66">
        <f ca="1">IFERROR(IF(OR(J206=0,J206="",M206=0,M206="",$P201&lt;&gt;0,LEFT(M206,1)="D"),0,VLOOKUP(I206,INDIRECT(MatchDay!$W$2),3,FALSE)),"")</f>
        <v>0</v>
      </c>
      <c r="T206" s="109">
        <f t="shared" si="38"/>
        <v>0</v>
      </c>
      <c r="U206" s="109">
        <f t="shared" si="39"/>
        <v>0</v>
      </c>
    </row>
    <row r="207" spans="1:22" x14ac:dyDescent="0.35">
      <c r="A207" s="118">
        <f>IFERROR(VLOOKUP(A200,standards,6,FALSE)+0.01,"-")</f>
        <v>2.4229999999999996</v>
      </c>
      <c r="B207" s="117">
        <v>6</v>
      </c>
      <c r="C207" s="120"/>
      <c r="D207" s="64" t="str">
        <f>IFERROR(IF(A208=0,HLOOKUP(C207,Declarations!$D$2:$S$102,A202,FALSE),HLOOKUP(VLOOKUP(C207,Teams!$V$2:$W$19,2,FALSE),Declarations!$D$2:$S$102,A202,FALSE)),"")</f>
        <v/>
      </c>
      <c r="E207" s="64" t="str">
        <f t="shared" si="36"/>
        <v/>
      </c>
      <c r="F207" s="391"/>
      <c r="G207" s="198" t="str">
        <f>IFERROR(IF(OR(F207=0,F207="",F207&gt;$A207-0.01),"",VLOOKUP(VLOOKUP(F207,A203:B207,2,TRUE),Points!$H$7:$I$10,2,FALSE)),"")</f>
        <v/>
      </c>
      <c r="H207" s="67"/>
      <c r="I207" s="117">
        <v>6</v>
      </c>
      <c r="J207" s="392"/>
      <c r="K207" s="64" t="str">
        <f>IFERROR(IF(A208=0,HLOOKUP(J207,Declarations!$D$2:$S$102,A202,FALSE),HLOOKUP(VLOOKUP(J207,Teams!$V$2:$W$19,2,FALSE),Declarations!$D$2:$S$102,A202,FALSE)),"")</f>
        <v/>
      </c>
      <c r="L207" s="64" t="str">
        <f t="shared" si="37"/>
        <v/>
      </c>
      <c r="M207" s="384"/>
      <c r="N207" s="198" t="str">
        <f>IFERROR(IF(OR(M207=0,M207="",M207&gt;$A207-0.01),"",VLOOKUP(VLOOKUP(M207,A203:B207,2,TRUE),Points!$H$7:$I$10,2,FALSE)),"")</f>
        <v/>
      </c>
      <c r="P207" s="66">
        <f ca="1">IFERROR(IF(OR(C207=0,C207="",F207=0,F207="",$P201&lt;&gt;0,LEFT(F207,1)="D"),0,VLOOKUP(B207,INDIRECT(MatchDay!$W$2),2,FALSE)),"")</f>
        <v>0</v>
      </c>
      <c r="Q207" s="66">
        <f ca="1">IFERROR(IF(OR(J207=0,J207="",M207=0,M207="",$P201&lt;&gt;0,LEFT(M207,1)="D"),0,VLOOKUP(I207,INDIRECT(MatchDay!$W$2),3,FALSE)),"")</f>
        <v>0</v>
      </c>
      <c r="T207" s="109">
        <f t="shared" si="38"/>
        <v>0</v>
      </c>
      <c r="U207" s="109">
        <f t="shared" si="39"/>
        <v>0</v>
      </c>
    </row>
    <row r="208" spans="1:22" x14ac:dyDescent="0.35">
      <c r="A208" s="136">
        <f>IFERROR(SEARCH("U17",B200),0)</f>
        <v>0</v>
      </c>
      <c r="B208" s="117">
        <v>7</v>
      </c>
      <c r="C208" s="120"/>
      <c r="D208" s="64" t="str">
        <f>IFERROR(IF(A208=0,HLOOKUP(C208,Declarations!$D$2:$S$102,A202,FALSE),HLOOKUP(VLOOKUP(C208,Teams!$V$2:$W$19,2,FALSE),Declarations!$D$2:$S$102,A202,FALSE)),"")</f>
        <v/>
      </c>
      <c r="E208" s="64" t="str">
        <f t="shared" si="36"/>
        <v/>
      </c>
      <c r="F208" s="391"/>
      <c r="G208" s="198" t="str">
        <f>IFERROR(IF(OR(F208=0,F208="",F208&gt;$A207-0.01),"",VLOOKUP(VLOOKUP(F208,A203:B207,2,TRUE),Points!$H$7:$I$10,2,FALSE)),"")</f>
        <v/>
      </c>
      <c r="H208" s="67"/>
      <c r="I208" s="117">
        <v>7</v>
      </c>
      <c r="J208" s="392"/>
      <c r="K208" s="64" t="str">
        <f>IFERROR(IF(A208=0,HLOOKUP(J208,Declarations!$D$2:$S$102,A202,FALSE),HLOOKUP(VLOOKUP(J208,Teams!$V$2:$W$19,2,FALSE),Declarations!$D$2:$S$102,A202,FALSE)),"")</f>
        <v/>
      </c>
      <c r="L208" s="64" t="str">
        <f t="shared" si="37"/>
        <v/>
      </c>
      <c r="M208" s="384"/>
      <c r="N208" s="198" t="str">
        <f>IFERROR(IF(OR(M208=0,M208="",M208&gt;$A207-0.01),"",VLOOKUP(VLOOKUP(M208,A203:B207,2,TRUE),Points!$H$7:$I$10,2,FALSE)),"")</f>
        <v/>
      </c>
      <c r="P208" s="66">
        <f ca="1">IFERROR(IF(OR(C208=0,C208="",F208=0,F208="",$P201&lt;&gt;0,LEFT(F208,1)="D"),0,VLOOKUP(B208,INDIRECT(MatchDay!$W$2),2,FALSE)),"")</f>
        <v>0</v>
      </c>
      <c r="Q208" s="66">
        <f ca="1">IFERROR(IF(OR(J208=0,J208="",M208=0,M208="",$P201&lt;&gt;0,LEFT(M208,1)="D"),0,VLOOKUP(I208,INDIRECT(MatchDay!$W$2),3,FALSE)),"")</f>
        <v>0</v>
      </c>
      <c r="T208" s="109">
        <f t="shared" si="38"/>
        <v>0</v>
      </c>
      <c r="U208" s="109">
        <f t="shared" si="39"/>
        <v>0</v>
      </c>
    </row>
    <row r="209" spans="1:21" x14ac:dyDescent="0.35">
      <c r="A209" s="116">
        <f>IFERROR(VLOOKUP(A200,records,5,FALSE),"")</f>
        <v>1.6215277777777779E-3</v>
      </c>
      <c r="B209" s="117">
        <v>8</v>
      </c>
      <c r="C209" s="120"/>
      <c r="D209" s="64" t="str">
        <f>IFERROR(IF(A208=0,HLOOKUP(C209,Declarations!$D$2:$S$102,A202,FALSE),HLOOKUP(VLOOKUP(C209,Teams!$V$2:$W$19,2,FALSE),Declarations!$D$2:$S$102,A202,FALSE)),"")</f>
        <v/>
      </c>
      <c r="E209" s="64" t="str">
        <f t="shared" si="36"/>
        <v/>
      </c>
      <c r="F209" s="391"/>
      <c r="G209" s="198" t="str">
        <f>IFERROR(IF(OR(F209=0,F209="",F209&gt;$A207-0.01),"",VLOOKUP(VLOOKUP(F209,A203:B207,2,TRUE),Points!$H$7:$I$10,2,FALSE)),"")</f>
        <v/>
      </c>
      <c r="H209" s="67"/>
      <c r="I209" s="117">
        <v>8</v>
      </c>
      <c r="J209" s="392"/>
      <c r="K209" s="64" t="str">
        <f>IFERROR(IF(A208=0,HLOOKUP(J209,Declarations!$D$2:$S$102,A202,FALSE),HLOOKUP(VLOOKUP(J209,Teams!$V$2:$W$19,2,FALSE),Declarations!$D$2:$S$102,A202,FALSE)),"")</f>
        <v/>
      </c>
      <c r="L209" s="64" t="str">
        <f t="shared" si="37"/>
        <v/>
      </c>
      <c r="M209" s="384"/>
      <c r="N209" s="198" t="str">
        <f>IFERROR(IF(OR(M209=0,M209="",M209&gt;$A207-0.01),"",VLOOKUP(VLOOKUP(M209,A203:B207,2,TRUE),Points!$H$7:$I$10,2,FALSE)),"")</f>
        <v/>
      </c>
      <c r="P209" s="66">
        <f ca="1">IFERROR(IF(OR(C209=0,C209="",F209=0,F209="",$P201&lt;&gt;0,LEFT(F209,1)="D"),0,VLOOKUP(B209,INDIRECT(MatchDay!$W$2),2,FALSE)),"")</f>
        <v>0</v>
      </c>
      <c r="Q209" s="66">
        <f ca="1">IFERROR(IF(OR(J209=0,J209="",M209=0,M209="",$P201&lt;&gt;0,LEFT(M209,1)="D"),0,VLOOKUP(I209,INDIRECT(MatchDay!$W$2),3,FALSE)),"")</f>
        <v>0</v>
      </c>
      <c r="T209" s="109">
        <f t="shared" si="38"/>
        <v>0</v>
      </c>
      <c r="U209" s="109">
        <f t="shared" si="39"/>
        <v>0</v>
      </c>
    </row>
    <row r="210" spans="1:21" x14ac:dyDescent="0.35">
      <c r="M210" s="315"/>
      <c r="T210" s="109">
        <f t="shared" ref="T210:T266" si="40">IFERROR((INT(F210)*60+(F210-INT(F210))*100)/86400,"X")</f>
        <v>0</v>
      </c>
      <c r="U210" s="109">
        <f t="shared" ref="U210:U266" si="41">IFERROR((INT(M210)*60+(M210-INT(M210))*100)/86400,"X")</f>
        <v>0</v>
      </c>
    </row>
    <row r="211" spans="1:21" x14ac:dyDescent="0.35">
      <c r="A211" s="111" t="s">
        <v>507</v>
      </c>
      <c r="B211" s="112" t="str">
        <f>IFERROR(VLOOKUP(A211,timetables,2,FALSE)&amp;" "&amp;VLOOKUP(A211,timetables,3,FALSE)&amp;" A","")</f>
        <v>800m U13 Boys A</v>
      </c>
      <c r="C211" s="112"/>
      <c r="E211" s="130" t="str">
        <f>IFERROR(IF(VLOOKUP($A211,timetables,8,FALSE)="W","Wind = ",""),"")</f>
        <v/>
      </c>
      <c r="G211" s="119" t="str">
        <f>IFERROR(IF(OR(F213=0,F213=""),"",IF(F213&lt;A220,"REC",IF(F213=A220,"=Rec",""))),"")</f>
        <v/>
      </c>
      <c r="I211" s="114" t="str">
        <f>IFERROR(VLOOKUP(A211,timetables,2,FALSE)&amp;" "&amp;VLOOKUP(A211,timetables,3,FALSE)&amp;" B","")</f>
        <v>800m U13 Boys B</v>
      </c>
      <c r="J211" s="115"/>
      <c r="L211" s="130" t="str">
        <f>IFERROR(IF(VLOOKUP($A211,timetables,8,FALSE)="W","Wind = ",""),"")</f>
        <v/>
      </c>
      <c r="M211" s="315"/>
      <c r="P211" s="66" t="s">
        <v>53</v>
      </c>
      <c r="Q211" s="66" t="s">
        <v>54</v>
      </c>
      <c r="T211" s="109">
        <f t="shared" si="40"/>
        <v>0</v>
      </c>
      <c r="U211" s="109">
        <f t="shared" si="41"/>
        <v>0</v>
      </c>
    </row>
    <row r="212" spans="1:21" x14ac:dyDescent="0.35">
      <c r="A212" s="82"/>
      <c r="B212" s="45" t="s">
        <v>230</v>
      </c>
      <c r="C212" s="45" t="s">
        <v>183</v>
      </c>
      <c r="D212" s="47" t="s">
        <v>227</v>
      </c>
      <c r="E212" s="47" t="s">
        <v>228</v>
      </c>
      <c r="F212" s="149" t="s">
        <v>229</v>
      </c>
      <c r="G212" s="199" t="s">
        <v>55</v>
      </c>
      <c r="H212" s="47"/>
      <c r="I212" s="45" t="s">
        <v>230</v>
      </c>
      <c r="J212" s="45" t="s">
        <v>183</v>
      </c>
      <c r="K212" s="47" t="s">
        <v>227</v>
      </c>
      <c r="L212" s="47" t="s">
        <v>228</v>
      </c>
      <c r="M212" s="314" t="s">
        <v>229</v>
      </c>
      <c r="N212" s="199" t="s">
        <v>55</v>
      </c>
      <c r="P212" s="66">
        <f>IFERROR(SEARCH("NS",B211),0)</f>
        <v>0</v>
      </c>
      <c r="T212" s="109"/>
      <c r="U212" s="109"/>
    </row>
    <row r="213" spans="1:21" x14ac:dyDescent="0.35">
      <c r="A213" s="181">
        <f>IFERROR(VLOOKUP(A211,Timetables!$A:$E,5,FALSE)-1,"")</f>
        <v>82</v>
      </c>
      <c r="B213" s="117">
        <v>1</v>
      </c>
      <c r="C213" s="120">
        <v>2</v>
      </c>
      <c r="D213" s="64" t="str">
        <f ca="1">IFERROR(IF(A219=0,HLOOKUP(C213,Declarations!$D$2:$S$102,A213,FALSE),HLOOKUP(VLOOKUP(C213,Teams!$V$2:$W$19,2,FALSE),Declarations!$D$2:$S$102,A213,FALSE)),"")</f>
        <v>PLATTS Will</v>
      </c>
      <c r="E213" s="64" t="str">
        <f t="shared" ref="E213:E220" si="42">IFERROR(VLOOKUP(C213,teamlookup,5,FALSE),"")</f>
        <v>Sheff+D</v>
      </c>
      <c r="F213" s="391">
        <v>2.3279999999999998</v>
      </c>
      <c r="G213" s="198">
        <f>IFERROR(IF(OR(F213=0,F213="",F213&gt;$A218-0.01),"",VLOOKUP(VLOOKUP(F213,A214:B218,2,TRUE),Points!$H$7:$I$10,2,FALSE)),"")</f>
        <v>4</v>
      </c>
      <c r="H213" s="67"/>
      <c r="I213" s="117">
        <v>1</v>
      </c>
      <c r="J213" s="392">
        <v>22</v>
      </c>
      <c r="K213" s="64" t="str">
        <f ca="1">IFERROR(IF(A219=0,HLOOKUP(J213,Declarations!$D$2:$S$102,A213,FALSE),HLOOKUP(VLOOKUP(J213,Teams!$V$2:$W$19,2,FALSE),Declarations!$D$2:$S$102,A213,FALSE)),"")</f>
        <v>REED Elliot</v>
      </c>
      <c r="L213" s="64" t="str">
        <f t="shared" ref="L213:L220" si="43">IFERROR(VLOOKUP(J213,teamlookup,5,FALSE),"")</f>
        <v>Sheff+D</v>
      </c>
      <c r="M213" s="384">
        <v>2.4449999999999998</v>
      </c>
      <c r="N213" s="198" t="str">
        <f>IFERROR(IF(OR(M213=0,M213="",M213&gt;$A218-0.01),"",VLOOKUP(VLOOKUP(M213,A214:B218,2,TRUE),Points!$H$7:$I$10,2,FALSE)),"")</f>
        <v/>
      </c>
      <c r="P213" s="66">
        <f ca="1">IFERROR(IF(OR(C213=0,C213="",F213=0,F213="",$P212&lt;&gt;0,LEFT(F213,1)="D"),0,VLOOKUP(B213,INDIRECT(MatchDay!$W$2),2,FALSE)),"")</f>
        <v>8</v>
      </c>
      <c r="Q213" s="66">
        <f ca="1">IFERROR(IF(OR(J213=0,J213="",M213=0,M213="",$P212&lt;&gt;0,LEFT(M213,1)="D"),0,VLOOKUP(I213,INDIRECT(MatchDay!$W$2),3,FALSE)),"")</f>
        <v>6</v>
      </c>
      <c r="R213" s="219">
        <f>COUNTIF(C213,"&gt;0")</f>
        <v>1</v>
      </c>
      <c r="S213" s="66">
        <f>IFERROR(IF(C213&gt;88,1,0),0)</f>
        <v>0</v>
      </c>
      <c r="T213" s="109">
        <f>IFERROR(IF(LEFT(F213,1)="D",0,(INT(F213)*60+(F213-INT(F213))*100)/86400),"X")</f>
        <v>1.7685185185185182E-3</v>
      </c>
      <c r="U213" s="109">
        <f>IFERROR(IF(LEFT(M213,1)="D",0,(INT(M213)*60+(M213-INT(M213))*100)/86400),"X")</f>
        <v>1.9039351851851852E-3</v>
      </c>
    </row>
    <row r="214" spans="1:21" x14ac:dyDescent="0.35">
      <c r="A214" s="64">
        <v>0</v>
      </c>
      <c r="B214" s="117">
        <v>2</v>
      </c>
      <c r="C214" s="120">
        <v>44</v>
      </c>
      <c r="D214" s="64" t="str">
        <f ca="1">IFERROR(IF(A219=0,HLOOKUP(C214,Declarations!$D$2:$S$102,A213,FALSE),HLOOKUP(VLOOKUP(C214,Teams!$V$2:$W$19,2,FALSE),Declarations!$D$2:$S$102,A213,FALSE)),"")</f>
        <v>CRAGGS George</v>
      </c>
      <c r="E214" s="64" t="str">
        <f t="shared" si="42"/>
        <v>M'bro</v>
      </c>
      <c r="F214" s="391">
        <v>2.375</v>
      </c>
      <c r="G214" s="198" t="str">
        <f>IFERROR(IF(OR(F214=0,F214="",F214&gt;$A218-0.01),"",VLOOKUP(VLOOKUP(F214,A214:B218,2,TRUE),Points!$H$7:$I$10,2,FALSE)),"")</f>
        <v/>
      </c>
      <c r="H214" s="67"/>
      <c r="I214" s="117">
        <v>2</v>
      </c>
      <c r="J214" s="392">
        <v>33</v>
      </c>
      <c r="K214" s="64" t="str">
        <f ca="1">IFERROR(IF(A219=0,HLOOKUP(J214,Declarations!$D$2:$S$102,A213,FALSE),HLOOKUP(VLOOKUP(J214,Teams!$V$2:$W$19,2,FALSE),Declarations!$D$2:$S$102,A213,FALSE)),"")</f>
        <v>JONES Alex</v>
      </c>
      <c r="L214" s="64" t="str">
        <f t="shared" si="43"/>
        <v>York</v>
      </c>
      <c r="M214" s="384">
        <v>2.488</v>
      </c>
      <c r="N214" s="198" t="str">
        <f>IFERROR(IF(OR(M214=0,M214="",M214&gt;$A218-0.01),"",VLOOKUP(VLOOKUP(M214,A214:B218,2,TRUE),Points!$H$7:$I$10,2,FALSE)),"")</f>
        <v/>
      </c>
      <c r="P214" s="66">
        <f ca="1">IFERROR(IF(OR(C214=0,C214="",F214=0,F214="",$P212&lt;&gt;0,LEFT(F214,1)="D"),0,VLOOKUP(B214,INDIRECT(MatchDay!$W$2),2,FALSE)),"")</f>
        <v>6</v>
      </c>
      <c r="Q214" s="66">
        <f ca="1">IFERROR(IF(OR(J214=0,J214="",M214=0,M214="",$P212&lt;&gt;0,LEFT(M214,1)="D"),0,VLOOKUP(I214,INDIRECT(MatchDay!$W$2),3,FALSE)),"")</f>
        <v>4</v>
      </c>
      <c r="T214" s="109">
        <f t="shared" ref="T214:T220" si="44">IFERROR(IF(LEFT(F214,1)="D",0,(INT(F214)*60+(F214-INT(F214))*100)/86400),"X")</f>
        <v>1.8229166666666667E-3</v>
      </c>
      <c r="U214" s="109">
        <f t="shared" ref="U214:U220" si="45">IFERROR(IF(LEFT(M214,1)="D",0,(INT(M214)*60+(M214-INT(M214))*100)/86400),"X")</f>
        <v>1.953703703703704E-3</v>
      </c>
    </row>
    <row r="215" spans="1:21" x14ac:dyDescent="0.35">
      <c r="A215" s="118">
        <f>IFERROR(VLOOKUP(A211,standards,3,FALSE)+0.01,"-")</f>
        <v>2.2349999999999999</v>
      </c>
      <c r="B215" s="117">
        <v>3</v>
      </c>
      <c r="C215" s="120">
        <v>3</v>
      </c>
      <c r="D215" s="64" t="str">
        <f ca="1">IFERROR(IF(A219=0,HLOOKUP(C215,Declarations!$D$2:$S$102,A213,FALSE),HLOOKUP(VLOOKUP(C215,Teams!$V$2:$W$19,2,FALSE),Declarations!$D$2:$S$102,A213,FALSE)),"")</f>
        <v>SANDWELL Joshua</v>
      </c>
      <c r="E215" s="64" t="str">
        <f t="shared" si="42"/>
        <v>York</v>
      </c>
      <c r="F215" s="391">
        <v>2.42</v>
      </c>
      <c r="G215" s="198" t="str">
        <f>IFERROR(IF(OR(F215=0,F215="",F215&gt;$A218-0.01),"",VLOOKUP(VLOOKUP(F215,A214:B218,2,TRUE),Points!$H$7:$I$10,2,FALSE)),"")</f>
        <v/>
      </c>
      <c r="H215" s="67"/>
      <c r="I215" s="117">
        <v>3</v>
      </c>
      <c r="J215" s="392">
        <v>4</v>
      </c>
      <c r="K215" s="64" t="str">
        <f ca="1">IFERROR(IF(A219=0,HLOOKUP(J215,Declarations!$D$2:$S$102,A213,FALSE),HLOOKUP(VLOOKUP(J215,Teams!$V$2:$W$19,2,FALSE),Declarations!$D$2:$S$102,A213,FALSE)),"")</f>
        <v>FRANCIS Stan</v>
      </c>
      <c r="L215" s="64" t="str">
        <f t="shared" si="43"/>
        <v>M'bro</v>
      </c>
      <c r="M215" s="384">
        <v>2.5249999999999999</v>
      </c>
      <c r="N215" s="198" t="str">
        <f>IFERROR(IF(OR(M215=0,M215="",M215&gt;$A218-0.01),"",VLOOKUP(VLOOKUP(M215,A214:B218,2,TRUE),Points!$H$7:$I$10,2,FALSE)),"")</f>
        <v/>
      </c>
      <c r="P215" s="66">
        <f ca="1">IFERROR(IF(OR(C215=0,C215="",F215=0,F215="",$P212&lt;&gt;0,LEFT(F215,1)="D"),0,VLOOKUP(B215,INDIRECT(MatchDay!$W$2),2,FALSE)),"")</f>
        <v>5</v>
      </c>
      <c r="Q215" s="66">
        <f ca="1">IFERROR(IF(OR(J215=0,J215="",M215=0,M215="",$P212&lt;&gt;0,LEFT(M215,1)="D"),0,VLOOKUP(I215,INDIRECT(MatchDay!$W$2),3,FALSE)),"")</f>
        <v>3</v>
      </c>
      <c r="T215" s="109">
        <f t="shared" si="44"/>
        <v>1.8749999999999999E-3</v>
      </c>
      <c r="U215" s="109">
        <f t="shared" si="45"/>
        <v>1.9965277777777776E-3</v>
      </c>
    </row>
    <row r="216" spans="1:21" x14ac:dyDescent="0.35">
      <c r="A216" s="118">
        <f>IFERROR(VLOOKUP(A211,standards,4,FALSE)+0.01,"-")</f>
        <v>2.2549999999999999</v>
      </c>
      <c r="B216" s="117">
        <v>4</v>
      </c>
      <c r="C216" s="120">
        <v>1</v>
      </c>
      <c r="D216" s="64" t="str">
        <f ca="1">IFERROR(IF(A219=0,HLOOKUP(C216,Declarations!$D$2:$S$102,A213,FALSE),HLOOKUP(VLOOKUP(C216,Teams!$V$2:$W$19,2,FALSE),Declarations!$D$2:$S$102,A213,FALSE)),"")</f>
        <v>LOWE Seth</v>
      </c>
      <c r="E216" s="64" t="str">
        <f t="shared" si="42"/>
        <v>C'field</v>
      </c>
      <c r="F216" s="391">
        <v>2.4319999999999999</v>
      </c>
      <c r="G216" s="198" t="str">
        <f>IFERROR(IF(OR(F216=0,F216="",F216&gt;$A218-0.01),"",VLOOKUP(VLOOKUP(F216,A214:B218,2,TRUE),Points!$H$7:$I$10,2,FALSE)),"")</f>
        <v/>
      </c>
      <c r="H216" s="67"/>
      <c r="I216" s="117">
        <v>4</v>
      </c>
      <c r="J216" s="392">
        <v>11</v>
      </c>
      <c r="K216" s="64" t="str">
        <f ca="1">IFERROR(IF(A219=0,HLOOKUP(J216,Declarations!$D$2:$S$102,A213,FALSE),HLOOKUP(VLOOKUP(J216,Teams!$V$2:$W$19,2,FALSE),Declarations!$D$2:$S$102,A213,FALSE)),"")</f>
        <v>STOWELL Callum</v>
      </c>
      <c r="L216" s="64" t="str">
        <f t="shared" si="43"/>
        <v>C'field</v>
      </c>
      <c r="M216" s="384">
        <v>3.048</v>
      </c>
      <c r="N216" s="198" t="str">
        <f>IFERROR(IF(OR(M216=0,M216="",M216&gt;$A218-0.01),"",VLOOKUP(VLOOKUP(M216,A214:B218,2,TRUE),Points!$H$7:$I$10,2,FALSE)),"")</f>
        <v/>
      </c>
      <c r="P216" s="66">
        <f ca="1">IFERROR(IF(OR(C216=0,C216="",F216=0,F216="",$P212&lt;&gt;0,LEFT(F216,1)="D"),0,VLOOKUP(B216,INDIRECT(MatchDay!$W$2),2,FALSE)),"")</f>
        <v>4</v>
      </c>
      <c r="Q216" s="66">
        <f ca="1">IFERROR(IF(OR(J216=0,J216="",M216=0,M216="",$P212&lt;&gt;0,LEFT(M216,1)="D"),0,VLOOKUP(I216,INDIRECT(MatchDay!$W$2),3,FALSE)),"")</f>
        <v>2</v>
      </c>
      <c r="T216" s="109">
        <f t="shared" si="44"/>
        <v>1.8888888888888887E-3</v>
      </c>
      <c r="U216" s="109">
        <f t="shared" si="45"/>
        <v>2.138888888888889E-3</v>
      </c>
    </row>
    <row r="217" spans="1:21" x14ac:dyDescent="0.35">
      <c r="A217" s="118">
        <f>IFERROR(VLOOKUP(A211,standards,5,FALSE)+0.01,"-")</f>
        <v>2.2849999999999997</v>
      </c>
      <c r="B217" s="117">
        <v>5</v>
      </c>
      <c r="C217" s="120"/>
      <c r="D217" s="64" t="str">
        <f>IFERROR(IF(A219=0,HLOOKUP(C217,Declarations!$D$2:$S$102,A213,FALSE),HLOOKUP(VLOOKUP(C217,Teams!$V$2:$W$19,2,FALSE),Declarations!$D$2:$S$102,A213,FALSE)),"")</f>
        <v/>
      </c>
      <c r="E217" s="64" t="str">
        <f t="shared" si="42"/>
        <v/>
      </c>
      <c r="F217" s="391"/>
      <c r="G217" s="198" t="str">
        <f>IFERROR(IF(OR(F217=0,F217="",F217&gt;$A218-0.01),"",VLOOKUP(VLOOKUP(F217,A214:B218,2,TRUE),Points!$H$7:$I$10,2,FALSE)),"")</f>
        <v/>
      </c>
      <c r="H217" s="67"/>
      <c r="I217" s="117">
        <v>5</v>
      </c>
      <c r="J217" s="392"/>
      <c r="K217" s="64" t="str">
        <f>IFERROR(IF(A219=0,HLOOKUP(J217,Declarations!$D$2:$S$102,A213,FALSE),HLOOKUP(VLOOKUP(J217,Teams!$V$2:$W$19,2,FALSE),Declarations!$D$2:$S$102,A213,FALSE)),"")</f>
        <v/>
      </c>
      <c r="L217" s="64" t="str">
        <f t="shared" si="43"/>
        <v/>
      </c>
      <c r="M217" s="384"/>
      <c r="N217" s="198" t="str">
        <f>IFERROR(IF(OR(M217=0,M217="",M217&gt;$A218-0.01),"",VLOOKUP(VLOOKUP(M217,A214:B218,2,TRUE),Points!$H$7:$I$10,2,FALSE)),"")</f>
        <v/>
      </c>
      <c r="P217" s="66">
        <f ca="1">IFERROR(IF(OR(C217=0,C217="",F217=0,F217="",$P212&lt;&gt;0,LEFT(F217,1)="D"),0,VLOOKUP(B217,INDIRECT(MatchDay!$W$2),2,FALSE)),"")</f>
        <v>0</v>
      </c>
      <c r="Q217" s="66">
        <f ca="1">IFERROR(IF(OR(J217=0,J217="",M217=0,M217="",$P212&lt;&gt;0,LEFT(M217,1)="D"),0,VLOOKUP(I217,INDIRECT(MatchDay!$W$2),3,FALSE)),"")</f>
        <v>0</v>
      </c>
      <c r="T217" s="109">
        <f t="shared" si="44"/>
        <v>0</v>
      </c>
      <c r="U217" s="109">
        <f t="shared" si="45"/>
        <v>0</v>
      </c>
    </row>
    <row r="218" spans="1:21" x14ac:dyDescent="0.35">
      <c r="A218" s="118">
        <f>IFERROR(VLOOKUP(A211,standards,6,FALSE)+0.01,"-")</f>
        <v>2.3499999999999996</v>
      </c>
      <c r="B218" s="117">
        <v>6</v>
      </c>
      <c r="C218" s="120"/>
      <c r="D218" s="64" t="str">
        <f>IFERROR(IF(A219=0,HLOOKUP(C218,Declarations!$D$2:$S$102,A213,FALSE),HLOOKUP(VLOOKUP(C218,Teams!$V$2:$W$19,2,FALSE),Declarations!$D$2:$S$102,A213,FALSE)),"")</f>
        <v/>
      </c>
      <c r="E218" s="64" t="str">
        <f t="shared" si="42"/>
        <v/>
      </c>
      <c r="F218" s="391"/>
      <c r="G218" s="198" t="str">
        <f>IFERROR(IF(OR(F218=0,F218="",F218&gt;$A218-0.01),"",VLOOKUP(VLOOKUP(F218,A214:B218,2,TRUE),Points!$H$7:$I$10,2,FALSE)),"")</f>
        <v/>
      </c>
      <c r="H218" s="67"/>
      <c r="I218" s="117">
        <v>6</v>
      </c>
      <c r="J218" s="392"/>
      <c r="K218" s="64" t="str">
        <f>IFERROR(IF(A219=0,HLOOKUP(J218,Declarations!$D$2:$S$102,A213,FALSE),HLOOKUP(VLOOKUP(J218,Teams!$V$2:$W$19,2,FALSE),Declarations!$D$2:$S$102,A213,FALSE)),"")</f>
        <v/>
      </c>
      <c r="L218" s="64" t="str">
        <f t="shared" si="43"/>
        <v/>
      </c>
      <c r="M218" s="384"/>
      <c r="N218" s="198" t="str">
        <f>IFERROR(IF(OR(M218=0,M218="",M218&gt;$A218-0.01),"",VLOOKUP(VLOOKUP(M218,A214:B218,2,TRUE),Points!$H$7:$I$10,2,FALSE)),"")</f>
        <v/>
      </c>
      <c r="P218" s="66">
        <f ca="1">IFERROR(IF(OR(C218=0,C218="",F218=0,F218="",$P212&lt;&gt;0,LEFT(F218,1)="D"),0,VLOOKUP(B218,INDIRECT(MatchDay!$W$2),2,FALSE)),"")</f>
        <v>0</v>
      </c>
      <c r="Q218" s="66">
        <f ca="1">IFERROR(IF(OR(J218=0,J218="",M218=0,M218="",$P212&lt;&gt;0,LEFT(M218,1)="D"),0,VLOOKUP(I218,INDIRECT(MatchDay!$W$2),3,FALSE)),"")</f>
        <v>0</v>
      </c>
      <c r="T218" s="109">
        <f t="shared" si="44"/>
        <v>0</v>
      </c>
      <c r="U218" s="109">
        <f t="shared" si="45"/>
        <v>0</v>
      </c>
    </row>
    <row r="219" spans="1:21" x14ac:dyDescent="0.35">
      <c r="A219" s="136">
        <f>IFERROR(SEARCH("U17",B211),0)</f>
        <v>0</v>
      </c>
      <c r="B219" s="117">
        <v>7</v>
      </c>
      <c r="C219" s="120"/>
      <c r="D219" s="64" t="str">
        <f>IFERROR(IF(A219=0,HLOOKUP(C219,Declarations!$D$2:$S$102,A213,FALSE),HLOOKUP(VLOOKUP(C219,Teams!$V$2:$W$19,2,FALSE),Declarations!$D$2:$S$102,A213,FALSE)),"")</f>
        <v/>
      </c>
      <c r="E219" s="64" t="str">
        <f t="shared" si="42"/>
        <v/>
      </c>
      <c r="F219" s="391"/>
      <c r="G219" s="198" t="str">
        <f>IFERROR(IF(OR(F219=0,F219="",F219&gt;$A218-0.01),"",VLOOKUP(VLOOKUP(F219,A214:B218,2,TRUE),Points!$H$7:$I$10,2,FALSE)),"")</f>
        <v/>
      </c>
      <c r="H219" s="67"/>
      <c r="I219" s="117">
        <v>7</v>
      </c>
      <c r="J219" s="392"/>
      <c r="K219" s="64" t="str">
        <f>IFERROR(IF(A219=0,HLOOKUP(J219,Declarations!$D$2:$S$102,A213,FALSE),HLOOKUP(VLOOKUP(J219,Teams!$V$2:$W$19,2,FALSE),Declarations!$D$2:$S$102,A213,FALSE)),"")</f>
        <v/>
      </c>
      <c r="L219" s="64" t="str">
        <f t="shared" si="43"/>
        <v/>
      </c>
      <c r="M219" s="417"/>
      <c r="N219" s="198" t="str">
        <f>IFERROR(IF(OR(M219=0,M219="",M219&gt;$A218-0.01),"",VLOOKUP(VLOOKUP(M219,A214:B218,2,TRUE),Points!$H$7:$I$10,2,FALSE)),"")</f>
        <v/>
      </c>
      <c r="P219" s="66">
        <f ca="1">IFERROR(IF(OR(C219=0,C219="",F219=0,F219="",$P212&lt;&gt;0,LEFT(F219,1)="D"),0,VLOOKUP(B219,INDIRECT(MatchDay!$W$2),2,FALSE)),"")</f>
        <v>0</v>
      </c>
      <c r="Q219" s="66">
        <f ca="1">IFERROR(IF(OR(J219=0,J219="",M219=0,M219="",$P212&lt;&gt;0,LEFT(M219,1)="D"),0,VLOOKUP(I219,INDIRECT(MatchDay!$W$2),3,FALSE)),"")</f>
        <v>0</v>
      </c>
      <c r="T219" s="109">
        <f t="shared" si="44"/>
        <v>0</v>
      </c>
      <c r="U219" s="109">
        <f t="shared" si="45"/>
        <v>0</v>
      </c>
    </row>
    <row r="220" spans="1:21" x14ac:dyDescent="0.35">
      <c r="A220" s="116">
        <f>IFERROR(VLOOKUP(A211,records,5,FALSE),"")</f>
        <v>1.4988425925925924E-3</v>
      </c>
      <c r="B220" s="117">
        <v>8</v>
      </c>
      <c r="C220" s="120"/>
      <c r="D220" s="64" t="str">
        <f>IFERROR(IF(A219=0,HLOOKUP(C220,Declarations!$D$2:$S$102,A213,FALSE),HLOOKUP(VLOOKUP(C220,Teams!$V$2:$W$19,2,FALSE),Declarations!$D$2:$S$102,A213,FALSE)),"")</f>
        <v/>
      </c>
      <c r="E220" s="64" t="str">
        <f t="shared" si="42"/>
        <v/>
      </c>
      <c r="F220" s="391"/>
      <c r="G220" s="198" t="str">
        <f>IFERROR(IF(OR(F220=0,F220="",F220&gt;$A218-0.01),"",VLOOKUP(VLOOKUP(F220,A214:B218,2,TRUE),Points!$H$7:$I$10,2,FALSE)),"")</f>
        <v/>
      </c>
      <c r="H220" s="67"/>
      <c r="I220" s="117">
        <v>8</v>
      </c>
      <c r="J220" s="392"/>
      <c r="K220" s="64" t="str">
        <f>IFERROR(IF(A219=0,HLOOKUP(J220,Declarations!$D$2:$S$102,A213,FALSE),HLOOKUP(VLOOKUP(J220,Teams!$V$2:$W$19,2,FALSE),Declarations!$D$2:$S$102,A213,FALSE)),"")</f>
        <v/>
      </c>
      <c r="L220" s="64" t="str">
        <f t="shared" si="43"/>
        <v/>
      </c>
      <c r="M220" s="384"/>
      <c r="N220" s="198" t="str">
        <f>IFERROR(IF(OR(M220=0,M220="",M220&gt;$A218-0.01),"",VLOOKUP(VLOOKUP(M220,A214:B218,2,TRUE),Points!$H$7:$I$10,2,FALSE)),"")</f>
        <v/>
      </c>
      <c r="P220" s="66">
        <f ca="1">IFERROR(IF(OR(C220=0,C220="",F220=0,F220="",$P212&lt;&gt;0,LEFT(F220,1)="D"),0,VLOOKUP(B220,INDIRECT(MatchDay!$W$2),2,FALSE)),"")</f>
        <v>0</v>
      </c>
      <c r="Q220" s="66">
        <f ca="1">IFERROR(IF(OR(J220=0,J220="",M220=0,M220="",$P212&lt;&gt;0,LEFT(M220,1)="D"),0,VLOOKUP(I220,INDIRECT(MatchDay!$W$2),3,FALSE)),"")</f>
        <v>0</v>
      </c>
      <c r="T220" s="109">
        <f t="shared" si="44"/>
        <v>0</v>
      </c>
      <c r="U220" s="109">
        <f t="shared" si="45"/>
        <v>0</v>
      </c>
    </row>
    <row r="221" spans="1:21" x14ac:dyDescent="0.35">
      <c r="F221" s="395"/>
      <c r="M221" s="315"/>
      <c r="T221" s="109">
        <f t="shared" si="40"/>
        <v>0</v>
      </c>
      <c r="U221" s="109">
        <f t="shared" si="41"/>
        <v>0</v>
      </c>
    </row>
    <row r="222" spans="1:21" x14ac:dyDescent="0.35">
      <c r="A222" s="111" t="s">
        <v>508</v>
      </c>
      <c r="B222" s="112" t="str">
        <f>IFERROR(VLOOKUP(A222,timetables,2,FALSE)&amp;" "&amp;VLOOKUP(A222,timetables,3,FALSE)&amp;" A","")</f>
        <v>800m U15 Girls A</v>
      </c>
      <c r="C222" s="112"/>
      <c r="E222" s="130" t="str">
        <f>IFERROR(IF(VLOOKUP($A222,timetables,8,FALSE)="W","Wind = ",""),"")</f>
        <v/>
      </c>
      <c r="F222" s="395"/>
      <c r="G222" s="119" t="str">
        <f>IFERROR(IF(OR(F224=0,F224=""),"",IF(F224&lt;A231,"REC",IF(F224=A231,"=Rec",""))),"")</f>
        <v/>
      </c>
      <c r="I222" s="114" t="str">
        <f>IFERROR(VLOOKUP(A222,timetables,2,FALSE)&amp;" "&amp;VLOOKUP(A222,timetables,3,FALSE)&amp;" B","")</f>
        <v>800m U15 Girls B</v>
      </c>
      <c r="J222" s="115"/>
      <c r="L222" s="130" t="str">
        <f>IFERROR(IF(VLOOKUP($A222,timetables,8,FALSE)="W","Wind = ",""),"")</f>
        <v/>
      </c>
      <c r="M222" s="315"/>
      <c r="P222" s="66" t="s">
        <v>53</v>
      </c>
      <c r="Q222" s="66" t="s">
        <v>54</v>
      </c>
      <c r="T222" s="109">
        <f t="shared" si="40"/>
        <v>0</v>
      </c>
      <c r="U222" s="109">
        <f t="shared" si="41"/>
        <v>0</v>
      </c>
    </row>
    <row r="223" spans="1:21" x14ac:dyDescent="0.35">
      <c r="A223" s="82"/>
      <c r="B223" s="45" t="s">
        <v>230</v>
      </c>
      <c r="C223" s="45" t="s">
        <v>183</v>
      </c>
      <c r="D223" s="47" t="s">
        <v>227</v>
      </c>
      <c r="E223" s="47" t="s">
        <v>228</v>
      </c>
      <c r="F223" s="314" t="s">
        <v>229</v>
      </c>
      <c r="G223" s="199" t="s">
        <v>55</v>
      </c>
      <c r="H223" s="47"/>
      <c r="I223" s="45" t="s">
        <v>230</v>
      </c>
      <c r="J223" s="45" t="s">
        <v>183</v>
      </c>
      <c r="K223" s="47" t="s">
        <v>227</v>
      </c>
      <c r="L223" s="47" t="s">
        <v>228</v>
      </c>
      <c r="M223" s="314" t="s">
        <v>229</v>
      </c>
      <c r="N223" s="199" t="s">
        <v>55</v>
      </c>
      <c r="P223" s="66">
        <f>IFERROR(SEARCH("NS",B222),0)</f>
        <v>0</v>
      </c>
      <c r="T223" s="109"/>
      <c r="U223" s="109"/>
    </row>
    <row r="224" spans="1:21" x14ac:dyDescent="0.35">
      <c r="A224" s="181">
        <f>IFERROR(VLOOKUP(A222,Timetables!$A:$E,5,FALSE)-1,"")</f>
        <v>7</v>
      </c>
      <c r="B224" s="117">
        <v>1</v>
      </c>
      <c r="C224" s="120">
        <v>4</v>
      </c>
      <c r="D224" s="64" t="str">
        <f ca="1">IFERROR(IF(A230=0,HLOOKUP(C224,Declarations!$D$2:$S$102,A224,FALSE),HLOOKUP(VLOOKUP(C224,Teams!$V$2:$W$19,2,FALSE),Declarations!$D$2:$S$102,A224,FALSE)),"")</f>
        <v>CREASEY Lois</v>
      </c>
      <c r="E224" s="64" t="str">
        <f t="shared" ref="E224:E231" si="46">IFERROR(VLOOKUP(C224,teamlookup,5,FALSE),"")</f>
        <v>M'bro</v>
      </c>
      <c r="F224" s="484">
        <v>2.2719999999999998</v>
      </c>
      <c r="G224" s="198">
        <f>IFERROR(IF(OR(F224=0,F224="",F224&gt;$A229-0.01),"",VLOOKUP(VLOOKUP(F224,A225:B229,2,TRUE),Points!$H$7:$I$10,2,FALSE)),"")</f>
        <v>4</v>
      </c>
      <c r="H224" s="67"/>
      <c r="I224" s="117">
        <v>1</v>
      </c>
      <c r="J224" s="392">
        <v>44</v>
      </c>
      <c r="K224" s="64" t="str">
        <f ca="1">IFERROR(IF(A230=0,HLOOKUP(J224,Declarations!$D$2:$S$102,A224,FALSE),HLOOKUP(VLOOKUP(J224,Teams!$V$2:$W$19,2,FALSE),Declarations!$D$2:$S$102,A224,FALSE)),"")</f>
        <v>LILLIE Imogen</v>
      </c>
      <c r="L224" s="64" t="str">
        <f t="shared" ref="L224:L231" si="47">IFERROR(VLOOKUP(J224,teamlookup,5,FALSE),"")</f>
        <v>M'bro</v>
      </c>
      <c r="M224" s="384">
        <v>2.363</v>
      </c>
      <c r="N224" s="198" t="str">
        <f>IFERROR(IF(OR(M224=0,M224="",M224&gt;$A229-0.01),"",VLOOKUP(VLOOKUP(M224,A225:B229,2,TRUE),Points!$H$7:$I$10,2,FALSE)),"")</f>
        <v/>
      </c>
      <c r="P224" s="66">
        <f ca="1">IFERROR(IF(OR(C224=0,C224="",F224=0,F224="",$P223&lt;&gt;0,LEFT(F224,1)="D"),0,VLOOKUP(B224,INDIRECT(MatchDay!$W$2),2,FALSE)),"")</f>
        <v>8</v>
      </c>
      <c r="Q224" s="66">
        <f ca="1">IFERROR(IF(OR(J224=0,J224="",M224=0,M224="",$P223&lt;&gt;0,LEFT(M224,1)="D"),0,VLOOKUP(I224,INDIRECT(MatchDay!$W$2),3,FALSE)),"")</f>
        <v>6</v>
      </c>
      <c r="R224" s="219">
        <f>COUNTIF(C224,"&gt;0")</f>
        <v>1</v>
      </c>
      <c r="S224" s="66">
        <f>IFERROR(IF(C224&gt;88,1,0),0)</f>
        <v>0</v>
      </c>
      <c r="T224" s="109">
        <f>IFERROR(IF(LEFT(F224,1)="D",0,(INT(F224)*60+(F224-INT(F224))*100)/86400),"X")</f>
        <v>1.7037037037037036E-3</v>
      </c>
      <c r="U224" s="109">
        <f>IFERROR(IF(LEFT(M224,1)="D",0,(INT(M224)*60+(M224-INT(M224))*100)/86400),"X")</f>
        <v>1.8090277777777779E-3</v>
      </c>
    </row>
    <row r="225" spans="1:21" x14ac:dyDescent="0.35">
      <c r="A225" s="64">
        <v>0</v>
      </c>
      <c r="B225" s="117">
        <v>2</v>
      </c>
      <c r="C225" s="120">
        <v>2</v>
      </c>
      <c r="D225" s="64" t="str">
        <f ca="1">IFERROR(IF(A230=0,HLOOKUP(C225,Declarations!$D$2:$S$102,A224,FALSE),HLOOKUP(VLOOKUP(C225,Teams!$V$2:$W$19,2,FALSE),Declarations!$D$2:$S$102,A224,FALSE)),"")</f>
        <v>EVANS Rebecca</v>
      </c>
      <c r="E225" s="64" t="str">
        <f t="shared" si="46"/>
        <v>Sheff+D</v>
      </c>
      <c r="F225" s="391">
        <v>2.3119999999999998</v>
      </c>
      <c r="G225" s="198" t="str">
        <f>IFERROR(IF(OR(F225=0,F225="",F225&gt;$A229-0.01),"",VLOOKUP(VLOOKUP(F225,A225:B229,2,TRUE),Points!$H$7:$I$10,2,FALSE)),"")</f>
        <v/>
      </c>
      <c r="H225" s="67"/>
      <c r="I225" s="117">
        <v>2</v>
      </c>
      <c r="J225" s="392">
        <v>33</v>
      </c>
      <c r="K225" s="64" t="str">
        <f ca="1">IFERROR(IF(A230=0,HLOOKUP(J225,Declarations!$D$2:$S$102,A224,FALSE),HLOOKUP(VLOOKUP(J225,Teams!$V$2:$W$19,2,FALSE),Declarations!$D$2:$S$102,A224,FALSE)),"")</f>
        <v>HOGG Frances</v>
      </c>
      <c r="L225" s="64" t="str">
        <f t="shared" si="47"/>
        <v>York</v>
      </c>
      <c r="M225" s="384">
        <v>2.3740000000000001</v>
      </c>
      <c r="N225" s="198" t="str">
        <f>IFERROR(IF(OR(M225=0,M225="",M225&gt;$A229-0.01),"",VLOOKUP(VLOOKUP(M225,A225:B229,2,TRUE),Points!$H$7:$I$10,2,FALSE)),"")</f>
        <v/>
      </c>
      <c r="P225" s="66">
        <f ca="1">IFERROR(IF(OR(C225=0,C225="",F225=0,F225="",$P223&lt;&gt;0,LEFT(F225,1)="D"),0,VLOOKUP(B225,INDIRECT(MatchDay!$W$2),2,FALSE)),"")</f>
        <v>6</v>
      </c>
      <c r="Q225" s="66">
        <f ca="1">IFERROR(IF(OR(J225=0,J225="",M225=0,M225="",$P223&lt;&gt;0,LEFT(M225,1)="D"),0,VLOOKUP(I225,INDIRECT(MatchDay!$W$2),3,FALSE)),"")</f>
        <v>4</v>
      </c>
      <c r="T225" s="109">
        <f t="shared" ref="T225:T231" si="48">IFERROR(IF(LEFT(F225,1)="D",0,(INT(F225)*60+(F225-INT(F225))*100)/86400),"X")</f>
        <v>1.7499999999999998E-3</v>
      </c>
      <c r="U225" s="109">
        <f t="shared" ref="U225:U231" si="49">IFERROR(IF(LEFT(M225,1)="D",0,(INT(M225)*60+(M225-INT(M225))*100)/86400),"X")</f>
        <v>1.8217592592592593E-3</v>
      </c>
    </row>
    <row r="226" spans="1:21" x14ac:dyDescent="0.35">
      <c r="A226" s="118">
        <f>IFERROR(VLOOKUP(A222,standards,3,FALSE)+0.01,"-")</f>
        <v>2.2089999999999996</v>
      </c>
      <c r="B226" s="117">
        <v>3</v>
      </c>
      <c r="C226" s="120">
        <v>3</v>
      </c>
      <c r="D226" s="64" t="str">
        <f ca="1">IFERROR(IF(A230=0,HLOOKUP(C226,Declarations!$D$2:$S$102,A224,FALSE),HLOOKUP(VLOOKUP(C226,Teams!$V$2:$W$19,2,FALSE),Declarations!$D$2:$S$102,A224,FALSE)),"")</f>
        <v>WALSH Tierney</v>
      </c>
      <c r="E226" s="64" t="str">
        <f t="shared" si="46"/>
        <v>York</v>
      </c>
      <c r="F226" s="391">
        <v>2.3359999999999999</v>
      </c>
      <c r="G226" s="198" t="str">
        <f>IFERROR(IF(OR(F226=0,F226="",F226&gt;$A229-0.01),"",VLOOKUP(VLOOKUP(F226,A225:B229,2,TRUE),Points!$H$7:$I$10,2,FALSE)),"")</f>
        <v/>
      </c>
      <c r="H226" s="67"/>
      <c r="I226" s="117">
        <v>3</v>
      </c>
      <c r="J226" s="392">
        <v>22</v>
      </c>
      <c r="K226" s="64" t="str">
        <f ca="1">IFERROR(IF(A230=0,HLOOKUP(J226,Declarations!$D$2:$S$102,A224,FALSE),HLOOKUP(VLOOKUP(J226,Teams!$V$2:$W$19,2,FALSE),Declarations!$D$2:$S$102,A224,FALSE)),"")</f>
        <v>FLINDERS Agnes</v>
      </c>
      <c r="L226" s="64" t="str">
        <f t="shared" si="47"/>
        <v>Sheff+D</v>
      </c>
      <c r="M226" s="384">
        <v>2.4409999999999998</v>
      </c>
      <c r="N226" s="198" t="str">
        <f>IFERROR(IF(OR(M226=0,M226="",M226&gt;$A229-0.01),"",VLOOKUP(VLOOKUP(M226,A225:B229,2,TRUE),Points!$H$7:$I$10,2,FALSE)),"")</f>
        <v/>
      </c>
      <c r="P226" s="66">
        <f ca="1">IFERROR(IF(OR(C226=0,C226="",F226=0,F226="",$P223&lt;&gt;0,LEFT(F226,1)="D"),0,VLOOKUP(B226,INDIRECT(MatchDay!$W$2),2,FALSE)),"")</f>
        <v>5</v>
      </c>
      <c r="Q226" s="66">
        <f ca="1">IFERROR(IF(OR(J226=0,J226="",M226=0,M226="",$P223&lt;&gt;0,LEFT(M226,1)="D"),0,VLOOKUP(I226,INDIRECT(MatchDay!$W$2),3,FALSE)),"")</f>
        <v>3</v>
      </c>
      <c r="T226" s="109">
        <f t="shared" si="48"/>
        <v>1.7777777777777776E-3</v>
      </c>
      <c r="U226" s="109">
        <f t="shared" si="49"/>
        <v>1.8993055555555551E-3</v>
      </c>
    </row>
    <row r="227" spans="1:21" x14ac:dyDescent="0.35">
      <c r="A227" s="118">
        <f>IFERROR(VLOOKUP(A222,standards,4,FALSE)+0.01,"-")</f>
        <v>2.2349999999999999</v>
      </c>
      <c r="B227" s="117">
        <v>4</v>
      </c>
      <c r="C227" s="120">
        <v>5</v>
      </c>
      <c r="D227" s="64" t="str">
        <f ca="1">IFERROR(IF(A230=0,HLOOKUP(C227,Declarations!$D$2:$S$102,A224,FALSE),HLOOKUP(VLOOKUP(C227,Teams!$V$2:$W$19,2,FALSE),Declarations!$D$2:$S$102,A224,FALSE)),"")</f>
        <v>WRIGHT Lucy</v>
      </c>
      <c r="E227" s="64" t="str">
        <f t="shared" si="46"/>
        <v>Scun</v>
      </c>
      <c r="F227" s="391">
        <v>2.536</v>
      </c>
      <c r="G227" s="198" t="str">
        <f>IFERROR(IF(OR(F227=0,F227="",F227&gt;$A229-0.01),"",VLOOKUP(VLOOKUP(F227,A225:B229,2,TRUE),Points!$H$7:$I$10,2,FALSE)),"")</f>
        <v/>
      </c>
      <c r="H227" s="67"/>
      <c r="I227" s="117">
        <v>4</v>
      </c>
      <c r="J227" s="392">
        <v>55</v>
      </c>
      <c r="K227" s="64" t="str">
        <f ca="1">IFERROR(IF(A230=0,HLOOKUP(J227,Declarations!$D$2:$S$102,A224,FALSE),HLOOKUP(VLOOKUP(J227,Teams!$V$2:$W$19,2,FALSE),Declarations!$D$2:$S$102,A224,FALSE)),"")</f>
        <v>BETTS Demi</v>
      </c>
      <c r="L227" s="64" t="str">
        <f t="shared" si="47"/>
        <v>Scun</v>
      </c>
      <c r="M227" s="384">
        <v>3.1539999999999999</v>
      </c>
      <c r="N227" s="198" t="str">
        <f>IFERROR(IF(OR(M227=0,M227="",M227&gt;$A229-0.01),"",VLOOKUP(VLOOKUP(M227,A225:B229,2,TRUE),Points!$H$7:$I$10,2,FALSE)),"")</f>
        <v/>
      </c>
      <c r="P227" s="66">
        <f ca="1">IFERROR(IF(OR(C227=0,C227="",F227=0,F227="",$P223&lt;&gt;0,LEFT(F227,1)="D"),0,VLOOKUP(B227,INDIRECT(MatchDay!$W$2),2,FALSE)),"")</f>
        <v>4</v>
      </c>
      <c r="Q227" s="66">
        <f ca="1">IFERROR(IF(OR(J227=0,J227="",M227=0,M227="",$P223&lt;&gt;0,LEFT(M227,1)="D"),0,VLOOKUP(I227,INDIRECT(MatchDay!$W$2),3,FALSE)),"")</f>
        <v>2</v>
      </c>
      <c r="T227" s="109">
        <f t="shared" si="48"/>
        <v>2.0092592592592592E-3</v>
      </c>
      <c r="U227" s="109">
        <f t="shared" si="49"/>
        <v>2.2615740740740738E-3</v>
      </c>
    </row>
    <row r="228" spans="1:21" x14ac:dyDescent="0.35">
      <c r="A228" s="118">
        <f>IFERROR(VLOOKUP(A222,standards,5,FALSE)+0.01,"-")</f>
        <v>2.2649999999999997</v>
      </c>
      <c r="B228" s="117">
        <v>5</v>
      </c>
      <c r="C228" s="120">
        <v>1</v>
      </c>
      <c r="D228" s="64" t="str">
        <f ca="1">IFERROR(IF(A230=0,HLOOKUP(C228,Declarations!$D$2:$S$102,A224,FALSE),HLOOKUP(VLOOKUP(C228,Teams!$V$2:$W$19,2,FALSE),Declarations!$D$2:$S$102,A224,FALSE)),"")</f>
        <v>PROCTOR Alicia</v>
      </c>
      <c r="E228" s="64" t="str">
        <f t="shared" si="46"/>
        <v>C'field</v>
      </c>
      <c r="F228" s="391">
        <v>3.1</v>
      </c>
      <c r="G228" s="198" t="str">
        <f>IFERROR(IF(OR(F228=0,F228="",F228&gt;$A229-0.01),"",VLOOKUP(VLOOKUP(F228,A225:B229,2,TRUE),Points!$H$7:$I$10,2,FALSE)),"")</f>
        <v/>
      </c>
      <c r="H228" s="67"/>
      <c r="I228" s="117">
        <v>5</v>
      </c>
      <c r="J228" s="392"/>
      <c r="K228" s="64" t="str">
        <f>IFERROR(IF(A230=0,HLOOKUP(J228,Declarations!$D$2:$S$102,A224,FALSE),HLOOKUP(VLOOKUP(J228,Teams!$V$2:$W$19,2,FALSE),Declarations!$D$2:$S$102,A224,FALSE)),"")</f>
        <v/>
      </c>
      <c r="L228" s="64" t="str">
        <f t="shared" si="47"/>
        <v/>
      </c>
      <c r="M228" s="384"/>
      <c r="N228" s="198" t="str">
        <f>IFERROR(IF(OR(M228=0,M228="",M228&gt;$A229-0.01),"",VLOOKUP(VLOOKUP(M228,A225:B229,2,TRUE),Points!$H$7:$I$10,2,FALSE)),"")</f>
        <v/>
      </c>
      <c r="P228" s="66">
        <f ca="1">IFERROR(IF(OR(C228=0,C228="",F228=0,F228="",$P223&lt;&gt;0,LEFT(F228,1)="D"),0,VLOOKUP(B228,INDIRECT(MatchDay!$W$2),2,FALSE)),"")</f>
        <v>3</v>
      </c>
      <c r="Q228" s="66">
        <f ca="1">IFERROR(IF(OR(J228=0,J228="",M228=0,M228="",$P223&lt;&gt;0,LEFT(M228,1)="D"),0,VLOOKUP(I228,INDIRECT(MatchDay!$W$2),3,FALSE)),"")</f>
        <v>0</v>
      </c>
      <c r="T228" s="109">
        <f t="shared" si="48"/>
        <v>2.1990740740740742E-3</v>
      </c>
      <c r="U228" s="109">
        <f t="shared" si="49"/>
        <v>0</v>
      </c>
    </row>
    <row r="229" spans="1:21" x14ac:dyDescent="0.35">
      <c r="A229" s="118">
        <f>IFERROR(VLOOKUP(A222,standards,6,FALSE)+0.01,"-")</f>
        <v>2.3159999999999998</v>
      </c>
      <c r="B229" s="117">
        <v>6</v>
      </c>
      <c r="C229" s="120"/>
      <c r="D229" s="64" t="str">
        <f>IFERROR(IF(A230=0,HLOOKUP(C229,Declarations!$D$2:$S$102,A224,FALSE),HLOOKUP(VLOOKUP(C229,Teams!$V$2:$W$19,2,FALSE),Declarations!$D$2:$S$102,A224,FALSE)),"")</f>
        <v/>
      </c>
      <c r="E229" s="64" t="str">
        <f t="shared" si="46"/>
        <v/>
      </c>
      <c r="F229" s="391"/>
      <c r="G229" s="198" t="str">
        <f>IFERROR(IF(OR(F229=0,F229="",F229&gt;$A229-0.01),"",VLOOKUP(VLOOKUP(F229,A225:B229,2,TRUE),Points!$H$7:$I$10,2,FALSE)),"")</f>
        <v/>
      </c>
      <c r="H229" s="67"/>
      <c r="I229" s="117">
        <v>6</v>
      </c>
      <c r="J229" s="392"/>
      <c r="K229" s="64" t="str">
        <f>IFERROR(IF(A230=0,HLOOKUP(J229,Declarations!$D$2:$S$102,A224,FALSE),HLOOKUP(VLOOKUP(J229,Teams!$V$2:$W$19,2,FALSE),Declarations!$D$2:$S$102,A224,FALSE)),"")</f>
        <v/>
      </c>
      <c r="L229" s="64" t="str">
        <f t="shared" si="47"/>
        <v/>
      </c>
      <c r="M229" s="384"/>
      <c r="N229" s="198" t="str">
        <f>IFERROR(IF(OR(M229=0,M229="",M229&gt;$A229-0.01),"",VLOOKUP(VLOOKUP(M229,A225:B229,2,TRUE),Points!$H$7:$I$10,2,FALSE)),"")</f>
        <v/>
      </c>
      <c r="P229" s="66">
        <f ca="1">IFERROR(IF(OR(C229=0,C229="",F229=0,F229="",$P223&lt;&gt;0,LEFT(F229,1)="D"),0,VLOOKUP(B229,INDIRECT(MatchDay!$W$2),2,FALSE)),"")</f>
        <v>0</v>
      </c>
      <c r="Q229" s="66">
        <f ca="1">IFERROR(IF(OR(J229=0,J229="",M229=0,M229="",$P223&lt;&gt;0,LEFT(M229,1)="D"),0,VLOOKUP(I229,INDIRECT(MatchDay!$W$2),3,FALSE)),"")</f>
        <v>0</v>
      </c>
      <c r="T229" s="109">
        <f t="shared" si="48"/>
        <v>0</v>
      </c>
      <c r="U229" s="109">
        <f t="shared" si="49"/>
        <v>0</v>
      </c>
    </row>
    <row r="230" spans="1:21" x14ac:dyDescent="0.35">
      <c r="A230" s="136">
        <f>IFERROR(SEARCH("U17",B222),0)</f>
        <v>0</v>
      </c>
      <c r="B230" s="117">
        <v>7</v>
      </c>
      <c r="C230" s="120"/>
      <c r="D230" s="64" t="str">
        <f>IFERROR(IF(A230=0,HLOOKUP(C230,Declarations!$D$2:$S$102,A224,FALSE),HLOOKUP(VLOOKUP(C230,Teams!$V$2:$W$19,2,FALSE),Declarations!$D$2:$S$102,A224,FALSE)),"")</f>
        <v/>
      </c>
      <c r="E230" s="64" t="str">
        <f t="shared" si="46"/>
        <v/>
      </c>
      <c r="F230" s="391"/>
      <c r="G230" s="198" t="str">
        <f>IFERROR(IF(OR(F230=0,F230="",F230&gt;$A229-0.01),"",VLOOKUP(VLOOKUP(F230,A225:B229,2,TRUE),Points!$H$7:$I$10,2,FALSE)),"")</f>
        <v/>
      </c>
      <c r="H230" s="67"/>
      <c r="I230" s="117">
        <v>7</v>
      </c>
      <c r="J230" s="392"/>
      <c r="K230" s="64" t="str">
        <f>IFERROR(IF(A230=0,HLOOKUP(J230,Declarations!$D$2:$S$102,A224,FALSE),HLOOKUP(VLOOKUP(J230,Teams!$V$2:$W$19,2,FALSE),Declarations!$D$2:$S$102,A224,FALSE)),"")</f>
        <v/>
      </c>
      <c r="L230" s="64" t="str">
        <f t="shared" si="47"/>
        <v/>
      </c>
      <c r="M230" s="384"/>
      <c r="N230" s="198" t="str">
        <f>IFERROR(IF(OR(M230=0,M230="",M230&gt;$A229-0.01),"",VLOOKUP(VLOOKUP(M230,A225:B229,2,TRUE),Points!$H$7:$I$10,2,FALSE)),"")</f>
        <v/>
      </c>
      <c r="P230" s="66">
        <f ca="1">IFERROR(IF(OR(C230=0,C230="",F230=0,F230="",$P223&lt;&gt;0,LEFT(F230,1)="D"),0,VLOOKUP(B230,INDIRECT(MatchDay!$W$2),2,FALSE)),"")</f>
        <v>0</v>
      </c>
      <c r="Q230" s="66">
        <f ca="1">IFERROR(IF(OR(J230=0,J230="",M230=0,M230="",$P223&lt;&gt;0,LEFT(M230,1)="D"),0,VLOOKUP(I230,INDIRECT(MatchDay!$W$2),3,FALSE)),"")</f>
        <v>0</v>
      </c>
      <c r="T230" s="109">
        <f t="shared" si="48"/>
        <v>0</v>
      </c>
      <c r="U230" s="109">
        <f t="shared" si="49"/>
        <v>0</v>
      </c>
    </row>
    <row r="231" spans="1:21" x14ac:dyDescent="0.35">
      <c r="A231" s="116">
        <f>IFERROR(VLOOKUP(A222,records,5,FALSE),"")</f>
        <v>1.4791666666666666E-3</v>
      </c>
      <c r="B231" s="117">
        <v>8</v>
      </c>
      <c r="C231" s="120"/>
      <c r="D231" s="64" t="str">
        <f>IFERROR(IF(A230=0,HLOOKUP(C231,Declarations!$D$2:$S$102,A224,FALSE),HLOOKUP(VLOOKUP(C231,Teams!$V$2:$W$19,2,FALSE),Declarations!$D$2:$S$102,A224,FALSE)),"")</f>
        <v/>
      </c>
      <c r="E231" s="64" t="str">
        <f t="shared" si="46"/>
        <v/>
      </c>
      <c r="F231" s="391"/>
      <c r="G231" s="198" t="str">
        <f>IFERROR(IF(OR(F231=0,F231="",F231&gt;$A229-0.01),"",VLOOKUP(VLOOKUP(F231,A225:B229,2,TRUE),Points!$H$7:$I$10,2,FALSE)),"")</f>
        <v/>
      </c>
      <c r="H231" s="67"/>
      <c r="I231" s="117">
        <v>8</v>
      </c>
      <c r="J231" s="392"/>
      <c r="K231" s="64" t="str">
        <f>IFERROR(IF(A230=0,HLOOKUP(J231,Declarations!$D$2:$S$102,A224,FALSE),HLOOKUP(VLOOKUP(J231,Teams!$V$2:$W$19,2,FALSE),Declarations!$D$2:$S$102,A224,FALSE)),"")</f>
        <v/>
      </c>
      <c r="L231" s="64" t="str">
        <f t="shared" si="47"/>
        <v/>
      </c>
      <c r="M231" s="384"/>
      <c r="N231" s="198" t="str">
        <f>IFERROR(IF(OR(M231=0,M231="",M231&gt;$A229-0.01),"",VLOOKUP(VLOOKUP(M231,A225:B229,2,TRUE),Points!$H$7:$I$10,2,FALSE)),"")</f>
        <v/>
      </c>
      <c r="P231" s="66">
        <f ca="1">IFERROR(IF(OR(C231=0,C231="",F231=0,F231="",$P223&lt;&gt;0,LEFT(F231,1)="D"),0,VLOOKUP(B231,INDIRECT(MatchDay!$W$2),2,FALSE)),"")</f>
        <v>0</v>
      </c>
      <c r="Q231" s="66">
        <f ca="1">IFERROR(IF(OR(J231=0,J231="",M231=0,M231="",$P223&lt;&gt;0,LEFT(M231,1)="D"),0,VLOOKUP(I231,INDIRECT(MatchDay!$W$2),3,FALSE)),"")</f>
        <v>0</v>
      </c>
      <c r="T231" s="109">
        <f t="shared" si="48"/>
        <v>0</v>
      </c>
      <c r="U231" s="109">
        <f t="shared" si="49"/>
        <v>0</v>
      </c>
    </row>
    <row r="232" spans="1:21" x14ac:dyDescent="0.35">
      <c r="F232" s="395"/>
      <c r="M232" s="315"/>
      <c r="T232" s="109">
        <f t="shared" si="40"/>
        <v>0</v>
      </c>
      <c r="U232" s="109">
        <f t="shared" si="41"/>
        <v>0</v>
      </c>
    </row>
    <row r="233" spans="1:21" x14ac:dyDescent="0.35">
      <c r="A233" s="111" t="s">
        <v>509</v>
      </c>
      <c r="B233" s="112" t="str">
        <f>IFERROR(VLOOKUP(A233,timetables,2,FALSE)&amp;" "&amp;VLOOKUP(A233,timetables,3,FALSE)&amp;" A","")</f>
        <v>800m U15 Boys A</v>
      </c>
      <c r="C233" s="112"/>
      <c r="E233" s="130" t="str">
        <f>IFERROR(IF(VLOOKUP($A233,timetables,8,FALSE)="W","Wind = ",""),"")</f>
        <v/>
      </c>
      <c r="F233" s="395"/>
      <c r="G233" s="119" t="str">
        <f>IFERROR(IF(OR(F235=0,F235=""),"",IF(F235&lt;A242,"REC",IF(F235=A242,"=Rec",""))),"")</f>
        <v/>
      </c>
      <c r="I233" s="114" t="str">
        <f>IFERROR(VLOOKUP(A233,timetables,2,FALSE)&amp;" "&amp;VLOOKUP(A233,timetables,3,FALSE)&amp;" B","")</f>
        <v>800m U15 Boys B</v>
      </c>
      <c r="J233" s="115"/>
      <c r="L233" s="130" t="str">
        <f>IFERROR(IF(VLOOKUP($A233,timetables,8,FALSE)="W","Wind = ",""),"")</f>
        <v/>
      </c>
      <c r="M233" s="315"/>
      <c r="P233" s="66" t="s">
        <v>53</v>
      </c>
      <c r="Q233" s="66" t="s">
        <v>54</v>
      </c>
      <c r="T233" s="109">
        <f t="shared" si="40"/>
        <v>0</v>
      </c>
      <c r="U233" s="109">
        <f t="shared" si="41"/>
        <v>0</v>
      </c>
    </row>
    <row r="234" spans="1:21" x14ac:dyDescent="0.35">
      <c r="A234" s="82"/>
      <c r="B234" s="45" t="s">
        <v>230</v>
      </c>
      <c r="C234" s="45" t="s">
        <v>183</v>
      </c>
      <c r="D234" s="47" t="s">
        <v>227</v>
      </c>
      <c r="E234" s="47" t="s">
        <v>228</v>
      </c>
      <c r="F234" s="314" t="s">
        <v>229</v>
      </c>
      <c r="G234" s="199" t="s">
        <v>55</v>
      </c>
      <c r="H234" s="47"/>
      <c r="I234" s="45" t="s">
        <v>230</v>
      </c>
      <c r="J234" s="45" t="s">
        <v>183</v>
      </c>
      <c r="K234" s="47" t="s">
        <v>227</v>
      </c>
      <c r="L234" s="47" t="s">
        <v>228</v>
      </c>
      <c r="M234" s="314" t="s">
        <v>229</v>
      </c>
      <c r="N234" s="199" t="s">
        <v>55</v>
      </c>
      <c r="P234" s="66">
        <f>IFERROR(SEARCH("NS",B233),0)</f>
        <v>0</v>
      </c>
      <c r="T234" s="109"/>
      <c r="U234" s="109"/>
    </row>
    <row r="235" spans="1:21" x14ac:dyDescent="0.35">
      <c r="A235" s="181">
        <f>IFERROR(VLOOKUP(A233,Timetables!$A:$E,5,FALSE)-1,"")</f>
        <v>57</v>
      </c>
      <c r="B235" s="117">
        <v>1</v>
      </c>
      <c r="C235" s="120">
        <v>2</v>
      </c>
      <c r="D235" s="64" t="str">
        <f ca="1">IFERROR(IF(A241=0,HLOOKUP(C235,Declarations!$D$2:$S$102,A235,FALSE),HLOOKUP(VLOOKUP(C235,Teams!$V$2:$W$19,2,FALSE),Declarations!$D$2:$S$102,A235,FALSE)),"")</f>
        <v>SCOTT Leni</v>
      </c>
      <c r="E235" s="64" t="str">
        <f t="shared" ref="E235:E242" si="50">IFERROR(VLOOKUP(C235,teamlookup,5,FALSE),"")</f>
        <v>Sheff+D</v>
      </c>
      <c r="F235" s="391">
        <v>2.2120000000000002</v>
      </c>
      <c r="G235" s="198" t="str">
        <f>IFERROR(IF(OR(F235=0,F235="",F235&gt;$A240-0.01),"",VLOOKUP(VLOOKUP(F235,A236:B240,2,TRUE),Points!$H$7:$I$10,2,FALSE)),"")</f>
        <v/>
      </c>
      <c r="H235" s="67"/>
      <c r="I235" s="117">
        <v>1</v>
      </c>
      <c r="J235" s="392">
        <v>3</v>
      </c>
      <c r="K235" s="64" t="str">
        <f ca="1">IFERROR(IF(A241=0,HLOOKUP(J235,Declarations!$D$2:$S$102,A235,FALSE),HLOOKUP(VLOOKUP(J235,Teams!$V$2:$W$19,2,FALSE),Declarations!$D$2:$S$102,A235,FALSE)),"")</f>
        <v>HOW Louis</v>
      </c>
      <c r="L235" s="64" t="str">
        <f t="shared" ref="L235:L242" si="51">IFERROR(VLOOKUP(J235,teamlookup,5,FALSE),"")</f>
        <v>York</v>
      </c>
      <c r="M235" s="384">
        <v>2.2280000000000002</v>
      </c>
      <c r="N235" s="198" t="str">
        <f>IFERROR(IF(OR(M235=0,M235="",M235&gt;$A240-0.01),"",VLOOKUP(VLOOKUP(M235,A236:B240,2,TRUE),Points!$H$7:$I$10,2,FALSE)),"")</f>
        <v/>
      </c>
      <c r="P235" s="66">
        <f ca="1">IFERROR(IF(OR(C235=0,C235="",F235=0,F235="",$P234&lt;&gt;0,LEFT(F235,1)="D"),0,VLOOKUP(B235,INDIRECT(MatchDay!$W$2),2,FALSE)),"")</f>
        <v>8</v>
      </c>
      <c r="Q235" s="66">
        <f ca="1">IFERROR(IF(OR(J235=0,J235="",M235=0,M235="",$P234&lt;&gt;0,LEFT(M235,1)="D"),0,VLOOKUP(I235,INDIRECT(MatchDay!$W$2),3,FALSE)),"")</f>
        <v>6</v>
      </c>
      <c r="R235" s="219">
        <f>COUNTIF(C235,"&gt;0")</f>
        <v>1</v>
      </c>
      <c r="S235" s="66">
        <f>IFERROR(IF(C235&gt;88,1,0),0)</f>
        <v>0</v>
      </c>
      <c r="T235" s="109">
        <f>IFERROR(IF(LEFT(F235,1)="D",0,(INT(F235)*60+(F235-INT(F235))*100)/86400),"X")</f>
        <v>1.6342592592592596E-3</v>
      </c>
      <c r="U235" s="109">
        <f>IFERROR(IF(LEFT(M235,1)="D",0,(INT(M235)*60+(M235-INT(M235))*100)/86400),"X")</f>
        <v>1.652777777777778E-3</v>
      </c>
    </row>
    <row r="236" spans="1:21" x14ac:dyDescent="0.35">
      <c r="A236" s="64">
        <v>0</v>
      </c>
      <c r="B236" s="117">
        <v>2</v>
      </c>
      <c r="C236" s="120">
        <v>33</v>
      </c>
      <c r="D236" s="64" t="str">
        <f ca="1">IFERROR(IF(A241=0,HLOOKUP(C236,Declarations!$D$2:$S$102,A235,FALSE),HLOOKUP(VLOOKUP(C236,Teams!$V$2:$W$19,2,FALSE),Declarations!$D$2:$S$102,A235,FALSE)),"")</f>
        <v>HANLEY Edward</v>
      </c>
      <c r="E236" s="64" t="str">
        <f t="shared" si="50"/>
        <v>York</v>
      </c>
      <c r="F236" s="391">
        <v>2.2250000000000001</v>
      </c>
      <c r="G236" s="198" t="str">
        <f>IFERROR(IF(OR(F236=0,F236="",F236&gt;$A240-0.01),"",VLOOKUP(VLOOKUP(F236,A236:B240,2,TRUE),Points!$H$7:$I$10,2,FALSE)),"")</f>
        <v/>
      </c>
      <c r="H236" s="67"/>
      <c r="I236" s="117">
        <v>2</v>
      </c>
      <c r="J236" s="392">
        <v>22</v>
      </c>
      <c r="K236" s="64" t="str">
        <f ca="1">IFERROR(IF(A241=0,HLOOKUP(J236,Declarations!$D$2:$S$102,A235,FALSE),HLOOKUP(VLOOKUP(J236,Teams!$V$2:$W$19,2,FALSE),Declarations!$D$2:$S$102,A235,FALSE)),"")</f>
        <v>KRIEL PARR George</v>
      </c>
      <c r="L236" s="64" t="str">
        <f t="shared" si="51"/>
        <v>Sheff+D</v>
      </c>
      <c r="M236" s="384">
        <v>2.2320000000000002</v>
      </c>
      <c r="N236" s="198" t="str">
        <f>IFERROR(IF(OR(M236=0,M236="",M236&gt;$A240-0.01),"",VLOOKUP(VLOOKUP(M236,A236:B240,2,TRUE),Points!$H$7:$I$10,2,FALSE)),"")</f>
        <v/>
      </c>
      <c r="P236" s="66">
        <f ca="1">IFERROR(IF(OR(C236=0,C236="",F236=0,F236="",$P234&lt;&gt;0,LEFT(F236,1)="D"),0,VLOOKUP(B236,INDIRECT(MatchDay!$W$2),2,FALSE)),"")</f>
        <v>6</v>
      </c>
      <c r="Q236" s="66">
        <f ca="1">IFERROR(IF(OR(J236=0,J236="",M236=0,M236="",$P234&lt;&gt;0,LEFT(M236,1)="D"),0,VLOOKUP(I236,INDIRECT(MatchDay!$W$2),3,FALSE)),"")</f>
        <v>4</v>
      </c>
      <c r="T236" s="109">
        <f t="shared" ref="T236:T242" si="52">IFERROR(IF(LEFT(F236,1)="D",0,(INT(F236)*60+(F236-INT(F236))*100)/86400),"X")</f>
        <v>1.6493055555555556E-3</v>
      </c>
      <c r="U236" s="109">
        <f t="shared" ref="U236:U242" si="53">IFERROR(IF(LEFT(M236,1)="D",0,(INT(M236)*60+(M236-INT(M236))*100)/86400),"X")</f>
        <v>1.6574074074074076E-3</v>
      </c>
    </row>
    <row r="237" spans="1:21" x14ac:dyDescent="0.35">
      <c r="A237" s="118">
        <f>IFERROR(VLOOKUP(A233,standards,3,FALSE)+0.01,"-")</f>
        <v>2.0749999999999997</v>
      </c>
      <c r="B237" s="117">
        <v>3</v>
      </c>
      <c r="C237" s="120">
        <v>1</v>
      </c>
      <c r="D237" s="64" t="str">
        <f ca="1">IFERROR(IF(A241=0,HLOOKUP(C237,Declarations!$D$2:$S$102,A235,FALSE),HLOOKUP(VLOOKUP(C237,Teams!$V$2:$W$19,2,FALSE),Declarations!$D$2:$S$102,A235,FALSE)),"")</f>
        <v>MARRIOTT Thomas</v>
      </c>
      <c r="E237" s="64" t="str">
        <f t="shared" si="50"/>
        <v>C'field</v>
      </c>
      <c r="F237" s="391">
        <v>2.3479999999999999</v>
      </c>
      <c r="G237" s="198" t="str">
        <f>IFERROR(IF(OR(F237=0,F237="",F237&gt;$A240-0.01),"",VLOOKUP(VLOOKUP(F237,A236:B240,2,TRUE),Points!$H$7:$I$10,2,FALSE)),"")</f>
        <v/>
      </c>
      <c r="H237" s="67"/>
      <c r="I237" s="117">
        <v>3</v>
      </c>
      <c r="J237" s="392">
        <v>11</v>
      </c>
      <c r="K237" s="64" t="str">
        <f ca="1">IFERROR(IF(A241=0,HLOOKUP(J237,Declarations!$D$2:$S$102,A235,FALSE),HLOOKUP(VLOOKUP(J237,Teams!$V$2:$W$19,2,FALSE),Declarations!$D$2:$S$102,A235,FALSE)),"")</f>
        <v>MAZUREK Gracjan</v>
      </c>
      <c r="L237" s="64" t="str">
        <f t="shared" si="51"/>
        <v>C'field</v>
      </c>
      <c r="M237" s="384">
        <v>2.4449999999999998</v>
      </c>
      <c r="N237" s="198" t="str">
        <f>IFERROR(IF(OR(M237=0,M237="",M237&gt;$A240-0.01),"",VLOOKUP(VLOOKUP(M237,A236:B240,2,TRUE),Points!$H$7:$I$10,2,FALSE)),"")</f>
        <v/>
      </c>
      <c r="P237" s="66">
        <f ca="1">IFERROR(IF(OR(C237=0,C237="",F237=0,F237="",$P234&lt;&gt;0,LEFT(F237,1)="D"),0,VLOOKUP(B237,INDIRECT(MatchDay!$W$2),2,FALSE)),"")</f>
        <v>5</v>
      </c>
      <c r="Q237" s="66">
        <f ca="1">IFERROR(IF(OR(J237=0,J237="",M237=0,M237="",$P234&lt;&gt;0,LEFT(M237,1)="D"),0,VLOOKUP(I237,INDIRECT(MatchDay!$W$2),3,FALSE)),"")</f>
        <v>3</v>
      </c>
      <c r="T237" s="109">
        <f t="shared" si="52"/>
        <v>1.7916666666666665E-3</v>
      </c>
      <c r="U237" s="109">
        <f t="shared" si="53"/>
        <v>1.9039351851851852E-3</v>
      </c>
    </row>
    <row r="238" spans="1:21" x14ac:dyDescent="0.35">
      <c r="A238" s="118">
        <f>IFERROR(VLOOKUP(A233,standards,4,FALSE)+0.01,"-")</f>
        <v>2.11</v>
      </c>
      <c r="B238" s="117">
        <v>4</v>
      </c>
      <c r="C238" s="120">
        <v>5</v>
      </c>
      <c r="D238" s="64" t="str">
        <f ca="1">IFERROR(IF(A241=0,HLOOKUP(C238,Declarations!$D$2:$S$102,A235,FALSE),HLOOKUP(VLOOKUP(C238,Teams!$V$2:$W$19,2,FALSE),Declarations!$D$2:$S$102,A235,FALSE)),"")</f>
        <v>OADES Matthew</v>
      </c>
      <c r="E238" s="64" t="str">
        <f t="shared" si="50"/>
        <v>Scun</v>
      </c>
      <c r="F238" s="391">
        <v>2.4430000000000001</v>
      </c>
      <c r="G238" s="198" t="str">
        <f>IFERROR(IF(OR(F238=0,F238="",F238&gt;$A240-0.01),"",VLOOKUP(VLOOKUP(F238,A236:B240,2,TRUE),Points!$H$7:$I$10,2,FALSE)),"")</f>
        <v/>
      </c>
      <c r="H238" s="67"/>
      <c r="I238" s="117">
        <v>4</v>
      </c>
      <c r="J238" s="392"/>
      <c r="K238" s="64" t="str">
        <f>IFERROR(IF(A241=0,HLOOKUP(J238,Declarations!$D$2:$S$102,A235,FALSE),HLOOKUP(VLOOKUP(J238,Teams!$V$2:$W$19,2,FALSE),Declarations!$D$2:$S$102,A235,FALSE)),"")</f>
        <v/>
      </c>
      <c r="L238" s="64" t="str">
        <f t="shared" si="51"/>
        <v/>
      </c>
      <c r="M238" s="384"/>
      <c r="N238" s="198" t="str">
        <f>IFERROR(IF(OR(M238=0,M238="",M238&gt;$A240-0.01),"",VLOOKUP(VLOOKUP(M238,A236:B240,2,TRUE),Points!$H$7:$I$10,2,FALSE)),"")</f>
        <v/>
      </c>
      <c r="P238" s="66">
        <f ca="1">IFERROR(IF(OR(C238=0,C238="",F238=0,F238="",$P234&lt;&gt;0,LEFT(F238,1)="D"),0,VLOOKUP(B238,INDIRECT(MatchDay!$W$2),2,FALSE)),"")</f>
        <v>4</v>
      </c>
      <c r="Q238" s="66">
        <f ca="1">IFERROR(IF(OR(J238=0,J238="",M238=0,M238="",$P234&lt;&gt;0,LEFT(M238,1)="D"),0,VLOOKUP(I238,INDIRECT(MatchDay!$W$2),3,FALSE)),"")</f>
        <v>0</v>
      </c>
      <c r="T238" s="109">
        <f t="shared" si="52"/>
        <v>1.9016203703703706E-3</v>
      </c>
      <c r="U238" s="109">
        <f t="shared" si="53"/>
        <v>0</v>
      </c>
    </row>
    <row r="239" spans="1:21" x14ac:dyDescent="0.35">
      <c r="A239" s="118">
        <f>IFERROR(VLOOKUP(A233,standards,5,FALSE)+0.01,"-")</f>
        <v>2.1399999999999997</v>
      </c>
      <c r="B239" s="117">
        <v>5</v>
      </c>
      <c r="C239" s="120">
        <v>4</v>
      </c>
      <c r="D239" s="64" t="str">
        <f ca="1">IFERROR(IF(A241=0,HLOOKUP(C239,Declarations!$D$2:$S$102,A235,FALSE),HLOOKUP(VLOOKUP(C239,Teams!$V$2:$W$19,2,FALSE),Declarations!$D$2:$S$102,A235,FALSE)),"")</f>
        <v>BELL Callum</v>
      </c>
      <c r="E239" s="64" t="str">
        <f t="shared" si="50"/>
        <v>M'bro</v>
      </c>
      <c r="F239" s="391">
        <v>2.5840000000000001</v>
      </c>
      <c r="G239" s="198" t="str">
        <f>IFERROR(IF(OR(F239=0,F239="",F239&gt;$A240-0.01),"",VLOOKUP(VLOOKUP(F239,A236:B240,2,TRUE),Points!$H$7:$I$10,2,FALSE)),"")</f>
        <v/>
      </c>
      <c r="H239" s="67"/>
      <c r="I239" s="117">
        <v>5</v>
      </c>
      <c r="J239" s="392"/>
      <c r="K239" s="64" t="str">
        <f>IFERROR(IF(A241=0,HLOOKUP(J239,Declarations!$D$2:$S$102,A235,FALSE),HLOOKUP(VLOOKUP(J239,Teams!$V$2:$W$19,2,FALSE),Declarations!$D$2:$S$102,A235,FALSE)),"")</f>
        <v/>
      </c>
      <c r="L239" s="64" t="str">
        <f t="shared" si="51"/>
        <v/>
      </c>
      <c r="M239" s="384"/>
      <c r="N239" s="198" t="str">
        <f>IFERROR(IF(OR(M239=0,M239="",M239&gt;$A240-0.01),"",VLOOKUP(VLOOKUP(M239,A236:B240,2,TRUE),Points!$H$7:$I$10,2,FALSE)),"")</f>
        <v/>
      </c>
      <c r="P239" s="66">
        <f ca="1">IFERROR(IF(OR(C239=0,C239="",F239=0,F239="",$P234&lt;&gt;0,LEFT(F239,1)="D"),0,VLOOKUP(B239,INDIRECT(MatchDay!$W$2),2,FALSE)),"")</f>
        <v>3</v>
      </c>
      <c r="Q239" s="66">
        <f ca="1">IFERROR(IF(OR(J239=0,J239="",M239=0,M239="",$P234&lt;&gt;0,LEFT(M239,1)="D"),0,VLOOKUP(I239,INDIRECT(MatchDay!$W$2),3,FALSE)),"")</f>
        <v>0</v>
      </c>
      <c r="T239" s="109">
        <f t="shared" si="52"/>
        <v>2.0648148148148149E-3</v>
      </c>
      <c r="U239" s="109">
        <f t="shared" si="53"/>
        <v>0</v>
      </c>
    </row>
    <row r="240" spans="1:21" x14ac:dyDescent="0.35">
      <c r="A240" s="118">
        <f>IFERROR(VLOOKUP(A233,standards,6,FALSE)+0.01,"-")</f>
        <v>2.19</v>
      </c>
      <c r="B240" s="117">
        <v>6</v>
      </c>
      <c r="C240" s="120"/>
      <c r="D240" s="64" t="str">
        <f>IFERROR(IF(A241=0,HLOOKUP(C240,Declarations!$D$2:$S$102,A235,FALSE),HLOOKUP(VLOOKUP(C240,Teams!$V$2:$W$19,2,FALSE),Declarations!$D$2:$S$102,A235,FALSE)),"")</f>
        <v/>
      </c>
      <c r="E240" s="64" t="str">
        <f t="shared" si="50"/>
        <v/>
      </c>
      <c r="F240" s="391"/>
      <c r="G240" s="198" t="str">
        <f>IFERROR(IF(OR(F240=0,F240="",F240&gt;$A240-0.01),"",VLOOKUP(VLOOKUP(F240,A236:B240,2,TRUE),Points!$H$7:$I$10,2,FALSE)),"")</f>
        <v/>
      </c>
      <c r="H240" s="67"/>
      <c r="I240" s="117">
        <v>6</v>
      </c>
      <c r="J240" s="392"/>
      <c r="K240" s="64" t="str">
        <f>IFERROR(IF(A241=0,HLOOKUP(J240,Declarations!$D$2:$S$102,A235,FALSE),HLOOKUP(VLOOKUP(J240,Teams!$V$2:$W$19,2,FALSE),Declarations!$D$2:$S$102,A235,FALSE)),"")</f>
        <v/>
      </c>
      <c r="L240" s="64" t="str">
        <f t="shared" si="51"/>
        <v/>
      </c>
      <c r="M240" s="384"/>
      <c r="N240" s="198" t="str">
        <f>IFERROR(IF(OR(M240=0,M240="",M240&gt;$A240-0.01),"",VLOOKUP(VLOOKUP(M240,A236:B240,2,TRUE),Points!$H$7:$I$10,2,FALSE)),"")</f>
        <v/>
      </c>
      <c r="P240" s="66">
        <f ca="1">IFERROR(IF(OR(C240=0,C240="",F240=0,F240="",$P234&lt;&gt;0,LEFT(F240,1)="D"),0,VLOOKUP(B240,INDIRECT(MatchDay!$W$2),2,FALSE)),"")</f>
        <v>0</v>
      </c>
      <c r="Q240" s="66">
        <f ca="1">IFERROR(IF(OR(J240=0,J240="",M240=0,M240="",$P234&lt;&gt;0,LEFT(M240,1)="D"),0,VLOOKUP(I240,INDIRECT(MatchDay!$W$2),3,FALSE)),"")</f>
        <v>0</v>
      </c>
      <c r="T240" s="109">
        <f t="shared" si="52"/>
        <v>0</v>
      </c>
      <c r="U240" s="109">
        <f t="shared" si="53"/>
        <v>0</v>
      </c>
    </row>
    <row r="241" spans="1:21" x14ac:dyDescent="0.35">
      <c r="A241" s="136">
        <f>IFERROR(SEARCH("U17",B233),0)</f>
        <v>0</v>
      </c>
      <c r="B241" s="117">
        <v>7</v>
      </c>
      <c r="C241" s="120"/>
      <c r="D241" s="64" t="str">
        <f>IFERROR(IF(A241=0,HLOOKUP(C241,Declarations!$D$2:$S$102,A235,FALSE),HLOOKUP(VLOOKUP(C241,Teams!$V$2:$W$19,2,FALSE),Declarations!$D$2:$S$102,A235,FALSE)),"")</f>
        <v/>
      </c>
      <c r="E241" s="64" t="str">
        <f t="shared" si="50"/>
        <v/>
      </c>
      <c r="F241" s="391"/>
      <c r="G241" s="198" t="str">
        <f>IFERROR(IF(OR(F241=0,F241="",F241&gt;$A240-0.01),"",VLOOKUP(VLOOKUP(F241,A236:B240,2,TRUE),Points!$H$7:$I$10,2,FALSE)),"")</f>
        <v/>
      </c>
      <c r="H241" s="67"/>
      <c r="I241" s="117">
        <v>7</v>
      </c>
      <c r="J241" s="392"/>
      <c r="K241" s="64" t="str">
        <f>IFERROR(IF(A241=0,HLOOKUP(J241,Declarations!$D$2:$S$102,A235,FALSE),HLOOKUP(VLOOKUP(J241,Teams!$V$2:$W$19,2,FALSE),Declarations!$D$2:$S$102,A235,FALSE)),"")</f>
        <v/>
      </c>
      <c r="L241" s="64" t="str">
        <f t="shared" si="51"/>
        <v/>
      </c>
      <c r="M241" s="384"/>
      <c r="N241" s="198" t="str">
        <f>IFERROR(IF(OR(M241=0,M241="",M241&gt;$A240-0.01),"",VLOOKUP(VLOOKUP(M241,A236:B240,2,TRUE),Points!$H$7:$I$10,2,FALSE)),"")</f>
        <v/>
      </c>
      <c r="P241" s="66">
        <f ca="1">IFERROR(IF(OR(C241=0,C241="",F241=0,F241="",$P234&lt;&gt;0,LEFT(F241,1)="D"),0,VLOOKUP(B241,INDIRECT(MatchDay!$W$2),2,FALSE)),"")</f>
        <v>0</v>
      </c>
      <c r="Q241" s="66">
        <f ca="1">IFERROR(IF(OR(J241=0,J241="",M241=0,M241="",$P234&lt;&gt;0,LEFT(M241,1)="D"),0,VLOOKUP(I241,INDIRECT(MatchDay!$W$2),3,FALSE)),"")</f>
        <v>0</v>
      </c>
      <c r="T241" s="109">
        <f t="shared" si="52"/>
        <v>0</v>
      </c>
      <c r="U241" s="109">
        <f t="shared" si="53"/>
        <v>0</v>
      </c>
    </row>
    <row r="242" spans="1:21" x14ac:dyDescent="0.35">
      <c r="A242" s="116">
        <f>IFERROR(VLOOKUP(A233,records,5,FALSE),"")</f>
        <v>1.3854166666666667E-3</v>
      </c>
      <c r="B242" s="117">
        <v>8</v>
      </c>
      <c r="C242" s="120"/>
      <c r="D242" s="64" t="str">
        <f>IFERROR(IF(A241=0,HLOOKUP(C242,Declarations!$D$2:$S$102,A235,FALSE),HLOOKUP(VLOOKUP(C242,Teams!$V$2:$W$19,2,FALSE),Declarations!$D$2:$S$102,A235,FALSE)),"")</f>
        <v/>
      </c>
      <c r="E242" s="64" t="str">
        <f t="shared" si="50"/>
        <v/>
      </c>
      <c r="F242" s="391"/>
      <c r="G242" s="198" t="str">
        <f>IFERROR(IF(OR(F242=0,F242="",F242&gt;$A240-0.01),"",VLOOKUP(VLOOKUP(F242,A236:B240,2,TRUE),Points!$H$7:$I$10,2,FALSE)),"")</f>
        <v/>
      </c>
      <c r="H242" s="67"/>
      <c r="I242" s="117">
        <v>8</v>
      </c>
      <c r="J242" s="392"/>
      <c r="K242" s="64" t="str">
        <f>IFERROR(IF(A241=0,HLOOKUP(J242,Declarations!$D$2:$S$102,A235,FALSE),HLOOKUP(VLOOKUP(J242,Teams!$V$2:$W$19,2,FALSE),Declarations!$D$2:$S$102,A235,FALSE)),"")</f>
        <v/>
      </c>
      <c r="L242" s="64" t="str">
        <f t="shared" si="51"/>
        <v/>
      </c>
      <c r="M242" s="384"/>
      <c r="N242" s="198" t="str">
        <f>IFERROR(IF(OR(M242=0,M242="",M242&gt;$A240-0.01),"",VLOOKUP(VLOOKUP(M242,A236:B240,2,TRUE),Points!$H$7:$I$10,2,FALSE)),"")</f>
        <v/>
      </c>
      <c r="P242" s="66">
        <f ca="1">IFERROR(IF(OR(C242=0,C242="",F242=0,F242="",$P234&lt;&gt;0,LEFT(F242,1)="D"),0,VLOOKUP(B242,INDIRECT(MatchDay!$W$2),2,FALSE)),"")</f>
        <v>0</v>
      </c>
      <c r="Q242" s="66">
        <f ca="1">IFERROR(IF(OR(J242=0,J242="",M242=0,M242="",$P234&lt;&gt;0,LEFT(M242,1)="D"),0,VLOOKUP(I242,INDIRECT(MatchDay!$W$2),3,FALSE)),"")</f>
        <v>0</v>
      </c>
      <c r="T242" s="109">
        <f t="shared" si="52"/>
        <v>0</v>
      </c>
      <c r="U242" s="109">
        <f t="shared" si="53"/>
        <v>0</v>
      </c>
    </row>
    <row r="243" spans="1:21" x14ac:dyDescent="0.35">
      <c r="F243" s="395"/>
      <c r="M243" s="315"/>
      <c r="T243" s="109">
        <f t="shared" si="40"/>
        <v>0</v>
      </c>
      <c r="U243" s="109">
        <f t="shared" si="41"/>
        <v>0</v>
      </c>
    </row>
    <row r="244" spans="1:21" x14ac:dyDescent="0.35">
      <c r="A244" s="111" t="s">
        <v>510</v>
      </c>
      <c r="B244" s="112" t="str">
        <f>IFERROR(VLOOKUP(A244,timetables,2,FALSE)&amp;" "&amp;VLOOKUP(A244,timetables,3,FALSE)&amp;" A","")</f>
        <v>800m NS U13 Girls A</v>
      </c>
      <c r="C244" s="112"/>
      <c r="E244" s="130" t="str">
        <f>IFERROR(IF(VLOOKUP($A244,timetables,8,FALSE)="W","Wind = ",""),"")</f>
        <v/>
      </c>
      <c r="F244" s="395"/>
      <c r="G244" s="119" t="str">
        <f>IFERROR(IF(OR(F246=0,F246=""),"",IF(F246&lt;A253,"REC",IF(F246=A253,"=Rec",""))),"")</f>
        <v/>
      </c>
      <c r="I244" s="114" t="str">
        <f>IFERROR(VLOOKUP(A244,timetables,2,FALSE)&amp;" "&amp;VLOOKUP(A244,timetables,3,FALSE)&amp;" B","")</f>
        <v>800m NS U13 Girls B</v>
      </c>
      <c r="J244" s="115"/>
      <c r="L244" s="130" t="str">
        <f>IFERROR(IF(VLOOKUP($A244,timetables,8,FALSE)="W","Wind = ",""),"")</f>
        <v/>
      </c>
      <c r="M244" s="315"/>
      <c r="P244" s="66" t="s">
        <v>53</v>
      </c>
      <c r="Q244" s="66" t="s">
        <v>54</v>
      </c>
      <c r="T244" s="109">
        <f t="shared" si="40"/>
        <v>0</v>
      </c>
      <c r="U244" s="109">
        <f t="shared" si="41"/>
        <v>0</v>
      </c>
    </row>
    <row r="245" spans="1:21" x14ac:dyDescent="0.35">
      <c r="A245" s="82"/>
      <c r="B245" s="45" t="s">
        <v>230</v>
      </c>
      <c r="C245" s="45" t="s">
        <v>183</v>
      </c>
      <c r="D245" s="47" t="s">
        <v>227</v>
      </c>
      <c r="E245" s="47" t="s">
        <v>228</v>
      </c>
      <c r="F245" s="314" t="s">
        <v>229</v>
      </c>
      <c r="G245" s="199" t="s">
        <v>55</v>
      </c>
      <c r="H245" s="47"/>
      <c r="I245" s="45" t="s">
        <v>230</v>
      </c>
      <c r="J245" s="45" t="s">
        <v>183</v>
      </c>
      <c r="K245" s="47" t="s">
        <v>227</v>
      </c>
      <c r="L245" s="47" t="s">
        <v>228</v>
      </c>
      <c r="M245" s="314" t="s">
        <v>229</v>
      </c>
      <c r="N245" s="199" t="s">
        <v>55</v>
      </c>
      <c r="P245" s="66">
        <f>IFERROR(SEARCH("NS",B244),0)</f>
        <v>6</v>
      </c>
      <c r="T245" s="109"/>
      <c r="U245" s="109"/>
    </row>
    <row r="246" spans="1:21" x14ac:dyDescent="0.35">
      <c r="A246" s="181">
        <f>IFERROR(VLOOKUP(A244,Timetables!$A:$E,5,FALSE)-1,"")</f>
        <v>33</v>
      </c>
      <c r="B246" s="117">
        <v>1</v>
      </c>
      <c r="C246" s="120"/>
      <c r="D246" s="64" t="str">
        <f>IFERROR(IF(A252=0,HLOOKUP(C246,Declarations!$D$2:$S$102,A246,FALSE),HLOOKUP(VLOOKUP(C246,Teams!$V$2:$W$19,2,FALSE),Declarations!$D$2:$S$102,A246,FALSE)),"")</f>
        <v/>
      </c>
      <c r="E246" s="64" t="str">
        <f t="shared" ref="E246:E253" si="54">IFERROR(VLOOKUP(C246,teamlookup,5,FALSE),"")</f>
        <v/>
      </c>
      <c r="F246" s="391"/>
      <c r="G246" s="198" t="str">
        <f>IFERROR(IF(OR(F246=0,F246="",F246&gt;$A$9-0.01),"",VLOOKUP(VLOOKUP(F246,A247:B251,2,TRUE),Points!$H$7:$I$10,2,FALSE)),"")</f>
        <v/>
      </c>
      <c r="H246" s="67"/>
      <c r="I246" s="117">
        <v>1</v>
      </c>
      <c r="J246" s="392"/>
      <c r="K246" s="64" t="str">
        <f>IFERROR(IF(A252=0,HLOOKUP(J246,Declarations!$D$2:$S$102,A246,FALSE),HLOOKUP(VLOOKUP(J246,Teams!$V$2:$W$19,2,FALSE),Declarations!$D$2:$S$102,A246,FALSE)),"")</f>
        <v/>
      </c>
      <c r="L246" s="64" t="str">
        <f t="shared" ref="L246:L253" si="55">IFERROR(VLOOKUP(J246,teamlookup,5,FALSE),"")</f>
        <v/>
      </c>
      <c r="M246" s="384"/>
      <c r="N246" s="198" t="str">
        <f>IFERROR(IF(OR(M246=0,M246="",M246&gt;$A$9-0.01),"",VLOOKUP(VLOOKUP(M246,A247:B251,2,TRUE),Points!$H$7:$I$10,2,FALSE)),"")</f>
        <v/>
      </c>
      <c r="P246" s="66">
        <f ca="1">IFERROR(IF(OR(C246=0,C246="",F246=0,F246="",$P245&lt;&gt;0,LEFT(F246,1)="D"),0,VLOOKUP(B246,INDIRECT(MatchDay!$W$2),2,FALSE)),"")</f>
        <v>0</v>
      </c>
      <c r="Q246" s="66">
        <f ca="1">IFERROR(IF(OR(J246=0,J246="",M246=0,M246="",$P245&lt;&gt;0,LEFT(M246,1)="D"),0,VLOOKUP(I246,INDIRECT(MatchDay!$W$2),3,FALSE)),"")</f>
        <v>0</v>
      </c>
      <c r="R246" s="219">
        <f>COUNTIF(C246,"&gt;0")</f>
        <v>0</v>
      </c>
      <c r="S246" s="66">
        <f>IFERROR(IF(C246&gt;88,1,0),0)</f>
        <v>0</v>
      </c>
      <c r="T246" s="109">
        <f t="shared" ref="T246:T253" si="56">IFERROR(IF(LEFT(F246,1)="D",F246,(INT(F246)*60+(F246-INT(F246))*100)/86400),"X")</f>
        <v>0</v>
      </c>
      <c r="U246" s="109">
        <f t="shared" ref="U246:U253" si="57">IFERROR(IF(LEFT(M246,1)="D",M246,(INT(M246)*60+(M246-INT(M246))*100)/86400),"X")</f>
        <v>0</v>
      </c>
    </row>
    <row r="247" spans="1:21" x14ac:dyDescent="0.35">
      <c r="A247" s="64">
        <v>0</v>
      </c>
      <c r="B247" s="117">
        <v>2</v>
      </c>
      <c r="C247" s="120"/>
      <c r="D247" s="64" t="str">
        <f>IFERROR(IF(A252=0,HLOOKUP(C247,Declarations!$D$2:$S$102,A246,FALSE),HLOOKUP(VLOOKUP(C247,Teams!$V$2:$W$19,2,FALSE),Declarations!$D$2:$S$102,A246,FALSE)),"")</f>
        <v/>
      </c>
      <c r="E247" s="64" t="str">
        <f t="shared" si="54"/>
        <v/>
      </c>
      <c r="F247" s="391"/>
      <c r="G247" s="198" t="str">
        <f>IFERROR(IF(OR(F247=0,F247="",F247&gt;$A$9-0.01),"",VLOOKUP(VLOOKUP(F247,A247:B251,2,TRUE),Points!$H$7:$I$10,2,FALSE)),"")</f>
        <v/>
      </c>
      <c r="H247" s="67"/>
      <c r="I247" s="117">
        <v>2</v>
      </c>
      <c r="J247" s="392"/>
      <c r="K247" s="64" t="str">
        <f>IFERROR(IF(A252=0,HLOOKUP(J247,Declarations!$D$2:$S$102,A246,FALSE),HLOOKUP(VLOOKUP(J247,Teams!$V$2:$W$19,2,FALSE),Declarations!$D$2:$S$102,A246,FALSE)),"")</f>
        <v/>
      </c>
      <c r="L247" s="64" t="str">
        <f t="shared" si="55"/>
        <v/>
      </c>
      <c r="M247" s="384"/>
      <c r="N247" s="198" t="str">
        <f>IFERROR(IF(OR(M247=0,M247="",M247&gt;$A$9-0.01),"",VLOOKUP(VLOOKUP(M247,A247:B251,2,TRUE),Points!$H$7:$I$10,2,FALSE)),"")</f>
        <v/>
      </c>
      <c r="P247" s="66">
        <f ca="1">IFERROR(IF(OR(C247=0,C247="",F247=0,F247="",$P245&lt;&gt;0,LEFT(F247,1)="D"),0,VLOOKUP(B247,INDIRECT(MatchDay!$W$2),2,FALSE)),"")</f>
        <v>0</v>
      </c>
      <c r="Q247" s="66">
        <f ca="1">IFERROR(IF(OR(J247=0,J247="",M247=0,M247="",$P245&lt;&gt;0,LEFT(M247,1)="D"),0,VLOOKUP(I247,INDIRECT(MatchDay!$W$2),3,FALSE)),"")</f>
        <v>0</v>
      </c>
      <c r="T247" s="109">
        <f t="shared" si="56"/>
        <v>0</v>
      </c>
      <c r="U247" s="109">
        <f t="shared" si="57"/>
        <v>0</v>
      </c>
    </row>
    <row r="248" spans="1:21" x14ac:dyDescent="0.35">
      <c r="A248" s="118">
        <f>IFERROR(VLOOKUP(A244,standards,3,FALSE)+0.01,"-")</f>
        <v>1.171875E-2</v>
      </c>
      <c r="B248" s="117">
        <v>3</v>
      </c>
      <c r="C248" s="120"/>
      <c r="D248" s="64" t="str">
        <f>IFERROR(IF(A252=0,HLOOKUP(C248,Declarations!$D$2:$S$102,A246,FALSE),HLOOKUP(VLOOKUP(C248,Teams!$V$2:$W$19,2,FALSE),Declarations!$D$2:$S$102,A246,FALSE)),"")</f>
        <v/>
      </c>
      <c r="E248" s="64" t="str">
        <f t="shared" si="54"/>
        <v/>
      </c>
      <c r="F248" s="391"/>
      <c r="G248" s="198" t="str">
        <f>IFERROR(IF(OR(F248=0,F248="",F248&gt;$A$9-0.01),"",VLOOKUP(VLOOKUP(F248,A247:B251,2,TRUE),Points!$H$7:$I$10,2,FALSE)),"")</f>
        <v/>
      </c>
      <c r="H248" s="67"/>
      <c r="I248" s="117">
        <v>3</v>
      </c>
      <c r="J248" s="392"/>
      <c r="K248" s="64" t="str">
        <f>IFERROR(IF(A252=0,HLOOKUP(J248,Declarations!$D$2:$S$102,A246,FALSE),HLOOKUP(VLOOKUP(J248,Teams!$V$2:$W$19,2,FALSE),Declarations!$D$2:$S$102,A246,FALSE)),"")</f>
        <v/>
      </c>
      <c r="L248" s="64" t="str">
        <f t="shared" si="55"/>
        <v/>
      </c>
      <c r="M248" s="384"/>
      <c r="N248" s="198" t="str">
        <f>IFERROR(IF(OR(M248=0,M248="",M248&gt;$A$9-0.01),"",VLOOKUP(VLOOKUP(M248,A247:B251,2,TRUE),Points!$H$7:$I$10,2,FALSE)),"")</f>
        <v/>
      </c>
      <c r="P248" s="66">
        <f ca="1">IFERROR(IF(OR(C248=0,C248="",F248=0,F248="",$P245&lt;&gt;0,LEFT(F248,1)="D"),0,VLOOKUP(B248,INDIRECT(MatchDay!$W$2),2,FALSE)),"")</f>
        <v>0</v>
      </c>
      <c r="Q248" s="66">
        <f ca="1">IFERROR(IF(OR(J248=0,J248="",M248=0,M248="",$P245&lt;&gt;0,LEFT(M248,1)="D"),0,VLOOKUP(I248,INDIRECT(MatchDay!$W$2),3,FALSE)),"")</f>
        <v>0</v>
      </c>
      <c r="T248" s="109">
        <f t="shared" si="56"/>
        <v>0</v>
      </c>
      <c r="U248" s="109">
        <f t="shared" si="57"/>
        <v>0</v>
      </c>
    </row>
    <row r="249" spans="1:21" x14ac:dyDescent="0.35">
      <c r="A249" s="118">
        <f>IFERROR(VLOOKUP(A244,standards,4,FALSE)+0.01,"-")</f>
        <v>1.1753472222222222E-2</v>
      </c>
      <c r="B249" s="117">
        <v>4</v>
      </c>
      <c r="C249" s="120"/>
      <c r="D249" s="64" t="str">
        <f>IFERROR(IF(A252=0,HLOOKUP(C249,Declarations!$D$2:$S$102,A246,FALSE),HLOOKUP(VLOOKUP(C249,Teams!$V$2:$W$19,2,FALSE),Declarations!$D$2:$S$102,A246,FALSE)),"")</f>
        <v/>
      </c>
      <c r="E249" s="64" t="str">
        <f t="shared" si="54"/>
        <v/>
      </c>
      <c r="F249" s="391"/>
      <c r="G249" s="198" t="str">
        <f>IFERROR(IF(OR(F249=0,F249="",F249&gt;$A$9-0.01),"",VLOOKUP(VLOOKUP(F249,A247:B251,2,TRUE),Points!$H$7:$I$10,2,FALSE)),"")</f>
        <v/>
      </c>
      <c r="H249" s="67"/>
      <c r="I249" s="117">
        <v>4</v>
      </c>
      <c r="J249" s="392"/>
      <c r="K249" s="64" t="str">
        <f>IFERROR(IF(A252=0,HLOOKUP(J249,Declarations!$D$2:$S$102,A246,FALSE),HLOOKUP(VLOOKUP(J249,Teams!$V$2:$W$19,2,FALSE),Declarations!$D$2:$S$102,A246,FALSE)),"")</f>
        <v/>
      </c>
      <c r="L249" s="64" t="str">
        <f t="shared" si="55"/>
        <v/>
      </c>
      <c r="M249" s="384"/>
      <c r="N249" s="198" t="str">
        <f>IFERROR(IF(OR(M249=0,M249="",M249&gt;$A$9-0.01),"",VLOOKUP(VLOOKUP(M249,A247:B251,2,TRUE),Points!$H$7:$I$10,2,FALSE)),"")</f>
        <v/>
      </c>
      <c r="P249" s="66">
        <f ca="1">IFERROR(IF(OR(C249=0,C249="",F249=0,F249="",$P245&lt;&gt;0,LEFT(F249,1)="D"),0,VLOOKUP(B249,INDIRECT(MatchDay!$W$2),2,FALSE)),"")</f>
        <v>0</v>
      </c>
      <c r="Q249" s="66">
        <f ca="1">IFERROR(IF(OR(J249=0,J249="",M249=0,M249="",$P245&lt;&gt;0,LEFT(M249,1)="D"),0,VLOOKUP(I249,INDIRECT(MatchDay!$W$2),3,FALSE)),"")</f>
        <v>0</v>
      </c>
      <c r="T249" s="109">
        <f t="shared" si="56"/>
        <v>0</v>
      </c>
      <c r="U249" s="109">
        <f t="shared" si="57"/>
        <v>0</v>
      </c>
    </row>
    <row r="250" spans="1:21" x14ac:dyDescent="0.35">
      <c r="A250" s="118">
        <f>IFERROR(VLOOKUP(A244,standards,5,FALSE)+0.01,"-")</f>
        <v>1.1793981481481482E-2</v>
      </c>
      <c r="B250" s="117">
        <v>5</v>
      </c>
      <c r="C250" s="120"/>
      <c r="D250" s="64" t="str">
        <f>IFERROR(IF(A252=0,HLOOKUP(C250,Declarations!$D$2:$S$102,A246,FALSE),HLOOKUP(VLOOKUP(C250,Teams!$V$2:$W$19,2,FALSE),Declarations!$D$2:$S$102,A246,FALSE)),"")</f>
        <v/>
      </c>
      <c r="E250" s="64" t="str">
        <f t="shared" si="54"/>
        <v/>
      </c>
      <c r="F250" s="391"/>
      <c r="G250" s="198" t="str">
        <f>IFERROR(IF(OR(F250=0,F250="",F250&gt;$A$9-0.01),"",VLOOKUP(VLOOKUP(F250,A247:B251,2,TRUE),Points!$H$7:$I$10,2,FALSE)),"")</f>
        <v/>
      </c>
      <c r="H250" s="67"/>
      <c r="I250" s="117">
        <v>5</v>
      </c>
      <c r="J250" s="392"/>
      <c r="K250" s="64" t="str">
        <f>IFERROR(IF(A252=0,HLOOKUP(J250,Declarations!$D$2:$S$102,A246,FALSE),HLOOKUP(VLOOKUP(J250,Teams!$V$2:$W$19,2,FALSE),Declarations!$D$2:$S$102,A246,FALSE)),"")</f>
        <v/>
      </c>
      <c r="L250" s="64" t="str">
        <f t="shared" si="55"/>
        <v/>
      </c>
      <c r="M250" s="384"/>
      <c r="N250" s="198" t="str">
        <f>IFERROR(IF(OR(M250=0,M250="",M250&gt;$A$9-0.01),"",VLOOKUP(VLOOKUP(M250,A247:B251,2,TRUE),Points!$H$7:$I$10,2,FALSE)),"")</f>
        <v/>
      </c>
      <c r="P250" s="66">
        <f ca="1">IFERROR(IF(OR(C250=0,C250="",F250=0,F250="",$P245&lt;&gt;0,LEFT(F250,1)="D"),0,VLOOKUP(B250,INDIRECT(MatchDay!$W$2),2,FALSE)),"")</f>
        <v>0</v>
      </c>
      <c r="Q250" s="66">
        <f ca="1">IFERROR(IF(OR(J250=0,J250="",M250=0,M250="",$P245&lt;&gt;0,LEFT(M250,1)="D"),0,VLOOKUP(I250,INDIRECT(MatchDay!$W$2),3,FALSE)),"")</f>
        <v>0</v>
      </c>
      <c r="T250" s="109">
        <f t="shared" si="56"/>
        <v>0</v>
      </c>
      <c r="U250" s="109">
        <f t="shared" si="57"/>
        <v>0</v>
      </c>
    </row>
    <row r="251" spans="1:21" x14ac:dyDescent="0.35">
      <c r="A251" s="118">
        <f>IFERROR(VLOOKUP(A244,standards,6,FALSE)+0.01,"-")</f>
        <v>1.1866898148148149E-2</v>
      </c>
      <c r="B251" s="117">
        <v>6</v>
      </c>
      <c r="C251" s="120"/>
      <c r="D251" s="64" t="str">
        <f>IFERROR(IF(A252=0,HLOOKUP(C251,Declarations!$D$2:$S$102,A246,FALSE),HLOOKUP(VLOOKUP(C251,Teams!$V$2:$W$19,2,FALSE),Declarations!$D$2:$S$102,A246,FALSE)),"")</f>
        <v/>
      </c>
      <c r="E251" s="64" t="str">
        <f t="shared" si="54"/>
        <v/>
      </c>
      <c r="F251" s="391"/>
      <c r="G251" s="198" t="str">
        <f>IFERROR(IF(OR(F251=0,F251="",F251&gt;$A$9-0.01),"",VLOOKUP(VLOOKUP(F251,A247:B251,2,TRUE),Points!$H$7:$I$10,2,FALSE)),"")</f>
        <v/>
      </c>
      <c r="H251" s="67"/>
      <c r="I251" s="117">
        <v>6</v>
      </c>
      <c r="J251" s="392"/>
      <c r="K251" s="64" t="str">
        <f>IFERROR(IF(A252=0,HLOOKUP(J251,Declarations!$D$2:$S$102,A246,FALSE),HLOOKUP(VLOOKUP(J251,Teams!$V$2:$W$19,2,FALSE),Declarations!$D$2:$S$102,A246,FALSE)),"")</f>
        <v/>
      </c>
      <c r="L251" s="64" t="str">
        <f t="shared" si="55"/>
        <v/>
      </c>
      <c r="M251" s="384"/>
      <c r="N251" s="198" t="str">
        <f>IFERROR(IF(OR(M251=0,M251="",M251&gt;$A$9-0.01),"",VLOOKUP(VLOOKUP(M251,A247:B251,2,TRUE),Points!$H$7:$I$10,2,FALSE)),"")</f>
        <v/>
      </c>
      <c r="P251" s="66">
        <f ca="1">IFERROR(IF(OR(C251=0,C251="",F251=0,F251="",$P245&lt;&gt;0,LEFT(F251,1)="D"),0,VLOOKUP(B251,INDIRECT(MatchDay!$W$2),2,FALSE)),"")</f>
        <v>0</v>
      </c>
      <c r="Q251" s="66">
        <f ca="1">IFERROR(IF(OR(J251=0,J251="",M251=0,M251="",$P245&lt;&gt;0,LEFT(M251,1)="D"),0,VLOOKUP(I251,INDIRECT(MatchDay!$W$2),3,FALSE)),"")</f>
        <v>0</v>
      </c>
      <c r="T251" s="109">
        <f t="shared" si="56"/>
        <v>0</v>
      </c>
      <c r="U251" s="109">
        <f t="shared" si="57"/>
        <v>0</v>
      </c>
    </row>
    <row r="252" spans="1:21" x14ac:dyDescent="0.35">
      <c r="A252" s="136">
        <f>IFERROR(SEARCH("U17",B244),0)</f>
        <v>0</v>
      </c>
      <c r="B252" s="117">
        <v>7</v>
      </c>
      <c r="C252" s="120"/>
      <c r="D252" s="64" t="str">
        <f>IFERROR(IF(A252=0,HLOOKUP(C252,Declarations!$D$2:$S$102,A246,FALSE),HLOOKUP(VLOOKUP(C252,Teams!$V$2:$W$19,2,FALSE),Declarations!$D$2:$S$102,A246,FALSE)),"")</f>
        <v/>
      </c>
      <c r="E252" s="64" t="str">
        <f t="shared" si="54"/>
        <v/>
      </c>
      <c r="F252" s="391"/>
      <c r="G252" s="198" t="str">
        <f>IFERROR(IF(OR(F252=0,F252="",F252&gt;$A$9-0.01),"",VLOOKUP(VLOOKUP(F252,A247:B251,2,TRUE),Points!$H$7:$I$10,2,FALSE)),"")</f>
        <v/>
      </c>
      <c r="H252" s="67"/>
      <c r="I252" s="117">
        <v>7</v>
      </c>
      <c r="J252" s="392"/>
      <c r="K252" s="64" t="str">
        <f>IFERROR(IF(A252=0,HLOOKUP(J252,Declarations!$D$2:$S$102,A246,FALSE),HLOOKUP(VLOOKUP(J252,Teams!$V$2:$W$19,2,FALSE),Declarations!$D$2:$S$102,A246,FALSE)),"")</f>
        <v/>
      </c>
      <c r="L252" s="64" t="str">
        <f t="shared" si="55"/>
        <v/>
      </c>
      <c r="M252" s="384"/>
      <c r="N252" s="198" t="str">
        <f>IFERROR(IF(OR(M252=0,M252="",M252&gt;$A$9-0.01),"",VLOOKUP(VLOOKUP(M252,A247:B251,2,TRUE),Points!$H$7:$I$10,2,FALSE)),"")</f>
        <v/>
      </c>
      <c r="P252" s="66">
        <f ca="1">IFERROR(IF(OR(C252=0,C252="",F252=0,F252="",$P245&lt;&gt;0,LEFT(F252,1)="D"),0,VLOOKUP(B252,INDIRECT(MatchDay!$W$2),2,FALSE)),"")</f>
        <v>0</v>
      </c>
      <c r="Q252" s="66">
        <f ca="1">IFERROR(IF(OR(J252=0,J252="",M252=0,M252="",$P245&lt;&gt;0,LEFT(M252,1)="D"),0,VLOOKUP(I252,INDIRECT(MatchDay!$W$2),3,FALSE)),"")</f>
        <v>0</v>
      </c>
      <c r="T252" s="109">
        <f t="shared" si="56"/>
        <v>0</v>
      </c>
      <c r="U252" s="109">
        <f t="shared" si="57"/>
        <v>0</v>
      </c>
    </row>
    <row r="253" spans="1:21" x14ac:dyDescent="0.35">
      <c r="A253" s="116">
        <f>IFERROR(VLOOKUP(A244,records,5,FALSE),"")</f>
        <v>1.6215277777777779E-3</v>
      </c>
      <c r="B253" s="117">
        <v>8</v>
      </c>
      <c r="C253" s="120"/>
      <c r="D253" s="64" t="str">
        <f>IFERROR(IF(A252=0,HLOOKUP(C253,Declarations!$D$2:$S$102,A246,FALSE),HLOOKUP(VLOOKUP(C253,Teams!$V$2:$W$19,2,FALSE),Declarations!$D$2:$S$102,A246,FALSE)),"")</f>
        <v/>
      </c>
      <c r="E253" s="64" t="str">
        <f t="shared" si="54"/>
        <v/>
      </c>
      <c r="F253" s="391"/>
      <c r="G253" s="198" t="str">
        <f>IFERROR(IF(OR(F253=0,F253="",F253&gt;$A$9-0.01),"",VLOOKUP(VLOOKUP(F253,A247:B251,2,TRUE),Points!$H$7:$I$10,2,FALSE)),"")</f>
        <v/>
      </c>
      <c r="H253" s="67"/>
      <c r="I253" s="117">
        <v>8</v>
      </c>
      <c r="J253" s="392"/>
      <c r="K253" s="64" t="str">
        <f>IFERROR(IF(A252=0,HLOOKUP(J253,Declarations!$D$2:$S$102,A246,FALSE),HLOOKUP(VLOOKUP(J253,Teams!$V$2:$W$19,2,FALSE),Declarations!$D$2:$S$102,A246,FALSE)),"")</f>
        <v/>
      </c>
      <c r="L253" s="64" t="str">
        <f t="shared" si="55"/>
        <v/>
      </c>
      <c r="M253" s="384"/>
      <c r="N253" s="198" t="str">
        <f>IFERROR(IF(OR(M253=0,M253="",M253&gt;$A$9-0.01),"",VLOOKUP(VLOOKUP(M253,A247:B251,2,TRUE),Points!$H$7:$I$10,2,FALSE)),"")</f>
        <v/>
      </c>
      <c r="P253" s="66">
        <f ca="1">IFERROR(IF(OR(C253=0,C253="",F253=0,F253="",$P245&lt;&gt;0,LEFT(F253,1)="D"),0,VLOOKUP(B253,INDIRECT(MatchDay!$W$2),2,FALSE)),"")</f>
        <v>0</v>
      </c>
      <c r="Q253" s="66">
        <f ca="1">IFERROR(IF(OR(J253=0,J253="",M253=0,M253="",$P245&lt;&gt;0,LEFT(M253,1)="D"),0,VLOOKUP(I253,INDIRECT(MatchDay!$W$2),3,FALSE)),"")</f>
        <v>0</v>
      </c>
      <c r="T253" s="109">
        <f t="shared" si="56"/>
        <v>0</v>
      </c>
      <c r="U253" s="109">
        <f t="shared" si="57"/>
        <v>0</v>
      </c>
    </row>
    <row r="254" spans="1:21" x14ac:dyDescent="0.35">
      <c r="F254" s="395"/>
      <c r="M254" s="315"/>
      <c r="T254" s="109">
        <f t="shared" si="40"/>
        <v>0</v>
      </c>
      <c r="U254" s="109">
        <f t="shared" si="41"/>
        <v>0</v>
      </c>
    </row>
    <row r="255" spans="1:21" x14ac:dyDescent="0.35">
      <c r="A255" s="111" t="s">
        <v>511</v>
      </c>
      <c r="B255" s="112" t="str">
        <f>IFERROR(VLOOKUP(A255,timetables,2,FALSE)&amp;" "&amp;VLOOKUP(A255,timetables,3,FALSE)&amp;" A","")</f>
        <v>800m NS U13 Boys A</v>
      </c>
      <c r="C255" s="112"/>
      <c r="E255" s="130" t="str">
        <f>IFERROR(IF(VLOOKUP($A255,timetables,8,FALSE)="W","Wind = ",""),"")</f>
        <v/>
      </c>
      <c r="F255" s="395"/>
      <c r="G255" s="119" t="str">
        <f>IFERROR(IF(OR(F257=0,F257=""),"",IF(F257&lt;A264,"REC",IF(F257=A264,"=Rec",""))),"")</f>
        <v/>
      </c>
      <c r="I255" s="114" t="str">
        <f>IFERROR(VLOOKUP(A255,timetables,2,FALSE)&amp;" "&amp;VLOOKUP(A255,timetables,3,FALSE)&amp;" B","")</f>
        <v>800m NS U13 Boys B</v>
      </c>
      <c r="J255" s="115"/>
      <c r="L255" s="130" t="str">
        <f>IFERROR(IF(VLOOKUP($A255,timetables,8,FALSE)="W","Wind = ",""),"")</f>
        <v/>
      </c>
      <c r="M255" s="315"/>
      <c r="P255" s="66" t="s">
        <v>53</v>
      </c>
      <c r="Q255" s="66" t="s">
        <v>54</v>
      </c>
      <c r="T255" s="109">
        <f t="shared" si="40"/>
        <v>0</v>
      </c>
      <c r="U255" s="109">
        <f t="shared" si="41"/>
        <v>0</v>
      </c>
    </row>
    <row r="256" spans="1:21" x14ac:dyDescent="0.35">
      <c r="A256" s="82"/>
      <c r="B256" s="45" t="s">
        <v>230</v>
      </c>
      <c r="C256" s="45" t="s">
        <v>183</v>
      </c>
      <c r="D256" s="47" t="s">
        <v>227</v>
      </c>
      <c r="E256" s="47" t="s">
        <v>228</v>
      </c>
      <c r="F256" s="314" t="s">
        <v>229</v>
      </c>
      <c r="G256" s="199" t="s">
        <v>55</v>
      </c>
      <c r="H256" s="47"/>
      <c r="I256" s="45" t="s">
        <v>230</v>
      </c>
      <c r="J256" s="45" t="s">
        <v>183</v>
      </c>
      <c r="K256" s="47" t="s">
        <v>227</v>
      </c>
      <c r="L256" s="47" t="s">
        <v>228</v>
      </c>
      <c r="M256" s="314" t="s">
        <v>229</v>
      </c>
      <c r="N256" s="199" t="s">
        <v>55</v>
      </c>
      <c r="P256" s="66">
        <f>IFERROR(SEARCH("NS",B255),0)</f>
        <v>6</v>
      </c>
      <c r="T256" s="109"/>
      <c r="U256" s="109"/>
    </row>
    <row r="257" spans="1:21" x14ac:dyDescent="0.35">
      <c r="A257" s="181">
        <f>IFERROR(VLOOKUP(A255,Timetables!$A:$E,5,FALSE)-1,"")</f>
        <v>83</v>
      </c>
      <c r="B257" s="117">
        <v>1</v>
      </c>
      <c r="C257" s="120"/>
      <c r="D257" s="64" t="str">
        <f>IFERROR(IF(A263=0,HLOOKUP(C257,Declarations!$D$2:$S$102,A257,FALSE),HLOOKUP(VLOOKUP(C257,Teams!$V$2:$W$19,2,FALSE),Declarations!$D$2:$S$102,A257,FALSE)),"")</f>
        <v/>
      </c>
      <c r="E257" s="64" t="str">
        <f t="shared" ref="E257:E264" si="58">IFERROR(VLOOKUP(C257,teamlookup,5,FALSE),"")</f>
        <v/>
      </c>
      <c r="F257" s="391"/>
      <c r="G257" s="198" t="str">
        <f>IFERROR(IF(OR(F257=0,F257="",F257&gt;$A$9-0.01),"",VLOOKUP(VLOOKUP(F257,A258:B262,2,TRUE),Points!$H$7:$I$10,2,FALSE)),"")</f>
        <v/>
      </c>
      <c r="H257" s="67"/>
      <c r="I257" s="117">
        <v>1</v>
      </c>
      <c r="J257" s="392"/>
      <c r="K257" s="64" t="str">
        <f>IFERROR(IF(A263=0,HLOOKUP(J257,Declarations!$D$2:$S$102,A257,FALSE),HLOOKUP(VLOOKUP(J257,Teams!$V$2:$W$19,2,FALSE),Declarations!$D$2:$S$102,A257,FALSE)),"")</f>
        <v/>
      </c>
      <c r="L257" s="64" t="str">
        <f t="shared" ref="L257:L264" si="59">IFERROR(VLOOKUP(J257,teamlookup,5,FALSE),"")</f>
        <v/>
      </c>
      <c r="M257" s="384"/>
      <c r="N257" s="198" t="str">
        <f>IFERROR(IF(OR(M257=0,M257="",M257&gt;$A$9-0.01),"",VLOOKUP(VLOOKUP(M257,A258:B262,2,TRUE),Points!$H$7:$I$10,2,FALSE)),"")</f>
        <v/>
      </c>
      <c r="P257" s="66">
        <f ca="1">IFERROR(IF(OR(C257=0,C257="",F257=0,F257="",$P256&lt;&gt;0,LEFT(F257,1)="D"),0,VLOOKUP(B257,INDIRECT(MatchDay!$W$2),2,FALSE)),"")</f>
        <v>0</v>
      </c>
      <c r="Q257" s="66">
        <f ca="1">IFERROR(IF(OR(J257=0,J257="",M257=0,M257="",$P256&lt;&gt;0,LEFT(M257,1)="D"),0,VLOOKUP(I257,INDIRECT(MatchDay!$W$2),3,FALSE)),"")</f>
        <v>0</v>
      </c>
      <c r="R257" s="219">
        <f>COUNTIF(C257,"&gt;0")</f>
        <v>0</v>
      </c>
      <c r="S257" s="66">
        <f>IFERROR(IF(C257&gt;88,1,0),0)</f>
        <v>0</v>
      </c>
      <c r="T257" s="109">
        <f t="shared" ref="T257:T264" si="60">IFERROR(IF(LEFT(F257,1)="D",F257,(INT(F257)*60+(F257-INT(F257))*100)/86400),"X")</f>
        <v>0</v>
      </c>
      <c r="U257" s="109">
        <f t="shared" ref="U257:U264" si="61">IFERROR(IF(LEFT(M257,1)="D",M257,(INT(M257)*60+(M257-INT(M257))*100)/86400),"X")</f>
        <v>0</v>
      </c>
    </row>
    <row r="258" spans="1:21" x14ac:dyDescent="0.35">
      <c r="A258" s="64">
        <v>0</v>
      </c>
      <c r="B258" s="117">
        <v>2</v>
      </c>
      <c r="C258" s="120"/>
      <c r="D258" s="64" t="str">
        <f>IFERROR(IF(A263=0,HLOOKUP(C258,Declarations!$D$2:$S$102,A257,FALSE),HLOOKUP(VLOOKUP(C258,Teams!$V$2:$W$19,2,FALSE),Declarations!$D$2:$S$102,A257,FALSE)),"")</f>
        <v/>
      </c>
      <c r="E258" s="64" t="str">
        <f t="shared" si="58"/>
        <v/>
      </c>
      <c r="F258" s="391"/>
      <c r="G258" s="198" t="str">
        <f>IFERROR(IF(OR(F258=0,F258="",F258&gt;$A$9-0.01),"",VLOOKUP(VLOOKUP(F258,A258:B262,2,TRUE),Points!$H$7:$I$10,2,FALSE)),"")</f>
        <v/>
      </c>
      <c r="H258" s="67"/>
      <c r="I258" s="117">
        <v>2</v>
      </c>
      <c r="J258" s="392"/>
      <c r="K258" s="64" t="str">
        <f>IFERROR(IF(A263=0,HLOOKUP(J258,Declarations!$D$2:$S$102,A257,FALSE),HLOOKUP(VLOOKUP(J258,Teams!$V$2:$W$19,2,FALSE),Declarations!$D$2:$S$102,A257,FALSE)),"")</f>
        <v/>
      </c>
      <c r="L258" s="64" t="str">
        <f t="shared" si="59"/>
        <v/>
      </c>
      <c r="M258" s="384"/>
      <c r="N258" s="198" t="str">
        <f>IFERROR(IF(OR(M258=0,M258="",M258&gt;$A$9-0.01),"",VLOOKUP(VLOOKUP(M258,A258:B262,2,TRUE),Points!$H$7:$I$10,2,FALSE)),"")</f>
        <v/>
      </c>
      <c r="P258" s="66">
        <f ca="1">IFERROR(IF(OR(C258=0,C258="",F258=0,F258="",$P256&lt;&gt;0,LEFT(F258,1)="D"),0,VLOOKUP(B258,INDIRECT(MatchDay!$W$2),2,FALSE)),"")</f>
        <v>0</v>
      </c>
      <c r="Q258" s="66">
        <f ca="1">IFERROR(IF(OR(J258=0,J258="",M258=0,M258="",$P256&lt;&gt;0,LEFT(M258,1)="D"),0,VLOOKUP(I258,INDIRECT(MatchDay!$W$2),3,FALSE)),"")</f>
        <v>0</v>
      </c>
      <c r="T258" s="109">
        <f t="shared" si="60"/>
        <v>0</v>
      </c>
      <c r="U258" s="109">
        <f t="shared" si="61"/>
        <v>0</v>
      </c>
    </row>
    <row r="259" spans="1:21" x14ac:dyDescent="0.35">
      <c r="A259" s="118">
        <f>IFERROR(VLOOKUP(A255,standards,3,FALSE)+0.01,"-")</f>
        <v>1.1649305555555555E-2</v>
      </c>
      <c r="B259" s="117">
        <v>3</v>
      </c>
      <c r="C259" s="120"/>
      <c r="D259" s="64" t="str">
        <f>IFERROR(IF(A263=0,HLOOKUP(C259,Declarations!$D$2:$S$102,A257,FALSE),HLOOKUP(VLOOKUP(C259,Teams!$V$2:$W$19,2,FALSE),Declarations!$D$2:$S$102,A257,FALSE)),"")</f>
        <v/>
      </c>
      <c r="E259" s="64" t="str">
        <f t="shared" si="58"/>
        <v/>
      </c>
      <c r="F259" s="391"/>
      <c r="G259" s="198" t="str">
        <f>IFERROR(IF(OR(F259=0,F259="",F259&gt;$A$9-0.01),"",VLOOKUP(VLOOKUP(F259,A258:B262,2,TRUE),Points!$H$7:$I$10,2,FALSE)),"")</f>
        <v/>
      </c>
      <c r="H259" s="67"/>
      <c r="I259" s="117">
        <v>3</v>
      </c>
      <c r="J259" s="392"/>
      <c r="K259" s="64" t="str">
        <f>IFERROR(IF(A263=0,HLOOKUP(J259,Declarations!$D$2:$S$102,A257,FALSE),HLOOKUP(VLOOKUP(J259,Teams!$V$2:$W$19,2,FALSE),Declarations!$D$2:$S$102,A257,FALSE)),"")</f>
        <v/>
      </c>
      <c r="L259" s="64" t="str">
        <f t="shared" si="59"/>
        <v/>
      </c>
      <c r="M259" s="384"/>
      <c r="N259" s="198" t="str">
        <f>IFERROR(IF(OR(M259=0,M259="",M259&gt;$A$9-0.01),"",VLOOKUP(VLOOKUP(M259,A258:B262,2,TRUE),Points!$H$7:$I$10,2,FALSE)),"")</f>
        <v/>
      </c>
      <c r="P259" s="66">
        <f ca="1">IFERROR(IF(OR(C259=0,C259="",F259=0,F259="",$P256&lt;&gt;0,LEFT(F259,1)="D"),0,VLOOKUP(B259,INDIRECT(MatchDay!$W$2),2,FALSE)),"")</f>
        <v>0</v>
      </c>
      <c r="Q259" s="66">
        <f ca="1">IFERROR(IF(OR(J259=0,J259="",M259=0,M259="",$P256&lt;&gt;0,LEFT(M259,1)="D"),0,VLOOKUP(I259,INDIRECT(MatchDay!$W$2),3,FALSE)),"")</f>
        <v>0</v>
      </c>
      <c r="T259" s="109">
        <f t="shared" si="60"/>
        <v>0</v>
      </c>
      <c r="U259" s="109">
        <f t="shared" si="61"/>
        <v>0</v>
      </c>
    </row>
    <row r="260" spans="1:21" x14ac:dyDescent="0.35">
      <c r="A260" s="118">
        <f>IFERROR(VLOOKUP(A255,standards,4,FALSE)+0.01,"-")</f>
        <v>1.1672453703703704E-2</v>
      </c>
      <c r="B260" s="117">
        <v>4</v>
      </c>
      <c r="C260" s="120"/>
      <c r="D260" s="64" t="str">
        <f>IFERROR(IF(A263=0,HLOOKUP(C260,Declarations!$D$2:$S$102,A257,FALSE),HLOOKUP(VLOOKUP(C260,Teams!$V$2:$W$19,2,FALSE),Declarations!$D$2:$S$102,A257,FALSE)),"")</f>
        <v/>
      </c>
      <c r="E260" s="64" t="str">
        <f t="shared" si="58"/>
        <v/>
      </c>
      <c r="F260" s="391"/>
      <c r="G260" s="198" t="str">
        <f>IFERROR(IF(OR(F260=0,F260="",F260&gt;$A$9-0.01),"",VLOOKUP(VLOOKUP(F260,A258:B262,2,TRUE),Points!$H$7:$I$10,2,FALSE)),"")</f>
        <v/>
      </c>
      <c r="H260" s="67"/>
      <c r="I260" s="117">
        <v>4</v>
      </c>
      <c r="J260" s="392"/>
      <c r="K260" s="64" t="str">
        <f>IFERROR(IF(A263=0,HLOOKUP(J260,Declarations!$D$2:$S$102,A257,FALSE),HLOOKUP(VLOOKUP(J260,Teams!$V$2:$W$19,2,FALSE),Declarations!$D$2:$S$102,A257,FALSE)),"")</f>
        <v/>
      </c>
      <c r="L260" s="64" t="str">
        <f t="shared" si="59"/>
        <v/>
      </c>
      <c r="M260" s="384"/>
      <c r="N260" s="198" t="str">
        <f>IFERROR(IF(OR(M260=0,M260="",M260&gt;$A$9-0.01),"",VLOOKUP(VLOOKUP(M260,A258:B262,2,TRUE),Points!$H$7:$I$10,2,FALSE)),"")</f>
        <v/>
      </c>
      <c r="P260" s="66">
        <f ca="1">IFERROR(IF(OR(C260=0,C260="",F260=0,F260="",$P256&lt;&gt;0,LEFT(F260,1)="D"),0,VLOOKUP(B260,INDIRECT(MatchDay!$W$2),2,FALSE)),"")</f>
        <v>0</v>
      </c>
      <c r="Q260" s="66">
        <f ca="1">IFERROR(IF(OR(J260=0,J260="",M260=0,M260="",$P256&lt;&gt;0,LEFT(M260,1)="D"),0,VLOOKUP(I260,INDIRECT(MatchDay!$W$2),3,FALSE)),"")</f>
        <v>0</v>
      </c>
      <c r="T260" s="109">
        <f t="shared" si="60"/>
        <v>0</v>
      </c>
      <c r="U260" s="109">
        <f t="shared" si="61"/>
        <v>0</v>
      </c>
    </row>
    <row r="261" spans="1:21" x14ac:dyDescent="0.35">
      <c r="A261" s="118">
        <f>IFERROR(VLOOKUP(A255,standards,5,FALSE)+0.01,"-")</f>
        <v>1.1707175925925926E-2</v>
      </c>
      <c r="B261" s="117">
        <v>5</v>
      </c>
      <c r="C261" s="120"/>
      <c r="D261" s="64" t="str">
        <f>IFERROR(IF(A263=0,HLOOKUP(C261,Declarations!$D$2:$S$102,A257,FALSE),HLOOKUP(VLOOKUP(C261,Teams!$V$2:$W$19,2,FALSE),Declarations!$D$2:$S$102,A257,FALSE)),"")</f>
        <v/>
      </c>
      <c r="E261" s="64" t="str">
        <f t="shared" si="58"/>
        <v/>
      </c>
      <c r="F261" s="391"/>
      <c r="G261" s="198" t="str">
        <f>IFERROR(IF(OR(F261=0,F261="",F261&gt;$A$9-0.01),"",VLOOKUP(VLOOKUP(F261,A258:B262,2,TRUE),Points!$H$7:$I$10,2,FALSE)),"")</f>
        <v/>
      </c>
      <c r="H261" s="67"/>
      <c r="I261" s="117">
        <v>5</v>
      </c>
      <c r="J261" s="392"/>
      <c r="K261" s="64" t="str">
        <f>IFERROR(IF(A263=0,HLOOKUP(J261,Declarations!$D$2:$S$102,A257,FALSE),HLOOKUP(VLOOKUP(J261,Teams!$V$2:$W$19,2,FALSE),Declarations!$D$2:$S$102,A257,FALSE)),"")</f>
        <v/>
      </c>
      <c r="L261" s="64" t="str">
        <f t="shared" si="59"/>
        <v/>
      </c>
      <c r="M261" s="384"/>
      <c r="N261" s="198" t="str">
        <f>IFERROR(IF(OR(M261=0,M261="",M261&gt;$A$9-0.01),"",VLOOKUP(VLOOKUP(M261,A258:B262,2,TRUE),Points!$H$7:$I$10,2,FALSE)),"")</f>
        <v/>
      </c>
      <c r="P261" s="66">
        <f ca="1">IFERROR(IF(OR(C261=0,C261="",F261=0,F261="",$P256&lt;&gt;0,LEFT(F261,1)="D"),0,VLOOKUP(B261,INDIRECT(MatchDay!$W$2),2,FALSE)),"")</f>
        <v>0</v>
      </c>
      <c r="Q261" s="66">
        <f ca="1">IFERROR(IF(OR(J261=0,J261="",M261=0,M261="",$P256&lt;&gt;0,LEFT(M261,1)="D"),0,VLOOKUP(I261,INDIRECT(MatchDay!$W$2),3,FALSE)),"")</f>
        <v>0</v>
      </c>
      <c r="T261" s="109">
        <f t="shared" si="60"/>
        <v>0</v>
      </c>
      <c r="U261" s="109">
        <f t="shared" si="61"/>
        <v>0</v>
      </c>
    </row>
    <row r="262" spans="1:21" x14ac:dyDescent="0.35">
      <c r="A262" s="118">
        <f>IFERROR(VLOOKUP(A255,standards,6,FALSE)+0.01,"-")</f>
        <v>1.1782407407407408E-2</v>
      </c>
      <c r="B262" s="117">
        <v>6</v>
      </c>
      <c r="C262" s="120"/>
      <c r="D262" s="64" t="str">
        <f>IFERROR(IF(A263=0,HLOOKUP(C262,Declarations!$D$2:$S$102,A257,FALSE),HLOOKUP(VLOOKUP(C262,Teams!$V$2:$W$19,2,FALSE),Declarations!$D$2:$S$102,A257,FALSE)),"")</f>
        <v/>
      </c>
      <c r="E262" s="64" t="str">
        <f t="shared" si="58"/>
        <v/>
      </c>
      <c r="F262" s="391"/>
      <c r="G262" s="198" t="str">
        <f>IFERROR(IF(OR(F262=0,F262="",F262&gt;$A$9-0.01),"",VLOOKUP(VLOOKUP(F262,A258:B262,2,TRUE),Points!$H$7:$I$10,2,FALSE)),"")</f>
        <v/>
      </c>
      <c r="H262" s="67"/>
      <c r="I262" s="117">
        <v>6</v>
      </c>
      <c r="J262" s="392"/>
      <c r="K262" s="64" t="str">
        <f>IFERROR(IF(A263=0,HLOOKUP(J262,Declarations!$D$2:$S$102,A257,FALSE),HLOOKUP(VLOOKUP(J262,Teams!$V$2:$W$19,2,FALSE),Declarations!$D$2:$S$102,A257,FALSE)),"")</f>
        <v/>
      </c>
      <c r="L262" s="64" t="str">
        <f t="shared" si="59"/>
        <v/>
      </c>
      <c r="M262" s="384"/>
      <c r="N262" s="198" t="str">
        <f>IFERROR(IF(OR(M262=0,M262="",M262&gt;$A$9-0.01),"",VLOOKUP(VLOOKUP(M262,A258:B262,2,TRUE),Points!$H$7:$I$10,2,FALSE)),"")</f>
        <v/>
      </c>
      <c r="P262" s="66">
        <f ca="1">IFERROR(IF(OR(C262=0,C262="",F262=0,F262="",$P256&lt;&gt;0,LEFT(F262,1)="D"),0,VLOOKUP(B262,INDIRECT(MatchDay!$W$2),2,FALSE)),"")</f>
        <v>0</v>
      </c>
      <c r="Q262" s="66">
        <f ca="1">IFERROR(IF(OR(J262=0,J262="",M262=0,M262="",$P256&lt;&gt;0,LEFT(M262,1)="D"),0,VLOOKUP(I262,INDIRECT(MatchDay!$W$2),3,FALSE)),"")</f>
        <v>0</v>
      </c>
      <c r="T262" s="109">
        <f t="shared" si="60"/>
        <v>0</v>
      </c>
      <c r="U262" s="109">
        <f t="shared" si="61"/>
        <v>0</v>
      </c>
    </row>
    <row r="263" spans="1:21" x14ac:dyDescent="0.35">
      <c r="A263" s="136">
        <f>IFERROR(SEARCH("U17",B255),0)</f>
        <v>0</v>
      </c>
      <c r="B263" s="117">
        <v>7</v>
      </c>
      <c r="C263" s="120"/>
      <c r="D263" s="64" t="str">
        <f>IFERROR(IF(A263=0,HLOOKUP(C263,Declarations!$D$2:$S$102,A257,FALSE),HLOOKUP(VLOOKUP(C263,Teams!$V$2:$W$19,2,FALSE),Declarations!$D$2:$S$102,A257,FALSE)),"")</f>
        <v/>
      </c>
      <c r="E263" s="64" t="str">
        <f t="shared" si="58"/>
        <v/>
      </c>
      <c r="F263" s="391"/>
      <c r="G263" s="198" t="str">
        <f>IFERROR(IF(OR(F263=0,F263="",F263&gt;$A$9-0.01),"",VLOOKUP(VLOOKUP(F263,A258:B262,2,TRUE),Points!$H$7:$I$10,2,FALSE)),"")</f>
        <v/>
      </c>
      <c r="H263" s="67"/>
      <c r="I263" s="117">
        <v>7</v>
      </c>
      <c r="J263" s="392"/>
      <c r="K263" s="64" t="str">
        <f>IFERROR(IF(A263=0,HLOOKUP(J263,Declarations!$D$2:$S$102,A257,FALSE),HLOOKUP(VLOOKUP(J263,Teams!$V$2:$W$19,2,FALSE),Declarations!$D$2:$S$102,A257,FALSE)),"")</f>
        <v/>
      </c>
      <c r="L263" s="64" t="str">
        <f t="shared" si="59"/>
        <v/>
      </c>
      <c r="M263" s="384"/>
      <c r="N263" s="198" t="str">
        <f>IFERROR(IF(OR(M263=0,M263="",M263&gt;$A$9-0.01),"",VLOOKUP(VLOOKUP(M263,A258:B262,2,TRUE),Points!$H$7:$I$10,2,FALSE)),"")</f>
        <v/>
      </c>
      <c r="P263" s="66">
        <f ca="1">IFERROR(IF(OR(C263=0,C263="",F263=0,F263="",$P256&lt;&gt;0,LEFT(F263,1)="D"),0,VLOOKUP(B263,INDIRECT(MatchDay!$W$2),2,FALSE)),"")</f>
        <v>0</v>
      </c>
      <c r="Q263" s="66">
        <f ca="1">IFERROR(IF(OR(J263=0,J263="",M263=0,M263="",$P256&lt;&gt;0,LEFT(M263,1)="D"),0,VLOOKUP(I263,INDIRECT(MatchDay!$W$2),3,FALSE)),"")</f>
        <v>0</v>
      </c>
      <c r="T263" s="109">
        <f t="shared" si="60"/>
        <v>0</v>
      </c>
      <c r="U263" s="109">
        <f t="shared" si="61"/>
        <v>0</v>
      </c>
    </row>
    <row r="264" spans="1:21" x14ac:dyDescent="0.35">
      <c r="A264" s="116">
        <f>IFERROR(VLOOKUP(A255,records,5,FALSE),"")</f>
        <v>1.4988425925925924E-3</v>
      </c>
      <c r="B264" s="117">
        <v>8</v>
      </c>
      <c r="C264" s="120"/>
      <c r="D264" s="64" t="str">
        <f>IFERROR(IF(A263=0,HLOOKUP(C264,Declarations!$D$2:$S$102,A257,FALSE),HLOOKUP(VLOOKUP(C264,Teams!$V$2:$W$19,2,FALSE),Declarations!$D$2:$S$102,A257,FALSE)),"")</f>
        <v/>
      </c>
      <c r="E264" s="64" t="str">
        <f t="shared" si="58"/>
        <v/>
      </c>
      <c r="F264" s="391"/>
      <c r="G264" s="198" t="str">
        <f>IFERROR(IF(OR(F264=0,F264="",F264&gt;$A$9-0.01),"",VLOOKUP(VLOOKUP(F264,A258:B262,2,TRUE),Points!$H$7:$I$10,2,FALSE)),"")</f>
        <v/>
      </c>
      <c r="H264" s="67"/>
      <c r="I264" s="117">
        <v>8</v>
      </c>
      <c r="J264" s="392"/>
      <c r="K264" s="64" t="str">
        <f>IFERROR(IF(A263=0,HLOOKUP(J264,Declarations!$D$2:$S$102,A257,FALSE),HLOOKUP(VLOOKUP(J264,Teams!$V$2:$W$19,2,FALSE),Declarations!$D$2:$S$102,A257,FALSE)),"")</f>
        <v/>
      </c>
      <c r="L264" s="64" t="str">
        <f t="shared" si="59"/>
        <v/>
      </c>
      <c r="M264" s="384"/>
      <c r="N264" s="198" t="str">
        <f>IFERROR(IF(OR(M264=0,M264="",M264&gt;$A$9-0.01),"",VLOOKUP(VLOOKUP(M264,A258:B262,2,TRUE),Points!$H$7:$I$10,2,FALSE)),"")</f>
        <v/>
      </c>
      <c r="P264" s="66">
        <f ca="1">IFERROR(IF(OR(C264=0,C264="",F264=0,F264="",$P256&lt;&gt;0,LEFT(F264,1)="D"),0,VLOOKUP(B264,INDIRECT(MatchDay!$W$2),2,FALSE)),"")</f>
        <v>0</v>
      </c>
      <c r="Q264" s="66">
        <f ca="1">IFERROR(IF(OR(J264=0,J264="",M264=0,M264="",$P256&lt;&gt;0,LEFT(M264,1)="D"),0,VLOOKUP(I264,INDIRECT(MatchDay!$W$2),3,FALSE)),"")</f>
        <v>0</v>
      </c>
      <c r="T264" s="109">
        <f t="shared" si="60"/>
        <v>0</v>
      </c>
      <c r="U264" s="109">
        <f t="shared" si="61"/>
        <v>0</v>
      </c>
    </row>
    <row r="265" spans="1:21" x14ac:dyDescent="0.35">
      <c r="F265" s="395"/>
      <c r="M265" s="315"/>
      <c r="T265" s="109">
        <f t="shared" si="40"/>
        <v>0</v>
      </c>
      <c r="U265" s="109">
        <f t="shared" si="41"/>
        <v>0</v>
      </c>
    </row>
    <row r="266" spans="1:21" x14ac:dyDescent="0.35">
      <c r="A266" s="111" t="s">
        <v>512</v>
      </c>
      <c r="B266" s="112" t="str">
        <f>IFERROR(VLOOKUP(A266,timetables,2,FALSE)&amp;" "&amp;VLOOKUP(A266,timetables,3,FALSE)&amp;" A","")</f>
        <v>800m NS U15 Girls A</v>
      </c>
      <c r="C266" s="112"/>
      <c r="E266" s="130" t="str">
        <f>IFERROR(IF(VLOOKUP($A266,timetables,8,FALSE)="W","Wind = ",""),"")</f>
        <v/>
      </c>
      <c r="F266" s="395"/>
      <c r="G266" s="119" t="str">
        <f>IFERROR(IF(OR(F268=0,F268=""),"",IF(F268&lt;A275,"REC",IF(F268=A275,"=Rec",""))),"")</f>
        <v/>
      </c>
      <c r="I266" s="114" t="str">
        <f>IFERROR(VLOOKUP(A266,timetables,2,FALSE)&amp;" "&amp;VLOOKUP(A266,timetables,3,FALSE)&amp;" B","")</f>
        <v>800m NS U15 Girls B</v>
      </c>
      <c r="J266" s="115"/>
      <c r="L266" s="130" t="str">
        <f>IFERROR(IF(VLOOKUP($A266,timetables,8,FALSE)="W","Wind = ",""),"")</f>
        <v/>
      </c>
      <c r="M266" s="315"/>
      <c r="P266" s="66" t="s">
        <v>53</v>
      </c>
      <c r="Q266" s="66" t="s">
        <v>54</v>
      </c>
      <c r="T266" s="109">
        <f t="shared" si="40"/>
        <v>0</v>
      </c>
      <c r="U266" s="109">
        <f t="shared" si="41"/>
        <v>0</v>
      </c>
    </row>
    <row r="267" spans="1:21" x14ac:dyDescent="0.35">
      <c r="A267" s="82"/>
      <c r="B267" s="45" t="s">
        <v>230</v>
      </c>
      <c r="C267" s="45" t="s">
        <v>183</v>
      </c>
      <c r="D267" s="47" t="s">
        <v>227</v>
      </c>
      <c r="E267" s="47" t="s">
        <v>228</v>
      </c>
      <c r="F267" s="314" t="s">
        <v>229</v>
      </c>
      <c r="G267" s="199" t="s">
        <v>55</v>
      </c>
      <c r="H267" s="47"/>
      <c r="I267" s="45" t="s">
        <v>230</v>
      </c>
      <c r="J267" s="45" t="s">
        <v>183</v>
      </c>
      <c r="K267" s="47" t="s">
        <v>227</v>
      </c>
      <c r="L267" s="47" t="s">
        <v>228</v>
      </c>
      <c r="M267" s="314" t="s">
        <v>229</v>
      </c>
      <c r="N267" s="199" t="s">
        <v>55</v>
      </c>
      <c r="P267" s="66">
        <f>IFERROR(SEARCH("NS",B266),0)</f>
        <v>6</v>
      </c>
      <c r="T267" s="109"/>
      <c r="U267" s="109"/>
    </row>
    <row r="268" spans="1:21" x14ac:dyDescent="0.35">
      <c r="A268" s="181">
        <f>IFERROR(VLOOKUP(A266,Timetables!$A:$E,5,FALSE)-1,"")</f>
        <v>8</v>
      </c>
      <c r="B268" s="117">
        <v>1</v>
      </c>
      <c r="C268" s="120"/>
      <c r="D268" s="64" t="str">
        <f>IFERROR(IF(A274=0,HLOOKUP(C268,Declarations!$D$2:$S$102,A268,FALSE),HLOOKUP(VLOOKUP(C268,Teams!$V$2:$W$19,2,FALSE),Declarations!$D$2:$S$102,A268,FALSE)),"")</f>
        <v/>
      </c>
      <c r="E268" s="64" t="str">
        <f t="shared" ref="E268:E275" si="62">IFERROR(VLOOKUP(C268,teamlookup,5,FALSE),"")</f>
        <v/>
      </c>
      <c r="F268" s="391"/>
      <c r="G268" s="198" t="str">
        <f>IFERROR(IF(OR(F268=0,F268="",F268&gt;$A$9-0.01),"",VLOOKUP(VLOOKUP(F268,A269:B273,2,TRUE),Points!$H$7:$I$10,2,FALSE)),"")</f>
        <v/>
      </c>
      <c r="H268" s="67"/>
      <c r="I268" s="117">
        <v>1</v>
      </c>
      <c r="J268" s="392"/>
      <c r="K268" s="64" t="str">
        <f>IFERROR(IF(A274=0,HLOOKUP(J268,Declarations!$D$2:$S$102,A268,FALSE),HLOOKUP(VLOOKUP(J268,Teams!$V$2:$W$19,2,FALSE),Declarations!$D$2:$S$102,A268,FALSE)),"")</f>
        <v/>
      </c>
      <c r="L268" s="64" t="str">
        <f t="shared" ref="L268:L275" si="63">IFERROR(VLOOKUP(J268,teamlookup,5,FALSE),"")</f>
        <v/>
      </c>
      <c r="M268" s="384"/>
      <c r="N268" s="198" t="str">
        <f>IFERROR(IF(OR(M268=0,M268="",M268&gt;$A$9-0.01),"",VLOOKUP(VLOOKUP(M268,A269:B273,2,TRUE),Points!$H$7:$I$10,2,FALSE)),"")</f>
        <v/>
      </c>
      <c r="P268" s="66">
        <f ca="1">IFERROR(IF(OR(C268=0,C268="",F268=0,F268="",$P267&lt;&gt;0,LEFT(F268,1)="D"),0,VLOOKUP(B268,INDIRECT(MatchDay!$W$2),2,FALSE)),"")</f>
        <v>0</v>
      </c>
      <c r="Q268" s="66">
        <f ca="1">IFERROR(IF(OR(J268=0,J268="",M268=0,M268="",$P267&lt;&gt;0,LEFT(M268,1)="D"),0,VLOOKUP(I268,INDIRECT(MatchDay!$W$2),3,FALSE)),"")</f>
        <v>0</v>
      </c>
      <c r="R268" s="219">
        <f>COUNTIF(C268,"&gt;0")</f>
        <v>0</v>
      </c>
      <c r="S268" s="66">
        <f>IFERROR(IF(C268&gt;88,1,0),0)</f>
        <v>0</v>
      </c>
      <c r="T268" s="109">
        <f t="shared" ref="T268:T275" si="64">IFERROR(IF(LEFT(F268,1)="D",F268,(INT(F268)*60+(F268-INT(F268))*100)/86400),"X")</f>
        <v>0</v>
      </c>
      <c r="U268" s="109">
        <f t="shared" ref="U268:U275" si="65">IFERROR(IF(LEFT(M268,1)="D",M268,(INT(M268)*60+(M268-INT(M268))*100)/86400),"X")</f>
        <v>0</v>
      </c>
    </row>
    <row r="269" spans="1:21" x14ac:dyDescent="0.35">
      <c r="A269" s="64">
        <v>0</v>
      </c>
      <c r="B269" s="117">
        <v>2</v>
      </c>
      <c r="C269" s="120"/>
      <c r="D269" s="64" t="str">
        <f>IFERROR(IF(A274=0,HLOOKUP(C269,Declarations!$D$2:$S$102,A268,FALSE),HLOOKUP(VLOOKUP(C269,Teams!$V$2:$W$19,2,FALSE),Declarations!$D$2:$S$102,A268,FALSE)),"")</f>
        <v/>
      </c>
      <c r="E269" s="64" t="str">
        <f t="shared" si="62"/>
        <v/>
      </c>
      <c r="F269" s="391"/>
      <c r="G269" s="198" t="str">
        <f>IFERROR(IF(OR(F269=0,F269="",F269&gt;$A$9-0.01),"",VLOOKUP(VLOOKUP(F269,A269:B273,2,TRUE),Points!$H$7:$I$10,2,FALSE)),"")</f>
        <v/>
      </c>
      <c r="H269" s="67"/>
      <c r="I269" s="117">
        <v>2</v>
      </c>
      <c r="J269" s="392"/>
      <c r="K269" s="64" t="str">
        <f>IFERROR(IF(A274=0,HLOOKUP(J269,Declarations!$D$2:$S$102,A268,FALSE),HLOOKUP(VLOOKUP(J269,Teams!$V$2:$W$19,2,FALSE),Declarations!$D$2:$S$102,A268,FALSE)),"")</f>
        <v/>
      </c>
      <c r="L269" s="64" t="str">
        <f t="shared" si="63"/>
        <v/>
      </c>
      <c r="M269" s="384"/>
      <c r="N269" s="198" t="str">
        <f>IFERROR(IF(OR(M269=0,M269="",M269&gt;$A$9-0.01),"",VLOOKUP(VLOOKUP(M269,A269:B273,2,TRUE),Points!$H$7:$I$10,2,FALSE)),"")</f>
        <v/>
      </c>
      <c r="P269" s="66">
        <f ca="1">IFERROR(IF(OR(C269=0,C269="",F269=0,F269="",$P267&lt;&gt;0,LEFT(F269,1)="D"),0,VLOOKUP(B269,INDIRECT(MatchDay!$W$2),2,FALSE)),"")</f>
        <v>0</v>
      </c>
      <c r="Q269" s="66">
        <f ca="1">IFERROR(IF(OR(J269=0,J269="",M269=0,M269="",$P267&lt;&gt;0,LEFT(M269,1)="D"),0,VLOOKUP(I269,INDIRECT(MatchDay!$W$2),3,FALSE)),"")</f>
        <v>0</v>
      </c>
      <c r="T269" s="109">
        <f t="shared" si="64"/>
        <v>0</v>
      </c>
      <c r="U269" s="109">
        <f t="shared" si="65"/>
        <v>0</v>
      </c>
    </row>
    <row r="270" spans="1:21" x14ac:dyDescent="0.35">
      <c r="A270" s="118">
        <f>IFERROR(VLOOKUP(A266,standards,3,FALSE)+0.01,"-")</f>
        <v>1.1619212962962963E-2</v>
      </c>
      <c r="B270" s="117">
        <v>3</v>
      </c>
      <c r="C270" s="120"/>
      <c r="D270" s="64" t="str">
        <f>IFERROR(IF(A274=0,HLOOKUP(C270,Declarations!$D$2:$S$102,A268,FALSE),HLOOKUP(VLOOKUP(C270,Teams!$V$2:$W$19,2,FALSE),Declarations!$D$2:$S$102,A268,FALSE)),"")</f>
        <v/>
      </c>
      <c r="E270" s="64" t="str">
        <f t="shared" si="62"/>
        <v/>
      </c>
      <c r="F270" s="391"/>
      <c r="G270" s="198" t="str">
        <f>IFERROR(IF(OR(F270=0,F270="",F270&gt;$A$9-0.01),"",VLOOKUP(VLOOKUP(F270,A269:B273,2,TRUE),Points!$H$7:$I$10,2,FALSE)),"")</f>
        <v/>
      </c>
      <c r="H270" s="67"/>
      <c r="I270" s="117">
        <v>3</v>
      </c>
      <c r="J270" s="392"/>
      <c r="K270" s="64" t="str">
        <f>IFERROR(IF(A274=0,HLOOKUP(J270,Declarations!$D$2:$S$102,A268,FALSE),HLOOKUP(VLOOKUP(J270,Teams!$V$2:$W$19,2,FALSE),Declarations!$D$2:$S$102,A268,FALSE)),"")</f>
        <v/>
      </c>
      <c r="L270" s="64" t="str">
        <f t="shared" si="63"/>
        <v/>
      </c>
      <c r="M270" s="384"/>
      <c r="N270" s="198" t="str">
        <f>IFERROR(IF(OR(M270=0,M270="",M270&gt;$A$9-0.01),"",VLOOKUP(VLOOKUP(M270,A269:B273,2,TRUE),Points!$H$7:$I$10,2,FALSE)),"")</f>
        <v/>
      </c>
      <c r="P270" s="66">
        <f ca="1">IFERROR(IF(OR(C270=0,C270="",F270=0,F270="",$P267&lt;&gt;0,LEFT(F270,1)="D"),0,VLOOKUP(B270,INDIRECT(MatchDay!$W$2),2,FALSE)),"")</f>
        <v>0</v>
      </c>
      <c r="Q270" s="66">
        <f ca="1">IFERROR(IF(OR(J270=0,J270="",M270=0,M270="",$P267&lt;&gt;0,LEFT(M270,1)="D"),0,VLOOKUP(I270,INDIRECT(MatchDay!$W$2),3,FALSE)),"")</f>
        <v>0</v>
      </c>
      <c r="T270" s="109">
        <f t="shared" si="64"/>
        <v>0</v>
      </c>
      <c r="U270" s="109">
        <f t="shared" si="65"/>
        <v>0</v>
      </c>
    </row>
    <row r="271" spans="1:21" x14ac:dyDescent="0.35">
      <c r="A271" s="118">
        <f>IFERROR(VLOOKUP(A266,standards,4,FALSE)+0.01,"-")</f>
        <v>1.1649305555555555E-2</v>
      </c>
      <c r="B271" s="117">
        <v>4</v>
      </c>
      <c r="C271" s="120"/>
      <c r="D271" s="64" t="str">
        <f>IFERROR(IF(A274=0,HLOOKUP(C271,Declarations!$D$2:$S$102,A268,FALSE),HLOOKUP(VLOOKUP(C271,Teams!$V$2:$W$19,2,FALSE),Declarations!$D$2:$S$102,A268,FALSE)),"")</f>
        <v/>
      </c>
      <c r="E271" s="64" t="str">
        <f t="shared" si="62"/>
        <v/>
      </c>
      <c r="F271" s="391"/>
      <c r="G271" s="198" t="str">
        <f>IFERROR(IF(OR(F271=0,F271="",F271&gt;$A$9-0.01),"",VLOOKUP(VLOOKUP(F271,A269:B273,2,TRUE),Points!$H$7:$I$10,2,FALSE)),"")</f>
        <v/>
      </c>
      <c r="H271" s="67"/>
      <c r="I271" s="117">
        <v>4</v>
      </c>
      <c r="J271" s="392"/>
      <c r="K271" s="64" t="str">
        <f>IFERROR(IF(A274=0,HLOOKUP(J271,Declarations!$D$2:$S$102,A268,FALSE),HLOOKUP(VLOOKUP(J271,Teams!$V$2:$W$19,2,FALSE),Declarations!$D$2:$S$102,A268,FALSE)),"")</f>
        <v/>
      </c>
      <c r="L271" s="64" t="str">
        <f t="shared" si="63"/>
        <v/>
      </c>
      <c r="M271" s="384"/>
      <c r="N271" s="198" t="str">
        <f>IFERROR(IF(OR(M271=0,M271="",M271&gt;$A$9-0.01),"",VLOOKUP(VLOOKUP(M271,A269:B273,2,TRUE),Points!$H$7:$I$10,2,FALSE)),"")</f>
        <v/>
      </c>
      <c r="P271" s="66">
        <f ca="1">IFERROR(IF(OR(C271=0,C271="",F271=0,F271="",$P267&lt;&gt;0,LEFT(F271,1)="D"),0,VLOOKUP(B271,INDIRECT(MatchDay!$W$2),2,FALSE)),"")</f>
        <v>0</v>
      </c>
      <c r="Q271" s="66">
        <f ca="1">IFERROR(IF(OR(J271=0,J271="",M271=0,M271="",$P267&lt;&gt;0,LEFT(M271,1)="D"),0,VLOOKUP(I271,INDIRECT(MatchDay!$W$2),3,FALSE)),"")</f>
        <v>0</v>
      </c>
      <c r="T271" s="109">
        <f t="shared" si="64"/>
        <v>0</v>
      </c>
      <c r="U271" s="109">
        <f t="shared" si="65"/>
        <v>0</v>
      </c>
    </row>
    <row r="272" spans="1:21" x14ac:dyDescent="0.35">
      <c r="A272" s="118">
        <f>IFERROR(VLOOKUP(A266,standards,5,FALSE)+0.01,"-")</f>
        <v>1.1684027777777778E-2</v>
      </c>
      <c r="B272" s="117">
        <v>5</v>
      </c>
      <c r="C272" s="120"/>
      <c r="D272" s="64" t="str">
        <f>IFERROR(IF(A274=0,HLOOKUP(C272,Declarations!$D$2:$S$102,A268,FALSE),HLOOKUP(VLOOKUP(C272,Teams!$V$2:$W$19,2,FALSE),Declarations!$D$2:$S$102,A268,FALSE)),"")</f>
        <v/>
      </c>
      <c r="E272" s="64" t="str">
        <f t="shared" si="62"/>
        <v/>
      </c>
      <c r="F272" s="391"/>
      <c r="G272" s="198" t="str">
        <f>IFERROR(IF(OR(F272=0,F272="",F272&gt;$A$9-0.01),"",VLOOKUP(VLOOKUP(F272,A269:B273,2,TRUE),Points!$H$7:$I$10,2,FALSE)),"")</f>
        <v/>
      </c>
      <c r="H272" s="67"/>
      <c r="I272" s="117">
        <v>5</v>
      </c>
      <c r="J272" s="392"/>
      <c r="K272" s="64" t="str">
        <f>IFERROR(IF(A274=0,HLOOKUP(J272,Declarations!$D$2:$S$102,A268,FALSE),HLOOKUP(VLOOKUP(J272,Teams!$V$2:$W$19,2,FALSE),Declarations!$D$2:$S$102,A268,FALSE)),"")</f>
        <v/>
      </c>
      <c r="L272" s="64" t="str">
        <f t="shared" si="63"/>
        <v/>
      </c>
      <c r="M272" s="384"/>
      <c r="N272" s="198" t="str">
        <f>IFERROR(IF(OR(M272=0,M272="",M272&gt;$A$9-0.01),"",VLOOKUP(VLOOKUP(M272,A269:B273,2,TRUE),Points!$H$7:$I$10,2,FALSE)),"")</f>
        <v/>
      </c>
      <c r="P272" s="66">
        <f ca="1">IFERROR(IF(OR(C272=0,C272="",F272=0,F272="",$P267&lt;&gt;0,LEFT(F272,1)="D"),0,VLOOKUP(B272,INDIRECT(MatchDay!$W$2),2,FALSE)),"")</f>
        <v>0</v>
      </c>
      <c r="Q272" s="66">
        <f ca="1">IFERROR(IF(OR(J272=0,J272="",M272=0,M272="",$P267&lt;&gt;0,LEFT(M272,1)="D"),0,VLOOKUP(I272,INDIRECT(MatchDay!$W$2),3,FALSE)),"")</f>
        <v>0</v>
      </c>
      <c r="T272" s="109">
        <f t="shared" si="64"/>
        <v>0</v>
      </c>
      <c r="U272" s="109">
        <f t="shared" si="65"/>
        <v>0</v>
      </c>
    </row>
    <row r="273" spans="1:21" x14ac:dyDescent="0.35">
      <c r="A273" s="118">
        <f>IFERROR(VLOOKUP(A266,standards,6,FALSE)+0.01,"-")</f>
        <v>1.1743055555555555E-2</v>
      </c>
      <c r="B273" s="117">
        <v>6</v>
      </c>
      <c r="C273" s="120"/>
      <c r="D273" s="64" t="str">
        <f>IFERROR(IF(A274=0,HLOOKUP(C273,Declarations!$D$2:$S$102,A268,FALSE),HLOOKUP(VLOOKUP(C273,Teams!$V$2:$W$19,2,FALSE),Declarations!$D$2:$S$102,A268,FALSE)),"")</f>
        <v/>
      </c>
      <c r="E273" s="64" t="str">
        <f t="shared" si="62"/>
        <v/>
      </c>
      <c r="F273" s="391"/>
      <c r="G273" s="198" t="str">
        <f>IFERROR(IF(OR(F273=0,F273="",F273&gt;$A$9-0.01),"",VLOOKUP(VLOOKUP(F273,A269:B273,2,TRUE),Points!$H$7:$I$10,2,FALSE)),"")</f>
        <v/>
      </c>
      <c r="H273" s="67"/>
      <c r="I273" s="117">
        <v>6</v>
      </c>
      <c r="J273" s="392"/>
      <c r="K273" s="64" t="str">
        <f>IFERROR(IF(A274=0,HLOOKUP(J273,Declarations!$D$2:$S$102,A268,FALSE),HLOOKUP(VLOOKUP(J273,Teams!$V$2:$W$19,2,FALSE),Declarations!$D$2:$S$102,A268,FALSE)),"")</f>
        <v/>
      </c>
      <c r="L273" s="64" t="str">
        <f t="shared" si="63"/>
        <v/>
      </c>
      <c r="M273" s="384"/>
      <c r="N273" s="198" t="str">
        <f>IFERROR(IF(OR(M273=0,M273="",M273&gt;$A$9-0.01),"",VLOOKUP(VLOOKUP(M273,A269:B273,2,TRUE),Points!$H$7:$I$10,2,FALSE)),"")</f>
        <v/>
      </c>
      <c r="P273" s="66">
        <f ca="1">IFERROR(IF(OR(C273=0,C273="",F273=0,F273="",$P267&lt;&gt;0,LEFT(F273,1)="D"),0,VLOOKUP(B273,INDIRECT(MatchDay!$W$2),2,FALSE)),"")</f>
        <v>0</v>
      </c>
      <c r="Q273" s="66">
        <f ca="1">IFERROR(IF(OR(J273=0,J273="",M273=0,M273="",$P267&lt;&gt;0,LEFT(M273,1)="D"),0,VLOOKUP(I273,INDIRECT(MatchDay!$W$2),3,FALSE)),"")</f>
        <v>0</v>
      </c>
      <c r="T273" s="109">
        <f t="shared" si="64"/>
        <v>0</v>
      </c>
      <c r="U273" s="109">
        <f t="shared" si="65"/>
        <v>0</v>
      </c>
    </row>
    <row r="274" spans="1:21" x14ac:dyDescent="0.35">
      <c r="A274" s="136">
        <f>IFERROR(SEARCH("U17",B266),0)</f>
        <v>0</v>
      </c>
      <c r="B274" s="117">
        <v>7</v>
      </c>
      <c r="C274" s="120"/>
      <c r="D274" s="64" t="str">
        <f>IFERROR(IF(A274=0,HLOOKUP(C274,Declarations!$D$2:$S$102,A268,FALSE),HLOOKUP(VLOOKUP(C274,Teams!$V$2:$W$19,2,FALSE),Declarations!$D$2:$S$102,A268,FALSE)),"")</f>
        <v/>
      </c>
      <c r="E274" s="64" t="str">
        <f t="shared" si="62"/>
        <v/>
      </c>
      <c r="F274" s="391"/>
      <c r="G274" s="198" t="str">
        <f>IFERROR(IF(OR(F274=0,F274="",F274&gt;$A$9-0.01),"",VLOOKUP(VLOOKUP(F274,A269:B273,2,TRUE),Points!$H$7:$I$10,2,FALSE)),"")</f>
        <v/>
      </c>
      <c r="H274" s="67"/>
      <c r="I274" s="117">
        <v>7</v>
      </c>
      <c r="J274" s="392"/>
      <c r="K274" s="64" t="str">
        <f>IFERROR(IF(A274=0,HLOOKUP(J274,Declarations!$D$2:$S$102,A268,FALSE),HLOOKUP(VLOOKUP(J274,Teams!$V$2:$W$19,2,FALSE),Declarations!$D$2:$S$102,A268,FALSE)),"")</f>
        <v/>
      </c>
      <c r="L274" s="64" t="str">
        <f t="shared" si="63"/>
        <v/>
      </c>
      <c r="M274" s="384"/>
      <c r="N274" s="198" t="str">
        <f>IFERROR(IF(OR(M274=0,M274="",M274&gt;$A$9-0.01),"",VLOOKUP(VLOOKUP(M274,A269:B273,2,TRUE),Points!$H$7:$I$10,2,FALSE)),"")</f>
        <v/>
      </c>
      <c r="P274" s="66">
        <f ca="1">IFERROR(IF(OR(C274=0,C274="",F274=0,F274="",$P267&lt;&gt;0,LEFT(F274,1)="D"),0,VLOOKUP(B274,INDIRECT(MatchDay!$W$2),2,FALSE)),"")</f>
        <v>0</v>
      </c>
      <c r="Q274" s="66">
        <f ca="1">IFERROR(IF(OR(J274=0,J274="",M274=0,M274="",$P267&lt;&gt;0,LEFT(M274,1)="D"),0,VLOOKUP(I274,INDIRECT(MatchDay!$W$2),3,FALSE)),"")</f>
        <v>0</v>
      </c>
      <c r="T274" s="109">
        <f t="shared" si="64"/>
        <v>0</v>
      </c>
      <c r="U274" s="109">
        <f t="shared" si="65"/>
        <v>0</v>
      </c>
    </row>
    <row r="275" spans="1:21" x14ac:dyDescent="0.35">
      <c r="A275" s="116">
        <f>IFERROR(VLOOKUP(A266,records,5,FALSE),"")</f>
        <v>1.4791666666666666E-3</v>
      </c>
      <c r="B275" s="117">
        <v>8</v>
      </c>
      <c r="C275" s="120"/>
      <c r="D275" s="64" t="str">
        <f>IFERROR(IF(A274=0,HLOOKUP(C275,Declarations!$D$2:$S$102,A268,FALSE),HLOOKUP(VLOOKUP(C275,Teams!$V$2:$W$19,2,FALSE),Declarations!$D$2:$S$102,A268,FALSE)),"")</f>
        <v/>
      </c>
      <c r="E275" s="64" t="str">
        <f t="shared" si="62"/>
        <v/>
      </c>
      <c r="F275" s="391"/>
      <c r="G275" s="198" t="str">
        <f>IFERROR(IF(OR(F275=0,F275="",F275&gt;$A$9-0.01),"",VLOOKUP(VLOOKUP(F275,A269:B273,2,TRUE),Points!$H$7:$I$10,2,FALSE)),"")</f>
        <v/>
      </c>
      <c r="H275" s="67"/>
      <c r="I275" s="117">
        <v>8</v>
      </c>
      <c r="J275" s="392"/>
      <c r="K275" s="64" t="str">
        <f>IFERROR(IF(A274=0,HLOOKUP(J275,Declarations!$D$2:$S$102,A268,FALSE),HLOOKUP(VLOOKUP(J275,Teams!$V$2:$W$19,2,FALSE),Declarations!$D$2:$S$102,A268,FALSE)),"")</f>
        <v/>
      </c>
      <c r="L275" s="64" t="str">
        <f t="shared" si="63"/>
        <v/>
      </c>
      <c r="M275" s="384"/>
      <c r="N275" s="198" t="str">
        <f>IFERROR(IF(OR(M275=0,M275="",M275&gt;$A$9-0.01),"",VLOOKUP(VLOOKUP(M275,A269:B273,2,TRUE),Points!$H$7:$I$10,2,FALSE)),"")</f>
        <v/>
      </c>
      <c r="P275" s="66">
        <f ca="1">IFERROR(IF(OR(C275=0,C275="",F275=0,F275="",$P267&lt;&gt;0,LEFT(F275,1)="D"),0,VLOOKUP(B275,INDIRECT(MatchDay!$W$2),2,FALSE)),"")</f>
        <v>0</v>
      </c>
      <c r="Q275" s="66">
        <f ca="1">IFERROR(IF(OR(J275=0,J275="",M275=0,M275="",$P267&lt;&gt;0,LEFT(M275,1)="D"),0,VLOOKUP(I275,INDIRECT(MatchDay!$W$2),3,FALSE)),"")</f>
        <v>0</v>
      </c>
      <c r="T275" s="109">
        <f t="shared" si="64"/>
        <v>0</v>
      </c>
      <c r="U275" s="109">
        <f t="shared" si="65"/>
        <v>0</v>
      </c>
    </row>
    <row r="276" spans="1:21" x14ac:dyDescent="0.35">
      <c r="F276" s="395"/>
      <c r="M276" s="315"/>
      <c r="T276" s="109">
        <f t="shared" ref="T276:T277" si="66">IFERROR((INT(F276)*60+(F276-INT(F276))*100)/86400,"X")</f>
        <v>0</v>
      </c>
      <c r="U276" s="109">
        <f t="shared" ref="U276:U277" si="67">IFERROR((INT(M276)*60+(M276-INT(M276))*100)/86400,"X")</f>
        <v>0</v>
      </c>
    </row>
    <row r="277" spans="1:21" x14ac:dyDescent="0.35">
      <c r="A277" s="111" t="s">
        <v>513</v>
      </c>
      <c r="B277" s="112" t="str">
        <f>IFERROR(VLOOKUP(A277,timetables,2,FALSE)&amp;" "&amp;VLOOKUP(A277,timetables,3,FALSE)&amp;" A","")</f>
        <v>800m NS U15 Boys A</v>
      </c>
      <c r="C277" s="112"/>
      <c r="E277" s="130" t="str">
        <f>IFERROR(IF(VLOOKUP($A277,timetables,8,FALSE)="W","Wind = ",""),"")</f>
        <v/>
      </c>
      <c r="F277" s="395"/>
      <c r="G277" s="119" t="str">
        <f>IFERROR(IF(OR(F279=0,F279=""),"",IF(F279&lt;A286,"REC",IF(F279=A286,"=Rec",""))),"")</f>
        <v/>
      </c>
      <c r="I277" s="114" t="str">
        <f>IFERROR(VLOOKUP(A277,timetables,2,FALSE)&amp;" "&amp;VLOOKUP(A277,timetables,3,FALSE)&amp;" B","")</f>
        <v>800m NS U15 Boys B</v>
      </c>
      <c r="J277" s="115"/>
      <c r="L277" s="130" t="str">
        <f>IFERROR(IF(VLOOKUP($A277,timetables,8,FALSE)="W","Wind = ",""),"")</f>
        <v/>
      </c>
      <c r="M277" s="315"/>
      <c r="P277" s="66" t="s">
        <v>53</v>
      </c>
      <c r="Q277" s="66" t="s">
        <v>54</v>
      </c>
      <c r="T277" s="109">
        <f t="shared" si="66"/>
        <v>0</v>
      </c>
      <c r="U277" s="109">
        <f t="shared" si="67"/>
        <v>0</v>
      </c>
    </row>
    <row r="278" spans="1:21" x14ac:dyDescent="0.35">
      <c r="A278" s="82"/>
      <c r="B278" s="45" t="s">
        <v>230</v>
      </c>
      <c r="C278" s="45" t="s">
        <v>183</v>
      </c>
      <c r="D278" s="47" t="s">
        <v>227</v>
      </c>
      <c r="E278" s="47" t="s">
        <v>228</v>
      </c>
      <c r="F278" s="314" t="s">
        <v>229</v>
      </c>
      <c r="G278" s="199" t="s">
        <v>55</v>
      </c>
      <c r="H278" s="47"/>
      <c r="I278" s="45" t="s">
        <v>230</v>
      </c>
      <c r="J278" s="45" t="s">
        <v>183</v>
      </c>
      <c r="K278" s="47" t="s">
        <v>227</v>
      </c>
      <c r="L278" s="47" t="s">
        <v>228</v>
      </c>
      <c r="M278" s="314" t="s">
        <v>229</v>
      </c>
      <c r="N278" s="199" t="s">
        <v>55</v>
      </c>
      <c r="P278" s="66">
        <f>IFERROR(SEARCH("NS",B277),0)</f>
        <v>6</v>
      </c>
      <c r="T278" s="109"/>
      <c r="U278" s="109"/>
    </row>
    <row r="279" spans="1:21" x14ac:dyDescent="0.35">
      <c r="A279" s="181">
        <f>IFERROR(VLOOKUP(A277,Timetables!$A:$E,5,FALSE)-1,"")</f>
        <v>58</v>
      </c>
      <c r="B279" s="117">
        <v>1</v>
      </c>
      <c r="C279" s="120"/>
      <c r="D279" s="64" t="str">
        <f>IFERROR(IF(A285=0,HLOOKUP(C279,Declarations!$D$2:$S$102,A279,FALSE),HLOOKUP(VLOOKUP(C279,Teams!$V$2:$W$19,2,FALSE),Declarations!$D$2:$S$102,A279,FALSE)),"")</f>
        <v/>
      </c>
      <c r="E279" s="64" t="str">
        <f t="shared" ref="E279:E286" si="68">IFERROR(VLOOKUP(C279,teamlookup,5,FALSE),"")</f>
        <v/>
      </c>
      <c r="F279" s="391"/>
      <c r="G279" s="198" t="str">
        <f>IFERROR(IF(OR(F279=0,F279="",F279&gt;$A$9-0.01),"",VLOOKUP(VLOOKUP(F279,A280:B284,2,TRUE),Points!$H$7:$I$10,2,FALSE)),"")</f>
        <v/>
      </c>
      <c r="H279" s="67"/>
      <c r="I279" s="117">
        <v>1</v>
      </c>
      <c r="J279" s="392"/>
      <c r="K279" s="64" t="str">
        <f>IFERROR(IF(A285=0,HLOOKUP(J279,Declarations!$D$2:$S$102,A279,FALSE),HLOOKUP(VLOOKUP(J279,Teams!$V$2:$W$19,2,FALSE),Declarations!$D$2:$S$102,A279,FALSE)),"")</f>
        <v/>
      </c>
      <c r="L279" s="64" t="str">
        <f t="shared" ref="L279:L286" si="69">IFERROR(VLOOKUP(J279,teamlookup,5,FALSE),"")</f>
        <v/>
      </c>
      <c r="M279" s="384"/>
      <c r="N279" s="198" t="str">
        <f>IFERROR(IF(OR(M279=0,M279="",M279&gt;$A$9-0.01),"",VLOOKUP(VLOOKUP(M279,A280:B284,2,TRUE),Points!$H$7:$I$10,2,FALSE)),"")</f>
        <v/>
      </c>
      <c r="P279" s="66">
        <f ca="1">IFERROR(IF(OR(C279=0,C279="",F279=0,F279="",$P278&lt;&gt;0,LEFT(F279,1)="D"),0,VLOOKUP(B279,INDIRECT(MatchDay!$W$2),2,FALSE)),"")</f>
        <v>0</v>
      </c>
      <c r="Q279" s="66">
        <f ca="1">IFERROR(IF(OR(J279=0,J279="",M279=0,M279="",$P278&lt;&gt;0,LEFT(M279,1)="D"),0,VLOOKUP(I279,INDIRECT(MatchDay!$W$2),3,FALSE)),"")</f>
        <v>0</v>
      </c>
      <c r="R279" s="219">
        <f>COUNTIF(C279,"&gt;0")</f>
        <v>0</v>
      </c>
      <c r="S279" s="66">
        <f>IFERROR(IF(C279&gt;88,1,0),0)</f>
        <v>0</v>
      </c>
      <c r="T279" s="109">
        <f t="shared" ref="T279:T286" si="70">IFERROR(IF(LEFT(F279,1)="D",F279,(INT(F279)*60+(F279-INT(F279))*100)/86400),"X")</f>
        <v>0</v>
      </c>
      <c r="U279" s="109">
        <f t="shared" ref="U279:U286" si="71">IFERROR(IF(LEFT(M279,1)="D",M279,(INT(M279)*60+(M279-INT(M279))*100)/86400),"X")</f>
        <v>0</v>
      </c>
    </row>
    <row r="280" spans="1:21" x14ac:dyDescent="0.35">
      <c r="A280" s="64">
        <v>0</v>
      </c>
      <c r="B280" s="117">
        <v>2</v>
      </c>
      <c r="C280" s="120"/>
      <c r="D280" s="64" t="str">
        <f>IFERROR(IF(A285=0,HLOOKUP(C280,Declarations!$D$2:$S$102,A279,FALSE),HLOOKUP(VLOOKUP(C280,Teams!$V$2:$W$19,2,FALSE),Declarations!$D$2:$S$102,A279,FALSE)),"")</f>
        <v/>
      </c>
      <c r="E280" s="64" t="str">
        <f t="shared" si="68"/>
        <v/>
      </c>
      <c r="F280" s="391"/>
      <c r="G280" s="198" t="str">
        <f>IFERROR(IF(OR(F280=0,F280="",F280&gt;$A$9-0.01),"",VLOOKUP(VLOOKUP(F280,A280:B284,2,TRUE),Points!$H$7:$I$10,2,FALSE)),"")</f>
        <v/>
      </c>
      <c r="H280" s="67"/>
      <c r="I280" s="117">
        <v>2</v>
      </c>
      <c r="J280" s="392"/>
      <c r="K280" s="64" t="str">
        <f>IFERROR(IF(A285=0,HLOOKUP(J280,Declarations!$D$2:$S$102,A279,FALSE),HLOOKUP(VLOOKUP(J280,Teams!$V$2:$W$19,2,FALSE),Declarations!$D$2:$S$102,A279,FALSE)),"")</f>
        <v/>
      </c>
      <c r="L280" s="64" t="str">
        <f t="shared" si="69"/>
        <v/>
      </c>
      <c r="M280" s="384"/>
      <c r="N280" s="198" t="str">
        <f>IFERROR(IF(OR(M280=0,M280="",M280&gt;$A$9-0.01),"",VLOOKUP(VLOOKUP(M280,A280:B284,2,TRUE),Points!$H$7:$I$10,2,FALSE)),"")</f>
        <v/>
      </c>
      <c r="P280" s="66">
        <f ca="1">IFERROR(IF(OR(C280=0,C280="",F280=0,F280="",$P278&lt;&gt;0,LEFT(F280,1)="D"),0,VLOOKUP(B280,INDIRECT(MatchDay!$W$2),2,FALSE)),"")</f>
        <v>0</v>
      </c>
      <c r="Q280" s="66">
        <f ca="1">IFERROR(IF(OR(J280=0,J280="",M280=0,M280="",$P278&lt;&gt;0,LEFT(M280,1)="D"),0,VLOOKUP(I280,INDIRECT(MatchDay!$W$2),3,FALSE)),"")</f>
        <v>0</v>
      </c>
      <c r="T280" s="109">
        <f t="shared" si="70"/>
        <v>0</v>
      </c>
      <c r="U280" s="109">
        <f t="shared" si="71"/>
        <v>0</v>
      </c>
    </row>
    <row r="281" spans="1:21" x14ac:dyDescent="0.35">
      <c r="A281" s="118">
        <f>IFERROR(VLOOKUP(A277,standards,3,FALSE)+0.01,"-")</f>
        <v>1.1464120370370371E-2</v>
      </c>
      <c r="B281" s="117">
        <v>3</v>
      </c>
      <c r="C281" s="120"/>
      <c r="D281" s="64" t="str">
        <f>IFERROR(IF(A285=0,HLOOKUP(C281,Declarations!$D$2:$S$102,A279,FALSE),HLOOKUP(VLOOKUP(C281,Teams!$V$2:$W$19,2,FALSE),Declarations!$D$2:$S$102,A279,FALSE)),"")</f>
        <v/>
      </c>
      <c r="E281" s="64" t="str">
        <f t="shared" si="68"/>
        <v/>
      </c>
      <c r="F281" s="391"/>
      <c r="G281" s="198" t="str">
        <f>IFERROR(IF(OR(F281=0,F281="",F281&gt;$A$9-0.01),"",VLOOKUP(VLOOKUP(F281,A280:B284,2,TRUE),Points!$H$7:$I$10,2,FALSE)),"")</f>
        <v/>
      </c>
      <c r="H281" s="67"/>
      <c r="I281" s="117">
        <v>3</v>
      </c>
      <c r="J281" s="392"/>
      <c r="K281" s="64" t="str">
        <f>IFERROR(IF(A285=0,HLOOKUP(J281,Declarations!$D$2:$S$102,A279,FALSE),HLOOKUP(VLOOKUP(J281,Teams!$V$2:$W$19,2,FALSE),Declarations!$D$2:$S$102,A279,FALSE)),"")</f>
        <v/>
      </c>
      <c r="L281" s="64" t="str">
        <f t="shared" si="69"/>
        <v/>
      </c>
      <c r="M281" s="384"/>
      <c r="N281" s="198" t="str">
        <f>IFERROR(IF(OR(M281=0,M281="",M281&gt;$A$9-0.01),"",VLOOKUP(VLOOKUP(M281,A280:B284,2,TRUE),Points!$H$7:$I$10,2,FALSE)),"")</f>
        <v/>
      </c>
      <c r="P281" s="66">
        <f ca="1">IFERROR(IF(OR(C281=0,C281="",F281=0,F281="",$P278&lt;&gt;0,LEFT(F281,1)="D"),0,VLOOKUP(B281,INDIRECT(MatchDay!$W$2),2,FALSE)),"")</f>
        <v>0</v>
      </c>
      <c r="Q281" s="66">
        <f ca="1">IFERROR(IF(OR(J281=0,J281="",M281=0,M281="",$P278&lt;&gt;0,LEFT(M281,1)="D"),0,VLOOKUP(I281,INDIRECT(MatchDay!$W$2),3,FALSE)),"")</f>
        <v>0</v>
      </c>
      <c r="T281" s="109">
        <f t="shared" si="70"/>
        <v>0</v>
      </c>
      <c r="U281" s="109">
        <f t="shared" si="71"/>
        <v>0</v>
      </c>
    </row>
    <row r="282" spans="1:21" x14ac:dyDescent="0.35">
      <c r="A282" s="118">
        <f>IFERROR(VLOOKUP(A277,standards,4,FALSE)+0.01,"-")</f>
        <v>1.150462962962963E-2</v>
      </c>
      <c r="B282" s="117">
        <v>4</v>
      </c>
      <c r="C282" s="120"/>
      <c r="D282" s="64" t="str">
        <f>IFERROR(IF(A285=0,HLOOKUP(C282,Declarations!$D$2:$S$102,A279,FALSE),HLOOKUP(VLOOKUP(C282,Teams!$V$2:$W$19,2,FALSE),Declarations!$D$2:$S$102,A279,FALSE)),"")</f>
        <v/>
      </c>
      <c r="E282" s="64" t="str">
        <f t="shared" si="68"/>
        <v/>
      </c>
      <c r="F282" s="391"/>
      <c r="G282" s="198" t="str">
        <f>IFERROR(IF(OR(F282=0,F282="",F282&gt;$A$9-0.01),"",VLOOKUP(VLOOKUP(F282,A280:B284,2,TRUE),Points!$H$7:$I$10,2,FALSE)),"")</f>
        <v/>
      </c>
      <c r="H282" s="67"/>
      <c r="I282" s="117">
        <v>4</v>
      </c>
      <c r="J282" s="392"/>
      <c r="K282" s="64" t="str">
        <f>IFERROR(IF(A285=0,HLOOKUP(J282,Declarations!$D$2:$S$102,A279,FALSE),HLOOKUP(VLOOKUP(J282,Teams!$V$2:$W$19,2,FALSE),Declarations!$D$2:$S$102,A279,FALSE)),"")</f>
        <v/>
      </c>
      <c r="L282" s="64" t="str">
        <f t="shared" si="69"/>
        <v/>
      </c>
      <c r="M282" s="384"/>
      <c r="N282" s="198" t="str">
        <f>IFERROR(IF(OR(M282=0,M282="",M282&gt;$A$9-0.01),"",VLOOKUP(VLOOKUP(M282,A280:B284,2,TRUE),Points!$H$7:$I$10,2,FALSE)),"")</f>
        <v/>
      </c>
      <c r="P282" s="66">
        <f ca="1">IFERROR(IF(OR(C282=0,C282="",F282=0,F282="",$P278&lt;&gt;0,LEFT(F282,1)="D"),0,VLOOKUP(B282,INDIRECT(MatchDay!$W$2),2,FALSE)),"")</f>
        <v>0</v>
      </c>
      <c r="Q282" s="66">
        <f ca="1">IFERROR(IF(OR(J282=0,J282="",M282=0,M282="",$P278&lt;&gt;0,LEFT(M282,1)="D"),0,VLOOKUP(I282,INDIRECT(MatchDay!$W$2),3,FALSE)),"")</f>
        <v>0</v>
      </c>
      <c r="T282" s="109">
        <f t="shared" si="70"/>
        <v>0</v>
      </c>
      <c r="U282" s="109">
        <f t="shared" si="71"/>
        <v>0</v>
      </c>
    </row>
    <row r="283" spans="1:21" x14ac:dyDescent="0.35">
      <c r="A283" s="118">
        <f>IFERROR(VLOOKUP(A277,standards,5,FALSE)+0.01,"-")</f>
        <v>1.1541666666666667E-2</v>
      </c>
      <c r="B283" s="117">
        <v>5</v>
      </c>
      <c r="C283" s="120"/>
      <c r="D283" s="64" t="str">
        <f>IFERROR(IF(A285=0,HLOOKUP(C283,Declarations!$D$2:$S$102,A279,FALSE),HLOOKUP(VLOOKUP(C283,Teams!$V$2:$W$19,2,FALSE),Declarations!$D$2:$S$102,A279,FALSE)),"")</f>
        <v/>
      </c>
      <c r="E283" s="64" t="str">
        <f t="shared" si="68"/>
        <v/>
      </c>
      <c r="F283" s="391"/>
      <c r="G283" s="198" t="str">
        <f>IFERROR(IF(OR(F283=0,F283="",F283&gt;$A$9-0.01),"",VLOOKUP(VLOOKUP(F283,A280:B284,2,TRUE),Points!$H$7:$I$10,2,FALSE)),"")</f>
        <v/>
      </c>
      <c r="H283" s="67"/>
      <c r="I283" s="117">
        <v>5</v>
      </c>
      <c r="J283" s="392"/>
      <c r="K283" s="64" t="str">
        <f>IFERROR(IF(A285=0,HLOOKUP(J283,Declarations!$D$2:$S$102,A279,FALSE),HLOOKUP(VLOOKUP(J283,Teams!$V$2:$W$19,2,FALSE),Declarations!$D$2:$S$102,A279,FALSE)),"")</f>
        <v/>
      </c>
      <c r="L283" s="64" t="str">
        <f t="shared" si="69"/>
        <v/>
      </c>
      <c r="M283" s="384"/>
      <c r="N283" s="198" t="str">
        <f>IFERROR(IF(OR(M283=0,M283="",M283&gt;$A$9-0.01),"",VLOOKUP(VLOOKUP(M283,A280:B284,2,TRUE),Points!$H$7:$I$10,2,FALSE)),"")</f>
        <v/>
      </c>
      <c r="P283" s="66">
        <f ca="1">IFERROR(IF(OR(C283=0,C283="",F283=0,F283="",$P278&lt;&gt;0,LEFT(F283,1)="D"),0,VLOOKUP(B283,INDIRECT(MatchDay!$W$2),2,FALSE)),"")</f>
        <v>0</v>
      </c>
      <c r="Q283" s="66">
        <f ca="1">IFERROR(IF(OR(J283=0,J283="",M283=0,M283="",$P278&lt;&gt;0,LEFT(M283,1)="D"),0,VLOOKUP(I283,INDIRECT(MatchDay!$W$2),3,FALSE)),"")</f>
        <v>0</v>
      </c>
      <c r="T283" s="109">
        <f t="shared" si="70"/>
        <v>0</v>
      </c>
      <c r="U283" s="109">
        <f t="shared" si="71"/>
        <v>0</v>
      </c>
    </row>
    <row r="284" spans="1:21" x14ac:dyDescent="0.35">
      <c r="A284" s="118">
        <f>IFERROR(VLOOKUP(A277,standards,6,FALSE)+0.01,"-")</f>
        <v>1.1603009259259259E-2</v>
      </c>
      <c r="B284" s="117">
        <v>6</v>
      </c>
      <c r="C284" s="120"/>
      <c r="D284" s="64" t="str">
        <f>IFERROR(IF(A285=0,HLOOKUP(C284,Declarations!$D$2:$S$102,A279,FALSE),HLOOKUP(VLOOKUP(C284,Teams!$V$2:$W$19,2,FALSE),Declarations!$D$2:$S$102,A279,FALSE)),"")</f>
        <v/>
      </c>
      <c r="E284" s="64" t="str">
        <f t="shared" si="68"/>
        <v/>
      </c>
      <c r="F284" s="391"/>
      <c r="G284" s="198" t="str">
        <f>IFERROR(IF(OR(F284=0,F284="",F284&gt;$A$9-0.01),"",VLOOKUP(VLOOKUP(F284,A280:B284,2,TRUE),Points!$H$7:$I$10,2,FALSE)),"")</f>
        <v/>
      </c>
      <c r="H284" s="67"/>
      <c r="I284" s="117">
        <v>6</v>
      </c>
      <c r="J284" s="392"/>
      <c r="K284" s="64" t="str">
        <f>IFERROR(IF(A285=0,HLOOKUP(J284,Declarations!$D$2:$S$102,A279,FALSE),HLOOKUP(VLOOKUP(J284,Teams!$V$2:$W$19,2,FALSE),Declarations!$D$2:$S$102,A279,FALSE)),"")</f>
        <v/>
      </c>
      <c r="L284" s="64" t="str">
        <f t="shared" si="69"/>
        <v/>
      </c>
      <c r="M284" s="384"/>
      <c r="N284" s="198" t="str">
        <f>IFERROR(IF(OR(M284=0,M284="",M284&gt;$A$9-0.01),"",VLOOKUP(VLOOKUP(M284,A280:B284,2,TRUE),Points!$H$7:$I$10,2,FALSE)),"")</f>
        <v/>
      </c>
      <c r="P284" s="66">
        <f ca="1">IFERROR(IF(OR(C284=0,C284="",F284=0,F284="",$P278&lt;&gt;0,LEFT(F284,1)="D"),0,VLOOKUP(B284,INDIRECT(MatchDay!$W$2),2,FALSE)),"")</f>
        <v>0</v>
      </c>
      <c r="Q284" s="66">
        <f ca="1">IFERROR(IF(OR(J284=0,J284="",M284=0,M284="",$P278&lt;&gt;0,LEFT(M284,1)="D"),0,VLOOKUP(I284,INDIRECT(MatchDay!$W$2),3,FALSE)),"")</f>
        <v>0</v>
      </c>
      <c r="T284" s="109">
        <f t="shared" si="70"/>
        <v>0</v>
      </c>
      <c r="U284" s="109">
        <f t="shared" si="71"/>
        <v>0</v>
      </c>
    </row>
    <row r="285" spans="1:21" x14ac:dyDescent="0.35">
      <c r="A285" s="136">
        <f>IFERROR(SEARCH("U17",B277),0)</f>
        <v>0</v>
      </c>
      <c r="B285" s="117">
        <v>7</v>
      </c>
      <c r="C285" s="120"/>
      <c r="D285" s="64" t="str">
        <f>IFERROR(IF(A285=0,HLOOKUP(C285,Declarations!$D$2:$S$102,A279,FALSE),HLOOKUP(VLOOKUP(C285,Teams!$V$2:$W$19,2,FALSE),Declarations!$D$2:$S$102,A279,FALSE)),"")</f>
        <v/>
      </c>
      <c r="E285" s="64" t="str">
        <f t="shared" si="68"/>
        <v/>
      </c>
      <c r="F285" s="391"/>
      <c r="G285" s="198" t="str">
        <f>IFERROR(IF(OR(F285=0,F285="",F285&gt;$A$9-0.01),"",VLOOKUP(VLOOKUP(F285,A280:B284,2,TRUE),Points!$H$7:$I$10,2,FALSE)),"")</f>
        <v/>
      </c>
      <c r="H285" s="67"/>
      <c r="I285" s="117">
        <v>7</v>
      </c>
      <c r="J285" s="392"/>
      <c r="K285" s="64" t="str">
        <f>IFERROR(IF(A285=0,HLOOKUP(J285,Declarations!$D$2:$S$102,A279,FALSE),HLOOKUP(VLOOKUP(J285,Teams!$V$2:$W$19,2,FALSE),Declarations!$D$2:$S$102,A279,FALSE)),"")</f>
        <v/>
      </c>
      <c r="L285" s="64" t="str">
        <f t="shared" si="69"/>
        <v/>
      </c>
      <c r="M285" s="384"/>
      <c r="N285" s="198" t="str">
        <f>IFERROR(IF(OR(M285=0,M285="",M285&gt;$A$9-0.01),"",VLOOKUP(VLOOKUP(M285,A280:B284,2,TRUE),Points!$H$7:$I$10,2,FALSE)),"")</f>
        <v/>
      </c>
      <c r="P285" s="66">
        <f ca="1">IFERROR(IF(OR(C285=0,C285="",F285=0,F285="",$P278&lt;&gt;0,LEFT(F285,1)="D"),0,VLOOKUP(B285,INDIRECT(MatchDay!$W$2),2,FALSE)),"")</f>
        <v>0</v>
      </c>
      <c r="Q285" s="66">
        <f ca="1">IFERROR(IF(OR(J285=0,J285="",M285=0,M285="",$P278&lt;&gt;0,LEFT(M285,1)="D"),0,VLOOKUP(I285,INDIRECT(MatchDay!$W$2),3,FALSE)),"")</f>
        <v>0</v>
      </c>
      <c r="T285" s="109">
        <f t="shared" si="70"/>
        <v>0</v>
      </c>
      <c r="U285" s="109">
        <f t="shared" si="71"/>
        <v>0</v>
      </c>
    </row>
    <row r="286" spans="1:21" x14ac:dyDescent="0.35">
      <c r="A286" s="116">
        <f>IFERROR(VLOOKUP(A277,records,5,FALSE),"")</f>
        <v>1.3854166666666667E-3</v>
      </c>
      <c r="B286" s="117">
        <v>8</v>
      </c>
      <c r="C286" s="120"/>
      <c r="D286" s="64" t="str">
        <f>IFERROR(IF(A285=0,HLOOKUP(C286,Declarations!$D$2:$S$102,A279,FALSE),HLOOKUP(VLOOKUP(C286,Teams!$V$2:$W$19,2,FALSE),Declarations!$D$2:$S$102,A279,FALSE)),"")</f>
        <v/>
      </c>
      <c r="E286" s="64" t="str">
        <f t="shared" si="68"/>
        <v/>
      </c>
      <c r="F286" s="391"/>
      <c r="G286" s="198" t="str">
        <f>IFERROR(IF(OR(F286=0,F286="",F286&gt;$A$9-0.01),"",VLOOKUP(VLOOKUP(F286,A280:B284,2,TRUE),Points!$H$7:$I$10,2,FALSE)),"")</f>
        <v/>
      </c>
      <c r="H286" s="67"/>
      <c r="I286" s="117">
        <v>8</v>
      </c>
      <c r="J286" s="392"/>
      <c r="K286" s="64" t="str">
        <f>IFERROR(IF(A285=0,HLOOKUP(J286,Declarations!$D$2:$S$102,A279,FALSE),HLOOKUP(VLOOKUP(J286,Teams!$V$2:$W$19,2,FALSE),Declarations!$D$2:$S$102,A279,FALSE)),"")</f>
        <v/>
      </c>
      <c r="L286" s="64" t="str">
        <f t="shared" si="69"/>
        <v/>
      </c>
      <c r="M286" s="384"/>
      <c r="N286" s="198" t="str">
        <f>IFERROR(IF(OR(M286=0,M286="",M286&gt;$A$9-0.01),"",VLOOKUP(VLOOKUP(M286,A280:B284,2,TRUE),Points!$H$7:$I$10,2,FALSE)),"")</f>
        <v/>
      </c>
      <c r="P286" s="66">
        <f ca="1">IFERROR(IF(OR(C286=0,C286="",F286=0,F286="",$P278&lt;&gt;0,LEFT(F286,1)="D"),0,VLOOKUP(B286,INDIRECT(MatchDay!$W$2),2,FALSE)),"")</f>
        <v>0</v>
      </c>
      <c r="Q286" s="66">
        <f ca="1">IFERROR(IF(OR(J286=0,J286="",M286=0,M286="",$P278&lt;&gt;0,LEFT(M286,1)="D"),0,VLOOKUP(I286,INDIRECT(MatchDay!$W$2),3,FALSE)),"")</f>
        <v>0</v>
      </c>
      <c r="T286" s="109">
        <f t="shared" si="70"/>
        <v>0</v>
      </c>
      <c r="U286" s="109">
        <f t="shared" si="71"/>
        <v>0</v>
      </c>
    </row>
  </sheetData>
  <sheetProtection algorithmName="SHA-512" hashValue="s/5vty0T51/fYhI5sWUr/uzfiK5l3DKtADy/ZOjB+0EBPABz7/i/1wWJsDaLBRLdZ7eAxeboGpK6mq9YQl94ow==" saltValue="hxrxFAjf/FAG6w9pGJQS2Q==" spinCount="100000" sheet="1" objects="1" scenarios="1" formatCells="0" formatColumns="0" formatRows="0" sort="0" autoFilter="0"/>
  <autoFilter ref="B1:B286" xr:uid="{00000000-0009-0000-0000-00000D000000}"/>
  <mergeCells count="1">
    <mergeCell ref="L1:N1"/>
  </mergeCells>
  <conditionalFormatting sqref="M1:M242">
    <cfRule type="expression" dxfId="84" priority="19">
      <formula>AND($U1&gt;0,$U1&lt;TIME(0,1,0))</formula>
    </cfRule>
    <cfRule type="expression" dxfId="83" priority="131">
      <formula>$U1="X"</formula>
    </cfRule>
  </conditionalFormatting>
  <conditionalFormatting sqref="F1:F242">
    <cfRule type="expression" dxfId="82" priority="20">
      <formula>AND($T1&gt;0,$T1&lt;TIME(0,1,0))</formula>
    </cfRule>
    <cfRule type="expression" dxfId="81" priority="47">
      <formula>$T1="X"</formula>
    </cfRule>
  </conditionalFormatting>
  <conditionalFormatting sqref="C4:C11 J4:J11">
    <cfRule type="duplicateValues" dxfId="80" priority="18"/>
  </conditionalFormatting>
  <conditionalFormatting sqref="C15:C22 J15:J22">
    <cfRule type="duplicateValues" dxfId="79" priority="17"/>
  </conditionalFormatting>
  <conditionalFormatting sqref="C26:C33 J26:J33">
    <cfRule type="duplicateValues" dxfId="78" priority="16"/>
  </conditionalFormatting>
  <conditionalFormatting sqref="C37:C44 J37:J44">
    <cfRule type="duplicateValues" dxfId="77" priority="15"/>
  </conditionalFormatting>
  <conditionalFormatting sqref="C48:C55 J48:J55">
    <cfRule type="duplicateValues" dxfId="76" priority="14"/>
  </conditionalFormatting>
  <conditionalFormatting sqref="C59:C66 J59:J66">
    <cfRule type="duplicateValues" dxfId="75" priority="13"/>
  </conditionalFormatting>
  <conditionalFormatting sqref="C70:C77 J70:J77">
    <cfRule type="duplicateValues" dxfId="74" priority="12"/>
  </conditionalFormatting>
  <conditionalFormatting sqref="C81:C88 J81:J88">
    <cfRule type="duplicateValues" dxfId="73" priority="11"/>
  </conditionalFormatting>
  <conditionalFormatting sqref="C92:C99 J92:J99">
    <cfRule type="duplicateValues" dxfId="72" priority="10"/>
  </conditionalFormatting>
  <conditionalFormatting sqref="C103:C110 J103:J110">
    <cfRule type="duplicateValues" dxfId="71" priority="9"/>
  </conditionalFormatting>
  <conditionalFormatting sqref="C114:C121 J114:J121">
    <cfRule type="duplicateValues" dxfId="70" priority="8"/>
  </conditionalFormatting>
  <conditionalFormatting sqref="C125:C132 J125:J132">
    <cfRule type="duplicateValues" dxfId="69" priority="7"/>
  </conditionalFormatting>
  <conditionalFormatting sqref="C180:C187 J180:J187">
    <cfRule type="duplicateValues" dxfId="68" priority="6"/>
  </conditionalFormatting>
  <conditionalFormatting sqref="C191:C198 J191:J198">
    <cfRule type="duplicateValues" dxfId="67" priority="5"/>
  </conditionalFormatting>
  <conditionalFormatting sqref="C202:C209 J202:J209">
    <cfRule type="duplicateValues" dxfId="66" priority="4"/>
  </conditionalFormatting>
  <conditionalFormatting sqref="C213:C220 J213:J220">
    <cfRule type="duplicateValues" dxfId="65" priority="3"/>
  </conditionalFormatting>
  <conditionalFormatting sqref="C224:C231 J224:J231">
    <cfRule type="duplicateValues" dxfId="64" priority="2"/>
  </conditionalFormatting>
  <conditionalFormatting sqref="C235:C242 J235:J242">
    <cfRule type="duplicateValues" dxfId="63" priority="1"/>
  </conditionalFormatting>
  <dataValidations count="4">
    <dataValidation type="custom" allowBlank="1" showInputMessage="1" showErrorMessage="1" errorTitle="Check Performance" error="Better than the one before" sqref="M148:M154 M5:M11 M104:M110 M16:M22 M192:M198 M27:M33 M115:M121 M38:M44 M159:M165 M49:M55 M126:M132 M60:M66 M181:M187 M71:M77 M137:M143 M82:M88 M170:M176 M93:M99 F5:F11 F16:F22 F27:F33 F38:F44 F49:F55 F60:F66 F71:F77 F82:F88 F93:F99 F104:F110 F115:F121 F126:F132 F137:F143 F148:F154 F159:F165 F170:F176 F181:F187 F192:F198" xr:uid="{00000000-0002-0000-0D00-000000000000}">
      <formula1>F5&gt;=F4</formula1>
    </dataValidation>
    <dataValidation type="list" allowBlank="1" showInputMessage="1" showErrorMessage="1" sqref="C4:C11 C15:C22 C26:C33 C37:C44 C48:C55 C59:C66 C70:C77 C81:C88 C92:C99 C103:C110 C114:C121 C125:C132 C136:C143 C147:C154 C158:C165 C169:C176 C180:C187 C191:C198 C202:C209 C213:C220 C224:C231 C235:C242 C246:C253 C257:C264 C268:C275 C279:C286 J4:J11 J15:J22 J26:J33 J37:J44 J48:J55 J59:J66 J70:J77 J81:J88 J92:J99 J103:J110 J114:J121 J125:J132 J136:J143 J147:J154 J158:J165 J169:J176 J180:J187 J191:J198 J202:J209 J213:J220 J224:J231 J235:J242 J246:J253 J257:J264 J268:J275 J279:J286" xr:uid="{00000000-0002-0000-0D00-000001000000}">
      <formula1>numbers_</formula1>
    </dataValidation>
    <dataValidation type="custom" allowBlank="1" showErrorMessage="1" errorTitle="Check Performance" error="Better than the one before" promptTitle="Format for 800m" prompt="Simply use format m.ssss e.g. 1.5584 or 2.1345_x000a_no colon and NO decimal point between the seconds" sqref="M280:M286 M203:M209 M214:M220 M247:M253 M269:M275 M225:M231 M258:M264 M236:M242 F203:F209 F214:F220 F225:F231 F236:F242 F247:F253 F258:F264 F269:F275 F280:F286" xr:uid="{00000000-0002-0000-0D00-000002000000}">
      <formula1>F203&gt;=F202</formula1>
    </dataValidation>
    <dataValidation allowBlank="1" showInputMessage="1" showErrorMessage="1" promptTitle="Format for 800m" prompt="Simply use format m.ssss e.g. 1.5584 or 2.1345_x000a_no colon and NO decimal point between the seconds" sqref="M279 M202 M213 M246 M268 M224 M257 M235 F202 F213 F224 F235 F246 F257 F268 F279" xr:uid="{00000000-0002-0000-0D00-000003000000}"/>
  </dataValidation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theme="7" tint="-0.249977111117893"/>
    <pageSetUpPr autoPageBreaks="0"/>
  </sheetPr>
  <dimension ref="A1:O66"/>
  <sheetViews>
    <sheetView showZeros="0" topLeftCell="B1" zoomScaleSheetLayoutView="100" workbookViewId="0">
      <pane ySplit="1" topLeftCell="A56" activePane="bottomLeft" state="frozen"/>
      <selection activeCell="T1" sqref="T1:W1048576"/>
      <selection pane="bottomLeft" activeCell="I62" sqref="I62"/>
    </sheetView>
  </sheetViews>
  <sheetFormatPr defaultColWidth="8.86328125" defaultRowHeight="11.65" x14ac:dyDescent="0.35"/>
  <cols>
    <col min="1" max="1" width="8.86328125" style="64" hidden="1" customWidth="1"/>
    <col min="2" max="2" width="3.86328125" style="64" customWidth="1"/>
    <col min="3" max="3" width="3.86328125" style="66" customWidth="1"/>
    <col min="4" max="4" width="7.86328125" style="64" customWidth="1"/>
    <col min="5" max="8" width="15.86328125" style="64" customWidth="1"/>
    <col min="9" max="9" width="7.86328125" style="64" customWidth="1"/>
    <col min="10" max="10" width="4.3984375" style="108" customWidth="1"/>
    <col min="11" max="11" width="11" style="64" hidden="1" customWidth="1"/>
    <col min="12" max="12" width="11.3984375" style="64" hidden="1" customWidth="1"/>
    <col min="13" max="14" width="8.86328125" style="66" hidden="1" customWidth="1"/>
    <col min="15" max="16384" width="8.86328125" style="64"/>
  </cols>
  <sheetData>
    <row r="1" spans="1:15" ht="45" customHeight="1" x14ac:dyDescent="0.35">
      <c r="A1" s="201" t="str">
        <f>"UK ATHLETICS :: YOUTH DEVELOPMENT LEAGUE 2017 "</f>
        <v xml:space="preserve">UK ATHLETICS :: YOUTH DEVELOPMENT LEAGUE 2017 </v>
      </c>
      <c r="B1" s="223" t="str">
        <f>Dashboard!E1</f>
        <v>LOWER NORTH East 1 @ Doncaster</v>
      </c>
      <c r="D1" s="288"/>
      <c r="F1" s="67"/>
      <c r="G1" s="198"/>
      <c r="H1" s="297">
        <f>Dashboard!E2</f>
        <v>43582</v>
      </c>
      <c r="J1" s="64"/>
      <c r="L1" s="297" t="s">
        <v>253</v>
      </c>
      <c r="M1" s="203">
        <f>M4+M15+M26+M37+M48+M59</f>
        <v>6</v>
      </c>
      <c r="N1" s="203">
        <f>N4+N15+N26+N37+N48+N59</f>
        <v>0</v>
      </c>
    </row>
    <row r="2" spans="1:15" x14ac:dyDescent="0.35">
      <c r="A2" s="111" t="s">
        <v>315</v>
      </c>
      <c r="B2" s="112" t="str">
        <f>IFERROR(A3&amp;" "&amp;VLOOKUP(A2,timetables,2,FALSE)&amp;" "&amp;VLOOKUP(A2,timetables,3,FALSE)&amp;" A","")</f>
        <v xml:space="preserve"> 4 x 100m U13 Girls A</v>
      </c>
      <c r="C2" s="112"/>
      <c r="I2" s="121" t="s">
        <v>179</v>
      </c>
      <c r="L2" s="66" t="s">
        <v>53</v>
      </c>
    </row>
    <row r="3" spans="1:15" x14ac:dyDescent="0.35">
      <c r="A3" s="82"/>
      <c r="B3" s="45" t="s">
        <v>230</v>
      </c>
      <c r="C3" s="45" t="s">
        <v>183</v>
      </c>
      <c r="D3" s="47" t="s">
        <v>228</v>
      </c>
      <c r="E3" s="47" t="s">
        <v>549</v>
      </c>
      <c r="F3" s="47" t="s">
        <v>550</v>
      </c>
      <c r="G3" s="47" t="s">
        <v>551</v>
      </c>
      <c r="H3" s="47" t="s">
        <v>552</v>
      </c>
      <c r="I3" s="45" t="s">
        <v>229</v>
      </c>
      <c r="L3" s="66">
        <f>IFERROR(SEARCH("NS",B2),0)</f>
        <v>0</v>
      </c>
      <c r="O3" s="67"/>
    </row>
    <row r="4" spans="1:15" x14ac:dyDescent="0.35">
      <c r="A4" s="181">
        <f>IFERROR(VLOOKUP(A2,Timetables!$A:$E,5,FALSE)-1,"")</f>
        <v>47</v>
      </c>
      <c r="B4" s="117">
        <v>1</v>
      </c>
      <c r="C4" s="120">
        <v>3</v>
      </c>
      <c r="D4" s="64" t="str">
        <f t="shared" ref="D4:D11" si="0">IFERROR(VLOOKUP(C4,teamlookup,5,FALSE),"")</f>
        <v>York</v>
      </c>
      <c r="E4" s="64" t="str">
        <f ca="1">IFERROR(IF($A10=0,HLOOKUP($C4,Declarations!$D$2:$S$102,$A4,FALSE),HLOOKUP(VLOOKUP($C4,Teams!$V$2:$W$19,2,FALSE),Declarations!$D$2:$S$102,$A4,FALSE)),"")</f>
        <v>POUNDER Esme</v>
      </c>
      <c r="F4" s="64" t="str">
        <f ca="1">IFERROR(IF($A10=0,HLOOKUP($C4*11,Declarations!$D$2:$S$102,$A4,FALSE),HLOOKUP(VLOOKUP($C4&amp;$C4,Teams!$V$2:$W$19,2,FALSE),Declarations!$D$2:$S$102,$A4,FALSE)),"")</f>
        <v>MAUDE Emily</v>
      </c>
      <c r="G4" s="64" t="str">
        <f ca="1">IFERROR(IF($A10=0,HLOOKUP($C4,Declarations!$D$2:$S$102,$A4+1,FALSE),HLOOKUP(VLOOKUP($C4,Teams!$V$2:$W$19,2,FALSE),Declarations!$D$2:$S$102,$A4+1,FALSE)),"")</f>
        <v>GREEN-HEMMINGS Grace</v>
      </c>
      <c r="H4" s="64" t="str">
        <f ca="1">IFERROR(IF($A10=0,HLOOKUP($C4*11,Declarations!$D$2:$S$102,$A4+1,FALSE),HLOOKUP(VLOOKUP($C4&amp;$C4,Teams!$V$2:$W$19,2,FALSE),Declarations!$D$2:$S$102,$A4+1,FALSE)),"")</f>
        <v>MARSHALL Nancy</v>
      </c>
      <c r="I4" s="122">
        <v>56.8</v>
      </c>
      <c r="L4" s="66">
        <f ca="1">IFERROR(IF(OR(C4=0,C4="",I4=0,I4="",$L3&lt;&gt;0,LEFT(I4,1)="D"),0,VLOOKUP(B4,INDIRECT(MatchDay!$W$2),2,FALSE)),"")</f>
        <v>8</v>
      </c>
      <c r="M4" s="117">
        <f>COUNTIF(C4,"&gt;0")</f>
        <v>1</v>
      </c>
      <c r="N4" s="66">
        <f>IFERROR(IF(C4&gt;88,1,0),0)</f>
        <v>0</v>
      </c>
    </row>
    <row r="5" spans="1:15" x14ac:dyDescent="0.35">
      <c r="A5" s="64">
        <v>0</v>
      </c>
      <c r="B5" s="117">
        <v>2</v>
      </c>
      <c r="C5" s="120">
        <v>4</v>
      </c>
      <c r="D5" s="64" t="str">
        <f t="shared" si="0"/>
        <v>M'bro</v>
      </c>
      <c r="E5" s="64" t="str">
        <f ca="1">IFERROR(IF($A10=0,HLOOKUP($C5,Declarations!$D$2:$S$102,$A4,FALSE),HLOOKUP(VLOOKUP($C5,Teams!$V$2:$W$19,2,FALSE),Declarations!$D$2:$S$102,$A4,FALSE)),"")</f>
        <v>LILLIE Freya</v>
      </c>
      <c r="F5" s="64" t="str">
        <f ca="1">IFERROR(IF($A10=0,HLOOKUP($C5*11,Declarations!$D$2:$S$102,$A4,FALSE),HLOOKUP(VLOOKUP($C5&amp;$C5,Teams!$V$2:$W$19,2,FALSE),Declarations!$D$2:$S$102,$A4,FALSE)),"")</f>
        <v>SEDGWICK Emma</v>
      </c>
      <c r="G5" s="64" t="str">
        <f ca="1">IFERROR(IF($A10=0,HLOOKUP($C5,Declarations!$D$2:$S$102,$A4+1,FALSE),HLOOKUP(VLOOKUP($C5,Teams!$V$2:$W$19,2,FALSE),Declarations!$D$2:$S$102,$A4+1,FALSE)),"")</f>
        <v>SULLOCK Beth</v>
      </c>
      <c r="H5" s="64" t="str">
        <f ca="1">IFERROR(IF($A10=0,HLOOKUP($C5*11,Declarations!$D$2:$S$102,$A4+1,FALSE),HLOOKUP(VLOOKUP($C5&amp;$C5,Teams!$V$2:$W$19,2,FALSE),Declarations!$D$2:$S$102,$A4+1,FALSE)),"")</f>
        <v>WILMOT Amy</v>
      </c>
      <c r="I5" s="122">
        <v>58</v>
      </c>
      <c r="L5" s="66">
        <f ca="1">IFERROR(IF(OR(C5=0,C5="",I5=0,I5="",$L3&lt;&gt;0,LEFT(I5,1)="D"),0,VLOOKUP(B5,INDIRECT(MatchDay!$W$2),2,FALSE)),"")</f>
        <v>6</v>
      </c>
    </row>
    <row r="6" spans="1:15" x14ac:dyDescent="0.35">
      <c r="A6" s="118" t="str">
        <f>IFERROR(VLOOKUP(A2,standards,3,FALSE)+0.01,"-")</f>
        <v>-</v>
      </c>
      <c r="B6" s="117">
        <v>3</v>
      </c>
      <c r="C6" s="120">
        <v>2</v>
      </c>
      <c r="D6" s="64" t="str">
        <f t="shared" si="0"/>
        <v>Sheff+D</v>
      </c>
      <c r="E6" s="64" t="str">
        <f ca="1">IFERROR(IF($A10=0,HLOOKUP($C6,Declarations!$D$2:$S$102,$A4,FALSE),HLOOKUP(VLOOKUP($C6,Teams!$V$2:$W$19,2,FALSE),Declarations!$D$2:$S$102,$A4,FALSE)),"")</f>
        <v>GROVE Abigail</v>
      </c>
      <c r="F6" s="64" t="str">
        <f ca="1">IFERROR(IF($A10=0,HLOOKUP($C6*11,Declarations!$D$2:$S$102,$A4,FALSE),HLOOKUP(VLOOKUP($C6&amp;$C6,Teams!$V$2:$W$19,2,FALSE),Declarations!$D$2:$S$102,$A4,FALSE)),"")</f>
        <v>GRAY Molly</v>
      </c>
      <c r="G6" s="64" t="str">
        <f ca="1">IFERROR(IF($A10=0,HLOOKUP($C6,Declarations!$D$2:$S$102,$A4+1,FALSE),HLOOKUP(VLOOKUP($C6,Teams!$V$2:$W$19,2,FALSE),Declarations!$D$2:$S$102,$A4+1,FALSE)),"")</f>
        <v>ROBERTS Eve</v>
      </c>
      <c r="H6" s="64" t="str">
        <f ca="1">IFERROR(IF($A10=0,HLOOKUP($C6*11,Declarations!$D$2:$S$102,$A4+1,FALSE),HLOOKUP(VLOOKUP($C6&amp;$C6,Teams!$V$2:$W$19,2,FALSE),Declarations!$D$2:$S$102,$A4+1,FALSE)),"")</f>
        <v>SCOTT Violet</v>
      </c>
      <c r="I6" s="122">
        <v>62.3</v>
      </c>
      <c r="L6" s="66">
        <f ca="1">IFERROR(IF(OR(C6=0,C6="",I6=0,I6="",$L3&lt;&gt;0,LEFT(I6,1)="D"),0,VLOOKUP(B6,INDIRECT(MatchDay!$W$2),2,FALSE)),"")</f>
        <v>5</v>
      </c>
    </row>
    <row r="7" spans="1:15" x14ac:dyDescent="0.35">
      <c r="A7" s="118" t="str">
        <f>IFERROR(VLOOKUP(A2,standards,4,FALSE)+0.01,"-")</f>
        <v>-</v>
      </c>
      <c r="B7" s="117">
        <v>4</v>
      </c>
      <c r="C7" s="120">
        <v>1</v>
      </c>
      <c r="D7" s="64" t="str">
        <f t="shared" si="0"/>
        <v>C'field</v>
      </c>
      <c r="E7" s="64" t="str">
        <f ca="1">IFERROR(IF($A10=0,HLOOKUP($C7,Declarations!$D$2:$S$102,$A4,FALSE),HLOOKUP(VLOOKUP($C7,Teams!$V$2:$W$19,2,FALSE),Declarations!$D$2:$S$102,$A4,FALSE)),"")</f>
        <v>HAILEY Faye</v>
      </c>
      <c r="F7" s="64" t="str">
        <f ca="1">IFERROR(IF($A10=0,HLOOKUP($C7*11,Declarations!$D$2:$S$102,$A4,FALSE),HLOOKUP(VLOOKUP($C7&amp;$C7,Teams!$V$2:$W$19,2,FALSE),Declarations!$D$2:$S$102,$A4,FALSE)),"")</f>
        <v>GRIFFIN Lydia</v>
      </c>
      <c r="G7" s="64" t="str">
        <f ca="1">IFERROR(IF($A10=0,HLOOKUP($C7,Declarations!$D$2:$S$102,$A4+1,FALSE),HLOOKUP(VLOOKUP($C7,Teams!$V$2:$W$19,2,FALSE),Declarations!$D$2:$S$102,$A4+1,FALSE)),"")</f>
        <v>PELL Gracie</v>
      </c>
      <c r="H7" s="64" t="str">
        <f ca="1">IFERROR(IF($A10=0,HLOOKUP($C7*11,Declarations!$D$2:$S$102,$A4+1,FALSE),HLOOKUP(VLOOKUP($C7&amp;$C7,Teams!$V$2:$W$19,2,FALSE),Declarations!$D$2:$S$102,$A4+1,FALSE)),"")</f>
        <v>SAS Evelyn</v>
      </c>
      <c r="I7" s="122">
        <v>63</v>
      </c>
      <c r="L7" s="66">
        <f ca="1">IFERROR(IF(OR(C7=0,C7="",I7=0,I7="",$L3&lt;&gt;0,LEFT(I7,1)="D"),0,VLOOKUP(B7,INDIRECT(MatchDay!$W$2),2,FALSE)),"")</f>
        <v>4</v>
      </c>
    </row>
    <row r="8" spans="1:15" x14ac:dyDescent="0.35">
      <c r="A8" s="118" t="str">
        <f>IFERROR(VLOOKUP(A2,standards,5,FALSE)+0.01,"-")</f>
        <v>-</v>
      </c>
      <c r="B8" s="117">
        <v>5</v>
      </c>
      <c r="C8" s="120"/>
      <c r="D8" s="64" t="str">
        <f t="shared" si="0"/>
        <v/>
      </c>
      <c r="E8" s="64" t="str">
        <f>IFERROR(IF($A10=0,HLOOKUP($C8,Declarations!$D$2:$S$102,$A4,FALSE),HLOOKUP(VLOOKUP($C8,Teams!$V$2:$W$19,2,FALSE),Declarations!$D$2:$S$102,$A4,FALSE)),"")</f>
        <v/>
      </c>
      <c r="F8" s="64" t="str">
        <f>IFERROR(IF($A10=0,HLOOKUP($C8*11,Declarations!$D$2:$S$102,$A4,FALSE),HLOOKUP(VLOOKUP($C8&amp;$C8,Teams!$V$2:$W$19,2,FALSE),Declarations!$D$2:$S$102,$A4,FALSE)),"")</f>
        <v/>
      </c>
      <c r="G8" s="64" t="str">
        <f>IFERROR(IF($A10=0,HLOOKUP($C8,Declarations!$D$2:$S$102,$A4+1,FALSE),HLOOKUP(VLOOKUP($C8,Teams!$V$2:$W$19,2,FALSE),Declarations!$D$2:$S$102,$A4+1,FALSE)),"")</f>
        <v/>
      </c>
      <c r="H8" s="64" t="str">
        <f>IFERROR(IF($A10=0,HLOOKUP($C8*11,Declarations!$D$2:$S$102,$A4+1,FALSE),HLOOKUP(VLOOKUP($C8&amp;$C8,Teams!$V$2:$W$19,2,FALSE),Declarations!$D$2:$S$102,$A4+1,FALSE)),"")</f>
        <v/>
      </c>
      <c r="I8" s="122"/>
      <c r="L8" s="66">
        <f ca="1">IFERROR(IF(OR(C8=0,C8="",I8=0,I8="",$L3&lt;&gt;0,LEFT(I8,1)="D"),0,VLOOKUP(B8,INDIRECT(MatchDay!$W$2),2,FALSE)),"")</f>
        <v>0</v>
      </c>
    </row>
    <row r="9" spans="1:15" x14ac:dyDescent="0.35">
      <c r="A9" s="118" t="str">
        <f>IFERROR(VLOOKUP(A2,standards,6,FALSE)+0.01,"-")</f>
        <v>-</v>
      </c>
      <c r="B9" s="117">
        <v>6</v>
      </c>
      <c r="C9" s="120"/>
      <c r="D9" s="64" t="str">
        <f t="shared" si="0"/>
        <v/>
      </c>
      <c r="E9" s="64" t="str">
        <f>IFERROR(IF($A10=0,HLOOKUP($C9,Declarations!$D$2:$S$102,$A4,FALSE),HLOOKUP(VLOOKUP($C9,Teams!$V$2:$W$19,2,FALSE),Declarations!$D$2:$S$102,$A4,FALSE)),"")</f>
        <v/>
      </c>
      <c r="F9" s="64" t="str">
        <f>IFERROR(IF($A10=0,HLOOKUP($C9*11,Declarations!$D$2:$S$102,$A4,FALSE),HLOOKUP(VLOOKUP($C9&amp;$C9,Teams!$V$2:$W$19,2,FALSE),Declarations!$D$2:$S$102,$A4,FALSE)),"")</f>
        <v/>
      </c>
      <c r="G9" s="64" t="str">
        <f>IFERROR(IF($A10=0,HLOOKUP($C9,Declarations!$D$2:$S$102,$A4+1,FALSE),HLOOKUP(VLOOKUP($C9,Teams!$V$2:$W$19,2,FALSE),Declarations!$D$2:$S$102,$A4+1,FALSE)),"")</f>
        <v/>
      </c>
      <c r="H9" s="64" t="str">
        <f>IFERROR(IF($A10=0,HLOOKUP($C9*11,Declarations!$D$2:$S$102,$A4+1,FALSE),HLOOKUP(VLOOKUP($C9&amp;$C9,Teams!$V$2:$W$19,2,FALSE),Declarations!$D$2:$S$102,$A4+1,FALSE)),"")</f>
        <v/>
      </c>
      <c r="I9" s="122"/>
      <c r="L9" s="66">
        <f ca="1">IFERROR(IF(OR(C9=0,C9="",I9=0,I9="",$L3&lt;&gt;0,LEFT(I9,1)="D"),0,VLOOKUP(B9,INDIRECT(MatchDay!$W$2),2,FALSE)),"")</f>
        <v>0</v>
      </c>
    </row>
    <row r="10" spans="1:15" x14ac:dyDescent="0.35">
      <c r="A10" s="184">
        <f>IFERROR(SEARCH("U17",B2),0)</f>
        <v>0</v>
      </c>
      <c r="B10" s="117">
        <v>7</v>
      </c>
      <c r="C10" s="120"/>
      <c r="D10" s="64" t="str">
        <f t="shared" si="0"/>
        <v/>
      </c>
      <c r="E10" s="64" t="str">
        <f>IFERROR(IF($A10=0,HLOOKUP($C10,Declarations!$D$2:$S$102,$A4,FALSE),HLOOKUP(VLOOKUP($C10,Teams!$V$2:$W$19,2,FALSE),Declarations!$D$2:$S$102,$A4,FALSE)),"")</f>
        <v/>
      </c>
      <c r="F10" s="64" t="str">
        <f>IFERROR(IF($A10=0,HLOOKUP($C10*11,Declarations!$D$2:$S$102,$A4,FALSE),HLOOKUP(VLOOKUP($C10&amp;$C10,Teams!$V$2:$W$19,2,FALSE),Declarations!$D$2:$S$102,$A4,FALSE)),"")</f>
        <v/>
      </c>
      <c r="G10" s="64" t="str">
        <f>IFERROR(IF($A10=0,HLOOKUP($C10,Declarations!$D$2:$S$102,$A4+1,FALSE),HLOOKUP(VLOOKUP($C10,Teams!$V$2:$W$19,2,FALSE),Declarations!$D$2:$S$102,$A4+1,FALSE)),"")</f>
        <v/>
      </c>
      <c r="H10" s="64" t="str">
        <f>IFERROR(IF($A10=0,HLOOKUP($C10*11,Declarations!$D$2:$S$102,$A4+1,FALSE),HLOOKUP(VLOOKUP($C10&amp;$C10,Teams!$V$2:$W$19,2,FALSE),Declarations!$D$2:$S$102,$A4+1,FALSE)),"")</f>
        <v/>
      </c>
      <c r="I10" s="122"/>
      <c r="L10" s="66">
        <f ca="1">IFERROR(IF(OR(C10=0,C10="",I10=0,I10="",$L3&lt;&gt;0,LEFT(I10,1)="D"),0,VLOOKUP(B10,INDIRECT(MatchDay!$W$2),2,FALSE)),"")</f>
        <v>0</v>
      </c>
    </row>
    <row r="11" spans="1:15" x14ac:dyDescent="0.35">
      <c r="A11" s="116">
        <f>IFERROR(VLOOKUP(A2,records,5,FALSE),"")</f>
        <v>52</v>
      </c>
      <c r="B11" s="117">
        <v>8</v>
      </c>
      <c r="C11" s="120"/>
      <c r="D11" s="64" t="str">
        <f t="shared" si="0"/>
        <v/>
      </c>
      <c r="E11" s="64" t="str">
        <f>IFERROR(IF($A10=0,HLOOKUP($C11,Declarations!$D$2:$S$102,$A4,FALSE),HLOOKUP(VLOOKUP($C11,Teams!$V$2:$W$19,2,FALSE),Declarations!$D$2:$S$102,$A4,FALSE)),"")</f>
        <v/>
      </c>
      <c r="F11" s="64" t="str">
        <f>IFERROR(IF($A10=0,HLOOKUP($C11*11,Declarations!$D$2:$S$102,$A4,FALSE),HLOOKUP(VLOOKUP($C11&amp;$C11,Teams!$V$2:$W$19,2,FALSE),Declarations!$D$2:$S$102,$A4,FALSE)),"")</f>
        <v/>
      </c>
      <c r="G11" s="64" t="str">
        <f>IFERROR(IF($A10=0,HLOOKUP($C11,Declarations!$D$2:$S$102,$A4+1,FALSE),HLOOKUP(VLOOKUP($C11,Teams!$V$2:$W$19,2,FALSE),Declarations!$D$2:$S$102,$A4+1,FALSE)),"")</f>
        <v/>
      </c>
      <c r="H11" s="64" t="str">
        <f>IFERROR(IF($A10=0,HLOOKUP($C11*11,Declarations!$D$2:$S$102,$A4+1,FALSE),HLOOKUP(VLOOKUP($C11&amp;$C11,Teams!$V$2:$W$19,2,FALSE),Declarations!$D$2:$S$102,$A4+1,FALSE)),"")</f>
        <v/>
      </c>
      <c r="I11" s="122"/>
      <c r="L11" s="66">
        <f ca="1">IFERROR(IF(OR(C11=0,C11="",I11=0,I11="",$L3&lt;&gt;0,LEFT(I11,1)="D"),0,VLOOKUP(B11,INDIRECT(MatchDay!$W$2),2,FALSE)),"")</f>
        <v>0</v>
      </c>
    </row>
    <row r="12" spans="1:15" x14ac:dyDescent="0.35">
      <c r="I12" s="310"/>
    </row>
    <row r="13" spans="1:15" x14ac:dyDescent="0.35">
      <c r="A13" s="111" t="s">
        <v>316</v>
      </c>
      <c r="B13" s="112" t="str">
        <f>IFERROR(A14&amp;" "&amp;VLOOKUP(A13,timetables,2,FALSE)&amp;" "&amp;VLOOKUP(A13,timetables,3,FALSE)&amp;" A","")</f>
        <v xml:space="preserve"> 4 x 100m U13 Boys A</v>
      </c>
      <c r="C13" s="112"/>
      <c r="I13" s="311" t="s">
        <v>179</v>
      </c>
      <c r="L13" s="66" t="s">
        <v>53</v>
      </c>
    </row>
    <row r="14" spans="1:15" x14ac:dyDescent="0.35">
      <c r="A14" s="82"/>
      <c r="B14" s="45" t="s">
        <v>230</v>
      </c>
      <c r="C14" s="45" t="s">
        <v>183</v>
      </c>
      <c r="D14" s="47" t="s">
        <v>228</v>
      </c>
      <c r="E14" s="47" t="s">
        <v>549</v>
      </c>
      <c r="F14" s="47" t="s">
        <v>550</v>
      </c>
      <c r="G14" s="47" t="s">
        <v>551</v>
      </c>
      <c r="H14" s="47" t="s">
        <v>552</v>
      </c>
      <c r="I14" s="312" t="s">
        <v>229</v>
      </c>
      <c r="L14" s="66">
        <f>IFERROR(SEARCH("NS",B13),0)</f>
        <v>0</v>
      </c>
      <c r="O14" s="67"/>
    </row>
    <row r="15" spans="1:15" x14ac:dyDescent="0.35">
      <c r="A15" s="181">
        <f>IFERROR(VLOOKUP(A13,Timetables!$A:$E,5,FALSE)-1,"")</f>
        <v>97</v>
      </c>
      <c r="B15" s="117">
        <v>1</v>
      </c>
      <c r="C15" s="120">
        <v>3</v>
      </c>
      <c r="D15" s="64" t="str">
        <f t="shared" ref="D15:D22" si="1">IFERROR(VLOOKUP(C15,teamlookup,5,FALSE),"")</f>
        <v>York</v>
      </c>
      <c r="E15" s="64" t="str">
        <f ca="1">IFERROR(IF($A21=0,HLOOKUP($C15,Declarations!$D$2:$S$102,$A15,FALSE),HLOOKUP(VLOOKUP($C15,Teams!$V$2:$W$19,2,FALSE),Declarations!$D$2:$S$102,$A15,FALSE)),"")</f>
        <v>BASTOW Isaac</v>
      </c>
      <c r="F15" s="64" t="str">
        <f ca="1">IFERROR(IF($A21=0,HLOOKUP($C15*11,Declarations!$D$2:$S$102,$A15,FALSE),HLOOKUP(VLOOKUP($C15&amp;$C15,Teams!$V$2:$W$19,2,FALSE),Declarations!$D$2:$S$102,$A15,FALSE)),"")</f>
        <v>PEARSON Adam</v>
      </c>
      <c r="G15" s="64" t="str">
        <f ca="1">IFERROR(IF($A21=0,HLOOKUP($C15,Declarations!$D$2:$S$102,$A15+1,FALSE),HLOOKUP(VLOOKUP($C15,Teams!$V$2:$W$19,2,FALSE),Declarations!$D$2:$S$102,$A15+1,FALSE)),"")</f>
        <v>HICKLING William</v>
      </c>
      <c r="H15" s="64" t="str">
        <f ca="1">IFERROR(IF($A21=0,HLOOKUP($C15*11,Declarations!$D$2:$S$102,$A15+1,FALSE),HLOOKUP(VLOOKUP($C15&amp;$C15,Teams!$V$2:$W$19,2,FALSE),Declarations!$D$2:$S$102,$A15+1,FALSE)),"")</f>
        <v>MARSHALL Syd</v>
      </c>
      <c r="I15" s="122">
        <v>58.8</v>
      </c>
      <c r="L15" s="66">
        <f ca="1">IFERROR(IF(OR(C15=0,C15="",I15=0,I15="",$L14&lt;&gt;0,LEFT(I15,1)="D"),0,VLOOKUP(B15,INDIRECT(MatchDay!$W$2),2,FALSE)),"")</f>
        <v>8</v>
      </c>
      <c r="M15" s="347">
        <f>COUNTIF(I15,"&gt;0")</f>
        <v>1</v>
      </c>
      <c r="N15" s="66">
        <f>IFERROR(IF(C15&gt;88,1,0),0)</f>
        <v>0</v>
      </c>
    </row>
    <row r="16" spans="1:15" x14ac:dyDescent="0.35">
      <c r="A16" s="64">
        <v>0</v>
      </c>
      <c r="B16" s="117">
        <v>2</v>
      </c>
      <c r="C16" s="120">
        <v>2</v>
      </c>
      <c r="D16" s="64" t="str">
        <f t="shared" si="1"/>
        <v>Sheff+D</v>
      </c>
      <c r="E16" s="64" t="str">
        <f ca="1">IFERROR(IF($A21=0,HLOOKUP($C16,Declarations!$D$2:$S$102,$A15,FALSE),HLOOKUP(VLOOKUP($C16,Teams!$V$2:$W$19,2,FALSE),Declarations!$D$2:$S$102,$A15,FALSE)),"")</f>
        <v>REILLY Arthur</v>
      </c>
      <c r="F16" s="64" t="str">
        <f ca="1">IFERROR(IF($A21=0,HLOOKUP($C16*11,Declarations!$D$2:$S$102,$A15,FALSE),HLOOKUP(VLOOKUP($C16&amp;$C16,Teams!$V$2:$W$19,2,FALSE),Declarations!$D$2:$S$102,$A15,FALSE)),"")</f>
        <v>WINGFIELD Tyler</v>
      </c>
      <c r="G16" s="64" t="str">
        <f ca="1">IFERROR(IF($A21=0,HLOOKUP($C16,Declarations!$D$2:$S$102,$A15+1,FALSE),HLOOKUP(VLOOKUP($C16,Teams!$V$2:$W$19,2,FALSE),Declarations!$D$2:$S$102,$A15+1,FALSE)),"")</f>
        <v>MAY Rudi</v>
      </c>
      <c r="H16" s="64" t="str">
        <f ca="1">IFERROR(IF($A21=0,HLOOKUP($C16*11,Declarations!$D$2:$S$102,$A15+1,FALSE),HLOOKUP(VLOOKUP($C16&amp;$C16,Teams!$V$2:$W$19,2,FALSE),Declarations!$D$2:$S$102,$A15+1,FALSE)),"")</f>
        <v>CONNELLY George</v>
      </c>
      <c r="I16" s="122">
        <v>59.8</v>
      </c>
      <c r="L16" s="66">
        <f ca="1">IFERROR(IF(OR(C16=0,C16="",I16=0,I16="",$L14&lt;&gt;0,LEFT(I16,1)="D"),0,VLOOKUP(B16,INDIRECT(MatchDay!$W$2),2,FALSE)),"")</f>
        <v>6</v>
      </c>
    </row>
    <row r="17" spans="1:15" x14ac:dyDescent="0.35">
      <c r="A17" s="118" t="str">
        <f>IFERROR(VLOOKUP(A13,standards,3,FALSE)+0.01,"-")</f>
        <v>-</v>
      </c>
      <c r="B17" s="117">
        <v>3</v>
      </c>
      <c r="C17" s="120">
        <v>4</v>
      </c>
      <c r="D17" s="64" t="str">
        <f t="shared" si="1"/>
        <v>M'bro</v>
      </c>
      <c r="E17" s="64" t="str">
        <f ca="1">IFERROR(IF($A21=0,HLOOKUP($C17,Declarations!$D$2:$S$102,$A15,FALSE),HLOOKUP(VLOOKUP($C17,Teams!$V$2:$W$19,2,FALSE),Declarations!$D$2:$S$102,$A15,FALSE)),"")</f>
        <v>O'HARE Christy</v>
      </c>
      <c r="F17" s="64" t="str">
        <f ca="1">IFERROR(IF($A21=0,HLOOKUP($C17*11,Declarations!$D$2:$S$102,$A15,FALSE),HLOOKUP(VLOOKUP($C17&amp;$C17,Teams!$V$2:$W$19,2,FALSE),Declarations!$D$2:$S$102,$A15,FALSE)),"")</f>
        <v>MARRON Ethan</v>
      </c>
      <c r="G17" s="64" t="str">
        <f ca="1">IFERROR(IF($A21=0,HLOOKUP($C17,Declarations!$D$2:$S$102,$A15+1,FALSE),HLOOKUP(VLOOKUP($C17,Teams!$V$2:$W$19,2,FALSE),Declarations!$D$2:$S$102,$A15+1,FALSE)),"")</f>
        <v>HONEYMAN Leo</v>
      </c>
      <c r="H17" s="64" t="str">
        <f ca="1">IFERROR(IF($A21=0,HLOOKUP($C17*11,Declarations!$D$2:$S$102,$A15+1,FALSE),HLOOKUP(VLOOKUP($C17&amp;$C17,Teams!$V$2:$W$19,2,FALSE),Declarations!$D$2:$S$102,$A15+1,FALSE)),"")</f>
        <v>MAYNARD Finley</v>
      </c>
      <c r="I17" s="122">
        <v>60.4</v>
      </c>
      <c r="L17" s="66">
        <f ca="1">IFERROR(IF(OR(C17=0,C17="",I17=0,I17="",$L14&lt;&gt;0,LEFT(I17,1)="D"),0,VLOOKUP(B17,INDIRECT(MatchDay!$W$2),2,FALSE)),"")</f>
        <v>5</v>
      </c>
    </row>
    <row r="18" spans="1:15" x14ac:dyDescent="0.35">
      <c r="A18" s="118" t="str">
        <f>IFERROR(VLOOKUP(A13,standards,4,FALSE)+0.01,"-")</f>
        <v>-</v>
      </c>
      <c r="B18" s="117">
        <v>4</v>
      </c>
      <c r="C18" s="120">
        <v>1</v>
      </c>
      <c r="D18" s="64" t="str">
        <f t="shared" si="1"/>
        <v>C'field</v>
      </c>
      <c r="E18" s="64" t="str">
        <f ca="1">IFERROR(IF($A21=0,HLOOKUP($C18,Declarations!$D$2:$S$102,$A15,FALSE),HLOOKUP(VLOOKUP($C18,Teams!$V$2:$W$19,2,FALSE),Declarations!$D$2:$S$102,$A15,FALSE)),"")</f>
        <v>DREW Matthew</v>
      </c>
      <c r="F18" s="64" t="str">
        <f ca="1">IFERROR(IF($A21=0,HLOOKUP($C18*11,Declarations!$D$2:$S$102,$A15,FALSE),HLOOKUP(VLOOKUP($C18&amp;$C18,Teams!$V$2:$W$19,2,FALSE),Declarations!$D$2:$S$102,$A15,FALSE)),"")</f>
        <v>STOWELL Callum</v>
      </c>
      <c r="G18" s="64" t="str">
        <f ca="1">IFERROR(IF($A21=0,HLOOKUP($C18,Declarations!$D$2:$S$102,$A15+1,FALSE),HLOOKUP(VLOOKUP($C18,Teams!$V$2:$W$19,2,FALSE),Declarations!$D$2:$S$102,$A15+1,FALSE)),"")</f>
        <v>LOWE Seth</v>
      </c>
      <c r="H18" s="64" t="str">
        <f ca="1">IFERROR(IF($A21=0,HLOOKUP($C18*11,Declarations!$D$2:$S$102,$A15+1,FALSE),HLOOKUP(VLOOKUP($C18&amp;$C18,Teams!$V$2:$W$19,2,FALSE),Declarations!$D$2:$S$102,$A15+1,FALSE)),"")</f>
        <v>GASKIN Nathanael</v>
      </c>
      <c r="I18" s="122">
        <v>62.9</v>
      </c>
      <c r="L18" s="66">
        <f ca="1">IFERROR(IF(OR(C18=0,C18="",I18=0,I18="",$L14&lt;&gt;0,LEFT(I18,1)="D"),0,VLOOKUP(B18,INDIRECT(MatchDay!$W$2),2,FALSE)),"")</f>
        <v>4</v>
      </c>
    </row>
    <row r="19" spans="1:15" x14ac:dyDescent="0.35">
      <c r="A19" s="118" t="str">
        <f>IFERROR(VLOOKUP(A13,standards,5,FALSE)+0.01,"-")</f>
        <v>-</v>
      </c>
      <c r="B19" s="117">
        <v>5</v>
      </c>
      <c r="C19" s="120"/>
      <c r="D19" s="64" t="str">
        <f t="shared" si="1"/>
        <v/>
      </c>
      <c r="E19" s="64" t="str">
        <f>IFERROR(IF($A21=0,HLOOKUP($C19,Declarations!$D$2:$S$102,$A15,FALSE),HLOOKUP(VLOOKUP($C19,Teams!$V$2:$W$19,2,FALSE),Declarations!$D$2:$S$102,$A15,FALSE)),"")</f>
        <v/>
      </c>
      <c r="F19" s="64" t="str">
        <f>IFERROR(IF($A21=0,HLOOKUP($C19*11,Declarations!$D$2:$S$102,$A15,FALSE),HLOOKUP(VLOOKUP($C19&amp;$C19,Teams!$V$2:$W$19,2,FALSE),Declarations!$D$2:$S$102,$A15,FALSE)),"")</f>
        <v/>
      </c>
      <c r="G19" s="64" t="str">
        <f>IFERROR(IF($A21=0,HLOOKUP($C19,Declarations!$D$2:$S$102,$A15+1,FALSE),HLOOKUP(VLOOKUP($C19,Teams!$V$2:$W$19,2,FALSE),Declarations!$D$2:$S$102,$A15+1,FALSE)),"")</f>
        <v/>
      </c>
      <c r="H19" s="64" t="str">
        <f>IFERROR(IF($A21=0,HLOOKUP($C19*11,Declarations!$D$2:$S$102,$A15+1,FALSE),HLOOKUP(VLOOKUP($C19&amp;$C19,Teams!$V$2:$W$19,2,FALSE),Declarations!$D$2:$S$102,$A15+1,FALSE)),"")</f>
        <v/>
      </c>
      <c r="I19" s="122"/>
      <c r="L19" s="66">
        <f ca="1">IFERROR(IF(OR(C19=0,C19="",I19=0,I19="",$L14&lt;&gt;0,LEFT(I19,1)="D"),0,VLOOKUP(B19,INDIRECT(MatchDay!$W$2),2,FALSE)),"")</f>
        <v>0</v>
      </c>
    </row>
    <row r="20" spans="1:15" x14ac:dyDescent="0.35">
      <c r="A20" s="118" t="str">
        <f>IFERROR(VLOOKUP(A13,standards,6,FALSE)+0.01,"-")</f>
        <v>-</v>
      </c>
      <c r="B20" s="117">
        <v>6</v>
      </c>
      <c r="C20" s="120"/>
      <c r="D20" s="64" t="str">
        <f t="shared" si="1"/>
        <v/>
      </c>
      <c r="E20" s="64" t="str">
        <f>IFERROR(IF($A21=0,HLOOKUP($C20,Declarations!$D$2:$S$102,$A15,FALSE),HLOOKUP(VLOOKUP($C20,Teams!$V$2:$W$19,2,FALSE),Declarations!$D$2:$S$102,$A15,FALSE)),"")</f>
        <v/>
      </c>
      <c r="F20" s="64" t="str">
        <f>IFERROR(IF($A21=0,HLOOKUP($C20*11,Declarations!$D$2:$S$102,$A15,FALSE),HLOOKUP(VLOOKUP($C20&amp;$C20,Teams!$V$2:$W$19,2,FALSE),Declarations!$D$2:$S$102,$A15,FALSE)),"")</f>
        <v/>
      </c>
      <c r="G20" s="64" t="str">
        <f>IFERROR(IF($A21=0,HLOOKUP($C20,Declarations!$D$2:$S$102,$A15+1,FALSE),HLOOKUP(VLOOKUP($C20,Teams!$V$2:$W$19,2,FALSE),Declarations!$D$2:$S$102,$A15+1,FALSE)),"")</f>
        <v/>
      </c>
      <c r="H20" s="64" t="str">
        <f>IFERROR(IF($A21=0,HLOOKUP($C20*11,Declarations!$D$2:$S$102,$A15+1,FALSE),HLOOKUP(VLOOKUP($C20&amp;$C20,Teams!$V$2:$W$19,2,FALSE),Declarations!$D$2:$S$102,$A15+1,FALSE)),"")</f>
        <v/>
      </c>
      <c r="I20" s="122"/>
      <c r="L20" s="66">
        <f ca="1">IFERROR(IF(OR(C20=0,C20="",I20=0,I20="",$L14&lt;&gt;0,LEFT(I20,1)="D"),0,VLOOKUP(B20,INDIRECT(MatchDay!$W$2),2,FALSE)),"")</f>
        <v>0</v>
      </c>
    </row>
    <row r="21" spans="1:15" x14ac:dyDescent="0.35">
      <c r="A21" s="184">
        <f>IFERROR(SEARCH("U17",B13),0)</f>
        <v>0</v>
      </c>
      <c r="B21" s="117">
        <v>7</v>
      </c>
      <c r="C21" s="120"/>
      <c r="D21" s="64" t="str">
        <f t="shared" si="1"/>
        <v/>
      </c>
      <c r="E21" s="64" t="str">
        <f>IFERROR(IF($A21=0,HLOOKUP($C21,Declarations!$D$2:$S$102,$A15,FALSE),HLOOKUP(VLOOKUP($C21,Teams!$V$2:$W$19,2,FALSE),Declarations!$D$2:$S$102,$A15,FALSE)),"")</f>
        <v/>
      </c>
      <c r="F21" s="64" t="str">
        <f>IFERROR(IF($A21=0,HLOOKUP($C21*11,Declarations!$D$2:$S$102,$A15,FALSE),HLOOKUP(VLOOKUP($C21&amp;$C21,Teams!$V$2:$W$19,2,FALSE),Declarations!$D$2:$S$102,$A15,FALSE)),"")</f>
        <v/>
      </c>
      <c r="G21" s="64" t="str">
        <f>IFERROR(IF($A21=0,HLOOKUP($C21,Declarations!$D$2:$S$102,$A15+1,FALSE),HLOOKUP(VLOOKUP($C21,Teams!$V$2:$W$19,2,FALSE),Declarations!$D$2:$S$102,$A15+1,FALSE)),"")</f>
        <v/>
      </c>
      <c r="H21" s="64" t="str">
        <f>IFERROR(IF($A21=0,HLOOKUP($C21*11,Declarations!$D$2:$S$102,$A15+1,FALSE),HLOOKUP(VLOOKUP($C21&amp;$C21,Teams!$V$2:$W$19,2,FALSE),Declarations!$D$2:$S$102,$A15+1,FALSE)),"")</f>
        <v/>
      </c>
      <c r="I21" s="122"/>
      <c r="L21" s="66">
        <f ca="1">IFERROR(IF(OR(C21=0,C21="",I21=0,I21="",$L14&lt;&gt;0,LEFT(I21,1)="D"),0,VLOOKUP(B21,INDIRECT(MatchDay!$W$2),2,FALSE)),"")</f>
        <v>0</v>
      </c>
    </row>
    <row r="22" spans="1:15" x14ac:dyDescent="0.35">
      <c r="A22" s="116">
        <f>IFERROR(VLOOKUP(A13,records,5,FALSE),"")</f>
        <v>50.3</v>
      </c>
      <c r="B22" s="117">
        <v>8</v>
      </c>
      <c r="C22" s="120"/>
      <c r="D22" s="64" t="str">
        <f t="shared" si="1"/>
        <v/>
      </c>
      <c r="E22" s="64" t="str">
        <f>IFERROR(IF($A21=0,HLOOKUP($C22,Declarations!$D$2:$S$102,$A15,FALSE),HLOOKUP(VLOOKUP($C22,Teams!$V$2:$W$19,2,FALSE),Declarations!$D$2:$S$102,$A15,FALSE)),"")</f>
        <v/>
      </c>
      <c r="F22" s="64" t="str">
        <f>IFERROR(IF($A21=0,HLOOKUP($C22*11,Declarations!$D$2:$S$102,$A15,FALSE),HLOOKUP(VLOOKUP($C22&amp;$C22,Teams!$V$2:$W$19,2,FALSE),Declarations!$D$2:$S$102,$A15,FALSE)),"")</f>
        <v/>
      </c>
      <c r="G22" s="64" t="str">
        <f>IFERROR(IF($A21=0,HLOOKUP($C22,Declarations!$D$2:$S$102,$A15+1,FALSE),HLOOKUP(VLOOKUP($C22,Teams!$V$2:$W$19,2,FALSE),Declarations!$D$2:$S$102,$A15+1,FALSE)),"")</f>
        <v/>
      </c>
      <c r="H22" s="64" t="str">
        <f>IFERROR(IF($A21=0,HLOOKUP($C22*11,Declarations!$D$2:$S$102,$A15+1,FALSE),HLOOKUP(VLOOKUP($C22&amp;$C22,Teams!$V$2:$W$19,2,FALSE),Declarations!$D$2:$S$102,$A15+1,FALSE)),"")</f>
        <v/>
      </c>
      <c r="I22" s="122"/>
      <c r="L22" s="66">
        <f ca="1">IFERROR(IF(OR(C22=0,C22="",I22=0,I22="",$L14&lt;&gt;0,LEFT(I22,1)="D"),0,VLOOKUP(B22,INDIRECT(MatchDay!$W$2),2,FALSE)),"")</f>
        <v>0</v>
      </c>
    </row>
    <row r="23" spans="1:15" x14ac:dyDescent="0.35">
      <c r="I23" s="310"/>
    </row>
    <row r="24" spans="1:15" x14ac:dyDescent="0.35">
      <c r="A24" s="111" t="s">
        <v>317</v>
      </c>
      <c r="B24" s="112" t="str">
        <f>IFERROR(A25&amp;" "&amp;VLOOKUP(A24,timetables,2,FALSE)&amp;" "&amp;VLOOKUP(A24,timetables,3,FALSE)&amp;" A","")</f>
        <v xml:space="preserve"> 4 x 100m U15 Girls A</v>
      </c>
      <c r="C24" s="112"/>
      <c r="I24" s="311" t="s">
        <v>179</v>
      </c>
      <c r="L24" s="66" t="s">
        <v>53</v>
      </c>
    </row>
    <row r="25" spans="1:15" x14ac:dyDescent="0.35">
      <c r="A25" s="82"/>
      <c r="B25" s="45" t="s">
        <v>230</v>
      </c>
      <c r="C25" s="45" t="s">
        <v>183</v>
      </c>
      <c r="D25" s="47" t="s">
        <v>228</v>
      </c>
      <c r="E25" s="47" t="s">
        <v>549</v>
      </c>
      <c r="F25" s="47" t="s">
        <v>550</v>
      </c>
      <c r="G25" s="47" t="s">
        <v>551</v>
      </c>
      <c r="H25" s="47" t="s">
        <v>552</v>
      </c>
      <c r="I25" s="312" t="s">
        <v>229</v>
      </c>
      <c r="L25" s="66">
        <f>IFERROR(SEARCH("NS",B24),0)</f>
        <v>0</v>
      </c>
      <c r="O25" s="67"/>
    </row>
    <row r="26" spans="1:15" x14ac:dyDescent="0.35">
      <c r="A26" s="181">
        <f>IFERROR(VLOOKUP(A24,Timetables!$A:$E,5,FALSE)-1,"")</f>
        <v>22</v>
      </c>
      <c r="B26" s="117">
        <v>1</v>
      </c>
      <c r="C26" s="120">
        <v>3</v>
      </c>
      <c r="D26" s="64" t="str">
        <f t="shared" ref="D26:D33" si="2">IFERROR(VLOOKUP(C26,teamlookup,5,FALSE),"")</f>
        <v>York</v>
      </c>
      <c r="E26" s="64" t="str">
        <f ca="1">IFERROR(IF($A32=0,HLOOKUP($C26,Declarations!$D$2:$S$102,$A26,FALSE),HLOOKUP(VLOOKUP($C26,Teams!$V$2:$W$19,2,FALSE),Declarations!$D$2:$S$102,$A26,FALSE)),"")</f>
        <v>HOGG Frances</v>
      </c>
      <c r="F26" s="64" t="str">
        <f ca="1">IFERROR(IF($A32=0,HLOOKUP($C26*11,Declarations!$D$2:$S$102,$A26,FALSE),HLOOKUP(VLOOKUP($C26&amp;$C26,Teams!$V$2:$W$19,2,FALSE),Declarations!$D$2:$S$102,$A26,FALSE)),"")</f>
        <v>MAUDE Charlotte</v>
      </c>
      <c r="G26" s="64" t="str">
        <f ca="1">IFERROR(IF($A32=0,HLOOKUP($C26,Declarations!$D$2:$S$102,$A26+1,FALSE),HLOOKUP(VLOOKUP($C26,Teams!$V$2:$W$19,2,FALSE),Declarations!$D$2:$S$102,$A26+1,FALSE)),"")</f>
        <v>HASTIE Eve</v>
      </c>
      <c r="H26" s="64" t="str">
        <f ca="1">IFERROR(IF($A32=0,HLOOKUP($C26*11,Declarations!$D$2:$S$102,$A26+1,FALSE),HLOOKUP(VLOOKUP($C26&amp;$C26,Teams!$V$2:$W$19,2,FALSE),Declarations!$D$2:$S$102,$A26+1,FALSE)),"")</f>
        <v>HICKLING Rosie</v>
      </c>
      <c r="I26" s="122">
        <v>53.8</v>
      </c>
      <c r="L26" s="66">
        <f ca="1">IFERROR(IF(OR(C26=0,C26="",I26=0,I26="",$L25&lt;&gt;0,LEFT(I26,1)="D"),0,VLOOKUP(B26,INDIRECT(MatchDay!$W$2),2,FALSE)),"")</f>
        <v>8</v>
      </c>
      <c r="M26" s="347">
        <f>COUNTIF(I26,"&gt;0")</f>
        <v>1</v>
      </c>
      <c r="N26" s="66">
        <f>IFERROR(IF(C26&gt;88,1,0),0)</f>
        <v>0</v>
      </c>
    </row>
    <row r="27" spans="1:15" x14ac:dyDescent="0.35">
      <c r="A27" s="64">
        <v>0</v>
      </c>
      <c r="B27" s="117">
        <v>2</v>
      </c>
      <c r="C27" s="419">
        <v>4</v>
      </c>
      <c r="D27" s="64" t="str">
        <f t="shared" si="2"/>
        <v>M'bro</v>
      </c>
      <c r="E27" s="64" t="str">
        <f ca="1">IFERROR(IF($A32=0,HLOOKUP($C27,Declarations!$D$2:$S$102,$A26,FALSE),HLOOKUP(VLOOKUP($C27,Teams!$V$2:$W$19,2,FALSE),Declarations!$D$2:$S$102,$A26,FALSE)),"")</f>
        <v>OKEY Busonma</v>
      </c>
      <c r="F27" s="64" t="str">
        <f ca="1">IFERROR(IF($A32=0,HLOOKUP($C27*11,Declarations!$D$2:$S$102,$A26,FALSE),HLOOKUP(VLOOKUP($C27&amp;$C27,Teams!$V$2:$W$19,2,FALSE),Declarations!$D$2:$S$102,$A26,FALSE)),"")</f>
        <v>ROBSON Daisy</v>
      </c>
      <c r="G27" s="64" t="str">
        <f ca="1">IFERROR(IF($A32=0,HLOOKUP($C27,Declarations!$D$2:$S$102,$A26+1,FALSE),HLOOKUP(VLOOKUP($C27,Teams!$V$2:$W$19,2,FALSE),Declarations!$D$2:$S$102,$A26+1,FALSE)),"")</f>
        <v>PYE Naiomi</v>
      </c>
      <c r="H27" s="64" t="str">
        <f ca="1">IFERROR(IF($A32=0,HLOOKUP($C27*11,Declarations!$D$2:$S$102,$A26+1,FALSE),HLOOKUP(VLOOKUP($C27&amp;$C27,Teams!$V$2:$W$19,2,FALSE),Declarations!$D$2:$S$102,$A26+1,FALSE)),"")</f>
        <v>WYATT Martha</v>
      </c>
      <c r="I27" s="122">
        <v>53.9</v>
      </c>
      <c r="L27" s="66">
        <f ca="1">IFERROR(IF(OR(C27=0,C27="",I27=0,I27="",$L25&lt;&gt;0,LEFT(I27,1)="D"),0,VLOOKUP(B27,INDIRECT(MatchDay!$W$2),2,FALSE)),"")</f>
        <v>6</v>
      </c>
    </row>
    <row r="28" spans="1:15" x14ac:dyDescent="0.35">
      <c r="A28" s="118" t="str">
        <f>IFERROR(VLOOKUP(A24,standards,3,FALSE)+0.01,"-")</f>
        <v>-</v>
      </c>
      <c r="B28" s="117">
        <v>3</v>
      </c>
      <c r="C28" s="120">
        <v>2</v>
      </c>
      <c r="D28" s="64" t="str">
        <f t="shared" si="2"/>
        <v>Sheff+D</v>
      </c>
      <c r="E28" s="64" t="str">
        <f ca="1">IFERROR(IF($A32=0,HLOOKUP($C28,Declarations!$D$2:$S$102,$A26,FALSE),HLOOKUP(VLOOKUP($C28,Teams!$V$2:$W$19,2,FALSE),Declarations!$D$2:$S$102,$A26,FALSE)),"")</f>
        <v>PADDON Olivia</v>
      </c>
      <c r="F28" s="64" t="str">
        <f ca="1">IFERROR(IF($A32=0,HLOOKUP($C28*11,Declarations!$D$2:$S$102,$A26,FALSE),HLOOKUP(VLOOKUP($C28&amp;$C28,Teams!$V$2:$W$19,2,FALSE),Declarations!$D$2:$S$102,$A26,FALSE)),"")</f>
        <v>PADDON Freya</v>
      </c>
      <c r="G28" s="64" t="str">
        <f ca="1">IFERROR(IF($A32=0,HLOOKUP($C28,Declarations!$D$2:$S$102,$A26+1,FALSE),HLOOKUP(VLOOKUP($C28,Teams!$V$2:$W$19,2,FALSE),Declarations!$D$2:$S$102,$A26+1,FALSE)),"")</f>
        <v>ADEBAYO Daphney</v>
      </c>
      <c r="H28" s="64" t="str">
        <f ca="1">IFERROR(IF($A32=0,HLOOKUP($C28*11,Declarations!$D$2:$S$102,$A26+1,FALSE),HLOOKUP(VLOOKUP($C28&amp;$C28,Teams!$V$2:$W$19,2,FALSE),Declarations!$D$2:$S$102,$A26+1,FALSE)),"")</f>
        <v>JELONKIEWICZ Viktoria</v>
      </c>
      <c r="I28" s="122">
        <v>55.5</v>
      </c>
      <c r="L28" s="66">
        <f ca="1">IFERROR(IF(OR(C28=0,C28="",I28=0,I28="",$L25&lt;&gt;0,LEFT(I28,1)="D"),0,VLOOKUP(B28,INDIRECT(MatchDay!$W$2),2,FALSE)),"")</f>
        <v>5</v>
      </c>
    </row>
    <row r="29" spans="1:15" x14ac:dyDescent="0.35">
      <c r="A29" s="118" t="str">
        <f>IFERROR(VLOOKUP(A24,standards,4,FALSE)+0.01,"-")</f>
        <v>-</v>
      </c>
      <c r="B29" s="117">
        <v>4</v>
      </c>
      <c r="C29" s="120">
        <v>1</v>
      </c>
      <c r="D29" s="64" t="str">
        <f t="shared" si="2"/>
        <v>C'field</v>
      </c>
      <c r="E29" s="64" t="str">
        <f ca="1">IFERROR(IF($A32=0,HLOOKUP($C29,Declarations!$D$2:$S$102,$A26,FALSE),HLOOKUP(VLOOKUP($C29,Teams!$V$2:$W$19,2,FALSE),Declarations!$D$2:$S$102,$A26,FALSE)),"")</f>
        <v>BAINES Lily</v>
      </c>
      <c r="F29" s="64" t="str">
        <f ca="1">IFERROR(IF($A32=0,HLOOKUP($C29*11,Declarations!$D$2:$S$102,$A26,FALSE),HLOOKUP(VLOOKUP($C29&amp;$C29,Teams!$V$2:$W$19,2,FALSE),Declarations!$D$2:$S$102,$A26,FALSE)),"")</f>
        <v>KIRKWOOD Eva</v>
      </c>
      <c r="G29" s="64" t="str">
        <f ca="1">IFERROR(IF($A32=0,HLOOKUP($C29,Declarations!$D$2:$S$102,$A26+1,FALSE),HLOOKUP(VLOOKUP($C29,Teams!$V$2:$W$19,2,FALSE),Declarations!$D$2:$S$102,$A26+1,FALSE)),"")</f>
        <v>DUNKLEY Autum</v>
      </c>
      <c r="H29" s="64" t="str">
        <f ca="1">IFERROR(IF($A32=0,HLOOKUP($C29*11,Declarations!$D$2:$S$102,$A26+1,FALSE),HLOOKUP(VLOOKUP($C29&amp;$C29,Teams!$V$2:$W$19,2,FALSE),Declarations!$D$2:$S$102,$A26+1,FALSE)),"")</f>
        <v>BRIDDON Missy</v>
      </c>
      <c r="I29" s="122">
        <v>60.8</v>
      </c>
      <c r="L29" s="66">
        <f ca="1">IFERROR(IF(OR(C29=0,C29="",I29=0,I29="",$L25&lt;&gt;0,LEFT(I29,1)="D"),0,VLOOKUP(B29,INDIRECT(MatchDay!$W$2),2,FALSE)),"")</f>
        <v>4</v>
      </c>
    </row>
    <row r="30" spans="1:15" x14ac:dyDescent="0.35">
      <c r="A30" s="118" t="str">
        <f>IFERROR(VLOOKUP(A24,standards,5,FALSE)+0.01,"-")</f>
        <v>-</v>
      </c>
      <c r="B30" s="117">
        <v>5</v>
      </c>
      <c r="C30" s="120">
        <v>5</v>
      </c>
      <c r="D30" s="64" t="str">
        <f t="shared" si="2"/>
        <v>Scun</v>
      </c>
      <c r="E30" s="64" t="str">
        <f ca="1">IFERROR(IF($A32=0,HLOOKUP($C30,Declarations!$D$2:$S$102,$A26,FALSE),HLOOKUP(VLOOKUP($C30,Teams!$V$2:$W$19,2,FALSE),Declarations!$D$2:$S$102,$A26,FALSE)),"")</f>
        <v>VICKERS Cerys</v>
      </c>
      <c r="F30" s="64" t="str">
        <f ca="1">IFERROR(IF($A32=0,HLOOKUP($C30*11,Declarations!$D$2:$S$102,$A26,FALSE),HLOOKUP(VLOOKUP($C30&amp;$C30,Teams!$V$2:$W$19,2,FALSE),Declarations!$D$2:$S$102,$A26,FALSE)),"")</f>
        <v>WRIGHT Lucy</v>
      </c>
      <c r="G30" s="64" t="str">
        <f ca="1">IFERROR(IF($A32=0,HLOOKUP($C30,Declarations!$D$2:$S$102,$A26+1,FALSE),HLOOKUP(VLOOKUP($C30,Teams!$V$2:$W$19,2,FALSE),Declarations!$D$2:$S$102,$A26+1,FALSE)),"")</f>
        <v>WHITTAKER Millie</v>
      </c>
      <c r="H30" s="64" t="str">
        <f ca="1">IFERROR(IF($A32=0,HLOOKUP($C30*11,Declarations!$D$2:$S$102,$A26+1,FALSE),HLOOKUP(VLOOKUP($C30&amp;$C30,Teams!$V$2:$W$19,2,FALSE),Declarations!$D$2:$S$102,$A26+1,FALSE)),"")</f>
        <v>BETTS Demi</v>
      </c>
      <c r="I30" s="122">
        <v>67.2</v>
      </c>
      <c r="L30" s="66">
        <f ca="1">IFERROR(IF(OR(C30=0,C30="",I30=0,I30="",$L25&lt;&gt;0,LEFT(I30,1)="D"),0,VLOOKUP(B30,INDIRECT(MatchDay!$W$2),2,FALSE)),"")</f>
        <v>3</v>
      </c>
    </row>
    <row r="31" spans="1:15" x14ac:dyDescent="0.35">
      <c r="A31" s="118" t="str">
        <f>IFERROR(VLOOKUP(A24,standards,6,FALSE)+0.01,"-")</f>
        <v>-</v>
      </c>
      <c r="B31" s="117">
        <v>6</v>
      </c>
      <c r="C31" s="120"/>
      <c r="D31" s="64" t="str">
        <f t="shared" si="2"/>
        <v/>
      </c>
      <c r="E31" s="64" t="str">
        <f>IFERROR(IF($A32=0,HLOOKUP($C31,Declarations!$D$2:$S$102,$A26,FALSE),HLOOKUP(VLOOKUP($C31,Teams!$V$2:$W$19,2,FALSE),Declarations!$D$2:$S$102,$A26,FALSE)),"")</f>
        <v/>
      </c>
      <c r="F31" s="64" t="str">
        <f>IFERROR(IF($A32=0,HLOOKUP($C31*11,Declarations!$D$2:$S$102,$A26,FALSE),HLOOKUP(VLOOKUP($C31&amp;$C31,Teams!$V$2:$W$19,2,FALSE),Declarations!$D$2:$S$102,$A26,FALSE)),"")</f>
        <v/>
      </c>
      <c r="G31" s="64" t="str">
        <f>IFERROR(IF($A32=0,HLOOKUP($C31,Declarations!$D$2:$S$102,$A26+1,FALSE),HLOOKUP(VLOOKUP($C31,Teams!$V$2:$W$19,2,FALSE),Declarations!$D$2:$S$102,$A26+1,FALSE)),"")</f>
        <v/>
      </c>
      <c r="H31" s="64" t="str">
        <f>IFERROR(IF($A32=0,HLOOKUP($C31*11,Declarations!$D$2:$S$102,$A26+1,FALSE),HLOOKUP(VLOOKUP($C31&amp;$C31,Teams!$V$2:$W$19,2,FALSE),Declarations!$D$2:$S$102,$A26+1,FALSE)),"")</f>
        <v/>
      </c>
      <c r="I31" s="122"/>
      <c r="L31" s="66">
        <f ca="1">IFERROR(IF(OR(C31=0,C31="",I31=0,I31="",$L25&lt;&gt;0,LEFT(I31,1)="D"),0,VLOOKUP(B31,INDIRECT(MatchDay!$W$2),2,FALSE)),"")</f>
        <v>0</v>
      </c>
    </row>
    <row r="32" spans="1:15" x14ac:dyDescent="0.35">
      <c r="A32" s="184">
        <f>IFERROR(SEARCH("U17",B24),0)</f>
        <v>0</v>
      </c>
      <c r="B32" s="117">
        <v>7</v>
      </c>
      <c r="C32" s="120"/>
      <c r="D32" s="64" t="str">
        <f t="shared" si="2"/>
        <v/>
      </c>
      <c r="E32" s="64" t="str">
        <f>IFERROR(IF($A32=0,HLOOKUP($C32,Declarations!$D$2:$S$102,$A26,FALSE),HLOOKUP(VLOOKUP($C32,Teams!$V$2:$W$19,2,FALSE),Declarations!$D$2:$S$102,$A26,FALSE)),"")</f>
        <v/>
      </c>
      <c r="F32" s="64" t="str">
        <f>IFERROR(IF($A32=0,HLOOKUP($C32*11,Declarations!$D$2:$S$102,$A26,FALSE),HLOOKUP(VLOOKUP($C32&amp;$C32,Teams!$V$2:$W$19,2,FALSE),Declarations!$D$2:$S$102,$A26,FALSE)),"")</f>
        <v/>
      </c>
      <c r="G32" s="64" t="str">
        <f>IFERROR(IF($A32=0,HLOOKUP($C32,Declarations!$D$2:$S$102,$A26+1,FALSE),HLOOKUP(VLOOKUP($C32,Teams!$V$2:$W$19,2,FALSE),Declarations!$D$2:$S$102,$A26+1,FALSE)),"")</f>
        <v/>
      </c>
      <c r="H32" s="64" t="str">
        <f>IFERROR(IF($A32=0,HLOOKUP($C32*11,Declarations!$D$2:$S$102,$A26+1,FALSE),HLOOKUP(VLOOKUP($C32&amp;$C32,Teams!$V$2:$W$19,2,FALSE),Declarations!$D$2:$S$102,$A26+1,FALSE)),"")</f>
        <v/>
      </c>
      <c r="I32" s="122"/>
      <c r="L32" s="66">
        <f ca="1">IFERROR(IF(OR(C32=0,C32="",I32=0,I32="",$L25&lt;&gt;0,LEFT(I32,1)="D"),0,VLOOKUP(B32,INDIRECT(MatchDay!$W$2),2,FALSE)),"")</f>
        <v>0</v>
      </c>
    </row>
    <row r="33" spans="1:15" x14ac:dyDescent="0.35">
      <c r="A33" s="116">
        <f>IFERROR(VLOOKUP(A24,records,5,FALSE),"")</f>
        <v>48.61</v>
      </c>
      <c r="B33" s="117">
        <v>8</v>
      </c>
      <c r="C33" s="120"/>
      <c r="D33" s="64" t="str">
        <f t="shared" si="2"/>
        <v/>
      </c>
      <c r="E33" s="64" t="str">
        <f>IFERROR(IF($A32=0,HLOOKUP($C33,Declarations!$D$2:$S$102,$A26,FALSE),HLOOKUP(VLOOKUP($C33,Teams!$V$2:$W$19,2,FALSE),Declarations!$D$2:$S$102,$A26,FALSE)),"")</f>
        <v/>
      </c>
      <c r="F33" s="64" t="str">
        <f>IFERROR(IF($A32=0,HLOOKUP($C33*11,Declarations!$D$2:$S$102,$A26,FALSE),HLOOKUP(VLOOKUP($C33&amp;$C33,Teams!$V$2:$W$19,2,FALSE),Declarations!$D$2:$S$102,$A26,FALSE)),"")</f>
        <v/>
      </c>
      <c r="G33" s="64" t="str">
        <f>IFERROR(IF($A32=0,HLOOKUP($C33,Declarations!$D$2:$S$102,$A26+1,FALSE),HLOOKUP(VLOOKUP($C33,Teams!$V$2:$W$19,2,FALSE),Declarations!$D$2:$S$102,$A26+1,FALSE)),"")</f>
        <v/>
      </c>
      <c r="H33" s="64" t="str">
        <f>IFERROR(IF($A32=0,HLOOKUP($C33*11,Declarations!$D$2:$S$102,$A26+1,FALSE),HLOOKUP(VLOOKUP($C33&amp;$C33,Teams!$V$2:$W$19,2,FALSE),Declarations!$D$2:$S$102,$A26+1,FALSE)),"")</f>
        <v/>
      </c>
      <c r="I33" s="122"/>
      <c r="L33" s="66">
        <f ca="1">IFERROR(IF(OR(C33=0,C33="",I33=0,I33="",$L25&lt;&gt;0,LEFT(I33,1)="D"),0,VLOOKUP(B33,INDIRECT(MatchDay!$W$2),2,FALSE)),"")</f>
        <v>0</v>
      </c>
    </row>
    <row r="34" spans="1:15" x14ac:dyDescent="0.35">
      <c r="I34" s="310"/>
    </row>
    <row r="35" spans="1:15" x14ac:dyDescent="0.35">
      <c r="A35" s="111" t="s">
        <v>318</v>
      </c>
      <c r="B35" s="112" t="str">
        <f>IFERROR(A36&amp;" "&amp;VLOOKUP(A35,timetables,2,FALSE)&amp;" "&amp;VLOOKUP(A35,timetables,3,FALSE)&amp;" A","")</f>
        <v xml:space="preserve"> 4 x 100m U15 Boys A</v>
      </c>
      <c r="C35" s="112"/>
      <c r="I35" s="311" t="s">
        <v>179</v>
      </c>
      <c r="L35" s="66" t="s">
        <v>53</v>
      </c>
    </row>
    <row r="36" spans="1:15" x14ac:dyDescent="0.35">
      <c r="A36" s="82"/>
      <c r="B36" s="45" t="s">
        <v>230</v>
      </c>
      <c r="C36" s="45" t="s">
        <v>183</v>
      </c>
      <c r="D36" s="47" t="s">
        <v>228</v>
      </c>
      <c r="E36" s="47" t="s">
        <v>549</v>
      </c>
      <c r="F36" s="47" t="s">
        <v>550</v>
      </c>
      <c r="G36" s="47" t="s">
        <v>551</v>
      </c>
      <c r="H36" s="47" t="s">
        <v>552</v>
      </c>
      <c r="I36" s="312" t="s">
        <v>229</v>
      </c>
      <c r="L36" s="66">
        <f>IFERROR(SEARCH("NS",B35),0)</f>
        <v>0</v>
      </c>
      <c r="O36" s="67"/>
    </row>
    <row r="37" spans="1:15" x14ac:dyDescent="0.35">
      <c r="A37" s="181">
        <f>IFERROR(VLOOKUP(A35,Timetables!$A:$E,5,FALSE)-1,"")</f>
        <v>72</v>
      </c>
      <c r="B37" s="117">
        <v>1</v>
      </c>
      <c r="C37" s="120">
        <v>4</v>
      </c>
      <c r="D37" s="64" t="str">
        <f t="shared" ref="D37:D44" si="3">IFERROR(VLOOKUP(C37,teamlookup,5,FALSE),"")</f>
        <v>M'bro</v>
      </c>
      <c r="E37" s="64" t="str">
        <f ca="1">IFERROR(IF($A43=0,HLOOKUP($C37,Declarations!$D$2:$S$102,$A37,FALSE),HLOOKUP(VLOOKUP($C37,Teams!$V$2:$W$19,2,FALSE),Declarations!$D$2:$S$102,$A37,FALSE)),"")</f>
        <v>BUTLER Jake</v>
      </c>
      <c r="F37" s="64" t="str">
        <f ca="1">IFERROR(IF($A43=0,HLOOKUP($C37*11,Declarations!$D$2:$S$102,$A37,FALSE),HLOOKUP(VLOOKUP($C37&amp;$C37,Teams!$V$2:$W$19,2,FALSE),Declarations!$D$2:$S$102,$A37,FALSE)),"")</f>
        <v>OKEY Chieme</v>
      </c>
      <c r="G37" s="64" t="str">
        <f ca="1">IFERROR(IF($A43=0,HLOOKUP($C37,Declarations!$D$2:$S$102,$A37+1,FALSE),HLOOKUP(VLOOKUP($C37,Teams!$V$2:$W$19,2,FALSE),Declarations!$D$2:$S$102,$A37+1,FALSE)),"")</f>
        <v>CHINNERY Norton</v>
      </c>
      <c r="H37" s="64" t="str">
        <f ca="1">IFERROR(IF($A43=0,HLOOKUP($C37*11,Declarations!$D$2:$S$102,$A37+1,FALSE),HLOOKUP(VLOOKUP($C37&amp;$C37,Teams!$V$2:$W$19,2,FALSE),Declarations!$D$2:$S$102,$A37+1,FALSE)),"")</f>
        <v>MAYNARD Tom</v>
      </c>
      <c r="I37" s="122">
        <v>51.4</v>
      </c>
      <c r="L37" s="66">
        <f ca="1">IFERROR(IF(OR(C37=0,C37="",I37=0,I37="",$L36&lt;&gt;0,LEFT(I37,1)="D"),0,VLOOKUP(B37,INDIRECT(MatchDay!$W$2),2,FALSE)),"")</f>
        <v>8</v>
      </c>
      <c r="M37" s="347">
        <f>COUNTIF(I37,"&gt;0")</f>
        <v>1</v>
      </c>
      <c r="N37" s="66">
        <f>IFERROR(IF(C37&gt;88,1,0),0)</f>
        <v>0</v>
      </c>
    </row>
    <row r="38" spans="1:15" x14ac:dyDescent="0.35">
      <c r="A38" s="64">
        <v>0</v>
      </c>
      <c r="B38" s="117">
        <v>2</v>
      </c>
      <c r="C38" s="120">
        <v>3</v>
      </c>
      <c r="D38" s="64" t="str">
        <f t="shared" si="3"/>
        <v>York</v>
      </c>
      <c r="E38" s="64" t="str">
        <f ca="1">IFERROR(IF($A43=0,HLOOKUP($C38,Declarations!$D$2:$S$102,$A37,FALSE),HLOOKUP(VLOOKUP($C38,Teams!$V$2:$W$19,2,FALSE),Declarations!$D$2:$S$102,$A37,FALSE)),"")</f>
        <v>LANSFORD Hollis</v>
      </c>
      <c r="F38" s="64" t="str">
        <f ca="1">IFERROR(IF($A43=0,HLOOKUP($C38*11,Declarations!$D$2:$S$102,$A37,FALSE),HLOOKUP(VLOOKUP($C38&amp;$C38,Teams!$V$2:$W$19,2,FALSE),Declarations!$D$2:$S$102,$A37,FALSE)),"")</f>
        <v>HOW Louis</v>
      </c>
      <c r="G38" s="64" t="str">
        <f ca="1">IFERROR(IF($A43=0,HLOOKUP($C38,Declarations!$D$2:$S$102,$A37+1,FALSE),HLOOKUP(VLOOKUP($C38,Teams!$V$2:$W$19,2,FALSE),Declarations!$D$2:$S$102,$A37+1,FALSE)),"")</f>
        <v>PYE George</v>
      </c>
      <c r="H38" s="64" t="str">
        <f ca="1">IFERROR(IF($A43=0,HLOOKUP($C38*11,Declarations!$D$2:$S$102,$A37+1,FALSE),HLOOKUP(VLOOKUP($C38&amp;$C38,Teams!$V$2:$W$19,2,FALSE),Declarations!$D$2:$S$102,$A37+1,FALSE)),"")</f>
        <v>MEIGH William</v>
      </c>
      <c r="I38" s="122">
        <v>53</v>
      </c>
      <c r="L38" s="66">
        <f ca="1">IFERROR(IF(OR(C38=0,C38="",I38=0,I38="",$L36&lt;&gt;0,LEFT(I38,1)="D"),0,VLOOKUP(B38,INDIRECT(MatchDay!$W$2),2,FALSE)),"")</f>
        <v>6</v>
      </c>
    </row>
    <row r="39" spans="1:15" x14ac:dyDescent="0.35">
      <c r="A39" s="118" t="str">
        <f>IFERROR(VLOOKUP(A35,standards,3,FALSE)+0.01,"-")</f>
        <v>-</v>
      </c>
      <c r="B39" s="117">
        <v>3</v>
      </c>
      <c r="C39" s="120">
        <v>1</v>
      </c>
      <c r="D39" s="64" t="str">
        <f t="shared" si="3"/>
        <v>C'field</v>
      </c>
      <c r="E39" s="64" t="str">
        <f ca="1">IFERROR(IF($A43=0,HLOOKUP($C39,Declarations!$D$2:$S$102,$A37,FALSE),HLOOKUP(VLOOKUP($C39,Teams!$V$2:$W$19,2,FALSE),Declarations!$D$2:$S$102,$A37,FALSE)),"")</f>
        <v>COOPER Malachi</v>
      </c>
      <c r="F39" s="64" t="str">
        <f ca="1">IFERROR(IF($A43=0,HLOOKUP($C39*11,Declarations!$D$2:$S$102,$A37,FALSE),HLOOKUP(VLOOKUP($C39&amp;$C39,Teams!$V$2:$W$19,2,FALSE),Declarations!$D$2:$S$102,$A37,FALSE)),"")</f>
        <v>MARRIOTT Thomas</v>
      </c>
      <c r="G39" s="64" t="str">
        <f ca="1">IFERROR(IF($A43=0,HLOOKUP($C39,Declarations!$D$2:$S$102,$A37+1,FALSE),HLOOKUP(VLOOKUP($C39,Teams!$V$2:$W$19,2,FALSE),Declarations!$D$2:$S$102,$A37+1,FALSE)),"")</f>
        <v>SAS Reuben</v>
      </c>
      <c r="H39" s="64" t="str">
        <f ca="1">IFERROR(IF($A43=0,HLOOKUP($C39*11,Declarations!$D$2:$S$102,$A37+1,FALSE),HLOOKUP(VLOOKUP($C39&amp;$C39,Teams!$V$2:$W$19,2,FALSE),Declarations!$D$2:$S$102,$A37+1,FALSE)),"")</f>
        <v>FOGDEN Ben</v>
      </c>
      <c r="I39" s="122">
        <v>55.4</v>
      </c>
      <c r="L39" s="66">
        <f ca="1">IFERROR(IF(OR(C39=0,C39="",I39=0,I39="",$L36&lt;&gt;0,LEFT(I39,1)="D"),0,VLOOKUP(B39,INDIRECT(MatchDay!$W$2),2,FALSE)),"")</f>
        <v>5</v>
      </c>
    </row>
    <row r="40" spans="1:15" x14ac:dyDescent="0.35">
      <c r="A40" s="118" t="str">
        <f>IFERROR(VLOOKUP(A35,standards,4,FALSE)+0.01,"-")</f>
        <v>-</v>
      </c>
      <c r="B40" s="117">
        <v>4</v>
      </c>
      <c r="C40" s="120">
        <v>2</v>
      </c>
      <c r="D40" s="64" t="str">
        <f t="shared" si="3"/>
        <v>Sheff+D</v>
      </c>
      <c r="E40" s="64" t="str">
        <f ca="1">IFERROR(IF($A43=0,HLOOKUP($C40,Declarations!$D$2:$S$102,$A37,FALSE),HLOOKUP(VLOOKUP($C40,Teams!$V$2:$W$19,2,FALSE),Declarations!$D$2:$S$102,$A37,FALSE)),"")</f>
        <v>BENTLEY Tom</v>
      </c>
      <c r="F40" s="64" t="str">
        <f ca="1">IFERROR(IF($A43=0,HLOOKUP($C40*11,Declarations!$D$2:$S$102,$A37,FALSE),HLOOKUP(VLOOKUP($C40&amp;$C40,Teams!$V$2:$W$19,2,FALSE),Declarations!$D$2:$S$102,$A37,FALSE)),"")</f>
        <v>KRIEL PARR George</v>
      </c>
      <c r="G40" s="64" t="str">
        <f ca="1">IFERROR(IF($A43=0,HLOOKUP($C40,Declarations!$D$2:$S$102,$A37+1,FALSE),HLOOKUP(VLOOKUP($C40,Teams!$V$2:$W$19,2,FALSE),Declarations!$D$2:$S$102,$A37+1,FALSE)),"")</f>
        <v>WAINWRIGHT James</v>
      </c>
      <c r="H40" s="64" t="str">
        <f ca="1">IFERROR(IF($A43=0,HLOOKUP($C40*11,Declarations!$D$2:$S$102,$A37+1,FALSE),HLOOKUP(VLOOKUP($C40&amp;$C40,Teams!$V$2:$W$19,2,FALSE),Declarations!$D$2:$S$102,$A37+1,FALSE)),"")</f>
        <v>OR KAM FAT Matteo</v>
      </c>
      <c r="I40" s="122">
        <v>55.9</v>
      </c>
      <c r="L40" s="66">
        <f ca="1">IFERROR(IF(OR(C40=0,C40="",I40=0,I40="",$L36&lt;&gt;0,LEFT(I40,1)="D"),0,VLOOKUP(B40,INDIRECT(MatchDay!$W$2),2,FALSE)),"")</f>
        <v>4</v>
      </c>
    </row>
    <row r="41" spans="1:15" x14ac:dyDescent="0.35">
      <c r="A41" s="118" t="str">
        <f>IFERROR(VLOOKUP(A35,standards,5,FALSE)+0.01,"-")</f>
        <v>-</v>
      </c>
      <c r="B41" s="117">
        <v>5</v>
      </c>
      <c r="C41" s="120"/>
      <c r="D41" s="64" t="str">
        <f t="shared" si="3"/>
        <v/>
      </c>
      <c r="E41" s="64" t="str">
        <f>IFERROR(IF($A43=0,HLOOKUP($C41,Declarations!$D$2:$S$102,$A37,FALSE),HLOOKUP(VLOOKUP($C41,Teams!$V$2:$W$19,2,FALSE),Declarations!$D$2:$S$102,$A37,FALSE)),"")</f>
        <v/>
      </c>
      <c r="F41" s="64" t="str">
        <f>IFERROR(IF($A43=0,HLOOKUP($C41*11,Declarations!$D$2:$S$102,$A37,FALSE),HLOOKUP(VLOOKUP($C41&amp;$C41,Teams!$V$2:$W$19,2,FALSE),Declarations!$D$2:$S$102,$A37,FALSE)),"")</f>
        <v/>
      </c>
      <c r="G41" s="64" t="str">
        <f>IFERROR(IF($A43=0,HLOOKUP($C41,Declarations!$D$2:$S$102,$A37+1,FALSE),HLOOKUP(VLOOKUP($C41,Teams!$V$2:$W$19,2,FALSE),Declarations!$D$2:$S$102,$A37+1,FALSE)),"")</f>
        <v/>
      </c>
      <c r="H41" s="64" t="str">
        <f>IFERROR(IF($A43=0,HLOOKUP($C41*11,Declarations!$D$2:$S$102,$A37+1,FALSE),HLOOKUP(VLOOKUP($C41&amp;$C41,Teams!$V$2:$W$19,2,FALSE),Declarations!$D$2:$S$102,$A37+1,FALSE)),"")</f>
        <v/>
      </c>
      <c r="I41" s="122"/>
      <c r="L41" s="66">
        <f ca="1">IFERROR(IF(OR(C41=0,C41="",I41=0,I41="",$L36&lt;&gt;0,LEFT(I41,1)="D"),0,VLOOKUP(B41,INDIRECT(MatchDay!$W$2),2,FALSE)),"")</f>
        <v>0</v>
      </c>
    </row>
    <row r="42" spans="1:15" x14ac:dyDescent="0.35">
      <c r="A42" s="118" t="str">
        <f>IFERROR(VLOOKUP(A35,standards,6,FALSE)+0.01,"-")</f>
        <v>-</v>
      </c>
      <c r="B42" s="117">
        <v>6</v>
      </c>
      <c r="C42" s="120"/>
      <c r="D42" s="64" t="str">
        <f t="shared" si="3"/>
        <v/>
      </c>
      <c r="E42" s="64" t="str">
        <f>IFERROR(IF($A43=0,HLOOKUP($C42,Declarations!$D$2:$S$102,$A37,FALSE),HLOOKUP(VLOOKUP($C42,Teams!$V$2:$W$19,2,FALSE),Declarations!$D$2:$S$102,$A37,FALSE)),"")</f>
        <v/>
      </c>
      <c r="F42" s="64" t="str">
        <f>IFERROR(IF($A43=0,HLOOKUP($C42*11,Declarations!$D$2:$S$102,$A37,FALSE),HLOOKUP(VLOOKUP($C42&amp;$C42,Teams!$V$2:$W$19,2,FALSE),Declarations!$D$2:$S$102,$A37,FALSE)),"")</f>
        <v/>
      </c>
      <c r="G42" s="64" t="str">
        <f>IFERROR(IF($A43=0,HLOOKUP($C42,Declarations!$D$2:$S$102,$A37+1,FALSE),HLOOKUP(VLOOKUP($C42,Teams!$V$2:$W$19,2,FALSE),Declarations!$D$2:$S$102,$A37+1,FALSE)),"")</f>
        <v/>
      </c>
      <c r="H42" s="64" t="str">
        <f>IFERROR(IF($A43=0,HLOOKUP($C42*11,Declarations!$D$2:$S$102,$A37+1,FALSE),HLOOKUP(VLOOKUP($C42&amp;$C42,Teams!$V$2:$W$19,2,FALSE),Declarations!$D$2:$S$102,$A37+1,FALSE)),"")</f>
        <v/>
      </c>
      <c r="I42" s="122"/>
      <c r="L42" s="66">
        <f ca="1">IFERROR(IF(OR(C42=0,C42="",I42=0,I42="",$L36&lt;&gt;0,LEFT(I42,1)="D"),0,VLOOKUP(B42,INDIRECT(MatchDay!$W$2),2,FALSE)),"")</f>
        <v>0</v>
      </c>
    </row>
    <row r="43" spans="1:15" x14ac:dyDescent="0.35">
      <c r="A43" s="184">
        <f>IFERROR(SEARCH("U17",B35),0)</f>
        <v>0</v>
      </c>
      <c r="B43" s="117">
        <v>7</v>
      </c>
      <c r="C43" s="120"/>
      <c r="D43" s="64" t="str">
        <f t="shared" si="3"/>
        <v/>
      </c>
      <c r="E43" s="64" t="str">
        <f>IFERROR(IF($A43=0,HLOOKUP($C43,Declarations!$D$2:$S$102,$A37,FALSE),HLOOKUP(VLOOKUP($C43,Teams!$V$2:$W$19,2,FALSE),Declarations!$D$2:$S$102,$A37,FALSE)),"")</f>
        <v/>
      </c>
      <c r="F43" s="64" t="str">
        <f>IFERROR(IF($A43=0,HLOOKUP($C43*11,Declarations!$D$2:$S$102,$A37,FALSE),HLOOKUP(VLOOKUP($C43&amp;$C43,Teams!$V$2:$W$19,2,FALSE),Declarations!$D$2:$S$102,$A37,FALSE)),"")</f>
        <v/>
      </c>
      <c r="G43" s="64" t="str">
        <f>IFERROR(IF($A43=0,HLOOKUP($C43,Declarations!$D$2:$S$102,$A37+1,FALSE),HLOOKUP(VLOOKUP($C43,Teams!$V$2:$W$19,2,FALSE),Declarations!$D$2:$S$102,$A37+1,FALSE)),"")</f>
        <v/>
      </c>
      <c r="H43" s="64" t="str">
        <f>IFERROR(IF($A43=0,HLOOKUP($C43*11,Declarations!$D$2:$S$102,$A37+1,FALSE),HLOOKUP(VLOOKUP($C43&amp;$C43,Teams!$V$2:$W$19,2,FALSE),Declarations!$D$2:$S$102,$A37+1,FALSE)),"")</f>
        <v/>
      </c>
      <c r="I43" s="122"/>
      <c r="L43" s="66">
        <f ca="1">IFERROR(IF(OR(C43=0,C43="",I43=0,I43="",$L36&lt;&gt;0,LEFT(I43,1)="D"),0,VLOOKUP(B43,INDIRECT(MatchDay!$W$2),2,FALSE)),"")</f>
        <v>0</v>
      </c>
    </row>
    <row r="44" spans="1:15" x14ac:dyDescent="0.35">
      <c r="A44" s="116">
        <f>IFERROR(VLOOKUP(A35,records,5,FALSE),"")</f>
        <v>45.4</v>
      </c>
      <c r="B44" s="117">
        <v>8</v>
      </c>
      <c r="C44" s="120"/>
      <c r="D44" s="64" t="str">
        <f t="shared" si="3"/>
        <v/>
      </c>
      <c r="E44" s="64" t="str">
        <f>IFERROR(IF($A43=0,HLOOKUP($C44,Declarations!$D$2:$S$102,$A37,FALSE),HLOOKUP(VLOOKUP($C44,Teams!$V$2:$W$19,2,FALSE),Declarations!$D$2:$S$102,$A37,FALSE)),"")</f>
        <v/>
      </c>
      <c r="F44" s="64" t="str">
        <f>IFERROR(IF($A43=0,HLOOKUP($C44*11,Declarations!$D$2:$S$102,$A37,FALSE),HLOOKUP(VLOOKUP($C44&amp;$C44,Teams!$V$2:$W$19,2,FALSE),Declarations!$D$2:$S$102,$A37,FALSE)),"")</f>
        <v/>
      </c>
      <c r="G44" s="64" t="str">
        <f>IFERROR(IF($A43=0,HLOOKUP($C44,Declarations!$D$2:$S$102,$A37+1,FALSE),HLOOKUP(VLOOKUP($C44,Teams!$V$2:$W$19,2,FALSE),Declarations!$D$2:$S$102,$A37+1,FALSE)),"")</f>
        <v/>
      </c>
      <c r="H44" s="64" t="str">
        <f>IFERROR(IF($A43=0,HLOOKUP($C44*11,Declarations!$D$2:$S$102,$A37+1,FALSE),HLOOKUP(VLOOKUP($C44&amp;$C44,Teams!$V$2:$W$19,2,FALSE),Declarations!$D$2:$S$102,$A37+1,FALSE)),"")</f>
        <v/>
      </c>
      <c r="I44" s="122"/>
      <c r="L44" s="66">
        <f ca="1">IFERROR(IF(OR(C44=0,C44="",I44=0,I44="",$L36&lt;&gt;0,LEFT(I44,1)="D"),0,VLOOKUP(B44,INDIRECT(MatchDay!$W$2),2,FALSE)),"")</f>
        <v>0</v>
      </c>
    </row>
    <row r="45" spans="1:15" x14ac:dyDescent="0.35">
      <c r="I45" s="307"/>
    </row>
    <row r="46" spans="1:15" x14ac:dyDescent="0.35">
      <c r="A46" s="111" t="s">
        <v>313</v>
      </c>
      <c r="B46" s="112" t="str">
        <f>IFERROR(A47&amp;" "&amp;VLOOKUP(A46,timetables,2,FALSE)&amp;" "&amp;VLOOKUP(A46,timetables,3,FALSE)&amp;" A","")</f>
        <v xml:space="preserve"> 4 x 300m U15 Girls A</v>
      </c>
      <c r="C46" s="112"/>
      <c r="I46" s="308" t="s">
        <v>179</v>
      </c>
      <c r="L46" s="66" t="s">
        <v>53</v>
      </c>
    </row>
    <row r="47" spans="1:15" x14ac:dyDescent="0.35">
      <c r="A47" s="82"/>
      <c r="B47" s="45" t="s">
        <v>230</v>
      </c>
      <c r="C47" s="45" t="s">
        <v>183</v>
      </c>
      <c r="D47" s="47" t="s">
        <v>228</v>
      </c>
      <c r="E47" s="47" t="s">
        <v>549</v>
      </c>
      <c r="F47" s="47" t="s">
        <v>550</v>
      </c>
      <c r="G47" s="47" t="s">
        <v>551</v>
      </c>
      <c r="H47" s="47" t="s">
        <v>552</v>
      </c>
      <c r="I47" s="309" t="s">
        <v>229</v>
      </c>
      <c r="L47" s="66">
        <f>IFERROR(SEARCH("NS",B46),0)</f>
        <v>0</v>
      </c>
      <c r="O47" s="67"/>
    </row>
    <row r="48" spans="1:15" x14ac:dyDescent="0.35">
      <c r="A48" s="181">
        <f>IFERROR(VLOOKUP(A46,Timetables!$A:$E,5,FALSE)-1,"")</f>
        <v>24</v>
      </c>
      <c r="B48" s="117">
        <v>1</v>
      </c>
      <c r="C48" s="120">
        <v>4</v>
      </c>
      <c r="D48" s="64" t="str">
        <f t="shared" ref="D48:D55" si="4">IFERROR(VLOOKUP(C48,teamlookup,5,FALSE),"")</f>
        <v>M'bro</v>
      </c>
      <c r="E48" s="64" t="str">
        <f ca="1">IFERROR(IF($A54=0,HLOOKUP($C48,Declarations!$D$2:$S$102,$A48,FALSE),HLOOKUP(VLOOKUP($C48,Teams!$V$2:$W$19,2,FALSE),Declarations!$D$2:$S$102,$A48,FALSE)),"")</f>
        <v>MCNEILL Emma</v>
      </c>
      <c r="F48" s="64" t="str">
        <f ca="1">IFERROR(IF($A54=0,HLOOKUP($C48*11,Declarations!$D$2:$S$102,$A48,FALSE),HLOOKUP(VLOOKUP($C48&amp;$C48,Teams!$V$2:$W$19,2,FALSE),Declarations!$D$2:$S$102,$A48,FALSE)),"")</f>
        <v>LILLIE Imogen</v>
      </c>
      <c r="G48" s="64" t="str">
        <f ca="1">IFERROR(IF($A54=0,HLOOKUP($C48,Declarations!$D$2:$S$102,$A48+1,FALSE),HLOOKUP(VLOOKUP($C48,Teams!$V$2:$W$19,2,FALSE),Declarations!$D$2:$S$102,$A48+1,FALSE)),"")</f>
        <v>PYE Leoni</v>
      </c>
      <c r="H48" s="64" t="str">
        <f ca="1">IFERROR(IF($A54=0,HLOOKUP($C48*11,Declarations!$D$2:$S$102,$A48+1,FALSE),HLOOKUP(VLOOKUP($C48&amp;$C48,Teams!$V$2:$W$19,2,FALSE),Declarations!$D$2:$S$102,$A48+1,FALSE)),"")</f>
        <v>GILLIS Madelaine</v>
      </c>
      <c r="I48" s="125">
        <v>3.169</v>
      </c>
      <c r="K48" s="110">
        <f>IFERROR((INT(I48)*60+(I48-INT(I48))*100)/86400,"X")</f>
        <v>2.2789351851851851E-3</v>
      </c>
      <c r="L48" s="66">
        <f ca="1">IFERROR(IF(OR(C48=0,C48="",I48=0,I48="",$L47&lt;&gt;0,LEFT(I48,1)="D"),0,VLOOKUP(B48,INDIRECT(MatchDay!$W$2),2,FALSE)),"")</f>
        <v>8</v>
      </c>
      <c r="M48" s="347">
        <f>COUNTIF(I48,"&gt;0")</f>
        <v>1</v>
      </c>
      <c r="N48" s="66">
        <f>IFERROR(IF(C48&gt;88,1,0),0)</f>
        <v>0</v>
      </c>
    </row>
    <row r="49" spans="1:15" x14ac:dyDescent="0.35">
      <c r="A49" s="64">
        <v>0</v>
      </c>
      <c r="B49" s="117">
        <v>2</v>
      </c>
      <c r="C49" s="120">
        <v>3</v>
      </c>
      <c r="D49" s="64" t="str">
        <f t="shared" si="4"/>
        <v>York</v>
      </c>
      <c r="E49" s="64" t="str">
        <f ca="1">IFERROR(IF($A54=0,HLOOKUP($C49,Declarations!$D$2:$S$102,$A48,FALSE),HLOOKUP(VLOOKUP($C49,Teams!$V$2:$W$19,2,FALSE),Declarations!$D$2:$S$102,$A48,FALSE)),"")</f>
        <v>WALSH Tierney</v>
      </c>
      <c r="F49" s="64" t="str">
        <f ca="1">IFERROR(IF($A54=0,HLOOKUP($C49*11,Declarations!$D$2:$S$102,$A48,FALSE),HLOOKUP(VLOOKUP($C49&amp;$C49,Teams!$V$2:$W$19,2,FALSE),Declarations!$D$2:$S$102,$A48,FALSE)),"")</f>
        <v>BROOKS Carmen</v>
      </c>
      <c r="G49" s="64" t="str">
        <f ca="1">IFERROR(IF($A54=0,HLOOKUP($C49,Declarations!$D$2:$S$102,$A48+1,FALSE),HLOOKUP(VLOOKUP($C49,Teams!$V$2:$W$19,2,FALSE),Declarations!$D$2:$S$102,$A48+1,FALSE)),"")</f>
        <v>LEE Isabel</v>
      </c>
      <c r="H49" s="64" t="str">
        <f ca="1">IFERROR(IF($A54=0,HLOOKUP($C49*11,Declarations!$D$2:$S$102,$A48+1,FALSE),HLOOKUP(VLOOKUP($C49&amp;$C49,Teams!$V$2:$W$19,2,FALSE),Declarations!$D$2:$S$102,$A48+1,FALSE)),"")</f>
        <v>TWEDDLE Bella</v>
      </c>
      <c r="I49" s="125">
        <v>3.2250000000000001</v>
      </c>
      <c r="K49" s="110">
        <f t="shared" ref="K49:K66" si="5">IFERROR((INT(I49)*60+(I49-INT(I49))*100)/86400,"X")</f>
        <v>2.3437499999999999E-3</v>
      </c>
      <c r="L49" s="66">
        <f ca="1">IFERROR(IF(OR(C49=0,C49="",I49=0,I49="",$L47&lt;&gt;0,LEFT(I49,1)="D"),0,VLOOKUP(B49,INDIRECT(MatchDay!$W$2),2,FALSE)),"")</f>
        <v>6</v>
      </c>
    </row>
    <row r="50" spans="1:15" x14ac:dyDescent="0.35">
      <c r="A50" s="118" t="str">
        <f>IFERROR(VLOOKUP(A46,standards,3,FALSE)+0.01,"-")</f>
        <v>-</v>
      </c>
      <c r="B50" s="117">
        <v>3</v>
      </c>
      <c r="C50" s="120">
        <v>1</v>
      </c>
      <c r="D50" s="64" t="str">
        <f t="shared" si="4"/>
        <v>C'field</v>
      </c>
      <c r="E50" s="64" t="str">
        <f ca="1">IFERROR(IF($A54=0,HLOOKUP($C50,Declarations!$D$2:$S$102,$A48,FALSE),HLOOKUP(VLOOKUP($C50,Teams!$V$2:$W$19,2,FALSE),Declarations!$D$2:$S$102,$A48,FALSE)),"")</f>
        <v>LABAN Ella</v>
      </c>
      <c r="F50" s="64" t="str">
        <f ca="1">IFERROR(IF($A54=0,HLOOKUP($C50*11,Declarations!$D$2:$S$102,$A48,FALSE),HLOOKUP(VLOOKUP($C50&amp;$C50,Teams!$V$2:$W$19,2,FALSE),Declarations!$D$2:$S$102,$A48,FALSE)),"")</f>
        <v>DUNKLEY Autum</v>
      </c>
      <c r="G50" s="64" t="str">
        <f ca="1">IFERROR(IF($A54=0,HLOOKUP($C50,Declarations!$D$2:$S$102,$A48+1,FALSE),HLOOKUP(VLOOKUP($C50,Teams!$V$2:$W$19,2,FALSE),Declarations!$D$2:$S$102,$A48+1,FALSE)),"")</f>
        <v>PROCTOR Alicia</v>
      </c>
      <c r="H50" s="64" t="str">
        <f ca="1">IFERROR(IF($A54=0,HLOOKUP($C50*11,Declarations!$D$2:$S$102,$A48+1,FALSE),HLOOKUP(VLOOKUP($C50&amp;$C50,Teams!$V$2:$W$19,2,FALSE),Declarations!$D$2:$S$102,$A48+1,FALSE)),"")</f>
        <v>MOODY Hannah</v>
      </c>
      <c r="I50" s="125">
        <v>3.31</v>
      </c>
      <c r="K50" s="110">
        <f t="shared" si="5"/>
        <v>2.4421296296296296E-3</v>
      </c>
      <c r="L50" s="66">
        <f ca="1">IFERROR(IF(OR(C50=0,C50="",I50=0,I50="",$L47&lt;&gt;0,LEFT(I50,1)="D"),0,VLOOKUP(B50,INDIRECT(MatchDay!$W$2),2,FALSE)),"")</f>
        <v>5</v>
      </c>
    </row>
    <row r="51" spans="1:15" x14ac:dyDescent="0.35">
      <c r="A51" s="118" t="str">
        <f>IFERROR(VLOOKUP(A46,standards,4,FALSE)+0.01,"-")</f>
        <v>-</v>
      </c>
      <c r="B51" s="117">
        <v>4</v>
      </c>
      <c r="C51" s="120"/>
      <c r="D51" s="64" t="str">
        <f t="shared" si="4"/>
        <v/>
      </c>
      <c r="E51" s="64" t="str">
        <f>IFERROR(IF($A54=0,HLOOKUP($C51,Declarations!$D$2:$S$102,$A48,FALSE),HLOOKUP(VLOOKUP($C51,Teams!$V$2:$W$19,2,FALSE),Declarations!$D$2:$S$102,$A48,FALSE)),"")</f>
        <v/>
      </c>
      <c r="F51" s="64" t="str">
        <f>IFERROR(IF($A54=0,HLOOKUP($C51*11,Declarations!$D$2:$S$102,$A48,FALSE),HLOOKUP(VLOOKUP($C51&amp;$C51,Teams!$V$2:$W$19,2,FALSE),Declarations!$D$2:$S$102,$A48,FALSE)),"")</f>
        <v/>
      </c>
      <c r="G51" s="64" t="str">
        <f>IFERROR(IF($A54=0,HLOOKUP($C51,Declarations!$D$2:$S$102,$A48+1,FALSE),HLOOKUP(VLOOKUP($C51,Teams!$V$2:$W$19,2,FALSE),Declarations!$D$2:$S$102,$A48+1,FALSE)),"")</f>
        <v/>
      </c>
      <c r="H51" s="64" t="str">
        <f>IFERROR(IF($A54=0,HLOOKUP($C51*11,Declarations!$D$2:$S$102,$A48+1,FALSE),HLOOKUP(VLOOKUP($C51&amp;$C51,Teams!$V$2:$W$19,2,FALSE),Declarations!$D$2:$S$102,$A48+1,FALSE)),"")</f>
        <v/>
      </c>
      <c r="I51" s="125"/>
      <c r="K51" s="110">
        <f t="shared" si="5"/>
        <v>0</v>
      </c>
      <c r="L51" s="66">
        <f ca="1">IFERROR(IF(OR(C51=0,C51="",I51=0,I51="",$L47&lt;&gt;0,LEFT(I51,1)="D"),0,VLOOKUP(B51,INDIRECT(MatchDay!$W$2),2,FALSE)),"")</f>
        <v>0</v>
      </c>
    </row>
    <row r="52" spans="1:15" x14ac:dyDescent="0.35">
      <c r="A52" s="118" t="str">
        <f>IFERROR(VLOOKUP(A46,standards,5,FALSE)+0.01,"-")</f>
        <v>-</v>
      </c>
      <c r="B52" s="117">
        <v>5</v>
      </c>
      <c r="C52" s="120"/>
      <c r="D52" s="64" t="str">
        <f t="shared" si="4"/>
        <v/>
      </c>
      <c r="E52" s="64" t="str">
        <f>IFERROR(IF($A54=0,HLOOKUP($C52,Declarations!$D$2:$S$102,$A48,FALSE),HLOOKUP(VLOOKUP($C52,Teams!$V$2:$W$19,2,FALSE),Declarations!$D$2:$S$102,$A48,FALSE)),"")</f>
        <v/>
      </c>
      <c r="F52" s="64" t="str">
        <f>IFERROR(IF($A54=0,HLOOKUP($C52*11,Declarations!$D$2:$S$102,$A48,FALSE),HLOOKUP(VLOOKUP($C52&amp;$C52,Teams!$V$2:$W$19,2,FALSE),Declarations!$D$2:$S$102,$A48,FALSE)),"")</f>
        <v/>
      </c>
      <c r="G52" s="64" t="str">
        <f>IFERROR(IF($A54=0,HLOOKUP($C52,Declarations!$D$2:$S$102,$A48+1,FALSE),HLOOKUP(VLOOKUP($C52,Teams!$V$2:$W$19,2,FALSE),Declarations!$D$2:$S$102,$A48+1,FALSE)),"")</f>
        <v/>
      </c>
      <c r="H52" s="64" t="str">
        <f>IFERROR(IF($A54=0,HLOOKUP($C52*11,Declarations!$D$2:$S$102,$A48+1,FALSE),HLOOKUP(VLOOKUP($C52&amp;$C52,Teams!$V$2:$W$19,2,FALSE),Declarations!$D$2:$S$102,$A48+1,FALSE)),"")</f>
        <v/>
      </c>
      <c r="I52" s="125"/>
      <c r="K52" s="110">
        <f t="shared" si="5"/>
        <v>0</v>
      </c>
      <c r="L52" s="66">
        <f ca="1">IFERROR(IF(OR(C52=0,C52="",I52=0,I52="",$L47&lt;&gt;0,LEFT(I52,1)="D"),0,VLOOKUP(B52,INDIRECT(MatchDay!$W$2),2,FALSE)),"")</f>
        <v>0</v>
      </c>
    </row>
    <row r="53" spans="1:15" x14ac:dyDescent="0.35">
      <c r="A53" s="118" t="str">
        <f>IFERROR(VLOOKUP(A46,standards,6,FALSE)+0.01,"-")</f>
        <v>-</v>
      </c>
      <c r="B53" s="117">
        <v>6</v>
      </c>
      <c r="C53" s="120"/>
      <c r="D53" s="64" t="str">
        <f t="shared" si="4"/>
        <v/>
      </c>
      <c r="E53" s="64" t="str">
        <f>IFERROR(IF($A54=0,HLOOKUP($C53,Declarations!$D$2:$S$102,$A48,FALSE),HLOOKUP(VLOOKUP($C53,Teams!$V$2:$W$19,2,FALSE),Declarations!$D$2:$S$102,$A48,FALSE)),"")</f>
        <v/>
      </c>
      <c r="F53" s="64" t="str">
        <f>IFERROR(IF($A54=0,HLOOKUP($C53*11,Declarations!$D$2:$S$102,$A48,FALSE),HLOOKUP(VLOOKUP($C53&amp;$C53,Teams!$V$2:$W$19,2,FALSE),Declarations!$D$2:$S$102,$A48,FALSE)),"")</f>
        <v/>
      </c>
      <c r="G53" s="64" t="str">
        <f>IFERROR(IF($A54=0,HLOOKUP($C53,Declarations!$D$2:$S$102,$A48+1,FALSE),HLOOKUP(VLOOKUP($C53,Teams!$V$2:$W$19,2,FALSE),Declarations!$D$2:$S$102,$A48+1,FALSE)),"")</f>
        <v/>
      </c>
      <c r="H53" s="64" t="str">
        <f>IFERROR(IF($A54=0,HLOOKUP($C53*11,Declarations!$D$2:$S$102,$A48+1,FALSE),HLOOKUP(VLOOKUP($C53&amp;$C53,Teams!$V$2:$W$19,2,FALSE),Declarations!$D$2:$S$102,$A48+1,FALSE)),"")</f>
        <v/>
      </c>
      <c r="I53" s="125"/>
      <c r="K53" s="110">
        <f t="shared" si="5"/>
        <v>0</v>
      </c>
      <c r="L53" s="66">
        <f ca="1">IFERROR(IF(OR(C53=0,C53="",I53=0,I53="",$L47&lt;&gt;0,LEFT(I53,1)="D"),0,VLOOKUP(B53,INDIRECT(MatchDay!$W$2),2,FALSE)),"")</f>
        <v>0</v>
      </c>
    </row>
    <row r="54" spans="1:15" x14ac:dyDescent="0.35">
      <c r="A54" s="184">
        <f>IFERROR(SEARCH("U17",B46),0)</f>
        <v>0</v>
      </c>
      <c r="B54" s="117">
        <v>7</v>
      </c>
      <c r="C54" s="120"/>
      <c r="D54" s="64" t="str">
        <f t="shared" si="4"/>
        <v/>
      </c>
      <c r="E54" s="64" t="str">
        <f>IFERROR(IF($A54=0,HLOOKUP($C54,Declarations!$D$2:$S$102,$A48,FALSE),HLOOKUP(VLOOKUP($C54,Teams!$V$2:$W$19,2,FALSE),Declarations!$D$2:$S$102,$A48,FALSE)),"")</f>
        <v/>
      </c>
      <c r="F54" s="64" t="str">
        <f>IFERROR(IF($A54=0,HLOOKUP($C54*11,Declarations!$D$2:$S$102,$A48,FALSE),HLOOKUP(VLOOKUP($C54&amp;$C54,Teams!$V$2:$W$19,2,FALSE),Declarations!$D$2:$S$102,$A48,FALSE)),"")</f>
        <v/>
      </c>
      <c r="G54" s="64" t="str">
        <f>IFERROR(IF($A54=0,HLOOKUP($C54,Declarations!$D$2:$S$102,$A48+1,FALSE),HLOOKUP(VLOOKUP($C54,Teams!$V$2:$W$19,2,FALSE),Declarations!$D$2:$S$102,$A48+1,FALSE)),"")</f>
        <v/>
      </c>
      <c r="H54" s="64" t="str">
        <f>IFERROR(IF($A54=0,HLOOKUP($C54*11,Declarations!$D$2:$S$102,$A48+1,FALSE),HLOOKUP(VLOOKUP($C54&amp;$C54,Teams!$V$2:$W$19,2,FALSE),Declarations!$D$2:$S$102,$A48+1,FALSE)),"")</f>
        <v/>
      </c>
      <c r="I54" s="125"/>
      <c r="K54" s="110">
        <f t="shared" si="5"/>
        <v>0</v>
      </c>
      <c r="L54" s="66">
        <f ca="1">IFERROR(IF(OR(C54=0,C54="",I54=0,I54="",$L47&lt;&gt;0,LEFT(I54,1)="D"),0,VLOOKUP(B54,INDIRECT(MatchDay!$W$2),2,FALSE)),"")</f>
        <v>0</v>
      </c>
    </row>
    <row r="55" spans="1:15" x14ac:dyDescent="0.35">
      <c r="A55" s="116">
        <f>IFERROR(VLOOKUP(A46,records,5,FALSE),"")</f>
        <v>1.9575231481481483E-3</v>
      </c>
      <c r="B55" s="117">
        <v>8</v>
      </c>
      <c r="C55" s="120"/>
      <c r="D55" s="64" t="str">
        <f t="shared" si="4"/>
        <v/>
      </c>
      <c r="E55" s="64" t="str">
        <f>IFERROR(IF($A54=0,HLOOKUP($C55,Declarations!$D$2:$S$102,$A48,FALSE),HLOOKUP(VLOOKUP($C55,Teams!$V$2:$W$19,2,FALSE),Declarations!$D$2:$S$102,$A48,FALSE)),"")</f>
        <v/>
      </c>
      <c r="F55" s="64" t="str">
        <f>IFERROR(IF($A54=0,HLOOKUP($C55*11,Declarations!$D$2:$S$102,$A48,FALSE),HLOOKUP(VLOOKUP($C55&amp;$C55,Teams!$V$2:$W$19,2,FALSE),Declarations!$D$2:$S$102,$A48,FALSE)),"")</f>
        <v/>
      </c>
      <c r="G55" s="64" t="str">
        <f>IFERROR(IF($A54=0,HLOOKUP($C55,Declarations!$D$2:$S$102,$A48+1,FALSE),HLOOKUP(VLOOKUP($C55,Teams!$V$2:$W$19,2,FALSE),Declarations!$D$2:$S$102,$A48+1,FALSE)),"")</f>
        <v/>
      </c>
      <c r="H55" s="64" t="str">
        <f>IFERROR(IF($A54=0,HLOOKUP($C55*11,Declarations!$D$2:$S$102,$A48+1,FALSE),HLOOKUP(VLOOKUP($C55&amp;$C55,Teams!$V$2:$W$19,2,FALSE),Declarations!$D$2:$S$102,$A48+1,FALSE)),"")</f>
        <v/>
      </c>
      <c r="I55" s="125"/>
      <c r="K55" s="110">
        <f t="shared" si="5"/>
        <v>0</v>
      </c>
      <c r="L55" s="66">
        <f ca="1">IFERROR(IF(OR(C55=0,C55="",I55=0,I55="",$L47&lt;&gt;0,LEFT(I55,1)="D"),0,VLOOKUP(B55,INDIRECT(MatchDay!$W$2),2,FALSE)),"")</f>
        <v>0</v>
      </c>
    </row>
    <row r="56" spans="1:15" x14ac:dyDescent="0.35">
      <c r="I56" s="307"/>
      <c r="K56" s="110">
        <f t="shared" si="5"/>
        <v>0</v>
      </c>
    </row>
    <row r="57" spans="1:15" x14ac:dyDescent="0.35">
      <c r="A57" s="111" t="s">
        <v>314</v>
      </c>
      <c r="B57" s="112" t="str">
        <f>IFERROR(A58&amp;" "&amp;VLOOKUP(A57,timetables,2,FALSE)&amp;" "&amp;VLOOKUP(A57,timetables,3,FALSE)&amp;" A","")</f>
        <v xml:space="preserve"> 4 x 300m U15 Boys A</v>
      </c>
      <c r="C57" s="112"/>
      <c r="I57" s="308" t="s">
        <v>179</v>
      </c>
      <c r="K57" s="110"/>
      <c r="L57" s="66" t="s">
        <v>53</v>
      </c>
    </row>
    <row r="58" spans="1:15" x14ac:dyDescent="0.35">
      <c r="A58" s="82"/>
      <c r="B58" s="45" t="s">
        <v>230</v>
      </c>
      <c r="C58" s="45" t="s">
        <v>183</v>
      </c>
      <c r="D58" s="47" t="s">
        <v>228</v>
      </c>
      <c r="E58" s="47" t="s">
        <v>549</v>
      </c>
      <c r="F58" s="47" t="s">
        <v>550</v>
      </c>
      <c r="G58" s="47" t="s">
        <v>551</v>
      </c>
      <c r="H58" s="47" t="s">
        <v>552</v>
      </c>
      <c r="I58" s="309" t="s">
        <v>229</v>
      </c>
      <c r="K58" s="110"/>
      <c r="L58" s="66">
        <f>IFERROR(SEARCH("NS",B57),0)</f>
        <v>0</v>
      </c>
      <c r="O58" s="67"/>
    </row>
    <row r="59" spans="1:15" x14ac:dyDescent="0.35">
      <c r="A59" s="181">
        <f>IFERROR(VLOOKUP(A57,Timetables!$A:$E,5,FALSE)-1,"")</f>
        <v>74</v>
      </c>
      <c r="B59" s="117">
        <v>1</v>
      </c>
      <c r="C59" s="120">
        <v>4</v>
      </c>
      <c r="D59" s="64" t="str">
        <f t="shared" ref="D59:D66" si="6">IFERROR(VLOOKUP(C59,teamlookup,5,FALSE),"")</f>
        <v>M'bro</v>
      </c>
      <c r="E59" s="64" t="str">
        <f ca="1">IFERROR(IF($A65=0,HLOOKUP($C59,Declarations!$D$2:$S$102,$A59,FALSE),HLOOKUP(VLOOKUP($C59,Teams!$V$2:$W$19,2,FALSE),Declarations!$D$2:$S$102,$A59,FALSE)),"")</f>
        <v>SAYERS James</v>
      </c>
      <c r="F59" s="64" t="str">
        <f ca="1">IFERROR(IF($A65=0,HLOOKUP($C59*11,Declarations!$D$2:$S$102,$A59,FALSE),HLOOKUP(VLOOKUP($C59&amp;$C59,Teams!$V$2:$W$19,2,FALSE),Declarations!$D$2:$S$102,$A59,FALSE)),"")</f>
        <v>IBEH Terrell</v>
      </c>
      <c r="G59" s="64" t="str">
        <f ca="1">IFERROR(IF($A65=0,HLOOKUP($C59,Declarations!$D$2:$S$102,$A59+1,FALSE),HLOOKUP(VLOOKUP($C59,Teams!$V$2:$W$19,2,FALSE),Declarations!$D$2:$S$102,$A59+1,FALSE)),"")</f>
        <v>KAYE Charlie</v>
      </c>
      <c r="H59" s="64" t="str">
        <f ca="1">IFERROR(IF($A65=0,HLOOKUP($C59*11,Declarations!$D$2:$S$102,$A59+1,FALSE),HLOOKUP(VLOOKUP($C59&amp;$C59,Teams!$V$2:$W$19,2,FALSE),Declarations!$D$2:$S$102,$A59+1,FALSE)),"")</f>
        <v>FRENCH William</v>
      </c>
      <c r="I59" s="125">
        <v>3.2549999999999999</v>
      </c>
      <c r="K59" s="110">
        <f t="shared" si="5"/>
        <v>2.3784722222222224E-3</v>
      </c>
      <c r="L59" s="66">
        <f ca="1">IFERROR(IF(OR(C59=0,C59="",I59=0,I59="",$L58&lt;&gt;0,LEFT(I59,1)="D"),0,VLOOKUP(B59,INDIRECT(MatchDay!$W$2),2,FALSE)),"")</f>
        <v>8</v>
      </c>
      <c r="M59" s="347">
        <f>COUNTIF(I59,"&gt;0")</f>
        <v>1</v>
      </c>
      <c r="N59" s="66">
        <f>IFERROR(IF(C59&gt;88,1,0),0)</f>
        <v>0</v>
      </c>
    </row>
    <row r="60" spans="1:15" x14ac:dyDescent="0.35">
      <c r="A60" s="64">
        <v>0</v>
      </c>
      <c r="B60" s="117">
        <v>2</v>
      </c>
      <c r="C60" s="120">
        <v>3</v>
      </c>
      <c r="D60" s="64" t="str">
        <f t="shared" si="6"/>
        <v>York</v>
      </c>
      <c r="E60" s="64" t="str">
        <f ca="1">IFERROR(IF($A65=0,HLOOKUP($C60,Declarations!$D$2:$S$102,$A59,FALSE),HLOOKUP(VLOOKUP($C60,Teams!$V$2:$W$19,2,FALSE),Declarations!$D$2:$S$102,$A59,FALSE)),"")</f>
        <v>HENSON Isaac</v>
      </c>
      <c r="F60" s="64" t="str">
        <f ca="1">IFERROR(IF($A65=0,HLOOKUP($C60*11,Declarations!$D$2:$S$102,$A59,FALSE),HLOOKUP(VLOOKUP($C60&amp;$C60,Teams!$V$2:$W$19,2,FALSE),Declarations!$D$2:$S$102,$A59,FALSE)),"")</f>
        <v>BRATLEY Jack</v>
      </c>
      <c r="G60" s="64" t="str">
        <f ca="1">IFERROR(IF($A65=0,HLOOKUP($C60,Declarations!$D$2:$S$102,$A59+1,FALSE),HLOOKUP(VLOOKUP($C60,Teams!$V$2:$W$19,2,FALSE),Declarations!$D$2:$S$102,$A59+1,FALSE)),"")</f>
        <v>HANLEY Edward</v>
      </c>
      <c r="H60" s="64" t="str">
        <f ca="1">IFERROR(IF($A65=0,HLOOKUP($C60*11,Declarations!$D$2:$S$102,$A59+1,FALSE),HLOOKUP(VLOOKUP($C60&amp;$C60,Teams!$V$2:$W$19,2,FALSE),Declarations!$D$2:$S$102,$A59+1,FALSE)),"")</f>
        <v>BROOKS Rory</v>
      </c>
      <c r="I60" s="125">
        <v>3.2610000000000001</v>
      </c>
      <c r="K60" s="110">
        <f t="shared" si="5"/>
        <v>2.3854166666666668E-3</v>
      </c>
      <c r="L60" s="66">
        <f ca="1">IFERROR(IF(OR(C60=0,C60="",I60=0,I60="",$L58&lt;&gt;0,LEFT(I60,1)="D"),0,VLOOKUP(B60,INDIRECT(MatchDay!$W$2),2,FALSE)),"")</f>
        <v>6</v>
      </c>
    </row>
    <row r="61" spans="1:15" x14ac:dyDescent="0.35">
      <c r="A61" s="118" t="str">
        <f>IFERROR(VLOOKUP(A57,standards,3,FALSE)+0.01,"-")</f>
        <v>-</v>
      </c>
      <c r="B61" s="117">
        <v>3</v>
      </c>
      <c r="C61" s="120">
        <v>1</v>
      </c>
      <c r="D61" s="64" t="str">
        <f t="shared" si="6"/>
        <v>C'field</v>
      </c>
      <c r="E61" s="64" t="str">
        <f ca="1">IFERROR(IF($A65=0,HLOOKUP($C61,Declarations!$D$2:$S$102,$A59,FALSE),HLOOKUP(VLOOKUP($C61,Teams!$V$2:$W$19,2,FALSE),Declarations!$D$2:$S$102,$A59,FALSE)),"")</f>
        <v>FOOT James</v>
      </c>
      <c r="F61" s="64" t="str">
        <f ca="1">IFERROR(IF($A65=0,HLOOKUP($C61*11,Declarations!$D$2:$S$102,$A59,FALSE),HLOOKUP(VLOOKUP($C61&amp;$C61,Teams!$V$2:$W$19,2,FALSE),Declarations!$D$2:$S$102,$A59,FALSE)),"")</f>
        <v>BETTNEY Thomas</v>
      </c>
      <c r="G61" s="64" t="str">
        <f ca="1">IFERROR(IF($A65=0,HLOOKUP($C61,Declarations!$D$2:$S$102,$A59+1,FALSE),HLOOKUP(VLOOKUP($C61,Teams!$V$2:$W$19,2,FALSE),Declarations!$D$2:$S$102,$A59+1,FALSE)),"")</f>
        <v>PEERS-WAIN Jacob</v>
      </c>
      <c r="H61" s="64" t="str">
        <f ca="1">IFERROR(IF($A65=0,HLOOKUP($C61*11,Declarations!$D$2:$S$102,$A59+1,FALSE),HLOOKUP(VLOOKUP($C61&amp;$C61,Teams!$V$2:$W$19,2,FALSE),Declarations!$D$2:$S$102,$A59+1,FALSE)),"")</f>
        <v>MAZUREK Gracjan</v>
      </c>
      <c r="I61" s="125">
        <v>3.4079999999999999</v>
      </c>
      <c r="K61" s="110">
        <f t="shared" si="5"/>
        <v>2.5555555555555553E-3</v>
      </c>
      <c r="L61" s="66">
        <f ca="1">IFERROR(IF(OR(C61=0,C61="",I61=0,I61="",$L58&lt;&gt;0,LEFT(I61,1)="D"),0,VLOOKUP(B61,INDIRECT(MatchDay!$W$2),2,FALSE)),"")</f>
        <v>5</v>
      </c>
    </row>
    <row r="62" spans="1:15" x14ac:dyDescent="0.35">
      <c r="A62" s="118" t="str">
        <f>IFERROR(VLOOKUP(A57,standards,4,FALSE)+0.01,"-")</f>
        <v>-</v>
      </c>
      <c r="B62" s="117">
        <v>4</v>
      </c>
      <c r="C62" s="120"/>
      <c r="D62" s="64" t="str">
        <f t="shared" si="6"/>
        <v/>
      </c>
      <c r="E62" s="64" t="str">
        <f>IFERROR(IF($A65=0,HLOOKUP($C62,Declarations!$D$2:$S$102,$A59,FALSE),HLOOKUP(VLOOKUP($C62,Teams!$V$2:$W$19,2,FALSE),Declarations!$D$2:$S$102,$A59,FALSE)),"")</f>
        <v/>
      </c>
      <c r="F62" s="64" t="str">
        <f>IFERROR(IF($A65=0,HLOOKUP($C62*11,Declarations!$D$2:$S$102,$A59,FALSE),HLOOKUP(VLOOKUP($C62&amp;$C62,Teams!$V$2:$W$19,2,FALSE),Declarations!$D$2:$S$102,$A59,FALSE)),"")</f>
        <v/>
      </c>
      <c r="G62" s="64" t="str">
        <f>IFERROR(IF($A65=0,HLOOKUP($C62,Declarations!$D$2:$S$102,$A59+1,FALSE),HLOOKUP(VLOOKUP($C62,Teams!$V$2:$W$19,2,FALSE),Declarations!$D$2:$S$102,$A59+1,FALSE)),"")</f>
        <v/>
      </c>
      <c r="H62" s="64" t="str">
        <f>IFERROR(IF($A65=0,HLOOKUP($C62*11,Declarations!$D$2:$S$102,$A59+1,FALSE),HLOOKUP(VLOOKUP($C62&amp;$C62,Teams!$V$2:$W$19,2,FALSE),Declarations!$D$2:$S$102,$A59+1,FALSE)),"")</f>
        <v/>
      </c>
      <c r="I62" s="125"/>
      <c r="K62" s="110">
        <f t="shared" si="5"/>
        <v>0</v>
      </c>
      <c r="L62" s="66">
        <f ca="1">IFERROR(IF(OR(C62=0,C62="",I62=0,I62="",$L58&lt;&gt;0,LEFT(I62,1)="D"),0,VLOOKUP(B62,INDIRECT(MatchDay!$W$2),2,FALSE)),"")</f>
        <v>0</v>
      </c>
    </row>
    <row r="63" spans="1:15" x14ac:dyDescent="0.35">
      <c r="A63" s="118" t="str">
        <f>IFERROR(VLOOKUP(A57,standards,5,FALSE)+0.01,"-")</f>
        <v>-</v>
      </c>
      <c r="B63" s="117">
        <v>5</v>
      </c>
      <c r="C63" s="120"/>
      <c r="D63" s="64" t="str">
        <f t="shared" si="6"/>
        <v/>
      </c>
      <c r="E63" s="64" t="str">
        <f>IFERROR(IF($A65=0,HLOOKUP($C63,Declarations!$D$2:$S$102,$A59,FALSE),HLOOKUP(VLOOKUP($C63,Teams!$V$2:$W$19,2,FALSE),Declarations!$D$2:$S$102,$A59,FALSE)),"")</f>
        <v/>
      </c>
      <c r="F63" s="64" t="str">
        <f>IFERROR(IF($A65=0,HLOOKUP($C63*11,Declarations!$D$2:$S$102,$A59,FALSE),HLOOKUP(VLOOKUP($C63&amp;$C63,Teams!$V$2:$W$19,2,FALSE),Declarations!$D$2:$S$102,$A59,FALSE)),"")</f>
        <v/>
      </c>
      <c r="G63" s="64" t="str">
        <f>IFERROR(IF($A65=0,HLOOKUP($C63,Declarations!$D$2:$S$102,$A59+1,FALSE),HLOOKUP(VLOOKUP($C63,Teams!$V$2:$W$19,2,FALSE),Declarations!$D$2:$S$102,$A59+1,FALSE)),"")</f>
        <v/>
      </c>
      <c r="H63" s="64" t="str">
        <f>IFERROR(IF($A65=0,HLOOKUP($C63*11,Declarations!$D$2:$S$102,$A59+1,FALSE),HLOOKUP(VLOOKUP($C63&amp;$C63,Teams!$V$2:$W$19,2,FALSE),Declarations!$D$2:$S$102,$A59+1,FALSE)),"")</f>
        <v/>
      </c>
      <c r="I63" s="125"/>
      <c r="K63" s="110">
        <f t="shared" si="5"/>
        <v>0</v>
      </c>
      <c r="L63" s="66">
        <f ca="1">IFERROR(IF(OR(C63=0,C63="",I63=0,I63="",$L58&lt;&gt;0,LEFT(I63,1)="D"),0,VLOOKUP(B63,INDIRECT(MatchDay!$W$2),2,FALSE)),"")</f>
        <v>0</v>
      </c>
    </row>
    <row r="64" spans="1:15" x14ac:dyDescent="0.35">
      <c r="A64" s="118" t="str">
        <f>IFERROR(VLOOKUP(A57,standards,6,FALSE)+0.01,"-")</f>
        <v>-</v>
      </c>
      <c r="B64" s="117">
        <v>6</v>
      </c>
      <c r="C64" s="120"/>
      <c r="D64" s="64" t="str">
        <f t="shared" si="6"/>
        <v/>
      </c>
      <c r="E64" s="64" t="str">
        <f>IFERROR(IF($A65=0,HLOOKUP($C64,Declarations!$D$2:$S$102,$A59,FALSE),HLOOKUP(VLOOKUP($C64,Teams!$V$2:$W$19,2,FALSE),Declarations!$D$2:$S$102,$A59,FALSE)),"")</f>
        <v/>
      </c>
      <c r="F64" s="64" t="str">
        <f>IFERROR(IF($A65=0,HLOOKUP($C64*11,Declarations!$D$2:$S$102,$A59,FALSE),HLOOKUP(VLOOKUP($C64&amp;$C64,Teams!$V$2:$W$19,2,FALSE),Declarations!$D$2:$S$102,$A59,FALSE)),"")</f>
        <v/>
      </c>
      <c r="G64" s="64" t="str">
        <f>IFERROR(IF($A65=0,HLOOKUP($C64,Declarations!$D$2:$S$102,$A59+1,FALSE),HLOOKUP(VLOOKUP($C64,Teams!$V$2:$W$19,2,FALSE),Declarations!$D$2:$S$102,$A59+1,FALSE)),"")</f>
        <v/>
      </c>
      <c r="H64" s="64" t="str">
        <f>IFERROR(IF($A65=0,HLOOKUP($C64*11,Declarations!$D$2:$S$102,$A59+1,FALSE),HLOOKUP(VLOOKUP($C64&amp;$C64,Teams!$V$2:$W$19,2,FALSE),Declarations!$D$2:$S$102,$A59+1,FALSE)),"")</f>
        <v/>
      </c>
      <c r="I64" s="125"/>
      <c r="K64" s="110">
        <f t="shared" si="5"/>
        <v>0</v>
      </c>
      <c r="L64" s="66">
        <f ca="1">IFERROR(IF(OR(C64=0,C64="",I64=0,I64="",$L58&lt;&gt;0,LEFT(I64,1)="D"),0,VLOOKUP(B64,INDIRECT(MatchDay!$W$2),2,FALSE)),"")</f>
        <v>0</v>
      </c>
    </row>
    <row r="65" spans="1:12" x14ac:dyDescent="0.35">
      <c r="A65" s="184">
        <f>IFERROR(SEARCH("U17",B57),0)</f>
        <v>0</v>
      </c>
      <c r="B65" s="117">
        <v>7</v>
      </c>
      <c r="C65" s="120"/>
      <c r="D65" s="64" t="str">
        <f t="shared" si="6"/>
        <v/>
      </c>
      <c r="E65" s="64" t="str">
        <f>IFERROR(IF($A65=0,HLOOKUP($C65,Declarations!$D$2:$S$102,$A59,FALSE),HLOOKUP(VLOOKUP($C65,Teams!$V$2:$W$19,2,FALSE),Declarations!$D$2:$S$102,$A59,FALSE)),"")</f>
        <v/>
      </c>
      <c r="F65" s="64" t="str">
        <f>IFERROR(IF($A65=0,HLOOKUP($C65*11,Declarations!$D$2:$S$102,$A59,FALSE),HLOOKUP(VLOOKUP($C65&amp;$C65,Teams!$V$2:$W$19,2,FALSE),Declarations!$D$2:$S$102,$A59,FALSE)),"")</f>
        <v/>
      </c>
      <c r="G65" s="64" t="str">
        <f>IFERROR(IF($A65=0,HLOOKUP($C65,Declarations!$D$2:$S$102,$A59+1,FALSE),HLOOKUP(VLOOKUP($C65,Teams!$V$2:$W$19,2,FALSE),Declarations!$D$2:$S$102,$A59+1,FALSE)),"")</f>
        <v/>
      </c>
      <c r="H65" s="64" t="str">
        <f>IFERROR(IF($A65=0,HLOOKUP($C65*11,Declarations!$D$2:$S$102,$A59+1,FALSE),HLOOKUP(VLOOKUP($C65&amp;$C65,Teams!$V$2:$W$19,2,FALSE),Declarations!$D$2:$S$102,$A59+1,FALSE)),"")</f>
        <v/>
      </c>
      <c r="I65" s="125"/>
      <c r="K65" s="110">
        <f t="shared" si="5"/>
        <v>0</v>
      </c>
      <c r="L65" s="66">
        <f ca="1">IFERROR(IF(OR(C65=0,C65="",I65=0,I65="",$L58&lt;&gt;0,LEFT(I65,1)="D"),0,VLOOKUP(B65,INDIRECT(MatchDay!$W$2),2,FALSE)),"")</f>
        <v>0</v>
      </c>
    </row>
    <row r="66" spans="1:12" x14ac:dyDescent="0.35">
      <c r="A66" s="116">
        <f>IFERROR(VLOOKUP(A57,records,5,FALSE),"")</f>
        <v>1.7754629629629631E-3</v>
      </c>
      <c r="B66" s="117">
        <v>8</v>
      </c>
      <c r="C66" s="120"/>
      <c r="D66" s="64" t="str">
        <f t="shared" si="6"/>
        <v/>
      </c>
      <c r="E66" s="64" t="str">
        <f>IFERROR(IF($A65=0,HLOOKUP($C66,Declarations!$D$2:$S$102,$A59,FALSE),HLOOKUP(VLOOKUP($C66,Teams!$V$2:$W$19,2,FALSE),Declarations!$D$2:$S$102,$A59,FALSE)),"")</f>
        <v/>
      </c>
      <c r="F66" s="64" t="str">
        <f>IFERROR(IF($A65=0,HLOOKUP($C66*11,Declarations!$D$2:$S$102,$A59,FALSE),HLOOKUP(VLOOKUP($C66&amp;$C66,Teams!$V$2:$W$19,2,FALSE),Declarations!$D$2:$S$102,$A59,FALSE)),"")</f>
        <v/>
      </c>
      <c r="G66" s="64" t="str">
        <f>IFERROR(IF($A65=0,HLOOKUP($C66,Declarations!$D$2:$S$102,$A59+1,FALSE),HLOOKUP(VLOOKUP($C66,Teams!$V$2:$W$19,2,FALSE),Declarations!$D$2:$S$102,$A59+1,FALSE)),"")</f>
        <v/>
      </c>
      <c r="H66" s="64" t="str">
        <f>IFERROR(IF($A65=0,HLOOKUP($C66*11,Declarations!$D$2:$S$102,$A59+1,FALSE),HLOOKUP(VLOOKUP($C66&amp;$C66,Teams!$V$2:$W$19,2,FALSE),Declarations!$D$2:$S$102,$A59+1,FALSE)),"")</f>
        <v/>
      </c>
      <c r="I66" s="125"/>
      <c r="K66" s="110">
        <f t="shared" si="5"/>
        <v>0</v>
      </c>
      <c r="L66" s="66">
        <f ca="1">IFERROR(IF(OR(C66=0,C66="",I66=0,I66="",$L58&lt;&gt;0,LEFT(I66,1)="D"),0,VLOOKUP(B66,INDIRECT(MatchDay!$W$2),2,FALSE)),"")</f>
        <v>0</v>
      </c>
    </row>
  </sheetData>
  <sheetProtection algorithmName="SHA-512" hashValue="iDkt2i/O8iSfe4qxmTRKAciWdngY3iYPkYUspI4UZ801l2DUHzv3EaDniEVewUMrHvKrTNOVnzqtozeRbSowHA==" saltValue="O7iySZK0213+j52ztxZxcw==" spinCount="100000" sheet="1" objects="1" scenarios="1" formatCells="0" formatColumns="0" formatRows="0" sort="0" autoFilter="0"/>
  <conditionalFormatting sqref="C4:C11">
    <cfRule type="duplicateValues" dxfId="62" priority="126"/>
  </conditionalFormatting>
  <conditionalFormatting sqref="C15:C22">
    <cfRule type="duplicateValues" dxfId="61" priority="6"/>
  </conditionalFormatting>
  <conditionalFormatting sqref="C26:C33">
    <cfRule type="duplicateValues" dxfId="60" priority="5"/>
  </conditionalFormatting>
  <conditionalFormatting sqref="C37:C44">
    <cfRule type="duplicateValues" dxfId="59" priority="4"/>
  </conditionalFormatting>
  <conditionalFormatting sqref="C48:C55">
    <cfRule type="duplicateValues" dxfId="58" priority="3"/>
  </conditionalFormatting>
  <conditionalFormatting sqref="C59:C66">
    <cfRule type="duplicateValues" dxfId="57" priority="2"/>
  </conditionalFormatting>
  <conditionalFormatting sqref="I48:I66">
    <cfRule type="expression" dxfId="56" priority="1">
      <formula>$K48="X"</formula>
    </cfRule>
  </conditionalFormatting>
  <dataValidations count="2">
    <dataValidation type="custom" allowBlank="1" showInputMessage="1" showErrorMessage="1" errorTitle="Check Performance" error="Better than the one before" sqref="I5:I11 I16:I22 I27:I33 I38:I44 I49:I55 I60:I66" xr:uid="{00000000-0002-0000-0E00-000000000000}">
      <formula1>I5&gt;=I4</formula1>
    </dataValidation>
    <dataValidation type="list" allowBlank="1" showInputMessage="1" showErrorMessage="1" sqref="C4:C11 C15:C22 C26:C33 C37:C44 C48:C55 C59:C66" xr:uid="{00000000-0002-0000-0E00-000001000000}">
      <formula1>numbers_A</formula1>
    </dataValidation>
  </dataValidation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1" manualBreakCount="1">
    <brk id="45" min="1" max="8"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5">
    <tabColor theme="7" tint="-0.249977111117893"/>
  </sheetPr>
  <dimension ref="A1:T145"/>
  <sheetViews>
    <sheetView showZeros="0" topLeftCell="D1" workbookViewId="0">
      <pane ySplit="1" topLeftCell="A87" activePane="bottomLeft" state="frozenSplit"/>
      <selection activeCell="K3" sqref="K3:N3"/>
      <selection pane="bottomLeft" activeCell="H115" sqref="H115"/>
    </sheetView>
  </sheetViews>
  <sheetFormatPr defaultColWidth="8" defaultRowHeight="13.9" x14ac:dyDescent="0.45"/>
  <cols>
    <col min="1" max="1" width="8" style="328" hidden="1" customWidth="1"/>
    <col min="2" max="3" width="3.86328125" style="323" hidden="1" customWidth="1"/>
    <col min="4" max="4" width="8.86328125" style="323" customWidth="1"/>
    <col min="5" max="5" width="5.86328125" style="397" customWidth="1"/>
    <col min="6" max="7" width="25.86328125" style="323" customWidth="1"/>
    <col min="8" max="8" width="8.3984375" style="397" bestFit="1" customWidth="1"/>
    <col min="9" max="9" width="8.3984375" style="323" hidden="1" customWidth="1"/>
    <col min="10" max="12" width="8" style="324" hidden="1" customWidth="1"/>
    <col min="13" max="20" width="8" style="323" hidden="1" customWidth="1"/>
    <col min="21" max="22" width="8" style="323" customWidth="1"/>
    <col min="23" max="16384" width="8" style="323"/>
  </cols>
  <sheetData>
    <row r="1" spans="1:20" ht="40.5" customHeight="1" x14ac:dyDescent="0.45">
      <c r="A1" s="318" t="s">
        <v>309</v>
      </c>
      <c r="B1" s="319">
        <v>19</v>
      </c>
      <c r="C1" s="319">
        <v>28</v>
      </c>
      <c r="D1" s="320"/>
      <c r="E1" s="223" t="str">
        <f>IFERROR(A2&amp;" "&amp;VLOOKUP(A1,timetables,2,FALSE)&amp;" "&amp;VLOOKUP(A1,timetables,3,FALSE)&amp;" A","")</f>
        <v xml:space="preserve"> 1200m U13 Girls A</v>
      </c>
      <c r="F1" s="321"/>
      <c r="G1" s="321"/>
      <c r="H1" s="398" t="s">
        <v>229</v>
      </c>
      <c r="J1" s="322">
        <f>SUM(J2:J110)</f>
        <v>0</v>
      </c>
      <c r="N1" s="325"/>
      <c r="O1" s="325"/>
    </row>
    <row r="2" spans="1:20" x14ac:dyDescent="0.45">
      <c r="A2" s="326"/>
      <c r="B2" s="327">
        <f>IFERROR(IF(A3=0,E2,VLOOKUP(E2,Teams!$V$2:$W$19,2,FALSE)),"")</f>
        <v>3</v>
      </c>
      <c r="D2" s="327">
        <v>1</v>
      </c>
      <c r="E2" s="396">
        <v>3</v>
      </c>
      <c r="F2" s="328" t="str">
        <f ca="1">IFERROR(IF(A3=0,HLOOKUP(E2,Declarations!$D$2:$S$102,A5,FALSE),HLOOKUP(VLOOKUP(E2,Teams!$V$2:$W$19,2,FALSE),Declarations!$D$2:$S$102,A5,FALSE)),"")</f>
        <v>LANGAN Lottie</v>
      </c>
      <c r="G2" s="328" t="str">
        <f t="shared" ref="G2:G17" si="0">IFERROR(VLOOKUP(E2,teamlookup,5,FALSE),"")</f>
        <v>York</v>
      </c>
      <c r="H2" s="385">
        <v>4.1820000000000004</v>
      </c>
      <c r="I2" s="348">
        <f>IFERROR(IF(LEFT(H2,1)="D",H2,(INT(H2)*60+(H2-INT(H2))*100)/86400),"X")</f>
        <v>2.9884259259259265E-3</v>
      </c>
      <c r="J2" s="324">
        <f>IFERROR(IF(H2=99,1,0),0)</f>
        <v>0</v>
      </c>
      <c r="K2" s="330">
        <v>1</v>
      </c>
      <c r="L2" s="324">
        <f>IFERROR(VLOOKUP(K2,B2:D17,3,FALSE),"")</f>
        <v>5</v>
      </c>
      <c r="M2" s="331" t="str">
        <f>IFERROR(IF(L2=0,0,IF(OR(VLOOKUP(K2*11,$K10:$L17,2,FALSE)=0,L2&lt;=VLOOKUP(K2*11,$K10:$L17,2,FALSE)),"A","B")),"")</f>
        <v>B</v>
      </c>
      <c r="N2" s="331" t="str">
        <f>IF(M2=0,0,IF(OR(R2="",M2="B"),"",RANK(R2,R2:R17,1)))</f>
        <v/>
      </c>
      <c r="O2" s="331">
        <f>IF(M2=0,0,IF(OR(S2="",M2="A"),"",RANK(S2,S2:S17,1)))</f>
        <v>2</v>
      </c>
      <c r="P2" s="332">
        <f t="shared" ref="P2:P17" si="1">K2</f>
        <v>1</v>
      </c>
      <c r="Q2" s="333"/>
      <c r="R2" s="334" t="str">
        <f>IFERROR(IF(OR(L2=0,M2="B"),"",L2),"")</f>
        <v/>
      </c>
      <c r="S2" s="334">
        <f>IFERROR(IF(OR(L2=0,M2="A"),"",L2),"")</f>
        <v>5</v>
      </c>
      <c r="T2" s="328"/>
    </row>
    <row r="3" spans="1:20" x14ac:dyDescent="0.45">
      <c r="A3" s="335">
        <f>IFERROR(SEARCH("U17",E1),0)</f>
        <v>0</v>
      </c>
      <c r="B3" s="327">
        <f>IFERROR(IF(A3=0,E3,VLOOKUP(E3,Teams!$V$2:$W$19,2,FALSE)),"")</f>
        <v>33</v>
      </c>
      <c r="D3" s="327">
        <v>2</v>
      </c>
      <c r="E3" s="396">
        <v>33</v>
      </c>
      <c r="F3" s="328" t="str">
        <f ca="1">IFERROR(IF(A3=0,HLOOKUP(E3,Declarations!$D$2:$S$102,A5,FALSE),HLOOKUP(VLOOKUP(E3,Teams!$V$2:$W$19,2,FALSE),Declarations!$D$2:$S$102,A5,FALSE)),"")</f>
        <v>KENNEDY Amy</v>
      </c>
      <c r="G3" s="328" t="str">
        <f t="shared" si="0"/>
        <v>York</v>
      </c>
      <c r="H3" s="339">
        <v>4.2080000000000002</v>
      </c>
      <c r="I3" s="348">
        <f t="shared" ref="I3:I17" si="2">IFERROR(IF(LEFT(H3,1)="D",H3,(INT(H3)*60+(H3-INT(H3))*100)/86400),"X")</f>
        <v>3.0185185185185185E-3</v>
      </c>
      <c r="K3" s="330">
        <v>2</v>
      </c>
      <c r="L3" s="324" t="str">
        <f>IFERROR(VLOOKUP(K3,B2:D17,3,FALSE),"")</f>
        <v/>
      </c>
      <c r="M3" s="331" t="str">
        <f>IFERROR(IF(L3=0,0,IF(OR(VLOOKUP(K3*11,$K10:$L17,2,FALSE)=0,L3&lt;=VLOOKUP(K3*11,$K10:$L17,2,FALSE)),"A","B")),"")</f>
        <v>A</v>
      </c>
      <c r="N3" s="331" t="str">
        <f>IF(M3=0,0,IF(OR(R3="",M3="B"),"",RANK(R3,R2:R17,1)))</f>
        <v/>
      </c>
      <c r="O3" s="331" t="str">
        <f>IF(M3=0,0,IF(OR(S3="",M3="A"),"",RANK(S3,S2:S17,1)))</f>
        <v/>
      </c>
      <c r="P3" s="332">
        <f t="shared" si="1"/>
        <v>2</v>
      </c>
      <c r="Q3" s="333"/>
      <c r="R3" s="334" t="str">
        <f t="shared" ref="R3:R17" si="3">IFERROR(IF(OR(L3=0,M3="B"),"",L3),"")</f>
        <v/>
      </c>
      <c r="S3" s="334" t="str">
        <f t="shared" ref="S3:S17" si="4">IFERROR(IF(OR(L3=0,M3="A"),"",L3),"")</f>
        <v/>
      </c>
    </row>
    <row r="4" spans="1:20" x14ac:dyDescent="0.45">
      <c r="B4" s="327">
        <f>IFERROR(IF(A3=0,E4,VLOOKUP(E4,Teams!$V$2:$W$19,2,FALSE)),"")</f>
        <v>4</v>
      </c>
      <c r="D4" s="327">
        <v>3</v>
      </c>
      <c r="E4" s="396">
        <v>4</v>
      </c>
      <c r="F4" s="328" t="str">
        <f ca="1">IFERROR(IF(A3=0,HLOOKUP(E4,Declarations!$D$2:$S$102,A5,FALSE),HLOOKUP(VLOOKUP(E4,Teams!$V$2:$W$19,2,FALSE),Declarations!$D$2:$S$102,A5,FALSE)),"")</f>
        <v>PETTIT Grace</v>
      </c>
      <c r="G4" s="328" t="str">
        <f t="shared" si="0"/>
        <v>M'bro</v>
      </c>
      <c r="H4" s="339">
        <v>4.3310000000000004</v>
      </c>
      <c r="I4" s="348">
        <f t="shared" si="2"/>
        <v>3.1608796296296298E-3</v>
      </c>
      <c r="K4" s="330">
        <v>3</v>
      </c>
      <c r="L4" s="324">
        <f>IFERROR(VLOOKUP(K4,B2:D17,3,FALSE),"")</f>
        <v>1</v>
      </c>
      <c r="M4" s="331" t="str">
        <f>IFERROR(IF(L4=0,0,IF(OR(VLOOKUP(K4*11,$K10:$L17,2,FALSE)=0,L4&lt;=VLOOKUP(K4*11,$K10:$L17,2,FALSE)),"A","B")),"")</f>
        <v>A</v>
      </c>
      <c r="N4" s="331">
        <f>IF(M4=0,0,IF(OR(R4="",M4="B"),"",RANK(R4,R2:R17,1)))</f>
        <v>1</v>
      </c>
      <c r="O4" s="331" t="str">
        <f>IF(M4=0,0,IF(OR(S4="",M4="A"),"",RANK(S4,S2:S17,1)))</f>
        <v/>
      </c>
      <c r="P4" s="332">
        <f t="shared" si="1"/>
        <v>3</v>
      </c>
      <c r="Q4" s="333"/>
      <c r="R4" s="334">
        <f t="shared" si="3"/>
        <v>1</v>
      </c>
      <c r="S4" s="334" t="str">
        <f t="shared" si="4"/>
        <v/>
      </c>
    </row>
    <row r="5" spans="1:20" x14ac:dyDescent="0.45">
      <c r="A5" s="336">
        <f>IFERROR(VLOOKUP(A1,Timetables!$A:$E,5,FALSE)-1,"")</f>
        <v>34</v>
      </c>
      <c r="B5" s="327">
        <f>IFERROR(IF(A3=0,E5,VLOOKUP(E5,Teams!$V$2:$W$19,2,FALSE)),"")</f>
        <v>11</v>
      </c>
      <c r="D5" s="327">
        <v>4</v>
      </c>
      <c r="E5" s="396">
        <v>11</v>
      </c>
      <c r="F5" s="328" t="str">
        <f ca="1">IFERROR(IF(A3=0,HLOOKUP(E5,Declarations!$D$2:$S$102,A5,FALSE),HLOOKUP(VLOOKUP(E5,Teams!$V$2:$W$19,2,FALSE),Declarations!$D$2:$S$102,A5,FALSE)),"")</f>
        <v>HELPS Macy</v>
      </c>
      <c r="G5" s="328" t="str">
        <f t="shared" si="0"/>
        <v>C'field</v>
      </c>
      <c r="H5" s="339">
        <v>4.3920000000000003</v>
      </c>
      <c r="I5" s="348">
        <f t="shared" si="2"/>
        <v>3.2314814814814819E-3</v>
      </c>
      <c r="K5" s="330">
        <v>4</v>
      </c>
      <c r="L5" s="324">
        <f>IFERROR(VLOOKUP(K5,B2:D17,3,FALSE),"")</f>
        <v>3</v>
      </c>
      <c r="M5" s="331" t="str">
        <f>IFERROR(IF(L5=0,0,IF(OR(VLOOKUP(K5*11,$K10:$L17,2,FALSE)=0,L5&lt;=VLOOKUP(K5*11,$K10:$L17,2,FALSE)),"A","B")),"")</f>
        <v>A</v>
      </c>
      <c r="N5" s="331">
        <f>IF(M5=0,0,IF(OR(R5="",M5="B"),"",RANK(R5,R2:R17,1)))</f>
        <v>2</v>
      </c>
      <c r="O5" s="331" t="str">
        <f>IF(M5=0,0,IF(OR(S5="",M5="A"),"",RANK(S5,S2:S17,1)))</f>
        <v/>
      </c>
      <c r="P5" s="332">
        <f t="shared" si="1"/>
        <v>4</v>
      </c>
      <c r="Q5" s="333"/>
      <c r="R5" s="334">
        <f t="shared" si="3"/>
        <v>3</v>
      </c>
      <c r="S5" s="334" t="str">
        <f t="shared" si="4"/>
        <v/>
      </c>
    </row>
    <row r="6" spans="1:20" x14ac:dyDescent="0.45">
      <c r="A6" s="337"/>
      <c r="B6" s="327">
        <f>IFERROR(IF(A3=0,E6,VLOOKUP(E6,Teams!$V$2:$W$19,2,FALSE)),"")</f>
        <v>1</v>
      </c>
      <c r="D6" s="327">
        <v>5</v>
      </c>
      <c r="E6" s="396">
        <v>1</v>
      </c>
      <c r="F6" s="328" t="str">
        <f ca="1">IFERROR(IF(A3=0,HLOOKUP(E6,Declarations!$D$2:$S$102,A5,FALSE),HLOOKUP(VLOOKUP(E6,Teams!$V$2:$W$19,2,FALSE),Declarations!$D$2:$S$102,A5,FALSE)),"")</f>
        <v>GRIFFIN Lydia</v>
      </c>
      <c r="G6" s="328" t="str">
        <f t="shared" si="0"/>
        <v>C'field</v>
      </c>
      <c r="H6" s="339">
        <v>4.4930000000000003</v>
      </c>
      <c r="I6" s="348">
        <f t="shared" si="2"/>
        <v>3.34837962962963E-3</v>
      </c>
      <c r="K6" s="330">
        <v>5</v>
      </c>
      <c r="L6" s="324">
        <f>IFERROR(VLOOKUP(K6,B2:D17,3,FALSE),"")</f>
        <v>6</v>
      </c>
      <c r="M6" s="331" t="str">
        <f>IFERROR(IF(L6=0,0,IF(OR(VLOOKUP(K6*11,$K10:$L17,2,FALSE)=0,L6&lt;=VLOOKUP(K6*11,$K10:$L17,2,FALSE)),"A","B")),"")</f>
        <v>A</v>
      </c>
      <c r="N6" s="331">
        <f>IF(M6=0,0,IF(OR(R6="",M6="B"),"",RANK(R6,R2:R17,1)))</f>
        <v>4</v>
      </c>
      <c r="O6" s="331" t="str">
        <f>IF(M6=0,0,IF(OR(S6="",M6="A"),"",RANK(S6,S2:S17,1)))</f>
        <v/>
      </c>
      <c r="P6" s="332">
        <f t="shared" si="1"/>
        <v>5</v>
      </c>
      <c r="Q6" s="333"/>
      <c r="R6" s="334">
        <f t="shared" si="3"/>
        <v>6</v>
      </c>
      <c r="S6" s="334" t="str">
        <f t="shared" si="4"/>
        <v/>
      </c>
    </row>
    <row r="7" spans="1:20" x14ac:dyDescent="0.45">
      <c r="A7" s="337"/>
      <c r="B7" s="327">
        <f>IFERROR(IF(A3=0,E7,VLOOKUP(E7,Teams!$V$2:$W$19,2,FALSE)),"")</f>
        <v>5</v>
      </c>
      <c r="D7" s="327">
        <v>6</v>
      </c>
      <c r="E7" s="396">
        <v>5</v>
      </c>
      <c r="F7" s="328" t="str">
        <f ca="1">IFERROR(IF(A3=0,HLOOKUP(E7,Declarations!$D$2:$S$102,A5,FALSE),HLOOKUP(VLOOKUP(E7,Teams!$V$2:$W$19,2,FALSE),Declarations!$D$2:$S$102,A5,FALSE)),"")</f>
        <v>CRESSEY Evie</v>
      </c>
      <c r="G7" s="328" t="str">
        <f t="shared" si="0"/>
        <v>Scun</v>
      </c>
      <c r="H7" s="339">
        <v>4.5839999999999996</v>
      </c>
      <c r="I7" s="348">
        <f t="shared" si="2"/>
        <v>3.4537037037037036E-3</v>
      </c>
      <c r="K7" s="330">
        <v>6</v>
      </c>
      <c r="L7" s="324" t="str">
        <f>IFERROR(VLOOKUP(K7,B2:D17,3,FALSE),"")</f>
        <v/>
      </c>
      <c r="M7" s="331" t="str">
        <f>IFERROR(IF(L7=0,0,IF(OR(VLOOKUP(K7*11,$K10:$L17,2,FALSE)=0,L7&lt;=VLOOKUP(K7*11,$K10:$L17,2,FALSE)),"A","B")),"")</f>
        <v>A</v>
      </c>
      <c r="N7" s="331" t="str">
        <f>IF(M7=0,0,IF(OR(R7="",M7="B"),"",RANK(R7,R2:R17,1)))</f>
        <v/>
      </c>
      <c r="O7" s="331" t="str">
        <f>IF(M7=0,0,IF(OR(S7="",M7="A"),"",RANK(S7,S2:S17,1)))</f>
        <v/>
      </c>
      <c r="P7" s="332">
        <f t="shared" si="1"/>
        <v>6</v>
      </c>
      <c r="Q7" s="333"/>
      <c r="R7" s="334" t="str">
        <f t="shared" si="3"/>
        <v/>
      </c>
      <c r="S7" s="334" t="str">
        <f t="shared" si="4"/>
        <v/>
      </c>
    </row>
    <row r="8" spans="1:20" x14ac:dyDescent="0.45">
      <c r="A8" s="337"/>
      <c r="B8" s="327">
        <f>IFERROR(IF(A3=0,E8,VLOOKUP(E8,Teams!$V$2:$W$19,2,FALSE)),"")</f>
        <v>0</v>
      </c>
      <c r="D8" s="327">
        <v>7</v>
      </c>
      <c r="E8" s="396"/>
      <c r="F8" s="328" t="str">
        <f>IFERROR(IF(A3=0,HLOOKUP(E8,Declarations!$D$2:$S$102,A5,FALSE),HLOOKUP(VLOOKUP(E8,Teams!$V$2:$W$19,2,FALSE),Declarations!$D$2:$S$102,A5,FALSE)),"")</f>
        <v/>
      </c>
      <c r="G8" s="328" t="str">
        <f t="shared" si="0"/>
        <v/>
      </c>
      <c r="H8" s="339"/>
      <c r="I8" s="348">
        <f t="shared" si="2"/>
        <v>0</v>
      </c>
      <c r="K8" s="330">
        <v>7</v>
      </c>
      <c r="L8" s="324" t="str">
        <f>IFERROR(VLOOKUP(K8,B2:D17,3,FALSE),"")</f>
        <v/>
      </c>
      <c r="M8" s="331" t="str">
        <f>IFERROR(IF(L8=0,0,IF(OR(VLOOKUP(K8*11,$K10:$L17,2,FALSE)=0,L8&lt;=VLOOKUP(K8*11,$K10:$L17,2,FALSE)),"A","B")),"")</f>
        <v>A</v>
      </c>
      <c r="N8" s="331" t="str">
        <f>IF(M8=0,0,IF(OR(R8="",M8="B"),"",RANK(R8,R2:R17,1)))</f>
        <v/>
      </c>
      <c r="O8" s="331" t="str">
        <f>IF(M8=0,0,IF(OR(S8="",M8="A"),"",RANK(S8,S2:S17,1)))</f>
        <v/>
      </c>
      <c r="P8" s="332">
        <f t="shared" si="1"/>
        <v>7</v>
      </c>
      <c r="Q8" s="333"/>
      <c r="R8" s="334" t="str">
        <f t="shared" si="3"/>
        <v/>
      </c>
      <c r="S8" s="334" t="str">
        <f t="shared" si="4"/>
        <v/>
      </c>
    </row>
    <row r="9" spans="1:20" x14ac:dyDescent="0.45">
      <c r="A9" s="319"/>
      <c r="B9" s="327">
        <f>IFERROR(IF(A3=0,E9,VLOOKUP(E9,Teams!$V$2:$W$19,2,FALSE)),"")</f>
        <v>0</v>
      </c>
      <c r="D9" s="327">
        <v>8</v>
      </c>
      <c r="E9" s="396"/>
      <c r="F9" s="328" t="str">
        <f>IFERROR(IF(A3=0,HLOOKUP(E9,Declarations!$D$2:$S$102,A5,FALSE),HLOOKUP(VLOOKUP(E9,Teams!$V$2:$W$19,2,FALSE),Declarations!$D$2:$S$102,A5,FALSE)),"")</f>
        <v/>
      </c>
      <c r="G9" s="328" t="str">
        <f t="shared" si="0"/>
        <v/>
      </c>
      <c r="H9" s="339"/>
      <c r="I9" s="348">
        <f t="shared" si="2"/>
        <v>0</v>
      </c>
      <c r="K9" s="330">
        <v>8</v>
      </c>
      <c r="L9" s="324" t="str">
        <f>IFERROR(VLOOKUP(K9,B2:D17,3,FALSE),"")</f>
        <v/>
      </c>
      <c r="M9" s="331" t="str">
        <f>IFERROR(IF(L9=0,0,IF(OR(VLOOKUP(K9*11,$K10:$L17,2,FALSE)=0,L9&lt;=VLOOKUP(K9*11,$K10:$L17,2,FALSE)),"A","B")),"")</f>
        <v>A</v>
      </c>
      <c r="N9" s="331" t="str">
        <f>IF(M9=0,0,IF(OR(R9="",M9="B"),"",RANK(R9,R2:R17,1)))</f>
        <v/>
      </c>
      <c r="O9" s="331" t="str">
        <f>IF(M9=0,0,IF(OR(S9="",M9="A"),"",RANK(S9,S2:S17,1)))</f>
        <v/>
      </c>
      <c r="P9" s="332">
        <f t="shared" si="1"/>
        <v>8</v>
      </c>
      <c r="Q9" s="333"/>
      <c r="R9" s="334" t="str">
        <f t="shared" si="3"/>
        <v/>
      </c>
      <c r="S9" s="334" t="str">
        <f t="shared" si="4"/>
        <v/>
      </c>
    </row>
    <row r="10" spans="1:20" x14ac:dyDescent="0.45">
      <c r="A10" s="319"/>
      <c r="B10" s="327">
        <f>IFERROR(IF(A3=0,E10,VLOOKUP(E10,Teams!$V$2:$W$19,2,FALSE)),"")</f>
        <v>0</v>
      </c>
      <c r="D10" s="327">
        <v>9</v>
      </c>
      <c r="E10" s="396"/>
      <c r="F10" s="328" t="str">
        <f>IFERROR(IF(A3=0,HLOOKUP(E10,Declarations!$D$2:$S$102,A5,FALSE),HLOOKUP(VLOOKUP(E10,Teams!$V$2:$W$19,2,FALSE),Declarations!$D$2:$S$102,A5,FALSE)),"")</f>
        <v/>
      </c>
      <c r="G10" s="328" t="str">
        <f t="shared" si="0"/>
        <v/>
      </c>
      <c r="H10" s="339"/>
      <c r="I10" s="348">
        <f t="shared" si="2"/>
        <v>0</v>
      </c>
      <c r="K10" s="324">
        <f>K2*11</f>
        <v>11</v>
      </c>
      <c r="L10" s="324">
        <f>IFERROR(VLOOKUP(K10,B2:D17,3,FALSE),"")</f>
        <v>4</v>
      </c>
      <c r="M10" s="331" t="str">
        <f>IFERROR(IF(L10=0,0,IF(OR(VLOOKUP(K10/11,$K2:$L9,2,FALSE)=0,L10&lt;=VLOOKUP(K10/11,$K2:$L9,2,FALSE)),"A","B")),"")</f>
        <v>A</v>
      </c>
      <c r="N10" s="331">
        <f>IF(M10=0,0,IF(OR(R10="",M10="B"),"",RANK(R10,R2:R17,1)))</f>
        <v>3</v>
      </c>
      <c r="O10" s="331" t="str">
        <f>IF(M10=0,0,IF(OR(S10="",M10="A"),"",RANK(S10,S2:S17,1)))</f>
        <v/>
      </c>
      <c r="P10" s="332">
        <f t="shared" si="1"/>
        <v>11</v>
      </c>
      <c r="Q10" s="333"/>
      <c r="R10" s="334">
        <f t="shared" si="3"/>
        <v>4</v>
      </c>
      <c r="S10" s="334" t="str">
        <f t="shared" si="4"/>
        <v/>
      </c>
    </row>
    <row r="11" spans="1:20" x14ac:dyDescent="0.45">
      <c r="B11" s="327">
        <f>IFERROR(IF(A3=0,E11,VLOOKUP(E11,Teams!$V$2:$W$19,2,FALSE)),"")</f>
        <v>0</v>
      </c>
      <c r="D11" s="327">
        <v>10</v>
      </c>
      <c r="E11" s="396"/>
      <c r="F11" s="328" t="str">
        <f>IFERROR(IF(A3=0,HLOOKUP(E11,Declarations!$D$2:$S$102,A5,FALSE),HLOOKUP(VLOOKUP(E11,Teams!$V$2:$W$19,2,FALSE),Declarations!$D$2:$S$102,A5,FALSE)),"")</f>
        <v/>
      </c>
      <c r="G11" s="328" t="str">
        <f t="shared" si="0"/>
        <v/>
      </c>
      <c r="H11" s="339"/>
      <c r="I11" s="348">
        <f t="shared" si="2"/>
        <v>0</v>
      </c>
      <c r="K11" s="324">
        <f t="shared" ref="K11:K17" si="5">K3*11</f>
        <v>22</v>
      </c>
      <c r="L11" s="324" t="str">
        <f>IFERROR(VLOOKUP(K11,B2:D17,3,FALSE),"")</f>
        <v/>
      </c>
      <c r="M11" s="331" t="str">
        <f>IFERROR(IF(L11=0,0,IF(OR(VLOOKUP(K11/11,$K2:$L9,2,FALSE)=0,L11&lt;=VLOOKUP(K11/11,$K2:$L9,2,FALSE)),"A","B")),"")</f>
        <v>A</v>
      </c>
      <c r="N11" s="331" t="str">
        <f>IF(M11=0,0,IF(OR(R11="",M11="B"),"",RANK(R11,R2:R17,1)))</f>
        <v/>
      </c>
      <c r="O11" s="331" t="str">
        <f>IF(M11=0,0,IF(OR(S11="",M11="A"),"",RANK(S11,S2:S17,1)))</f>
        <v/>
      </c>
      <c r="P11" s="332">
        <f t="shared" si="1"/>
        <v>22</v>
      </c>
      <c r="Q11" s="333"/>
      <c r="R11" s="334" t="str">
        <f t="shared" si="3"/>
        <v/>
      </c>
      <c r="S11" s="334" t="str">
        <f t="shared" si="4"/>
        <v/>
      </c>
    </row>
    <row r="12" spans="1:20" x14ac:dyDescent="0.45">
      <c r="B12" s="327">
        <f>IFERROR(IF(A3=0,E12,VLOOKUP(E12,Teams!$V$2:$W$19,2,FALSE)),"")</f>
        <v>0</v>
      </c>
      <c r="D12" s="327">
        <v>11</v>
      </c>
      <c r="E12" s="396"/>
      <c r="F12" s="328" t="str">
        <f>IFERROR(IF(A3=0,HLOOKUP(E12,Declarations!$D$2:$S$102,A5,FALSE),HLOOKUP(VLOOKUP(E12,Teams!$V$2:$W$19,2,FALSE),Declarations!$D$2:$S$102,A5,FALSE)),"")</f>
        <v/>
      </c>
      <c r="G12" s="328" t="str">
        <f t="shared" si="0"/>
        <v/>
      </c>
      <c r="H12" s="339"/>
      <c r="I12" s="348">
        <f t="shared" si="2"/>
        <v>0</v>
      </c>
      <c r="K12" s="324">
        <f t="shared" si="5"/>
        <v>33</v>
      </c>
      <c r="L12" s="324">
        <f>IFERROR(VLOOKUP(K12,B2:D17,3,FALSE),"")</f>
        <v>2</v>
      </c>
      <c r="M12" s="331" t="str">
        <f>IFERROR(IF(L12=0,0,IF(OR(VLOOKUP(K12/11,$K2:$L9,2,FALSE)=0,L12&lt;=VLOOKUP(K12/11,$K2:$L9,2,FALSE)),"A","B")),"")</f>
        <v>B</v>
      </c>
      <c r="N12" s="331" t="str">
        <f>IF(M12=0,0,IF(OR(R12="",M12="B"),"",RANK(R12,R2:R17,1)))</f>
        <v/>
      </c>
      <c r="O12" s="331">
        <f>IF(M12=0,0,IF(OR(S12="",M12="A"),"",RANK(S12,S2:S17,1)))</f>
        <v>1</v>
      </c>
      <c r="P12" s="332">
        <f t="shared" si="1"/>
        <v>33</v>
      </c>
      <c r="Q12" s="333"/>
      <c r="R12" s="334" t="str">
        <f t="shared" si="3"/>
        <v/>
      </c>
      <c r="S12" s="334">
        <f t="shared" si="4"/>
        <v>2</v>
      </c>
    </row>
    <row r="13" spans="1:20" x14ac:dyDescent="0.45">
      <c r="A13" s="318"/>
      <c r="B13" s="327">
        <f>IFERROR(IF(A3=0,E13,VLOOKUP(E13,Teams!$V$2:$W$19,2,FALSE)),"")</f>
        <v>0</v>
      </c>
      <c r="D13" s="327">
        <v>12</v>
      </c>
      <c r="E13" s="396"/>
      <c r="F13" s="328" t="str">
        <f>IFERROR(IF(A3=0,HLOOKUP(E13,Declarations!$D$2:$S$102,A5,FALSE),HLOOKUP(VLOOKUP(E13,Teams!$V$2:$W$19,2,FALSE),Declarations!$D$2:$S$102,A5,FALSE)),"")</f>
        <v/>
      </c>
      <c r="G13" s="328" t="str">
        <f t="shared" si="0"/>
        <v/>
      </c>
      <c r="H13" s="339"/>
      <c r="I13" s="348">
        <f t="shared" si="2"/>
        <v>0</v>
      </c>
      <c r="K13" s="324">
        <f t="shared" si="5"/>
        <v>44</v>
      </c>
      <c r="L13" s="324" t="str">
        <f>IFERROR(VLOOKUP(K13,B2:D17,3,FALSE),"")</f>
        <v/>
      </c>
      <c r="M13" s="331" t="str">
        <f>IFERROR(IF(L13=0,0,IF(OR(VLOOKUP(K13/11,$K2:$L9,2,FALSE)=0,L13&lt;=VLOOKUP(K13/11,$K2:$L9,2,FALSE)),"A","B")),"")</f>
        <v>B</v>
      </c>
      <c r="N13" s="331" t="str">
        <f>IF(M13=0,0,IF(OR(R13="",M13="B"),"",RANK(R13,R2:R17,1)))</f>
        <v/>
      </c>
      <c r="O13" s="331" t="str">
        <f>IF(M13=0,0,IF(OR(S13="",M13="A"),"",RANK(S13,S2:S17,1)))</f>
        <v/>
      </c>
      <c r="P13" s="332">
        <f t="shared" si="1"/>
        <v>44</v>
      </c>
      <c r="Q13" s="333"/>
      <c r="R13" s="334" t="str">
        <f t="shared" si="3"/>
        <v/>
      </c>
      <c r="S13" s="334" t="str">
        <f t="shared" si="4"/>
        <v/>
      </c>
    </row>
    <row r="14" spans="1:20" x14ac:dyDescent="0.45">
      <c r="A14" s="326"/>
      <c r="B14" s="327">
        <f>IFERROR(IF(A3=0,E14,VLOOKUP(E14,Teams!$V$2:$W$19,2,FALSE)),"")</f>
        <v>0</v>
      </c>
      <c r="D14" s="327">
        <v>13</v>
      </c>
      <c r="E14" s="396"/>
      <c r="F14" s="328" t="str">
        <f>IFERROR(IF(A3=0,HLOOKUP(E14,Declarations!$D$2:$S$102,A5,FALSE),HLOOKUP(VLOOKUP(E14,Teams!$V$2:$W$19,2,FALSE),Declarations!$D$2:$S$102,A5,FALSE)),"")</f>
        <v/>
      </c>
      <c r="G14" s="328" t="str">
        <f t="shared" si="0"/>
        <v/>
      </c>
      <c r="H14" s="339"/>
      <c r="I14" s="348">
        <f t="shared" si="2"/>
        <v>0</v>
      </c>
      <c r="K14" s="324">
        <f t="shared" si="5"/>
        <v>55</v>
      </c>
      <c r="L14" s="324" t="str">
        <f>IFERROR(VLOOKUP(K14,B2:D17,3,FALSE),"")</f>
        <v/>
      </c>
      <c r="M14" s="331" t="str">
        <f>IFERROR(IF(L14=0,0,IF(OR(VLOOKUP(K14/11,$K2:$L9,2,FALSE)=0,L14&lt;=VLOOKUP(K14/11,$K2:$L9,2,FALSE)),"A","B")),"")</f>
        <v>B</v>
      </c>
      <c r="N14" s="331" t="str">
        <f>IF(M14=0,0,IF(OR(R14="",M14="B"),"",RANK(R14,R2:R17,1)))</f>
        <v/>
      </c>
      <c r="O14" s="331" t="str">
        <f>IF(M14=0,0,IF(OR(S14="",M14="A"),"",RANK(S14,S2:S17,1)))</f>
        <v/>
      </c>
      <c r="P14" s="332">
        <f t="shared" si="1"/>
        <v>55</v>
      </c>
      <c r="Q14" s="333"/>
      <c r="R14" s="334" t="str">
        <f t="shared" si="3"/>
        <v/>
      </c>
      <c r="S14" s="334" t="str">
        <f t="shared" si="4"/>
        <v/>
      </c>
    </row>
    <row r="15" spans="1:20" x14ac:dyDescent="0.45">
      <c r="A15" s="319"/>
      <c r="B15" s="327">
        <f>IFERROR(IF(A3=0,E15,VLOOKUP(E15,Teams!$V$2:$W$19,2,FALSE)),"")</f>
        <v>0</v>
      </c>
      <c r="D15" s="327">
        <v>14</v>
      </c>
      <c r="E15" s="396"/>
      <c r="F15" s="328" t="str">
        <f>IFERROR(IF(A3=0,HLOOKUP(E15,Declarations!$D$2:$S$102,A5,FALSE),HLOOKUP(VLOOKUP(E15,Teams!$V$2:$W$19,2,FALSE),Declarations!$D$2:$S$102,A5,FALSE)),"")</f>
        <v/>
      </c>
      <c r="G15" s="328" t="str">
        <f t="shared" si="0"/>
        <v/>
      </c>
      <c r="H15" s="339"/>
      <c r="I15" s="348">
        <f t="shared" si="2"/>
        <v>0</v>
      </c>
      <c r="K15" s="324">
        <f t="shared" si="5"/>
        <v>66</v>
      </c>
      <c r="L15" s="324" t="str">
        <f>IFERROR(VLOOKUP(K15,B2:D17,3,FALSE),"")</f>
        <v/>
      </c>
      <c r="M15" s="331" t="str">
        <f>IFERROR(IF(L15=0,0,IF(OR(VLOOKUP(K15/11,$K2:$L9,2,FALSE)=0,L15&lt;=VLOOKUP(K15/11,$K2:$L9,2,FALSE)),"A","B")),"")</f>
        <v>A</v>
      </c>
      <c r="N15" s="331" t="str">
        <f>IF(M15=0,0,IF(OR(R15="",M15="B"),"",RANK(R15,R2:R17,1)))</f>
        <v/>
      </c>
      <c r="O15" s="331" t="str">
        <f>IF(M15=0,0,IF(OR(S15="",M15="A"),"",RANK(S15,S2:S17,1)))</f>
        <v/>
      </c>
      <c r="P15" s="332">
        <f t="shared" si="1"/>
        <v>66</v>
      </c>
      <c r="Q15" s="333"/>
      <c r="R15" s="334" t="str">
        <f t="shared" si="3"/>
        <v/>
      </c>
      <c r="S15" s="334" t="str">
        <f t="shared" si="4"/>
        <v/>
      </c>
    </row>
    <row r="16" spans="1:20" x14ac:dyDescent="0.45">
      <c r="B16" s="327">
        <f>IFERROR(IF(A3=0,E16,VLOOKUP(E16,Teams!$V$2:$W$19,2,FALSE)),"")</f>
        <v>0</v>
      </c>
      <c r="D16" s="327">
        <v>15</v>
      </c>
      <c r="E16" s="396"/>
      <c r="F16" s="328" t="str">
        <f>IFERROR(IF(A3=0,HLOOKUP(E16,Declarations!$D$2:$S$102,A5,FALSE),HLOOKUP(VLOOKUP(E16,Teams!$V$2:$W$19,2,FALSE),Declarations!$D$2:$S$102,A5,FALSE)),"")</f>
        <v/>
      </c>
      <c r="G16" s="328" t="str">
        <f t="shared" si="0"/>
        <v/>
      </c>
      <c r="H16" s="339"/>
      <c r="I16" s="348">
        <f t="shared" si="2"/>
        <v>0</v>
      </c>
      <c r="K16" s="324">
        <f t="shared" si="5"/>
        <v>77</v>
      </c>
      <c r="L16" s="324" t="str">
        <f>IFERROR(VLOOKUP(K16,B2:D17,3,FALSE),"")</f>
        <v/>
      </c>
      <c r="M16" s="331" t="str">
        <f>IFERROR(IF(L16=0,0,IF(OR(VLOOKUP(K16/11,$K2:$L9,2,FALSE)=0,L16&lt;=VLOOKUP(K16/11,$K2:$L9,2,FALSE)),"A","B")),"")</f>
        <v>A</v>
      </c>
      <c r="N16" s="331" t="str">
        <f>IF(M16=0,0,IF(OR(R16="",M16="B"),"",RANK(R16,R2:R17,1)))</f>
        <v/>
      </c>
      <c r="O16" s="331" t="str">
        <f>IF(M16=0,0,IF(OR(S16="",M16="A"),"",RANK(S16,S2:S17,1)))</f>
        <v/>
      </c>
      <c r="P16" s="332">
        <f t="shared" si="1"/>
        <v>77</v>
      </c>
      <c r="Q16" s="333"/>
      <c r="R16" s="334" t="str">
        <f t="shared" si="3"/>
        <v/>
      </c>
      <c r="S16" s="334" t="str">
        <f t="shared" si="4"/>
        <v/>
      </c>
    </row>
    <row r="17" spans="1:19" x14ac:dyDescent="0.45">
      <c r="A17" s="337"/>
      <c r="B17" s="327">
        <f>IFERROR(IF(A3=0,E17,VLOOKUP(E17,Teams!$V$2:$W$19,2,FALSE)),"")</f>
        <v>0</v>
      </c>
      <c r="D17" s="327">
        <v>16</v>
      </c>
      <c r="E17" s="396"/>
      <c r="F17" s="328" t="str">
        <f>IFERROR(IF(A3=0,HLOOKUP(E17,Declarations!$D$2:$S$102,A5,FALSE),HLOOKUP(VLOOKUP(E17,Teams!$V$2:$W$19,2,FALSE),Declarations!$D$2:$S$102,A5,FALSE)),"")</f>
        <v/>
      </c>
      <c r="G17" s="328" t="str">
        <f t="shared" si="0"/>
        <v/>
      </c>
      <c r="H17" s="339"/>
      <c r="I17" s="348">
        <f t="shared" si="2"/>
        <v>0</v>
      </c>
      <c r="K17" s="324">
        <f t="shared" si="5"/>
        <v>88</v>
      </c>
      <c r="L17" s="324" t="str">
        <f>IFERROR(VLOOKUP(K17,B2:D17,3,FALSE),"")</f>
        <v/>
      </c>
      <c r="M17" s="331" t="str">
        <f>IFERROR(IF(L17=0,0,IF(OR(VLOOKUP(K17/11,$K2:$L9,2,FALSE)=0,L17&lt;=VLOOKUP(K17/11,$K2:$L9,2,FALSE)),"A","B")),"")</f>
        <v>A</v>
      </c>
      <c r="N17" s="331" t="str">
        <f>IF(M17=0,0,IF(OR(R17="",M17="B"),"",RANK(R17,R2:R17,1)))</f>
        <v/>
      </c>
      <c r="O17" s="331" t="str">
        <f>IF(M17=0,0,IF(OR(S17="",M17="A"),"",RANK(S17,S2:S17,1)))</f>
        <v/>
      </c>
      <c r="P17" s="332">
        <f t="shared" si="1"/>
        <v>88</v>
      </c>
      <c r="Q17" s="333"/>
      <c r="R17" s="334" t="str">
        <f t="shared" si="3"/>
        <v/>
      </c>
      <c r="S17" s="334" t="str">
        <f t="shared" si="4"/>
        <v/>
      </c>
    </row>
    <row r="18" spans="1:19" hidden="1" x14ac:dyDescent="0.45">
      <c r="A18" s="337"/>
      <c r="I18" s="329">
        <f t="shared" ref="I18:I54" si="6">IFERROR(IF(LEFT(H18,1)="D",H18,(INT(H18)*60+(H18-INT(H18))*100)/86400),"X")</f>
        <v>0</v>
      </c>
    </row>
    <row r="19" spans="1:19" ht="15.4" hidden="1" x14ac:dyDescent="0.45">
      <c r="A19" s="337"/>
      <c r="B19" s="327"/>
      <c r="C19" s="324" t="s">
        <v>53</v>
      </c>
      <c r="D19" s="324">
        <v>1</v>
      </c>
      <c r="E19" s="397">
        <f>IFERROR(IF(E2&gt;88,E2,IF(A3=0,VLOOKUP(D19,N2:Q17,3,FALSE),VLOOKUP(D19,N2:Q17,4,FALSE))),0)</f>
        <v>3</v>
      </c>
      <c r="F19" s="328" t="str">
        <f ca="1">IFERROR(VLOOKUP(E19,E2:F17,2,FALSE),"")</f>
        <v>LANGAN Lottie</v>
      </c>
      <c r="G19" s="328" t="str">
        <f>IFERROR(VLOOKUP(E19,teamlookup,5,FALSE),"")</f>
        <v>York</v>
      </c>
      <c r="H19" s="349">
        <f>IFERROR(VLOOKUP(E19,E2:I17,5,FALSE),"")</f>
        <v>2.9884259259259265E-3</v>
      </c>
      <c r="I19" s="348"/>
      <c r="K19" s="338"/>
    </row>
    <row r="20" spans="1:19" hidden="1" x14ac:dyDescent="0.45">
      <c r="A20" s="337"/>
      <c r="B20" s="327"/>
      <c r="D20" s="324">
        <v>2</v>
      </c>
      <c r="E20" s="397">
        <f>IFERROR(IF(A3=0,VLOOKUP(D20,N2:Q17,3,FALSE),VLOOKUP(D20,N2:Q17,4,FALSE)),"")</f>
        <v>4</v>
      </c>
      <c r="F20" s="328" t="str">
        <f ca="1">IFERROR(VLOOKUP(E20,E2:F17,2,FALSE),"")</f>
        <v>PETTIT Grace</v>
      </c>
      <c r="G20" s="328" t="str">
        <f t="shared" ref="G20:G26" si="7">IFERROR(VLOOKUP(E20,teamlookup,5,FALSE),"")</f>
        <v>M'bro</v>
      </c>
      <c r="H20" s="349">
        <f>IFERROR(VLOOKUP(E20,E2:I17,5,FALSE),"")</f>
        <v>3.1608796296296298E-3</v>
      </c>
      <c r="I20" s="348"/>
    </row>
    <row r="21" spans="1:19" hidden="1" x14ac:dyDescent="0.45">
      <c r="A21" s="319"/>
      <c r="B21" s="327"/>
      <c r="D21" s="324">
        <v>3</v>
      </c>
      <c r="E21" s="397">
        <f>IFERROR(IF(A3=0,VLOOKUP(D21,N2:Q17,3,FALSE),VLOOKUP(D21,N2:Q17,4,FALSE)),"")</f>
        <v>11</v>
      </c>
      <c r="F21" s="328" t="str">
        <f ca="1">IFERROR(VLOOKUP(E21,E2:F17,2,FALSE),"")</f>
        <v>HELPS Macy</v>
      </c>
      <c r="G21" s="328" t="str">
        <f t="shared" si="7"/>
        <v>C'field</v>
      </c>
      <c r="H21" s="349">
        <f>IFERROR(VLOOKUP(E21,E2:I17,5,FALSE),"")</f>
        <v>3.2314814814814819E-3</v>
      </c>
      <c r="I21" s="348"/>
    </row>
    <row r="22" spans="1:19" hidden="1" x14ac:dyDescent="0.45">
      <c r="A22" s="319"/>
      <c r="B22" s="327"/>
      <c r="D22" s="324">
        <v>4</v>
      </c>
      <c r="E22" s="397">
        <f>IFERROR(IF(A3=0,VLOOKUP(D22,N2:Q17,3,FALSE),VLOOKUP(D22,N2:Q17,4,FALSE)),"")</f>
        <v>5</v>
      </c>
      <c r="F22" s="328" t="str">
        <f ca="1">IFERROR(VLOOKUP(E22,E2:F17,2,FALSE),"")</f>
        <v>CRESSEY Evie</v>
      </c>
      <c r="G22" s="328" t="str">
        <f t="shared" si="7"/>
        <v>Scun</v>
      </c>
      <c r="H22" s="349">
        <f>IFERROR(VLOOKUP(E22,E2:I17,5,FALSE),"")</f>
        <v>3.4537037037037036E-3</v>
      </c>
      <c r="I22" s="348"/>
    </row>
    <row r="23" spans="1:19" hidden="1" x14ac:dyDescent="0.45">
      <c r="B23" s="327"/>
      <c r="D23" s="324">
        <v>5</v>
      </c>
      <c r="E23" s="397" t="str">
        <f>IFERROR(IF(A3=0,VLOOKUP(D23,N2:Q17,3,FALSE),VLOOKUP(D23,N2:Q17,4,FALSE)),"")</f>
        <v/>
      </c>
      <c r="F23" s="328" t="str">
        <f>IFERROR(VLOOKUP(E23,E2:F17,2,FALSE),"")</f>
        <v/>
      </c>
      <c r="G23" s="328" t="str">
        <f t="shared" si="7"/>
        <v/>
      </c>
      <c r="H23" s="349" t="str">
        <f>IFERROR(VLOOKUP(E23,E2:I17,5,FALSE),"")</f>
        <v/>
      </c>
      <c r="I23" s="348"/>
    </row>
    <row r="24" spans="1:19" hidden="1" x14ac:dyDescent="0.45">
      <c r="A24" s="318"/>
      <c r="B24" s="327"/>
      <c r="D24" s="324">
        <v>6</v>
      </c>
      <c r="E24" s="397" t="str">
        <f>IFERROR(IF(A3=0,VLOOKUP(D24,N2:Q17,3,FALSE),VLOOKUP(D24,N2:Q17,4,FALSE)),"")</f>
        <v/>
      </c>
      <c r="F24" s="328" t="str">
        <f>IFERROR(VLOOKUP(E24,E2:F17,2,FALSE),"")</f>
        <v/>
      </c>
      <c r="G24" s="328" t="str">
        <f t="shared" si="7"/>
        <v/>
      </c>
      <c r="H24" s="349" t="str">
        <f>IFERROR(VLOOKUP(E24,E2:I17,5,FALSE),"")</f>
        <v/>
      </c>
      <c r="I24" s="348"/>
    </row>
    <row r="25" spans="1:19" hidden="1" x14ac:dyDescent="0.45">
      <c r="A25" s="326"/>
      <c r="B25" s="327"/>
      <c r="D25" s="324">
        <v>7</v>
      </c>
      <c r="E25" s="397" t="str">
        <f>IFERROR(IF(A3=0,VLOOKUP(D25,N2:Q17,3,FALSE),VLOOKUP(D25,N2:Q17,4,FALSE)),"")</f>
        <v/>
      </c>
      <c r="F25" s="328" t="str">
        <f>IFERROR(VLOOKUP(E25,E2:F17,2,FALSE),"")</f>
        <v/>
      </c>
      <c r="G25" s="328" t="str">
        <f t="shared" si="7"/>
        <v/>
      </c>
      <c r="H25" s="349" t="str">
        <f>IFERROR(VLOOKUP(E25,E2:I17,5,FALSE),"")</f>
        <v/>
      </c>
      <c r="I25" s="348"/>
    </row>
    <row r="26" spans="1:19" hidden="1" x14ac:dyDescent="0.45">
      <c r="A26" s="319"/>
      <c r="B26" s="327"/>
      <c r="D26" s="324">
        <v>8</v>
      </c>
      <c r="E26" s="397" t="str">
        <f>IFERROR(IF(A3=0,VLOOKUP(D26,N2:Q17,3,FALSE),VLOOKUP(D26,N2:Q17,4,FALSE)),"")</f>
        <v/>
      </c>
      <c r="F26" s="328" t="str">
        <f>IFERROR(VLOOKUP(E26,E2:F17,2,FALSE),"")</f>
        <v/>
      </c>
      <c r="G26" s="328" t="str">
        <f t="shared" si="7"/>
        <v/>
      </c>
      <c r="H26" s="349" t="str">
        <f>IFERROR(VLOOKUP(E26,E2:I17,5,FALSE),"")</f>
        <v/>
      </c>
      <c r="I26" s="348"/>
    </row>
    <row r="27" spans="1:19" hidden="1" x14ac:dyDescent="0.45">
      <c r="F27" s="328"/>
      <c r="H27" s="350"/>
      <c r="I27" s="348">
        <f t="shared" ref="I27" si="8">IFERROR(IF(LEFT(H27,1)="D",H27,(INT(H27)*60+(H27-INT(H27))*100)/86400),"X")</f>
        <v>0</v>
      </c>
    </row>
    <row r="28" spans="1:19" hidden="1" x14ac:dyDescent="0.45">
      <c r="A28" s="337"/>
      <c r="B28" s="327"/>
      <c r="C28" s="324" t="s">
        <v>54</v>
      </c>
      <c r="D28" s="324">
        <v>1</v>
      </c>
      <c r="E28" s="397">
        <f>IFERROR(IF(A3=0,VLOOKUP(D28,O2:Q17,2,FALSE),VLOOKUP(D28,O2:Q17,3,FALSE)),"")</f>
        <v>33</v>
      </c>
      <c r="F28" s="328" t="str">
        <f ca="1">IFERROR(VLOOKUP(E28,E2:F17,2,FALSE),"")</f>
        <v>KENNEDY Amy</v>
      </c>
      <c r="G28" s="328" t="str">
        <f t="shared" ref="G28:G35" si="9">IFERROR(VLOOKUP(E28,teamlookup,5,FALSE),"")</f>
        <v>York</v>
      </c>
      <c r="H28" s="349">
        <f>IFERROR(VLOOKUP(E28,E2:I17,5,FALSE),"")</f>
        <v>3.0185185185185185E-3</v>
      </c>
      <c r="I28" s="348"/>
    </row>
    <row r="29" spans="1:19" hidden="1" x14ac:dyDescent="0.45">
      <c r="A29" s="337"/>
      <c r="B29" s="327"/>
      <c r="D29" s="324">
        <v>2</v>
      </c>
      <c r="E29" s="397">
        <f>IFERROR(IF(A3=0,VLOOKUP(D29,O2:Q17,2,FALSE),VLOOKUP(D29,O2:Q17,3,FALSE)),"")</f>
        <v>1</v>
      </c>
      <c r="F29" s="328" t="str">
        <f ca="1">IFERROR(VLOOKUP(E29,E2:F17,2,FALSE),"")</f>
        <v>GRIFFIN Lydia</v>
      </c>
      <c r="G29" s="328" t="str">
        <f t="shared" si="9"/>
        <v>C'field</v>
      </c>
      <c r="H29" s="349">
        <f>IFERROR(VLOOKUP(E29,E2:I17,5,FALSE),"")</f>
        <v>3.34837962962963E-3</v>
      </c>
      <c r="I29" s="348"/>
    </row>
    <row r="30" spans="1:19" hidden="1" x14ac:dyDescent="0.45">
      <c r="A30" s="337"/>
      <c r="B30" s="327"/>
      <c r="D30" s="324">
        <v>3</v>
      </c>
      <c r="E30" s="397" t="str">
        <f>IFERROR(IF(A3=0,VLOOKUP(D30,O2:Q17,2,FALSE),VLOOKUP(D30,O2:Q17,3,FALSE)),"")</f>
        <v/>
      </c>
      <c r="F30" s="328" t="str">
        <f>IFERROR(VLOOKUP(E30,E2:F17,2,FALSE),"")</f>
        <v/>
      </c>
      <c r="G30" s="328" t="str">
        <f t="shared" si="9"/>
        <v/>
      </c>
      <c r="H30" s="349" t="str">
        <f>IFERROR(VLOOKUP(E30,E2:I17,5,FALSE),"")</f>
        <v/>
      </c>
      <c r="I30" s="348"/>
    </row>
    <row r="31" spans="1:19" hidden="1" x14ac:dyDescent="0.45">
      <c r="A31" s="337"/>
      <c r="B31" s="327"/>
      <c r="D31" s="324">
        <v>4</v>
      </c>
      <c r="E31" s="397" t="str">
        <f>IFERROR(IF(A3=0,VLOOKUP(D31,O2:Q17,2,FALSE),VLOOKUP(D31,O2:Q17,3,FALSE)),"")</f>
        <v/>
      </c>
      <c r="F31" s="328" t="str">
        <f>IFERROR(VLOOKUP(E31,E2:F17,2,FALSE),"")</f>
        <v/>
      </c>
      <c r="G31" s="328" t="str">
        <f t="shared" si="9"/>
        <v/>
      </c>
      <c r="H31" s="349" t="str">
        <f>IFERROR(VLOOKUP(E31,E2:I17,5,FALSE),"")</f>
        <v/>
      </c>
      <c r="I31" s="348"/>
    </row>
    <row r="32" spans="1:19" hidden="1" x14ac:dyDescent="0.45">
      <c r="A32" s="319"/>
      <c r="B32" s="327"/>
      <c r="D32" s="324">
        <v>5</v>
      </c>
      <c r="E32" s="397" t="str">
        <f>IFERROR(IF(A3=0,VLOOKUP(D32,O2:Q17,2,FALSE),VLOOKUP(D32,O2:Q17,3,FALSE)),"")</f>
        <v/>
      </c>
      <c r="F32" s="328" t="str">
        <f>IFERROR(VLOOKUP(E32,E2:F17,2,FALSE),"")</f>
        <v/>
      </c>
      <c r="G32" s="328" t="str">
        <f t="shared" si="9"/>
        <v/>
      </c>
      <c r="H32" s="349" t="str">
        <f>IFERROR(VLOOKUP(E32,E2:I17,5,FALSE),"")</f>
        <v/>
      </c>
      <c r="I32" s="348"/>
    </row>
    <row r="33" spans="1:20" hidden="1" x14ac:dyDescent="0.45">
      <c r="A33" s="319"/>
      <c r="B33" s="327"/>
      <c r="D33" s="324">
        <v>6</v>
      </c>
      <c r="E33" s="397" t="str">
        <f>IFERROR(IF(A3=0,VLOOKUP(D33,O2:Q17,2,FALSE),VLOOKUP(D33,O2:Q17,3,FALSE)),"")</f>
        <v/>
      </c>
      <c r="F33" s="328" t="str">
        <f>IFERROR(VLOOKUP(E33,E2:F17,2,FALSE),"")</f>
        <v/>
      </c>
      <c r="G33" s="328" t="str">
        <f t="shared" si="9"/>
        <v/>
      </c>
      <c r="H33" s="349" t="str">
        <f>IFERROR(VLOOKUP(E33,E2:I17,5,FALSE),"")</f>
        <v/>
      </c>
      <c r="I33" s="348"/>
    </row>
    <row r="34" spans="1:20" hidden="1" x14ac:dyDescent="0.45">
      <c r="B34" s="327"/>
      <c r="D34" s="324">
        <v>7</v>
      </c>
      <c r="E34" s="397" t="str">
        <f>IFERROR(IF(A3=0,VLOOKUP(D34,O2:Q17,2,FALSE),VLOOKUP(D34,O2:Q17,3,FALSE)),"")</f>
        <v/>
      </c>
      <c r="F34" s="328" t="str">
        <f>IFERROR(VLOOKUP(E34,E2:F17,2,FALSE),"")</f>
        <v/>
      </c>
      <c r="G34" s="328" t="str">
        <f t="shared" si="9"/>
        <v/>
      </c>
      <c r="H34" s="349" t="str">
        <f>IFERROR(VLOOKUP(E34,E2:I17,5,FALSE),"")</f>
        <v/>
      </c>
      <c r="I34" s="348"/>
    </row>
    <row r="35" spans="1:20" hidden="1" x14ac:dyDescent="0.45">
      <c r="A35" s="318"/>
      <c r="B35" s="327"/>
      <c r="D35" s="324">
        <v>8</v>
      </c>
      <c r="E35" s="397" t="str">
        <f>IFERROR(IF(A3=0,VLOOKUP(D35,O2:Q17,2,FALSE),VLOOKUP(D35,O2:Q17,3,FALSE)),"")</f>
        <v/>
      </c>
      <c r="F35" s="328" t="str">
        <f>IFERROR(VLOOKUP(E35,E2:F17,2,FALSE),"")</f>
        <v/>
      </c>
      <c r="G35" s="328" t="str">
        <f t="shared" si="9"/>
        <v/>
      </c>
      <c r="H35" s="349" t="str">
        <f>IFERROR(VLOOKUP(E35,E2:I17,5,FALSE),"")</f>
        <v/>
      </c>
      <c r="I35" s="348"/>
    </row>
    <row r="36" spans="1:20" hidden="1" x14ac:dyDescent="0.45">
      <c r="A36" s="326"/>
      <c r="I36" s="329">
        <f t="shared" ref="I36:I37" si="10">IFERROR(IF(LEFT(H36,1)="D",H36,(INT(H36)*60+(H36-INT(H36))*100)/86400),"")</f>
        <v>0</v>
      </c>
    </row>
    <row r="37" spans="1:20" x14ac:dyDescent="0.45">
      <c r="A37" s="318" t="s">
        <v>310</v>
      </c>
      <c r="B37" s="319">
        <f>B1+36</f>
        <v>55</v>
      </c>
      <c r="C37" s="319">
        <f>C1+36</f>
        <v>64</v>
      </c>
      <c r="D37" s="320"/>
      <c r="E37" s="223" t="str">
        <f>IFERROR(A38&amp;" "&amp;VLOOKUP(A37,timetables,2,FALSE)&amp;" "&amp;VLOOKUP(A37,timetables,3,FALSE)&amp;" A","")</f>
        <v xml:space="preserve"> 1500m U13 Boys A</v>
      </c>
      <c r="F37" s="321"/>
      <c r="G37" s="321"/>
      <c r="H37" s="397" t="s">
        <v>229</v>
      </c>
      <c r="I37" s="329" t="str">
        <f t="shared" si="10"/>
        <v/>
      </c>
      <c r="N37" s="325"/>
      <c r="O37" s="325"/>
    </row>
    <row r="38" spans="1:20" x14ac:dyDescent="0.45">
      <c r="A38" s="326"/>
      <c r="B38" s="327">
        <f>IFERROR(IF(A39=0,E38,VLOOKUP(E38,Teams!$V$2:$W$19,2,FALSE)),"")</f>
        <v>4</v>
      </c>
      <c r="D38" s="327">
        <v>1</v>
      </c>
      <c r="E38" s="396">
        <v>4</v>
      </c>
      <c r="F38" s="328" t="str">
        <f ca="1">IFERROR(IF(A39=0,HLOOKUP(E38,Declarations!$D$2:$S$102,A41,FALSE),HLOOKUP(VLOOKUP(E38,Teams!$V$2:$W$19,2,FALSE),Declarations!$D$2:$S$102,A41,FALSE)),"")</f>
        <v>O'HARE Christy</v>
      </c>
      <c r="G38" s="328" t="str">
        <f t="shared" ref="G38:G53" si="11">IFERROR(VLOOKUP(E38,teamlookup,5,FALSE),"")</f>
        <v>M'bro</v>
      </c>
      <c r="H38" s="385">
        <v>4.5949999999999998</v>
      </c>
      <c r="I38" s="348">
        <f>IFERROR(IF(LEFT(H38,1)="D",H38,(INT(H38)*60+(H38-INT(H38))*100)/86400),"X")</f>
        <v>3.4664351851851852E-3</v>
      </c>
      <c r="J38" s="324">
        <f>IFERROR(IF(H38=99,1,0),0)</f>
        <v>0</v>
      </c>
      <c r="K38" s="330">
        <v>1</v>
      </c>
      <c r="L38" s="324" t="str">
        <f>IFERROR(VLOOKUP(K38,B38:D53,3,FALSE),"")</f>
        <v/>
      </c>
      <c r="M38" s="331" t="str">
        <f>IFERROR(IF(L38=0,0,IF(OR(VLOOKUP(K38*11,$K46:$L53,2,FALSE)=0,L38&lt;=VLOOKUP(K38*11,$K46:$L53,2,FALSE)),"A","B")),"")</f>
        <v>A</v>
      </c>
      <c r="N38" s="331" t="str">
        <f>IF(M38=0,0,IF(OR(R38="",M38="B"),"",RANK(R38,R38:R53,1)))</f>
        <v/>
      </c>
      <c r="O38" s="331" t="str">
        <f>IF(M38=0,0,IF(OR(S38="",M38="A"),"",RANK(S38,S38:S53,1)))</f>
        <v/>
      </c>
      <c r="P38" s="332">
        <f t="shared" ref="P38:P53" si="12">K38</f>
        <v>1</v>
      </c>
      <c r="Q38" s="333"/>
      <c r="R38" s="334" t="str">
        <f>IFERROR(IF(OR(L38=0,M38="B"),"",L38),"")</f>
        <v/>
      </c>
      <c r="S38" s="334" t="str">
        <f>IFERROR(IF(OR(L38=0,M38="A"),"",L38),"")</f>
        <v/>
      </c>
      <c r="T38" s="328"/>
    </row>
    <row r="39" spans="1:20" x14ac:dyDescent="0.45">
      <c r="A39" s="335">
        <f>IFERROR(SEARCH("U17",E37),0)</f>
        <v>0</v>
      </c>
      <c r="B39" s="327">
        <f>IFERROR(IF(A39=0,E39,VLOOKUP(E39,Teams!$V$2:$W$19,2,FALSE)),"")</f>
        <v>44</v>
      </c>
      <c r="D39" s="327">
        <v>2</v>
      </c>
      <c r="E39" s="396">
        <v>44</v>
      </c>
      <c r="F39" s="328" t="str">
        <f ca="1">IFERROR(IF(A39=0,HLOOKUP(E39,Declarations!$D$2:$S$102,A41,FALSE),HLOOKUP(VLOOKUP(E39,Teams!$V$2:$W$19,2,FALSE),Declarations!$D$2:$S$102,A41,FALSE)),"")</f>
        <v>MARRON Ethan</v>
      </c>
      <c r="G39" s="328" t="str">
        <f t="shared" si="11"/>
        <v>M'bro</v>
      </c>
      <c r="H39" s="339">
        <v>5.2370000000000001</v>
      </c>
      <c r="I39" s="348">
        <f t="shared" ref="I39:I53" si="13">IFERROR(IF(LEFT(H39,1)="D",H39,(INT(H39)*60+(H39-INT(H39))*100)/86400),"X")</f>
        <v>3.7465277777777774E-3</v>
      </c>
      <c r="K39" s="330">
        <v>2</v>
      </c>
      <c r="L39" s="324">
        <f>IFERROR(VLOOKUP(K39,B38:D53,3,FALSE),"")</f>
        <v>3</v>
      </c>
      <c r="M39" s="331" t="str">
        <f>IFERROR(IF(L39=0,0,IF(OR(VLOOKUP(K39*11,$K46:$L53,2,FALSE)=0,L39&lt;=VLOOKUP(K39*11,$K46:$L53,2,FALSE)),"A","B")),"")</f>
        <v>A</v>
      </c>
      <c r="N39" s="331">
        <f>IF(M39=0,0,IF(OR(R39="",M39="B"),"",RANK(R39,R38:R53,1)))</f>
        <v>2</v>
      </c>
      <c r="O39" s="331" t="str">
        <f>IF(M39=0,0,IF(OR(S39="",M39="A"),"",RANK(S39,S38:S53,1)))</f>
        <v/>
      </c>
      <c r="P39" s="332">
        <f t="shared" si="12"/>
        <v>2</v>
      </c>
      <c r="Q39" s="333"/>
      <c r="R39" s="334">
        <f t="shared" ref="R39:R53" si="14">IFERROR(IF(OR(L39=0,M39="B"),"",L39),"")</f>
        <v>3</v>
      </c>
      <c r="S39" s="334" t="str">
        <f t="shared" ref="S39:S53" si="15">IFERROR(IF(OR(L39=0,M39="A"),"",L39),"")</f>
        <v/>
      </c>
    </row>
    <row r="40" spans="1:20" x14ac:dyDescent="0.45">
      <c r="B40" s="327">
        <f>IFERROR(IF(A39=0,E40,VLOOKUP(E40,Teams!$V$2:$W$19,2,FALSE)),"")</f>
        <v>2</v>
      </c>
      <c r="D40" s="327">
        <v>3</v>
      </c>
      <c r="E40" s="396">
        <v>2</v>
      </c>
      <c r="F40" s="328" t="str">
        <f ca="1">IFERROR(IF(A39=0,HLOOKUP(E40,Declarations!$D$2:$S$102,A41,FALSE),HLOOKUP(VLOOKUP(E40,Teams!$V$2:$W$19,2,FALSE),Declarations!$D$2:$S$102,A41,FALSE)),"")</f>
        <v>TAYLOR George</v>
      </c>
      <c r="G40" s="328" t="str">
        <f t="shared" si="11"/>
        <v>Sheff+D</v>
      </c>
      <c r="H40" s="339">
        <v>5.3029999999999999</v>
      </c>
      <c r="I40" s="348">
        <f t="shared" si="13"/>
        <v>3.8229166666666667E-3</v>
      </c>
      <c r="K40" s="330">
        <v>3</v>
      </c>
      <c r="L40" s="324">
        <f>IFERROR(VLOOKUP(K40,B38:D53,3,FALSE),"")</f>
        <v>4</v>
      </c>
      <c r="M40" s="331" t="str">
        <f>IFERROR(IF(L40=0,0,IF(OR(VLOOKUP(K40*11,$K46:$L53,2,FALSE)=0,L40&lt;=VLOOKUP(K40*11,$K46:$L53,2,FALSE)),"A","B")),"")</f>
        <v>A</v>
      </c>
      <c r="N40" s="331">
        <f>IF(M40=0,0,IF(OR(R40="",M40="B"),"",RANK(R40,R38:R53,1)))</f>
        <v>3</v>
      </c>
      <c r="O40" s="331" t="str">
        <f>IF(M40=0,0,IF(OR(S40="",M40="A"),"",RANK(S40,S38:S53,1)))</f>
        <v/>
      </c>
      <c r="P40" s="332">
        <f t="shared" si="12"/>
        <v>3</v>
      </c>
      <c r="Q40" s="333"/>
      <c r="R40" s="334">
        <f t="shared" si="14"/>
        <v>4</v>
      </c>
      <c r="S40" s="334" t="str">
        <f t="shared" si="15"/>
        <v/>
      </c>
    </row>
    <row r="41" spans="1:20" x14ac:dyDescent="0.45">
      <c r="A41" s="336">
        <f>IFERROR(VLOOKUP(A37,Timetables!$A:$E,5,FALSE)-1,"")</f>
        <v>84</v>
      </c>
      <c r="B41" s="327">
        <f>IFERROR(IF(A39=0,E41,VLOOKUP(E41,Teams!$V$2:$W$19,2,FALSE)),"")</f>
        <v>3</v>
      </c>
      <c r="D41" s="327">
        <v>4</v>
      </c>
      <c r="E41" s="396">
        <v>3</v>
      </c>
      <c r="F41" s="328" t="str">
        <f ca="1">IFERROR(IF(A39=0,HLOOKUP(E41,Declarations!$D$2:$S$102,A41,FALSE),HLOOKUP(VLOOKUP(E41,Teams!$V$2:$W$19,2,FALSE),Declarations!$D$2:$S$102,A41,FALSE)),"")</f>
        <v>CHALK William</v>
      </c>
      <c r="G41" s="328" t="str">
        <f t="shared" si="11"/>
        <v>York</v>
      </c>
      <c r="H41" s="339">
        <v>5.3719999999999999</v>
      </c>
      <c r="I41" s="348">
        <f t="shared" si="13"/>
        <v>3.9027777777777776E-3</v>
      </c>
      <c r="K41" s="330">
        <v>4</v>
      </c>
      <c r="L41" s="324">
        <f>IFERROR(VLOOKUP(K41,B38:D53,3,FALSE),"")</f>
        <v>1</v>
      </c>
      <c r="M41" s="331" t="str">
        <f>IFERROR(IF(L41=0,0,IF(OR(VLOOKUP(K41*11,$K46:$L53,2,FALSE)=0,L41&lt;=VLOOKUP(K41*11,$K46:$L53,2,FALSE)),"A","B")),"")</f>
        <v>A</v>
      </c>
      <c r="N41" s="331">
        <f>IF(M41=0,0,IF(OR(R41="",M41="B"),"",RANK(R41,R38:R53,1)))</f>
        <v>1</v>
      </c>
      <c r="O41" s="331" t="str">
        <f>IF(M41=0,0,IF(OR(S41="",M41="A"),"",RANK(S41,S38:S53,1)))</f>
        <v/>
      </c>
      <c r="P41" s="332">
        <f t="shared" si="12"/>
        <v>4</v>
      </c>
      <c r="Q41" s="333"/>
      <c r="R41" s="334">
        <f t="shared" si="14"/>
        <v>1</v>
      </c>
      <c r="S41" s="334" t="str">
        <f t="shared" si="15"/>
        <v/>
      </c>
    </row>
    <row r="42" spans="1:20" x14ac:dyDescent="0.45">
      <c r="A42" s="337"/>
      <c r="B42" s="327">
        <f>IFERROR(IF(A39=0,E42,VLOOKUP(E42,Teams!$V$2:$W$19,2,FALSE)),"")</f>
        <v>33</v>
      </c>
      <c r="D42" s="327">
        <v>5</v>
      </c>
      <c r="E42" s="396">
        <v>33</v>
      </c>
      <c r="F42" s="328" t="str">
        <f ca="1">IFERROR(IF(A39=0,HLOOKUP(E42,Declarations!$D$2:$S$102,A41,FALSE),HLOOKUP(VLOOKUP(E42,Teams!$V$2:$W$19,2,FALSE),Declarations!$D$2:$S$102,A41,FALSE)),"")</f>
        <v>WATSON Miles</v>
      </c>
      <c r="G42" s="328" t="str">
        <f t="shared" si="11"/>
        <v>York</v>
      </c>
      <c r="H42" s="339">
        <v>5.4720000000000004</v>
      </c>
      <c r="I42" s="348">
        <f t="shared" si="13"/>
        <v>4.0185185185185194E-3</v>
      </c>
      <c r="K42" s="330">
        <v>5</v>
      </c>
      <c r="L42" s="324">
        <f>IFERROR(VLOOKUP(K42,B38:D53,3,FALSE),"")</f>
        <v>6</v>
      </c>
      <c r="M42" s="331" t="str">
        <f>IFERROR(IF(L42=0,0,IF(OR(VLOOKUP(K42*11,$K46:$L53,2,FALSE)=0,L42&lt;=VLOOKUP(K42*11,$K46:$L53,2,FALSE)),"A","B")),"")</f>
        <v>A</v>
      </c>
      <c r="N42" s="331">
        <f>IF(M42=0,0,IF(OR(R42="",M42="B"),"",RANK(R42,R38:R53,1)))</f>
        <v>4</v>
      </c>
      <c r="O42" s="331" t="str">
        <f>IF(M42=0,0,IF(OR(S42="",M42="A"),"",RANK(S42,S38:S53,1)))</f>
        <v/>
      </c>
      <c r="P42" s="332">
        <f t="shared" si="12"/>
        <v>5</v>
      </c>
      <c r="Q42" s="333"/>
      <c r="R42" s="334">
        <f>IFERROR(IF(OR(L42=0,M42="B"),"",L42),"")</f>
        <v>6</v>
      </c>
      <c r="S42" s="334" t="str">
        <f t="shared" si="15"/>
        <v/>
      </c>
    </row>
    <row r="43" spans="1:20" x14ac:dyDescent="0.45">
      <c r="A43" s="337"/>
      <c r="B43" s="327">
        <f>IFERROR(IF(A39=0,E43,VLOOKUP(E43,Teams!$V$2:$W$19,2,FALSE)),"")</f>
        <v>5</v>
      </c>
      <c r="D43" s="327">
        <v>6</v>
      </c>
      <c r="E43" s="396">
        <v>5</v>
      </c>
      <c r="F43" s="328" t="str">
        <f ca="1">IFERROR(IF(A39=0,HLOOKUP(E43,Declarations!$D$2:$S$102,A41,FALSE),HLOOKUP(VLOOKUP(E43,Teams!$V$2:$W$19,2,FALSE),Declarations!$D$2:$S$102,A41,FALSE)),"")</f>
        <v>OADES James</v>
      </c>
      <c r="G43" s="328" t="str">
        <f t="shared" si="11"/>
        <v>Scun</v>
      </c>
      <c r="H43" s="339">
        <v>5.4889999999999999</v>
      </c>
      <c r="I43" s="348">
        <f t="shared" si="13"/>
        <v>4.0381944444444441E-3</v>
      </c>
      <c r="K43" s="330">
        <v>6</v>
      </c>
      <c r="L43" s="324" t="str">
        <f>IFERROR(VLOOKUP(K43,B38:D53,3,FALSE),"")</f>
        <v/>
      </c>
      <c r="M43" s="331" t="str">
        <f>IFERROR(IF(L43=0,0,IF(OR(VLOOKUP(K43*11,$K46:$L53,2,FALSE)=0,L43&lt;=VLOOKUP(K43*11,$K46:$L53,2,FALSE)),"A","B")),"")</f>
        <v>A</v>
      </c>
      <c r="N43" s="331" t="str">
        <f>IF(M43=0,0,IF(OR(R43="",M43="B"),"",RANK(R43,R38:R53,1)))</f>
        <v/>
      </c>
      <c r="O43" s="331" t="str">
        <f>IF(M43=0,0,IF(OR(S43="",M43="A"),"",RANK(S43,S38:S53,1)))</f>
        <v/>
      </c>
      <c r="P43" s="332">
        <f t="shared" si="12"/>
        <v>6</v>
      </c>
      <c r="Q43" s="333"/>
      <c r="R43" s="334" t="str">
        <f t="shared" si="14"/>
        <v/>
      </c>
      <c r="S43" s="334" t="str">
        <f t="shared" si="15"/>
        <v/>
      </c>
    </row>
    <row r="44" spans="1:20" x14ac:dyDescent="0.45">
      <c r="A44" s="337"/>
      <c r="B44" s="327">
        <f>IFERROR(IF(A39=0,E44,VLOOKUP(E44,Teams!$V$2:$W$19,2,FALSE)),"")</f>
        <v>22</v>
      </c>
      <c r="D44" s="327">
        <v>7</v>
      </c>
      <c r="E44" s="396">
        <v>22</v>
      </c>
      <c r="F44" s="328" t="str">
        <f ca="1">IFERROR(IF(A39=0,HLOOKUP(E44,Declarations!$D$2:$S$102,A41,FALSE),HLOOKUP(VLOOKUP(E44,Teams!$V$2:$W$19,2,FALSE),Declarations!$D$2:$S$102,A41,FALSE)),"")</f>
        <v>ENGLISH Elliott</v>
      </c>
      <c r="G44" s="328" t="str">
        <f t="shared" si="11"/>
        <v>Sheff+D</v>
      </c>
      <c r="H44" s="339">
        <v>5.5839999999999996</v>
      </c>
      <c r="I44" s="348">
        <f t="shared" si="13"/>
        <v>4.1481481481481482E-3</v>
      </c>
      <c r="K44" s="330">
        <v>7</v>
      </c>
      <c r="L44" s="324" t="str">
        <f>IFERROR(VLOOKUP(K44,B38:D53,3,FALSE),"")</f>
        <v/>
      </c>
      <c r="M44" s="331" t="str">
        <f>IFERROR(IF(L44=0,0,IF(OR(VLOOKUP(K44*11,$K46:$L53,2,FALSE)=0,L44&lt;=VLOOKUP(K44*11,$K46:$L53,2,FALSE)),"A","B")),"")</f>
        <v>A</v>
      </c>
      <c r="N44" s="331" t="str">
        <f>IF(M44=0,0,IF(OR(R44="",M44="B"),"",RANK(R44,R38:R53,1)))</f>
        <v/>
      </c>
      <c r="O44" s="331" t="str">
        <f>IF(M44=0,0,IF(OR(S44="",M44="A"),"",RANK(S44,S38:S53,1)))</f>
        <v/>
      </c>
      <c r="P44" s="332">
        <f t="shared" si="12"/>
        <v>7</v>
      </c>
      <c r="Q44" s="333"/>
      <c r="R44" s="334" t="str">
        <f t="shared" si="14"/>
        <v/>
      </c>
      <c r="S44" s="334" t="str">
        <f t="shared" si="15"/>
        <v/>
      </c>
    </row>
    <row r="45" spans="1:20" x14ac:dyDescent="0.45">
      <c r="A45" s="319"/>
      <c r="B45" s="327">
        <f>IFERROR(IF(A39=0,E45,VLOOKUP(E45,Teams!$V$2:$W$19,2,FALSE)),"")</f>
        <v>0</v>
      </c>
      <c r="D45" s="327">
        <v>8</v>
      </c>
      <c r="E45" s="396"/>
      <c r="F45" s="328" t="str">
        <f>IFERROR(IF(A39=0,HLOOKUP(E45,Declarations!$D$2:$S$102,A41,FALSE),HLOOKUP(VLOOKUP(E45,Teams!$V$2:$W$19,2,FALSE),Declarations!$D$2:$S$102,A41,FALSE)),"")</f>
        <v/>
      </c>
      <c r="G45" s="328" t="str">
        <f t="shared" si="11"/>
        <v/>
      </c>
      <c r="H45" s="339"/>
      <c r="I45" s="348">
        <f t="shared" si="13"/>
        <v>0</v>
      </c>
      <c r="K45" s="330">
        <v>8</v>
      </c>
      <c r="L45" s="324" t="str">
        <f>IFERROR(VLOOKUP(K45,B38:D53,3,FALSE),"")</f>
        <v/>
      </c>
      <c r="M45" s="331" t="str">
        <f>IFERROR(IF(L45=0,0,IF(OR(VLOOKUP(K45*11,$K46:$L53,2,FALSE)=0,L45&lt;=VLOOKUP(K45*11,$K46:$L53,2,FALSE)),"A","B")),"")</f>
        <v>A</v>
      </c>
      <c r="N45" s="331" t="str">
        <f>IF(M45=0,0,IF(OR(R45="",M45="B"),"",RANK(R45,R38:R53,1)))</f>
        <v/>
      </c>
      <c r="O45" s="331" t="str">
        <f>IF(M45=0,0,IF(OR(S45="",M45="A"),"",RANK(S45,S38:S53,1)))</f>
        <v/>
      </c>
      <c r="P45" s="332">
        <f t="shared" si="12"/>
        <v>8</v>
      </c>
      <c r="Q45" s="333"/>
      <c r="R45" s="334" t="str">
        <f t="shared" si="14"/>
        <v/>
      </c>
      <c r="S45" s="334" t="str">
        <f t="shared" si="15"/>
        <v/>
      </c>
    </row>
    <row r="46" spans="1:20" x14ac:dyDescent="0.45">
      <c r="A46" s="319"/>
      <c r="B46" s="327">
        <f>IFERROR(IF(A39=0,E46,VLOOKUP(E46,Teams!$V$2:$W$19,2,FALSE)),"")</f>
        <v>0</v>
      </c>
      <c r="D46" s="327">
        <v>9</v>
      </c>
      <c r="E46" s="396"/>
      <c r="F46" s="328" t="str">
        <f>IFERROR(IF(A39=0,HLOOKUP(E46,Declarations!$D$2:$S$102,A41,FALSE),HLOOKUP(VLOOKUP(E46,Teams!$V$2:$W$19,2,FALSE),Declarations!$D$2:$S$102,A41,FALSE)),"")</f>
        <v/>
      </c>
      <c r="G46" s="328" t="str">
        <f t="shared" si="11"/>
        <v/>
      </c>
      <c r="H46" s="339"/>
      <c r="I46" s="348">
        <f t="shared" si="13"/>
        <v>0</v>
      </c>
      <c r="K46" s="324">
        <f>K38*11</f>
        <v>11</v>
      </c>
      <c r="L46" s="324" t="str">
        <f>IFERROR(VLOOKUP(K46,B38:D53,3,FALSE),"")</f>
        <v/>
      </c>
      <c r="M46" s="331" t="str">
        <f>IFERROR(IF(L46=0,0,IF(OR(VLOOKUP(K46/11,$K38:$L45,2,FALSE)=0,L46&lt;=VLOOKUP(K46/11,$K38:$L45,2,FALSE)),"A","B")),"")</f>
        <v>A</v>
      </c>
      <c r="N46" s="331" t="str">
        <f>IF(M46=0,0,IF(OR(R46="",M46="B"),"",RANK(R46,R38:R53,1)))</f>
        <v/>
      </c>
      <c r="O46" s="331" t="str">
        <f>IF(M46=0,0,IF(OR(S46="",M46="A"),"",RANK(S46,S38:S53,1)))</f>
        <v/>
      </c>
      <c r="P46" s="332">
        <f t="shared" si="12"/>
        <v>11</v>
      </c>
      <c r="Q46" s="333"/>
      <c r="R46" s="334" t="str">
        <f t="shared" si="14"/>
        <v/>
      </c>
      <c r="S46" s="334" t="str">
        <f t="shared" si="15"/>
        <v/>
      </c>
    </row>
    <row r="47" spans="1:20" x14ac:dyDescent="0.45">
      <c r="B47" s="327">
        <f>IFERROR(IF(A39=0,E47,VLOOKUP(E47,Teams!$V$2:$W$19,2,FALSE)),"")</f>
        <v>0</v>
      </c>
      <c r="D47" s="327">
        <v>10</v>
      </c>
      <c r="E47" s="396"/>
      <c r="F47" s="328" t="str">
        <f>IFERROR(IF(A39=0,HLOOKUP(E47,Declarations!$D$2:$S$102,A41,FALSE),HLOOKUP(VLOOKUP(E47,Teams!$V$2:$W$19,2,FALSE),Declarations!$D$2:$S$102,A41,FALSE)),"")</f>
        <v/>
      </c>
      <c r="G47" s="328" t="str">
        <f t="shared" si="11"/>
        <v/>
      </c>
      <c r="H47" s="339"/>
      <c r="I47" s="348">
        <f t="shared" si="13"/>
        <v>0</v>
      </c>
      <c r="K47" s="324">
        <f t="shared" ref="K47:K53" si="16">K39*11</f>
        <v>22</v>
      </c>
      <c r="L47" s="324">
        <f>IFERROR(VLOOKUP(K47,B38:D53,3,FALSE),"")</f>
        <v>7</v>
      </c>
      <c r="M47" s="331" t="str">
        <f>IFERROR(IF(L47=0,0,IF(OR(VLOOKUP(K47/11,$K38:$L45,2,FALSE)=0,L47&lt;=VLOOKUP(K47/11,$K38:$L45,2,FALSE)),"A","B")),"")</f>
        <v>B</v>
      </c>
      <c r="N47" s="331" t="str">
        <f>IF(M47=0,0,IF(OR(R47="",M47="B"),"",RANK(R47,R38:R53,1)))</f>
        <v/>
      </c>
      <c r="O47" s="331">
        <f>IF(M47=0,0,IF(OR(S47="",M47="A"),"",RANK(S47,S38:S53,1)))</f>
        <v>3</v>
      </c>
      <c r="P47" s="332">
        <f t="shared" si="12"/>
        <v>22</v>
      </c>
      <c r="Q47" s="333"/>
      <c r="R47" s="334" t="str">
        <f t="shared" si="14"/>
        <v/>
      </c>
      <c r="S47" s="334">
        <f t="shared" si="15"/>
        <v>7</v>
      </c>
    </row>
    <row r="48" spans="1:20" x14ac:dyDescent="0.45">
      <c r="B48" s="327">
        <f>IFERROR(IF(A39=0,E48,VLOOKUP(E48,Teams!$V$2:$W$19,2,FALSE)),"")</f>
        <v>0</v>
      </c>
      <c r="D48" s="327">
        <v>11</v>
      </c>
      <c r="E48" s="396"/>
      <c r="F48" s="328" t="str">
        <f>IFERROR(IF(A39=0,HLOOKUP(E48,Declarations!$D$2:$S$102,A41,FALSE),HLOOKUP(VLOOKUP(E48,Teams!$V$2:$W$19,2,FALSE),Declarations!$D$2:$S$102,A41,FALSE)),"")</f>
        <v/>
      </c>
      <c r="G48" s="328" t="str">
        <f t="shared" si="11"/>
        <v/>
      </c>
      <c r="H48" s="339"/>
      <c r="I48" s="348">
        <f t="shared" si="13"/>
        <v>0</v>
      </c>
      <c r="K48" s="324">
        <f t="shared" si="16"/>
        <v>33</v>
      </c>
      <c r="L48" s="324">
        <f>IFERROR(VLOOKUP(K48,B38:D53,3,FALSE),"")</f>
        <v>5</v>
      </c>
      <c r="M48" s="331" t="str">
        <f>IFERROR(IF(L48=0,0,IF(OR(VLOOKUP(K48/11,$K38:$L45,2,FALSE)=0,L48&lt;=VLOOKUP(K48/11,$K38:$L45,2,FALSE)),"A","B")),"")</f>
        <v>B</v>
      </c>
      <c r="N48" s="331" t="str">
        <f>IF(M48=0,0,IF(OR(R48="",M48="B"),"",RANK(R48,R38:R53,1)))</f>
        <v/>
      </c>
      <c r="O48" s="331">
        <f>IF(M48=0,0,IF(OR(S48="",M48="A"),"",RANK(S48,S38:S53,1)))</f>
        <v>2</v>
      </c>
      <c r="P48" s="332">
        <f t="shared" si="12"/>
        <v>33</v>
      </c>
      <c r="Q48" s="333"/>
      <c r="R48" s="334" t="str">
        <f t="shared" si="14"/>
        <v/>
      </c>
      <c r="S48" s="334">
        <f t="shared" si="15"/>
        <v>5</v>
      </c>
    </row>
    <row r="49" spans="1:19" x14ac:dyDescent="0.45">
      <c r="A49" s="318"/>
      <c r="B49" s="327">
        <f>IFERROR(IF(A39=0,E49,VLOOKUP(E49,Teams!$V$2:$W$19,2,FALSE)),"")</f>
        <v>0</v>
      </c>
      <c r="D49" s="327">
        <v>12</v>
      </c>
      <c r="E49" s="396"/>
      <c r="F49" s="328" t="str">
        <f>IFERROR(IF(A39=0,HLOOKUP(E49,Declarations!$D$2:$S$102,A41,FALSE),HLOOKUP(VLOOKUP(E49,Teams!$V$2:$W$19,2,FALSE),Declarations!$D$2:$S$102,A41,FALSE)),"")</f>
        <v/>
      </c>
      <c r="G49" s="328" t="str">
        <f t="shared" si="11"/>
        <v/>
      </c>
      <c r="H49" s="339"/>
      <c r="I49" s="348">
        <f t="shared" si="13"/>
        <v>0</v>
      </c>
      <c r="K49" s="324">
        <f t="shared" si="16"/>
        <v>44</v>
      </c>
      <c r="L49" s="324">
        <f>IFERROR(VLOOKUP(K49,B38:D53,3,FALSE),"")</f>
        <v>2</v>
      </c>
      <c r="M49" s="331" t="str">
        <f>IFERROR(IF(L49=0,0,IF(OR(VLOOKUP(K49/11,$K38:$L45,2,FALSE)=0,L49&lt;=VLOOKUP(K49/11,$K38:$L45,2,FALSE)),"A","B")),"")</f>
        <v>B</v>
      </c>
      <c r="N49" s="331" t="str">
        <f>IF(M49=0,0,IF(OR(R49="",M49="B"),"",RANK(R49,R38:R53,1)))</f>
        <v/>
      </c>
      <c r="O49" s="331">
        <f>IF(M49=0,0,IF(OR(S49="",M49="A"),"",RANK(S49,S38:S53,1)))</f>
        <v>1</v>
      </c>
      <c r="P49" s="332">
        <f t="shared" si="12"/>
        <v>44</v>
      </c>
      <c r="Q49" s="333"/>
      <c r="R49" s="334" t="str">
        <f t="shared" si="14"/>
        <v/>
      </c>
      <c r="S49" s="334">
        <f t="shared" si="15"/>
        <v>2</v>
      </c>
    </row>
    <row r="50" spans="1:19" x14ac:dyDescent="0.45">
      <c r="A50" s="326"/>
      <c r="B50" s="327">
        <f>IFERROR(IF(A39=0,E50,VLOOKUP(E50,Teams!$V$2:$W$19,2,FALSE)),"")</f>
        <v>0</v>
      </c>
      <c r="D50" s="327">
        <v>13</v>
      </c>
      <c r="E50" s="396"/>
      <c r="F50" s="328" t="str">
        <f>IFERROR(IF(A39=0,HLOOKUP(E50,Declarations!$D$2:$S$102,A41,FALSE),HLOOKUP(VLOOKUP(E50,Teams!$V$2:$W$19,2,FALSE),Declarations!$D$2:$S$102,A41,FALSE)),"")</f>
        <v/>
      </c>
      <c r="G50" s="328" t="str">
        <f t="shared" si="11"/>
        <v/>
      </c>
      <c r="H50" s="339"/>
      <c r="I50" s="348">
        <f t="shared" si="13"/>
        <v>0</v>
      </c>
      <c r="K50" s="324">
        <f t="shared" si="16"/>
        <v>55</v>
      </c>
      <c r="L50" s="324" t="str">
        <f>IFERROR(VLOOKUP(K50,B38:D53,3,FALSE),"")</f>
        <v/>
      </c>
      <c r="M50" s="331" t="str">
        <f>IFERROR(IF(L50=0,0,IF(OR(VLOOKUP(K50/11,$K38:$L45,2,FALSE)=0,L50&lt;=VLOOKUP(K50/11,$K38:$L45,2,FALSE)),"A","B")),"")</f>
        <v>B</v>
      </c>
      <c r="N50" s="331" t="str">
        <f>IF(M50=0,0,IF(OR(R50="",M50="B"),"",RANK(R50,R38:R53,1)))</f>
        <v/>
      </c>
      <c r="O50" s="331" t="str">
        <f>IF(M50=0,0,IF(OR(S50="",M50="A"),"",RANK(S50,S38:S53,1)))</f>
        <v/>
      </c>
      <c r="P50" s="332">
        <f t="shared" si="12"/>
        <v>55</v>
      </c>
      <c r="Q50" s="333"/>
      <c r="R50" s="334" t="str">
        <f t="shared" si="14"/>
        <v/>
      </c>
      <c r="S50" s="334" t="str">
        <f t="shared" si="15"/>
        <v/>
      </c>
    </row>
    <row r="51" spans="1:19" x14ac:dyDescent="0.45">
      <c r="A51" s="319"/>
      <c r="B51" s="327">
        <f>IFERROR(IF(A39=0,E51,VLOOKUP(E51,Teams!$V$2:$W$19,2,FALSE)),"")</f>
        <v>0</v>
      </c>
      <c r="D51" s="327">
        <v>14</v>
      </c>
      <c r="E51" s="396"/>
      <c r="F51" s="328" t="str">
        <f>IFERROR(IF(A39=0,HLOOKUP(E51,Declarations!$D$2:$S$102,A41,FALSE),HLOOKUP(VLOOKUP(E51,Teams!$V$2:$W$19,2,FALSE),Declarations!$D$2:$S$102,A41,FALSE)),"")</f>
        <v/>
      </c>
      <c r="G51" s="328" t="str">
        <f t="shared" si="11"/>
        <v/>
      </c>
      <c r="H51" s="339"/>
      <c r="I51" s="348">
        <f t="shared" si="13"/>
        <v>0</v>
      </c>
      <c r="K51" s="324">
        <f t="shared" si="16"/>
        <v>66</v>
      </c>
      <c r="L51" s="324" t="str">
        <f>IFERROR(VLOOKUP(K51,B38:D53,3,FALSE),"")</f>
        <v/>
      </c>
      <c r="M51" s="331" t="str">
        <f>IFERROR(IF(L51=0,0,IF(OR(VLOOKUP(K51/11,$K38:$L45,2,FALSE)=0,L51&lt;=VLOOKUP(K51/11,$K38:$L45,2,FALSE)),"A","B")),"")</f>
        <v>A</v>
      </c>
      <c r="N51" s="331" t="str">
        <f>IF(M51=0,0,IF(OR(R51="",M51="B"),"",RANK(R51,R38:R53,1)))</f>
        <v/>
      </c>
      <c r="O51" s="331" t="str">
        <f>IF(M51=0,0,IF(OR(S51="",M51="A"),"",RANK(S51,S38:S53,1)))</f>
        <v/>
      </c>
      <c r="P51" s="332">
        <f t="shared" si="12"/>
        <v>66</v>
      </c>
      <c r="Q51" s="333"/>
      <c r="R51" s="334" t="str">
        <f t="shared" si="14"/>
        <v/>
      </c>
      <c r="S51" s="334" t="str">
        <f t="shared" si="15"/>
        <v/>
      </c>
    </row>
    <row r="52" spans="1:19" x14ac:dyDescent="0.45">
      <c r="B52" s="327">
        <f>IFERROR(IF(A39=0,E52,VLOOKUP(E52,Teams!$V$2:$W$19,2,FALSE)),"")</f>
        <v>0</v>
      </c>
      <c r="D52" s="327">
        <v>15</v>
      </c>
      <c r="E52" s="396"/>
      <c r="F52" s="328" t="str">
        <f>IFERROR(IF(A39=0,HLOOKUP(E52,Declarations!$D$2:$S$102,A41,FALSE),HLOOKUP(VLOOKUP(E52,Teams!$V$2:$W$19,2,FALSE),Declarations!$D$2:$S$102,A41,FALSE)),"")</f>
        <v/>
      </c>
      <c r="G52" s="328" t="str">
        <f t="shared" si="11"/>
        <v/>
      </c>
      <c r="H52" s="339"/>
      <c r="I52" s="348">
        <f t="shared" si="13"/>
        <v>0</v>
      </c>
      <c r="K52" s="324">
        <f t="shared" si="16"/>
        <v>77</v>
      </c>
      <c r="L52" s="324" t="str">
        <f>IFERROR(VLOOKUP(K52,B38:D53,3,FALSE),"")</f>
        <v/>
      </c>
      <c r="M52" s="331" t="str">
        <f>IFERROR(IF(L52=0,0,IF(OR(VLOOKUP(K52/11,$K38:$L45,2,FALSE)=0,L52&lt;=VLOOKUP(K52/11,$K38:$L45,2,FALSE)),"A","B")),"")</f>
        <v>A</v>
      </c>
      <c r="N52" s="331" t="str">
        <f>IF(M52=0,0,IF(OR(R52="",M52="B"),"",RANK(R52,R38:R53,1)))</f>
        <v/>
      </c>
      <c r="O52" s="331" t="str">
        <f>IF(M52=0,0,IF(OR(S52="",M52="A"),"",RANK(S52,S38:S53,1)))</f>
        <v/>
      </c>
      <c r="P52" s="332">
        <f t="shared" si="12"/>
        <v>77</v>
      </c>
      <c r="Q52" s="333"/>
      <c r="R52" s="334" t="str">
        <f t="shared" si="14"/>
        <v/>
      </c>
      <c r="S52" s="334" t="str">
        <f t="shared" si="15"/>
        <v/>
      </c>
    </row>
    <row r="53" spans="1:19" x14ac:dyDescent="0.45">
      <c r="A53" s="337"/>
      <c r="B53" s="327">
        <f>IFERROR(IF(A39=0,E53,VLOOKUP(E53,Teams!$V$2:$W$19,2,FALSE)),"")</f>
        <v>0</v>
      </c>
      <c r="D53" s="327">
        <v>16</v>
      </c>
      <c r="E53" s="396"/>
      <c r="F53" s="328" t="str">
        <f>IFERROR(IF(A39=0,HLOOKUP(E53,Declarations!$D$2:$S$102,A41,FALSE),HLOOKUP(VLOOKUP(E53,Teams!$V$2:$W$19,2,FALSE),Declarations!$D$2:$S$102,A41,FALSE)),"")</f>
        <v/>
      </c>
      <c r="G53" s="328" t="str">
        <f t="shared" si="11"/>
        <v/>
      </c>
      <c r="H53" s="339"/>
      <c r="I53" s="348">
        <f t="shared" si="13"/>
        <v>0</v>
      </c>
      <c r="K53" s="324">
        <f t="shared" si="16"/>
        <v>88</v>
      </c>
      <c r="L53" s="324" t="str">
        <f>IFERROR(VLOOKUP(K53,B38:D53,3,FALSE),"")</f>
        <v/>
      </c>
      <c r="M53" s="331" t="str">
        <f>IFERROR(IF(L53=0,0,IF(OR(VLOOKUP(K53/11,$K38:$L45,2,FALSE)=0,L53&lt;=VLOOKUP(K53/11,$K38:$L45,2,FALSE)),"A","B")),"")</f>
        <v>A</v>
      </c>
      <c r="N53" s="331" t="str">
        <f>IF(M53=0,0,IF(OR(R53="",M53="B"),"",RANK(R53,R38:R53,1)))</f>
        <v/>
      </c>
      <c r="O53" s="331" t="str">
        <f>IF(M53=0,0,IF(OR(S53="",M53="A"),"",RANK(S53,S38:S53,1)))</f>
        <v/>
      </c>
      <c r="P53" s="332">
        <f t="shared" si="12"/>
        <v>88</v>
      </c>
      <c r="Q53" s="333"/>
      <c r="R53" s="334" t="str">
        <f t="shared" si="14"/>
        <v/>
      </c>
      <c r="S53" s="334" t="str">
        <f t="shared" si="15"/>
        <v/>
      </c>
    </row>
    <row r="54" spans="1:19" hidden="1" x14ac:dyDescent="0.45">
      <c r="A54" s="337"/>
      <c r="I54" s="329">
        <f t="shared" si="6"/>
        <v>0</v>
      </c>
    </row>
    <row r="55" spans="1:19" ht="15.4" hidden="1" x14ac:dyDescent="0.45">
      <c r="A55" s="337"/>
      <c r="B55" s="327"/>
      <c r="C55" s="324" t="s">
        <v>53</v>
      </c>
      <c r="D55" s="324">
        <v>1</v>
      </c>
      <c r="E55" s="397">
        <f>IFERROR(IF(E38&gt;88,E38,IF(A39=0,VLOOKUP(D55,N38:Q53,3,FALSE),VLOOKUP(D55,N38:Q53,4,FALSE))),0)</f>
        <v>4</v>
      </c>
      <c r="F55" s="328" t="str">
        <f ca="1">IFERROR(VLOOKUP(E55,E38:F53,2,FALSE),"")</f>
        <v>O'HARE Christy</v>
      </c>
      <c r="G55" s="328" t="str">
        <f>IFERROR(VLOOKUP(E55,teamlookup,5,FALSE),"")</f>
        <v>M'bro</v>
      </c>
      <c r="H55" s="349">
        <f>IFERROR(VLOOKUP(E55,E38:I53,5,FALSE),"")</f>
        <v>3.4664351851851852E-3</v>
      </c>
      <c r="I55" s="348"/>
      <c r="K55" s="338"/>
    </row>
    <row r="56" spans="1:19" hidden="1" x14ac:dyDescent="0.45">
      <c r="A56" s="337"/>
      <c r="B56" s="327"/>
      <c r="D56" s="324">
        <v>2</v>
      </c>
      <c r="E56" s="397">
        <f>IFERROR(IF(A39=0,VLOOKUP(D56,N38:Q53,3,FALSE),VLOOKUP(D56,N38:Q53,4,FALSE)),"")</f>
        <v>2</v>
      </c>
      <c r="F56" s="328" t="str">
        <f ca="1">IFERROR(VLOOKUP(E56,E38:F53,2,FALSE),"")</f>
        <v>TAYLOR George</v>
      </c>
      <c r="G56" s="328" t="str">
        <f t="shared" ref="G56:G62" si="17">IFERROR(VLOOKUP(E56,teamlookup,5,FALSE),"")</f>
        <v>Sheff+D</v>
      </c>
      <c r="H56" s="349">
        <f>IFERROR(VLOOKUP(E56,E38:I53,5,FALSE),"")</f>
        <v>3.8229166666666667E-3</v>
      </c>
      <c r="I56" s="348"/>
    </row>
    <row r="57" spans="1:19" hidden="1" x14ac:dyDescent="0.45">
      <c r="A57" s="319"/>
      <c r="B57" s="327"/>
      <c r="D57" s="324">
        <v>3</v>
      </c>
      <c r="E57" s="397">
        <f>IFERROR(IF(A39=0,VLOOKUP(D57,N38:Q53,3,FALSE),VLOOKUP(D57,N38:Q53,4,FALSE)),"")</f>
        <v>3</v>
      </c>
      <c r="F57" s="328" t="str">
        <f ca="1">IFERROR(VLOOKUP(E57,E38:F53,2,FALSE),"")</f>
        <v>CHALK William</v>
      </c>
      <c r="G57" s="328" t="str">
        <f t="shared" si="17"/>
        <v>York</v>
      </c>
      <c r="H57" s="349">
        <f>IFERROR(VLOOKUP(E57,E38:I53,5,FALSE),"")</f>
        <v>3.9027777777777776E-3</v>
      </c>
      <c r="I57" s="348"/>
    </row>
    <row r="58" spans="1:19" hidden="1" x14ac:dyDescent="0.45">
      <c r="A58" s="319"/>
      <c r="B58" s="327"/>
      <c r="D58" s="324">
        <v>4</v>
      </c>
      <c r="E58" s="397">
        <f>IFERROR(IF(A39=0,VLOOKUP(D58,N38:Q53,3,FALSE),VLOOKUP(D58,N38:Q53,4,FALSE)),"")</f>
        <v>5</v>
      </c>
      <c r="F58" s="328" t="str">
        <f ca="1">IFERROR(VLOOKUP(E58,E38:F53,2,FALSE),"")</f>
        <v>OADES James</v>
      </c>
      <c r="G58" s="328" t="str">
        <f t="shared" si="17"/>
        <v>Scun</v>
      </c>
      <c r="H58" s="349">
        <f>IFERROR(VLOOKUP(E58,E38:I53,5,FALSE),"")</f>
        <v>4.0381944444444441E-3</v>
      </c>
      <c r="I58" s="348"/>
    </row>
    <row r="59" spans="1:19" hidden="1" x14ac:dyDescent="0.45">
      <c r="B59" s="327"/>
      <c r="D59" s="324">
        <v>5</v>
      </c>
      <c r="E59" s="397" t="str">
        <f>IFERROR(IF(A39=0,VLOOKUP(D59,N38:Q53,3,FALSE),VLOOKUP(D59,N38:Q53,4,FALSE)),"")</f>
        <v/>
      </c>
      <c r="F59" s="328" t="str">
        <f>IFERROR(VLOOKUP(E59,E38:F53,2,FALSE),"")</f>
        <v/>
      </c>
      <c r="G59" s="328" t="str">
        <f t="shared" si="17"/>
        <v/>
      </c>
      <c r="H59" s="349" t="str">
        <f>IFERROR(VLOOKUP(E59,E38:I53,5,FALSE),"")</f>
        <v/>
      </c>
      <c r="I59" s="348"/>
    </row>
    <row r="60" spans="1:19" hidden="1" x14ac:dyDescent="0.45">
      <c r="A60" s="318"/>
      <c r="B60" s="327"/>
      <c r="D60" s="324">
        <v>6</v>
      </c>
      <c r="E60" s="397" t="str">
        <f>IFERROR(IF(A39=0,VLOOKUP(D60,N38:Q53,3,FALSE),VLOOKUP(D60,N38:Q53,4,FALSE)),"")</f>
        <v/>
      </c>
      <c r="F60" s="328" t="str">
        <f>IFERROR(VLOOKUP(E60,E38:F53,2,FALSE),"")</f>
        <v/>
      </c>
      <c r="G60" s="328" t="str">
        <f t="shared" si="17"/>
        <v/>
      </c>
      <c r="H60" s="349" t="str">
        <f>IFERROR(VLOOKUP(E60,E38:I53,5,FALSE),"")</f>
        <v/>
      </c>
      <c r="I60" s="348"/>
    </row>
    <row r="61" spans="1:19" hidden="1" x14ac:dyDescent="0.45">
      <c r="A61" s="326"/>
      <c r="B61" s="327"/>
      <c r="D61" s="324">
        <v>7</v>
      </c>
      <c r="E61" s="397" t="str">
        <f>IFERROR(IF(A39=0,VLOOKUP(D61,N38:Q53,3,FALSE),VLOOKUP(D61,N38:Q53,4,FALSE)),"")</f>
        <v/>
      </c>
      <c r="F61" s="328" t="str">
        <f>IFERROR(VLOOKUP(E61,E38:F53,2,FALSE),"")</f>
        <v/>
      </c>
      <c r="G61" s="328" t="str">
        <f t="shared" si="17"/>
        <v/>
      </c>
      <c r="H61" s="349" t="str">
        <f>IFERROR(VLOOKUP(E61,E38:I53,5,FALSE),"")</f>
        <v/>
      </c>
      <c r="I61" s="348"/>
    </row>
    <row r="62" spans="1:19" hidden="1" x14ac:dyDescent="0.45">
      <c r="A62" s="319"/>
      <c r="B62" s="327"/>
      <c r="D62" s="324">
        <v>8</v>
      </c>
      <c r="E62" s="397" t="str">
        <f>IFERROR(IF(A39=0,VLOOKUP(D62,N38:Q53,3,FALSE),VLOOKUP(D62,N38:Q53,4,FALSE)),"")</f>
        <v/>
      </c>
      <c r="F62" s="328" t="str">
        <f>IFERROR(VLOOKUP(E62,E38:F53,2,FALSE),"")</f>
        <v/>
      </c>
      <c r="G62" s="328" t="str">
        <f t="shared" si="17"/>
        <v/>
      </c>
      <c r="H62" s="349" t="str">
        <f>IFERROR(VLOOKUP(E62,E38:I53,5,FALSE),"")</f>
        <v/>
      </c>
      <c r="I62" s="348"/>
    </row>
    <row r="63" spans="1:19" hidden="1" x14ac:dyDescent="0.45">
      <c r="F63" s="328"/>
      <c r="H63" s="350"/>
      <c r="I63" s="348">
        <f t="shared" ref="I63" si="18">IFERROR(IF(LEFT(H63,1)="D",H63,(INT(H63)*60+(H63-INT(H63))*100)/86400),"X")</f>
        <v>0</v>
      </c>
    </row>
    <row r="64" spans="1:19" hidden="1" x14ac:dyDescent="0.45">
      <c r="A64" s="337"/>
      <c r="B64" s="327"/>
      <c r="C64" s="324" t="s">
        <v>54</v>
      </c>
      <c r="D64" s="324">
        <v>1</v>
      </c>
      <c r="E64" s="397">
        <f>IFERROR(IF(A39=0,VLOOKUP(D64,O38:Q53,2,FALSE),VLOOKUP(D64,O38:Q53,3,FALSE)),"")</f>
        <v>44</v>
      </c>
      <c r="F64" s="328" t="str">
        <f ca="1">IFERROR(VLOOKUP(E64,E38:F53,2,FALSE),"")</f>
        <v>MARRON Ethan</v>
      </c>
      <c r="G64" s="328" t="str">
        <f t="shared" ref="G64:G71" si="19">IFERROR(VLOOKUP(E64,teamlookup,5,FALSE),"")</f>
        <v>M'bro</v>
      </c>
      <c r="H64" s="349">
        <f>IFERROR(VLOOKUP(E64,E38:I53,5,FALSE),"")</f>
        <v>3.7465277777777774E-3</v>
      </c>
      <c r="I64" s="348"/>
    </row>
    <row r="65" spans="1:20" hidden="1" x14ac:dyDescent="0.45">
      <c r="A65" s="337"/>
      <c r="B65" s="327"/>
      <c r="D65" s="324">
        <v>2</v>
      </c>
      <c r="E65" s="397">
        <f>IFERROR(IF(A39=0,VLOOKUP(D65,O38:Q53,2,FALSE),VLOOKUP(D65,O38:Q53,3,FALSE)),"")</f>
        <v>33</v>
      </c>
      <c r="F65" s="328" t="str">
        <f ca="1">IFERROR(VLOOKUP(E65,E38:F53,2,FALSE),"")</f>
        <v>WATSON Miles</v>
      </c>
      <c r="G65" s="328" t="str">
        <f t="shared" si="19"/>
        <v>York</v>
      </c>
      <c r="H65" s="349">
        <f>IFERROR(VLOOKUP(E65,E38:I53,5,FALSE),"")</f>
        <v>4.0185185185185194E-3</v>
      </c>
      <c r="I65" s="348"/>
    </row>
    <row r="66" spans="1:20" hidden="1" x14ac:dyDescent="0.45">
      <c r="A66" s="337"/>
      <c r="B66" s="327"/>
      <c r="D66" s="324">
        <v>3</v>
      </c>
      <c r="E66" s="397">
        <f>IFERROR(IF(A39=0,VLOOKUP(D66,O38:Q53,2,FALSE),VLOOKUP(D66,O38:Q53,3,FALSE)),"")</f>
        <v>22</v>
      </c>
      <c r="F66" s="328" t="str">
        <f ca="1">IFERROR(VLOOKUP(E66,E38:F53,2,FALSE),"")</f>
        <v>ENGLISH Elliott</v>
      </c>
      <c r="G66" s="328" t="str">
        <f t="shared" si="19"/>
        <v>Sheff+D</v>
      </c>
      <c r="H66" s="349">
        <f>IFERROR(VLOOKUP(E66,E38:I53,5,FALSE),"")</f>
        <v>4.1481481481481482E-3</v>
      </c>
      <c r="I66" s="348"/>
    </row>
    <row r="67" spans="1:20" hidden="1" x14ac:dyDescent="0.45">
      <c r="A67" s="337"/>
      <c r="B67" s="327"/>
      <c r="D67" s="324">
        <v>4</v>
      </c>
      <c r="E67" s="397" t="str">
        <f>IFERROR(IF(A39=0,VLOOKUP(D67,O38:Q53,2,FALSE),VLOOKUP(D67,O38:Q53,3,FALSE)),"")</f>
        <v/>
      </c>
      <c r="F67" s="328" t="str">
        <f>IFERROR(VLOOKUP(E67,E38:F53,2,FALSE),"")</f>
        <v/>
      </c>
      <c r="G67" s="328" t="str">
        <f t="shared" si="19"/>
        <v/>
      </c>
      <c r="H67" s="349" t="str">
        <f>IFERROR(VLOOKUP(E67,E38:I53,5,FALSE),"")</f>
        <v/>
      </c>
      <c r="I67" s="348"/>
    </row>
    <row r="68" spans="1:20" hidden="1" x14ac:dyDescent="0.45">
      <c r="A68" s="319"/>
      <c r="B68" s="327"/>
      <c r="D68" s="324">
        <v>5</v>
      </c>
      <c r="E68" s="397" t="str">
        <f>IFERROR(IF(A39=0,VLOOKUP(D68,O38:Q53,2,FALSE),VLOOKUP(D68,O38:Q53,3,FALSE)),"")</f>
        <v/>
      </c>
      <c r="F68" s="328" t="str">
        <f>IFERROR(VLOOKUP(E68,E38:F53,2,FALSE),"")</f>
        <v/>
      </c>
      <c r="G68" s="328" t="str">
        <f t="shared" si="19"/>
        <v/>
      </c>
      <c r="H68" s="349" t="str">
        <f>IFERROR(VLOOKUP(E68,E38:I53,5,FALSE),"")</f>
        <v/>
      </c>
      <c r="I68" s="348"/>
    </row>
    <row r="69" spans="1:20" hidden="1" x14ac:dyDescent="0.45">
      <c r="A69" s="319"/>
      <c r="B69" s="327"/>
      <c r="D69" s="324">
        <v>6</v>
      </c>
      <c r="E69" s="397" t="str">
        <f>IFERROR(IF(A39=0,VLOOKUP(D69,O38:Q53,2,FALSE),VLOOKUP(D69,O38:Q53,3,FALSE)),"")</f>
        <v/>
      </c>
      <c r="F69" s="328" t="str">
        <f>IFERROR(VLOOKUP(E69,E38:F53,2,FALSE),"")</f>
        <v/>
      </c>
      <c r="G69" s="328" t="str">
        <f t="shared" si="19"/>
        <v/>
      </c>
      <c r="H69" s="349" t="str">
        <f>IFERROR(VLOOKUP(E69,E38:I53,5,FALSE),"")</f>
        <v/>
      </c>
      <c r="I69" s="348"/>
    </row>
    <row r="70" spans="1:20" hidden="1" x14ac:dyDescent="0.45">
      <c r="B70" s="327"/>
      <c r="D70" s="324">
        <v>7</v>
      </c>
      <c r="E70" s="397" t="str">
        <f>IFERROR(IF(A39=0,VLOOKUP(D70,O38:Q53,2,FALSE),VLOOKUP(D70,O38:Q53,3,FALSE)),"")</f>
        <v/>
      </c>
      <c r="F70" s="328" t="str">
        <f>IFERROR(VLOOKUP(E70,E38:F53,2,FALSE),"")</f>
        <v/>
      </c>
      <c r="G70" s="328" t="str">
        <f t="shared" si="19"/>
        <v/>
      </c>
      <c r="H70" s="349" t="str">
        <f>IFERROR(VLOOKUP(E70,E38:I53,5,FALSE),"")</f>
        <v/>
      </c>
      <c r="I70" s="348"/>
    </row>
    <row r="71" spans="1:20" hidden="1" x14ac:dyDescent="0.45">
      <c r="A71" s="318"/>
      <c r="B71" s="327"/>
      <c r="D71" s="324">
        <v>8</v>
      </c>
      <c r="E71" s="397" t="str">
        <f>IFERROR(IF(A39=0,VLOOKUP(D71,O38:Q53,2,FALSE),VLOOKUP(D71,O38:Q53,3,FALSE)),"")</f>
        <v/>
      </c>
      <c r="F71" s="328" t="str">
        <f>IFERROR(VLOOKUP(E71,E38:F53,2,FALSE),"")</f>
        <v/>
      </c>
      <c r="G71" s="328" t="str">
        <f t="shared" si="19"/>
        <v/>
      </c>
      <c r="H71" s="349" t="str">
        <f>IFERROR(VLOOKUP(E71,E38:I53,5,FALSE),"")</f>
        <v/>
      </c>
      <c r="I71" s="348"/>
    </row>
    <row r="72" spans="1:20" hidden="1" x14ac:dyDescent="0.45">
      <c r="I72" s="329">
        <f t="shared" ref="I72:I73" si="20">IFERROR(IF(LEFT(H72,1)="D",H72,(INT(H72)*60+(H72-INT(H72))*100)/86400),"")</f>
        <v>0</v>
      </c>
    </row>
    <row r="73" spans="1:20" x14ac:dyDescent="0.45">
      <c r="A73" s="318" t="s">
        <v>311</v>
      </c>
      <c r="B73" s="319">
        <f>B37+36</f>
        <v>91</v>
      </c>
      <c r="C73" s="319">
        <f>C37+36</f>
        <v>100</v>
      </c>
      <c r="D73" s="320"/>
      <c r="E73" s="223" t="str">
        <f>IFERROR(A74&amp;" "&amp;VLOOKUP(A73,timetables,2,FALSE)&amp;" "&amp;VLOOKUP(A73,timetables,3,FALSE)&amp;" A","")</f>
        <v xml:space="preserve"> 1500m U15 Girls A</v>
      </c>
      <c r="F73" s="321"/>
      <c r="G73" s="321"/>
      <c r="H73" s="397" t="s">
        <v>229</v>
      </c>
      <c r="I73" s="329" t="str">
        <f t="shared" si="20"/>
        <v/>
      </c>
      <c r="N73" s="325"/>
      <c r="O73" s="325"/>
    </row>
    <row r="74" spans="1:20" x14ac:dyDescent="0.45">
      <c r="A74" s="326"/>
      <c r="B74" s="327">
        <f>IFERROR(IF(A75=0,E74,VLOOKUP(E74,Teams!$V$2:$W$19,2,FALSE)),"")</f>
        <v>44</v>
      </c>
      <c r="D74" s="327">
        <v>1</v>
      </c>
      <c r="E74" s="396">
        <v>44</v>
      </c>
      <c r="F74" s="328" t="str">
        <f ca="1">IFERROR(IF(A75=0,HLOOKUP(E74,Declarations!$D$2:$S$102,A77,FALSE),HLOOKUP(VLOOKUP(E74,Teams!$V$2:$W$19,2,FALSE),Declarations!$D$2:$S$102,A77,FALSE)),"")</f>
        <v>HILL Zoe</v>
      </c>
      <c r="G74" s="328" t="str">
        <f t="shared" ref="G74:G89" si="21">IFERROR(VLOOKUP(E74,teamlookup,5,FALSE),"")</f>
        <v>M'bro</v>
      </c>
      <c r="H74" s="385">
        <v>5.1580000000000004</v>
      </c>
      <c r="I74" s="348">
        <f>IFERROR(IF(LEFT(H74,1)="D",H74,(INT(H74)*60+(H74-INT(H74))*100)/86400),"X")</f>
        <v>3.6550925925925926E-3</v>
      </c>
      <c r="J74" s="324">
        <f>IFERROR(IF(H74=99,1,0),0)</f>
        <v>0</v>
      </c>
      <c r="K74" s="330">
        <v>1</v>
      </c>
      <c r="L74" s="324">
        <f>IFERROR(VLOOKUP(K74,B74:D89,3,FALSE),"")</f>
        <v>6</v>
      </c>
      <c r="M74" s="331" t="str">
        <f>IFERROR(IF(L74=0,0,IF(OR(VLOOKUP(K74*11,$K82:$L89,2,FALSE)=0,L74&lt;=VLOOKUP(K74*11,$K82:$L89,2,FALSE)),"A","B")),"")</f>
        <v>A</v>
      </c>
      <c r="N74" s="331">
        <f>IF(M74=0,0,IF(OR(R74="",M74="B"),"",RANK(R74,R74:R89,1)))</f>
        <v>4</v>
      </c>
      <c r="O74" s="331" t="str">
        <f>IF(M74=0,0,IF(OR(S74="",M74="A"),"",RANK(S74,S74:S89,1)))</f>
        <v/>
      </c>
      <c r="P74" s="332">
        <f t="shared" ref="P74:P89" si="22">K74</f>
        <v>1</v>
      </c>
      <c r="Q74" s="333"/>
      <c r="R74" s="334">
        <f>IFERROR(IF(OR(L74=0,M74="B"),"",L74),"")</f>
        <v>6</v>
      </c>
      <c r="S74" s="334" t="str">
        <f>IFERROR(IF(OR(L74=0,M74="A"),"",L74),"")</f>
        <v/>
      </c>
      <c r="T74" s="328"/>
    </row>
    <row r="75" spans="1:20" x14ac:dyDescent="0.45">
      <c r="A75" s="335">
        <f>IFERROR(SEARCH("U17",E73),0)</f>
        <v>0</v>
      </c>
      <c r="B75" s="327">
        <f>IFERROR(IF(A75=0,E75,VLOOKUP(E75,Teams!$V$2:$W$19,2,FALSE)),"")</f>
        <v>4</v>
      </c>
      <c r="D75" s="327">
        <v>2</v>
      </c>
      <c r="E75" s="396">
        <v>4</v>
      </c>
      <c r="F75" s="328" t="str">
        <f ca="1">IFERROR(IF(A75=0,HLOOKUP(E75,Declarations!$D$2:$S$102,A77,FALSE),HLOOKUP(VLOOKUP(E75,Teams!$V$2:$W$19,2,FALSE),Declarations!$D$2:$S$102,A77,FALSE)),"")</f>
        <v>MCNEILL Emma</v>
      </c>
      <c r="G75" s="328" t="str">
        <f t="shared" si="21"/>
        <v>M'bro</v>
      </c>
      <c r="H75" s="339">
        <v>5.2530000000000001</v>
      </c>
      <c r="I75" s="348">
        <f t="shared" ref="I75:I89" si="23">IFERROR(IF(LEFT(H75,1)="D",H75,(INT(H75)*60+(H75-INT(H75))*100)/86400),"X")</f>
        <v>3.7650462962962963E-3</v>
      </c>
      <c r="K75" s="330">
        <v>2</v>
      </c>
      <c r="L75" s="324" t="str">
        <f>IFERROR(VLOOKUP(K75,B74:D89,3,FALSE),"")</f>
        <v/>
      </c>
      <c r="M75" s="331" t="str">
        <f>IFERROR(IF(L75=0,0,IF(OR(VLOOKUP(K75*11,$K82:$L89,2,FALSE)=0,L75&lt;=VLOOKUP(K75*11,$K82:$L89,2,FALSE)),"A","B")),"")</f>
        <v>A</v>
      </c>
      <c r="N75" s="331" t="str">
        <f>IF(M75=0,0,IF(OR(R75="",M75="B"),"",RANK(R75,R74:R89,1)))</f>
        <v/>
      </c>
      <c r="O75" s="331" t="str">
        <f>IF(M75=0,0,IF(OR(S75="",M75="A"),"",RANK(S75,S74:S89,1)))</f>
        <v/>
      </c>
      <c r="P75" s="332">
        <f t="shared" si="22"/>
        <v>2</v>
      </c>
      <c r="Q75" s="333"/>
      <c r="R75" s="334" t="str">
        <f t="shared" ref="R75:R89" si="24">IFERROR(IF(OR(L75=0,M75="B"),"",L75),"")</f>
        <v/>
      </c>
      <c r="S75" s="334" t="str">
        <f t="shared" ref="S75:S89" si="25">IFERROR(IF(OR(L75=0,M75="A"),"",L75),"")</f>
        <v/>
      </c>
    </row>
    <row r="76" spans="1:20" x14ac:dyDescent="0.45">
      <c r="B76" s="327">
        <f>IFERROR(IF(A75=0,E76,VLOOKUP(E76,Teams!$V$2:$W$19,2,FALSE)),"")</f>
        <v>3</v>
      </c>
      <c r="D76" s="327">
        <v>3</v>
      </c>
      <c r="E76" s="396">
        <v>3</v>
      </c>
      <c r="F76" s="328" t="str">
        <f ca="1">IFERROR(IF(A75=0,HLOOKUP(E76,Declarations!$D$2:$S$102,A77,FALSE),HLOOKUP(VLOOKUP(E76,Teams!$V$2:$W$19,2,FALSE),Declarations!$D$2:$S$102,A77,FALSE)),"")</f>
        <v>GASKIN Lucy</v>
      </c>
      <c r="G76" s="328" t="str">
        <f t="shared" si="21"/>
        <v>York</v>
      </c>
      <c r="H76" s="339">
        <v>5.3819999999999997</v>
      </c>
      <c r="I76" s="348">
        <f t="shared" si="23"/>
        <v>3.914351851851852E-3</v>
      </c>
      <c r="K76" s="330">
        <v>3</v>
      </c>
      <c r="L76" s="324">
        <f>IFERROR(VLOOKUP(K76,B74:D89,3,FALSE),"")</f>
        <v>3</v>
      </c>
      <c r="M76" s="331" t="str">
        <f>IFERROR(IF(L76=0,0,IF(OR(VLOOKUP(K76*11,$K82:$L89,2,FALSE)=0,L76&lt;=VLOOKUP(K76*11,$K82:$L89,2,FALSE)),"A","B")),"")</f>
        <v>A</v>
      </c>
      <c r="N76" s="331">
        <f>IF(M76=0,0,IF(OR(R76="",M76="B"),"",RANK(R76,R74:R89,1)))</f>
        <v>2</v>
      </c>
      <c r="O76" s="331" t="str">
        <f>IF(M76=0,0,IF(OR(S76="",M76="A"),"",RANK(S76,S74:S89,1)))</f>
        <v/>
      </c>
      <c r="P76" s="332">
        <f t="shared" si="22"/>
        <v>3</v>
      </c>
      <c r="Q76" s="333"/>
      <c r="R76" s="334">
        <f t="shared" si="24"/>
        <v>3</v>
      </c>
      <c r="S76" s="334" t="str">
        <f t="shared" si="25"/>
        <v/>
      </c>
    </row>
    <row r="77" spans="1:20" x14ac:dyDescent="0.45">
      <c r="A77" s="336">
        <f>IFERROR(VLOOKUP(A73,Timetables!$A:$E,5,FALSE)-1,"")</f>
        <v>9</v>
      </c>
      <c r="B77" s="327">
        <f>IFERROR(IF(A75=0,E77,VLOOKUP(E77,Teams!$V$2:$W$19,2,FALSE)),"")</f>
        <v>5</v>
      </c>
      <c r="D77" s="327">
        <v>4</v>
      </c>
      <c r="E77" s="396">
        <v>5</v>
      </c>
      <c r="F77" s="328" t="str">
        <f ca="1">IFERROR(IF(A75=0,HLOOKUP(E77,Declarations!$D$2:$S$102,A77,FALSE),HLOOKUP(VLOOKUP(E77,Teams!$V$2:$W$19,2,FALSE),Declarations!$D$2:$S$102,A77,FALSE)),"")</f>
        <v>VICKERS Cerys</v>
      </c>
      <c r="G77" s="328" t="str">
        <f t="shared" si="21"/>
        <v>Scun</v>
      </c>
      <c r="H77" s="339">
        <v>5.56</v>
      </c>
      <c r="I77" s="348">
        <f t="shared" si="23"/>
        <v>4.1203703703703697E-3</v>
      </c>
      <c r="K77" s="330">
        <v>4</v>
      </c>
      <c r="L77" s="324">
        <f>IFERROR(VLOOKUP(K77,B74:D89,3,FALSE),"")</f>
        <v>2</v>
      </c>
      <c r="M77" s="331" t="str">
        <f>IFERROR(IF(L77=0,0,IF(OR(VLOOKUP(K77*11,$K82:$L89,2,FALSE)=0,L77&lt;=VLOOKUP(K77*11,$K82:$L89,2,FALSE)),"A","B")),"")</f>
        <v>B</v>
      </c>
      <c r="N77" s="331" t="str">
        <f>IF(M77=0,0,IF(OR(R77="",M77="B"),"",RANK(R77,R74:R89,1)))</f>
        <v/>
      </c>
      <c r="O77" s="331">
        <f>IF(M77=0,0,IF(OR(S77="",M77="A"),"",RANK(S77,S74:S89,1)))</f>
        <v>1</v>
      </c>
      <c r="P77" s="332">
        <f t="shared" si="22"/>
        <v>4</v>
      </c>
      <c r="Q77" s="333"/>
      <c r="R77" s="334" t="str">
        <f t="shared" si="24"/>
        <v/>
      </c>
      <c r="S77" s="334">
        <f t="shared" si="25"/>
        <v>2</v>
      </c>
    </row>
    <row r="78" spans="1:20" x14ac:dyDescent="0.45">
      <c r="A78" s="337"/>
      <c r="B78" s="327">
        <f>IFERROR(IF(A75=0,E78,VLOOKUP(E78,Teams!$V$2:$W$19,2,FALSE)),"")</f>
        <v>55</v>
      </c>
      <c r="D78" s="327">
        <v>5</v>
      </c>
      <c r="E78" s="396">
        <v>55</v>
      </c>
      <c r="F78" s="328" t="str">
        <f ca="1">IFERROR(IF(A75=0,HLOOKUP(E78,Declarations!$D$2:$S$102,A77,FALSE),HLOOKUP(VLOOKUP(E78,Teams!$V$2:$W$19,2,FALSE),Declarations!$D$2:$S$102,A77,FALSE)),"")</f>
        <v>WHITTAKER Millie</v>
      </c>
      <c r="G78" s="328" t="str">
        <f t="shared" si="21"/>
        <v>Scun</v>
      </c>
      <c r="H78" s="339">
        <v>5.5620000000000003</v>
      </c>
      <c r="I78" s="348">
        <f t="shared" si="23"/>
        <v>4.1226851851851858E-3</v>
      </c>
      <c r="K78" s="330">
        <v>5</v>
      </c>
      <c r="L78" s="324">
        <f>IFERROR(VLOOKUP(K78,B74:D89,3,FALSE),"")</f>
        <v>4</v>
      </c>
      <c r="M78" s="331" t="str">
        <f>IFERROR(IF(L78=0,0,IF(OR(VLOOKUP(K78*11,$K82:$L89,2,FALSE)=0,L78&lt;=VLOOKUP(K78*11,$K82:$L89,2,FALSE)),"A","B")),"")</f>
        <v>A</v>
      </c>
      <c r="N78" s="331">
        <f>IF(M78=0,0,IF(OR(R78="",M78="B"),"",RANK(R78,R74:R89,1)))</f>
        <v>3</v>
      </c>
      <c r="O78" s="331" t="str">
        <f>IF(M78=0,0,IF(OR(S78="",M78="A"),"",RANK(S78,S74:S89,1)))</f>
        <v/>
      </c>
      <c r="P78" s="332">
        <f t="shared" si="22"/>
        <v>5</v>
      </c>
      <c r="Q78" s="333"/>
      <c r="R78" s="334">
        <f t="shared" si="24"/>
        <v>4</v>
      </c>
      <c r="S78" s="334" t="str">
        <f t="shared" si="25"/>
        <v/>
      </c>
    </row>
    <row r="79" spans="1:20" x14ac:dyDescent="0.45">
      <c r="A79" s="337"/>
      <c r="B79" s="327">
        <f>IFERROR(IF(A75=0,E79,VLOOKUP(E79,Teams!$V$2:$W$19,2,FALSE)),"")</f>
        <v>1</v>
      </c>
      <c r="D79" s="327">
        <v>6</v>
      </c>
      <c r="E79" s="396">
        <v>1</v>
      </c>
      <c r="F79" s="328" t="str">
        <f ca="1">IFERROR(IF(A75=0,HLOOKUP(E79,Declarations!$D$2:$S$102,A77,FALSE),HLOOKUP(VLOOKUP(E79,Teams!$V$2:$W$19,2,FALSE),Declarations!$D$2:$S$102,A77,FALSE)),"")</f>
        <v>KIRKWOOD Eva</v>
      </c>
      <c r="G79" s="328" t="str">
        <f t="shared" si="21"/>
        <v>C'field</v>
      </c>
      <c r="H79" s="339">
        <v>6.0979999999999999</v>
      </c>
      <c r="I79" s="348">
        <f t="shared" si="23"/>
        <v>4.2800925925925931E-3</v>
      </c>
      <c r="K79" s="330">
        <v>6</v>
      </c>
      <c r="L79" s="324" t="str">
        <f>IFERROR(VLOOKUP(K79,B74:D89,3,FALSE),"")</f>
        <v/>
      </c>
      <c r="M79" s="331" t="str">
        <f>IFERROR(IF(L79=0,0,IF(OR(VLOOKUP(K79*11,$K82:$L89,2,FALSE)=0,L79&lt;=VLOOKUP(K79*11,$K82:$L89,2,FALSE)),"A","B")),"")</f>
        <v>A</v>
      </c>
      <c r="N79" s="331" t="str">
        <f>IF(M79=0,0,IF(OR(R79="",M79="B"),"",RANK(R79,R74:R89,1)))</f>
        <v/>
      </c>
      <c r="O79" s="331" t="str">
        <f>IF(M79=0,0,IF(OR(S79="",M79="A"),"",RANK(S79,S74:S89,1)))</f>
        <v/>
      </c>
      <c r="P79" s="332">
        <f t="shared" si="22"/>
        <v>6</v>
      </c>
      <c r="Q79" s="333"/>
      <c r="R79" s="334" t="str">
        <f t="shared" si="24"/>
        <v/>
      </c>
      <c r="S79" s="334" t="str">
        <f t="shared" si="25"/>
        <v/>
      </c>
    </row>
    <row r="80" spans="1:20" x14ac:dyDescent="0.45">
      <c r="A80" s="337"/>
      <c r="B80" s="327">
        <f>IFERROR(IF(A75=0,E80,VLOOKUP(E80,Teams!$V$2:$W$19,2,FALSE)),"")</f>
        <v>33</v>
      </c>
      <c r="D80" s="327">
        <v>7</v>
      </c>
      <c r="E80" s="396">
        <v>33</v>
      </c>
      <c r="F80" s="328" t="str">
        <f ca="1">IFERROR(IF(A75=0,HLOOKUP(E80,Declarations!$D$2:$S$102,A77,FALSE),HLOOKUP(VLOOKUP(E80,Teams!$V$2:$W$19,2,FALSE),Declarations!$D$2:$S$102,A77,FALSE)),"")</f>
        <v>COURTNEY Libby</v>
      </c>
      <c r="G80" s="328" t="str">
        <f t="shared" si="21"/>
        <v>York</v>
      </c>
      <c r="H80" s="339">
        <v>6.11</v>
      </c>
      <c r="I80" s="348">
        <f t="shared" si="23"/>
        <v>4.293981481481482E-3</v>
      </c>
      <c r="K80" s="330">
        <v>7</v>
      </c>
      <c r="L80" s="324" t="str">
        <f>IFERROR(VLOOKUP(K80,B74:D89,3,FALSE),"")</f>
        <v/>
      </c>
      <c r="M80" s="331" t="str">
        <f>IFERROR(IF(L80=0,0,IF(OR(VLOOKUP(K80*11,$K82:$L89,2,FALSE)=0,L80&lt;=VLOOKUP(K80*11,$K82:$L89,2,FALSE)),"A","B")),"")</f>
        <v>A</v>
      </c>
      <c r="N80" s="331" t="str">
        <f>IF(M80=0,0,IF(OR(R80="",M80="B"),"",RANK(R80,R74:R89,1)))</f>
        <v/>
      </c>
      <c r="O80" s="331" t="str">
        <f>IF(M80=0,0,IF(OR(S80="",M80="A"),"",RANK(S80,S74:S89,1)))</f>
        <v/>
      </c>
      <c r="P80" s="332">
        <f t="shared" si="22"/>
        <v>7</v>
      </c>
      <c r="Q80" s="333"/>
      <c r="R80" s="334" t="str">
        <f t="shared" si="24"/>
        <v/>
      </c>
      <c r="S80" s="334" t="str">
        <f t="shared" si="25"/>
        <v/>
      </c>
    </row>
    <row r="81" spans="1:19" x14ac:dyDescent="0.45">
      <c r="A81" s="319"/>
      <c r="B81" s="327">
        <f>IFERROR(IF(A75=0,E81,VLOOKUP(E81,Teams!$V$2:$W$19,2,FALSE)),"")</f>
        <v>0</v>
      </c>
      <c r="D81" s="327">
        <v>8</v>
      </c>
      <c r="E81" s="396"/>
      <c r="F81" s="328" t="str">
        <f>IFERROR(IF(A75=0,HLOOKUP(E81,Declarations!$D$2:$S$102,A77,FALSE),HLOOKUP(VLOOKUP(E81,Teams!$V$2:$W$19,2,FALSE),Declarations!$D$2:$S$102,A77,FALSE)),"")</f>
        <v/>
      </c>
      <c r="G81" s="328" t="str">
        <f t="shared" si="21"/>
        <v/>
      </c>
      <c r="H81" s="339"/>
      <c r="I81" s="348">
        <f t="shared" si="23"/>
        <v>0</v>
      </c>
      <c r="K81" s="330">
        <v>8</v>
      </c>
      <c r="L81" s="324" t="str">
        <f>IFERROR(VLOOKUP(K81,B74:D89,3,FALSE),"")</f>
        <v/>
      </c>
      <c r="M81" s="331" t="str">
        <f>IFERROR(IF(L81=0,0,IF(OR(VLOOKUP(K81*11,$K82:$L89,2,FALSE)=0,L81&lt;=VLOOKUP(K81*11,$K82:$L89,2,FALSE)),"A","B")),"")</f>
        <v>A</v>
      </c>
      <c r="N81" s="331" t="str">
        <f>IF(M81=0,0,IF(OR(R81="",M81="B"),"",RANK(R81,R74:R89,1)))</f>
        <v/>
      </c>
      <c r="O81" s="331" t="str">
        <f>IF(M81=0,0,IF(OR(S81="",M81="A"),"",RANK(S81,S74:S89,1)))</f>
        <v/>
      </c>
      <c r="P81" s="332">
        <f t="shared" si="22"/>
        <v>8</v>
      </c>
      <c r="Q81" s="333"/>
      <c r="R81" s="334" t="str">
        <f t="shared" si="24"/>
        <v/>
      </c>
      <c r="S81" s="334" t="str">
        <f t="shared" si="25"/>
        <v/>
      </c>
    </row>
    <row r="82" spans="1:19" x14ac:dyDescent="0.45">
      <c r="A82" s="319"/>
      <c r="B82" s="327">
        <f>IFERROR(IF(A75=0,E82,VLOOKUP(E82,Teams!$V$2:$W$19,2,FALSE)),"")</f>
        <v>0</v>
      </c>
      <c r="D82" s="327">
        <v>9</v>
      </c>
      <c r="E82" s="396"/>
      <c r="F82" s="328" t="str">
        <f>IFERROR(IF(A75=0,HLOOKUP(E82,Declarations!$D$2:$S$102,A77,FALSE),HLOOKUP(VLOOKUP(E82,Teams!$V$2:$W$19,2,FALSE),Declarations!$D$2:$S$102,A77,FALSE)),"")</f>
        <v/>
      </c>
      <c r="G82" s="328" t="str">
        <f t="shared" si="21"/>
        <v/>
      </c>
      <c r="H82" s="339"/>
      <c r="I82" s="348">
        <f t="shared" si="23"/>
        <v>0</v>
      </c>
      <c r="K82" s="324">
        <f>K74*11</f>
        <v>11</v>
      </c>
      <c r="L82" s="324" t="str">
        <f>IFERROR(VLOOKUP(K82,B74:D89,3,FALSE),"")</f>
        <v/>
      </c>
      <c r="M82" s="331" t="str">
        <f>IFERROR(IF(L82=0,0,IF(OR(VLOOKUP(K82/11,$K74:$L81,2,FALSE)=0,L82&lt;=VLOOKUP(K82/11,$K74:$L81,2,FALSE)),"A","B")),"")</f>
        <v>B</v>
      </c>
      <c r="N82" s="331" t="str">
        <f>IF(M82=0,0,IF(OR(R82="",M82="B"),"",RANK(R82,R74:R89,1)))</f>
        <v/>
      </c>
      <c r="O82" s="331" t="str">
        <f>IF(M82=0,0,IF(OR(S82="",M82="A"),"",RANK(S82,S74:S89,1)))</f>
        <v/>
      </c>
      <c r="P82" s="332">
        <f t="shared" si="22"/>
        <v>11</v>
      </c>
      <c r="Q82" s="333"/>
      <c r="R82" s="334" t="str">
        <f t="shared" si="24"/>
        <v/>
      </c>
      <c r="S82" s="334" t="str">
        <f t="shared" si="25"/>
        <v/>
      </c>
    </row>
    <row r="83" spans="1:19" x14ac:dyDescent="0.45">
      <c r="B83" s="327">
        <f>IFERROR(IF(A75=0,E83,VLOOKUP(E83,Teams!$V$2:$W$19,2,FALSE)),"")</f>
        <v>0</v>
      </c>
      <c r="D83" s="327">
        <v>10</v>
      </c>
      <c r="E83" s="396"/>
      <c r="F83" s="328" t="str">
        <f>IFERROR(IF(A75=0,HLOOKUP(E83,Declarations!$D$2:$S$102,A77,FALSE),HLOOKUP(VLOOKUP(E83,Teams!$V$2:$W$19,2,FALSE),Declarations!$D$2:$S$102,A77,FALSE)),"")</f>
        <v/>
      </c>
      <c r="G83" s="328" t="str">
        <f t="shared" si="21"/>
        <v/>
      </c>
      <c r="H83" s="339"/>
      <c r="I83" s="348">
        <f t="shared" si="23"/>
        <v>0</v>
      </c>
      <c r="K83" s="324">
        <f t="shared" ref="K83:K89" si="26">K75*11</f>
        <v>22</v>
      </c>
      <c r="L83" s="324" t="str">
        <f>IFERROR(VLOOKUP(K83,B74:D89,3,FALSE),"")</f>
        <v/>
      </c>
      <c r="M83" s="331" t="str">
        <f>IFERROR(IF(L83=0,0,IF(OR(VLOOKUP(K83/11,$K74:$L81,2,FALSE)=0,L83&lt;=VLOOKUP(K83/11,$K74:$L81,2,FALSE)),"A","B")),"")</f>
        <v>A</v>
      </c>
      <c r="N83" s="331" t="str">
        <f>IF(M83=0,0,IF(OR(R83="",M83="B"),"",RANK(R83,R74:R89,1)))</f>
        <v/>
      </c>
      <c r="O83" s="331" t="str">
        <f>IF(M83=0,0,IF(OR(S83="",M83="A"),"",RANK(S83,S74:S89,1)))</f>
        <v/>
      </c>
      <c r="P83" s="332">
        <f t="shared" si="22"/>
        <v>22</v>
      </c>
      <c r="Q83" s="333"/>
      <c r="R83" s="334" t="str">
        <f t="shared" si="24"/>
        <v/>
      </c>
      <c r="S83" s="334" t="str">
        <f t="shared" si="25"/>
        <v/>
      </c>
    </row>
    <row r="84" spans="1:19" x14ac:dyDescent="0.45">
      <c r="B84" s="327">
        <f>IFERROR(IF(A75=0,E84,VLOOKUP(E84,Teams!$V$2:$W$19,2,FALSE)),"")</f>
        <v>0</v>
      </c>
      <c r="D84" s="327">
        <v>11</v>
      </c>
      <c r="E84" s="396"/>
      <c r="F84" s="328" t="str">
        <f>IFERROR(IF(A75=0,HLOOKUP(E84,Declarations!$D$2:$S$102,A77,FALSE),HLOOKUP(VLOOKUP(E84,Teams!$V$2:$W$19,2,FALSE),Declarations!$D$2:$S$102,A77,FALSE)),"")</f>
        <v/>
      </c>
      <c r="G84" s="328" t="str">
        <f t="shared" si="21"/>
        <v/>
      </c>
      <c r="H84" s="339"/>
      <c r="I84" s="348">
        <f t="shared" si="23"/>
        <v>0</v>
      </c>
      <c r="K84" s="324">
        <f t="shared" si="26"/>
        <v>33</v>
      </c>
      <c r="L84" s="324">
        <f>IFERROR(VLOOKUP(K84,B74:D89,3,FALSE),"")</f>
        <v>7</v>
      </c>
      <c r="M84" s="331" t="str">
        <f>IFERROR(IF(L84=0,0,IF(OR(VLOOKUP(K84/11,$K74:$L81,2,FALSE)=0,L84&lt;=VLOOKUP(K84/11,$K74:$L81,2,FALSE)),"A","B")),"")</f>
        <v>B</v>
      </c>
      <c r="N84" s="331" t="str">
        <f>IF(M84=0,0,IF(OR(R84="",M84="B"),"",RANK(R84,R74:R89,1)))</f>
        <v/>
      </c>
      <c r="O84" s="331">
        <f>IF(M84=0,0,IF(OR(S84="",M84="A"),"",RANK(S84,S74:S89,1)))</f>
        <v>3</v>
      </c>
      <c r="P84" s="332">
        <f t="shared" si="22"/>
        <v>33</v>
      </c>
      <c r="Q84" s="333"/>
      <c r="R84" s="334" t="str">
        <f t="shared" si="24"/>
        <v/>
      </c>
      <c r="S84" s="334">
        <f t="shared" si="25"/>
        <v>7</v>
      </c>
    </row>
    <row r="85" spans="1:19" x14ac:dyDescent="0.45">
      <c r="A85" s="318"/>
      <c r="B85" s="327">
        <f>IFERROR(IF(A75=0,E85,VLOOKUP(E85,Teams!$V$2:$W$19,2,FALSE)),"")</f>
        <v>0</v>
      </c>
      <c r="D85" s="327">
        <v>12</v>
      </c>
      <c r="E85" s="396"/>
      <c r="F85" s="328" t="str">
        <f>IFERROR(IF(A75=0,HLOOKUP(E85,Declarations!$D$2:$S$102,A77,FALSE),HLOOKUP(VLOOKUP(E85,Teams!$V$2:$W$19,2,FALSE),Declarations!$D$2:$S$102,A77,FALSE)),"")</f>
        <v/>
      </c>
      <c r="G85" s="328" t="str">
        <f t="shared" si="21"/>
        <v/>
      </c>
      <c r="H85" s="339"/>
      <c r="I85" s="348">
        <f t="shared" si="23"/>
        <v>0</v>
      </c>
      <c r="K85" s="324">
        <f t="shared" si="26"/>
        <v>44</v>
      </c>
      <c r="L85" s="324">
        <f>IFERROR(VLOOKUP(K85,B74:D89,3,FALSE),"")</f>
        <v>1</v>
      </c>
      <c r="M85" s="331" t="str">
        <f>IFERROR(IF(L85=0,0,IF(OR(VLOOKUP(K85/11,$K74:$L81,2,FALSE)=0,L85&lt;=VLOOKUP(K85/11,$K74:$L81,2,FALSE)),"A","B")),"")</f>
        <v>A</v>
      </c>
      <c r="N85" s="331">
        <f>IF(M85=0,0,IF(OR(R85="",M85="B"),"",RANK(R85,R74:R89,1)))</f>
        <v>1</v>
      </c>
      <c r="O85" s="331" t="str">
        <f>IF(M85=0,0,IF(OR(S85="",M85="A"),"",RANK(S85,S74:S89,1)))</f>
        <v/>
      </c>
      <c r="P85" s="332">
        <f t="shared" si="22"/>
        <v>44</v>
      </c>
      <c r="Q85" s="333"/>
      <c r="R85" s="334">
        <f t="shared" si="24"/>
        <v>1</v>
      </c>
      <c r="S85" s="334" t="str">
        <f t="shared" si="25"/>
        <v/>
      </c>
    </row>
    <row r="86" spans="1:19" x14ac:dyDescent="0.45">
      <c r="A86" s="326"/>
      <c r="B86" s="327">
        <f>IFERROR(IF(A75=0,E86,VLOOKUP(E86,Teams!$V$2:$W$19,2,FALSE)),"")</f>
        <v>0</v>
      </c>
      <c r="D86" s="327">
        <v>13</v>
      </c>
      <c r="E86" s="396"/>
      <c r="F86" s="328" t="str">
        <f>IFERROR(IF(A75=0,HLOOKUP(E86,Declarations!$D$2:$S$102,A77,FALSE),HLOOKUP(VLOOKUP(E86,Teams!$V$2:$W$19,2,FALSE),Declarations!$D$2:$S$102,A77,FALSE)),"")</f>
        <v/>
      </c>
      <c r="G86" s="328" t="str">
        <f t="shared" si="21"/>
        <v/>
      </c>
      <c r="H86" s="339"/>
      <c r="I86" s="348">
        <f t="shared" si="23"/>
        <v>0</v>
      </c>
      <c r="K86" s="324">
        <f t="shared" si="26"/>
        <v>55</v>
      </c>
      <c r="L86" s="324">
        <f>IFERROR(VLOOKUP(K86,B74:D89,3,FALSE),"")</f>
        <v>5</v>
      </c>
      <c r="M86" s="331" t="str">
        <f>IFERROR(IF(L86=0,0,IF(OR(VLOOKUP(K86/11,$K74:$L81,2,FALSE)=0,L86&lt;=VLOOKUP(K86/11,$K74:$L81,2,FALSE)),"A","B")),"")</f>
        <v>B</v>
      </c>
      <c r="N86" s="331" t="str">
        <f>IF(M86=0,0,IF(OR(R86="",M86="B"),"",RANK(R86,R74:R89,1)))</f>
        <v/>
      </c>
      <c r="O86" s="331">
        <f>IF(M86=0,0,IF(OR(S86="",M86="A"),"",RANK(S86,S74:S89,1)))</f>
        <v>2</v>
      </c>
      <c r="P86" s="332">
        <f t="shared" si="22"/>
        <v>55</v>
      </c>
      <c r="Q86" s="333"/>
      <c r="R86" s="334" t="str">
        <f t="shared" si="24"/>
        <v/>
      </c>
      <c r="S86" s="334">
        <f t="shared" si="25"/>
        <v>5</v>
      </c>
    </row>
    <row r="87" spans="1:19" x14ac:dyDescent="0.45">
      <c r="A87" s="319"/>
      <c r="B87" s="327">
        <f>IFERROR(IF(A75=0,E87,VLOOKUP(E87,Teams!$V$2:$W$19,2,FALSE)),"")</f>
        <v>0</v>
      </c>
      <c r="D87" s="327">
        <v>14</v>
      </c>
      <c r="E87" s="396"/>
      <c r="F87" s="328" t="str">
        <f>IFERROR(IF(A75=0,HLOOKUP(E87,Declarations!$D$2:$S$102,A77,FALSE),HLOOKUP(VLOOKUP(E87,Teams!$V$2:$W$19,2,FALSE),Declarations!$D$2:$S$102,A77,FALSE)),"")</f>
        <v/>
      </c>
      <c r="G87" s="328" t="str">
        <f t="shared" si="21"/>
        <v/>
      </c>
      <c r="H87" s="339"/>
      <c r="I87" s="348">
        <f t="shared" si="23"/>
        <v>0</v>
      </c>
      <c r="K87" s="324">
        <f t="shared" si="26"/>
        <v>66</v>
      </c>
      <c r="L87" s="324" t="str">
        <f>IFERROR(VLOOKUP(K87,B74:D89,3,FALSE),"")</f>
        <v/>
      </c>
      <c r="M87" s="331" t="str">
        <f>IFERROR(IF(L87=0,0,IF(OR(VLOOKUP(K87/11,$K74:$L81,2,FALSE)=0,L87&lt;=VLOOKUP(K87/11,$K74:$L81,2,FALSE)),"A","B")),"")</f>
        <v>A</v>
      </c>
      <c r="N87" s="331" t="str">
        <f>IF(M87=0,0,IF(OR(R87="",M87="B"),"",RANK(R87,R74:R89,1)))</f>
        <v/>
      </c>
      <c r="O87" s="331" t="str">
        <f>IF(M87=0,0,IF(OR(S87="",M87="A"),"",RANK(S87,S74:S89,1)))</f>
        <v/>
      </c>
      <c r="P87" s="332">
        <f t="shared" si="22"/>
        <v>66</v>
      </c>
      <c r="Q87" s="333"/>
      <c r="R87" s="334" t="str">
        <f t="shared" si="24"/>
        <v/>
      </c>
      <c r="S87" s="334" t="str">
        <f t="shared" si="25"/>
        <v/>
      </c>
    </row>
    <row r="88" spans="1:19" x14ac:dyDescent="0.45">
      <c r="B88" s="327">
        <f>IFERROR(IF(A75=0,E88,VLOOKUP(E88,Teams!$V$2:$W$19,2,FALSE)),"")</f>
        <v>0</v>
      </c>
      <c r="D88" s="327">
        <v>15</v>
      </c>
      <c r="E88" s="396"/>
      <c r="F88" s="328" t="str">
        <f>IFERROR(IF(A75=0,HLOOKUP(E88,Declarations!$D$2:$S$102,A77,FALSE),HLOOKUP(VLOOKUP(E88,Teams!$V$2:$W$19,2,FALSE),Declarations!$D$2:$S$102,A77,FALSE)),"")</f>
        <v/>
      </c>
      <c r="G88" s="328" t="str">
        <f t="shared" si="21"/>
        <v/>
      </c>
      <c r="H88" s="339"/>
      <c r="I88" s="348">
        <f t="shared" si="23"/>
        <v>0</v>
      </c>
      <c r="K88" s="324">
        <f t="shared" si="26"/>
        <v>77</v>
      </c>
      <c r="L88" s="324" t="str">
        <f>IFERROR(VLOOKUP(K88,B74:D89,3,FALSE),"")</f>
        <v/>
      </c>
      <c r="M88" s="331" t="str">
        <f>IFERROR(IF(L88=0,0,IF(OR(VLOOKUP(K88/11,$K74:$L81,2,FALSE)=0,L88&lt;=VLOOKUP(K88/11,$K74:$L81,2,FALSE)),"A","B")),"")</f>
        <v>A</v>
      </c>
      <c r="N88" s="331" t="str">
        <f>IF(M88=0,0,IF(OR(R88="",M88="B"),"",RANK(R88,R74:R89,1)))</f>
        <v/>
      </c>
      <c r="O88" s="331" t="str">
        <f>IF(M88=0,0,IF(OR(S88="",M88="A"),"",RANK(S88,S74:S89,1)))</f>
        <v/>
      </c>
      <c r="P88" s="332">
        <f t="shared" si="22"/>
        <v>77</v>
      </c>
      <c r="Q88" s="333"/>
      <c r="R88" s="334" t="str">
        <f t="shared" si="24"/>
        <v/>
      </c>
      <c r="S88" s="334" t="str">
        <f t="shared" si="25"/>
        <v/>
      </c>
    </row>
    <row r="89" spans="1:19" x14ac:dyDescent="0.45">
      <c r="A89" s="337"/>
      <c r="B89" s="327">
        <f>IFERROR(IF(A75=0,E89,VLOOKUP(E89,Teams!$V$2:$W$19,2,FALSE)),"")</f>
        <v>0</v>
      </c>
      <c r="D89" s="327">
        <v>16</v>
      </c>
      <c r="E89" s="396"/>
      <c r="F89" s="328" t="str">
        <f>IFERROR(IF(A75=0,HLOOKUP(E89,Declarations!$D$2:$S$102,A77,FALSE),HLOOKUP(VLOOKUP(E89,Teams!$V$2:$W$19,2,FALSE),Declarations!$D$2:$S$102,A77,FALSE)),"")</f>
        <v/>
      </c>
      <c r="G89" s="328" t="str">
        <f t="shared" si="21"/>
        <v/>
      </c>
      <c r="H89" s="339"/>
      <c r="I89" s="348">
        <f t="shared" si="23"/>
        <v>0</v>
      </c>
      <c r="K89" s="324">
        <f t="shared" si="26"/>
        <v>88</v>
      </c>
      <c r="L89" s="324" t="str">
        <f>IFERROR(VLOOKUP(K89,B74:D89,3,FALSE),"")</f>
        <v/>
      </c>
      <c r="M89" s="331" t="str">
        <f>IFERROR(IF(L89=0,0,IF(OR(VLOOKUP(K89/11,$K74:$L81,2,FALSE)=0,L89&lt;=VLOOKUP(K89/11,$K74:$L81,2,FALSE)),"A","B")),"")</f>
        <v>A</v>
      </c>
      <c r="N89" s="331" t="str">
        <f>IF(M89=0,0,IF(OR(R89="",M89="B"),"",RANK(R89,R74:R89,1)))</f>
        <v/>
      </c>
      <c r="O89" s="331" t="str">
        <f>IF(M89=0,0,IF(OR(S89="",M89="A"),"",RANK(S89,S74:S89,1)))</f>
        <v/>
      </c>
      <c r="P89" s="332">
        <f t="shared" si="22"/>
        <v>88</v>
      </c>
      <c r="Q89" s="333"/>
      <c r="R89" s="334" t="str">
        <f t="shared" si="24"/>
        <v/>
      </c>
      <c r="S89" s="334" t="str">
        <f t="shared" si="25"/>
        <v/>
      </c>
    </row>
    <row r="90" spans="1:19" hidden="1" x14ac:dyDescent="0.45">
      <c r="A90" s="337"/>
      <c r="I90" s="329">
        <f t="shared" ref="I90" si="27">IFERROR(IF(LEFT(H90,1)="D",H90,(INT(H90)*60+(H90-INT(H90))*100)/86400),"X")</f>
        <v>0</v>
      </c>
    </row>
    <row r="91" spans="1:19" ht="15.4" hidden="1" x14ac:dyDescent="0.45">
      <c r="A91" s="337"/>
      <c r="B91" s="327"/>
      <c r="C91" s="324" t="s">
        <v>53</v>
      </c>
      <c r="D91" s="324">
        <v>1</v>
      </c>
      <c r="E91" s="397">
        <f>IFERROR(IF(E74&gt;88,E74,IF(A75=0,VLOOKUP(D91,N74:Q89,3,FALSE),VLOOKUP(D91,N74:Q89,4,FALSE))),0)</f>
        <v>44</v>
      </c>
      <c r="F91" s="328" t="str">
        <f ca="1">IFERROR(VLOOKUP(E91,E74:F89,2,FALSE),"")</f>
        <v>HILL Zoe</v>
      </c>
      <c r="G91" s="328" t="str">
        <f>IFERROR(VLOOKUP(E91,teamlookup,5,FALSE),"")</f>
        <v>M'bro</v>
      </c>
      <c r="H91" s="349">
        <f>IFERROR(VLOOKUP(E91,E74:I89,5,FALSE),"")</f>
        <v>3.6550925925925926E-3</v>
      </c>
      <c r="I91" s="348"/>
      <c r="K91" s="338"/>
    </row>
    <row r="92" spans="1:19" hidden="1" x14ac:dyDescent="0.45">
      <c r="A92" s="337"/>
      <c r="B92" s="327"/>
      <c r="D92" s="324">
        <v>2</v>
      </c>
      <c r="E92" s="397">
        <f>IFERROR(IF(A75=0,VLOOKUP(D92,N74:Q89,3,FALSE),VLOOKUP(D92,N74:Q89,4,FALSE)),"")</f>
        <v>3</v>
      </c>
      <c r="F92" s="328" t="str">
        <f ca="1">IFERROR(VLOOKUP(E92,E74:F89,2,FALSE),"")</f>
        <v>GASKIN Lucy</v>
      </c>
      <c r="G92" s="328" t="str">
        <f t="shared" ref="G92:G98" si="28">IFERROR(VLOOKUP(E92,teamlookup,5,FALSE),"")</f>
        <v>York</v>
      </c>
      <c r="H92" s="349">
        <f>IFERROR(VLOOKUP(E92,E74:I89,5,FALSE),"")</f>
        <v>3.914351851851852E-3</v>
      </c>
      <c r="I92" s="348"/>
    </row>
    <row r="93" spans="1:19" hidden="1" x14ac:dyDescent="0.45">
      <c r="A93" s="319"/>
      <c r="B93" s="327"/>
      <c r="D93" s="324">
        <v>3</v>
      </c>
      <c r="E93" s="397">
        <f>IFERROR(IF(A75=0,VLOOKUP(D93,N74:Q89,3,FALSE),VLOOKUP(D93,N74:Q89,4,FALSE)),"")</f>
        <v>5</v>
      </c>
      <c r="F93" s="328" t="str">
        <f ca="1">IFERROR(VLOOKUP(E93,E74:F89,2,FALSE),"")</f>
        <v>VICKERS Cerys</v>
      </c>
      <c r="G93" s="328" t="str">
        <f t="shared" si="28"/>
        <v>Scun</v>
      </c>
      <c r="H93" s="349">
        <f>IFERROR(VLOOKUP(E93,E74:I89,5,FALSE),"")</f>
        <v>4.1203703703703697E-3</v>
      </c>
      <c r="I93" s="348"/>
    </row>
    <row r="94" spans="1:19" hidden="1" x14ac:dyDescent="0.45">
      <c r="A94" s="319"/>
      <c r="B94" s="327"/>
      <c r="D94" s="324">
        <v>4</v>
      </c>
      <c r="E94" s="397">
        <f>IFERROR(IF(A75=0,VLOOKUP(D94,N74:Q89,3,FALSE),VLOOKUP(D94,N74:Q89,4,FALSE)),"")</f>
        <v>1</v>
      </c>
      <c r="F94" s="328" t="str">
        <f ca="1">IFERROR(VLOOKUP(E94,E74:F89,2,FALSE),"")</f>
        <v>KIRKWOOD Eva</v>
      </c>
      <c r="G94" s="328" t="str">
        <f t="shared" si="28"/>
        <v>C'field</v>
      </c>
      <c r="H94" s="349">
        <f>IFERROR(VLOOKUP(E94,E74:I89,5,FALSE),"")</f>
        <v>4.2800925925925931E-3</v>
      </c>
      <c r="I94" s="348"/>
    </row>
    <row r="95" spans="1:19" hidden="1" x14ac:dyDescent="0.45">
      <c r="B95" s="327"/>
      <c r="D95" s="324">
        <v>5</v>
      </c>
      <c r="E95" s="397" t="str">
        <f>IFERROR(IF(A75=0,VLOOKUP(D95,N74:Q89,3,FALSE),VLOOKUP(D95,N74:Q89,4,FALSE)),"")</f>
        <v/>
      </c>
      <c r="F95" s="328" t="str">
        <f>IFERROR(VLOOKUP(E95,E74:F89,2,FALSE),"")</f>
        <v/>
      </c>
      <c r="G95" s="328" t="str">
        <f t="shared" si="28"/>
        <v/>
      </c>
      <c r="H95" s="349" t="str">
        <f>IFERROR(VLOOKUP(E95,E74:I89,5,FALSE),"")</f>
        <v/>
      </c>
      <c r="I95" s="348"/>
    </row>
    <row r="96" spans="1:19" hidden="1" x14ac:dyDescent="0.45">
      <c r="A96" s="318"/>
      <c r="B96" s="327"/>
      <c r="D96" s="324">
        <v>6</v>
      </c>
      <c r="E96" s="397" t="str">
        <f>IFERROR(IF(A75=0,VLOOKUP(D96,N74:Q89,3,FALSE),VLOOKUP(D96,N74:Q89,4,FALSE)),"")</f>
        <v/>
      </c>
      <c r="F96" s="328" t="str">
        <f>IFERROR(VLOOKUP(E96,E74:F89,2,FALSE),"")</f>
        <v/>
      </c>
      <c r="G96" s="328" t="str">
        <f t="shared" si="28"/>
        <v/>
      </c>
      <c r="H96" s="349" t="str">
        <f>IFERROR(VLOOKUP(E96,E74:I89,5,FALSE),"")</f>
        <v/>
      </c>
      <c r="I96" s="348"/>
    </row>
    <row r="97" spans="1:20" hidden="1" x14ac:dyDescent="0.45">
      <c r="A97" s="326"/>
      <c r="B97" s="327"/>
      <c r="D97" s="324">
        <v>7</v>
      </c>
      <c r="E97" s="397" t="str">
        <f>IFERROR(IF(A75=0,VLOOKUP(D97,N74:Q89,3,FALSE),VLOOKUP(D97,N74:Q89,4,FALSE)),"")</f>
        <v/>
      </c>
      <c r="F97" s="328" t="str">
        <f>IFERROR(VLOOKUP(E97,E74:F89,2,FALSE),"")</f>
        <v/>
      </c>
      <c r="G97" s="328" t="str">
        <f t="shared" si="28"/>
        <v/>
      </c>
      <c r="H97" s="349" t="str">
        <f>IFERROR(VLOOKUP(E97,E74:I89,5,FALSE),"")</f>
        <v/>
      </c>
      <c r="I97" s="348"/>
    </row>
    <row r="98" spans="1:20" hidden="1" x14ac:dyDescent="0.45">
      <c r="A98" s="319"/>
      <c r="B98" s="327"/>
      <c r="D98" s="324">
        <v>8</v>
      </c>
      <c r="E98" s="397" t="str">
        <f>IFERROR(IF(A75=0,VLOOKUP(D98,N74:Q89,3,FALSE),VLOOKUP(D98,N74:Q89,4,FALSE)),"")</f>
        <v/>
      </c>
      <c r="F98" s="328" t="str">
        <f>IFERROR(VLOOKUP(E98,E74:F89,2,FALSE),"")</f>
        <v/>
      </c>
      <c r="G98" s="328" t="str">
        <f t="shared" si="28"/>
        <v/>
      </c>
      <c r="H98" s="349" t="str">
        <f>IFERROR(VLOOKUP(E98,E74:I89,5,FALSE),"")</f>
        <v/>
      </c>
      <c r="I98" s="348"/>
    </row>
    <row r="99" spans="1:20" hidden="1" x14ac:dyDescent="0.45">
      <c r="F99" s="328"/>
      <c r="H99" s="350"/>
      <c r="I99" s="348">
        <f t="shared" ref="I99" si="29">IFERROR(IF(LEFT(H99,1)="D",H99,(INT(H99)*60+(H99-INT(H99))*100)/86400),"X")</f>
        <v>0</v>
      </c>
    </row>
    <row r="100" spans="1:20" hidden="1" x14ac:dyDescent="0.45">
      <c r="A100" s="337"/>
      <c r="B100" s="327"/>
      <c r="C100" s="324" t="s">
        <v>54</v>
      </c>
      <c r="D100" s="324">
        <v>1</v>
      </c>
      <c r="E100" s="397">
        <f>IFERROR(IF(A75=0,VLOOKUP(D100,O74:Q89,2,FALSE),VLOOKUP(D100,O74:Q89,3,FALSE)),"")</f>
        <v>4</v>
      </c>
      <c r="F100" s="328" t="str">
        <f ca="1">IFERROR(VLOOKUP(E100,E74:F89,2,FALSE),"")</f>
        <v>MCNEILL Emma</v>
      </c>
      <c r="G100" s="328" t="str">
        <f t="shared" ref="G100:G107" si="30">IFERROR(VLOOKUP(E100,teamlookup,5,FALSE),"")</f>
        <v>M'bro</v>
      </c>
      <c r="H100" s="349">
        <f>IFERROR(VLOOKUP(E100,E74:I89,5,FALSE),"")</f>
        <v>3.7650462962962963E-3</v>
      </c>
      <c r="I100" s="348"/>
    </row>
    <row r="101" spans="1:20" hidden="1" x14ac:dyDescent="0.45">
      <c r="A101" s="337"/>
      <c r="B101" s="327"/>
      <c r="D101" s="324">
        <v>2</v>
      </c>
      <c r="E101" s="397">
        <f>IFERROR(IF(A75=0,VLOOKUP(D101,O74:Q89,2,FALSE),VLOOKUP(D101,O74:Q89,3,FALSE)),"")</f>
        <v>55</v>
      </c>
      <c r="F101" s="328" t="str">
        <f ca="1">IFERROR(VLOOKUP(E101,E74:F89,2,FALSE),"")</f>
        <v>WHITTAKER Millie</v>
      </c>
      <c r="G101" s="328" t="str">
        <f t="shared" si="30"/>
        <v>Scun</v>
      </c>
      <c r="H101" s="349">
        <f>IFERROR(VLOOKUP(E101,E74:I89,5,FALSE),"")</f>
        <v>4.1226851851851858E-3</v>
      </c>
      <c r="I101" s="348"/>
    </row>
    <row r="102" spans="1:20" hidden="1" x14ac:dyDescent="0.45">
      <c r="A102" s="337"/>
      <c r="B102" s="327"/>
      <c r="D102" s="324">
        <v>3</v>
      </c>
      <c r="E102" s="397">
        <f>IFERROR(IF(A75=0,VLOOKUP(D102,O74:Q89,2,FALSE),VLOOKUP(D102,O74:Q89,3,FALSE)),"")</f>
        <v>33</v>
      </c>
      <c r="F102" s="328" t="str">
        <f ca="1">IFERROR(VLOOKUP(E102,E74:F89,2,FALSE),"")</f>
        <v>COURTNEY Libby</v>
      </c>
      <c r="G102" s="328" t="str">
        <f t="shared" si="30"/>
        <v>York</v>
      </c>
      <c r="H102" s="349">
        <f>IFERROR(VLOOKUP(E102,E74:I89,5,FALSE),"")</f>
        <v>4.293981481481482E-3</v>
      </c>
      <c r="I102" s="348"/>
    </row>
    <row r="103" spans="1:20" hidden="1" x14ac:dyDescent="0.45">
      <c r="A103" s="337"/>
      <c r="B103" s="327"/>
      <c r="D103" s="324">
        <v>4</v>
      </c>
      <c r="E103" s="397" t="str">
        <f>IFERROR(IF(A75=0,VLOOKUP(D103,O74:Q89,2,FALSE),VLOOKUP(D103,O74:Q89,3,FALSE)),"")</f>
        <v/>
      </c>
      <c r="F103" s="328" t="str">
        <f>IFERROR(VLOOKUP(E103,E74:F89,2,FALSE),"")</f>
        <v/>
      </c>
      <c r="G103" s="328" t="str">
        <f t="shared" si="30"/>
        <v/>
      </c>
      <c r="H103" s="349" t="str">
        <f>IFERROR(VLOOKUP(E103,E74:I89,5,FALSE),"")</f>
        <v/>
      </c>
      <c r="I103" s="348"/>
    </row>
    <row r="104" spans="1:20" hidden="1" x14ac:dyDescent="0.45">
      <c r="A104" s="319"/>
      <c r="B104" s="327"/>
      <c r="D104" s="324">
        <v>5</v>
      </c>
      <c r="E104" s="397" t="str">
        <f>IFERROR(IF(A75=0,VLOOKUP(D104,O74:Q89,2,FALSE),VLOOKUP(D104,O74:Q89,3,FALSE)),"")</f>
        <v/>
      </c>
      <c r="F104" s="328" t="str">
        <f>IFERROR(VLOOKUP(E104,E74:F89,2,FALSE),"")</f>
        <v/>
      </c>
      <c r="G104" s="328" t="str">
        <f t="shared" si="30"/>
        <v/>
      </c>
      <c r="H104" s="349" t="str">
        <f>IFERROR(VLOOKUP(E104,E74:I89,5,FALSE),"")</f>
        <v/>
      </c>
      <c r="I104" s="348"/>
    </row>
    <row r="105" spans="1:20" hidden="1" x14ac:dyDescent="0.45">
      <c r="A105" s="319"/>
      <c r="B105" s="327"/>
      <c r="D105" s="324">
        <v>6</v>
      </c>
      <c r="E105" s="397" t="str">
        <f>IFERROR(IF(A75=0,VLOOKUP(D105,O74:Q89,2,FALSE),VLOOKUP(D105,O74:Q89,3,FALSE)),"")</f>
        <v/>
      </c>
      <c r="F105" s="328" t="str">
        <f>IFERROR(VLOOKUP(E105,E74:F89,2,FALSE),"")</f>
        <v/>
      </c>
      <c r="G105" s="328" t="str">
        <f t="shared" si="30"/>
        <v/>
      </c>
      <c r="H105" s="349" t="str">
        <f>IFERROR(VLOOKUP(E105,E74:I89,5,FALSE),"")</f>
        <v/>
      </c>
      <c r="I105" s="348"/>
    </row>
    <row r="106" spans="1:20" hidden="1" x14ac:dyDescent="0.45">
      <c r="B106" s="327"/>
      <c r="D106" s="324">
        <v>7</v>
      </c>
      <c r="E106" s="397" t="str">
        <f>IFERROR(IF(A75=0,VLOOKUP(D106,O74:Q89,2,FALSE),VLOOKUP(D106,O74:Q89,3,FALSE)),"")</f>
        <v/>
      </c>
      <c r="F106" s="328" t="str">
        <f>IFERROR(VLOOKUP(E106,E74:F89,2,FALSE),"")</f>
        <v/>
      </c>
      <c r="G106" s="328" t="str">
        <f t="shared" si="30"/>
        <v/>
      </c>
      <c r="H106" s="349" t="str">
        <f>IFERROR(VLOOKUP(E106,E74:I89,5,FALSE),"")</f>
        <v/>
      </c>
      <c r="I106" s="348"/>
    </row>
    <row r="107" spans="1:20" hidden="1" x14ac:dyDescent="0.45">
      <c r="A107" s="318"/>
      <c r="B107" s="327"/>
      <c r="D107" s="324">
        <v>8</v>
      </c>
      <c r="E107" s="397" t="str">
        <f>IFERROR(IF(A75=0,VLOOKUP(D107,O74:Q89,2,FALSE),VLOOKUP(D107,O74:Q89,3,FALSE)),"")</f>
        <v/>
      </c>
      <c r="F107" s="328" t="str">
        <f>IFERROR(VLOOKUP(E107,E74:F89,2,FALSE),"")</f>
        <v/>
      </c>
      <c r="G107" s="328" t="str">
        <f t="shared" si="30"/>
        <v/>
      </c>
      <c r="H107" s="349" t="str">
        <f>IFERROR(VLOOKUP(E107,E74:I89,5,FALSE),"")</f>
        <v/>
      </c>
      <c r="I107" s="348"/>
    </row>
    <row r="108" spans="1:20" hidden="1" x14ac:dyDescent="0.45">
      <c r="I108" s="329">
        <f t="shared" ref="I108:I109" si="31">IFERROR(IF(LEFT(H108,1)="D",H108,(INT(H108)*60+(H108-INT(H108))*100)/86400),"")</f>
        <v>0</v>
      </c>
    </row>
    <row r="109" spans="1:20" x14ac:dyDescent="0.45">
      <c r="A109" s="318" t="s">
        <v>312</v>
      </c>
      <c r="B109" s="319">
        <f>B73+36</f>
        <v>127</v>
      </c>
      <c r="C109" s="319">
        <f>C73+36</f>
        <v>136</v>
      </c>
      <c r="D109" s="320"/>
      <c r="E109" s="223" t="str">
        <f>IFERROR(A110&amp;" "&amp;VLOOKUP(A109,timetables,2,FALSE)&amp;" "&amp;VLOOKUP(A109,timetables,3,FALSE)&amp;" A","")</f>
        <v xml:space="preserve"> 1500m U15 Boys A</v>
      </c>
      <c r="F109" s="321"/>
      <c r="G109" s="321"/>
      <c r="H109" s="397" t="s">
        <v>229</v>
      </c>
      <c r="I109" s="329" t="str">
        <f t="shared" si="31"/>
        <v/>
      </c>
      <c r="N109" s="325"/>
      <c r="O109" s="325"/>
    </row>
    <row r="110" spans="1:20" x14ac:dyDescent="0.45">
      <c r="A110" s="326"/>
      <c r="B110" s="327">
        <f>IFERROR(IF(A111=0,E110,VLOOKUP(E110,Teams!$V$2:$W$19,2,FALSE)),"")</f>
        <v>4</v>
      </c>
      <c r="D110" s="327">
        <v>1</v>
      </c>
      <c r="E110" s="396">
        <v>4</v>
      </c>
      <c r="F110" s="328" t="str">
        <f ca="1">IFERROR(IF(A111=0,HLOOKUP(E110,Declarations!$D$2:$S$102,A113,FALSE),HLOOKUP(VLOOKUP(E110,Teams!$V$2:$W$19,2,FALSE),Declarations!$D$2:$S$102,A113,FALSE)),"")</f>
        <v>SAYERS James</v>
      </c>
      <c r="G110" s="328" t="str">
        <f t="shared" ref="G110:G125" si="32">IFERROR(VLOOKUP(E110,teamlookup,5,FALSE),"")</f>
        <v>M'bro</v>
      </c>
      <c r="H110" s="385">
        <v>4.5979999999999999</v>
      </c>
      <c r="I110" s="348">
        <f>IFERROR(IF(LEFT(H110,1)="D",H110,(INT(H110)*60+(H110-INT(H110))*100)/86400),"X")</f>
        <v>3.4699074074074068E-3</v>
      </c>
      <c r="J110" s="324">
        <f>IFERROR(IF(H110=99,1,0),0)</f>
        <v>0</v>
      </c>
      <c r="K110" s="330">
        <v>1</v>
      </c>
      <c r="L110" s="324">
        <f>IFERROR(VLOOKUP(K110,B110:D125,3,FALSE),"")</f>
        <v>5</v>
      </c>
      <c r="M110" s="331" t="str">
        <f>IFERROR(IF(L110=0,0,IF(OR(VLOOKUP(K110*11,$K118:$L125,2,FALSE)=0,L110&lt;=VLOOKUP(K110*11,$K118:$L125,2,FALSE)),"A","B")),"")</f>
        <v>A</v>
      </c>
      <c r="N110" s="331">
        <f>IF(M110=0,0,IF(OR(R110="",M110="B"),"",RANK(R110,R110:R125,1)))</f>
        <v>4</v>
      </c>
      <c r="O110" s="331" t="str">
        <f>IF(M110=0,0,IF(OR(S110="",M110="A"),"",RANK(S110,S110:S125,1)))</f>
        <v/>
      </c>
      <c r="P110" s="332">
        <f t="shared" ref="P110:P125" si="33">K110</f>
        <v>1</v>
      </c>
      <c r="Q110" s="333"/>
      <c r="R110" s="334">
        <f>IFERROR(IF(OR(L110=0,M110="B"),"",L110),"")</f>
        <v>5</v>
      </c>
      <c r="S110" s="334" t="str">
        <f>IFERROR(IF(OR(L110=0,M110="A"),"",L110),"")</f>
        <v/>
      </c>
      <c r="T110" s="328"/>
    </row>
    <row r="111" spans="1:20" x14ac:dyDescent="0.45">
      <c r="A111" s="335">
        <f>IFERROR(SEARCH("U17",E109),0)</f>
        <v>0</v>
      </c>
      <c r="B111" s="327">
        <f>IFERROR(IF(A111=0,E111,VLOOKUP(E111,Teams!$V$2:$W$19,2,FALSE)),"")</f>
        <v>3</v>
      </c>
      <c r="D111" s="327">
        <v>2</v>
      </c>
      <c r="E111" s="396">
        <v>3</v>
      </c>
      <c r="F111" s="328" t="str">
        <f ca="1">IFERROR(IF(A111=0,HLOOKUP(E111,Declarations!$D$2:$S$102,A113,FALSE),HLOOKUP(VLOOKUP(E111,Teams!$V$2:$W$19,2,FALSE),Declarations!$D$2:$S$102,A113,FALSE)),"")</f>
        <v>BRATLEY Jack</v>
      </c>
      <c r="G111" s="328" t="str">
        <f t="shared" si="32"/>
        <v>York</v>
      </c>
      <c r="H111" s="339">
        <v>5.0590000000000002</v>
      </c>
      <c r="I111" s="348">
        <f t="shared" ref="I111:I125" si="34">IFERROR(IF(LEFT(H111,1)="D",H111,(INT(H111)*60+(H111-INT(H111))*100)/86400),"X")</f>
        <v>3.5405092592592597E-3</v>
      </c>
      <c r="K111" s="330">
        <v>2</v>
      </c>
      <c r="L111" s="324">
        <f>IFERROR(VLOOKUP(K111,B110:D125,3,FALSE),"")</f>
        <v>3</v>
      </c>
      <c r="M111" s="331" t="str">
        <f>IFERROR(IF(L111=0,0,IF(OR(VLOOKUP(K111*11,$K118:$L125,2,FALSE)=0,L111&lt;=VLOOKUP(K111*11,$K118:$L125,2,FALSE)),"A","B")),"")</f>
        <v>A</v>
      </c>
      <c r="N111" s="331">
        <f>IF(M111=0,0,IF(OR(R111="",M111="B"),"",RANK(R111,R110:R125,1)))</f>
        <v>3</v>
      </c>
      <c r="O111" s="331" t="str">
        <f>IF(M111=0,0,IF(OR(S111="",M111="A"),"",RANK(S111,S110:S125,1)))</f>
        <v/>
      </c>
      <c r="P111" s="332">
        <f t="shared" si="33"/>
        <v>2</v>
      </c>
      <c r="Q111" s="333"/>
      <c r="R111" s="334">
        <f t="shared" ref="R111:R125" si="35">IFERROR(IF(OR(L111=0,M111="B"),"",L111),"")</f>
        <v>3</v>
      </c>
      <c r="S111" s="334" t="str">
        <f t="shared" ref="S111:S125" si="36">IFERROR(IF(OR(L111=0,M111="A"),"",L111),"")</f>
        <v/>
      </c>
    </row>
    <row r="112" spans="1:20" x14ac:dyDescent="0.45">
      <c r="B112" s="327">
        <f>IFERROR(IF(A111=0,E112,VLOOKUP(E112,Teams!$V$2:$W$19,2,FALSE)),"")</f>
        <v>2</v>
      </c>
      <c r="D112" s="327">
        <v>3</v>
      </c>
      <c r="E112" s="396">
        <v>2</v>
      </c>
      <c r="F112" s="328" t="str">
        <f ca="1">IFERROR(IF(A111=0,HLOOKUP(E112,Declarations!$D$2:$S$102,A113,FALSE),HLOOKUP(VLOOKUP(E112,Teams!$V$2:$W$19,2,FALSE),Declarations!$D$2:$S$102,A113,FALSE)),"")</f>
        <v>COLLINI Joseph</v>
      </c>
      <c r="G112" s="328" t="str">
        <f t="shared" si="32"/>
        <v>Sheff+D</v>
      </c>
      <c r="H112" s="339">
        <v>5.173</v>
      </c>
      <c r="I112" s="348">
        <f t="shared" si="34"/>
        <v>3.6724537037037038E-3</v>
      </c>
      <c r="K112" s="330">
        <v>3</v>
      </c>
      <c r="L112" s="324">
        <f>IFERROR(VLOOKUP(K112,B110:D125,3,FALSE),"")</f>
        <v>2</v>
      </c>
      <c r="M112" s="331" t="str">
        <f>IFERROR(IF(L112=0,0,IF(OR(VLOOKUP(K112*11,$K118:$L125,2,FALSE)=0,L112&lt;=VLOOKUP(K112*11,$K118:$L125,2,FALSE)),"A","B")),"")</f>
        <v>A</v>
      </c>
      <c r="N112" s="331">
        <f>IF(M112=0,0,IF(OR(R112="",M112="B"),"",RANK(R112,R110:R125,1)))</f>
        <v>2</v>
      </c>
      <c r="O112" s="331" t="str">
        <f>IF(M112=0,0,IF(OR(S112="",M112="A"),"",RANK(S112,S110:S125,1)))</f>
        <v/>
      </c>
      <c r="P112" s="332">
        <f t="shared" si="33"/>
        <v>3</v>
      </c>
      <c r="Q112" s="333"/>
      <c r="R112" s="334">
        <f t="shared" si="35"/>
        <v>2</v>
      </c>
      <c r="S112" s="334" t="str">
        <f t="shared" si="36"/>
        <v/>
      </c>
    </row>
    <row r="113" spans="1:19" x14ac:dyDescent="0.45">
      <c r="A113" s="336">
        <f>IFERROR(VLOOKUP(A109,Timetables!$A:$E,5,FALSE)-1,"")</f>
        <v>59</v>
      </c>
      <c r="B113" s="327">
        <f>IFERROR(IF(A111=0,E113,VLOOKUP(E113,Teams!$V$2:$W$19,2,FALSE)),"")</f>
        <v>33</v>
      </c>
      <c r="D113" s="327">
        <v>4</v>
      </c>
      <c r="E113" s="396">
        <v>33</v>
      </c>
      <c r="F113" s="328" t="str">
        <f ca="1">IFERROR(IF(A111=0,HLOOKUP(E113,Declarations!$D$2:$S$102,A113,FALSE),HLOOKUP(VLOOKUP(E113,Teams!$V$2:$W$19,2,FALSE),Declarations!$D$2:$S$102,A113,FALSE)),"")</f>
        <v>HENSON Isaac</v>
      </c>
      <c r="G113" s="328" t="str">
        <f t="shared" si="32"/>
        <v>York</v>
      </c>
      <c r="H113" s="339">
        <v>5.2</v>
      </c>
      <c r="I113" s="348">
        <f t="shared" si="34"/>
        <v>3.7037037037037038E-3</v>
      </c>
      <c r="K113" s="330">
        <v>4</v>
      </c>
      <c r="L113" s="324">
        <f>IFERROR(VLOOKUP(K113,B110:D125,3,FALSE),"")</f>
        <v>1</v>
      </c>
      <c r="M113" s="331" t="str">
        <f>IFERROR(IF(L113=0,0,IF(OR(VLOOKUP(K113*11,$K118:$L125,2,FALSE)=0,L113&lt;=VLOOKUP(K113*11,$K118:$L125,2,FALSE)),"A","B")),"")</f>
        <v>A</v>
      </c>
      <c r="N113" s="331">
        <f>IF(M113=0,0,IF(OR(R113="",M113="B"),"",RANK(R113,R110:R125,1)))</f>
        <v>1</v>
      </c>
      <c r="O113" s="331" t="str">
        <f>IF(M113=0,0,IF(OR(S113="",M113="A"),"",RANK(S113,S110:S125,1)))</f>
        <v/>
      </c>
      <c r="P113" s="332">
        <f t="shared" si="33"/>
        <v>4</v>
      </c>
      <c r="Q113" s="333"/>
      <c r="R113" s="334">
        <f t="shared" si="35"/>
        <v>1</v>
      </c>
      <c r="S113" s="334" t="str">
        <f t="shared" si="36"/>
        <v/>
      </c>
    </row>
    <row r="114" spans="1:19" x14ac:dyDescent="0.45">
      <c r="A114" s="337"/>
      <c r="B114" s="327">
        <f>IFERROR(IF(A111=0,E114,VLOOKUP(E114,Teams!$V$2:$W$19,2,FALSE)),"")</f>
        <v>1</v>
      </c>
      <c r="D114" s="327">
        <v>5</v>
      </c>
      <c r="E114" s="396">
        <v>1</v>
      </c>
      <c r="F114" s="328" t="str">
        <f ca="1">IFERROR(IF(A111=0,HLOOKUP(E114,Declarations!$D$2:$S$102,A113,FALSE),HLOOKUP(VLOOKUP(E114,Teams!$V$2:$W$19,2,FALSE),Declarations!$D$2:$S$102,A113,FALSE)),"")</f>
        <v>BETTNEY Thomas</v>
      </c>
      <c r="G114" s="328" t="str">
        <f t="shared" si="32"/>
        <v>C'field</v>
      </c>
      <c r="H114" s="339">
        <v>5.4930000000000003</v>
      </c>
      <c r="I114" s="348">
        <f t="shared" si="34"/>
        <v>4.0428240740740745E-3</v>
      </c>
      <c r="K114" s="330">
        <v>5</v>
      </c>
      <c r="L114" s="324" t="str">
        <f>IFERROR(VLOOKUP(K114,B110:D125,3,FALSE),"")</f>
        <v/>
      </c>
      <c r="M114" s="331" t="str">
        <f>IFERROR(IF(L114=0,0,IF(OR(VLOOKUP(K114*11,$K118:$L125,2,FALSE)=0,L114&lt;=VLOOKUP(K114*11,$K118:$L125,2,FALSE)),"A","B")),"")</f>
        <v>A</v>
      </c>
      <c r="N114" s="331" t="str">
        <f>IF(M114=0,0,IF(OR(R114="",M114="B"),"",RANK(R114,R110:R125,1)))</f>
        <v/>
      </c>
      <c r="O114" s="331" t="str">
        <f>IF(M114=0,0,IF(OR(S114="",M114="A"),"",RANK(S114,S110:S125,1)))</f>
        <v/>
      </c>
      <c r="P114" s="332">
        <f t="shared" si="33"/>
        <v>5</v>
      </c>
      <c r="Q114" s="333"/>
      <c r="R114" s="334" t="str">
        <f t="shared" si="35"/>
        <v/>
      </c>
      <c r="S114" s="334" t="str">
        <f t="shared" si="36"/>
        <v/>
      </c>
    </row>
    <row r="115" spans="1:19" x14ac:dyDescent="0.45">
      <c r="A115" s="337"/>
      <c r="B115" s="327">
        <f>IFERROR(IF(A111=0,E115,VLOOKUP(E115,Teams!$V$2:$W$19,2,FALSE)),"")</f>
        <v>0</v>
      </c>
      <c r="D115" s="327">
        <v>6</v>
      </c>
      <c r="E115" s="396"/>
      <c r="F115" s="328" t="str">
        <f>IFERROR(IF(A111=0,HLOOKUP(E115,Declarations!$D$2:$S$102,A113,FALSE),HLOOKUP(VLOOKUP(E115,Teams!$V$2:$W$19,2,FALSE),Declarations!$D$2:$S$102,A113,FALSE)),"")</f>
        <v/>
      </c>
      <c r="G115" s="328" t="str">
        <f t="shared" si="32"/>
        <v/>
      </c>
      <c r="H115" s="339"/>
      <c r="I115" s="348">
        <f t="shared" si="34"/>
        <v>0</v>
      </c>
      <c r="K115" s="330">
        <v>6</v>
      </c>
      <c r="L115" s="324" t="str">
        <f>IFERROR(VLOOKUP(K115,B110:D125,3,FALSE),"")</f>
        <v/>
      </c>
      <c r="M115" s="331" t="str">
        <f>IFERROR(IF(L115=0,0,IF(OR(VLOOKUP(K115*11,$K118:$L125,2,FALSE)=0,L115&lt;=VLOOKUP(K115*11,$K118:$L125,2,FALSE)),"A","B")),"")</f>
        <v>A</v>
      </c>
      <c r="N115" s="331" t="str">
        <f>IF(M115=0,0,IF(OR(R115="",M115="B"),"",RANK(R115,R110:R125,1)))</f>
        <v/>
      </c>
      <c r="O115" s="331" t="str">
        <f>IF(M115=0,0,IF(OR(S115="",M115="A"),"",RANK(S115,S110:S125,1)))</f>
        <v/>
      </c>
      <c r="P115" s="332">
        <f t="shared" si="33"/>
        <v>6</v>
      </c>
      <c r="Q115" s="333"/>
      <c r="R115" s="334" t="str">
        <f t="shared" si="35"/>
        <v/>
      </c>
      <c r="S115" s="334" t="str">
        <f t="shared" si="36"/>
        <v/>
      </c>
    </row>
    <row r="116" spans="1:19" x14ac:dyDescent="0.45">
      <c r="A116" s="337"/>
      <c r="B116" s="327">
        <f>IFERROR(IF(A111=0,E116,VLOOKUP(E116,Teams!$V$2:$W$19,2,FALSE)),"")</f>
        <v>0</v>
      </c>
      <c r="D116" s="327">
        <v>7</v>
      </c>
      <c r="E116" s="396"/>
      <c r="F116" s="328" t="str">
        <f>IFERROR(IF(A111=0,HLOOKUP(E116,Declarations!$D$2:$S$102,A113,FALSE),HLOOKUP(VLOOKUP(E116,Teams!$V$2:$W$19,2,FALSE),Declarations!$D$2:$S$102,A113,FALSE)),"")</f>
        <v/>
      </c>
      <c r="G116" s="328" t="str">
        <f t="shared" si="32"/>
        <v/>
      </c>
      <c r="H116" s="339"/>
      <c r="I116" s="348">
        <f t="shared" si="34"/>
        <v>0</v>
      </c>
      <c r="K116" s="330">
        <v>7</v>
      </c>
      <c r="L116" s="324" t="str">
        <f>IFERROR(VLOOKUP(K116,B110:D125,3,FALSE),"")</f>
        <v/>
      </c>
      <c r="M116" s="331" t="str">
        <f>IFERROR(IF(L116=0,0,IF(OR(VLOOKUP(K116*11,$K118:$L125,2,FALSE)=0,L116&lt;=VLOOKUP(K116*11,$K118:$L125,2,FALSE)),"A","B")),"")</f>
        <v>A</v>
      </c>
      <c r="N116" s="331" t="str">
        <f>IF(M116=0,0,IF(OR(R116="",M116="B"),"",RANK(R116,R110:R125,1)))</f>
        <v/>
      </c>
      <c r="O116" s="331" t="str">
        <f>IF(M116=0,0,IF(OR(S116="",M116="A"),"",RANK(S116,S110:S125,1)))</f>
        <v/>
      </c>
      <c r="P116" s="332">
        <f t="shared" si="33"/>
        <v>7</v>
      </c>
      <c r="Q116" s="333"/>
      <c r="R116" s="334" t="str">
        <f t="shared" si="35"/>
        <v/>
      </c>
      <c r="S116" s="334" t="str">
        <f t="shared" si="36"/>
        <v/>
      </c>
    </row>
    <row r="117" spans="1:19" x14ac:dyDescent="0.45">
      <c r="A117" s="319"/>
      <c r="B117" s="327">
        <f>IFERROR(IF(A111=0,E117,VLOOKUP(E117,Teams!$V$2:$W$19,2,FALSE)),"")</f>
        <v>0</v>
      </c>
      <c r="D117" s="327">
        <v>8</v>
      </c>
      <c r="E117" s="396"/>
      <c r="F117" s="328" t="str">
        <f>IFERROR(IF(A111=0,HLOOKUP(E117,Declarations!$D$2:$S$102,A113,FALSE),HLOOKUP(VLOOKUP(E117,Teams!$V$2:$W$19,2,FALSE),Declarations!$D$2:$S$102,A113,FALSE)),"")</f>
        <v/>
      </c>
      <c r="G117" s="328" t="str">
        <f t="shared" si="32"/>
        <v/>
      </c>
      <c r="H117" s="339"/>
      <c r="I117" s="348">
        <f t="shared" si="34"/>
        <v>0</v>
      </c>
      <c r="K117" s="330">
        <v>8</v>
      </c>
      <c r="L117" s="324" t="str">
        <f>IFERROR(VLOOKUP(K117,B110:D125,3,FALSE),"")</f>
        <v/>
      </c>
      <c r="M117" s="331" t="str">
        <f>IFERROR(IF(L117=0,0,IF(OR(VLOOKUP(K117*11,$K118:$L125,2,FALSE)=0,L117&lt;=VLOOKUP(K117*11,$K118:$L125,2,FALSE)),"A","B")),"")</f>
        <v>A</v>
      </c>
      <c r="N117" s="331" t="str">
        <f>IF(M117=0,0,IF(OR(R117="",M117="B"),"",RANK(R117,R110:R125,1)))</f>
        <v/>
      </c>
      <c r="O117" s="331" t="str">
        <f>IF(M117=0,0,IF(OR(S117="",M117="A"),"",RANK(S117,S110:S125,1)))</f>
        <v/>
      </c>
      <c r="P117" s="332">
        <f t="shared" si="33"/>
        <v>8</v>
      </c>
      <c r="Q117" s="333"/>
      <c r="R117" s="334" t="str">
        <f t="shared" si="35"/>
        <v/>
      </c>
      <c r="S117" s="334" t="str">
        <f t="shared" si="36"/>
        <v/>
      </c>
    </row>
    <row r="118" spans="1:19" x14ac:dyDescent="0.45">
      <c r="A118" s="319"/>
      <c r="B118" s="327">
        <f>IFERROR(IF(A111=0,E118,VLOOKUP(E118,Teams!$V$2:$W$19,2,FALSE)),"")</f>
        <v>0</v>
      </c>
      <c r="D118" s="327">
        <v>9</v>
      </c>
      <c r="E118" s="396"/>
      <c r="F118" s="328" t="str">
        <f>IFERROR(IF(A111=0,HLOOKUP(E118,Declarations!$D$2:$S$102,A113,FALSE),HLOOKUP(VLOOKUP(E118,Teams!$V$2:$W$19,2,FALSE),Declarations!$D$2:$S$102,A113,FALSE)),"")</f>
        <v/>
      </c>
      <c r="G118" s="328" t="str">
        <f t="shared" si="32"/>
        <v/>
      </c>
      <c r="H118" s="339"/>
      <c r="I118" s="348">
        <f t="shared" si="34"/>
        <v>0</v>
      </c>
      <c r="K118" s="324">
        <f>K110*11</f>
        <v>11</v>
      </c>
      <c r="L118" s="324" t="str">
        <f>IFERROR(VLOOKUP(K118,B110:D125,3,FALSE),"")</f>
        <v/>
      </c>
      <c r="M118" s="331" t="str">
        <f>IFERROR(IF(L118=0,0,IF(OR(VLOOKUP(K118/11,$K110:$L117,2,FALSE)=0,L118&lt;=VLOOKUP(K118/11,$K110:$L117,2,FALSE)),"A","B")),"")</f>
        <v>B</v>
      </c>
      <c r="N118" s="331" t="str">
        <f>IF(M118=0,0,IF(OR(R118="",M118="B"),"",RANK(R118,R110:R125,1)))</f>
        <v/>
      </c>
      <c r="O118" s="331" t="str">
        <f>IF(M118=0,0,IF(OR(S118="",M118="A"),"",RANK(S118,S110:S125,1)))</f>
        <v/>
      </c>
      <c r="P118" s="332">
        <f t="shared" si="33"/>
        <v>11</v>
      </c>
      <c r="Q118" s="333"/>
      <c r="R118" s="334" t="str">
        <f t="shared" si="35"/>
        <v/>
      </c>
      <c r="S118" s="334" t="str">
        <f t="shared" si="36"/>
        <v/>
      </c>
    </row>
    <row r="119" spans="1:19" x14ac:dyDescent="0.45">
      <c r="B119" s="327">
        <f>IFERROR(IF(A111=0,E119,VLOOKUP(E119,Teams!$V$2:$W$19,2,FALSE)),"")</f>
        <v>0</v>
      </c>
      <c r="D119" s="327">
        <v>10</v>
      </c>
      <c r="E119" s="396"/>
      <c r="F119" s="328" t="str">
        <f>IFERROR(IF(A111=0,HLOOKUP(E119,Declarations!$D$2:$S$102,A113,FALSE),HLOOKUP(VLOOKUP(E119,Teams!$V$2:$W$19,2,FALSE),Declarations!$D$2:$S$102,A113,FALSE)),"")</f>
        <v/>
      </c>
      <c r="G119" s="328" t="str">
        <f t="shared" si="32"/>
        <v/>
      </c>
      <c r="H119" s="339"/>
      <c r="I119" s="348">
        <f t="shared" si="34"/>
        <v>0</v>
      </c>
      <c r="K119" s="324">
        <f t="shared" ref="K119:K125" si="37">K111*11</f>
        <v>22</v>
      </c>
      <c r="L119" s="324" t="str">
        <f>IFERROR(VLOOKUP(K119,B110:D125,3,FALSE),"")</f>
        <v/>
      </c>
      <c r="M119" s="331" t="str">
        <f>IFERROR(IF(L119=0,0,IF(OR(VLOOKUP(K119/11,$K110:$L117,2,FALSE)=0,L119&lt;=VLOOKUP(K119/11,$K110:$L117,2,FALSE)),"A","B")),"")</f>
        <v>B</v>
      </c>
      <c r="N119" s="331" t="str">
        <f>IF(M119=0,0,IF(OR(R119="",M119="B"),"",RANK(R119,R110:R125,1)))</f>
        <v/>
      </c>
      <c r="O119" s="331" t="str">
        <f>IF(M119=0,0,IF(OR(S119="",M119="A"),"",RANK(S119,S110:S125,1)))</f>
        <v/>
      </c>
      <c r="P119" s="332">
        <f t="shared" si="33"/>
        <v>22</v>
      </c>
      <c r="Q119" s="333"/>
      <c r="R119" s="334" t="str">
        <f t="shared" si="35"/>
        <v/>
      </c>
      <c r="S119" s="334" t="str">
        <f t="shared" si="36"/>
        <v/>
      </c>
    </row>
    <row r="120" spans="1:19" x14ac:dyDescent="0.45">
      <c r="B120" s="327">
        <f>IFERROR(IF(A111=0,E120,VLOOKUP(E120,Teams!$V$2:$W$19,2,FALSE)),"")</f>
        <v>0</v>
      </c>
      <c r="D120" s="327">
        <v>11</v>
      </c>
      <c r="E120" s="396"/>
      <c r="F120" s="328" t="str">
        <f>IFERROR(IF(A111=0,HLOOKUP(E120,Declarations!$D$2:$S$102,A113,FALSE),HLOOKUP(VLOOKUP(E120,Teams!$V$2:$W$19,2,FALSE),Declarations!$D$2:$S$102,A113,FALSE)),"")</f>
        <v/>
      </c>
      <c r="G120" s="328" t="str">
        <f t="shared" si="32"/>
        <v/>
      </c>
      <c r="H120" s="339"/>
      <c r="I120" s="348">
        <f t="shared" si="34"/>
        <v>0</v>
      </c>
      <c r="K120" s="324">
        <f t="shared" si="37"/>
        <v>33</v>
      </c>
      <c r="L120" s="324">
        <f>IFERROR(VLOOKUP(K120,B110:D125,3,FALSE),"")</f>
        <v>4</v>
      </c>
      <c r="M120" s="331" t="str">
        <f>IFERROR(IF(L120=0,0,IF(OR(VLOOKUP(K120/11,$K110:$L117,2,FALSE)=0,L120&lt;=VLOOKUP(K120/11,$K110:$L117,2,FALSE)),"A","B")),"")</f>
        <v>B</v>
      </c>
      <c r="N120" s="331" t="str">
        <f>IF(M120=0,0,IF(OR(R120="",M120="B"),"",RANK(R120,R110:R125,1)))</f>
        <v/>
      </c>
      <c r="O120" s="331">
        <f>IF(M120=0,0,IF(OR(S120="",M120="A"),"",RANK(S120,S110:S125,1)))</f>
        <v>1</v>
      </c>
      <c r="P120" s="332">
        <f t="shared" si="33"/>
        <v>33</v>
      </c>
      <c r="Q120" s="333"/>
      <c r="R120" s="334" t="str">
        <f t="shared" si="35"/>
        <v/>
      </c>
      <c r="S120" s="334">
        <f t="shared" si="36"/>
        <v>4</v>
      </c>
    </row>
    <row r="121" spans="1:19" x14ac:dyDescent="0.45">
      <c r="A121" s="318"/>
      <c r="B121" s="327">
        <f>IFERROR(IF(A111=0,E121,VLOOKUP(E121,Teams!$V$2:$W$19,2,FALSE)),"")</f>
        <v>0</v>
      </c>
      <c r="D121" s="327">
        <v>12</v>
      </c>
      <c r="E121" s="396"/>
      <c r="F121" s="328" t="str">
        <f>IFERROR(IF(A111=0,HLOOKUP(E121,Declarations!$D$2:$S$102,A113,FALSE),HLOOKUP(VLOOKUP(E121,Teams!$V$2:$W$19,2,FALSE),Declarations!$D$2:$S$102,A113,FALSE)),"")</f>
        <v/>
      </c>
      <c r="G121" s="328" t="str">
        <f t="shared" si="32"/>
        <v/>
      </c>
      <c r="H121" s="339"/>
      <c r="I121" s="348">
        <f t="shared" si="34"/>
        <v>0</v>
      </c>
      <c r="K121" s="324">
        <f t="shared" si="37"/>
        <v>44</v>
      </c>
      <c r="L121" s="324" t="str">
        <f>IFERROR(VLOOKUP(K121,B110:D125,3,FALSE),"")</f>
        <v/>
      </c>
      <c r="M121" s="331" t="str">
        <f>IFERROR(IF(L121=0,0,IF(OR(VLOOKUP(K121/11,$K110:$L117,2,FALSE)=0,L121&lt;=VLOOKUP(K121/11,$K110:$L117,2,FALSE)),"A","B")),"")</f>
        <v>B</v>
      </c>
      <c r="N121" s="331" t="str">
        <f>IF(M121=0,0,IF(OR(R121="",M121="B"),"",RANK(R121,R110:R125,1)))</f>
        <v/>
      </c>
      <c r="O121" s="331" t="str">
        <f>IF(M121=0,0,IF(OR(S121="",M121="A"),"",RANK(S121,S110:S125,1)))</f>
        <v/>
      </c>
      <c r="P121" s="332">
        <f t="shared" si="33"/>
        <v>44</v>
      </c>
      <c r="Q121" s="333"/>
      <c r="R121" s="334" t="str">
        <f t="shared" si="35"/>
        <v/>
      </c>
      <c r="S121" s="334" t="str">
        <f t="shared" si="36"/>
        <v/>
      </c>
    </row>
    <row r="122" spans="1:19" x14ac:dyDescent="0.45">
      <c r="A122" s="326"/>
      <c r="B122" s="327">
        <f>IFERROR(IF(A111=0,E122,VLOOKUP(E122,Teams!$V$2:$W$19,2,FALSE)),"")</f>
        <v>0</v>
      </c>
      <c r="D122" s="327">
        <v>13</v>
      </c>
      <c r="E122" s="396"/>
      <c r="F122" s="328" t="str">
        <f>IFERROR(IF(A111=0,HLOOKUP(E122,Declarations!$D$2:$S$102,A113,FALSE),HLOOKUP(VLOOKUP(E122,Teams!$V$2:$W$19,2,FALSE),Declarations!$D$2:$S$102,A113,FALSE)),"")</f>
        <v/>
      </c>
      <c r="G122" s="328" t="str">
        <f t="shared" si="32"/>
        <v/>
      </c>
      <c r="H122" s="339"/>
      <c r="I122" s="348">
        <f t="shared" si="34"/>
        <v>0</v>
      </c>
      <c r="K122" s="324">
        <f t="shared" si="37"/>
        <v>55</v>
      </c>
      <c r="L122" s="324" t="str">
        <f>IFERROR(VLOOKUP(K122,B110:D125,3,FALSE),"")</f>
        <v/>
      </c>
      <c r="M122" s="331" t="str">
        <f>IFERROR(IF(L122=0,0,IF(OR(VLOOKUP(K122/11,$K110:$L117,2,FALSE)=0,L122&lt;=VLOOKUP(K122/11,$K110:$L117,2,FALSE)),"A","B")),"")</f>
        <v>A</v>
      </c>
      <c r="N122" s="331" t="str">
        <f>IF(M122=0,0,IF(OR(R122="",M122="B"),"",RANK(R122,R110:R125,1)))</f>
        <v/>
      </c>
      <c r="O122" s="331" t="str">
        <f>IF(M122=0,0,IF(OR(S122="",M122="A"),"",RANK(S122,S110:S125,1)))</f>
        <v/>
      </c>
      <c r="P122" s="332">
        <f t="shared" si="33"/>
        <v>55</v>
      </c>
      <c r="Q122" s="333"/>
      <c r="R122" s="334" t="str">
        <f t="shared" si="35"/>
        <v/>
      </c>
      <c r="S122" s="334" t="str">
        <f t="shared" si="36"/>
        <v/>
      </c>
    </row>
    <row r="123" spans="1:19" x14ac:dyDescent="0.45">
      <c r="A123" s="319"/>
      <c r="B123" s="327">
        <f>IFERROR(IF(A111=0,E123,VLOOKUP(E123,Teams!$V$2:$W$19,2,FALSE)),"")</f>
        <v>0</v>
      </c>
      <c r="D123" s="327">
        <v>14</v>
      </c>
      <c r="E123" s="396"/>
      <c r="F123" s="328" t="str">
        <f>IFERROR(IF(A111=0,HLOOKUP(E123,Declarations!$D$2:$S$102,A113,FALSE),HLOOKUP(VLOOKUP(E123,Teams!$V$2:$W$19,2,FALSE),Declarations!$D$2:$S$102,A113,FALSE)),"")</f>
        <v/>
      </c>
      <c r="G123" s="328" t="str">
        <f t="shared" si="32"/>
        <v/>
      </c>
      <c r="H123" s="339"/>
      <c r="I123" s="348">
        <f t="shared" si="34"/>
        <v>0</v>
      </c>
      <c r="K123" s="324">
        <f t="shared" si="37"/>
        <v>66</v>
      </c>
      <c r="L123" s="324" t="str">
        <f>IFERROR(VLOOKUP(K123,B110:D125,3,FALSE),"")</f>
        <v/>
      </c>
      <c r="M123" s="331" t="str">
        <f>IFERROR(IF(L123=0,0,IF(OR(VLOOKUP(K123/11,$K110:$L117,2,FALSE)=0,L123&lt;=VLOOKUP(K123/11,$K110:$L117,2,FALSE)),"A","B")),"")</f>
        <v>A</v>
      </c>
      <c r="N123" s="331" t="str">
        <f>IF(M123=0,0,IF(OR(R123="",M123="B"),"",RANK(R123,R110:R125,1)))</f>
        <v/>
      </c>
      <c r="O123" s="331" t="str">
        <f>IF(M123=0,0,IF(OR(S123="",M123="A"),"",RANK(S123,S110:S125,1)))</f>
        <v/>
      </c>
      <c r="P123" s="332">
        <f t="shared" si="33"/>
        <v>66</v>
      </c>
      <c r="Q123" s="333"/>
      <c r="R123" s="334" t="str">
        <f t="shared" si="35"/>
        <v/>
      </c>
      <c r="S123" s="334" t="str">
        <f t="shared" si="36"/>
        <v/>
      </c>
    </row>
    <row r="124" spans="1:19" x14ac:dyDescent="0.45">
      <c r="B124" s="327">
        <f>IFERROR(IF(A111=0,E124,VLOOKUP(E124,Teams!$V$2:$W$19,2,FALSE)),"")</f>
        <v>0</v>
      </c>
      <c r="D124" s="327">
        <v>15</v>
      </c>
      <c r="E124" s="396"/>
      <c r="F124" s="328" t="str">
        <f>IFERROR(IF(A111=0,HLOOKUP(E124,Declarations!$D$2:$S$102,A113,FALSE),HLOOKUP(VLOOKUP(E124,Teams!$V$2:$W$19,2,FALSE),Declarations!$D$2:$S$102,A113,FALSE)),"")</f>
        <v/>
      </c>
      <c r="G124" s="328" t="str">
        <f t="shared" si="32"/>
        <v/>
      </c>
      <c r="H124" s="339"/>
      <c r="I124" s="348">
        <f t="shared" si="34"/>
        <v>0</v>
      </c>
      <c r="K124" s="324">
        <f t="shared" si="37"/>
        <v>77</v>
      </c>
      <c r="L124" s="324" t="str">
        <f>IFERROR(VLOOKUP(K124,B110:D125,3,FALSE),"")</f>
        <v/>
      </c>
      <c r="M124" s="331" t="str">
        <f>IFERROR(IF(L124=0,0,IF(OR(VLOOKUP(K124/11,$K110:$L117,2,FALSE)=0,L124&lt;=VLOOKUP(K124/11,$K110:$L117,2,FALSE)),"A","B")),"")</f>
        <v>A</v>
      </c>
      <c r="N124" s="331" t="str">
        <f>IF(M124=0,0,IF(OR(R124="",M124="B"),"",RANK(R124,R110:R125,1)))</f>
        <v/>
      </c>
      <c r="O124" s="331" t="str">
        <f>IF(M124=0,0,IF(OR(S124="",M124="A"),"",RANK(S124,S110:S125,1)))</f>
        <v/>
      </c>
      <c r="P124" s="332">
        <f t="shared" si="33"/>
        <v>77</v>
      </c>
      <c r="Q124" s="333"/>
      <c r="R124" s="334" t="str">
        <f t="shared" si="35"/>
        <v/>
      </c>
      <c r="S124" s="334" t="str">
        <f t="shared" si="36"/>
        <v/>
      </c>
    </row>
    <row r="125" spans="1:19" x14ac:dyDescent="0.45">
      <c r="A125" s="337"/>
      <c r="B125" s="327">
        <f>IFERROR(IF(A111=0,E125,VLOOKUP(E125,Teams!$V$2:$W$19,2,FALSE)),"")</f>
        <v>0</v>
      </c>
      <c r="D125" s="327">
        <v>16</v>
      </c>
      <c r="E125" s="396"/>
      <c r="F125" s="328" t="str">
        <f>IFERROR(IF(A111=0,HLOOKUP(E125,Declarations!$D$2:$S$102,A113,FALSE),HLOOKUP(VLOOKUP(E125,Teams!$V$2:$W$19,2,FALSE),Declarations!$D$2:$S$102,A113,FALSE)),"")</f>
        <v/>
      </c>
      <c r="G125" s="328" t="str">
        <f t="shared" si="32"/>
        <v/>
      </c>
      <c r="H125" s="339"/>
      <c r="I125" s="348">
        <f t="shared" si="34"/>
        <v>0</v>
      </c>
      <c r="K125" s="324">
        <f t="shared" si="37"/>
        <v>88</v>
      </c>
      <c r="L125" s="324" t="str">
        <f>IFERROR(VLOOKUP(K125,B110:D125,3,FALSE),"")</f>
        <v/>
      </c>
      <c r="M125" s="331" t="str">
        <f>IFERROR(IF(L125=0,0,IF(OR(VLOOKUP(K125/11,$K110:$L117,2,FALSE)=0,L125&lt;=VLOOKUP(K125/11,$K110:$L117,2,FALSE)),"A","B")),"")</f>
        <v>A</v>
      </c>
      <c r="N125" s="331" t="str">
        <f>IF(M125=0,0,IF(OR(R125="",M125="B"),"",RANK(R125,R110:R125,1)))</f>
        <v/>
      </c>
      <c r="O125" s="331" t="str">
        <f>IF(M125=0,0,IF(OR(S125="",M125="A"),"",RANK(S125,S110:S125,1)))</f>
        <v/>
      </c>
      <c r="P125" s="332">
        <f t="shared" si="33"/>
        <v>88</v>
      </c>
      <c r="Q125" s="333"/>
      <c r="R125" s="334" t="str">
        <f t="shared" si="35"/>
        <v/>
      </c>
      <c r="S125" s="334" t="str">
        <f t="shared" si="36"/>
        <v/>
      </c>
    </row>
    <row r="126" spans="1:19" hidden="1" x14ac:dyDescent="0.45">
      <c r="A126" s="337"/>
    </row>
    <row r="127" spans="1:19" ht="15.4" hidden="1" x14ac:dyDescent="0.45">
      <c r="A127" s="337"/>
      <c r="B127" s="327"/>
      <c r="C127" s="324" t="s">
        <v>53</v>
      </c>
      <c r="D127" s="324">
        <v>1</v>
      </c>
      <c r="E127" s="397">
        <f>IFERROR(IF(E110&gt;88,E110,IF(A111=0,VLOOKUP(D127,N110:Q125,3,FALSE),VLOOKUP(D127,N110:Q125,4,FALSE))),0)</f>
        <v>4</v>
      </c>
      <c r="F127" s="328" t="str">
        <f ca="1">IFERROR(VLOOKUP(E127,E110:F125,2,FALSE),"")</f>
        <v>SAYERS James</v>
      </c>
      <c r="G127" s="328" t="str">
        <f>IFERROR(VLOOKUP(E127,teamlookup,5,FALSE),"")</f>
        <v>M'bro</v>
      </c>
      <c r="H127" s="349">
        <f>IFERROR(VLOOKUP(E127,E110:I125,5,FALSE),"")</f>
        <v>3.4699074074074068E-3</v>
      </c>
      <c r="I127" s="348"/>
      <c r="K127" s="338"/>
    </row>
    <row r="128" spans="1:19" hidden="1" x14ac:dyDescent="0.45">
      <c r="A128" s="337"/>
      <c r="B128" s="327"/>
      <c r="D128" s="324">
        <v>2</v>
      </c>
      <c r="E128" s="397">
        <f>IFERROR(IF(A111=0,VLOOKUP(D128,N110:Q125,3,FALSE),VLOOKUP(D128,N110:Q125,4,FALSE)),"")</f>
        <v>3</v>
      </c>
      <c r="F128" s="328" t="str">
        <f ca="1">IFERROR(VLOOKUP(E128,E110:F125,2,FALSE),"")</f>
        <v>BRATLEY Jack</v>
      </c>
      <c r="G128" s="328" t="str">
        <f t="shared" ref="G128:G134" si="38">IFERROR(VLOOKUP(E128,teamlookup,5,FALSE),"")</f>
        <v>York</v>
      </c>
      <c r="H128" s="349">
        <f>IFERROR(VLOOKUP(E128,E110:I125,5,FALSE),"")</f>
        <v>3.5405092592592597E-3</v>
      </c>
      <c r="I128" s="348"/>
    </row>
    <row r="129" spans="1:9" hidden="1" x14ac:dyDescent="0.45">
      <c r="A129" s="319"/>
      <c r="B129" s="327"/>
      <c r="D129" s="324">
        <v>3</v>
      </c>
      <c r="E129" s="397">
        <f>IFERROR(IF(A111=0,VLOOKUP(D129,N110:Q125,3,FALSE),VLOOKUP(D129,N110:Q125,4,FALSE)),"")</f>
        <v>2</v>
      </c>
      <c r="F129" s="328" t="str">
        <f ca="1">IFERROR(VLOOKUP(E129,E110:F125,2,FALSE),"")</f>
        <v>COLLINI Joseph</v>
      </c>
      <c r="G129" s="328" t="str">
        <f t="shared" si="38"/>
        <v>Sheff+D</v>
      </c>
      <c r="H129" s="349">
        <f>IFERROR(VLOOKUP(E129,E110:I125,5,FALSE),"")</f>
        <v>3.6724537037037038E-3</v>
      </c>
      <c r="I129" s="348"/>
    </row>
    <row r="130" spans="1:9" hidden="1" x14ac:dyDescent="0.45">
      <c r="A130" s="319"/>
      <c r="B130" s="327"/>
      <c r="D130" s="324">
        <v>4</v>
      </c>
      <c r="E130" s="397">
        <f>IFERROR(IF(A111=0,VLOOKUP(D130,N110:Q125,3,FALSE),VLOOKUP(D130,N110:Q125,4,FALSE)),"")</f>
        <v>1</v>
      </c>
      <c r="F130" s="328" t="str">
        <f ca="1">IFERROR(VLOOKUP(E130,E110:F125,2,FALSE),"")</f>
        <v>BETTNEY Thomas</v>
      </c>
      <c r="G130" s="328" t="str">
        <f t="shared" si="38"/>
        <v>C'field</v>
      </c>
      <c r="H130" s="349">
        <f>IFERROR(VLOOKUP(E130,E110:I125,5,FALSE),"")</f>
        <v>4.0428240740740745E-3</v>
      </c>
      <c r="I130" s="348"/>
    </row>
    <row r="131" spans="1:9" hidden="1" x14ac:dyDescent="0.45">
      <c r="B131" s="327"/>
      <c r="D131" s="324">
        <v>5</v>
      </c>
      <c r="E131" s="397" t="str">
        <f>IFERROR(IF(A111=0,VLOOKUP(D131,N110:Q125,3,FALSE),VLOOKUP(D131,N110:Q125,4,FALSE)),"")</f>
        <v/>
      </c>
      <c r="F131" s="328" t="str">
        <f>IFERROR(VLOOKUP(E131,E110:F125,2,FALSE),"")</f>
        <v/>
      </c>
      <c r="G131" s="328" t="str">
        <f t="shared" si="38"/>
        <v/>
      </c>
      <c r="H131" s="349" t="str">
        <f>IFERROR(VLOOKUP(E131,E110:I125,5,FALSE),"")</f>
        <v/>
      </c>
      <c r="I131" s="348"/>
    </row>
    <row r="132" spans="1:9" hidden="1" x14ac:dyDescent="0.45">
      <c r="A132" s="318"/>
      <c r="B132" s="327"/>
      <c r="D132" s="324">
        <v>6</v>
      </c>
      <c r="E132" s="397" t="str">
        <f>IFERROR(IF(A111=0,VLOOKUP(D132,N110:Q125,3,FALSE),VLOOKUP(D132,N110:Q125,4,FALSE)),"")</f>
        <v/>
      </c>
      <c r="F132" s="328" t="str">
        <f>IFERROR(VLOOKUP(E132,E110:F125,2,FALSE),"")</f>
        <v/>
      </c>
      <c r="G132" s="328" t="str">
        <f t="shared" si="38"/>
        <v/>
      </c>
      <c r="H132" s="349" t="str">
        <f>IFERROR(VLOOKUP(E132,E110:I125,5,FALSE),"")</f>
        <v/>
      </c>
      <c r="I132" s="348"/>
    </row>
    <row r="133" spans="1:9" hidden="1" x14ac:dyDescent="0.45">
      <c r="A133" s="326"/>
      <c r="B133" s="327"/>
      <c r="D133" s="324">
        <v>7</v>
      </c>
      <c r="E133" s="397" t="str">
        <f>IFERROR(IF(A111=0,VLOOKUP(D133,N110:Q125,3,FALSE),VLOOKUP(D133,N110:Q125,4,FALSE)),"")</f>
        <v/>
      </c>
      <c r="F133" s="328" t="str">
        <f>IFERROR(VLOOKUP(E133,E110:F125,2,FALSE),"")</f>
        <v/>
      </c>
      <c r="G133" s="328" t="str">
        <f t="shared" si="38"/>
        <v/>
      </c>
      <c r="H133" s="349" t="str">
        <f>IFERROR(VLOOKUP(E133,E110:I125,5,FALSE),"")</f>
        <v/>
      </c>
      <c r="I133" s="348"/>
    </row>
    <row r="134" spans="1:9" hidden="1" x14ac:dyDescent="0.45">
      <c r="A134" s="319"/>
      <c r="B134" s="327"/>
      <c r="D134" s="324">
        <v>8</v>
      </c>
      <c r="E134" s="397" t="str">
        <f>IFERROR(IF(A111=0,VLOOKUP(D134,N110:Q125,3,FALSE),VLOOKUP(D134,N110:Q125,4,FALSE)),"")</f>
        <v/>
      </c>
      <c r="F134" s="328" t="str">
        <f>IFERROR(VLOOKUP(E134,E110:F125,2,FALSE),"")</f>
        <v/>
      </c>
      <c r="G134" s="328" t="str">
        <f t="shared" si="38"/>
        <v/>
      </c>
      <c r="H134" s="349" t="str">
        <f>IFERROR(VLOOKUP(E134,E110:I125,5,FALSE),"")</f>
        <v/>
      </c>
      <c r="I134" s="348"/>
    </row>
    <row r="135" spans="1:9" hidden="1" x14ac:dyDescent="0.45">
      <c r="F135" s="328"/>
      <c r="H135" s="350"/>
      <c r="I135" s="348">
        <f t="shared" ref="I135" si="39">IFERROR(IF(LEFT(H135,1)="D",H135,(INT(H135)*60+(H135-INT(H135))*100)/86400),"X")</f>
        <v>0</v>
      </c>
    </row>
    <row r="136" spans="1:9" hidden="1" x14ac:dyDescent="0.45">
      <c r="A136" s="337"/>
      <c r="B136" s="327"/>
      <c r="C136" s="324" t="s">
        <v>54</v>
      </c>
      <c r="D136" s="324">
        <v>1</v>
      </c>
      <c r="E136" s="397">
        <f>IFERROR(IF(A111=0,VLOOKUP(D136,O110:Q125,2,FALSE),VLOOKUP(D136,O110:Q125,3,FALSE)),"")</f>
        <v>33</v>
      </c>
      <c r="F136" s="328" t="str">
        <f ca="1">IFERROR(VLOOKUP(E136,E110:F125,2,FALSE),"")</f>
        <v>HENSON Isaac</v>
      </c>
      <c r="G136" s="328" t="str">
        <f t="shared" ref="G136:G143" si="40">IFERROR(VLOOKUP(E136,teamlookup,5,FALSE),"")</f>
        <v>York</v>
      </c>
      <c r="H136" s="349">
        <f>IFERROR(VLOOKUP(E136,E110:I125,5,FALSE),"")</f>
        <v>3.7037037037037038E-3</v>
      </c>
      <c r="I136" s="348"/>
    </row>
    <row r="137" spans="1:9" hidden="1" x14ac:dyDescent="0.45">
      <c r="A137" s="337"/>
      <c r="B137" s="327"/>
      <c r="D137" s="324">
        <v>2</v>
      </c>
      <c r="E137" s="397" t="str">
        <f>IFERROR(IF(A111=0,VLOOKUP(D137,O110:Q125,2,FALSE),VLOOKUP(D137,O110:Q125,3,FALSE)),"")</f>
        <v/>
      </c>
      <c r="F137" s="328" t="str">
        <f>IFERROR(VLOOKUP(E137,E110:F125,2,FALSE),"")</f>
        <v/>
      </c>
      <c r="G137" s="328" t="str">
        <f t="shared" si="40"/>
        <v/>
      </c>
      <c r="H137" s="349" t="str">
        <f>IFERROR(VLOOKUP(E137,E110:I125,5,FALSE),"")</f>
        <v/>
      </c>
      <c r="I137" s="348"/>
    </row>
    <row r="138" spans="1:9" hidden="1" x14ac:dyDescent="0.45">
      <c r="A138" s="337"/>
      <c r="B138" s="327"/>
      <c r="D138" s="324">
        <v>3</v>
      </c>
      <c r="E138" s="397" t="str">
        <f>IFERROR(IF(A111=0,VLOOKUP(D138,O110:Q125,2,FALSE),VLOOKUP(D138,O110:Q125,3,FALSE)),"")</f>
        <v/>
      </c>
      <c r="F138" s="328" t="str">
        <f>IFERROR(VLOOKUP(E138,E110:F125,2,FALSE),"")</f>
        <v/>
      </c>
      <c r="G138" s="328" t="str">
        <f t="shared" si="40"/>
        <v/>
      </c>
      <c r="H138" s="349" t="str">
        <f>IFERROR(VLOOKUP(E138,E110:I125,5,FALSE),"")</f>
        <v/>
      </c>
      <c r="I138" s="348"/>
    </row>
    <row r="139" spans="1:9" hidden="1" x14ac:dyDescent="0.45">
      <c r="A139" s="337"/>
      <c r="B139" s="327"/>
      <c r="D139" s="324">
        <v>4</v>
      </c>
      <c r="E139" s="397" t="str">
        <f>IFERROR(IF(A111=0,VLOOKUP(D139,O110:Q125,2,FALSE),VLOOKUP(D139,O110:Q125,3,FALSE)),"")</f>
        <v/>
      </c>
      <c r="F139" s="328" t="str">
        <f>IFERROR(VLOOKUP(E139,E110:F125,2,FALSE),"")</f>
        <v/>
      </c>
      <c r="G139" s="328" t="str">
        <f t="shared" si="40"/>
        <v/>
      </c>
      <c r="H139" s="349" t="str">
        <f>IFERROR(VLOOKUP(E139,E110:I125,5,FALSE),"")</f>
        <v/>
      </c>
      <c r="I139" s="348"/>
    </row>
    <row r="140" spans="1:9" hidden="1" x14ac:dyDescent="0.45">
      <c r="A140" s="319"/>
      <c r="B140" s="327"/>
      <c r="D140" s="324">
        <v>5</v>
      </c>
      <c r="E140" s="397" t="str">
        <f>IFERROR(IF(A111=0,VLOOKUP(D140,O110:Q125,2,FALSE),VLOOKUP(D140,O110:Q125,3,FALSE)),"")</f>
        <v/>
      </c>
      <c r="F140" s="328" t="str">
        <f>IFERROR(VLOOKUP(E140,E110:F125,2,FALSE),"")</f>
        <v/>
      </c>
      <c r="G140" s="328" t="str">
        <f t="shared" si="40"/>
        <v/>
      </c>
      <c r="H140" s="349" t="str">
        <f>IFERROR(VLOOKUP(E140,E110:I125,5,FALSE),"")</f>
        <v/>
      </c>
      <c r="I140" s="348"/>
    </row>
    <row r="141" spans="1:9" hidden="1" x14ac:dyDescent="0.45">
      <c r="A141" s="319"/>
      <c r="B141" s="327"/>
      <c r="D141" s="324">
        <v>6</v>
      </c>
      <c r="E141" s="397" t="str">
        <f>IFERROR(IF(A111=0,VLOOKUP(D141,O110:Q125,2,FALSE),VLOOKUP(D141,O110:Q125,3,FALSE)),"")</f>
        <v/>
      </c>
      <c r="F141" s="328" t="str">
        <f>IFERROR(VLOOKUP(E141,E110:F125,2,FALSE),"")</f>
        <v/>
      </c>
      <c r="G141" s="328" t="str">
        <f t="shared" si="40"/>
        <v/>
      </c>
      <c r="H141" s="349" t="str">
        <f>IFERROR(VLOOKUP(E141,E110:I125,5,FALSE),"")</f>
        <v/>
      </c>
      <c r="I141" s="348"/>
    </row>
    <row r="142" spans="1:9" hidden="1" x14ac:dyDescent="0.45">
      <c r="B142" s="327"/>
      <c r="D142" s="324">
        <v>7</v>
      </c>
      <c r="E142" s="397" t="str">
        <f>IFERROR(IF(A111=0,VLOOKUP(D142,O110:Q125,2,FALSE),VLOOKUP(D142,O110:Q125,3,FALSE)),"")</f>
        <v/>
      </c>
      <c r="F142" s="328" t="str">
        <f>IFERROR(VLOOKUP(E142,E110:F125,2,FALSE),"")</f>
        <v/>
      </c>
      <c r="G142" s="328" t="str">
        <f t="shared" si="40"/>
        <v/>
      </c>
      <c r="H142" s="349" t="str">
        <f>IFERROR(VLOOKUP(E142,E110:I125,5,FALSE),"")</f>
        <v/>
      </c>
      <c r="I142" s="348"/>
    </row>
    <row r="143" spans="1:9" hidden="1" x14ac:dyDescent="0.45">
      <c r="A143" s="318"/>
      <c r="B143" s="327"/>
      <c r="D143" s="324">
        <v>8</v>
      </c>
      <c r="E143" s="397" t="str">
        <f>IFERROR(IF(A111=0,VLOOKUP(D143,O110:Q125,2,FALSE),VLOOKUP(D143,O110:Q125,3,FALSE)),"")</f>
        <v/>
      </c>
      <c r="F143" s="328" t="str">
        <f>IFERROR(VLOOKUP(E143,E110:F125,2,FALSE),"")</f>
        <v/>
      </c>
      <c r="G143" s="328" t="str">
        <f t="shared" si="40"/>
        <v/>
      </c>
      <c r="H143" s="349" t="str">
        <f>IFERROR(VLOOKUP(E143,E110:I125,5,FALSE),"")</f>
        <v/>
      </c>
      <c r="I143" s="348"/>
    </row>
    <row r="145" spans="1:1" x14ac:dyDescent="0.45">
      <c r="A145" s="337"/>
    </row>
  </sheetData>
  <sheetProtection algorithmName="SHA-512" hashValue="eJhQWaZkE5M90IIJDSB1wBAvigJMnLXHpS6OeiAD4aH9+nzMBXK0S8/HCNdwQrKq5oufefEtkzjPwb8gmgsTpQ==" saltValue="3DngBJ3zFoBDvxhxgQsoLg==" spinCount="100000" sheet="1" objects="1" scenarios="1" formatCells="0" formatColumns="0" formatRows="0" sort="0" autoFilter="0"/>
  <conditionalFormatting sqref="E2:E17">
    <cfRule type="duplicateValues" dxfId="55" priority="23"/>
    <cfRule type="duplicateValues" dxfId="54" priority="24"/>
  </conditionalFormatting>
  <conditionalFormatting sqref="E38:E53">
    <cfRule type="duplicateValues" dxfId="53" priority="21"/>
    <cfRule type="duplicateValues" dxfId="52" priority="22"/>
  </conditionalFormatting>
  <conditionalFormatting sqref="E74:E89">
    <cfRule type="duplicateValues" dxfId="51" priority="19"/>
    <cfRule type="duplicateValues" dxfId="50" priority="20"/>
  </conditionalFormatting>
  <conditionalFormatting sqref="E110:E125">
    <cfRule type="duplicateValues" dxfId="49" priority="17"/>
    <cfRule type="duplicateValues" dxfId="48" priority="18"/>
  </conditionalFormatting>
  <conditionalFormatting sqref="H1:H125">
    <cfRule type="expression" dxfId="47" priority="1">
      <formula>AND($I1&gt;0,$I1&lt;TIME(0,1,0))</formula>
    </cfRule>
    <cfRule type="expression" dxfId="46" priority="2">
      <formula>$I1="X"</formula>
    </cfRule>
  </conditionalFormatting>
  <dataValidations xWindow="522" yWindow="302" count="3">
    <dataValidation type="custom" allowBlank="1" showInputMessage="1" showErrorMessage="1" sqref="H3 H15:H17 H5 H7 H121 H11 H13 H39 H51:H53 H41 H43 H45 H47 H49 H75 H87:H89 H77 H79 H81 H83 H85 H111 H123:H125 H113 H115 H117 H119" xr:uid="{00000000-0002-0000-0F00-000000000000}">
      <formula1>H3&gt;=H2</formula1>
    </dataValidation>
    <dataValidation type="list" allowBlank="1" showInputMessage="1" showErrorMessage="1" errorTitle="Entry Invalid" error="Bib entered is not one of those allocated to today's teams or has already been used for this event.  Please re-enter" sqref="E2:E17 E38:E53 E74:E89 E110:E125" xr:uid="{00000000-0002-0000-0F00-000001000000}">
      <formula1>numbers_</formula1>
    </dataValidation>
    <dataValidation allowBlank="1" showInputMessage="1" errorTitle="Incorrect Format" error="Simply use format m.ssss e.g. 8.5144 or 12.1185_x000a_so no colon, no semi colon and NO decimal point between the seconds and hundredths of seconds" promptTitle="Format for Middle Distance" prompt="Simply use format m.ssss e.g. 4.5144 or 6.1185_x000a_so no colon and NO decimal point between the seconds" sqref="H2 H38 H74 H110" xr:uid="{00000000-0002-0000-0F00-000002000000}"/>
  </dataValidations>
  <pageMargins left="0.75" right="0.75" top="1" bottom="1" header="0.5" footer="0.5"/>
  <pageSetup paperSize="9" orientation="portrait" verticalDpi="96"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7" tint="-0.249977111117893"/>
  </sheetPr>
  <dimension ref="A2:AK135"/>
  <sheetViews>
    <sheetView showZeros="0" topLeftCell="F97" workbookViewId="0">
      <selection activeCell="M112" sqref="M112"/>
    </sheetView>
  </sheetViews>
  <sheetFormatPr defaultColWidth="8.86328125" defaultRowHeight="13.9" x14ac:dyDescent="0.45"/>
  <cols>
    <col min="1" max="1" width="6.86328125" style="62" hidden="1" customWidth="1"/>
    <col min="2" max="2" width="4.86328125" style="62" customWidth="1"/>
    <col min="3" max="3" width="4.86328125" style="59" customWidth="1"/>
    <col min="4" max="4" width="20.86328125" style="59" customWidth="1"/>
    <col min="5" max="5" width="7.86328125" style="59" customWidth="1"/>
    <col min="6" max="6" width="7.86328125" style="63" customWidth="1"/>
    <col min="7" max="7" width="2.86328125" style="59" customWidth="1"/>
    <col min="8" max="8" width="6.86328125" style="62" hidden="1" customWidth="1"/>
    <col min="9" max="10" width="4.86328125" style="59" customWidth="1"/>
    <col min="11" max="11" width="20.86328125" style="59" customWidth="1"/>
    <col min="12" max="12" width="8.86328125" style="59"/>
    <col min="13" max="13" width="7.86328125" style="62" customWidth="1"/>
    <col min="14" max="14" width="2.86328125" style="59" customWidth="1"/>
    <col min="15" max="15" width="6.86328125" style="62" hidden="1" customWidth="1"/>
    <col min="16" max="17" width="4.86328125" style="59" customWidth="1"/>
    <col min="18" max="18" width="20.86328125" style="59" customWidth="1"/>
    <col min="19" max="19" width="8.86328125" style="59"/>
    <col min="20" max="21" width="7.86328125" style="62" customWidth="1"/>
    <col min="22" max="24" width="8.86328125" style="59" hidden="1" customWidth="1"/>
    <col min="25" max="26" width="4.86328125" style="62" hidden="1" customWidth="1"/>
    <col min="27" max="31" width="8.86328125" style="59" hidden="1" customWidth="1"/>
    <col min="32" max="32" width="8.86328125" style="59" customWidth="1"/>
    <col min="33" max="16384" width="8.86328125" style="59"/>
  </cols>
  <sheetData>
    <row r="2" spans="1:37" x14ac:dyDescent="0.45">
      <c r="A2" s="32" t="str">
        <f>IFERROR(IF(LEFT(MatchDay!$C$2,1)="L","L"&amp;A3,"U"&amp;A3),"")</f>
        <v>LFD01</v>
      </c>
      <c r="B2" s="107" t="str">
        <f>IFERROR(VLOOKUP(A2,Timetables!$A:$G,3,FALSE)&amp;" "&amp;VLOOKUP(A2,Timetables!$A:$G,2,FALSE),"")</f>
        <v>U15 Boys Hammer</v>
      </c>
      <c r="H2" s="32" t="str">
        <f>IFERROR(IF(LEFT(MatchDay!$C$2,1)="L","L"&amp;H3,"U"&amp;H3),"")</f>
        <v>LFD02</v>
      </c>
      <c r="I2" s="107" t="str">
        <f>IFERROR(VLOOKUP(H2,Timetables!$A:$G,3,FALSE)&amp;" "&amp;VLOOKUP(H2,Timetables!$A:$G,2,FALSE),"")</f>
        <v>U15 Girls Hammer</v>
      </c>
      <c r="M2" s="63"/>
      <c r="O2" s="32" t="str">
        <f>IFERROR(IF(LEFT(MatchDay!$C$2,1)="L","L"&amp;O3,"U"&amp;O3),"")</f>
        <v>LFW01</v>
      </c>
      <c r="P2" s="107" t="str">
        <f>IFERROR(VLOOKUP(O2,Timetables!$A:$G,3,FALSE)&amp;" "&amp;VLOOKUP(O2,Timetables!$A:$G,2,FALSE),"")</f>
        <v>U13 Boys Long Jump</v>
      </c>
      <c r="T2" s="63"/>
    </row>
    <row r="3" spans="1:37" x14ac:dyDescent="0.45">
      <c r="A3" s="33" t="s">
        <v>256</v>
      </c>
      <c r="B3" s="62" t="s">
        <v>163</v>
      </c>
      <c r="C3" s="62" t="s">
        <v>159</v>
      </c>
      <c r="D3" s="59" t="s">
        <v>227</v>
      </c>
      <c r="E3" s="59" t="s">
        <v>228</v>
      </c>
      <c r="F3" s="63" t="s">
        <v>229</v>
      </c>
      <c r="H3" s="33" t="s">
        <v>257</v>
      </c>
      <c r="I3" s="62" t="s">
        <v>163</v>
      </c>
      <c r="J3" s="62" t="s">
        <v>159</v>
      </c>
      <c r="K3" s="59" t="s">
        <v>227</v>
      </c>
      <c r="L3" s="59" t="s">
        <v>228</v>
      </c>
      <c r="M3" s="63" t="s">
        <v>229</v>
      </c>
      <c r="O3" s="33" t="s">
        <v>301</v>
      </c>
      <c r="P3" s="62" t="s">
        <v>163</v>
      </c>
      <c r="Q3" s="62" t="s">
        <v>159</v>
      </c>
      <c r="R3" s="59" t="s">
        <v>227</v>
      </c>
      <c r="S3" s="59" t="s">
        <v>228</v>
      </c>
      <c r="T3" s="63" t="s">
        <v>229</v>
      </c>
      <c r="U3" s="62" t="s">
        <v>259</v>
      </c>
      <c r="X3" s="59" t="s">
        <v>256</v>
      </c>
      <c r="Y3" s="62" t="s">
        <v>224</v>
      </c>
      <c r="Z3" s="62">
        <v>4</v>
      </c>
    </row>
    <row r="4" spans="1:37" x14ac:dyDescent="0.45">
      <c r="A4" s="62" t="s">
        <v>224</v>
      </c>
      <c r="B4" s="62">
        <v>1</v>
      </c>
      <c r="C4" s="34">
        <f>IFERROR(IF(B4&gt;MatchDay!$U$2,"-",VLOOKUP(A2,timetables,MatchDay!$U$4,FALSE)),0)</f>
        <v>4</v>
      </c>
      <c r="D4" s="59" t="str">
        <f ca="1">IFERROR(HLOOKUP(C4,Declarations!$D$2:$S$102,$A6,FALSE),"")</f>
        <v>BELL Callum</v>
      </c>
      <c r="E4" s="36" t="str">
        <f t="shared" ref="E4:E19" si="0">IFERROR(VLOOKUP(C4,teamlookup,5,FALSE),"-")</f>
        <v>M'bro</v>
      </c>
      <c r="F4" s="360">
        <v>11.39</v>
      </c>
      <c r="H4" s="62" t="s">
        <v>222</v>
      </c>
      <c r="I4" s="62">
        <v>1</v>
      </c>
      <c r="J4" s="34">
        <f>IFERROR(IF(I4&gt;MatchDay!$U$2,"-",VLOOKUP(H2,timetables,MatchDay!$U$4,FALSE)),0)</f>
        <v>4</v>
      </c>
      <c r="K4" s="59" t="str">
        <f ca="1">IFERROR(HLOOKUP(J4,Declarations!$D$2:$S$102,$H6,FALSE),"")</f>
        <v>-</v>
      </c>
      <c r="L4" s="36" t="str">
        <f t="shared" ref="L4:L19" si="1">IFERROR(VLOOKUP(J4,teamlookup,5,FALSE),"-")</f>
        <v>M'bro</v>
      </c>
      <c r="M4" s="360"/>
      <c r="O4" s="62" t="s">
        <v>212</v>
      </c>
      <c r="P4" s="62">
        <v>1</v>
      </c>
      <c r="Q4" s="34">
        <f>IFERROR(IF(P4&gt;MatchDay!$U$2,"-",VLOOKUP(O2,timetables,MatchDay!$U$4,FALSE)),0)</f>
        <v>1</v>
      </c>
      <c r="R4" s="59" t="str">
        <f ca="1">IFERROR(HLOOKUP(Q4,Declarations!$D$2:$S$102,$O6,FALSE),"")</f>
        <v>GASKIN Nathanael</v>
      </c>
      <c r="S4" s="36" t="str">
        <f t="shared" ref="S4:S19" si="2">IFERROR(VLOOKUP(Q4,teamlookup,5,FALSE),"-")</f>
        <v>C'field</v>
      </c>
      <c r="T4" s="360">
        <v>3.81</v>
      </c>
      <c r="U4" s="421"/>
      <c r="X4" s="59" t="s">
        <v>257</v>
      </c>
      <c r="Y4" s="62" t="s">
        <v>222</v>
      </c>
      <c r="Z4" s="62">
        <v>4</v>
      </c>
      <c r="AK4" s="59" t="str">
        <f>T(97)</f>
        <v/>
      </c>
    </row>
    <row r="5" spans="1:37" x14ac:dyDescent="0.45">
      <c r="A5" s="62">
        <v>4</v>
      </c>
      <c r="B5" s="62">
        <v>2</v>
      </c>
      <c r="C5" s="34">
        <f>IFERROR(IF(B5&gt;MatchDay!$U$2,"-",VLOOKUP(A2,timetables,MatchDay!$U$4+1,FALSE)),0)</f>
        <v>5</v>
      </c>
      <c r="D5" s="59" t="str">
        <f ca="1">IFERROR(HLOOKUP(C5,Declarations!$D$2:$S$102,$A6,FALSE),"")</f>
        <v>-</v>
      </c>
      <c r="E5" s="36" t="str">
        <f t="shared" si="0"/>
        <v>Scun</v>
      </c>
      <c r="F5" s="360"/>
      <c r="H5" s="62">
        <f>A5</f>
        <v>4</v>
      </c>
      <c r="I5" s="62">
        <v>2</v>
      </c>
      <c r="J5" s="34">
        <f>IFERROR(IF(I5&gt;MatchDay!$U$2,"-",VLOOKUP(H2,timetables,MatchDay!$U$4+1,FALSE)),0)</f>
        <v>5</v>
      </c>
      <c r="K5" s="59" t="str">
        <f ca="1">IFERROR(HLOOKUP(J5,Declarations!$D$2:$S$102,$H6,FALSE),"")</f>
        <v>LOVE Katie</v>
      </c>
      <c r="L5" s="36" t="str">
        <f t="shared" si="1"/>
        <v>Scun</v>
      </c>
      <c r="M5" s="360">
        <v>30.77</v>
      </c>
      <c r="O5" s="62">
        <f>A5</f>
        <v>4</v>
      </c>
      <c r="P5" s="62">
        <v>2</v>
      </c>
      <c r="Q5" s="34">
        <f>IFERROR(IF(P5&gt;MatchDay!$U$2,"-",VLOOKUP(O2,timetables,MatchDay!$U$4+1,FALSE)),0)</f>
        <v>5</v>
      </c>
      <c r="R5" s="59" t="str">
        <f ca="1">IFERROR(HLOOKUP(Q5,Declarations!$D$2:$S$102,$O6,FALSE),"")</f>
        <v>LANGTON Cody</v>
      </c>
      <c r="S5" s="36" t="str">
        <f t="shared" si="2"/>
        <v>Scun</v>
      </c>
      <c r="T5" s="360">
        <v>3.27</v>
      </c>
      <c r="U5" s="421"/>
      <c r="X5" s="59" t="s">
        <v>258</v>
      </c>
      <c r="Y5" s="62" t="s">
        <v>224</v>
      </c>
      <c r="Z5" s="62">
        <v>23</v>
      </c>
    </row>
    <row r="6" spans="1:37" x14ac:dyDescent="0.45">
      <c r="A6" s="181">
        <f>IFERROR(VLOOKUP(A2,Timetables!$A:$E,5,FALSE)-1,"")</f>
        <v>65</v>
      </c>
      <c r="B6" s="62">
        <v>3</v>
      </c>
      <c r="C6" s="34">
        <f>IFERROR(IF(B6&gt;MatchDay!$U$2,"-",VLOOKUP(A2,timetables,MatchDay!$U$4+2,FALSE)),0)</f>
        <v>1</v>
      </c>
      <c r="D6" s="59" t="str">
        <f ca="1">IFERROR(HLOOKUP(C6,Declarations!$D$2:$S$102,$A6,FALSE),"")</f>
        <v>PEERS-WAIN Jacob</v>
      </c>
      <c r="E6" s="36" t="str">
        <f t="shared" si="0"/>
        <v>C'field</v>
      </c>
      <c r="F6" s="360">
        <v>11.92</v>
      </c>
      <c r="H6" s="181">
        <f>IFERROR(VLOOKUP(H2,Timetables!$A:$E,5,FALSE)-1,"")</f>
        <v>15</v>
      </c>
      <c r="I6" s="62">
        <v>3</v>
      </c>
      <c r="J6" s="34">
        <f>IFERROR(IF(I6&gt;MatchDay!$U$2,"-",VLOOKUP(H2,timetables,MatchDay!$U$4+2,FALSE)),0)</f>
        <v>1</v>
      </c>
      <c r="K6" s="59" t="str">
        <f ca="1">IFERROR(HLOOKUP(J6,Declarations!$D$2:$S$102,$H6,FALSE),"")</f>
        <v>LABAN Ella</v>
      </c>
      <c r="L6" s="36" t="str">
        <f t="shared" si="1"/>
        <v>C'field</v>
      </c>
      <c r="M6" s="360">
        <v>19.600000000000001</v>
      </c>
      <c r="O6" s="181">
        <f>IFERROR(VLOOKUP(O2,Timetables!$A:$E,5,FALSE)-1,"")</f>
        <v>93</v>
      </c>
      <c r="P6" s="62">
        <v>3</v>
      </c>
      <c r="Q6" s="34">
        <f>IFERROR(IF(P6&gt;MatchDay!$U$2,"-",VLOOKUP(O2,timetables,MatchDay!$U$4+2,FALSE)),0)</f>
        <v>4</v>
      </c>
      <c r="R6" s="59" t="str">
        <f ca="1">IFERROR(HLOOKUP(Q6,Declarations!$D$2:$S$102,$O6,FALSE),"")</f>
        <v>BAKER Edward</v>
      </c>
      <c r="S6" s="36" t="str">
        <f t="shared" si="2"/>
        <v>M'bro</v>
      </c>
      <c r="T6" s="360">
        <v>3.19</v>
      </c>
      <c r="U6" s="421"/>
      <c r="X6" s="59" t="s">
        <v>260</v>
      </c>
      <c r="Y6" s="62" t="s">
        <v>222</v>
      </c>
      <c r="Z6" s="62">
        <v>23</v>
      </c>
    </row>
    <row r="7" spans="1:37" x14ac:dyDescent="0.45">
      <c r="B7" s="62">
        <v>4</v>
      </c>
      <c r="C7" s="34">
        <f>IFERROR(IF(B7&gt;MatchDay!$U$2,"-",VLOOKUP(A2,timetables,MatchDay!$U$4+3,FALSE)),0)</f>
        <v>3</v>
      </c>
      <c r="D7" s="59" t="str">
        <f ca="1">IFERROR(HLOOKUP(C7,Declarations!$D$2:$S$102,$A6,FALSE),"")</f>
        <v>MEIGH William</v>
      </c>
      <c r="E7" s="36" t="str">
        <f t="shared" si="0"/>
        <v>York</v>
      </c>
      <c r="F7" s="360">
        <v>14.53</v>
      </c>
      <c r="I7" s="62">
        <v>4</v>
      </c>
      <c r="J7" s="34">
        <f>IFERROR(IF(I7&gt;MatchDay!$U$2,"-",VLOOKUP(H2,timetables,MatchDay!$U$4+3,FALSE)),0)</f>
        <v>3</v>
      </c>
      <c r="K7" s="59" t="str">
        <f ca="1">IFERROR(HLOOKUP(J7,Declarations!$D$2:$S$102,$H6,FALSE),"")</f>
        <v>-</v>
      </c>
      <c r="L7" s="36" t="str">
        <f t="shared" si="1"/>
        <v>York</v>
      </c>
      <c r="M7" s="360"/>
      <c r="P7" s="62">
        <v>4</v>
      </c>
      <c r="Q7" s="34">
        <f>IFERROR(IF(P7&gt;MatchDay!$U$2,"-",VLOOKUP(O2,timetables,MatchDay!$U$4+3,FALSE)),0)</f>
        <v>2</v>
      </c>
      <c r="R7" s="59" t="str">
        <f ca="1">IFERROR(HLOOKUP(Q7,Declarations!$D$2:$S$102,$O6,FALSE),"")</f>
        <v>CONNELLY George</v>
      </c>
      <c r="S7" s="36" t="str">
        <f t="shared" si="2"/>
        <v>Sheff+D</v>
      </c>
      <c r="T7" s="360">
        <v>4.22</v>
      </c>
      <c r="U7" s="421"/>
      <c r="X7" s="59" t="s">
        <v>261</v>
      </c>
      <c r="Y7" s="62" t="s">
        <v>224</v>
      </c>
      <c r="Z7" s="62">
        <v>42</v>
      </c>
    </row>
    <row r="8" spans="1:37" x14ac:dyDescent="0.45">
      <c r="B8" s="62">
        <v>5</v>
      </c>
      <c r="C8" s="34">
        <f>IFERROR(IF(B8&gt;MatchDay!$U$2,"-",VLOOKUP(A2,timetables,MatchDay!$U$4+4,FALSE)),0)</f>
        <v>2</v>
      </c>
      <c r="D8" s="59">
        <f ca="1">IFERROR(HLOOKUP(C8,Declarations!$D$2:$S$102,$A6,FALSE),"")</f>
        <v>0</v>
      </c>
      <c r="E8" s="36" t="str">
        <f t="shared" si="0"/>
        <v>Sheff+D</v>
      </c>
      <c r="F8" s="360"/>
      <c r="I8" s="62">
        <v>5</v>
      </c>
      <c r="J8" s="34">
        <f>IFERROR(IF(I8&gt;MatchDay!$U$2,"-",VLOOKUP(H2,timetables,MatchDay!$U$4+4,FALSE)),0)</f>
        <v>2</v>
      </c>
      <c r="K8" s="59" t="str">
        <f ca="1">IFERROR(HLOOKUP(J8,Declarations!$D$2:$S$102,$H6,FALSE),"")</f>
        <v>KYNOCH Ella</v>
      </c>
      <c r="L8" s="36" t="str">
        <f t="shared" si="1"/>
        <v>Sheff+D</v>
      </c>
      <c r="M8" s="360">
        <v>7.09</v>
      </c>
      <c r="P8" s="62">
        <v>5</v>
      </c>
      <c r="Q8" s="34">
        <f>IFERROR(IF(P8&gt;MatchDay!$U$2,"-",VLOOKUP(O2,timetables,MatchDay!$U$4+4,FALSE)),0)</f>
        <v>3</v>
      </c>
      <c r="R8" s="59" t="str">
        <f ca="1">IFERROR(HLOOKUP(Q8,Declarations!$D$2:$S$102,$O6,FALSE),"")</f>
        <v>MARSHALL Syd</v>
      </c>
      <c r="S8" s="36" t="str">
        <f t="shared" si="2"/>
        <v>York</v>
      </c>
      <c r="T8" s="360">
        <v>3.86</v>
      </c>
      <c r="U8" s="421"/>
      <c r="X8" s="59" t="s">
        <v>262</v>
      </c>
      <c r="Y8" s="62" t="s">
        <v>222</v>
      </c>
      <c r="Z8" s="62">
        <v>42</v>
      </c>
    </row>
    <row r="9" spans="1:37" x14ac:dyDescent="0.45">
      <c r="B9" s="62">
        <v>6</v>
      </c>
      <c r="C9" s="34" t="str">
        <f>IFERROR(IF(B9&gt;MatchDay!$U$2,"-",VLOOKUP(A2,timetables,MatchDay!$U$4+5,FALSE)),0)</f>
        <v>-</v>
      </c>
      <c r="D9" s="59" t="str">
        <f>IFERROR(HLOOKUP(C9,Declarations!$D$2:$S$102,$A6,FALSE),"")</f>
        <v/>
      </c>
      <c r="E9" s="36" t="str">
        <f t="shared" si="0"/>
        <v/>
      </c>
      <c r="F9" s="360"/>
      <c r="I9" s="62">
        <v>6</v>
      </c>
      <c r="J9" s="34" t="str">
        <f>IFERROR(IF(I9&gt;MatchDay!$U$2,"-",VLOOKUP(H2,timetables,MatchDay!$U$4+5,FALSE)),0)</f>
        <v>-</v>
      </c>
      <c r="K9" s="59" t="str">
        <f>IFERROR(HLOOKUP(J9,Declarations!$D$2:$S$102,$H6,FALSE),"")</f>
        <v/>
      </c>
      <c r="L9" s="36" t="str">
        <f t="shared" si="1"/>
        <v/>
      </c>
      <c r="M9" s="360"/>
      <c r="P9" s="62">
        <v>6</v>
      </c>
      <c r="Q9" s="34" t="str">
        <f>IFERROR(IF(P9&gt;MatchDay!$U$2,"-",VLOOKUP(O2,timetables,MatchDay!$U$4+5,FALSE)),0)</f>
        <v>-</v>
      </c>
      <c r="R9" s="59" t="str">
        <f>IFERROR(HLOOKUP(Q9,Declarations!$D$2:$S$102,$O6,FALSE),"")</f>
        <v/>
      </c>
      <c r="S9" s="36" t="str">
        <f t="shared" si="2"/>
        <v/>
      </c>
      <c r="T9" s="360"/>
      <c r="U9" s="421"/>
      <c r="X9" s="59" t="s">
        <v>263</v>
      </c>
      <c r="Y9" s="62" t="s">
        <v>224</v>
      </c>
      <c r="Z9" s="62">
        <v>61</v>
      </c>
    </row>
    <row r="10" spans="1:37" ht="15" customHeight="1" x14ac:dyDescent="0.45">
      <c r="A10" s="136"/>
      <c r="B10" s="62">
        <v>7</v>
      </c>
      <c r="C10" s="34" t="str">
        <f>IFERROR(IF(B10&gt;MatchDay!$U$2,"-",VLOOKUP(A2,timetables,MatchDay!$U$4+6,FALSE)),0)</f>
        <v>-</v>
      </c>
      <c r="D10" s="59" t="str">
        <f>IFERROR(HLOOKUP(C10,Declarations!$D$2:$S$102,$A6,FALSE),"")</f>
        <v/>
      </c>
      <c r="E10" s="36" t="str">
        <f t="shared" si="0"/>
        <v/>
      </c>
      <c r="F10" s="360"/>
      <c r="H10" s="136"/>
      <c r="I10" s="62">
        <v>7</v>
      </c>
      <c r="J10" s="34" t="str">
        <f>IFERROR(IF(I10&gt;MatchDay!$U$2,"-",VLOOKUP(H2,timetables,MatchDay!$U$4+6,FALSE)),0)</f>
        <v>-</v>
      </c>
      <c r="K10" s="59" t="str">
        <f>IFERROR(HLOOKUP(J10,Declarations!$D$2:$S$102,$H6,FALSE),"")</f>
        <v/>
      </c>
      <c r="L10" s="36" t="str">
        <f t="shared" si="1"/>
        <v/>
      </c>
      <c r="M10" s="360"/>
      <c r="O10" s="66">
        <v>0</v>
      </c>
      <c r="P10" s="62">
        <v>7</v>
      </c>
      <c r="Q10" s="34" t="str">
        <f>IFERROR(IF(P10&gt;MatchDay!$U$2,"-",VLOOKUP(O2,timetables,MatchDay!$U$4+6,FALSE)),0)</f>
        <v>-</v>
      </c>
      <c r="R10" s="59" t="str">
        <f>IFERROR(HLOOKUP(Q10,Declarations!$D$2:$S$102,$O6,FALSE),"")</f>
        <v/>
      </c>
      <c r="S10" s="36" t="str">
        <f t="shared" si="2"/>
        <v/>
      </c>
      <c r="T10" s="360"/>
      <c r="U10" s="421"/>
      <c r="X10" s="59" t="s">
        <v>264</v>
      </c>
      <c r="Y10" s="62" t="s">
        <v>222</v>
      </c>
      <c r="Z10" s="62">
        <v>61</v>
      </c>
    </row>
    <row r="11" spans="1:37" x14ac:dyDescent="0.45">
      <c r="B11" s="62">
        <v>8</v>
      </c>
      <c r="C11" s="34" t="str">
        <f>IFERROR(IF(B11&gt;MatchDay!$U$2,"-",VLOOKUP(A2,timetables,MatchDay!$U$4+7,FALSE)),0)</f>
        <v>-</v>
      </c>
      <c r="D11" s="59" t="str">
        <f>IFERROR(HLOOKUP(C11,Declarations!$D$2:$S$102,$A6,FALSE),"")</f>
        <v/>
      </c>
      <c r="E11" s="36" t="str">
        <f t="shared" si="0"/>
        <v/>
      </c>
      <c r="F11" s="360"/>
      <c r="I11" s="62">
        <v>8</v>
      </c>
      <c r="J11" s="34" t="str">
        <f>IFERROR(IF(I11&gt;MatchDay!$U$2,"-",VLOOKUP(H2,timetables,MatchDay!$U$4+7,FALSE)),0)</f>
        <v>-</v>
      </c>
      <c r="K11" s="59" t="str">
        <f>IFERROR(HLOOKUP(J11,Declarations!$D$2:$S$102,$H6,FALSE),"")</f>
        <v/>
      </c>
      <c r="L11" s="36" t="str">
        <f t="shared" si="1"/>
        <v/>
      </c>
      <c r="M11" s="360"/>
      <c r="P11" s="62">
        <v>8</v>
      </c>
      <c r="Q11" s="34" t="str">
        <f>IFERROR(IF(P11&gt;MatchDay!$U$2,"-",VLOOKUP(O2,timetables,MatchDay!$U$4+7,FALSE)),0)</f>
        <v>-</v>
      </c>
      <c r="R11" s="59" t="str">
        <f>IFERROR(HLOOKUP(Q11,Declarations!$D$2:$S$102,$O6,FALSE),"")</f>
        <v/>
      </c>
      <c r="S11" s="36" t="str">
        <f t="shared" si="2"/>
        <v/>
      </c>
      <c r="T11" s="360"/>
      <c r="U11" s="421"/>
      <c r="X11" s="59" t="s">
        <v>265</v>
      </c>
      <c r="Y11" s="62" t="s">
        <v>224</v>
      </c>
      <c r="Z11" s="62">
        <v>80</v>
      </c>
    </row>
    <row r="12" spans="1:37" x14ac:dyDescent="0.45">
      <c r="B12" s="62">
        <v>9</v>
      </c>
      <c r="C12" s="34">
        <f>IFERROR(IF(T(C4)="",C4*11,C4&amp;C4),"-")</f>
        <v>44</v>
      </c>
      <c r="D12" s="59" t="str">
        <f ca="1">IFERROR(HLOOKUP(C12,Declarations!$D$2:$S$102,$A6,FALSE),"")</f>
        <v>-</v>
      </c>
      <c r="E12" s="36" t="str">
        <f t="shared" si="0"/>
        <v>M'bro</v>
      </c>
      <c r="F12" s="360"/>
      <c r="I12" s="62">
        <v>9</v>
      </c>
      <c r="J12" s="34">
        <f>IFERROR(IF(T(J4)="",J4*11,J4&amp;J4),"-")</f>
        <v>44</v>
      </c>
      <c r="K12" s="59" t="str">
        <f ca="1">IFERROR(HLOOKUP(J12,Declarations!$D$2:$S$102,$H6,FALSE),"")</f>
        <v>-</v>
      </c>
      <c r="L12" s="36" t="str">
        <f t="shared" si="1"/>
        <v>M'bro</v>
      </c>
      <c r="M12" s="360"/>
      <c r="P12" s="62">
        <v>9</v>
      </c>
      <c r="Q12" s="34">
        <f>IFERROR(IF(T(Q4)="",Q4*11,Q4&amp;Q4),"-")</f>
        <v>11</v>
      </c>
      <c r="R12" s="59" t="str">
        <f ca="1">IFERROR(HLOOKUP(Q12,Declarations!$D$2:$S$102,$O6,FALSE),"")</f>
        <v>DREW Matthew</v>
      </c>
      <c r="S12" s="36" t="str">
        <f t="shared" si="2"/>
        <v>C'field</v>
      </c>
      <c r="T12" s="360">
        <v>2.72</v>
      </c>
      <c r="U12" s="421"/>
      <c r="X12" s="59" t="s">
        <v>266</v>
      </c>
      <c r="Y12" s="62" t="s">
        <v>222</v>
      </c>
      <c r="Z12" s="62">
        <v>80</v>
      </c>
    </row>
    <row r="13" spans="1:37" x14ac:dyDescent="0.45">
      <c r="B13" s="62">
        <v>10</v>
      </c>
      <c r="C13" s="34">
        <f t="shared" ref="C13:C19" si="3">IFERROR(IF(T(C5)="",C5*11,C5&amp;C5),"-")</f>
        <v>55</v>
      </c>
      <c r="D13" s="59">
        <f ca="1">IFERROR(HLOOKUP(C13,Declarations!$D$2:$S$102,$A6,FALSE),"")</f>
        <v>0</v>
      </c>
      <c r="E13" s="36" t="str">
        <f t="shared" si="0"/>
        <v>Scun</v>
      </c>
      <c r="F13" s="360"/>
      <c r="I13" s="62">
        <v>10</v>
      </c>
      <c r="J13" s="34">
        <f t="shared" ref="J13:J19" si="4">IFERROR(IF(T(J5)="",J5*11,J5&amp;J5),"-")</f>
        <v>55</v>
      </c>
      <c r="K13" s="59" t="str">
        <f ca="1">IFERROR(HLOOKUP(J13,Declarations!$D$2:$S$102,$H6,FALSE),"")</f>
        <v>BETTS Demi</v>
      </c>
      <c r="L13" s="36" t="str">
        <f t="shared" si="1"/>
        <v>Scun</v>
      </c>
      <c r="M13" s="360">
        <v>11.51</v>
      </c>
      <c r="P13" s="62">
        <v>10</v>
      </c>
      <c r="Q13" s="34">
        <f t="shared" ref="Q13:Q19" si="5">IFERROR(IF(T(Q5)="",Q5*11,Q5&amp;Q5),"-")</f>
        <v>55</v>
      </c>
      <c r="R13" s="59" t="str">
        <f ca="1">IFERROR(HLOOKUP(Q13,Declarations!$D$2:$S$102,$O6,FALSE),"")</f>
        <v>-</v>
      </c>
      <c r="S13" s="36" t="str">
        <f t="shared" si="2"/>
        <v>Scun</v>
      </c>
      <c r="T13" s="360"/>
      <c r="U13" s="421"/>
      <c r="X13" s="59" t="s">
        <v>267</v>
      </c>
      <c r="Y13" s="62" t="s">
        <v>224</v>
      </c>
      <c r="Z13" s="62">
        <v>99</v>
      </c>
    </row>
    <row r="14" spans="1:37" x14ac:dyDescent="0.45">
      <c r="B14" s="62">
        <v>11</v>
      </c>
      <c r="C14" s="34">
        <f t="shared" si="3"/>
        <v>11</v>
      </c>
      <c r="D14" s="59" t="str">
        <f ca="1">IFERROR(HLOOKUP(C14,Declarations!$D$2:$S$102,$A6,FALSE),"")</f>
        <v>BETTNEY Thomas</v>
      </c>
      <c r="E14" s="36" t="str">
        <f t="shared" si="0"/>
        <v>C'field</v>
      </c>
      <c r="F14" s="360">
        <v>8.83</v>
      </c>
      <c r="I14" s="62">
        <v>11</v>
      </c>
      <c r="J14" s="34">
        <f t="shared" si="4"/>
        <v>11</v>
      </c>
      <c r="K14" s="59" t="str">
        <f ca="1">IFERROR(HLOOKUP(J14,Declarations!$D$2:$S$102,$H6,FALSE),"")</f>
        <v>HIGHAM Ruby</v>
      </c>
      <c r="L14" s="36" t="str">
        <f t="shared" si="1"/>
        <v>C'field</v>
      </c>
      <c r="M14" s="360">
        <v>20.57</v>
      </c>
      <c r="P14" s="62">
        <v>11</v>
      </c>
      <c r="Q14" s="34">
        <f t="shared" si="5"/>
        <v>44</v>
      </c>
      <c r="R14" s="59" t="str">
        <f ca="1">IFERROR(HLOOKUP(Q14,Declarations!$D$2:$S$102,$O6,FALSE),"")</f>
        <v>CRAGGS George</v>
      </c>
      <c r="S14" s="36" t="str">
        <f t="shared" si="2"/>
        <v>M'bro</v>
      </c>
      <c r="T14" s="360">
        <v>3.82</v>
      </c>
      <c r="U14" s="421"/>
      <c r="X14" s="59" t="s">
        <v>268</v>
      </c>
      <c r="Y14" s="62" t="s">
        <v>222</v>
      </c>
      <c r="Z14" s="62">
        <v>99</v>
      </c>
    </row>
    <row r="15" spans="1:37" x14ac:dyDescent="0.45">
      <c r="B15" s="62">
        <v>12</v>
      </c>
      <c r="C15" s="34">
        <f t="shared" si="3"/>
        <v>33</v>
      </c>
      <c r="D15" s="59" t="str">
        <f ca="1">IFERROR(HLOOKUP(C15,Declarations!$D$2:$S$102,$A6,FALSE),"")</f>
        <v>RUTTER Aaron</v>
      </c>
      <c r="E15" s="36" t="str">
        <f t="shared" si="0"/>
        <v>York</v>
      </c>
      <c r="F15" s="360">
        <v>29.94</v>
      </c>
      <c r="I15" s="62">
        <v>12</v>
      </c>
      <c r="J15" s="34">
        <f t="shared" si="4"/>
        <v>33</v>
      </c>
      <c r="K15" s="59" t="str">
        <f ca="1">IFERROR(HLOOKUP(J15,Declarations!$D$2:$S$102,$H6,FALSE),"")</f>
        <v>-</v>
      </c>
      <c r="L15" s="36" t="str">
        <f t="shared" si="1"/>
        <v>York</v>
      </c>
      <c r="M15" s="360"/>
      <c r="P15" s="62">
        <v>12</v>
      </c>
      <c r="Q15" s="34">
        <f t="shared" si="5"/>
        <v>22</v>
      </c>
      <c r="R15" s="59" t="str">
        <f ca="1">IFERROR(HLOOKUP(Q15,Declarations!$D$2:$S$102,$O6,FALSE),"")</f>
        <v>REILLY Arthur</v>
      </c>
      <c r="S15" s="36" t="str">
        <f t="shared" si="2"/>
        <v>Sheff+D</v>
      </c>
      <c r="T15" s="418">
        <v>4.28</v>
      </c>
      <c r="U15" s="421"/>
      <c r="X15" s="59" t="s">
        <v>269</v>
      </c>
      <c r="Y15" s="62" t="s">
        <v>224</v>
      </c>
      <c r="Z15" s="62">
        <v>118</v>
      </c>
    </row>
    <row r="16" spans="1:37" x14ac:dyDescent="0.45">
      <c r="B16" s="62">
        <v>13</v>
      </c>
      <c r="C16" s="34">
        <f t="shared" si="3"/>
        <v>22</v>
      </c>
      <c r="D16" s="59">
        <f ca="1">IFERROR(HLOOKUP(C16,Declarations!$D$2:$S$102,$A6,FALSE),"")</f>
        <v>0</v>
      </c>
      <c r="E16" s="36" t="str">
        <f t="shared" si="0"/>
        <v>Sheff+D</v>
      </c>
      <c r="F16" s="360"/>
      <c r="I16" s="62">
        <v>13</v>
      </c>
      <c r="J16" s="34">
        <f t="shared" si="4"/>
        <v>22</v>
      </c>
      <c r="K16" s="59" t="str">
        <f ca="1">IFERROR(HLOOKUP(J16,Declarations!$D$2:$S$102,$H6,FALSE),"")</f>
        <v>PADDON Freya</v>
      </c>
      <c r="L16" s="36" t="str">
        <f t="shared" si="1"/>
        <v>Sheff+D</v>
      </c>
      <c r="M16" s="360">
        <v>16.18</v>
      </c>
      <c r="P16" s="62">
        <v>13</v>
      </c>
      <c r="Q16" s="34">
        <f t="shared" si="5"/>
        <v>33</v>
      </c>
      <c r="R16" s="59" t="str">
        <f ca="1">IFERROR(HLOOKUP(Q16,Declarations!$D$2:$S$102,$O6,FALSE),"")</f>
        <v>PEARSON Adam</v>
      </c>
      <c r="S16" s="36" t="str">
        <f t="shared" si="2"/>
        <v>York</v>
      </c>
      <c r="T16" s="360">
        <v>4.68</v>
      </c>
      <c r="U16" s="421"/>
      <c r="X16" s="59" t="s">
        <v>270</v>
      </c>
      <c r="Y16" s="62" t="s">
        <v>222</v>
      </c>
      <c r="Z16" s="62">
        <v>118</v>
      </c>
    </row>
    <row r="17" spans="1:26" x14ac:dyDescent="0.45">
      <c r="B17" s="62">
        <v>14</v>
      </c>
      <c r="C17" s="34" t="str">
        <f t="shared" si="3"/>
        <v>--</v>
      </c>
      <c r="D17" s="59" t="str">
        <f>IFERROR(HLOOKUP(C17,Declarations!$D$2:$S$102,$A6,FALSE),"")</f>
        <v/>
      </c>
      <c r="E17" s="36" t="str">
        <f t="shared" si="0"/>
        <v>-</v>
      </c>
      <c r="F17" s="360"/>
      <c r="I17" s="62">
        <v>14</v>
      </c>
      <c r="J17" s="34" t="str">
        <f t="shared" si="4"/>
        <v>--</v>
      </c>
      <c r="K17" s="59" t="str">
        <f>IFERROR(HLOOKUP(J17,Declarations!$D$2:$S$102,$H6,FALSE),"")</f>
        <v/>
      </c>
      <c r="L17" s="36" t="str">
        <f t="shared" si="1"/>
        <v>-</v>
      </c>
      <c r="M17" s="360"/>
      <c r="P17" s="62">
        <v>14</v>
      </c>
      <c r="Q17" s="34" t="str">
        <f t="shared" si="5"/>
        <v>--</v>
      </c>
      <c r="R17" s="59" t="str">
        <f>IFERROR(HLOOKUP(Q17,Declarations!$D$2:$S$102,$O6,FALSE),"")</f>
        <v/>
      </c>
      <c r="S17" s="36" t="str">
        <f t="shared" si="2"/>
        <v>-</v>
      </c>
      <c r="T17" s="360"/>
      <c r="U17" s="421"/>
      <c r="X17" s="59" t="s">
        <v>271</v>
      </c>
      <c r="Y17" s="62" t="s">
        <v>224</v>
      </c>
      <c r="Z17" s="62">
        <v>137</v>
      </c>
    </row>
    <row r="18" spans="1:26" x14ac:dyDescent="0.45">
      <c r="B18" s="62">
        <v>15</v>
      </c>
      <c r="C18" s="34" t="str">
        <f t="shared" si="3"/>
        <v>--</v>
      </c>
      <c r="D18" s="59" t="str">
        <f>IFERROR(HLOOKUP(C18,Declarations!$D$2:$S$102,$A6,FALSE),"")</f>
        <v/>
      </c>
      <c r="E18" s="36" t="str">
        <f t="shared" si="0"/>
        <v>-</v>
      </c>
      <c r="F18" s="360"/>
      <c r="I18" s="62">
        <v>15</v>
      </c>
      <c r="J18" s="34" t="str">
        <f t="shared" si="4"/>
        <v>--</v>
      </c>
      <c r="K18" s="59" t="str">
        <f>IFERROR(HLOOKUP(J18,Declarations!$D$2:$S$102,$H6,FALSE),"")</f>
        <v/>
      </c>
      <c r="L18" s="36" t="str">
        <f t="shared" si="1"/>
        <v>-</v>
      </c>
      <c r="M18" s="360"/>
      <c r="P18" s="62">
        <v>15</v>
      </c>
      <c r="Q18" s="34" t="str">
        <f t="shared" si="5"/>
        <v>--</v>
      </c>
      <c r="R18" s="59" t="str">
        <f>IFERROR(HLOOKUP(Q18,Declarations!$D$2:$S$102,$O6,FALSE),"")</f>
        <v/>
      </c>
      <c r="S18" s="36" t="str">
        <f t="shared" si="2"/>
        <v>-</v>
      </c>
      <c r="T18" s="360"/>
      <c r="U18" s="421"/>
      <c r="X18" s="59" t="s">
        <v>272</v>
      </c>
      <c r="Y18" s="62" t="s">
        <v>222</v>
      </c>
      <c r="Z18" s="62">
        <v>137</v>
      </c>
    </row>
    <row r="19" spans="1:26" x14ac:dyDescent="0.45">
      <c r="B19" s="62">
        <v>16</v>
      </c>
      <c r="C19" s="34" t="str">
        <f t="shared" si="3"/>
        <v>--</v>
      </c>
      <c r="D19" s="59" t="str">
        <f>IFERROR(HLOOKUP(C19,Declarations!$D$2:$S$102,$A6,FALSE),"")</f>
        <v/>
      </c>
      <c r="E19" s="36" t="str">
        <f t="shared" si="0"/>
        <v>-</v>
      </c>
      <c r="F19" s="360"/>
      <c r="I19" s="62">
        <v>16</v>
      </c>
      <c r="J19" s="34" t="str">
        <f t="shared" si="4"/>
        <v>--</v>
      </c>
      <c r="K19" s="59" t="str">
        <f>IFERROR(HLOOKUP(J19,Declarations!$D$2:$S$102,$H6,FALSE),"")</f>
        <v/>
      </c>
      <c r="L19" s="36" t="str">
        <f t="shared" si="1"/>
        <v>-</v>
      </c>
      <c r="M19" s="360"/>
      <c r="P19" s="62">
        <v>16</v>
      </c>
      <c r="Q19" s="34" t="str">
        <f t="shared" si="5"/>
        <v>--</v>
      </c>
      <c r="R19" s="59" t="str">
        <f>IFERROR(HLOOKUP(Q19,Declarations!$D$2:$S$102,$O6,FALSE),"")</f>
        <v/>
      </c>
      <c r="S19" s="36" t="str">
        <f t="shared" si="2"/>
        <v>-</v>
      </c>
      <c r="T19" s="360"/>
      <c r="U19" s="421"/>
      <c r="X19" s="59" t="s">
        <v>301</v>
      </c>
      <c r="Y19" s="62" t="s">
        <v>212</v>
      </c>
      <c r="Z19" s="62">
        <v>4</v>
      </c>
    </row>
    <row r="20" spans="1:26" x14ac:dyDescent="0.45">
      <c r="A20" s="34"/>
      <c r="X20" s="59" t="s">
        <v>302</v>
      </c>
      <c r="Y20" s="62" t="s">
        <v>212</v>
      </c>
      <c r="Z20" s="62">
        <v>23</v>
      </c>
    </row>
    <row r="21" spans="1:26" x14ac:dyDescent="0.45">
      <c r="A21" s="32" t="str">
        <f>IFERROR(IF(LEFT(MatchDay!$C$2,1)="L","L"&amp;A22,"U"&amp;A22),"")</f>
        <v>LFD03</v>
      </c>
      <c r="B21" s="107" t="str">
        <f>IFERROR(VLOOKUP(A21,Timetables!$A:$G,3,FALSE)&amp;" "&amp;VLOOKUP(A21,Timetables!$A:$G,2,FALSE),"")</f>
        <v>U13 Girls Shot</v>
      </c>
      <c r="H21" s="32" t="str">
        <f>IFERROR(IF(LEFT(MatchDay!$C$2,1)="L","L"&amp;H22,"U"&amp;H22),"")</f>
        <v>LFD04</v>
      </c>
      <c r="I21" s="107" t="str">
        <f>IFERROR(VLOOKUP(H21,Timetables!$A:$G,3,FALSE)&amp;" "&amp;VLOOKUP(H21,Timetables!$A:$G,2,FALSE),"")</f>
        <v>U15 Boys Discus</v>
      </c>
      <c r="M21" s="63"/>
      <c r="O21" s="32" t="str">
        <f>IFERROR(IF(LEFT(MatchDay!$C$2,1)="L","L"&amp;O22,"U"&amp;O22),"")</f>
        <v>LFW02</v>
      </c>
      <c r="P21" s="107" t="str">
        <f>IFERROR(VLOOKUP(O21,Timetables!$A:$G,3,FALSE)&amp;" "&amp;VLOOKUP(O21,Timetables!$A:$G,2,FALSE),"")</f>
        <v>U15 Girls Long Jump</v>
      </c>
      <c r="T21" s="63"/>
      <c r="X21" s="59" t="s">
        <v>303</v>
      </c>
      <c r="Y21" s="62" t="s">
        <v>212</v>
      </c>
      <c r="Z21" s="62">
        <v>42</v>
      </c>
    </row>
    <row r="22" spans="1:26" x14ac:dyDescent="0.45">
      <c r="A22" s="33" t="s">
        <v>258</v>
      </c>
      <c r="B22" s="62" t="s">
        <v>163</v>
      </c>
      <c r="C22" s="62" t="s">
        <v>159</v>
      </c>
      <c r="D22" s="59" t="s">
        <v>227</v>
      </c>
      <c r="E22" s="59" t="s">
        <v>228</v>
      </c>
      <c r="F22" s="63" t="s">
        <v>229</v>
      </c>
      <c r="H22" s="33" t="s">
        <v>260</v>
      </c>
      <c r="I22" s="62" t="s">
        <v>163</v>
      </c>
      <c r="J22" s="62" t="s">
        <v>159</v>
      </c>
      <c r="K22" s="59" t="s">
        <v>227</v>
      </c>
      <c r="L22" s="59" t="s">
        <v>228</v>
      </c>
      <c r="M22" s="63" t="s">
        <v>229</v>
      </c>
      <c r="O22" s="33" t="s">
        <v>302</v>
      </c>
      <c r="P22" s="62" t="s">
        <v>163</v>
      </c>
      <c r="Q22" s="62" t="s">
        <v>159</v>
      </c>
      <c r="R22" s="59" t="s">
        <v>227</v>
      </c>
      <c r="S22" s="59" t="s">
        <v>228</v>
      </c>
      <c r="T22" s="63" t="s">
        <v>229</v>
      </c>
      <c r="U22" s="62" t="s">
        <v>259</v>
      </c>
      <c r="X22" s="59" t="s">
        <v>304</v>
      </c>
      <c r="Y22" s="62" t="s">
        <v>212</v>
      </c>
      <c r="Z22" s="62">
        <v>61</v>
      </c>
    </row>
    <row r="23" spans="1:26" x14ac:dyDescent="0.45">
      <c r="A23" s="62" t="s">
        <v>224</v>
      </c>
      <c r="B23" s="62">
        <v>1</v>
      </c>
      <c r="C23" s="34">
        <f>IFERROR(IF(B23&gt;MatchDay!$U$2,"-",VLOOKUP(A21,timetables,MatchDay!$U$4,FALSE)),0)</f>
        <v>3</v>
      </c>
      <c r="D23" s="59" t="str">
        <f ca="1">IFERROR(HLOOKUP(C23,Declarations!$D$2:$S$102,$A25,FALSE),"")</f>
        <v>CLAGUE Kathryn</v>
      </c>
      <c r="E23" s="36" t="str">
        <f t="shared" ref="E23:E38" si="6">IFERROR(VLOOKUP(C23,teamlookup,5,FALSE),"-")</f>
        <v>York</v>
      </c>
      <c r="F23" s="360">
        <v>8.7899999999999991</v>
      </c>
      <c r="H23" s="62" t="s">
        <v>222</v>
      </c>
      <c r="I23" s="62">
        <v>1</v>
      </c>
      <c r="J23" s="34">
        <f>IFERROR(IF(I23&gt;MatchDay!$U$2,"-",VLOOKUP(H21,timetables,MatchDay!$U$4,FALSE)),0)</f>
        <v>3</v>
      </c>
      <c r="K23" s="59" t="str">
        <f ca="1">IFERROR(HLOOKUP(J23,Declarations!$D$2:$S$102,$H25,FALSE),"")</f>
        <v>RHODES Ashton</v>
      </c>
      <c r="L23" s="36" t="str">
        <f t="shared" ref="L23:L38" si="7">IFERROR(VLOOKUP(J23,teamlookup,5,FALSE),"-")</f>
        <v>York</v>
      </c>
      <c r="M23" s="360">
        <v>15.79</v>
      </c>
      <c r="O23" s="62" t="s">
        <v>212</v>
      </c>
      <c r="P23" s="62">
        <v>1</v>
      </c>
      <c r="Q23" s="34">
        <f>IFERROR(IF(P23&gt;MatchDay!$U$2,"-",VLOOKUP(O21,timetables,MatchDay!$U$4,FALSE)),0)</f>
        <v>1</v>
      </c>
      <c r="R23" s="59" t="str">
        <f ca="1">IFERROR(HLOOKUP(Q23,Declarations!$D$2:$S$102,$O25,FALSE),"")</f>
        <v>BRIDDON Missy</v>
      </c>
      <c r="S23" s="36" t="str">
        <f t="shared" ref="S23:S38" si="8">IFERROR(VLOOKUP(Q23,teamlookup,5,FALSE),"-")</f>
        <v>C'field</v>
      </c>
      <c r="T23" s="360">
        <v>3.82</v>
      </c>
      <c r="U23" s="421"/>
      <c r="X23" s="59" t="s">
        <v>305</v>
      </c>
      <c r="Y23" s="62" t="s">
        <v>212</v>
      </c>
      <c r="Z23" s="62">
        <v>80</v>
      </c>
    </row>
    <row r="24" spans="1:26" x14ac:dyDescent="0.45">
      <c r="A24" s="62">
        <v>23</v>
      </c>
      <c r="B24" s="62">
        <v>2</v>
      </c>
      <c r="C24" s="34">
        <f>IFERROR(IF(B24&gt;MatchDay!$U$2,"-",VLOOKUP(A21,timetables,MatchDay!$U$4+1,FALSE)),0)</f>
        <v>1</v>
      </c>
      <c r="D24" s="59" t="str">
        <f ca="1">IFERROR(HLOOKUP(C24,Declarations!$D$2:$S$102,$A25,FALSE),"")</f>
        <v>FELLOWS Isabelle</v>
      </c>
      <c r="E24" s="36" t="str">
        <f t="shared" si="6"/>
        <v>C'field</v>
      </c>
      <c r="F24" s="360">
        <v>7.75</v>
      </c>
      <c r="H24" s="62">
        <f>A24</f>
        <v>23</v>
      </c>
      <c r="I24" s="62">
        <v>2</v>
      </c>
      <c r="J24" s="34">
        <f>IFERROR(IF(I24&gt;MatchDay!$U$2,"-",VLOOKUP(H21,timetables,MatchDay!$U$4+1,FALSE)),0)</f>
        <v>5</v>
      </c>
      <c r="K24" s="59" t="str">
        <f ca="1">IFERROR(HLOOKUP(J24,Declarations!$D$2:$S$102,$H25,FALSE),"")</f>
        <v>COOK Edwin</v>
      </c>
      <c r="L24" s="36" t="str">
        <f t="shared" si="7"/>
        <v>Scun</v>
      </c>
      <c r="M24" s="360">
        <v>18.54</v>
      </c>
      <c r="O24" s="62">
        <f>A24</f>
        <v>23</v>
      </c>
      <c r="P24" s="62">
        <v>2</v>
      </c>
      <c r="Q24" s="34">
        <f>IFERROR(IF(P24&gt;MatchDay!$U$2,"-",VLOOKUP(O21,timetables,MatchDay!$U$4+1,FALSE)),0)</f>
        <v>5</v>
      </c>
      <c r="R24" s="59" t="str">
        <f ca="1">IFERROR(HLOOKUP(Q24,Declarations!$D$2:$S$102,$O25,FALSE),"")</f>
        <v>LINGARD Alice</v>
      </c>
      <c r="S24" s="36" t="str">
        <f t="shared" si="8"/>
        <v>Scun</v>
      </c>
      <c r="T24" s="360">
        <v>3.11</v>
      </c>
      <c r="U24" s="421"/>
      <c r="X24" s="59" t="s">
        <v>306</v>
      </c>
      <c r="Y24" s="62" t="s">
        <v>212</v>
      </c>
      <c r="Z24" s="62">
        <v>99</v>
      </c>
    </row>
    <row r="25" spans="1:26" x14ac:dyDescent="0.45">
      <c r="A25" s="181">
        <f>IFERROR(VLOOKUP(A21,Timetables!$A:$E,5,FALSE)-1,"")</f>
        <v>42</v>
      </c>
      <c r="B25" s="62">
        <v>3</v>
      </c>
      <c r="C25" s="34">
        <f>IFERROR(IF(B25&gt;MatchDay!$U$2,"-",VLOOKUP(A21,timetables,MatchDay!$U$4+2,FALSE)),0)</f>
        <v>4</v>
      </c>
      <c r="D25" s="59" t="str">
        <f ca="1">IFERROR(HLOOKUP(C25,Declarations!$D$2:$S$102,$A25,FALSE),"")</f>
        <v>SEDGWICK Emma</v>
      </c>
      <c r="E25" s="36" t="str">
        <f t="shared" si="6"/>
        <v>M'bro</v>
      </c>
      <c r="F25" s="360">
        <v>6.25</v>
      </c>
      <c r="H25" s="181">
        <f>IFERROR(VLOOKUP(H21,Timetables!$A:$E,5,FALSE)-1,"")</f>
        <v>64</v>
      </c>
      <c r="I25" s="62">
        <v>3</v>
      </c>
      <c r="J25" s="34">
        <f>IFERROR(IF(I25&gt;MatchDay!$U$2,"-",VLOOKUP(H21,timetables,MatchDay!$U$4+2,FALSE)),0)</f>
        <v>2</v>
      </c>
      <c r="K25" s="59" t="str">
        <f ca="1">IFERROR(HLOOKUP(J25,Declarations!$D$2:$S$102,$H25,FALSE),"")</f>
        <v>WAINWRIGHT James</v>
      </c>
      <c r="L25" s="36" t="str">
        <f t="shared" si="7"/>
        <v>Sheff+D</v>
      </c>
      <c r="M25" s="360">
        <v>10.8</v>
      </c>
      <c r="O25" s="181">
        <f>IFERROR(VLOOKUP(O21,Timetables!$A:$E,5,FALSE)-1,"")</f>
        <v>18</v>
      </c>
      <c r="P25" s="62">
        <v>3</v>
      </c>
      <c r="Q25" s="34">
        <f>IFERROR(IF(P25&gt;MatchDay!$U$2,"-",VLOOKUP(O21,timetables,MatchDay!$U$4+2,FALSE)),0)</f>
        <v>4</v>
      </c>
      <c r="R25" s="59" t="str">
        <f ca="1">IFERROR(HLOOKUP(Q25,Declarations!$D$2:$S$102,$O25,FALSE),"")</f>
        <v>PYE Naiomi</v>
      </c>
      <c r="S25" s="36" t="str">
        <f t="shared" si="8"/>
        <v>M'bro</v>
      </c>
      <c r="T25" s="360">
        <v>3.57</v>
      </c>
      <c r="U25" s="421"/>
      <c r="X25" s="59" t="s">
        <v>307</v>
      </c>
      <c r="Y25" s="62" t="s">
        <v>212</v>
      </c>
      <c r="Z25" s="62">
        <v>118</v>
      </c>
    </row>
    <row r="26" spans="1:26" x14ac:dyDescent="0.45">
      <c r="B26" s="62">
        <v>4</v>
      </c>
      <c r="C26" s="34">
        <f>IFERROR(IF(B26&gt;MatchDay!$U$2,"-",VLOOKUP(A21,timetables,MatchDay!$U$4+3,FALSE)),0)</f>
        <v>2</v>
      </c>
      <c r="D26" s="59" t="str">
        <f ca="1">IFERROR(HLOOKUP(C26,Declarations!$D$2:$S$102,$A25,FALSE),"")</f>
        <v>BERRY Heather</v>
      </c>
      <c r="E26" s="36" t="str">
        <f t="shared" si="6"/>
        <v>Sheff+D</v>
      </c>
      <c r="F26" s="360"/>
      <c r="I26" s="62">
        <v>4</v>
      </c>
      <c r="J26" s="34">
        <f>IFERROR(IF(I26&gt;MatchDay!$U$2,"-",VLOOKUP(H21,timetables,MatchDay!$U$4+3,FALSE)),0)</f>
        <v>4</v>
      </c>
      <c r="K26" s="59" t="str">
        <f ca="1">IFERROR(HLOOKUP(J26,Declarations!$D$2:$S$102,$H25,FALSE),"")</f>
        <v>BELL Callum</v>
      </c>
      <c r="L26" s="36" t="str">
        <f t="shared" si="7"/>
        <v>M'bro</v>
      </c>
      <c r="M26" s="360">
        <v>10.47</v>
      </c>
      <c r="P26" s="62">
        <v>4</v>
      </c>
      <c r="Q26" s="34">
        <f>IFERROR(IF(P26&gt;MatchDay!$U$2,"-",VLOOKUP(O21,timetables,MatchDay!$U$4+3,FALSE)),0)</f>
        <v>2</v>
      </c>
      <c r="R26" s="59" t="str">
        <f ca="1">IFERROR(HLOOKUP(Q26,Declarations!$D$2:$S$102,$O25,FALSE),"")</f>
        <v>MYCROFT Tilly</v>
      </c>
      <c r="S26" s="36" t="str">
        <f t="shared" si="8"/>
        <v>Sheff+D</v>
      </c>
      <c r="T26" s="360">
        <v>5.05</v>
      </c>
      <c r="U26" s="421"/>
      <c r="X26" s="59" t="s">
        <v>308</v>
      </c>
      <c r="Y26" s="62" t="s">
        <v>212</v>
      </c>
      <c r="Z26" s="62">
        <v>137</v>
      </c>
    </row>
    <row r="27" spans="1:26" x14ac:dyDescent="0.45">
      <c r="B27" s="62">
        <v>5</v>
      </c>
      <c r="C27" s="34">
        <f>IFERROR(IF(B27&gt;MatchDay!$U$2,"-",VLOOKUP(A21,timetables,MatchDay!$U$4+4,FALSE)),0)</f>
        <v>5</v>
      </c>
      <c r="D27" s="59" t="str">
        <f ca="1">IFERROR(HLOOKUP(C27,Declarations!$D$2:$S$102,$A25,FALSE),"")</f>
        <v>HAYES Zara</v>
      </c>
      <c r="E27" s="36" t="str">
        <f t="shared" si="6"/>
        <v>Scun</v>
      </c>
      <c r="F27" s="360">
        <v>5.65</v>
      </c>
      <c r="I27" s="62">
        <v>5</v>
      </c>
      <c r="J27" s="34">
        <f>IFERROR(IF(I27&gt;MatchDay!$U$2,"-",VLOOKUP(H21,timetables,MatchDay!$U$4+4,FALSE)),0)</f>
        <v>1</v>
      </c>
      <c r="K27" s="59" t="str">
        <f ca="1">IFERROR(HLOOKUP(J27,Declarations!$D$2:$S$102,$H25,FALSE),"")</f>
        <v>COOPER Malachi</v>
      </c>
      <c r="L27" s="36" t="str">
        <f t="shared" si="7"/>
        <v>C'field</v>
      </c>
      <c r="M27" s="360">
        <v>16.04</v>
      </c>
      <c r="P27" s="62">
        <v>5</v>
      </c>
      <c r="Q27" s="34">
        <f>IFERROR(IF(P27&gt;MatchDay!$U$2,"-",VLOOKUP(O21,timetables,MatchDay!$U$4+4,FALSE)),0)</f>
        <v>3</v>
      </c>
      <c r="R27" s="59" t="str">
        <f ca="1">IFERROR(HLOOKUP(Q27,Declarations!$D$2:$S$102,$O25,FALSE),"")</f>
        <v>HASTIE Eve</v>
      </c>
      <c r="S27" s="36" t="str">
        <f t="shared" si="8"/>
        <v>York</v>
      </c>
      <c r="T27" s="360">
        <v>4.7</v>
      </c>
      <c r="U27" s="421"/>
    </row>
    <row r="28" spans="1:26" x14ac:dyDescent="0.45">
      <c r="B28" s="62">
        <v>6</v>
      </c>
      <c r="C28" s="34" t="str">
        <f>IFERROR(IF(B28&gt;MatchDay!$U$2,"-",VLOOKUP(A21,timetables,MatchDay!$U$4+5,FALSE)),0)</f>
        <v>-</v>
      </c>
      <c r="D28" s="59" t="str">
        <f>IFERROR(HLOOKUP(C28,Declarations!$D$2:$S$102,$A25,FALSE),"")</f>
        <v/>
      </c>
      <c r="E28" s="36" t="str">
        <f t="shared" si="6"/>
        <v/>
      </c>
      <c r="F28" s="360"/>
      <c r="I28" s="62">
        <v>6</v>
      </c>
      <c r="J28" s="34" t="str">
        <f>IFERROR(IF(I28&gt;MatchDay!$U$2,"-",VLOOKUP(H21,timetables,MatchDay!$U$4+5,FALSE)),0)</f>
        <v>-</v>
      </c>
      <c r="K28" s="59" t="str">
        <f>IFERROR(HLOOKUP(J28,Declarations!$D$2:$S$102,$H25,FALSE),"")</f>
        <v/>
      </c>
      <c r="L28" s="36" t="str">
        <f t="shared" si="7"/>
        <v/>
      </c>
      <c r="M28" s="360"/>
      <c r="P28" s="62">
        <v>6</v>
      </c>
      <c r="Q28" s="34" t="str">
        <f>IFERROR(IF(P28&gt;MatchDay!$U$2,"-",VLOOKUP(O21,timetables,MatchDay!$U$4+5,FALSE)),0)</f>
        <v>-</v>
      </c>
      <c r="R28" s="59" t="str">
        <f>IFERROR(HLOOKUP(Q28,Declarations!$D$2:$S$102,$O25,FALSE),"")</f>
        <v/>
      </c>
      <c r="S28" s="36" t="str">
        <f t="shared" si="8"/>
        <v/>
      </c>
      <c r="T28" s="360"/>
      <c r="U28" s="421"/>
    </row>
    <row r="29" spans="1:26" ht="15" customHeight="1" x14ac:dyDescent="0.45">
      <c r="A29" s="136"/>
      <c r="B29" s="62">
        <v>7</v>
      </c>
      <c r="C29" s="34" t="str">
        <f>IFERROR(IF(B29&gt;MatchDay!$U$2,"-",VLOOKUP(A21,timetables,MatchDay!$U$4+6,FALSE)),0)</f>
        <v>-</v>
      </c>
      <c r="D29" s="59" t="str">
        <f>IFERROR(HLOOKUP(C29,Declarations!$D$2:$S$102,$A25,FALSE),"")</f>
        <v/>
      </c>
      <c r="E29" s="36" t="str">
        <f t="shared" si="6"/>
        <v/>
      </c>
      <c r="F29" s="360"/>
      <c r="H29" s="136"/>
      <c r="I29" s="62">
        <v>7</v>
      </c>
      <c r="J29" s="34" t="str">
        <f>IFERROR(IF(I29&gt;MatchDay!$U$2,"-",VLOOKUP(H21,timetables,MatchDay!$U$4+6,FALSE)),0)</f>
        <v>-</v>
      </c>
      <c r="K29" s="59" t="str">
        <f>IFERROR(HLOOKUP(J29,Declarations!$D$2:$S$102,$H25,FALSE),"")</f>
        <v/>
      </c>
      <c r="L29" s="36" t="str">
        <f t="shared" si="7"/>
        <v/>
      </c>
      <c r="M29" s="360"/>
      <c r="O29" s="136"/>
      <c r="P29" s="62">
        <v>7</v>
      </c>
      <c r="Q29" s="34" t="str">
        <f>IFERROR(IF(P29&gt;MatchDay!$U$2,"-",VLOOKUP(O21,timetables,MatchDay!$U$4+6,FALSE)),0)</f>
        <v>-</v>
      </c>
      <c r="R29" s="59" t="str">
        <f>IFERROR(HLOOKUP(Q29,Declarations!$D$2:$S$102,$O25,FALSE),"")</f>
        <v/>
      </c>
      <c r="S29" s="36" t="str">
        <f t="shared" si="8"/>
        <v/>
      </c>
      <c r="T29" s="360"/>
      <c r="U29" s="421"/>
    </row>
    <row r="30" spans="1:26" x14ac:dyDescent="0.45">
      <c r="B30" s="62">
        <v>8</v>
      </c>
      <c r="C30" s="34" t="str">
        <f>IFERROR(IF(B30&gt;MatchDay!$U$2,"-",VLOOKUP(A21,timetables,MatchDay!$U$4+7,FALSE)),0)</f>
        <v>-</v>
      </c>
      <c r="D30" s="59" t="str">
        <f>IFERROR(HLOOKUP(C30,Declarations!$D$2:$S$102,$A25,FALSE),"")</f>
        <v/>
      </c>
      <c r="E30" s="36" t="str">
        <f t="shared" si="6"/>
        <v/>
      </c>
      <c r="F30" s="360"/>
      <c r="I30" s="62">
        <v>8</v>
      </c>
      <c r="J30" s="34" t="str">
        <f>IFERROR(IF(I30&gt;MatchDay!$U$2,"-",VLOOKUP(H21,timetables,MatchDay!$U$4+7,FALSE)),0)</f>
        <v>-</v>
      </c>
      <c r="K30" s="59" t="str">
        <f>IFERROR(HLOOKUP(J30,Declarations!$D$2:$S$102,$H25,FALSE),"")</f>
        <v/>
      </c>
      <c r="L30" s="36" t="str">
        <f t="shared" si="7"/>
        <v/>
      </c>
      <c r="M30" s="360"/>
      <c r="P30" s="62">
        <v>8</v>
      </c>
      <c r="Q30" s="34" t="str">
        <f>IFERROR(IF(P30&gt;MatchDay!$U$2,"-",VLOOKUP(O21,timetables,MatchDay!$U$4+7,FALSE)),0)</f>
        <v>-</v>
      </c>
      <c r="R30" s="59" t="str">
        <f>IFERROR(HLOOKUP(Q30,Declarations!$D$2:$S$102,$O25,FALSE),"")</f>
        <v/>
      </c>
      <c r="S30" s="36" t="str">
        <f t="shared" si="8"/>
        <v/>
      </c>
      <c r="T30" s="360"/>
      <c r="U30" s="421"/>
    </row>
    <row r="31" spans="1:26" x14ac:dyDescent="0.45">
      <c r="B31" s="62">
        <v>9</v>
      </c>
      <c r="C31" s="34">
        <f>IFERROR(IF(T(C23)="",C23*11,C23&amp;C23),"-")</f>
        <v>33</v>
      </c>
      <c r="D31" s="59" t="str">
        <f ca="1">IFERROR(HLOOKUP(C31,Declarations!$D$2:$S$102,$A25,FALSE),"")</f>
        <v>WRIGHT Ella</v>
      </c>
      <c r="E31" s="36" t="str">
        <f t="shared" si="6"/>
        <v>York</v>
      </c>
      <c r="F31" s="360">
        <v>7.51</v>
      </c>
      <c r="I31" s="62">
        <v>9</v>
      </c>
      <c r="J31" s="34">
        <f>IFERROR(IF(T(J23)="",J23*11,J23&amp;J23),"-")</f>
        <v>33</v>
      </c>
      <c r="K31" s="59" t="str">
        <f ca="1">IFERROR(HLOOKUP(J31,Declarations!$D$2:$S$102,$H25,FALSE),"")</f>
        <v>BROOKS Rory</v>
      </c>
      <c r="L31" s="36" t="str">
        <f t="shared" si="7"/>
        <v>York</v>
      </c>
      <c r="M31" s="360">
        <v>15.91</v>
      </c>
      <c r="P31" s="62">
        <v>9</v>
      </c>
      <c r="Q31" s="34">
        <f>IFERROR(IF(T(Q23)="",Q23*11,Q23&amp;Q23),"-")</f>
        <v>11</v>
      </c>
      <c r="R31" s="59" t="str">
        <f ca="1">IFERROR(HLOOKUP(Q31,Declarations!$D$2:$S$102,$O25,FALSE),"")</f>
        <v>ROGERS Emily</v>
      </c>
      <c r="S31" s="36" t="str">
        <f t="shared" si="8"/>
        <v>C'field</v>
      </c>
      <c r="T31" s="360">
        <v>3.49</v>
      </c>
      <c r="U31" s="421"/>
    </row>
    <row r="32" spans="1:26" x14ac:dyDescent="0.45">
      <c r="B32" s="62">
        <v>10</v>
      </c>
      <c r="C32" s="34">
        <f t="shared" ref="C32:C38" si="9">IFERROR(IF(T(C24)="",C24*11,C24&amp;C24),"-")</f>
        <v>11</v>
      </c>
      <c r="D32" s="59" t="str">
        <f ca="1">IFERROR(HLOOKUP(C32,Declarations!$D$2:$S$102,$A25,FALSE),"")</f>
        <v>HALL Lottie</v>
      </c>
      <c r="E32" s="36" t="str">
        <f t="shared" si="6"/>
        <v>C'field</v>
      </c>
      <c r="F32" s="360">
        <v>6.9</v>
      </c>
      <c r="I32" s="62">
        <v>10</v>
      </c>
      <c r="J32" s="34">
        <f t="shared" ref="J32:J38" si="10">IFERROR(IF(T(J24)="",J24*11,J24&amp;J24),"-")</f>
        <v>55</v>
      </c>
      <c r="K32" s="59">
        <f ca="1">IFERROR(HLOOKUP(J32,Declarations!$D$2:$S$102,$H25,FALSE),"")</f>
        <v>0</v>
      </c>
      <c r="L32" s="36" t="str">
        <f t="shared" si="7"/>
        <v>Scun</v>
      </c>
      <c r="M32" s="360"/>
      <c r="P32" s="62">
        <v>10</v>
      </c>
      <c r="Q32" s="34">
        <f t="shared" ref="Q32:Q38" si="11">IFERROR(IF(T(Q24)="",Q24*11,Q24&amp;Q24),"-")</f>
        <v>55</v>
      </c>
      <c r="R32" s="59" t="str">
        <f ca="1">IFERROR(HLOOKUP(Q32,Declarations!$D$2:$S$102,$O25,FALSE),"")</f>
        <v>WHITTAKER Millie</v>
      </c>
      <c r="S32" s="36" t="str">
        <f t="shared" si="8"/>
        <v>Scun</v>
      </c>
      <c r="T32" s="360">
        <v>3.24</v>
      </c>
      <c r="U32" s="421"/>
    </row>
    <row r="33" spans="1:21" x14ac:dyDescent="0.45">
      <c r="B33" s="62">
        <v>11</v>
      </c>
      <c r="C33" s="34">
        <f t="shared" si="9"/>
        <v>44</v>
      </c>
      <c r="D33" s="59" t="str">
        <f ca="1">IFERROR(HLOOKUP(C33,Declarations!$D$2:$S$102,$A25,FALSE),"")</f>
        <v>-</v>
      </c>
      <c r="E33" s="36" t="str">
        <f t="shared" si="6"/>
        <v>M'bro</v>
      </c>
      <c r="F33" s="360"/>
      <c r="I33" s="62">
        <v>11</v>
      </c>
      <c r="J33" s="34">
        <f t="shared" si="10"/>
        <v>22</v>
      </c>
      <c r="K33" s="59" t="str">
        <f ca="1">IFERROR(HLOOKUP(J33,Declarations!$D$2:$S$102,$H25,FALSE),"")</f>
        <v>KRIEL PARR George</v>
      </c>
      <c r="L33" s="36" t="str">
        <f t="shared" si="7"/>
        <v>Sheff+D</v>
      </c>
      <c r="M33" s="360">
        <v>9.89</v>
      </c>
      <c r="P33" s="62">
        <v>11</v>
      </c>
      <c r="Q33" s="34">
        <f t="shared" si="11"/>
        <v>44</v>
      </c>
      <c r="R33" s="59" t="str">
        <f ca="1">IFERROR(HLOOKUP(Q33,Declarations!$D$2:$S$102,$O25,FALSE),"")</f>
        <v>MANNION Grace</v>
      </c>
      <c r="S33" s="36" t="str">
        <f t="shared" si="8"/>
        <v>M'bro</v>
      </c>
      <c r="T33" s="360">
        <v>3.87</v>
      </c>
      <c r="U33" s="421"/>
    </row>
    <row r="34" spans="1:21" x14ac:dyDescent="0.45">
      <c r="B34" s="62">
        <v>12</v>
      </c>
      <c r="C34" s="34">
        <f t="shared" si="9"/>
        <v>22</v>
      </c>
      <c r="D34" s="59" t="str">
        <f ca="1">IFERROR(HLOOKUP(C34,Declarations!$D$2:$S$102,$A25,FALSE),"")</f>
        <v>SCOTT Violet</v>
      </c>
      <c r="E34" s="36" t="str">
        <f t="shared" si="6"/>
        <v>Sheff+D</v>
      </c>
      <c r="F34" s="360">
        <v>3.59</v>
      </c>
      <c r="I34" s="62">
        <v>12</v>
      </c>
      <c r="J34" s="34">
        <f t="shared" si="10"/>
        <v>44</v>
      </c>
      <c r="K34" s="59" t="str">
        <f ca="1">IFERROR(HLOOKUP(J34,Declarations!$D$2:$S$102,$H25,FALSE),"")</f>
        <v>-</v>
      </c>
      <c r="L34" s="36" t="str">
        <f t="shared" si="7"/>
        <v>M'bro</v>
      </c>
      <c r="M34" s="360"/>
      <c r="P34" s="62">
        <v>12</v>
      </c>
      <c r="Q34" s="34">
        <f t="shared" si="11"/>
        <v>22</v>
      </c>
      <c r="R34" s="59" t="str">
        <f ca="1">IFERROR(HLOOKUP(Q34,Declarations!$D$2:$S$102,$O25,FALSE),"")</f>
        <v>ADEBAYO Daphney</v>
      </c>
      <c r="S34" s="36" t="str">
        <f t="shared" si="8"/>
        <v>Sheff+D</v>
      </c>
      <c r="T34" s="360">
        <v>4.8099999999999996</v>
      </c>
      <c r="U34" s="421"/>
    </row>
    <row r="35" spans="1:21" x14ac:dyDescent="0.45">
      <c r="B35" s="62">
        <v>13</v>
      </c>
      <c r="C35" s="34">
        <f t="shared" si="9"/>
        <v>55</v>
      </c>
      <c r="D35" s="59" t="str">
        <f ca="1">IFERROR(HLOOKUP(C35,Declarations!$D$2:$S$102,$A25,FALSE),"")</f>
        <v>CRESSEY Evie</v>
      </c>
      <c r="E35" s="36" t="str">
        <f t="shared" si="6"/>
        <v>Scun</v>
      </c>
      <c r="F35" s="360">
        <v>4.7300000000000004</v>
      </c>
      <c r="I35" s="62">
        <v>13</v>
      </c>
      <c r="J35" s="34">
        <f t="shared" si="10"/>
        <v>11</v>
      </c>
      <c r="K35" s="59" t="str">
        <f ca="1">IFERROR(HLOOKUP(J35,Declarations!$D$2:$S$102,$H25,FALSE),"")</f>
        <v>PEERS-WAIN Jacob</v>
      </c>
      <c r="L35" s="36" t="str">
        <f t="shared" si="7"/>
        <v>C'field</v>
      </c>
      <c r="M35" s="360">
        <v>10.24</v>
      </c>
      <c r="P35" s="62">
        <v>13</v>
      </c>
      <c r="Q35" s="34">
        <f t="shared" si="11"/>
        <v>33</v>
      </c>
      <c r="R35" s="59" t="str">
        <f ca="1">IFERROR(HLOOKUP(Q35,Declarations!$D$2:$S$102,$O25,FALSE),"")</f>
        <v>MAUDE Charlotte</v>
      </c>
      <c r="S35" s="36" t="str">
        <f t="shared" si="8"/>
        <v>York</v>
      </c>
      <c r="T35" s="360">
        <v>4.24</v>
      </c>
      <c r="U35" s="421"/>
    </row>
    <row r="36" spans="1:21" x14ac:dyDescent="0.45">
      <c r="B36" s="62">
        <v>14</v>
      </c>
      <c r="C36" s="34" t="str">
        <f t="shared" si="9"/>
        <v>--</v>
      </c>
      <c r="D36" s="59" t="str">
        <f>IFERROR(HLOOKUP(C36,Declarations!$D$2:$S$102,$A25,FALSE),"")</f>
        <v/>
      </c>
      <c r="E36" s="36" t="str">
        <f t="shared" si="6"/>
        <v>-</v>
      </c>
      <c r="F36" s="360"/>
      <c r="I36" s="62">
        <v>14</v>
      </c>
      <c r="J36" s="34" t="str">
        <f t="shared" si="10"/>
        <v>--</v>
      </c>
      <c r="K36" s="59" t="str">
        <f>IFERROR(HLOOKUP(J36,Declarations!$D$2:$S$102,$H25,FALSE),"")</f>
        <v/>
      </c>
      <c r="L36" s="36" t="str">
        <f t="shared" si="7"/>
        <v>-</v>
      </c>
      <c r="M36" s="360"/>
      <c r="P36" s="62">
        <v>14</v>
      </c>
      <c r="Q36" s="34" t="str">
        <f t="shared" si="11"/>
        <v>--</v>
      </c>
      <c r="R36" s="59" t="str">
        <f>IFERROR(HLOOKUP(Q36,Declarations!$D$2:$S$102,$O25,FALSE),"")</f>
        <v/>
      </c>
      <c r="S36" s="36" t="str">
        <f t="shared" si="8"/>
        <v>-</v>
      </c>
      <c r="T36" s="360"/>
      <c r="U36" s="421"/>
    </row>
    <row r="37" spans="1:21" x14ac:dyDescent="0.45">
      <c r="B37" s="62">
        <v>15</v>
      </c>
      <c r="C37" s="34" t="str">
        <f t="shared" si="9"/>
        <v>--</v>
      </c>
      <c r="D37" s="59" t="str">
        <f>IFERROR(HLOOKUP(C37,Declarations!$D$2:$S$102,$A25,FALSE),"")</f>
        <v/>
      </c>
      <c r="E37" s="36" t="str">
        <f t="shared" si="6"/>
        <v>-</v>
      </c>
      <c r="F37" s="360"/>
      <c r="I37" s="62">
        <v>15</v>
      </c>
      <c r="J37" s="34" t="str">
        <f t="shared" si="10"/>
        <v>--</v>
      </c>
      <c r="K37" s="59" t="str">
        <f>IFERROR(HLOOKUP(J37,Declarations!$D$2:$S$102,$H25,FALSE),"")</f>
        <v/>
      </c>
      <c r="L37" s="36" t="str">
        <f t="shared" si="7"/>
        <v>-</v>
      </c>
      <c r="M37" s="360"/>
      <c r="P37" s="62">
        <v>15</v>
      </c>
      <c r="Q37" s="34" t="str">
        <f t="shared" si="11"/>
        <v>--</v>
      </c>
      <c r="R37" s="59" t="str">
        <f>IFERROR(HLOOKUP(Q37,Declarations!$D$2:$S$102,$O25,FALSE),"")</f>
        <v/>
      </c>
      <c r="S37" s="36" t="str">
        <f t="shared" si="8"/>
        <v>-</v>
      </c>
      <c r="T37" s="360"/>
      <c r="U37" s="421"/>
    </row>
    <row r="38" spans="1:21" x14ac:dyDescent="0.45">
      <c r="B38" s="62">
        <v>16</v>
      </c>
      <c r="C38" s="34" t="str">
        <f t="shared" si="9"/>
        <v>--</v>
      </c>
      <c r="D38" s="59" t="str">
        <f>IFERROR(HLOOKUP(C38,Declarations!$D$2:$S$102,$A25,FALSE),"")</f>
        <v/>
      </c>
      <c r="E38" s="36" t="str">
        <f t="shared" si="6"/>
        <v>-</v>
      </c>
      <c r="F38" s="360"/>
      <c r="I38" s="62">
        <v>16</v>
      </c>
      <c r="J38" s="34" t="str">
        <f t="shared" si="10"/>
        <v>--</v>
      </c>
      <c r="K38" s="59" t="str">
        <f>IFERROR(HLOOKUP(J38,Declarations!$D$2:$S$102,$H25,FALSE),"")</f>
        <v/>
      </c>
      <c r="L38" s="36" t="str">
        <f t="shared" si="7"/>
        <v>-</v>
      </c>
      <c r="M38" s="360"/>
      <c r="P38" s="62">
        <v>16</v>
      </c>
      <c r="Q38" s="34" t="str">
        <f t="shared" si="11"/>
        <v>--</v>
      </c>
      <c r="R38" s="59" t="str">
        <f>IFERROR(HLOOKUP(Q38,Declarations!$D$2:$S$102,$O25,FALSE),"")</f>
        <v/>
      </c>
      <c r="S38" s="36" t="str">
        <f t="shared" si="8"/>
        <v>-</v>
      </c>
      <c r="T38" s="360"/>
      <c r="U38" s="421"/>
    </row>
    <row r="40" spans="1:21" x14ac:dyDescent="0.45">
      <c r="A40" s="32" t="str">
        <f>IFERROR(IF(LEFT(MatchDay!$C$2,1)="L","L"&amp;A41,"U"&amp;A41),"")</f>
        <v>LFD05</v>
      </c>
      <c r="B40" s="107" t="str">
        <f>IFERROR(VLOOKUP(A40,Timetables!$A:$G,3,FALSE)&amp;" "&amp;VLOOKUP(A40,Timetables!$A:$G,2,FALSE),"")</f>
        <v>U15 Girls Discus</v>
      </c>
      <c r="H40" s="32" t="str">
        <f>IFERROR(IF(LEFT(MatchDay!$C$2,1)="L","L"&amp;H41,"U"&amp;H41),"")</f>
        <v>LFD06</v>
      </c>
      <c r="I40" s="107" t="str">
        <f>IFERROR(VLOOKUP(H40,Timetables!$A:$G,3,FALSE)&amp;" "&amp;VLOOKUP(H40,Timetables!$A:$G,2,FALSE),"")</f>
        <v>U15 Boys Shot</v>
      </c>
      <c r="M40" s="63"/>
      <c r="O40" s="32" t="str">
        <f>IFERROR(IF(LEFT(MatchDay!$C$2,1)="L","L"&amp;O41,"U"&amp;O41),"")</f>
        <v>LFW03</v>
      </c>
      <c r="P40" s="107" t="str">
        <f>IFERROR(VLOOKUP(O40,Timetables!$A:$G,3,FALSE)&amp;" "&amp;VLOOKUP(O40,Timetables!$A:$G,2,FALSE),"")</f>
        <v>U13 Girls Long Jump</v>
      </c>
      <c r="T40" s="63"/>
    </row>
    <row r="41" spans="1:21" x14ac:dyDescent="0.45">
      <c r="A41" s="33" t="s">
        <v>261</v>
      </c>
      <c r="B41" s="62" t="s">
        <v>163</v>
      </c>
      <c r="C41" s="62" t="s">
        <v>159</v>
      </c>
      <c r="D41" s="59" t="s">
        <v>227</v>
      </c>
      <c r="E41" s="59" t="s">
        <v>228</v>
      </c>
      <c r="F41" s="63" t="s">
        <v>229</v>
      </c>
      <c r="H41" s="33" t="s">
        <v>262</v>
      </c>
      <c r="I41" s="62" t="s">
        <v>163</v>
      </c>
      <c r="J41" s="62" t="s">
        <v>159</v>
      </c>
      <c r="K41" s="59" t="s">
        <v>227</v>
      </c>
      <c r="L41" s="59" t="s">
        <v>228</v>
      </c>
      <c r="M41" s="63" t="s">
        <v>229</v>
      </c>
      <c r="O41" s="33" t="s">
        <v>303</v>
      </c>
      <c r="P41" s="62" t="s">
        <v>163</v>
      </c>
      <c r="Q41" s="62" t="s">
        <v>159</v>
      </c>
      <c r="R41" s="59" t="s">
        <v>227</v>
      </c>
      <c r="S41" s="59" t="s">
        <v>228</v>
      </c>
      <c r="T41" s="63" t="s">
        <v>229</v>
      </c>
      <c r="U41" s="62" t="s">
        <v>259</v>
      </c>
    </row>
    <row r="42" spans="1:21" x14ac:dyDescent="0.45">
      <c r="A42" s="62" t="s">
        <v>224</v>
      </c>
      <c r="B42" s="62">
        <v>1</v>
      </c>
      <c r="C42" s="34">
        <f>IFERROR(IF(B42&gt;MatchDay!$U$2,"-",VLOOKUP(A40,timetables,MatchDay!$U$4,FALSE)),0)</f>
        <v>3</v>
      </c>
      <c r="D42" s="59" t="str">
        <f ca="1">IFERROR(HLOOKUP(C42,Declarations!$D$2:$S$102,$A44,FALSE),"")</f>
        <v>BROOKS Carmen</v>
      </c>
      <c r="E42" s="36" t="str">
        <f t="shared" ref="E42:E57" si="12">IFERROR(VLOOKUP(C42,teamlookup,5,FALSE),"-")</f>
        <v>York</v>
      </c>
      <c r="F42" s="360">
        <v>20.52</v>
      </c>
      <c r="H42" s="62" t="s">
        <v>222</v>
      </c>
      <c r="I42" s="62">
        <v>1</v>
      </c>
      <c r="J42" s="34">
        <f>IFERROR(IF(I42&gt;MatchDay!$U$2,"-",VLOOKUP(H40,timetables,MatchDay!$U$4,FALSE)),0)</f>
        <v>3</v>
      </c>
      <c r="K42" s="59" t="str">
        <f ca="1">IFERROR(HLOOKUP(J42,Declarations!$D$2:$S$102,$H44,FALSE),"")</f>
        <v>MEIGH William</v>
      </c>
      <c r="L42" s="36" t="str">
        <f t="shared" ref="L42:L57" si="13">IFERROR(VLOOKUP(J42,teamlookup,5,FALSE),"-")</f>
        <v>York</v>
      </c>
      <c r="M42" s="360">
        <v>7.59</v>
      </c>
      <c r="O42" s="62" t="s">
        <v>212</v>
      </c>
      <c r="P42" s="62">
        <v>1</v>
      </c>
      <c r="Q42" s="34">
        <f>IFERROR(IF(P42&gt;MatchDay!$U$2,"-",VLOOKUP(O40,timetables,MatchDay!$U$4,FALSE)),0)</f>
        <v>1</v>
      </c>
      <c r="R42" s="59" t="str">
        <f ca="1">IFERROR(HLOOKUP(Q42,Declarations!$D$2:$S$102,$O44,FALSE),"")</f>
        <v>FELLOWS Isabelle</v>
      </c>
      <c r="S42" s="36" t="str">
        <f t="shared" ref="S42:S57" si="14">IFERROR(VLOOKUP(Q42,teamlookup,5,FALSE),"-")</f>
        <v>C'field</v>
      </c>
      <c r="T42" s="360">
        <v>3.9</v>
      </c>
      <c r="U42" s="421"/>
    </row>
    <row r="43" spans="1:21" x14ac:dyDescent="0.45">
      <c r="A43" s="62">
        <v>42</v>
      </c>
      <c r="B43" s="62">
        <v>2</v>
      </c>
      <c r="C43" s="34">
        <f>IFERROR(IF(B43&gt;MatchDay!$U$2,"-",VLOOKUP(A40,timetables,MatchDay!$U$4+1,FALSE)),0)</f>
        <v>5</v>
      </c>
      <c r="D43" s="59" t="str">
        <f ca="1">IFERROR(HLOOKUP(C43,Declarations!$D$2:$S$102,$A44,FALSE),"")</f>
        <v>THIRKETTLE Charlotte</v>
      </c>
      <c r="E43" s="36" t="str">
        <f t="shared" si="12"/>
        <v>Scun</v>
      </c>
      <c r="F43" s="360">
        <v>15.65</v>
      </c>
      <c r="H43" s="62">
        <f>A43</f>
        <v>42</v>
      </c>
      <c r="I43" s="62">
        <v>2</v>
      </c>
      <c r="J43" s="34">
        <f>IFERROR(IF(I43&gt;MatchDay!$U$2,"-",VLOOKUP(H40,timetables,MatchDay!$U$4+1,FALSE)),0)</f>
        <v>1</v>
      </c>
      <c r="K43" s="59" t="str">
        <f ca="1">IFERROR(HLOOKUP(J43,Declarations!$D$2:$S$102,$H44,FALSE),"")</f>
        <v>COOPER Malachi</v>
      </c>
      <c r="L43" s="36" t="str">
        <f t="shared" si="13"/>
        <v>C'field</v>
      </c>
      <c r="M43" s="360">
        <v>8.33</v>
      </c>
      <c r="O43" s="62">
        <f>A43</f>
        <v>42</v>
      </c>
      <c r="P43" s="62">
        <v>2</v>
      </c>
      <c r="Q43" s="34">
        <f>IFERROR(IF(P43&gt;MatchDay!$U$2,"-",VLOOKUP(O40,timetables,MatchDay!$U$4+1,FALSE)),0)</f>
        <v>5</v>
      </c>
      <c r="R43" s="59" t="str">
        <f ca="1">IFERROR(HLOOKUP(Q43,Declarations!$D$2:$S$102,$O44,FALSE),"")</f>
        <v>STOW Libby</v>
      </c>
      <c r="S43" s="36" t="str">
        <f t="shared" si="14"/>
        <v>Scun</v>
      </c>
      <c r="T43" s="360">
        <v>3.27</v>
      </c>
      <c r="U43" s="421"/>
    </row>
    <row r="44" spans="1:21" x14ac:dyDescent="0.45">
      <c r="A44" s="181">
        <f>IFERROR(VLOOKUP(A40,Timetables!$A:$E,5,FALSE)-1,"")</f>
        <v>14</v>
      </c>
      <c r="B44" s="62">
        <v>3</v>
      </c>
      <c r="C44" s="34">
        <f>IFERROR(IF(B44&gt;MatchDay!$U$2,"-",VLOOKUP(A40,timetables,MatchDay!$U$4+2,FALSE)),0)</f>
        <v>2</v>
      </c>
      <c r="D44" s="59" t="str">
        <f ca="1">IFERROR(HLOOKUP(C44,Declarations!$D$2:$S$102,$A44,FALSE),"")</f>
        <v>KYNOCH Ella</v>
      </c>
      <c r="E44" s="36" t="str">
        <f t="shared" si="12"/>
        <v>Sheff+D</v>
      </c>
      <c r="F44" s="360">
        <v>28.23</v>
      </c>
      <c r="H44" s="181">
        <f>IFERROR(VLOOKUP(H40,Timetables!$A:$E,5,FALSE)-1,"")</f>
        <v>67</v>
      </c>
      <c r="I44" s="62">
        <v>3</v>
      </c>
      <c r="J44" s="34">
        <f>IFERROR(IF(I44&gt;MatchDay!$U$2,"-",VLOOKUP(H40,timetables,MatchDay!$U$4+2,FALSE)),0)</f>
        <v>4</v>
      </c>
      <c r="K44" s="59" t="str">
        <f ca="1">IFERROR(HLOOKUP(J44,Declarations!$D$2:$S$102,$H44,FALSE),"")</f>
        <v>IBEH Terrell</v>
      </c>
      <c r="L44" s="36" t="str">
        <f t="shared" si="13"/>
        <v>M'bro</v>
      </c>
      <c r="M44" s="360">
        <v>5.76</v>
      </c>
      <c r="O44" s="181">
        <f>IFERROR(VLOOKUP(O40,Timetables!$A:$E,5,FALSE)-1,"")</f>
        <v>43</v>
      </c>
      <c r="P44" s="62">
        <v>3</v>
      </c>
      <c r="Q44" s="34">
        <f>IFERROR(IF(P44&gt;MatchDay!$U$2,"-",VLOOKUP(O40,timetables,MatchDay!$U$4+2,FALSE)),0)</f>
        <v>4</v>
      </c>
      <c r="R44" s="59" t="str">
        <f ca="1">IFERROR(HLOOKUP(Q44,Declarations!$D$2:$S$102,$O44,FALSE),"")</f>
        <v>WILMOT Amy</v>
      </c>
      <c r="S44" s="36" t="str">
        <f t="shared" si="14"/>
        <v>M'bro</v>
      </c>
      <c r="T44" s="360">
        <v>3.56</v>
      </c>
      <c r="U44" s="421"/>
    </row>
    <row r="45" spans="1:21" x14ac:dyDescent="0.45">
      <c r="B45" s="62">
        <v>4</v>
      </c>
      <c r="C45" s="34">
        <f>IFERROR(IF(B45&gt;MatchDay!$U$2,"-",VLOOKUP(A40,timetables,MatchDay!$U$4+3,FALSE)),0)</f>
        <v>4</v>
      </c>
      <c r="D45" s="59" t="str">
        <f ca="1">IFERROR(HLOOKUP(C45,Declarations!$D$2:$S$102,$A44,FALSE),"")</f>
        <v>DORAN Bethany</v>
      </c>
      <c r="E45" s="36" t="str">
        <f t="shared" si="12"/>
        <v>M'bro</v>
      </c>
      <c r="F45" s="360">
        <v>16.43</v>
      </c>
      <c r="I45" s="62">
        <v>4</v>
      </c>
      <c r="J45" s="34">
        <f>IFERROR(IF(I45&gt;MatchDay!$U$2,"-",VLOOKUP(H40,timetables,MatchDay!$U$4+3,FALSE)),0)</f>
        <v>2</v>
      </c>
      <c r="K45" s="59" t="str">
        <f ca="1">IFERROR(HLOOKUP(J45,Declarations!$D$2:$S$102,$H44,FALSE),"")</f>
        <v>LANE William</v>
      </c>
      <c r="L45" s="36" t="str">
        <f t="shared" si="13"/>
        <v>Sheff+D</v>
      </c>
      <c r="M45" s="360">
        <v>8.14</v>
      </c>
      <c r="P45" s="62">
        <v>4</v>
      </c>
      <c r="Q45" s="34">
        <f>IFERROR(IF(P45&gt;MatchDay!$U$2,"-",VLOOKUP(O40,timetables,MatchDay!$U$4+3,FALSE)),0)</f>
        <v>2</v>
      </c>
      <c r="R45" s="59" t="str">
        <f ca="1">IFERROR(HLOOKUP(Q45,Declarations!$D$2:$S$102,$O44,FALSE),"")</f>
        <v>COOPER Amy</v>
      </c>
      <c r="S45" s="36" t="str">
        <f t="shared" si="14"/>
        <v>Sheff+D</v>
      </c>
      <c r="T45" s="360">
        <v>3.01</v>
      </c>
      <c r="U45" s="421"/>
    </row>
    <row r="46" spans="1:21" x14ac:dyDescent="0.45">
      <c r="B46" s="62">
        <v>5</v>
      </c>
      <c r="C46" s="34">
        <f>IFERROR(IF(B46&gt;MatchDay!$U$2,"-",VLOOKUP(A40,timetables,MatchDay!$U$4+4,FALSE)),0)</f>
        <v>1</v>
      </c>
      <c r="D46" s="59" t="str">
        <f ca="1">IFERROR(HLOOKUP(C46,Declarations!$D$2:$S$102,$A44,FALSE),"")</f>
        <v>LABAN Ella</v>
      </c>
      <c r="E46" s="36" t="str">
        <f t="shared" si="12"/>
        <v>C'field</v>
      </c>
      <c r="F46" s="360">
        <v>15.03</v>
      </c>
      <c r="I46" s="62">
        <v>5</v>
      </c>
      <c r="J46" s="34">
        <f>IFERROR(IF(I46&gt;MatchDay!$U$2,"-",VLOOKUP(H40,timetables,MatchDay!$U$4+4,FALSE)),0)</f>
        <v>5</v>
      </c>
      <c r="K46" s="59" t="str">
        <f ca="1">IFERROR(HLOOKUP(J46,Declarations!$D$2:$S$102,$H44,FALSE),"")</f>
        <v>COOK Edwin</v>
      </c>
      <c r="L46" s="36" t="str">
        <f t="shared" si="13"/>
        <v>Scun</v>
      </c>
      <c r="M46" s="360">
        <v>7.89</v>
      </c>
      <c r="P46" s="62">
        <v>5</v>
      </c>
      <c r="Q46" s="34">
        <f>IFERROR(IF(P46&gt;MatchDay!$U$2,"-",VLOOKUP(O40,timetables,MatchDay!$U$4+4,FALSE)),0)</f>
        <v>3</v>
      </c>
      <c r="R46" s="59" t="str">
        <f ca="1">IFERROR(HLOOKUP(Q46,Declarations!$D$2:$S$102,$O44,FALSE),"")</f>
        <v>MAUDE Emily</v>
      </c>
      <c r="S46" s="36" t="str">
        <f t="shared" si="14"/>
        <v>York</v>
      </c>
      <c r="T46" s="360">
        <v>4.78</v>
      </c>
      <c r="U46" s="421"/>
    </row>
    <row r="47" spans="1:21" x14ac:dyDescent="0.45">
      <c r="B47" s="62">
        <v>6</v>
      </c>
      <c r="C47" s="34" t="str">
        <f>IFERROR(IF(B47&gt;MatchDay!$U$2,"-",VLOOKUP(A40,timetables,MatchDay!$U$4+5,FALSE)),0)</f>
        <v>-</v>
      </c>
      <c r="D47" s="59" t="str">
        <f>IFERROR(HLOOKUP(C47,Declarations!$D$2:$S$102,$A44,FALSE),"")</f>
        <v/>
      </c>
      <c r="E47" s="36" t="str">
        <f t="shared" si="12"/>
        <v/>
      </c>
      <c r="F47" s="360"/>
      <c r="I47" s="62">
        <v>6</v>
      </c>
      <c r="J47" s="34" t="str">
        <f>IFERROR(IF(I47&gt;MatchDay!$U$2,"-",VLOOKUP(H40,timetables,MatchDay!$U$4+5,FALSE)),0)</f>
        <v>-</v>
      </c>
      <c r="K47" s="59" t="str">
        <f>IFERROR(HLOOKUP(J47,Declarations!$D$2:$S$102,$H44,FALSE),"")</f>
        <v/>
      </c>
      <c r="L47" s="36" t="str">
        <f t="shared" si="13"/>
        <v/>
      </c>
      <c r="M47" s="360"/>
      <c r="P47" s="62">
        <v>6</v>
      </c>
      <c r="Q47" s="34" t="str">
        <f>IFERROR(IF(P47&gt;MatchDay!$U$2,"-",VLOOKUP(O40,timetables,MatchDay!$U$4+5,FALSE)),0)</f>
        <v>-</v>
      </c>
      <c r="R47" s="59" t="str">
        <f>IFERROR(HLOOKUP(Q47,Declarations!$D$2:$S$102,$O44,FALSE),"")</f>
        <v/>
      </c>
      <c r="S47" s="36" t="str">
        <f t="shared" si="14"/>
        <v/>
      </c>
      <c r="T47" s="360"/>
      <c r="U47" s="421"/>
    </row>
    <row r="48" spans="1:21" ht="15" customHeight="1" x14ac:dyDescent="0.45">
      <c r="A48" s="136"/>
      <c r="B48" s="62">
        <v>7</v>
      </c>
      <c r="C48" s="34" t="str">
        <f>IFERROR(IF(B48&gt;MatchDay!$U$2,"-",VLOOKUP(A40,timetables,MatchDay!$U$4+6,FALSE)),0)</f>
        <v>-</v>
      </c>
      <c r="D48" s="59" t="str">
        <f>IFERROR(HLOOKUP(C48,Declarations!$D$2:$S$102,$A44,FALSE),"")</f>
        <v/>
      </c>
      <c r="E48" s="36" t="str">
        <f t="shared" si="12"/>
        <v/>
      </c>
      <c r="F48" s="360"/>
      <c r="H48" s="136"/>
      <c r="I48" s="62">
        <v>7</v>
      </c>
      <c r="J48" s="34" t="str">
        <f>IFERROR(IF(I48&gt;MatchDay!$U$2,"-",VLOOKUP(H40,timetables,MatchDay!$U$4+6,FALSE)),0)</f>
        <v>-</v>
      </c>
      <c r="K48" s="59" t="str">
        <f>IFERROR(HLOOKUP(J48,Declarations!$D$2:$S$102,$H44,FALSE),"")</f>
        <v/>
      </c>
      <c r="L48" s="36" t="str">
        <f t="shared" si="13"/>
        <v/>
      </c>
      <c r="M48" s="360"/>
      <c r="O48" s="136"/>
      <c r="P48" s="62">
        <v>7</v>
      </c>
      <c r="Q48" s="34" t="str">
        <f>IFERROR(IF(P48&gt;MatchDay!$U$2,"-",VLOOKUP(O40,timetables,MatchDay!$U$4+6,FALSE)),0)</f>
        <v>-</v>
      </c>
      <c r="R48" s="59" t="str">
        <f>IFERROR(HLOOKUP(Q48,Declarations!$D$2:$S$102,$O44,FALSE),"")</f>
        <v/>
      </c>
      <c r="S48" s="36" t="str">
        <f t="shared" si="14"/>
        <v/>
      </c>
      <c r="T48" s="360"/>
      <c r="U48" s="421"/>
    </row>
    <row r="49" spans="1:21" x14ac:dyDescent="0.45">
      <c r="B49" s="62">
        <v>8</v>
      </c>
      <c r="C49" s="34" t="str">
        <f>IFERROR(IF(B49&gt;MatchDay!$U$2,"-",VLOOKUP(A40,timetables,MatchDay!$U$4+7,FALSE)),0)</f>
        <v>-</v>
      </c>
      <c r="D49" s="59" t="str">
        <f>IFERROR(HLOOKUP(C49,Declarations!$D$2:$S$102,$A44,FALSE),"")</f>
        <v/>
      </c>
      <c r="E49" s="36" t="str">
        <f t="shared" si="12"/>
        <v/>
      </c>
      <c r="F49" s="360"/>
      <c r="I49" s="62">
        <v>8</v>
      </c>
      <c r="J49" s="34" t="str">
        <f>IFERROR(IF(I49&gt;MatchDay!$U$2,"-",VLOOKUP(H40,timetables,MatchDay!$U$4+7,FALSE)),0)</f>
        <v>-</v>
      </c>
      <c r="K49" s="59" t="str">
        <f>IFERROR(HLOOKUP(J49,Declarations!$D$2:$S$102,$H44,FALSE),"")</f>
        <v/>
      </c>
      <c r="L49" s="36" t="str">
        <f t="shared" si="13"/>
        <v/>
      </c>
      <c r="M49" s="360"/>
      <c r="P49" s="62">
        <v>8</v>
      </c>
      <c r="Q49" s="34" t="str">
        <f>IFERROR(IF(P49&gt;MatchDay!$U$2,"-",VLOOKUP(O40,timetables,MatchDay!$U$4+7,FALSE)),0)</f>
        <v>-</v>
      </c>
      <c r="R49" s="59" t="str">
        <f>IFERROR(HLOOKUP(Q49,Declarations!$D$2:$S$102,$O44,FALSE),"")</f>
        <v/>
      </c>
      <c r="S49" s="36" t="str">
        <f t="shared" si="14"/>
        <v/>
      </c>
      <c r="T49" s="360"/>
      <c r="U49" s="421"/>
    </row>
    <row r="50" spans="1:21" x14ac:dyDescent="0.45">
      <c r="B50" s="62">
        <v>9</v>
      </c>
      <c r="C50" s="34">
        <f>IFERROR(IF(T(C42)="",C42*11,C42&amp;C42),"-")</f>
        <v>33</v>
      </c>
      <c r="D50" s="59" t="str">
        <f ca="1">IFERROR(HLOOKUP(C50,Declarations!$D$2:$S$102,$A44,FALSE),"")</f>
        <v>LEE Isabel</v>
      </c>
      <c r="E50" s="36" t="str">
        <f t="shared" si="12"/>
        <v>York</v>
      </c>
      <c r="F50" s="360">
        <v>14.1</v>
      </c>
      <c r="I50" s="62">
        <v>9</v>
      </c>
      <c r="J50" s="34">
        <f>IFERROR(IF(T(J42)="",J42*11,J42&amp;J42),"-")</f>
        <v>33</v>
      </c>
      <c r="K50" s="59" t="str">
        <f ca="1">IFERROR(HLOOKUP(J50,Declarations!$D$2:$S$102,$H44,FALSE),"")</f>
        <v>RUTTER Aaron</v>
      </c>
      <c r="L50" s="36" t="str">
        <f t="shared" si="13"/>
        <v>York</v>
      </c>
      <c r="M50" s="360">
        <v>11.8</v>
      </c>
      <c r="P50" s="62">
        <v>9</v>
      </c>
      <c r="Q50" s="34">
        <f>IFERROR(IF(T(Q42)="",Q42*11,Q42&amp;Q42),"-")</f>
        <v>11</v>
      </c>
      <c r="R50" s="59" t="str">
        <f ca="1">IFERROR(HLOOKUP(Q50,Declarations!$D$2:$S$102,$O44,FALSE),"")</f>
        <v>HUMPHREYS Melissa</v>
      </c>
      <c r="S50" s="36" t="str">
        <f t="shared" si="14"/>
        <v>C'field</v>
      </c>
      <c r="T50" s="360">
        <v>3.67</v>
      </c>
      <c r="U50" s="421"/>
    </row>
    <row r="51" spans="1:21" x14ac:dyDescent="0.45">
      <c r="B51" s="62">
        <v>10</v>
      </c>
      <c r="C51" s="34">
        <f t="shared" ref="C51:C57" si="15">IFERROR(IF(T(C43)="",C43*11,C43&amp;C43),"-")</f>
        <v>55</v>
      </c>
      <c r="D51" s="59" t="str">
        <f ca="1">IFERROR(HLOOKUP(C51,Declarations!$D$2:$S$102,$A44,FALSE),"")</f>
        <v>-</v>
      </c>
      <c r="E51" s="36" t="str">
        <f t="shared" si="12"/>
        <v>Scun</v>
      </c>
      <c r="F51" s="360"/>
      <c r="I51" s="62">
        <v>10</v>
      </c>
      <c r="J51" s="34">
        <f t="shared" ref="J51:J57" si="16">IFERROR(IF(T(J43)="",J43*11,J43&amp;J43),"-")</f>
        <v>11</v>
      </c>
      <c r="K51" s="59" t="str">
        <f ca="1">IFERROR(HLOOKUP(J51,Declarations!$D$2:$S$102,$H44,FALSE),"")</f>
        <v>MAZUREK Gracjan</v>
      </c>
      <c r="L51" s="36" t="str">
        <f t="shared" si="13"/>
        <v>C'field</v>
      </c>
      <c r="M51" s="360">
        <v>6.25</v>
      </c>
      <c r="P51" s="62">
        <v>10</v>
      </c>
      <c r="Q51" s="34">
        <f t="shared" ref="Q51:Q57" si="17">IFERROR(IF(T(Q43)="",Q43*11,Q43&amp;Q43),"-")</f>
        <v>55</v>
      </c>
      <c r="R51" s="59" t="str">
        <f ca="1">IFERROR(HLOOKUP(Q51,Declarations!$D$2:$S$102,$O44,FALSE),"")</f>
        <v>HAYES Zara</v>
      </c>
      <c r="S51" s="36" t="str">
        <f t="shared" si="14"/>
        <v>Scun</v>
      </c>
      <c r="T51" s="360">
        <v>2.98</v>
      </c>
      <c r="U51" s="421"/>
    </row>
    <row r="52" spans="1:21" x14ac:dyDescent="0.45">
      <c r="B52" s="62">
        <v>11</v>
      </c>
      <c r="C52" s="34">
        <f t="shared" si="15"/>
        <v>22</v>
      </c>
      <c r="D52" s="59" t="str">
        <f ca="1">IFERROR(HLOOKUP(C52,Declarations!$D$2:$S$102,$A44,FALSE),"")</f>
        <v>JELONKIEWICZ Viktoria</v>
      </c>
      <c r="E52" s="36" t="str">
        <f t="shared" si="12"/>
        <v>Sheff+D</v>
      </c>
      <c r="F52" s="360">
        <v>17.149999999999999</v>
      </c>
      <c r="I52" s="62">
        <v>11</v>
      </c>
      <c r="J52" s="34">
        <f t="shared" si="16"/>
        <v>44</v>
      </c>
      <c r="K52" s="59" t="str">
        <f ca="1">IFERROR(HLOOKUP(J52,Declarations!$D$2:$S$102,$H44,FALSE),"")</f>
        <v>KAYE Charlie</v>
      </c>
      <c r="L52" s="36" t="str">
        <f t="shared" si="13"/>
        <v>M'bro</v>
      </c>
      <c r="M52" s="360">
        <v>4.67</v>
      </c>
      <c r="P52" s="62">
        <v>11</v>
      </c>
      <c r="Q52" s="34">
        <f t="shared" si="17"/>
        <v>44</v>
      </c>
      <c r="R52" s="59" t="str">
        <f ca="1">IFERROR(HLOOKUP(Q52,Declarations!$D$2:$S$102,$O44,FALSE),"")</f>
        <v>SULLOCK Beth</v>
      </c>
      <c r="S52" s="36" t="str">
        <f t="shared" si="14"/>
        <v>M'bro</v>
      </c>
      <c r="T52" s="360">
        <v>3.53</v>
      </c>
      <c r="U52" s="421"/>
    </row>
    <row r="53" spans="1:21" x14ac:dyDescent="0.45">
      <c r="B53" s="62">
        <v>12</v>
      </c>
      <c r="C53" s="34">
        <f t="shared" si="15"/>
        <v>44</v>
      </c>
      <c r="D53" s="59" t="str">
        <f ca="1">IFERROR(HLOOKUP(C53,Declarations!$D$2:$S$102,$A44,FALSE),"")</f>
        <v>MANNION Grace</v>
      </c>
      <c r="E53" s="36" t="str">
        <f t="shared" si="12"/>
        <v>M'bro</v>
      </c>
      <c r="F53" s="360">
        <v>11.92</v>
      </c>
      <c r="I53" s="62">
        <v>12</v>
      </c>
      <c r="J53" s="34">
        <f t="shared" si="16"/>
        <v>22</v>
      </c>
      <c r="K53" s="59">
        <f ca="1">IFERROR(HLOOKUP(J53,Declarations!$D$2:$S$102,$H44,FALSE),"")</f>
        <v>0</v>
      </c>
      <c r="L53" s="36" t="str">
        <f t="shared" si="13"/>
        <v>Sheff+D</v>
      </c>
      <c r="M53" s="360"/>
      <c r="P53" s="62">
        <v>12</v>
      </c>
      <c r="Q53" s="34">
        <f t="shared" si="17"/>
        <v>22</v>
      </c>
      <c r="R53" s="59" t="str">
        <f ca="1">IFERROR(HLOOKUP(Q53,Declarations!$D$2:$S$102,$O44,FALSE),"")</f>
        <v>GROVE Abigail</v>
      </c>
      <c r="S53" s="36" t="str">
        <f t="shared" si="14"/>
        <v>Sheff+D</v>
      </c>
      <c r="T53" s="360">
        <v>3.05</v>
      </c>
      <c r="U53" s="421"/>
    </row>
    <row r="54" spans="1:21" x14ac:dyDescent="0.45">
      <c r="B54" s="62">
        <v>13</v>
      </c>
      <c r="C54" s="34">
        <f t="shared" si="15"/>
        <v>11</v>
      </c>
      <c r="D54" s="59" t="str">
        <f ca="1">IFERROR(HLOOKUP(C54,Declarations!$D$2:$S$102,$A44,FALSE),"")</f>
        <v>HIGHAM Ruby</v>
      </c>
      <c r="E54" s="36" t="str">
        <f t="shared" si="12"/>
        <v>C'field</v>
      </c>
      <c r="F54" s="360">
        <v>10.61</v>
      </c>
      <c r="I54" s="62">
        <v>13</v>
      </c>
      <c r="J54" s="34">
        <f t="shared" si="16"/>
        <v>55</v>
      </c>
      <c r="K54" s="59" t="str">
        <f ca="1">IFERROR(HLOOKUP(J54,Declarations!$D$2:$S$102,$H44,FALSE),"")</f>
        <v>OADES Matthew</v>
      </c>
      <c r="L54" s="36" t="str">
        <f t="shared" si="13"/>
        <v>Scun</v>
      </c>
      <c r="M54" s="360"/>
      <c r="P54" s="62">
        <v>13</v>
      </c>
      <c r="Q54" s="34">
        <f t="shared" si="17"/>
        <v>33</v>
      </c>
      <c r="R54" s="59" t="str">
        <f ca="1">IFERROR(HLOOKUP(Q54,Declarations!$D$2:$S$102,$O44,FALSE),"")</f>
        <v>WRIGHT Ella</v>
      </c>
      <c r="S54" s="36" t="str">
        <f t="shared" si="14"/>
        <v>York</v>
      </c>
      <c r="T54" s="360">
        <v>3.79</v>
      </c>
      <c r="U54" s="421"/>
    </row>
    <row r="55" spans="1:21" x14ac:dyDescent="0.45">
      <c r="B55" s="62">
        <v>14</v>
      </c>
      <c r="C55" s="34" t="str">
        <f t="shared" si="15"/>
        <v>--</v>
      </c>
      <c r="D55" s="59" t="str">
        <f>IFERROR(HLOOKUP(C55,Declarations!$D$2:$S$102,$A44,FALSE),"")</f>
        <v/>
      </c>
      <c r="E55" s="36" t="str">
        <f t="shared" si="12"/>
        <v>-</v>
      </c>
      <c r="F55" s="360"/>
      <c r="I55" s="62">
        <v>14</v>
      </c>
      <c r="J55" s="34" t="str">
        <f t="shared" si="16"/>
        <v>--</v>
      </c>
      <c r="K55" s="59" t="str">
        <f>IFERROR(HLOOKUP(J55,Declarations!$D$2:$S$102,$H44,FALSE),"")</f>
        <v/>
      </c>
      <c r="L55" s="36" t="str">
        <f t="shared" si="13"/>
        <v>-</v>
      </c>
      <c r="M55" s="360"/>
      <c r="P55" s="62">
        <v>14</v>
      </c>
      <c r="Q55" s="34" t="str">
        <f t="shared" si="17"/>
        <v>--</v>
      </c>
      <c r="R55" s="59" t="str">
        <f>IFERROR(HLOOKUP(Q55,Declarations!$D$2:$S$102,$O44,FALSE),"")</f>
        <v/>
      </c>
      <c r="S55" s="36" t="str">
        <f t="shared" si="14"/>
        <v>-</v>
      </c>
      <c r="T55" s="360"/>
      <c r="U55" s="421"/>
    </row>
    <row r="56" spans="1:21" x14ac:dyDescent="0.45">
      <c r="B56" s="62">
        <v>15</v>
      </c>
      <c r="C56" s="34" t="str">
        <f t="shared" si="15"/>
        <v>--</v>
      </c>
      <c r="D56" s="59" t="str">
        <f>IFERROR(HLOOKUP(C56,Declarations!$D$2:$S$102,$A44,FALSE),"")</f>
        <v/>
      </c>
      <c r="E56" s="36" t="str">
        <f t="shared" si="12"/>
        <v>-</v>
      </c>
      <c r="F56" s="360"/>
      <c r="I56" s="62">
        <v>15</v>
      </c>
      <c r="J56" s="34" t="str">
        <f t="shared" si="16"/>
        <v>--</v>
      </c>
      <c r="K56" s="59" t="str">
        <f>IFERROR(HLOOKUP(J56,Declarations!$D$2:$S$102,$H44,FALSE),"")</f>
        <v/>
      </c>
      <c r="L56" s="36" t="str">
        <f t="shared" si="13"/>
        <v>-</v>
      </c>
      <c r="M56" s="360"/>
      <c r="P56" s="62">
        <v>15</v>
      </c>
      <c r="Q56" s="34" t="str">
        <f t="shared" si="17"/>
        <v>--</v>
      </c>
      <c r="R56" s="59" t="str">
        <f>IFERROR(HLOOKUP(Q56,Declarations!$D$2:$S$102,$O44,FALSE),"")</f>
        <v/>
      </c>
      <c r="S56" s="36" t="str">
        <f t="shared" si="14"/>
        <v>-</v>
      </c>
      <c r="T56" s="360"/>
      <c r="U56" s="421"/>
    </row>
    <row r="57" spans="1:21" x14ac:dyDescent="0.45">
      <c r="B57" s="62">
        <v>16</v>
      </c>
      <c r="C57" s="34" t="str">
        <f t="shared" si="15"/>
        <v>--</v>
      </c>
      <c r="D57" s="59" t="str">
        <f>IFERROR(HLOOKUP(C57,Declarations!$D$2:$S$102,$A44,FALSE),"")</f>
        <v/>
      </c>
      <c r="E57" s="36" t="str">
        <f t="shared" si="12"/>
        <v>-</v>
      </c>
      <c r="F57" s="360"/>
      <c r="I57" s="62">
        <v>16</v>
      </c>
      <c r="J57" s="34" t="str">
        <f t="shared" si="16"/>
        <v>--</v>
      </c>
      <c r="K57" s="59" t="str">
        <f>IFERROR(HLOOKUP(J57,Declarations!$D$2:$S$102,$H44,FALSE),"")</f>
        <v/>
      </c>
      <c r="L57" s="36" t="str">
        <f t="shared" si="13"/>
        <v>-</v>
      </c>
      <c r="M57" s="360"/>
      <c r="P57" s="62">
        <v>16</v>
      </c>
      <c r="Q57" s="34" t="str">
        <f t="shared" si="17"/>
        <v>--</v>
      </c>
      <c r="R57" s="59" t="str">
        <f>IFERROR(HLOOKUP(Q57,Declarations!$D$2:$S$102,$O44,FALSE),"")</f>
        <v/>
      </c>
      <c r="S57" s="36" t="str">
        <f t="shared" si="14"/>
        <v>-</v>
      </c>
      <c r="T57" s="360"/>
      <c r="U57" s="421"/>
    </row>
    <row r="59" spans="1:21" x14ac:dyDescent="0.45">
      <c r="A59" s="32" t="str">
        <f>IFERROR(IF(LEFT(MatchDay!$C$2,1)="L","L"&amp;A60,"U"&amp;A60),"")</f>
        <v>LFD07</v>
      </c>
      <c r="B59" s="107" t="str">
        <f>IFERROR(VLOOKUP(A59,Timetables!$A:$G,3,FALSE)&amp;" "&amp;VLOOKUP(A59,Timetables!$A:$G,2,FALSE),"")</f>
        <v>U15 Boys Javelin</v>
      </c>
      <c r="H59" s="32" t="str">
        <f>IFERROR(IF(LEFT(MatchDay!$C$2,1)="L","L"&amp;H60,"U"&amp;H60),"")</f>
        <v>LFD08</v>
      </c>
      <c r="I59" s="107" t="str">
        <f>IFERROR(VLOOKUP(H59,Timetables!$A:$G,3,FALSE)&amp;" "&amp;VLOOKUP(H59,Timetables!$A:$G,2,FALSE),"")</f>
        <v>U15 Girls Javelin</v>
      </c>
      <c r="M59" s="63"/>
      <c r="O59" s="32" t="str">
        <f>IFERROR(IF(LEFT(MatchDay!$C$2,1)="L","L"&amp;O60,"U"&amp;O60),"")</f>
        <v>LFW04</v>
      </c>
      <c r="P59" s="107" t="str">
        <f>IFERROR(VLOOKUP(O59,Timetables!$A:$G,3,FALSE)&amp;" "&amp;VLOOKUP(O59,Timetables!$A:$G,2,FALSE),"")</f>
        <v>U15 Boys Long Jump</v>
      </c>
      <c r="T59" s="63"/>
    </row>
    <row r="60" spans="1:21" x14ac:dyDescent="0.45">
      <c r="A60" s="33" t="s">
        <v>263</v>
      </c>
      <c r="B60" s="62" t="s">
        <v>163</v>
      </c>
      <c r="C60" s="62" t="s">
        <v>159</v>
      </c>
      <c r="D60" s="59" t="s">
        <v>227</v>
      </c>
      <c r="E60" s="59" t="s">
        <v>228</v>
      </c>
      <c r="F60" s="63" t="s">
        <v>229</v>
      </c>
      <c r="H60" s="33" t="s">
        <v>264</v>
      </c>
      <c r="I60" s="62" t="s">
        <v>163</v>
      </c>
      <c r="J60" s="62" t="s">
        <v>159</v>
      </c>
      <c r="K60" s="59" t="s">
        <v>227</v>
      </c>
      <c r="L60" s="59" t="s">
        <v>228</v>
      </c>
      <c r="M60" s="63" t="s">
        <v>229</v>
      </c>
      <c r="O60" s="33" t="s">
        <v>304</v>
      </c>
      <c r="P60" s="62" t="s">
        <v>163</v>
      </c>
      <c r="Q60" s="62" t="s">
        <v>159</v>
      </c>
      <c r="R60" s="59" t="s">
        <v>227</v>
      </c>
      <c r="S60" s="59" t="s">
        <v>228</v>
      </c>
      <c r="T60" s="63" t="s">
        <v>229</v>
      </c>
      <c r="U60" s="62" t="s">
        <v>259</v>
      </c>
    </row>
    <row r="61" spans="1:21" x14ac:dyDescent="0.45">
      <c r="A61" s="62" t="s">
        <v>224</v>
      </c>
      <c r="B61" s="62">
        <v>1</v>
      </c>
      <c r="C61" s="34">
        <f>IFERROR(IF(B61&gt;MatchDay!$U$2,"-",VLOOKUP(A59,timetables,MatchDay!$U$4,FALSE)),0)</f>
        <v>4</v>
      </c>
      <c r="D61" s="59" t="str">
        <f ca="1">IFERROR(HLOOKUP(C61,Declarations!$D$2:$S$102,$A63,FALSE),"")</f>
        <v>-</v>
      </c>
      <c r="E61" s="36" t="str">
        <f t="shared" ref="E61:E76" si="18">IFERROR(VLOOKUP(C61,teamlookup,5,FALSE),"-")</f>
        <v>M'bro</v>
      </c>
      <c r="F61" s="360"/>
      <c r="H61" s="62" t="s">
        <v>222</v>
      </c>
      <c r="I61" s="62">
        <v>1</v>
      </c>
      <c r="J61" s="34">
        <f>IFERROR(IF(I61&gt;MatchDay!$U$2,"-",VLOOKUP(H59,timetables,MatchDay!$U$4,FALSE)),0)</f>
        <v>4</v>
      </c>
      <c r="K61" s="59" t="str">
        <f ca="1">IFERROR(HLOOKUP(J61,Declarations!$D$2:$S$102,$H63,FALSE),"")</f>
        <v>DORAN Bethany</v>
      </c>
      <c r="L61" s="36" t="str">
        <f t="shared" ref="L61:L76" si="19">IFERROR(VLOOKUP(J61,teamlookup,5,FALSE),"-")</f>
        <v>M'bro</v>
      </c>
      <c r="M61" s="360">
        <v>17.09</v>
      </c>
      <c r="O61" s="62" t="s">
        <v>212</v>
      </c>
      <c r="P61" s="62">
        <v>1</v>
      </c>
      <c r="Q61" s="34">
        <f>IFERROR(IF(P61&gt;MatchDay!$U$2,"-",VLOOKUP(O59,timetables,MatchDay!$U$4,FALSE)),0)</f>
        <v>1</v>
      </c>
      <c r="R61" s="59" t="str">
        <f ca="1">IFERROR(HLOOKUP(Q61,Declarations!$D$2:$S$102,$O63,FALSE),"")</f>
        <v>FOGDEN Ben</v>
      </c>
      <c r="S61" s="36" t="str">
        <f t="shared" ref="S61:S76" si="20">IFERROR(VLOOKUP(Q61,teamlookup,5,FALSE),"-")</f>
        <v>C'field</v>
      </c>
      <c r="T61" s="360">
        <v>4.83</v>
      </c>
      <c r="U61" s="421"/>
    </row>
    <row r="62" spans="1:21" x14ac:dyDescent="0.45">
      <c r="A62" s="62">
        <v>61</v>
      </c>
      <c r="B62" s="62">
        <v>2</v>
      </c>
      <c r="C62" s="34">
        <f>IFERROR(IF(B62&gt;MatchDay!$U$2,"-",VLOOKUP(A59,timetables,MatchDay!$U$4+1,FALSE)),0)</f>
        <v>2</v>
      </c>
      <c r="D62" s="59" t="str">
        <f ca="1">IFERROR(HLOOKUP(C62,Declarations!$D$2:$S$102,$A63,FALSE),"")</f>
        <v>COLLINI Joseph</v>
      </c>
      <c r="E62" s="36" t="str">
        <f t="shared" si="18"/>
        <v>Sheff+D</v>
      </c>
      <c r="F62" s="360">
        <v>16.920000000000002</v>
      </c>
      <c r="H62" s="62">
        <f>A62</f>
        <v>61</v>
      </c>
      <c r="I62" s="62">
        <v>2</v>
      </c>
      <c r="J62" s="34">
        <f>IFERROR(IF(I62&gt;MatchDay!$U$2,"-",VLOOKUP(H59,timetables,MatchDay!$U$4+1,FALSE)),0)</f>
        <v>2</v>
      </c>
      <c r="K62" s="59" t="str">
        <f ca="1">IFERROR(HLOOKUP(J62,Declarations!$D$2:$S$102,$H63,FALSE),"")</f>
        <v>PADDON Freya</v>
      </c>
      <c r="L62" s="36" t="str">
        <f t="shared" si="19"/>
        <v>Sheff+D</v>
      </c>
      <c r="M62" s="360">
        <v>24.29</v>
      </c>
      <c r="O62" s="62">
        <f>A62</f>
        <v>61</v>
      </c>
      <c r="P62" s="62">
        <v>2</v>
      </c>
      <c r="Q62" s="34">
        <f>IFERROR(IF(P62&gt;MatchDay!$U$2,"-",VLOOKUP(O59,timetables,MatchDay!$U$4+1,FALSE)),0)</f>
        <v>5</v>
      </c>
      <c r="R62" s="59">
        <f ca="1">IFERROR(HLOOKUP(Q62,Declarations!$D$2:$S$102,$O63,FALSE),"")</f>
        <v>0</v>
      </c>
      <c r="S62" s="36" t="str">
        <f t="shared" si="20"/>
        <v>Scun</v>
      </c>
      <c r="T62" s="360"/>
      <c r="U62" s="421"/>
    </row>
    <row r="63" spans="1:21" x14ac:dyDescent="0.45">
      <c r="A63" s="181">
        <f>IFERROR(VLOOKUP(A59,Timetables!$A:$E,5,FALSE)-1,"")</f>
        <v>66</v>
      </c>
      <c r="B63" s="62">
        <v>3</v>
      </c>
      <c r="C63" s="34">
        <f>IFERROR(IF(B63&gt;MatchDay!$U$2,"-",VLOOKUP(A59,timetables,MatchDay!$U$4+2,FALSE)),0)</f>
        <v>5</v>
      </c>
      <c r="D63" s="59" t="str">
        <f ca="1">IFERROR(HLOOKUP(C63,Declarations!$D$2:$S$102,$A63,FALSE),"")</f>
        <v>COOK Edwin</v>
      </c>
      <c r="E63" s="36" t="str">
        <f t="shared" si="18"/>
        <v>Scun</v>
      </c>
      <c r="F63" s="360">
        <v>20.81</v>
      </c>
      <c r="H63" s="181">
        <f>IFERROR(VLOOKUP(H59,Timetables!$A:$E,5,FALSE)-1,"")</f>
        <v>16</v>
      </c>
      <c r="I63" s="62">
        <v>3</v>
      </c>
      <c r="J63" s="34">
        <f>IFERROR(IF(I63&gt;MatchDay!$U$2,"-",VLOOKUP(H59,timetables,MatchDay!$U$4+2,FALSE)),0)</f>
        <v>5</v>
      </c>
      <c r="K63" s="59" t="str">
        <f ca="1">IFERROR(HLOOKUP(J63,Declarations!$D$2:$S$102,$H63,FALSE),"")</f>
        <v>BETTS Demi</v>
      </c>
      <c r="L63" s="36" t="str">
        <f t="shared" si="19"/>
        <v>Scun</v>
      </c>
      <c r="M63" s="360">
        <v>13.24</v>
      </c>
      <c r="O63" s="181">
        <f>IFERROR(VLOOKUP(O59,Timetables!$A:$E,5,FALSE)-1,"")</f>
        <v>68</v>
      </c>
      <c r="P63" s="62">
        <v>3</v>
      </c>
      <c r="Q63" s="34">
        <f>IFERROR(IF(P63&gt;MatchDay!$U$2,"-",VLOOKUP(O59,timetables,MatchDay!$U$4+2,FALSE)),0)</f>
        <v>4</v>
      </c>
      <c r="R63" s="59" t="str">
        <f ca="1">IFERROR(HLOOKUP(Q63,Declarations!$D$2:$S$102,$O63,FALSE),"")</f>
        <v>CHINNERY Norton</v>
      </c>
      <c r="S63" s="36" t="str">
        <f t="shared" si="20"/>
        <v>M'bro</v>
      </c>
      <c r="T63" s="360">
        <v>4.6100000000000003</v>
      </c>
      <c r="U63" s="421"/>
    </row>
    <row r="64" spans="1:21" x14ac:dyDescent="0.45">
      <c r="B64" s="62">
        <v>4</v>
      </c>
      <c r="C64" s="34">
        <f>IFERROR(IF(B64&gt;MatchDay!$U$2,"-",VLOOKUP(A59,timetables,MatchDay!$U$4+3,FALSE)),0)</f>
        <v>1</v>
      </c>
      <c r="D64" s="59" t="str">
        <f ca="1">IFERROR(HLOOKUP(C64,Declarations!$D$2:$S$102,$A63,FALSE),"")</f>
        <v>BETTNEY Thomas</v>
      </c>
      <c r="E64" s="36" t="str">
        <f t="shared" si="18"/>
        <v>C'field</v>
      </c>
      <c r="F64" s="360">
        <v>15.02</v>
      </c>
      <c r="I64" s="62">
        <v>4</v>
      </c>
      <c r="J64" s="34">
        <f>IFERROR(IF(I64&gt;MatchDay!$U$2,"-",VLOOKUP(H59,timetables,MatchDay!$U$4+3,FALSE)),0)</f>
        <v>1</v>
      </c>
      <c r="K64" s="59" t="str">
        <f ca="1">IFERROR(HLOOKUP(J64,Declarations!$D$2:$S$102,$H63,FALSE),"")</f>
        <v>BAINES Lily</v>
      </c>
      <c r="L64" s="36" t="str">
        <f t="shared" si="19"/>
        <v>C'field</v>
      </c>
      <c r="M64" s="360">
        <v>23.48</v>
      </c>
      <c r="P64" s="62">
        <v>4</v>
      </c>
      <c r="Q64" s="34">
        <f>IFERROR(IF(P64&gt;MatchDay!$U$2,"-",VLOOKUP(O59,timetables,MatchDay!$U$4+3,FALSE)),0)</f>
        <v>2</v>
      </c>
      <c r="R64" s="59" t="str">
        <f ca="1">IFERROR(HLOOKUP(Q64,Declarations!$D$2:$S$102,$O63,FALSE),"")</f>
        <v>BENTLEY Tom</v>
      </c>
      <c r="S64" s="36" t="str">
        <f t="shared" si="20"/>
        <v>Sheff+D</v>
      </c>
      <c r="T64" s="360">
        <v>4.92</v>
      </c>
      <c r="U64" s="421"/>
    </row>
    <row r="65" spans="1:21" x14ac:dyDescent="0.45">
      <c r="B65" s="62">
        <v>5</v>
      </c>
      <c r="C65" s="34">
        <f>IFERROR(IF(B65&gt;MatchDay!$U$2,"-",VLOOKUP(A59,timetables,MatchDay!$U$4+4,FALSE)),0)</f>
        <v>3</v>
      </c>
      <c r="D65" s="59" t="str">
        <f ca="1">IFERROR(HLOOKUP(C65,Declarations!$D$2:$S$102,$A63,FALSE),"")</f>
        <v>RHODES Ashton</v>
      </c>
      <c r="E65" s="36" t="str">
        <f t="shared" si="18"/>
        <v>York</v>
      </c>
      <c r="F65" s="360">
        <v>20.329999999999998</v>
      </c>
      <c r="I65" s="62">
        <v>5</v>
      </c>
      <c r="J65" s="34">
        <f>IFERROR(IF(I65&gt;MatchDay!$U$2,"-",VLOOKUP(H59,timetables,MatchDay!$U$4+4,FALSE)),0)</f>
        <v>3</v>
      </c>
      <c r="K65" s="59" t="str">
        <f ca="1">IFERROR(HLOOKUP(J65,Declarations!$D$2:$S$102,$H63,FALSE),"")</f>
        <v>CROSBY Alice</v>
      </c>
      <c r="L65" s="36" t="str">
        <f t="shared" si="19"/>
        <v>York</v>
      </c>
      <c r="M65" s="360">
        <v>13.19</v>
      </c>
      <c r="P65" s="62">
        <v>5</v>
      </c>
      <c r="Q65" s="34">
        <f>IFERROR(IF(P65&gt;MatchDay!$U$2,"-",VLOOKUP(O59,timetables,MatchDay!$U$4+4,FALSE)),0)</f>
        <v>3</v>
      </c>
      <c r="R65" s="59" t="str">
        <f ca="1">IFERROR(HLOOKUP(Q65,Declarations!$D$2:$S$102,$O63,FALSE),"")</f>
        <v>COOK Harry</v>
      </c>
      <c r="S65" s="36" t="str">
        <f t="shared" si="20"/>
        <v>York</v>
      </c>
      <c r="T65" s="360">
        <v>4.41</v>
      </c>
      <c r="U65" s="421"/>
    </row>
    <row r="66" spans="1:21" x14ac:dyDescent="0.45">
      <c r="B66" s="62">
        <v>6</v>
      </c>
      <c r="C66" s="34" t="str">
        <f>IFERROR(IF(B66&gt;MatchDay!$U$2,"-",VLOOKUP(A59,timetables,MatchDay!$U$4+5,FALSE)),0)</f>
        <v>-</v>
      </c>
      <c r="D66" s="59" t="str">
        <f>IFERROR(HLOOKUP(C66,Declarations!$D$2:$S$102,$A63,FALSE),"")</f>
        <v/>
      </c>
      <c r="E66" s="36" t="str">
        <f t="shared" si="18"/>
        <v/>
      </c>
      <c r="F66" s="360"/>
      <c r="I66" s="62">
        <v>6</v>
      </c>
      <c r="J66" s="34" t="str">
        <f>IFERROR(IF(I66&gt;MatchDay!$U$2,"-",VLOOKUP(H59,timetables,MatchDay!$U$4+5,FALSE)),0)</f>
        <v>-</v>
      </c>
      <c r="K66" s="59" t="str">
        <f>IFERROR(HLOOKUP(J66,Declarations!$D$2:$S$102,$H63,FALSE),"")</f>
        <v/>
      </c>
      <c r="L66" s="36" t="str">
        <f t="shared" si="19"/>
        <v/>
      </c>
      <c r="M66" s="360"/>
      <c r="P66" s="62">
        <v>6</v>
      </c>
      <c r="Q66" s="34" t="str">
        <f>IFERROR(IF(P66&gt;MatchDay!$U$2,"-",VLOOKUP(O59,timetables,MatchDay!$U$4+5,FALSE)),0)</f>
        <v>-</v>
      </c>
      <c r="R66" s="59" t="str">
        <f>IFERROR(HLOOKUP(Q66,Declarations!$D$2:$S$102,$O63,FALSE),"")</f>
        <v/>
      </c>
      <c r="S66" s="36" t="str">
        <f t="shared" si="20"/>
        <v/>
      </c>
      <c r="T66" s="360"/>
      <c r="U66" s="421"/>
    </row>
    <row r="67" spans="1:21" ht="15" customHeight="1" x14ac:dyDescent="0.45">
      <c r="A67" s="136"/>
      <c r="B67" s="62">
        <v>7</v>
      </c>
      <c r="C67" s="34" t="str">
        <f>IFERROR(IF(B67&gt;MatchDay!$U$2,"-",VLOOKUP(A59,timetables,MatchDay!$U$4+6,FALSE)),0)</f>
        <v>-</v>
      </c>
      <c r="D67" s="59" t="str">
        <f>IFERROR(HLOOKUP(C67,Declarations!$D$2:$S$102,$A63,FALSE),"")</f>
        <v/>
      </c>
      <c r="E67" s="36" t="str">
        <f t="shared" si="18"/>
        <v/>
      </c>
      <c r="F67" s="360"/>
      <c r="H67" s="136"/>
      <c r="I67" s="62">
        <v>7</v>
      </c>
      <c r="J67" s="34" t="str">
        <f>IFERROR(IF(I67&gt;MatchDay!$U$2,"-",VLOOKUP(H59,timetables,MatchDay!$U$4+6,FALSE)),0)</f>
        <v>-</v>
      </c>
      <c r="K67" s="59" t="str">
        <f>IFERROR(HLOOKUP(J67,Declarations!$D$2:$S$102,$H63,FALSE),"")</f>
        <v/>
      </c>
      <c r="L67" s="36" t="str">
        <f t="shared" si="19"/>
        <v/>
      </c>
      <c r="M67" s="360"/>
      <c r="O67" s="136"/>
      <c r="P67" s="62">
        <v>7</v>
      </c>
      <c r="Q67" s="34" t="str">
        <f>IFERROR(IF(P67&gt;MatchDay!$U$2,"-",VLOOKUP(O59,timetables,MatchDay!$U$4+6,FALSE)),0)</f>
        <v>-</v>
      </c>
      <c r="R67" s="59" t="str">
        <f>IFERROR(HLOOKUP(Q67,Declarations!$D$2:$S$102,$O63,FALSE),"")</f>
        <v/>
      </c>
      <c r="S67" s="36" t="str">
        <f t="shared" si="20"/>
        <v/>
      </c>
      <c r="T67" s="360"/>
      <c r="U67" s="421"/>
    </row>
    <row r="68" spans="1:21" x14ac:dyDescent="0.45">
      <c r="B68" s="62">
        <v>8</v>
      </c>
      <c r="C68" s="34" t="str">
        <f>IFERROR(IF(B68&gt;MatchDay!$U$2,"-",VLOOKUP(A59,timetables,MatchDay!$U$4+7,FALSE)),0)</f>
        <v>-</v>
      </c>
      <c r="D68" s="59" t="str">
        <f>IFERROR(HLOOKUP(C68,Declarations!$D$2:$S$102,$A63,FALSE),"")</f>
        <v/>
      </c>
      <c r="E68" s="36" t="str">
        <f t="shared" si="18"/>
        <v/>
      </c>
      <c r="F68" s="360"/>
      <c r="I68" s="62">
        <v>8</v>
      </c>
      <c r="J68" s="34" t="str">
        <f>IFERROR(IF(I68&gt;MatchDay!$U$2,"-",VLOOKUP(H59,timetables,MatchDay!$U$4+7,FALSE)),0)</f>
        <v>-</v>
      </c>
      <c r="K68" s="59" t="str">
        <f>IFERROR(HLOOKUP(J68,Declarations!$D$2:$S$102,$H63,FALSE),"")</f>
        <v/>
      </c>
      <c r="L68" s="36" t="str">
        <f t="shared" si="19"/>
        <v/>
      </c>
      <c r="M68" s="360"/>
      <c r="P68" s="62">
        <v>8</v>
      </c>
      <c r="Q68" s="34" t="str">
        <f>IFERROR(IF(P68&gt;MatchDay!$U$2,"-",VLOOKUP(O59,timetables,MatchDay!$U$4+7,FALSE)),0)</f>
        <v>-</v>
      </c>
      <c r="R68" s="59" t="str">
        <f>IFERROR(HLOOKUP(Q68,Declarations!$D$2:$S$102,$O63,FALSE),"")</f>
        <v/>
      </c>
      <c r="S68" s="36" t="str">
        <f t="shared" si="20"/>
        <v/>
      </c>
      <c r="T68" s="360"/>
      <c r="U68" s="421"/>
    </row>
    <row r="69" spans="1:21" x14ac:dyDescent="0.45">
      <c r="B69" s="62">
        <v>9</v>
      </c>
      <c r="C69" s="34">
        <f>IFERROR(IF(T(C61)="",C61*11,C61&amp;C61),"-")</f>
        <v>44</v>
      </c>
      <c r="D69" s="59" t="str">
        <f ca="1">IFERROR(HLOOKUP(C69,Declarations!$D$2:$S$102,$A63,FALSE),"")</f>
        <v>-</v>
      </c>
      <c r="E69" s="36" t="str">
        <f t="shared" si="18"/>
        <v>M'bro</v>
      </c>
      <c r="F69" s="360"/>
      <c r="I69" s="62">
        <v>9</v>
      </c>
      <c r="J69" s="34">
        <f>IFERROR(IF(T(J61)="",J61*11,J61&amp;J61),"-")</f>
        <v>44</v>
      </c>
      <c r="K69" s="59" t="str">
        <f ca="1">IFERROR(HLOOKUP(J69,Declarations!$D$2:$S$102,$H63,FALSE),"")</f>
        <v>SULLOCK Amy</v>
      </c>
      <c r="L69" s="36" t="str">
        <f t="shared" si="19"/>
        <v>M'bro</v>
      </c>
      <c r="M69" s="360">
        <v>16.690000000000001</v>
      </c>
      <c r="P69" s="62">
        <v>9</v>
      </c>
      <c r="Q69" s="34">
        <f>IFERROR(IF(T(Q61)="",Q61*11,Q61&amp;Q61),"-")</f>
        <v>11</v>
      </c>
      <c r="R69" s="59" t="str">
        <f ca="1">IFERROR(HLOOKUP(Q69,Declarations!$D$2:$S$102,$O63,FALSE),"")</f>
        <v>FOOT James</v>
      </c>
      <c r="S69" s="36" t="str">
        <f t="shared" si="20"/>
        <v>C'field</v>
      </c>
      <c r="T69" s="360">
        <v>4.1710000000000003</v>
      </c>
      <c r="U69" s="421"/>
    </row>
    <row r="70" spans="1:21" x14ac:dyDescent="0.45">
      <c r="B70" s="62">
        <v>10</v>
      </c>
      <c r="C70" s="34">
        <f t="shared" ref="C70:C76" si="21">IFERROR(IF(T(C62)="",C62*11,C62&amp;C62),"-")</f>
        <v>22</v>
      </c>
      <c r="D70" s="59" t="str">
        <f ca="1">IFERROR(HLOOKUP(C70,Declarations!$D$2:$S$102,$A63,FALSE),"")</f>
        <v>WAINWRIGHT James</v>
      </c>
      <c r="E70" s="36" t="str">
        <f t="shared" si="18"/>
        <v>Sheff+D</v>
      </c>
      <c r="F70" s="360">
        <v>11.51</v>
      </c>
      <c r="I70" s="62">
        <v>10</v>
      </c>
      <c r="J70" s="34">
        <f t="shared" ref="J70:J76" si="22">IFERROR(IF(T(J62)="",J62*11,J62&amp;J62),"-")</f>
        <v>22</v>
      </c>
      <c r="K70" s="59" t="str">
        <f ca="1">IFERROR(HLOOKUP(J70,Declarations!$D$2:$S$102,$H63,FALSE),"")</f>
        <v>PADDON Olivia</v>
      </c>
      <c r="L70" s="36" t="str">
        <f t="shared" si="19"/>
        <v>Sheff+D</v>
      </c>
      <c r="M70" s="360">
        <v>21.25</v>
      </c>
      <c r="P70" s="62">
        <v>10</v>
      </c>
      <c r="Q70" s="34">
        <f t="shared" ref="Q70:Q76" si="23">IFERROR(IF(T(Q62)="",Q62*11,Q62&amp;Q62),"-")</f>
        <v>55</v>
      </c>
      <c r="R70" s="59">
        <f ca="1">IFERROR(HLOOKUP(Q70,Declarations!$D$2:$S$102,$O63,FALSE),"")</f>
        <v>0</v>
      </c>
      <c r="S70" s="36" t="str">
        <f t="shared" si="20"/>
        <v>Scun</v>
      </c>
      <c r="T70" s="360"/>
      <c r="U70" s="421"/>
    </row>
    <row r="71" spans="1:21" x14ac:dyDescent="0.45">
      <c r="B71" s="62">
        <v>11</v>
      </c>
      <c r="C71" s="34">
        <f t="shared" si="21"/>
        <v>55</v>
      </c>
      <c r="D71" s="59" t="str">
        <f ca="1">IFERROR(HLOOKUP(C71,Declarations!$D$2:$S$102,$A63,FALSE),"")</f>
        <v>OADES Matthew</v>
      </c>
      <c r="E71" s="36" t="str">
        <f t="shared" si="18"/>
        <v>Scun</v>
      </c>
      <c r="F71" s="360">
        <v>10.09</v>
      </c>
      <c r="I71" s="62">
        <v>11</v>
      </c>
      <c r="J71" s="34">
        <f t="shared" si="22"/>
        <v>55</v>
      </c>
      <c r="K71" s="59" t="str">
        <f ca="1">IFERROR(HLOOKUP(J71,Declarations!$D$2:$S$102,$H63,FALSE),"")</f>
        <v>-</v>
      </c>
      <c r="L71" s="36" t="str">
        <f t="shared" si="19"/>
        <v>Scun</v>
      </c>
      <c r="M71" s="360"/>
      <c r="P71" s="62">
        <v>11</v>
      </c>
      <c r="Q71" s="34">
        <f t="shared" si="23"/>
        <v>44</v>
      </c>
      <c r="R71" s="59" t="str">
        <f ca="1">IFERROR(HLOOKUP(Q71,Declarations!$D$2:$S$102,$O63,FALSE),"")</f>
        <v>IBEH Terrell</v>
      </c>
      <c r="S71" s="36" t="str">
        <f t="shared" si="20"/>
        <v>M'bro</v>
      </c>
      <c r="T71" s="360">
        <v>3.75</v>
      </c>
      <c r="U71" s="421"/>
    </row>
    <row r="72" spans="1:21" x14ac:dyDescent="0.45">
      <c r="B72" s="62">
        <v>12</v>
      </c>
      <c r="C72" s="34">
        <f t="shared" si="21"/>
        <v>11</v>
      </c>
      <c r="D72" s="59" t="str">
        <f ca="1">IFERROR(HLOOKUP(C72,Declarations!$D$2:$S$102,$A63,FALSE),"")</f>
        <v>SAS Reuben</v>
      </c>
      <c r="E72" s="36" t="str">
        <f t="shared" si="18"/>
        <v>C'field</v>
      </c>
      <c r="F72" s="360">
        <v>14.43</v>
      </c>
      <c r="I72" s="62">
        <v>12</v>
      </c>
      <c r="J72" s="34">
        <f t="shared" si="22"/>
        <v>11</v>
      </c>
      <c r="K72" s="59" t="str">
        <f ca="1">IFERROR(HLOOKUP(J72,Declarations!$D$2:$S$102,$H63,FALSE),"")</f>
        <v>KIRKWOOD Eva</v>
      </c>
      <c r="L72" s="36" t="str">
        <f t="shared" si="19"/>
        <v>C'field</v>
      </c>
      <c r="M72" s="360">
        <v>18.78</v>
      </c>
      <c r="P72" s="62">
        <v>12</v>
      </c>
      <c r="Q72" s="34">
        <f t="shared" si="23"/>
        <v>22</v>
      </c>
      <c r="R72" s="59" t="str">
        <f ca="1">IFERROR(HLOOKUP(Q72,Declarations!$D$2:$S$102,$O63,FALSE),"")</f>
        <v>SCOTT Leni</v>
      </c>
      <c r="S72" s="36" t="str">
        <f t="shared" si="20"/>
        <v>Sheff+D</v>
      </c>
      <c r="T72" s="360">
        <v>4.1100000000000003</v>
      </c>
      <c r="U72" s="421"/>
    </row>
    <row r="73" spans="1:21" x14ac:dyDescent="0.45">
      <c r="B73" s="62">
        <v>13</v>
      </c>
      <c r="C73" s="34">
        <f t="shared" si="21"/>
        <v>33</v>
      </c>
      <c r="D73" s="59" t="str">
        <f ca="1">IFERROR(HLOOKUP(C73,Declarations!$D$2:$S$102,$A63,FALSE),"")</f>
        <v>BROOKS Rory</v>
      </c>
      <c r="E73" s="36" t="str">
        <f t="shared" si="18"/>
        <v>York</v>
      </c>
      <c r="F73" s="360">
        <v>19.13</v>
      </c>
      <c r="I73" s="62">
        <v>13</v>
      </c>
      <c r="J73" s="34">
        <f t="shared" si="22"/>
        <v>33</v>
      </c>
      <c r="K73" s="59" t="str">
        <f ca="1">IFERROR(HLOOKUP(J73,Declarations!$D$2:$S$102,$H63,FALSE),"")</f>
        <v>HICKLING Rosie</v>
      </c>
      <c r="L73" s="36" t="str">
        <f t="shared" si="19"/>
        <v>York</v>
      </c>
      <c r="M73" s="360">
        <v>13.89</v>
      </c>
      <c r="P73" s="62">
        <v>13</v>
      </c>
      <c r="Q73" s="34">
        <f t="shared" si="23"/>
        <v>33</v>
      </c>
      <c r="R73" s="59" t="str">
        <f ca="1">IFERROR(HLOOKUP(Q73,Declarations!$D$2:$S$102,$O63,FALSE),"")</f>
        <v>LANSFORD Hollis</v>
      </c>
      <c r="S73" s="36" t="str">
        <f t="shared" si="20"/>
        <v>York</v>
      </c>
      <c r="T73" s="360">
        <v>4.17</v>
      </c>
      <c r="U73" s="421"/>
    </row>
    <row r="74" spans="1:21" x14ac:dyDescent="0.45">
      <c r="B74" s="62">
        <v>14</v>
      </c>
      <c r="C74" s="34" t="str">
        <f t="shared" si="21"/>
        <v>--</v>
      </c>
      <c r="D74" s="59" t="str">
        <f>IFERROR(HLOOKUP(C74,Declarations!$D$2:$S$102,$A63,FALSE),"")</f>
        <v/>
      </c>
      <c r="E74" s="36" t="str">
        <f t="shared" si="18"/>
        <v>-</v>
      </c>
      <c r="F74" s="360"/>
      <c r="I74" s="62">
        <v>14</v>
      </c>
      <c r="J74" s="34" t="str">
        <f t="shared" si="22"/>
        <v>--</v>
      </c>
      <c r="K74" s="59" t="str">
        <f>IFERROR(HLOOKUP(J74,Declarations!$D$2:$S$102,$H63,FALSE),"")</f>
        <v/>
      </c>
      <c r="L74" s="36" t="str">
        <f t="shared" si="19"/>
        <v>-</v>
      </c>
      <c r="M74" s="360"/>
      <c r="P74" s="62">
        <v>14</v>
      </c>
      <c r="Q74" s="34" t="str">
        <f t="shared" si="23"/>
        <v>--</v>
      </c>
      <c r="R74" s="59" t="str">
        <f>IFERROR(HLOOKUP(Q74,Declarations!$D$2:$S$102,$O63,FALSE),"")</f>
        <v/>
      </c>
      <c r="S74" s="36" t="str">
        <f t="shared" si="20"/>
        <v>-</v>
      </c>
      <c r="T74" s="360"/>
      <c r="U74" s="421"/>
    </row>
    <row r="75" spans="1:21" x14ac:dyDescent="0.45">
      <c r="B75" s="62">
        <v>15</v>
      </c>
      <c r="C75" s="34" t="str">
        <f t="shared" si="21"/>
        <v>--</v>
      </c>
      <c r="D75" s="59" t="str">
        <f>IFERROR(HLOOKUP(C75,Declarations!$D$2:$S$102,$A63,FALSE),"")</f>
        <v/>
      </c>
      <c r="E75" s="36" t="str">
        <f t="shared" si="18"/>
        <v>-</v>
      </c>
      <c r="F75" s="360"/>
      <c r="I75" s="62">
        <v>15</v>
      </c>
      <c r="J75" s="34" t="str">
        <f t="shared" si="22"/>
        <v>--</v>
      </c>
      <c r="K75" s="59" t="str">
        <f>IFERROR(HLOOKUP(J75,Declarations!$D$2:$S$102,$H63,FALSE),"")</f>
        <v/>
      </c>
      <c r="L75" s="36" t="str">
        <f t="shared" si="19"/>
        <v>-</v>
      </c>
      <c r="M75" s="360"/>
      <c r="P75" s="62">
        <v>15</v>
      </c>
      <c r="Q75" s="34" t="str">
        <f t="shared" si="23"/>
        <v>--</v>
      </c>
      <c r="R75" s="59" t="str">
        <f>IFERROR(HLOOKUP(Q75,Declarations!$D$2:$S$102,$O63,FALSE),"")</f>
        <v/>
      </c>
      <c r="S75" s="36" t="str">
        <f t="shared" si="20"/>
        <v>-</v>
      </c>
      <c r="T75" s="360"/>
      <c r="U75" s="421"/>
    </row>
    <row r="76" spans="1:21" x14ac:dyDescent="0.45">
      <c r="B76" s="62">
        <v>16</v>
      </c>
      <c r="C76" s="34" t="str">
        <f t="shared" si="21"/>
        <v>--</v>
      </c>
      <c r="D76" s="59" t="str">
        <f>IFERROR(HLOOKUP(C76,Declarations!$D$2:$S$102,$A63,FALSE),"")</f>
        <v/>
      </c>
      <c r="E76" s="36" t="str">
        <f t="shared" si="18"/>
        <v>-</v>
      </c>
      <c r="F76" s="360"/>
      <c r="I76" s="62">
        <v>16</v>
      </c>
      <c r="J76" s="34" t="str">
        <f t="shared" si="22"/>
        <v>--</v>
      </c>
      <c r="K76" s="59" t="str">
        <f>IFERROR(HLOOKUP(J76,Declarations!$D$2:$S$102,$H63,FALSE),"")</f>
        <v/>
      </c>
      <c r="L76" s="36" t="str">
        <f t="shared" si="19"/>
        <v>-</v>
      </c>
      <c r="M76" s="360"/>
      <c r="P76" s="62">
        <v>16</v>
      </c>
      <c r="Q76" s="34" t="str">
        <f t="shared" si="23"/>
        <v>--</v>
      </c>
      <c r="R76" s="59" t="str">
        <f>IFERROR(HLOOKUP(Q76,Declarations!$D$2:$S$102,$O63,FALSE),"")</f>
        <v/>
      </c>
      <c r="S76" s="36" t="str">
        <f t="shared" si="20"/>
        <v>-</v>
      </c>
      <c r="T76" s="360"/>
      <c r="U76" s="421"/>
    </row>
    <row r="78" spans="1:21" x14ac:dyDescent="0.45">
      <c r="A78" s="32" t="str">
        <f>IFERROR(IF(LEFT(MatchDay!$C$2,1)="L","L"&amp;A79,"U"&amp;A79),"")</f>
        <v>LFD09</v>
      </c>
      <c r="B78" s="107" t="str">
        <f>IFERROR(VLOOKUP(A78,Timetables!$A:$G,3,FALSE)&amp;" "&amp;VLOOKUP(A78,Timetables!$A:$G,2,FALSE),"")</f>
        <v>U13 Boys Shot</v>
      </c>
      <c r="H78" s="32" t="str">
        <f>IFERROR(IF(LEFT(MatchDay!$C$2,1)="L","L"&amp;H79,"U"&amp;H79),"")</f>
        <v>LFD10</v>
      </c>
      <c r="I78" s="107" t="str">
        <f>IFERROR(VLOOKUP(H78,Timetables!$A:$G,3,FALSE)&amp;" "&amp;VLOOKUP(H78,Timetables!$A:$G,2,FALSE),"")</f>
        <v>U13 Boys Javelin</v>
      </c>
      <c r="M78" s="63"/>
      <c r="O78" s="32" t="str">
        <f>IFERROR(IF(LEFT(MatchDay!$C$2,1)="L","L"&amp;O79,"U"&amp;O79),"")</f>
        <v>LFW05</v>
      </c>
      <c r="P78" s="107" t="str">
        <f>IFERROR(VLOOKUP(O78,Timetables!$A:$G,3,FALSE)&amp;" "&amp;VLOOKUP(O78,Timetables!$A:$G,2,FALSE),"")</f>
        <v/>
      </c>
      <c r="T78" s="63"/>
    </row>
    <row r="79" spans="1:21" x14ac:dyDescent="0.45">
      <c r="A79" s="33" t="s">
        <v>265</v>
      </c>
      <c r="B79" s="62" t="s">
        <v>163</v>
      </c>
      <c r="C79" s="62" t="s">
        <v>159</v>
      </c>
      <c r="D79" s="59" t="s">
        <v>227</v>
      </c>
      <c r="E79" s="59" t="s">
        <v>228</v>
      </c>
      <c r="F79" s="63" t="s">
        <v>229</v>
      </c>
      <c r="H79" s="33" t="s">
        <v>266</v>
      </c>
      <c r="I79" s="62" t="s">
        <v>163</v>
      </c>
      <c r="J79" s="62" t="s">
        <v>159</v>
      </c>
      <c r="K79" s="59" t="s">
        <v>227</v>
      </c>
      <c r="L79" s="59" t="s">
        <v>228</v>
      </c>
      <c r="M79" s="63" t="s">
        <v>229</v>
      </c>
      <c r="O79" s="33" t="s">
        <v>305</v>
      </c>
      <c r="P79" s="62" t="s">
        <v>163</v>
      </c>
      <c r="Q79" s="62" t="s">
        <v>159</v>
      </c>
      <c r="R79" s="59" t="s">
        <v>227</v>
      </c>
      <c r="S79" s="59" t="s">
        <v>228</v>
      </c>
      <c r="T79" s="63" t="s">
        <v>229</v>
      </c>
      <c r="U79" s="62" t="s">
        <v>259</v>
      </c>
    </row>
    <row r="80" spans="1:21" x14ac:dyDescent="0.45">
      <c r="A80" s="62" t="s">
        <v>224</v>
      </c>
      <c r="B80" s="62">
        <v>1</v>
      </c>
      <c r="C80" s="34">
        <f>IFERROR(IF(B80&gt;MatchDay!$U$2,"-",VLOOKUP(A78,timetables,MatchDay!$U$4,FALSE)),0)</f>
        <v>3</v>
      </c>
      <c r="D80" s="59" t="str">
        <f ca="1">IFERROR(HLOOKUP(C80,Declarations!$D$2:$S$102,$A82,FALSE),"")</f>
        <v>WALSH Lincoln</v>
      </c>
      <c r="E80" s="36" t="str">
        <f t="shared" ref="E80:E95" si="24">IFERROR(VLOOKUP(C80,teamlookup,5,FALSE),"-")</f>
        <v>York</v>
      </c>
      <c r="F80" s="360">
        <v>8.49</v>
      </c>
      <c r="H80" s="62" t="s">
        <v>222</v>
      </c>
      <c r="I80" s="62">
        <v>1</v>
      </c>
      <c r="J80" s="34">
        <f>IFERROR(IF(I80&gt;MatchDay!$U$2,"-",VLOOKUP(H78,timetables,MatchDay!$U$4,FALSE)),0)</f>
        <v>4</v>
      </c>
      <c r="K80" s="59" t="str">
        <f ca="1">IFERROR(HLOOKUP(J80,Declarations!$D$2:$S$102,$H82,FALSE),"")</f>
        <v>MAYNARD Finley</v>
      </c>
      <c r="L80" s="36" t="str">
        <f t="shared" ref="L80:L95" si="25">IFERROR(VLOOKUP(J80,teamlookup,5,FALSE),"-")</f>
        <v>M'bro</v>
      </c>
      <c r="M80" s="360">
        <v>14.05</v>
      </c>
      <c r="O80" s="62" t="s">
        <v>212</v>
      </c>
      <c r="P80" s="62">
        <v>1</v>
      </c>
      <c r="Q80" s="34">
        <f>IFERROR(IF(P80&gt;MatchDay!$U$2,"-",VLOOKUP(O78,timetables,MatchDay!$U$4,FALSE)),0)</f>
        <v>0</v>
      </c>
      <c r="R80" s="59" t="str">
        <f>IFERROR(HLOOKUP(Q80,Declarations!$D$2:$S$102,$O82,FALSE),"")</f>
        <v/>
      </c>
      <c r="S80" s="36" t="str">
        <f t="shared" ref="S80:S95" si="26">IFERROR(VLOOKUP(Q80,teamlookup,5,FALSE),"-")</f>
        <v>-</v>
      </c>
      <c r="T80" s="360"/>
      <c r="U80" s="421"/>
    </row>
    <row r="81" spans="1:21" x14ac:dyDescent="0.45">
      <c r="A81" s="62">
        <v>80</v>
      </c>
      <c r="B81" s="62">
        <v>2</v>
      </c>
      <c r="C81" s="34">
        <f>IFERROR(IF(B81&gt;MatchDay!$U$2,"-",VLOOKUP(A78,timetables,MatchDay!$U$4+1,FALSE)),0)</f>
        <v>1</v>
      </c>
      <c r="D81" s="59" t="str">
        <f ca="1">IFERROR(HLOOKUP(C81,Declarations!$D$2:$S$102,$A82,FALSE),"")</f>
        <v>STOWELL Callum</v>
      </c>
      <c r="E81" s="36" t="str">
        <f t="shared" si="24"/>
        <v>C'field</v>
      </c>
      <c r="F81" s="360">
        <v>5.71</v>
      </c>
      <c r="H81" s="62">
        <f>A81</f>
        <v>80</v>
      </c>
      <c r="I81" s="62">
        <v>2</v>
      </c>
      <c r="J81" s="34">
        <f>IFERROR(IF(I81&gt;MatchDay!$U$2,"-",VLOOKUP(H78,timetables,MatchDay!$U$4+1,FALSE)),0)</f>
        <v>2</v>
      </c>
      <c r="K81" s="59" t="str">
        <f ca="1">IFERROR(HLOOKUP(J81,Declarations!$D$2:$S$102,$H82,FALSE),"")</f>
        <v>HENNESSEY Thomas</v>
      </c>
      <c r="L81" s="36" t="str">
        <f t="shared" si="25"/>
        <v>Sheff+D</v>
      </c>
      <c r="M81" s="360">
        <v>27.83</v>
      </c>
      <c r="O81" s="62">
        <f>A81</f>
        <v>80</v>
      </c>
      <c r="P81" s="62">
        <v>2</v>
      </c>
      <c r="Q81" s="34">
        <f>IFERROR(IF(P81&gt;MatchDay!$U$2,"-",VLOOKUP(O78,timetables,MatchDay!$U$4+1,FALSE)),0)</f>
        <v>0</v>
      </c>
      <c r="R81" s="59" t="str">
        <f>IFERROR(HLOOKUP(Q81,Declarations!$D$2:$S$102,$O82,FALSE),"")</f>
        <v/>
      </c>
      <c r="S81" s="36" t="str">
        <f t="shared" si="26"/>
        <v>-</v>
      </c>
      <c r="T81" s="360"/>
      <c r="U81" s="421"/>
    </row>
    <row r="82" spans="1:21" x14ac:dyDescent="0.45">
      <c r="A82" s="181">
        <f>IFERROR(VLOOKUP(A78,Timetables!$A:$E,5,FALSE)-1,"")</f>
        <v>92</v>
      </c>
      <c r="B82" s="62">
        <v>3</v>
      </c>
      <c r="C82" s="34">
        <f>IFERROR(IF(B82&gt;MatchDay!$U$2,"-",VLOOKUP(A78,timetables,MatchDay!$U$4+2,FALSE)),0)</f>
        <v>4</v>
      </c>
      <c r="D82" s="59" t="str">
        <f ca="1">IFERROR(HLOOKUP(C82,Declarations!$D$2:$S$102,$A82,FALSE),"")</f>
        <v>FRANCIS Stan</v>
      </c>
      <c r="E82" s="36" t="str">
        <f t="shared" si="24"/>
        <v>M'bro</v>
      </c>
      <c r="F82" s="360">
        <v>6.45</v>
      </c>
      <c r="H82" s="181">
        <f>IFERROR(VLOOKUP(H78,Timetables!$A:$E,5,FALSE)-1,"")</f>
        <v>91</v>
      </c>
      <c r="I82" s="62">
        <v>3</v>
      </c>
      <c r="J82" s="34">
        <f>IFERROR(IF(I82&gt;MatchDay!$U$2,"-",VLOOKUP(H78,timetables,MatchDay!$U$4+2,FALSE)),0)</f>
        <v>5</v>
      </c>
      <c r="K82" s="59" t="str">
        <f ca="1">IFERROR(HLOOKUP(J82,Declarations!$D$2:$S$102,$H82,FALSE),"")</f>
        <v>COOK Alexander</v>
      </c>
      <c r="L82" s="36" t="str">
        <f t="shared" si="25"/>
        <v>Scun</v>
      </c>
      <c r="M82" s="360">
        <v>16.600000000000001</v>
      </c>
      <c r="O82" s="181" t="str">
        <f>IFERROR(VLOOKUP(O78,Timetables!$A:$E,5,FALSE)-1,"")</f>
        <v/>
      </c>
      <c r="P82" s="62">
        <v>3</v>
      </c>
      <c r="Q82" s="34">
        <f>IFERROR(IF(P82&gt;MatchDay!$U$2,"-",VLOOKUP(O78,timetables,MatchDay!$U$4+2,FALSE)),0)</f>
        <v>0</v>
      </c>
      <c r="R82" s="59" t="str">
        <f>IFERROR(HLOOKUP(Q82,Declarations!$D$2:$S$102,$O82,FALSE),"")</f>
        <v/>
      </c>
      <c r="S82" s="36" t="str">
        <f t="shared" si="26"/>
        <v>-</v>
      </c>
      <c r="T82" s="360"/>
      <c r="U82" s="421"/>
    </row>
    <row r="83" spans="1:21" x14ac:dyDescent="0.45">
      <c r="B83" s="62">
        <v>4</v>
      </c>
      <c r="C83" s="34">
        <f>IFERROR(IF(B83&gt;MatchDay!$U$2,"-",VLOOKUP(A78,timetables,MatchDay!$U$4+3,FALSE)),0)</f>
        <v>2</v>
      </c>
      <c r="D83" s="59" t="str">
        <f ca="1">IFERROR(HLOOKUP(C83,Declarations!$D$2:$S$102,$A82,FALSE),"")</f>
        <v>HENNESSEY Thomas</v>
      </c>
      <c r="E83" s="36" t="str">
        <f t="shared" si="24"/>
        <v>Sheff+D</v>
      </c>
      <c r="F83" s="360">
        <v>5.63</v>
      </c>
      <c r="I83" s="62">
        <v>4</v>
      </c>
      <c r="J83" s="34">
        <f>IFERROR(IF(I83&gt;MatchDay!$U$2,"-",VLOOKUP(H78,timetables,MatchDay!$U$4+3,FALSE)),0)</f>
        <v>1</v>
      </c>
      <c r="K83" s="59" t="str">
        <f ca="1">IFERROR(HLOOKUP(J83,Declarations!$D$2:$S$102,$H82,FALSE),"")</f>
        <v>STOWELL Callum</v>
      </c>
      <c r="L83" s="36" t="str">
        <f t="shared" si="25"/>
        <v>C'field</v>
      </c>
      <c r="M83" s="360">
        <v>12.32</v>
      </c>
      <c r="P83" s="62">
        <v>4</v>
      </c>
      <c r="Q83" s="34">
        <f>IFERROR(IF(P83&gt;MatchDay!$U$2,"-",VLOOKUP(O78,timetables,MatchDay!$U$4+3,FALSE)),0)</f>
        <v>0</v>
      </c>
      <c r="R83" s="59" t="str">
        <f>IFERROR(HLOOKUP(Q83,Declarations!$D$2:$S$102,$O82,FALSE),"")</f>
        <v/>
      </c>
      <c r="S83" s="36" t="str">
        <f t="shared" si="26"/>
        <v>-</v>
      </c>
      <c r="T83" s="360"/>
      <c r="U83" s="421"/>
    </row>
    <row r="84" spans="1:21" x14ac:dyDescent="0.45">
      <c r="B84" s="62">
        <v>5</v>
      </c>
      <c r="C84" s="34">
        <f>IFERROR(IF(B84&gt;MatchDay!$U$2,"-",VLOOKUP(A78,timetables,MatchDay!$U$4+4,FALSE)),0)</f>
        <v>5</v>
      </c>
      <c r="D84" s="59" t="str">
        <f ca="1">IFERROR(HLOOKUP(C84,Declarations!$D$2:$S$102,$A82,FALSE),"")</f>
        <v>COOK Alexander</v>
      </c>
      <c r="E84" s="36" t="str">
        <f t="shared" si="24"/>
        <v>Scun</v>
      </c>
      <c r="F84" s="360">
        <v>5.19</v>
      </c>
      <c r="I84" s="62">
        <v>5</v>
      </c>
      <c r="J84" s="34">
        <f>IFERROR(IF(I84&gt;MatchDay!$U$2,"-",VLOOKUP(H78,timetables,MatchDay!$U$4+4,FALSE)),0)</f>
        <v>3</v>
      </c>
      <c r="K84" s="59" t="str">
        <f ca="1">IFERROR(HLOOKUP(J84,Declarations!$D$2:$S$102,$H82,FALSE),"")</f>
        <v>RUTTER Lewis</v>
      </c>
      <c r="L84" s="36" t="str">
        <f t="shared" si="25"/>
        <v>York</v>
      </c>
      <c r="M84" s="360">
        <v>18.79</v>
      </c>
      <c r="P84" s="62">
        <v>5</v>
      </c>
      <c r="Q84" s="34">
        <f>IFERROR(IF(P84&gt;MatchDay!$U$2,"-",VLOOKUP(O78,timetables,MatchDay!$U$4+4,FALSE)),0)</f>
        <v>0</v>
      </c>
      <c r="R84" s="59" t="str">
        <f>IFERROR(HLOOKUP(Q84,Declarations!$D$2:$S$102,$O82,FALSE),"")</f>
        <v/>
      </c>
      <c r="S84" s="36" t="str">
        <f t="shared" si="26"/>
        <v>-</v>
      </c>
      <c r="T84" s="360"/>
      <c r="U84" s="421"/>
    </row>
    <row r="85" spans="1:21" x14ac:dyDescent="0.45">
      <c r="B85" s="62">
        <v>6</v>
      </c>
      <c r="C85" s="34" t="str">
        <f>IFERROR(IF(B85&gt;MatchDay!$U$2,"-",VLOOKUP(A78,timetables,MatchDay!$U$4+5,FALSE)),0)</f>
        <v>-</v>
      </c>
      <c r="D85" s="59" t="str">
        <f>IFERROR(HLOOKUP(C85,Declarations!$D$2:$S$102,$A82,FALSE),"")</f>
        <v/>
      </c>
      <c r="E85" s="36" t="str">
        <f t="shared" si="24"/>
        <v/>
      </c>
      <c r="F85" s="360"/>
      <c r="I85" s="62">
        <v>6</v>
      </c>
      <c r="J85" s="34" t="str">
        <f>IFERROR(IF(I85&gt;MatchDay!$U$2,"-",VLOOKUP(H78,timetables,MatchDay!$U$4+5,FALSE)),0)</f>
        <v>-</v>
      </c>
      <c r="K85" s="59" t="str">
        <f>IFERROR(HLOOKUP(J85,Declarations!$D$2:$S$102,$H82,FALSE),"")</f>
        <v/>
      </c>
      <c r="L85" s="36" t="str">
        <f t="shared" si="25"/>
        <v/>
      </c>
      <c r="M85" s="360"/>
      <c r="P85" s="62">
        <v>6</v>
      </c>
      <c r="Q85" s="34" t="str">
        <f>IFERROR(IF(P85&gt;MatchDay!$U$2,"-",VLOOKUP(O78,timetables,MatchDay!$U$4+5,FALSE)),0)</f>
        <v>-</v>
      </c>
      <c r="R85" s="59" t="str">
        <f>IFERROR(HLOOKUP(Q85,Declarations!$D$2:$S$102,$O82,FALSE),"")</f>
        <v/>
      </c>
      <c r="S85" s="36" t="str">
        <f t="shared" si="26"/>
        <v/>
      </c>
      <c r="T85" s="360"/>
      <c r="U85" s="421"/>
    </row>
    <row r="86" spans="1:21" ht="15" customHeight="1" x14ac:dyDescent="0.45">
      <c r="A86" s="136"/>
      <c r="B86" s="62">
        <v>7</v>
      </c>
      <c r="C86" s="34" t="str">
        <f>IFERROR(IF(B86&gt;MatchDay!$U$2,"-",VLOOKUP(A78,timetables,MatchDay!$U$4+6,FALSE)),0)</f>
        <v>-</v>
      </c>
      <c r="D86" s="59" t="str">
        <f>IFERROR(HLOOKUP(C86,Declarations!$D$2:$S$102,$A82,FALSE),"")</f>
        <v/>
      </c>
      <c r="E86" s="36" t="str">
        <f t="shared" si="24"/>
        <v/>
      </c>
      <c r="F86" s="360"/>
      <c r="H86" s="136"/>
      <c r="I86" s="62">
        <v>7</v>
      </c>
      <c r="J86" s="34" t="str">
        <f>IFERROR(IF(I86&gt;MatchDay!$U$2,"-",VLOOKUP(H78,timetables,MatchDay!$U$4+6,FALSE)),0)</f>
        <v>-</v>
      </c>
      <c r="K86" s="59" t="str">
        <f>IFERROR(HLOOKUP(J86,Declarations!$D$2:$S$102,$H82,FALSE),"")</f>
        <v/>
      </c>
      <c r="L86" s="36" t="str">
        <f t="shared" si="25"/>
        <v/>
      </c>
      <c r="M86" s="360"/>
      <c r="O86" s="136"/>
      <c r="P86" s="62">
        <v>7</v>
      </c>
      <c r="Q86" s="34" t="str">
        <f>IFERROR(IF(P86&gt;MatchDay!$U$2,"-",VLOOKUP(O78,timetables,MatchDay!$U$4+6,FALSE)),0)</f>
        <v>-</v>
      </c>
      <c r="R86" s="59" t="str">
        <f>IFERROR(HLOOKUP(Q86,Declarations!$D$2:$S$102,$O82,FALSE),"")</f>
        <v/>
      </c>
      <c r="S86" s="36" t="str">
        <f t="shared" si="26"/>
        <v/>
      </c>
      <c r="T86" s="360"/>
      <c r="U86" s="421"/>
    </row>
    <row r="87" spans="1:21" x14ac:dyDescent="0.45">
      <c r="B87" s="62">
        <v>8</v>
      </c>
      <c r="C87" s="34" t="str">
        <f>IFERROR(IF(B87&gt;MatchDay!$U$2,"-",VLOOKUP(A78,timetables,MatchDay!$U$4+7,FALSE)),0)</f>
        <v>-</v>
      </c>
      <c r="D87" s="59" t="str">
        <f>IFERROR(HLOOKUP(C87,Declarations!$D$2:$S$102,$A82,FALSE),"")</f>
        <v/>
      </c>
      <c r="E87" s="36" t="str">
        <f t="shared" si="24"/>
        <v/>
      </c>
      <c r="F87" s="360"/>
      <c r="I87" s="62">
        <v>8</v>
      </c>
      <c r="J87" s="34" t="str">
        <f>IFERROR(IF(I87&gt;MatchDay!$U$2,"-",VLOOKUP(H78,timetables,MatchDay!$U$4+7,FALSE)),0)</f>
        <v>-</v>
      </c>
      <c r="K87" s="59" t="str">
        <f>IFERROR(HLOOKUP(J87,Declarations!$D$2:$S$102,$H82,FALSE),"")</f>
        <v/>
      </c>
      <c r="L87" s="36" t="str">
        <f t="shared" si="25"/>
        <v/>
      </c>
      <c r="M87" s="360"/>
      <c r="P87" s="62">
        <v>8</v>
      </c>
      <c r="Q87" s="34" t="str">
        <f>IFERROR(IF(P87&gt;MatchDay!$U$2,"-",VLOOKUP(O78,timetables,MatchDay!$U$4+7,FALSE)),0)</f>
        <v>-</v>
      </c>
      <c r="R87" s="59" t="str">
        <f>IFERROR(HLOOKUP(Q87,Declarations!$D$2:$S$102,$O82,FALSE),"")</f>
        <v/>
      </c>
      <c r="S87" s="36" t="str">
        <f t="shared" si="26"/>
        <v/>
      </c>
      <c r="T87" s="360"/>
      <c r="U87" s="421"/>
    </row>
    <row r="88" spans="1:21" x14ac:dyDescent="0.45">
      <c r="B88" s="62">
        <v>9</v>
      </c>
      <c r="C88" s="34">
        <f>IFERROR(IF(T(C80)="",C80*11,C80&amp;C80),"-")</f>
        <v>33</v>
      </c>
      <c r="D88" s="59" t="str">
        <f ca="1">IFERROR(HLOOKUP(C88,Declarations!$D$2:$S$102,$A82,FALSE),"")</f>
        <v>ROTHWELL Noah</v>
      </c>
      <c r="E88" s="36" t="str">
        <f t="shared" si="24"/>
        <v>York</v>
      </c>
      <c r="F88" s="360">
        <v>6.14</v>
      </c>
      <c r="I88" s="62">
        <v>9</v>
      </c>
      <c r="J88" s="34">
        <f>IFERROR(IF(T(J80)="",J80*11,J80&amp;J80),"-")</f>
        <v>44</v>
      </c>
      <c r="K88" s="59" t="str">
        <f ca="1">IFERROR(HLOOKUP(J88,Declarations!$D$2:$S$102,$H82,FALSE),"")</f>
        <v>-</v>
      </c>
      <c r="L88" s="36" t="str">
        <f t="shared" si="25"/>
        <v>M'bro</v>
      </c>
      <c r="M88" s="360"/>
      <c r="P88" s="62">
        <v>9</v>
      </c>
      <c r="Q88" s="34">
        <f>IFERROR(IF(T(Q80)="",Q80*11,Q80&amp;Q80),"-")</f>
        <v>0</v>
      </c>
      <c r="R88" s="59" t="str">
        <f>IFERROR(HLOOKUP(Q88,Declarations!$D$2:$S$102,$O82,FALSE),"")</f>
        <v/>
      </c>
      <c r="S88" s="36" t="str">
        <f t="shared" si="26"/>
        <v>-</v>
      </c>
      <c r="T88" s="360"/>
      <c r="U88" s="421"/>
    </row>
    <row r="89" spans="1:21" x14ac:dyDescent="0.45">
      <c r="B89" s="62">
        <v>10</v>
      </c>
      <c r="C89" s="34">
        <f t="shared" ref="C89:C95" si="27">IFERROR(IF(T(C81)="",C81*11,C81&amp;C81),"-")</f>
        <v>11</v>
      </c>
      <c r="D89" s="59" t="str">
        <f ca="1">IFERROR(HLOOKUP(C89,Declarations!$D$2:$S$102,$A82,FALSE),"")</f>
        <v>DREW Matthew</v>
      </c>
      <c r="E89" s="36" t="str">
        <f t="shared" si="24"/>
        <v>C'field</v>
      </c>
      <c r="F89" s="360">
        <v>3.9</v>
      </c>
      <c r="I89" s="62">
        <v>10</v>
      </c>
      <c r="J89" s="34">
        <f t="shared" ref="J89:J95" si="28">IFERROR(IF(T(J81)="",J81*11,J81&amp;J81),"-")</f>
        <v>22</v>
      </c>
      <c r="K89" s="59" t="str">
        <f ca="1">IFERROR(HLOOKUP(J89,Declarations!$D$2:$S$102,$H82,FALSE),"")</f>
        <v>COCKINGS Matthew</v>
      </c>
      <c r="L89" s="36" t="str">
        <f t="shared" si="25"/>
        <v>Sheff+D</v>
      </c>
      <c r="M89" s="360">
        <v>16.329999999999998</v>
      </c>
      <c r="P89" s="62">
        <v>10</v>
      </c>
      <c r="Q89" s="34">
        <f t="shared" ref="Q89:Q95" si="29">IFERROR(IF(T(Q81)="",Q81*11,Q81&amp;Q81),"-")</f>
        <v>0</v>
      </c>
      <c r="R89" s="59" t="str">
        <f>IFERROR(HLOOKUP(Q89,Declarations!$D$2:$S$102,$O82,FALSE),"")</f>
        <v/>
      </c>
      <c r="S89" s="36" t="str">
        <f t="shared" si="26"/>
        <v>-</v>
      </c>
      <c r="T89" s="360"/>
      <c r="U89" s="421"/>
    </row>
    <row r="90" spans="1:21" x14ac:dyDescent="0.45">
      <c r="B90" s="62">
        <v>11</v>
      </c>
      <c r="C90" s="34">
        <f t="shared" si="27"/>
        <v>44</v>
      </c>
      <c r="D90" s="59" t="str">
        <f ca="1">IFERROR(HLOOKUP(C90,Declarations!$D$2:$S$102,$A82,FALSE),"")</f>
        <v>-</v>
      </c>
      <c r="E90" s="36" t="str">
        <f t="shared" si="24"/>
        <v>M'bro</v>
      </c>
      <c r="F90" s="360"/>
      <c r="I90" s="62">
        <v>11</v>
      </c>
      <c r="J90" s="34">
        <f t="shared" si="28"/>
        <v>55</v>
      </c>
      <c r="K90" s="59" t="str">
        <f ca="1">IFERROR(HLOOKUP(J90,Declarations!$D$2:$S$102,$H82,FALSE),"")</f>
        <v>PELL Nathan</v>
      </c>
      <c r="L90" s="36" t="str">
        <f t="shared" si="25"/>
        <v>Scun</v>
      </c>
      <c r="M90" s="360">
        <v>11.57</v>
      </c>
      <c r="P90" s="62">
        <v>11</v>
      </c>
      <c r="Q90" s="34">
        <f t="shared" si="29"/>
        <v>0</v>
      </c>
      <c r="R90" s="59" t="str">
        <f>IFERROR(HLOOKUP(Q90,Declarations!$D$2:$S$102,$O82,FALSE),"")</f>
        <v/>
      </c>
      <c r="S90" s="36" t="str">
        <f t="shared" si="26"/>
        <v>-</v>
      </c>
      <c r="T90" s="360"/>
      <c r="U90" s="421"/>
    </row>
    <row r="91" spans="1:21" x14ac:dyDescent="0.45">
      <c r="B91" s="62">
        <v>12</v>
      </c>
      <c r="C91" s="34">
        <f t="shared" si="27"/>
        <v>22</v>
      </c>
      <c r="D91" s="59" t="str">
        <f ca="1">IFERROR(HLOOKUP(C91,Declarations!$D$2:$S$102,$A82,FALSE),"")</f>
        <v>COCKINGS Matthew</v>
      </c>
      <c r="E91" s="36" t="str">
        <f t="shared" si="24"/>
        <v>Sheff+D</v>
      </c>
      <c r="F91" s="360">
        <v>5.66</v>
      </c>
      <c r="I91" s="62">
        <v>12</v>
      </c>
      <c r="J91" s="34">
        <f t="shared" si="28"/>
        <v>11</v>
      </c>
      <c r="K91" s="59">
        <f ca="1">IFERROR(HLOOKUP(J91,Declarations!$D$2:$S$102,$H82,FALSE),"")</f>
        <v>0</v>
      </c>
      <c r="L91" s="36" t="str">
        <f t="shared" si="25"/>
        <v>C'field</v>
      </c>
      <c r="M91" s="360"/>
      <c r="P91" s="62">
        <v>12</v>
      </c>
      <c r="Q91" s="34">
        <f t="shared" si="29"/>
        <v>0</v>
      </c>
      <c r="R91" s="59" t="str">
        <f>IFERROR(HLOOKUP(Q91,Declarations!$D$2:$S$102,$O82,FALSE),"")</f>
        <v/>
      </c>
      <c r="S91" s="36" t="str">
        <f t="shared" si="26"/>
        <v>-</v>
      </c>
      <c r="T91" s="360"/>
      <c r="U91" s="421"/>
    </row>
    <row r="92" spans="1:21" x14ac:dyDescent="0.45">
      <c r="B92" s="62">
        <v>13</v>
      </c>
      <c r="C92" s="34">
        <f t="shared" si="27"/>
        <v>55</v>
      </c>
      <c r="D92" s="59" t="str">
        <f ca="1">IFERROR(HLOOKUP(C92,Declarations!$D$2:$S$102,$A82,FALSE),"")</f>
        <v>PELL Nathan</v>
      </c>
      <c r="E92" s="36" t="str">
        <f t="shared" si="24"/>
        <v>Scun</v>
      </c>
      <c r="F92" s="360">
        <v>4.32</v>
      </c>
      <c r="I92" s="62">
        <v>13</v>
      </c>
      <c r="J92" s="34">
        <f t="shared" si="28"/>
        <v>33</v>
      </c>
      <c r="K92" s="59" t="str">
        <f ca="1">IFERROR(HLOOKUP(J92,Declarations!$D$2:$S$102,$H82,FALSE),"")</f>
        <v>ROTHWELL Noah</v>
      </c>
      <c r="L92" s="36" t="str">
        <f t="shared" si="25"/>
        <v>York</v>
      </c>
      <c r="M92" s="360">
        <v>14.45</v>
      </c>
      <c r="P92" s="62">
        <v>13</v>
      </c>
      <c r="Q92" s="34">
        <f t="shared" si="29"/>
        <v>0</v>
      </c>
      <c r="R92" s="59" t="str">
        <f>IFERROR(HLOOKUP(Q92,Declarations!$D$2:$S$102,$O82,FALSE),"")</f>
        <v/>
      </c>
      <c r="S92" s="36" t="str">
        <f t="shared" si="26"/>
        <v>-</v>
      </c>
      <c r="T92" s="360"/>
      <c r="U92" s="421"/>
    </row>
    <row r="93" spans="1:21" x14ac:dyDescent="0.45">
      <c r="B93" s="62">
        <v>14</v>
      </c>
      <c r="C93" s="34" t="str">
        <f t="shared" si="27"/>
        <v>--</v>
      </c>
      <c r="D93" s="59" t="str">
        <f>IFERROR(HLOOKUP(C93,Declarations!$D$2:$S$102,$A82,FALSE),"")</f>
        <v/>
      </c>
      <c r="E93" s="36" t="str">
        <f t="shared" si="24"/>
        <v>-</v>
      </c>
      <c r="F93" s="360"/>
      <c r="I93" s="62">
        <v>14</v>
      </c>
      <c r="J93" s="34" t="str">
        <f t="shared" si="28"/>
        <v>--</v>
      </c>
      <c r="K93" s="59" t="str">
        <f>IFERROR(HLOOKUP(J93,Declarations!$D$2:$S$102,$H82,FALSE),"")</f>
        <v/>
      </c>
      <c r="L93" s="36" t="str">
        <f t="shared" si="25"/>
        <v>-</v>
      </c>
      <c r="M93" s="360"/>
      <c r="P93" s="62">
        <v>14</v>
      </c>
      <c r="Q93" s="34" t="str">
        <f t="shared" si="29"/>
        <v>--</v>
      </c>
      <c r="R93" s="59" t="str">
        <f>IFERROR(HLOOKUP(Q93,Declarations!$D$2:$S$102,$O82,FALSE),"")</f>
        <v/>
      </c>
      <c r="S93" s="36" t="str">
        <f t="shared" si="26"/>
        <v>-</v>
      </c>
      <c r="T93" s="360"/>
      <c r="U93" s="421"/>
    </row>
    <row r="94" spans="1:21" x14ac:dyDescent="0.45">
      <c r="B94" s="62">
        <v>15</v>
      </c>
      <c r="C94" s="34" t="str">
        <f t="shared" si="27"/>
        <v>--</v>
      </c>
      <c r="D94" s="59" t="str">
        <f>IFERROR(HLOOKUP(C94,Declarations!$D$2:$S$102,$A82,FALSE),"")</f>
        <v/>
      </c>
      <c r="E94" s="36" t="str">
        <f t="shared" si="24"/>
        <v>-</v>
      </c>
      <c r="F94" s="360"/>
      <c r="I94" s="62">
        <v>15</v>
      </c>
      <c r="J94" s="34" t="str">
        <f t="shared" si="28"/>
        <v>--</v>
      </c>
      <c r="K94" s="59" t="str">
        <f>IFERROR(HLOOKUP(J94,Declarations!$D$2:$S$102,$H82,FALSE),"")</f>
        <v/>
      </c>
      <c r="L94" s="36" t="str">
        <f t="shared" si="25"/>
        <v>-</v>
      </c>
      <c r="M94" s="360"/>
      <c r="P94" s="62">
        <v>15</v>
      </c>
      <c r="Q94" s="34" t="str">
        <f t="shared" si="29"/>
        <v>--</v>
      </c>
      <c r="R94" s="59" t="str">
        <f>IFERROR(HLOOKUP(Q94,Declarations!$D$2:$S$102,$O82,FALSE),"")</f>
        <v/>
      </c>
      <c r="S94" s="36" t="str">
        <f t="shared" si="26"/>
        <v>-</v>
      </c>
      <c r="T94" s="360"/>
      <c r="U94" s="421"/>
    </row>
    <row r="95" spans="1:21" x14ac:dyDescent="0.45">
      <c r="B95" s="62">
        <v>16</v>
      </c>
      <c r="C95" s="34" t="str">
        <f t="shared" si="27"/>
        <v>--</v>
      </c>
      <c r="D95" s="59" t="str">
        <f>IFERROR(HLOOKUP(C95,Declarations!$D$2:$S$102,$A82,FALSE),"")</f>
        <v/>
      </c>
      <c r="E95" s="36" t="str">
        <f t="shared" si="24"/>
        <v>-</v>
      </c>
      <c r="F95" s="360"/>
      <c r="I95" s="62">
        <v>16</v>
      </c>
      <c r="J95" s="34" t="str">
        <f t="shared" si="28"/>
        <v>--</v>
      </c>
      <c r="K95" s="59" t="str">
        <f>IFERROR(HLOOKUP(J95,Declarations!$D$2:$S$102,$H82,FALSE),"")</f>
        <v/>
      </c>
      <c r="L95" s="36" t="str">
        <f t="shared" si="25"/>
        <v>-</v>
      </c>
      <c r="M95" s="360"/>
      <c r="P95" s="62">
        <v>16</v>
      </c>
      <c r="Q95" s="34" t="str">
        <f t="shared" si="29"/>
        <v>--</v>
      </c>
      <c r="R95" s="59" t="str">
        <f>IFERROR(HLOOKUP(Q95,Declarations!$D$2:$S$102,$O82,FALSE),"")</f>
        <v/>
      </c>
      <c r="S95" s="36" t="str">
        <f t="shared" si="26"/>
        <v>-</v>
      </c>
      <c r="T95" s="360"/>
      <c r="U95" s="421"/>
    </row>
    <row r="96" spans="1:21" x14ac:dyDescent="0.45">
      <c r="M96" s="360">
        <v>0</v>
      </c>
    </row>
    <row r="97" spans="1:21" x14ac:dyDescent="0.45">
      <c r="A97" s="32" t="str">
        <f>IFERROR(IF(LEFT(MatchDay!$C$2,1)="L","L"&amp;A98,"U"&amp;A98),"")</f>
        <v>LFD11</v>
      </c>
      <c r="B97" s="107" t="str">
        <f>IFERROR(VLOOKUP(A97,Timetables!$A:$G,3,FALSE)&amp;" "&amp;VLOOKUP(A97,Timetables!$A:$G,2,FALSE),"")</f>
        <v>U15 Girls Shot</v>
      </c>
      <c r="H97" s="32" t="str">
        <f>IFERROR(IF(LEFT(MatchDay!$C$2,1)="L","L"&amp;H98,"U"&amp;H98),"")</f>
        <v>LFD12</v>
      </c>
      <c r="I97" s="107" t="str">
        <f>IFERROR(VLOOKUP(H97,Timetables!$A:$G,3,FALSE)&amp;" "&amp;VLOOKUP(H97,Timetables!$A:$G,2,FALSE),"")</f>
        <v>U13 Girls Javelin</v>
      </c>
      <c r="M97" s="63"/>
      <c r="O97" s="32" t="str">
        <f>IFERROR(IF(LEFT(MatchDay!$C$2,1)="L","L"&amp;O98,"U"&amp;O98),"")</f>
        <v>LFW06</v>
      </c>
      <c r="P97" s="107" t="str">
        <f>IFERROR(VLOOKUP(O97,Timetables!$A:$G,3,FALSE)&amp;" "&amp;VLOOKUP(O97,Timetables!$A:$G,2,FALSE),"")</f>
        <v/>
      </c>
      <c r="T97" s="63"/>
    </row>
    <row r="98" spans="1:21" x14ac:dyDescent="0.45">
      <c r="A98" s="33" t="s">
        <v>267</v>
      </c>
      <c r="B98" s="62" t="s">
        <v>163</v>
      </c>
      <c r="C98" s="62" t="s">
        <v>159</v>
      </c>
      <c r="D98" s="59" t="s">
        <v>227</v>
      </c>
      <c r="E98" s="59" t="s">
        <v>228</v>
      </c>
      <c r="F98" s="63" t="s">
        <v>229</v>
      </c>
      <c r="H98" s="33" t="s">
        <v>268</v>
      </c>
      <c r="I98" s="62" t="s">
        <v>163</v>
      </c>
      <c r="J98" s="62" t="s">
        <v>159</v>
      </c>
      <c r="K98" s="59" t="s">
        <v>227</v>
      </c>
      <c r="L98" s="59" t="s">
        <v>228</v>
      </c>
      <c r="M98" s="63" t="s">
        <v>229</v>
      </c>
      <c r="O98" s="33" t="s">
        <v>306</v>
      </c>
      <c r="P98" s="62" t="s">
        <v>163</v>
      </c>
      <c r="Q98" s="62" t="s">
        <v>159</v>
      </c>
      <c r="R98" s="59" t="s">
        <v>227</v>
      </c>
      <c r="S98" s="59" t="s">
        <v>228</v>
      </c>
      <c r="T98" s="63" t="s">
        <v>229</v>
      </c>
      <c r="U98" s="62" t="s">
        <v>259</v>
      </c>
    </row>
    <row r="99" spans="1:21" x14ac:dyDescent="0.45">
      <c r="A99" s="62" t="s">
        <v>224</v>
      </c>
      <c r="B99" s="62">
        <v>1</v>
      </c>
      <c r="C99" s="34">
        <f>IFERROR(IF(B99&gt;MatchDay!$U$2,"-",VLOOKUP(A97,timetables,MatchDay!$U$4,FALSE)),0)</f>
        <v>3</v>
      </c>
      <c r="D99" s="59" t="str">
        <f ca="1">IFERROR(HLOOKUP(C99,Declarations!$D$2:$S$102,$A101,FALSE),"")</f>
        <v>BROOKS Carmen</v>
      </c>
      <c r="E99" s="36" t="str">
        <f t="shared" ref="E99:E114" si="30">IFERROR(VLOOKUP(C99,teamlookup,5,FALSE),"-")</f>
        <v>York</v>
      </c>
      <c r="F99" s="360">
        <v>10.01</v>
      </c>
      <c r="H99" s="62" t="s">
        <v>222</v>
      </c>
      <c r="I99" s="62">
        <v>1</v>
      </c>
      <c r="J99" s="34">
        <f>IFERROR(IF(I99&gt;MatchDay!$U$2,"-",VLOOKUP(H97,timetables,MatchDay!$U$4,FALSE)),0)</f>
        <v>4</v>
      </c>
      <c r="K99" s="59" t="str">
        <f ca="1">IFERROR(HLOOKUP(J99,Declarations!$D$2:$S$102,$H101,FALSE),"")</f>
        <v>-</v>
      </c>
      <c r="L99" s="36" t="str">
        <f t="shared" ref="L99:L114" si="31">IFERROR(VLOOKUP(J99,teamlookup,5,FALSE),"-")</f>
        <v>M'bro</v>
      </c>
      <c r="M99" s="360"/>
      <c r="O99" s="62" t="s">
        <v>212</v>
      </c>
      <c r="P99" s="62">
        <v>1</v>
      </c>
      <c r="Q99" s="34">
        <f>IFERROR(IF(P99&gt;MatchDay!$U$2,"-",VLOOKUP(O97,timetables,MatchDay!$U$4,FALSE)),0)</f>
        <v>0</v>
      </c>
      <c r="R99" s="59" t="str">
        <f>IFERROR(HLOOKUP(Q99,Declarations!$D$2:$S$102,$O101,FALSE),"")</f>
        <v/>
      </c>
      <c r="S99" s="36" t="str">
        <f t="shared" ref="S99:S114" si="32">IFERROR(VLOOKUP(Q99,teamlookup,5,FALSE),"-")</f>
        <v>-</v>
      </c>
      <c r="T99" s="360"/>
      <c r="U99" s="421"/>
    </row>
    <row r="100" spans="1:21" x14ac:dyDescent="0.45">
      <c r="A100" s="62">
        <v>99</v>
      </c>
      <c r="B100" s="62">
        <v>2</v>
      </c>
      <c r="C100" s="34">
        <f>IFERROR(IF(B100&gt;MatchDay!$U$2,"-",VLOOKUP(A97,timetables,MatchDay!$U$4+1,FALSE)),0)</f>
        <v>1</v>
      </c>
      <c r="D100" s="59" t="str">
        <f ca="1">IFERROR(HLOOKUP(C100,Declarations!$D$2:$S$102,$A101,FALSE),"")</f>
        <v>HIGHAM Ruby</v>
      </c>
      <c r="E100" s="36" t="str">
        <f t="shared" si="30"/>
        <v>C'field</v>
      </c>
      <c r="F100" s="360">
        <v>6.45</v>
      </c>
      <c r="H100" s="62">
        <f>A100</f>
        <v>99</v>
      </c>
      <c r="I100" s="62">
        <v>2</v>
      </c>
      <c r="J100" s="34">
        <f>IFERROR(IF(I100&gt;MatchDay!$U$2,"-",VLOOKUP(H97,timetables,MatchDay!$U$4+1,FALSE)),0)</f>
        <v>2</v>
      </c>
      <c r="K100" s="59" t="str">
        <f ca="1">IFERROR(HLOOKUP(J100,Declarations!$D$2:$S$102,$H101,FALSE),"")</f>
        <v>ROBERTS Eve</v>
      </c>
      <c r="L100" s="36" t="str">
        <f t="shared" si="31"/>
        <v>Sheff+D</v>
      </c>
      <c r="M100" s="360">
        <v>13.37</v>
      </c>
      <c r="O100" s="62">
        <f>A100</f>
        <v>99</v>
      </c>
      <c r="P100" s="62">
        <v>2</v>
      </c>
      <c r="Q100" s="34">
        <f>IFERROR(IF(P100&gt;MatchDay!$U$2,"-",VLOOKUP(O97,timetables,MatchDay!$U$4+1,FALSE)),0)</f>
        <v>0</v>
      </c>
      <c r="R100" s="59" t="str">
        <f>IFERROR(HLOOKUP(Q100,Declarations!$D$2:$S$102,$O101,FALSE),"")</f>
        <v/>
      </c>
      <c r="S100" s="36" t="str">
        <f t="shared" si="32"/>
        <v>-</v>
      </c>
      <c r="T100" s="360"/>
      <c r="U100" s="421"/>
    </row>
    <row r="101" spans="1:21" x14ac:dyDescent="0.45">
      <c r="A101" s="181">
        <f>IFERROR(VLOOKUP(A97,Timetables!$A:$E,5,FALSE)-1,"")</f>
        <v>17</v>
      </c>
      <c r="B101" s="62">
        <v>3</v>
      </c>
      <c r="C101" s="34">
        <f>IFERROR(IF(B101&gt;MatchDay!$U$2,"-",VLOOKUP(A97,timetables,MatchDay!$U$4+2,FALSE)),0)</f>
        <v>4</v>
      </c>
      <c r="D101" s="59" t="str">
        <f ca="1">IFERROR(HLOOKUP(C101,Declarations!$D$2:$S$102,$A101,FALSE),"")</f>
        <v>DORAN Bethany</v>
      </c>
      <c r="E101" s="36" t="str">
        <f t="shared" si="30"/>
        <v>M'bro</v>
      </c>
      <c r="F101" s="360">
        <v>7.89</v>
      </c>
      <c r="H101" s="181">
        <f>IFERROR(VLOOKUP(H97,Timetables!$A:$E,5,FALSE)-1,"")</f>
        <v>41</v>
      </c>
      <c r="I101" s="62">
        <v>3</v>
      </c>
      <c r="J101" s="34">
        <f>IFERROR(IF(I101&gt;MatchDay!$U$2,"-",VLOOKUP(H97,timetables,MatchDay!$U$4+2,FALSE)),0)</f>
        <v>5</v>
      </c>
      <c r="K101" s="59">
        <f ca="1">IFERROR(HLOOKUP(J101,Declarations!$D$2:$S$102,$H101,FALSE),"")</f>
        <v>0</v>
      </c>
      <c r="L101" s="36" t="str">
        <f t="shared" si="31"/>
        <v>Scun</v>
      </c>
      <c r="M101" s="360"/>
      <c r="O101" s="181" t="str">
        <f>IFERROR(VLOOKUP(O97,Timetables!$A:$E,5,FALSE)-1,"")</f>
        <v/>
      </c>
      <c r="P101" s="62">
        <v>3</v>
      </c>
      <c r="Q101" s="34">
        <f>IFERROR(IF(P101&gt;MatchDay!$U$2,"-",VLOOKUP(O97,timetables,MatchDay!$U$4+2,FALSE)),0)</f>
        <v>0</v>
      </c>
      <c r="R101" s="59" t="str">
        <f>IFERROR(HLOOKUP(Q101,Declarations!$D$2:$S$102,$O101,FALSE),"")</f>
        <v/>
      </c>
      <c r="S101" s="36" t="str">
        <f t="shared" si="32"/>
        <v>-</v>
      </c>
      <c r="T101" s="360"/>
      <c r="U101" s="421"/>
    </row>
    <row r="102" spans="1:21" x14ac:dyDescent="0.45">
      <c r="B102" s="62">
        <v>4</v>
      </c>
      <c r="C102" s="34">
        <f>IFERROR(IF(B102&gt;MatchDay!$U$2,"-",VLOOKUP(A97,timetables,MatchDay!$U$4+3,FALSE)),0)</f>
        <v>2</v>
      </c>
      <c r="D102" s="59" t="str">
        <f ca="1">IFERROR(HLOOKUP(C102,Declarations!$D$2:$S$102,$A101,FALSE),"")</f>
        <v>ADEBAYO Daphney</v>
      </c>
      <c r="E102" s="36" t="str">
        <f t="shared" si="30"/>
        <v>Sheff+D</v>
      </c>
      <c r="F102" s="360">
        <v>10.51</v>
      </c>
      <c r="I102" s="62">
        <v>4</v>
      </c>
      <c r="J102" s="34">
        <f>IFERROR(IF(I102&gt;MatchDay!$U$2,"-",VLOOKUP(H97,timetables,MatchDay!$U$4+3,FALSE)),0)</f>
        <v>1</v>
      </c>
      <c r="K102" s="59" t="str">
        <f ca="1">IFERROR(HLOOKUP(J102,Declarations!$D$2:$S$102,$H101,FALSE),"")</f>
        <v>FELLOWS Isabelle</v>
      </c>
      <c r="L102" s="36" t="str">
        <f t="shared" si="31"/>
        <v>C'field</v>
      </c>
      <c r="M102" s="360">
        <v>29.04</v>
      </c>
      <c r="P102" s="62">
        <v>4</v>
      </c>
      <c r="Q102" s="34">
        <f>IFERROR(IF(P102&gt;MatchDay!$U$2,"-",VLOOKUP(O97,timetables,MatchDay!$U$4+3,FALSE)),0)</f>
        <v>0</v>
      </c>
      <c r="R102" s="59" t="str">
        <f>IFERROR(HLOOKUP(Q102,Declarations!$D$2:$S$102,$O101,FALSE),"")</f>
        <v/>
      </c>
      <c r="S102" s="36" t="str">
        <f t="shared" si="32"/>
        <v>-</v>
      </c>
      <c r="T102" s="360"/>
      <c r="U102" s="421"/>
    </row>
    <row r="103" spans="1:21" x14ac:dyDescent="0.45">
      <c r="B103" s="62">
        <v>5</v>
      </c>
      <c r="C103" s="34">
        <f>IFERROR(IF(B103&gt;MatchDay!$U$2,"-",VLOOKUP(A97,timetables,MatchDay!$U$4+4,FALSE)),0)</f>
        <v>5</v>
      </c>
      <c r="D103" s="59" t="str">
        <f ca="1">IFERROR(HLOOKUP(C103,Declarations!$D$2:$S$102,$A101,FALSE),"")</f>
        <v>THIRKETTLE Charlotte</v>
      </c>
      <c r="E103" s="36" t="str">
        <f t="shared" si="30"/>
        <v>Scun</v>
      </c>
      <c r="F103" s="360">
        <v>7.3</v>
      </c>
      <c r="I103" s="62">
        <v>5</v>
      </c>
      <c r="J103" s="34">
        <f>IFERROR(IF(I103&gt;MatchDay!$U$2,"-",VLOOKUP(H97,timetables,MatchDay!$U$4+4,FALSE)),0)</f>
        <v>3</v>
      </c>
      <c r="K103" s="59" t="str">
        <f ca="1">IFERROR(HLOOKUP(J103,Declarations!$D$2:$S$102,$H101,FALSE),"")</f>
        <v>CLAGUE Kathryn</v>
      </c>
      <c r="L103" s="36" t="str">
        <f t="shared" si="31"/>
        <v>York</v>
      </c>
      <c r="M103" s="360">
        <v>24.68</v>
      </c>
      <c r="P103" s="62">
        <v>5</v>
      </c>
      <c r="Q103" s="34">
        <f>IFERROR(IF(P103&gt;MatchDay!$U$2,"-",VLOOKUP(O97,timetables,MatchDay!$U$4+4,FALSE)),0)</f>
        <v>0</v>
      </c>
      <c r="R103" s="59" t="str">
        <f>IFERROR(HLOOKUP(Q103,Declarations!$D$2:$S$102,$O101,FALSE),"")</f>
        <v/>
      </c>
      <c r="S103" s="36" t="str">
        <f t="shared" si="32"/>
        <v>-</v>
      </c>
      <c r="T103" s="360"/>
      <c r="U103" s="421"/>
    </row>
    <row r="104" spans="1:21" x14ac:dyDescent="0.45">
      <c r="B104" s="62">
        <v>6</v>
      </c>
      <c r="C104" s="34" t="str">
        <f>IFERROR(IF(B104&gt;MatchDay!$U$2,"-",VLOOKUP(A97,timetables,MatchDay!$U$4+5,FALSE)),0)</f>
        <v>-</v>
      </c>
      <c r="D104" s="59" t="str">
        <f>IFERROR(HLOOKUP(C104,Declarations!$D$2:$S$102,$A101,FALSE),"")</f>
        <v/>
      </c>
      <c r="E104" s="36" t="str">
        <f t="shared" si="30"/>
        <v/>
      </c>
      <c r="F104" s="360"/>
      <c r="I104" s="62">
        <v>6</v>
      </c>
      <c r="J104" s="34" t="str">
        <f>IFERROR(IF(I104&gt;MatchDay!$U$2,"-",VLOOKUP(H97,timetables,MatchDay!$U$4+5,FALSE)),0)</f>
        <v>-</v>
      </c>
      <c r="K104" s="59" t="str">
        <f>IFERROR(HLOOKUP(J104,Declarations!$D$2:$S$102,$H101,FALSE),"")</f>
        <v/>
      </c>
      <c r="L104" s="36" t="str">
        <f t="shared" si="31"/>
        <v/>
      </c>
      <c r="M104" s="360"/>
      <c r="P104" s="62">
        <v>6</v>
      </c>
      <c r="Q104" s="34" t="str">
        <f>IFERROR(IF(P104&gt;MatchDay!$U$2,"-",VLOOKUP(O97,timetables,MatchDay!$U$4+5,FALSE)),0)</f>
        <v>-</v>
      </c>
      <c r="R104" s="59" t="str">
        <f>IFERROR(HLOOKUP(Q104,Declarations!$D$2:$S$102,$O101,FALSE),"")</f>
        <v/>
      </c>
      <c r="S104" s="36" t="str">
        <f t="shared" si="32"/>
        <v/>
      </c>
      <c r="T104" s="360"/>
      <c r="U104" s="421"/>
    </row>
    <row r="105" spans="1:21" ht="15" customHeight="1" x14ac:dyDescent="0.45">
      <c r="A105" s="136"/>
      <c r="B105" s="62">
        <v>7</v>
      </c>
      <c r="C105" s="34" t="str">
        <f>IFERROR(IF(B105&gt;MatchDay!$U$2,"-",VLOOKUP(A97,timetables,MatchDay!$U$4+6,FALSE)),0)</f>
        <v>-</v>
      </c>
      <c r="D105" s="59" t="str">
        <f>IFERROR(HLOOKUP(C105,Declarations!$D$2:$S$102,$A101,FALSE),"")</f>
        <v/>
      </c>
      <c r="E105" s="36" t="str">
        <f t="shared" si="30"/>
        <v/>
      </c>
      <c r="F105" s="360"/>
      <c r="H105" s="136"/>
      <c r="I105" s="62">
        <v>7</v>
      </c>
      <c r="J105" s="34" t="str">
        <f>IFERROR(IF(I105&gt;MatchDay!$U$2,"-",VLOOKUP(H97,timetables,MatchDay!$U$4+6,FALSE)),0)</f>
        <v>-</v>
      </c>
      <c r="K105" s="59" t="str">
        <f>IFERROR(HLOOKUP(J105,Declarations!$D$2:$S$102,$H101,FALSE),"")</f>
        <v/>
      </c>
      <c r="L105" s="36" t="str">
        <f t="shared" si="31"/>
        <v/>
      </c>
      <c r="M105" s="360"/>
      <c r="O105" s="136"/>
      <c r="P105" s="62">
        <v>7</v>
      </c>
      <c r="Q105" s="34" t="str">
        <f>IFERROR(IF(P105&gt;MatchDay!$U$2,"-",VLOOKUP(O97,timetables,MatchDay!$U$4+6,FALSE)),0)</f>
        <v>-</v>
      </c>
      <c r="R105" s="59" t="str">
        <f>IFERROR(HLOOKUP(Q105,Declarations!$D$2:$S$102,$O101,FALSE),"")</f>
        <v/>
      </c>
      <c r="S105" s="36" t="str">
        <f t="shared" si="32"/>
        <v/>
      </c>
      <c r="T105" s="360"/>
      <c r="U105" s="421"/>
    </row>
    <row r="106" spans="1:21" x14ac:dyDescent="0.45">
      <c r="B106" s="62">
        <v>8</v>
      </c>
      <c r="C106" s="34" t="str">
        <f>IFERROR(IF(B106&gt;MatchDay!$U$2,"-",VLOOKUP(A97,timetables,MatchDay!$U$4+7,FALSE)),0)</f>
        <v>-</v>
      </c>
      <c r="D106" s="59" t="str">
        <f>IFERROR(HLOOKUP(C106,Declarations!$D$2:$S$102,$A101,FALSE),"")</f>
        <v/>
      </c>
      <c r="E106" s="36" t="str">
        <f t="shared" si="30"/>
        <v/>
      </c>
      <c r="F106" s="360"/>
      <c r="I106" s="62">
        <v>8</v>
      </c>
      <c r="J106" s="34" t="str">
        <f>IFERROR(IF(I106&gt;MatchDay!$U$2,"-",VLOOKUP(H97,timetables,MatchDay!$U$4+7,FALSE)),0)</f>
        <v>-</v>
      </c>
      <c r="K106" s="59" t="str">
        <f>IFERROR(HLOOKUP(J106,Declarations!$D$2:$S$102,$H101,FALSE),"")</f>
        <v/>
      </c>
      <c r="L106" s="36" t="str">
        <f t="shared" si="31"/>
        <v/>
      </c>
      <c r="M106" s="360"/>
      <c r="P106" s="62">
        <v>8</v>
      </c>
      <c r="Q106" s="34" t="str">
        <f>IFERROR(IF(P106&gt;MatchDay!$U$2,"-",VLOOKUP(O97,timetables,MatchDay!$U$4+7,FALSE)),0)</f>
        <v>-</v>
      </c>
      <c r="R106" s="59" t="str">
        <f>IFERROR(HLOOKUP(Q106,Declarations!$D$2:$S$102,$O101,FALSE),"")</f>
        <v/>
      </c>
      <c r="S106" s="36" t="str">
        <f t="shared" si="32"/>
        <v/>
      </c>
      <c r="T106" s="360"/>
      <c r="U106" s="421"/>
    </row>
    <row r="107" spans="1:21" x14ac:dyDescent="0.45">
      <c r="B107" s="62">
        <v>9</v>
      </c>
      <c r="C107" s="34">
        <f>IFERROR(IF(T(C99)="",C99*11,C99&amp;C99),"-")</f>
        <v>33</v>
      </c>
      <c r="D107" s="59" t="str">
        <f ca="1">IFERROR(HLOOKUP(C107,Declarations!$D$2:$S$102,$A101,FALSE),"")</f>
        <v>LEE Isabel</v>
      </c>
      <c r="E107" s="36" t="str">
        <f t="shared" si="30"/>
        <v>York</v>
      </c>
      <c r="F107" s="360">
        <v>7.07</v>
      </c>
      <c r="I107" s="62">
        <v>9</v>
      </c>
      <c r="J107" s="34">
        <f>IFERROR(IF(T(J99)="",J99*11,J99&amp;J99),"-")</f>
        <v>44</v>
      </c>
      <c r="K107" s="59" t="str">
        <f ca="1">IFERROR(HLOOKUP(J107,Declarations!$D$2:$S$102,$H101,FALSE),"")</f>
        <v>-</v>
      </c>
      <c r="L107" s="36" t="str">
        <f t="shared" si="31"/>
        <v>M'bro</v>
      </c>
      <c r="M107" s="360"/>
      <c r="P107" s="62">
        <v>9</v>
      </c>
      <c r="Q107" s="34">
        <f>IFERROR(IF(T(Q99)="",Q99*11,Q99&amp;Q99),"-")</f>
        <v>0</v>
      </c>
      <c r="R107" s="59" t="str">
        <f>IFERROR(HLOOKUP(Q107,Declarations!$D$2:$S$102,$O101,FALSE),"")</f>
        <v/>
      </c>
      <c r="S107" s="36" t="str">
        <f t="shared" si="32"/>
        <v>-</v>
      </c>
      <c r="T107" s="360"/>
      <c r="U107" s="421"/>
    </row>
    <row r="108" spans="1:21" x14ac:dyDescent="0.45">
      <c r="B108" s="62">
        <v>10</v>
      </c>
      <c r="C108" s="34">
        <f t="shared" ref="C108:C114" si="33">IFERROR(IF(T(C100)="",C100*11,C100&amp;C100),"-")</f>
        <v>11</v>
      </c>
      <c r="D108" s="59" t="str">
        <f ca="1">IFERROR(HLOOKUP(C108,Declarations!$D$2:$S$102,$A101,FALSE),"")</f>
        <v>BAINES Lily</v>
      </c>
      <c r="E108" s="36" t="str">
        <f t="shared" si="30"/>
        <v>C'field</v>
      </c>
      <c r="F108" s="360">
        <v>6.25</v>
      </c>
      <c r="I108" s="62">
        <v>10</v>
      </c>
      <c r="J108" s="34">
        <f t="shared" ref="J108:J114" si="34">IFERROR(IF(T(J100)="",J100*11,J100&amp;J100),"-")</f>
        <v>22</v>
      </c>
      <c r="K108" s="59" t="str">
        <f ca="1">IFERROR(HLOOKUP(J108,Declarations!$D$2:$S$102,$H101,FALSE),"")</f>
        <v>GRAY Molly</v>
      </c>
      <c r="L108" s="36" t="str">
        <f t="shared" si="31"/>
        <v>Sheff+D</v>
      </c>
      <c r="M108" s="360"/>
      <c r="P108" s="62">
        <v>10</v>
      </c>
      <c r="Q108" s="34">
        <f t="shared" ref="Q108:Q114" si="35">IFERROR(IF(T(Q100)="",Q100*11,Q100&amp;Q100),"-")</f>
        <v>0</v>
      </c>
      <c r="R108" s="59" t="str">
        <f>IFERROR(HLOOKUP(Q108,Declarations!$D$2:$S$102,$O101,FALSE),"")</f>
        <v/>
      </c>
      <c r="S108" s="36" t="str">
        <f t="shared" si="32"/>
        <v>-</v>
      </c>
      <c r="T108" s="360"/>
      <c r="U108" s="421"/>
    </row>
    <row r="109" spans="1:21" x14ac:dyDescent="0.45">
      <c r="B109" s="62">
        <v>11</v>
      </c>
      <c r="C109" s="34">
        <f t="shared" si="33"/>
        <v>44</v>
      </c>
      <c r="D109" s="59" t="str">
        <f ca="1">IFERROR(HLOOKUP(C109,Declarations!$D$2:$S$102,$A101,FALSE),"")</f>
        <v>-</v>
      </c>
      <c r="E109" s="36" t="str">
        <f t="shared" si="30"/>
        <v>M'bro</v>
      </c>
      <c r="F109" s="360"/>
      <c r="I109" s="62">
        <v>11</v>
      </c>
      <c r="J109" s="34">
        <f t="shared" si="34"/>
        <v>55</v>
      </c>
      <c r="K109" s="59">
        <f ca="1">IFERROR(HLOOKUP(J109,Declarations!$D$2:$S$102,$H101,FALSE),"")</f>
        <v>0</v>
      </c>
      <c r="L109" s="36" t="str">
        <f t="shared" si="31"/>
        <v>Scun</v>
      </c>
      <c r="M109" s="360"/>
      <c r="P109" s="62">
        <v>11</v>
      </c>
      <c r="Q109" s="34">
        <f t="shared" si="35"/>
        <v>0</v>
      </c>
      <c r="R109" s="59" t="str">
        <f>IFERROR(HLOOKUP(Q109,Declarations!$D$2:$S$102,$O101,FALSE),"")</f>
        <v/>
      </c>
      <c r="S109" s="36" t="str">
        <f t="shared" si="32"/>
        <v>-</v>
      </c>
      <c r="T109" s="360"/>
      <c r="U109" s="421"/>
    </row>
    <row r="110" spans="1:21" x14ac:dyDescent="0.45">
      <c r="B110" s="62">
        <v>12</v>
      </c>
      <c r="C110" s="34">
        <f t="shared" si="33"/>
        <v>22</v>
      </c>
      <c r="D110" s="59" t="str">
        <f ca="1">IFERROR(HLOOKUP(C110,Declarations!$D$2:$S$102,$A101,FALSE),"")</f>
        <v>KYNOCH Ella</v>
      </c>
      <c r="E110" s="36" t="str">
        <f t="shared" si="30"/>
        <v>Sheff+D</v>
      </c>
      <c r="F110" s="360">
        <v>10.28</v>
      </c>
      <c r="I110" s="62">
        <v>12</v>
      </c>
      <c r="J110" s="34">
        <f t="shared" si="34"/>
        <v>11</v>
      </c>
      <c r="K110" s="59" t="str">
        <f ca="1">IFERROR(HLOOKUP(J110,Declarations!$D$2:$S$102,$H101,FALSE),"")</f>
        <v>HALL Lottie</v>
      </c>
      <c r="L110" s="36" t="str">
        <f t="shared" si="31"/>
        <v>C'field</v>
      </c>
      <c r="M110" s="360">
        <v>28.98</v>
      </c>
      <c r="P110" s="62">
        <v>12</v>
      </c>
      <c r="Q110" s="34">
        <f t="shared" si="35"/>
        <v>0</v>
      </c>
      <c r="R110" s="59" t="str">
        <f>IFERROR(HLOOKUP(Q110,Declarations!$D$2:$S$102,$O101,FALSE),"")</f>
        <v/>
      </c>
      <c r="S110" s="36" t="str">
        <f t="shared" si="32"/>
        <v>-</v>
      </c>
      <c r="T110" s="360"/>
      <c r="U110" s="421"/>
    </row>
    <row r="111" spans="1:21" x14ac:dyDescent="0.45">
      <c r="B111" s="62">
        <v>13</v>
      </c>
      <c r="C111" s="34">
        <f t="shared" si="33"/>
        <v>55</v>
      </c>
      <c r="D111" s="59" t="str">
        <f ca="1">IFERROR(HLOOKUP(C111,Declarations!$D$2:$S$102,$A101,FALSE),"")</f>
        <v>VICKERS Cerys</v>
      </c>
      <c r="E111" s="36" t="str">
        <f t="shared" si="30"/>
        <v>Scun</v>
      </c>
      <c r="F111" s="360">
        <v>5.08</v>
      </c>
      <c r="I111" s="62">
        <v>13</v>
      </c>
      <c r="J111" s="34">
        <f t="shared" si="34"/>
        <v>33</v>
      </c>
      <c r="K111" s="59" t="str">
        <f ca="1">IFERROR(HLOOKUP(J111,Declarations!$D$2:$S$102,$H101,FALSE),"")</f>
        <v>WRIGHT Ella</v>
      </c>
      <c r="L111" s="36" t="str">
        <f t="shared" si="31"/>
        <v>York</v>
      </c>
      <c r="M111" s="360">
        <v>10.85</v>
      </c>
      <c r="P111" s="62">
        <v>13</v>
      </c>
      <c r="Q111" s="34">
        <f t="shared" si="35"/>
        <v>0</v>
      </c>
      <c r="R111" s="59" t="str">
        <f>IFERROR(HLOOKUP(Q111,Declarations!$D$2:$S$102,$O101,FALSE),"")</f>
        <v/>
      </c>
      <c r="S111" s="36" t="str">
        <f t="shared" si="32"/>
        <v>-</v>
      </c>
      <c r="T111" s="360"/>
      <c r="U111" s="421"/>
    </row>
    <row r="112" spans="1:21" x14ac:dyDescent="0.45">
      <c r="B112" s="62">
        <v>14</v>
      </c>
      <c r="C112" s="34" t="str">
        <f t="shared" si="33"/>
        <v>--</v>
      </c>
      <c r="D112" s="59" t="str">
        <f>IFERROR(HLOOKUP(C112,Declarations!$D$2:$S$102,$A101,FALSE),"")</f>
        <v/>
      </c>
      <c r="E112" s="36" t="str">
        <f t="shared" si="30"/>
        <v>-</v>
      </c>
      <c r="F112" s="360"/>
      <c r="I112" s="62">
        <v>14</v>
      </c>
      <c r="J112" s="34" t="str">
        <f t="shared" si="34"/>
        <v>--</v>
      </c>
      <c r="K112" s="59" t="str">
        <f>IFERROR(HLOOKUP(J112,Declarations!$D$2:$S$102,$H101,FALSE),"")</f>
        <v/>
      </c>
      <c r="L112" s="36" t="str">
        <f t="shared" si="31"/>
        <v>-</v>
      </c>
      <c r="M112" s="360"/>
      <c r="P112" s="62">
        <v>14</v>
      </c>
      <c r="Q112" s="34" t="str">
        <f t="shared" si="35"/>
        <v>--</v>
      </c>
      <c r="R112" s="59" t="str">
        <f>IFERROR(HLOOKUP(Q112,Declarations!$D$2:$S$102,$O101,FALSE),"")</f>
        <v/>
      </c>
      <c r="S112" s="36" t="str">
        <f t="shared" si="32"/>
        <v>-</v>
      </c>
      <c r="T112" s="360"/>
      <c r="U112" s="421"/>
    </row>
    <row r="113" spans="1:21" x14ac:dyDescent="0.45">
      <c r="B113" s="62">
        <v>15</v>
      </c>
      <c r="C113" s="34" t="str">
        <f t="shared" si="33"/>
        <v>--</v>
      </c>
      <c r="D113" s="59" t="str">
        <f>IFERROR(HLOOKUP(C113,Declarations!$D$2:$S$102,$A101,FALSE),"")</f>
        <v/>
      </c>
      <c r="E113" s="36" t="str">
        <f t="shared" si="30"/>
        <v>-</v>
      </c>
      <c r="F113" s="360"/>
      <c r="I113" s="62">
        <v>15</v>
      </c>
      <c r="J113" s="34" t="str">
        <f t="shared" si="34"/>
        <v>--</v>
      </c>
      <c r="K113" s="59" t="str">
        <f>IFERROR(HLOOKUP(J113,Declarations!$D$2:$S$102,$H101,FALSE),"")</f>
        <v/>
      </c>
      <c r="L113" s="36" t="str">
        <f t="shared" si="31"/>
        <v>-</v>
      </c>
      <c r="M113" s="360"/>
      <c r="P113" s="62">
        <v>15</v>
      </c>
      <c r="Q113" s="34" t="str">
        <f t="shared" si="35"/>
        <v>--</v>
      </c>
      <c r="R113" s="59" t="str">
        <f>IFERROR(HLOOKUP(Q113,Declarations!$D$2:$S$102,$O101,FALSE),"")</f>
        <v/>
      </c>
      <c r="S113" s="36" t="str">
        <f t="shared" si="32"/>
        <v>-</v>
      </c>
      <c r="T113" s="360"/>
      <c r="U113" s="421"/>
    </row>
    <row r="114" spans="1:21" x14ac:dyDescent="0.45">
      <c r="B114" s="62">
        <v>16</v>
      </c>
      <c r="C114" s="34" t="str">
        <f t="shared" si="33"/>
        <v>--</v>
      </c>
      <c r="D114" s="59" t="str">
        <f>IFERROR(HLOOKUP(C114,Declarations!$D$2:$S$102,$A101,FALSE),"")</f>
        <v/>
      </c>
      <c r="E114" s="36" t="str">
        <f t="shared" si="30"/>
        <v>-</v>
      </c>
      <c r="F114" s="360"/>
      <c r="I114" s="62">
        <v>16</v>
      </c>
      <c r="J114" s="34" t="str">
        <f t="shared" si="34"/>
        <v>--</v>
      </c>
      <c r="K114" s="59" t="str">
        <f>IFERROR(HLOOKUP(J114,Declarations!$D$2:$S$102,$H101,FALSE),"")</f>
        <v/>
      </c>
      <c r="L114" s="36" t="str">
        <f t="shared" si="31"/>
        <v>-</v>
      </c>
      <c r="M114" s="360"/>
      <c r="P114" s="62">
        <v>16</v>
      </c>
      <c r="Q114" s="34" t="str">
        <f t="shared" si="35"/>
        <v>--</v>
      </c>
      <c r="R114" s="59" t="str">
        <f>IFERROR(HLOOKUP(Q114,Declarations!$D$2:$S$102,$O101,FALSE),"")</f>
        <v/>
      </c>
      <c r="S114" s="36" t="str">
        <f t="shared" si="32"/>
        <v>-</v>
      </c>
      <c r="T114" s="360"/>
      <c r="U114" s="421"/>
    </row>
    <row r="116" spans="1:21" x14ac:dyDescent="0.45">
      <c r="A116" s="32" t="str">
        <f>IFERROR(IF(LEFT(MatchDay!$C$2,1)="L","L"&amp;#REF!,"U"&amp;#REF!),"")</f>
        <v/>
      </c>
      <c r="B116" s="107" t="str">
        <f>IFERROR(#REF!&amp;" "&amp;VLOOKUP(A116,Timetables!$A:$G,3,FALSE)&amp;" "&amp;VLOOKUP(A116,Timetables!$A:$G,2,FALSE),"")</f>
        <v/>
      </c>
      <c r="H116" s="32" t="str">
        <f>IFERROR(IF(LEFT(MatchDay!$C$2,1)="L","L"&amp;#REF!,"U"&amp;#REF!),"")</f>
        <v/>
      </c>
      <c r="I116" s="107" t="str">
        <f>IFERROR(#REF!&amp;" "&amp;VLOOKUP(H116,Timetables!$A:$G,3,FALSE)&amp;" "&amp;VLOOKUP(H116,Timetables!$A:$G,2,FALSE),"")</f>
        <v/>
      </c>
      <c r="M116" s="63"/>
      <c r="O116" s="32" t="str">
        <f>IFERROR(IF(LEFT(MatchDay!$C$2,1)="L","L"&amp;#REF!,"U"&amp;#REF!),"")</f>
        <v/>
      </c>
      <c r="P116" s="107" t="str">
        <f>IFERROR(#REF!&amp;" "&amp;VLOOKUP(O116,Timetables!$A:$G,3,FALSE)&amp;" "&amp;VLOOKUP(O116,Timetables!$A:$G,2,FALSE),"")</f>
        <v/>
      </c>
      <c r="T116" s="63"/>
    </row>
    <row r="118" spans="1:21" x14ac:dyDescent="0.45">
      <c r="A118" s="32"/>
      <c r="B118" s="107"/>
      <c r="H118" s="32"/>
      <c r="I118" s="107"/>
      <c r="M118" s="63"/>
      <c r="O118" s="32"/>
      <c r="P118" s="107"/>
      <c r="T118" s="63"/>
    </row>
    <row r="119" spans="1:21" x14ac:dyDescent="0.45">
      <c r="A119" s="33"/>
      <c r="C119" s="62"/>
      <c r="H119" s="33"/>
      <c r="I119" s="62"/>
      <c r="J119" s="62"/>
      <c r="M119" s="63"/>
      <c r="O119" s="33"/>
      <c r="P119" s="62"/>
      <c r="Q119" s="62"/>
      <c r="T119" s="63"/>
    </row>
    <row r="120" spans="1:21" x14ac:dyDescent="0.45">
      <c r="C120" s="35"/>
      <c r="E120" s="36"/>
      <c r="I120" s="62"/>
      <c r="J120" s="35"/>
      <c r="L120" s="36"/>
      <c r="M120" s="63"/>
      <c r="P120" s="62"/>
      <c r="Q120" s="35"/>
      <c r="S120" s="36"/>
      <c r="T120" s="63"/>
    </row>
    <row r="121" spans="1:21" x14ac:dyDescent="0.45">
      <c r="C121" s="35"/>
      <c r="E121" s="36"/>
      <c r="I121" s="62"/>
      <c r="J121" s="35"/>
      <c r="L121" s="36"/>
      <c r="M121" s="63"/>
      <c r="P121" s="62"/>
      <c r="Q121" s="35"/>
      <c r="S121" s="36"/>
      <c r="T121" s="63"/>
    </row>
    <row r="122" spans="1:21" x14ac:dyDescent="0.45">
      <c r="C122" s="35"/>
      <c r="E122" s="36"/>
      <c r="I122" s="62"/>
      <c r="J122" s="35"/>
      <c r="L122" s="36"/>
      <c r="M122" s="63"/>
      <c r="P122" s="62"/>
      <c r="Q122" s="35"/>
      <c r="S122" s="36"/>
      <c r="T122" s="63"/>
    </row>
    <row r="123" spans="1:21" x14ac:dyDescent="0.45">
      <c r="C123" s="35"/>
      <c r="E123" s="36"/>
      <c r="I123" s="62"/>
      <c r="J123" s="35"/>
      <c r="L123" s="36"/>
      <c r="M123" s="63"/>
      <c r="P123" s="62"/>
      <c r="Q123" s="35"/>
      <c r="S123" s="36"/>
      <c r="T123" s="63"/>
    </row>
    <row r="124" spans="1:21" x14ac:dyDescent="0.45">
      <c r="C124" s="35"/>
      <c r="E124" s="36"/>
      <c r="I124" s="62"/>
      <c r="J124" s="35"/>
      <c r="L124" s="36"/>
      <c r="M124" s="63"/>
      <c r="P124" s="62"/>
      <c r="Q124" s="35"/>
      <c r="S124" s="36"/>
      <c r="T124" s="63"/>
    </row>
    <row r="125" spans="1:21" x14ac:dyDescent="0.45">
      <c r="C125" s="35"/>
      <c r="E125" s="36"/>
      <c r="I125" s="62"/>
      <c r="J125" s="35"/>
      <c r="L125" s="36"/>
      <c r="M125" s="63"/>
      <c r="P125" s="62"/>
      <c r="Q125" s="35"/>
      <c r="S125" s="36"/>
      <c r="T125" s="63"/>
    </row>
    <row r="126" spans="1:21" x14ac:dyDescent="0.45">
      <c r="C126" s="35"/>
      <c r="E126" s="36"/>
      <c r="I126" s="62"/>
      <c r="J126" s="35"/>
      <c r="L126" s="36"/>
      <c r="M126" s="63"/>
      <c r="P126" s="62"/>
      <c r="Q126" s="35"/>
      <c r="S126" s="36"/>
      <c r="T126" s="63"/>
    </row>
    <row r="127" spans="1:21" x14ac:dyDescent="0.45">
      <c r="C127" s="35"/>
      <c r="E127" s="36"/>
      <c r="I127" s="62"/>
      <c r="J127" s="35"/>
      <c r="L127" s="36"/>
      <c r="M127" s="63"/>
      <c r="P127" s="62"/>
      <c r="Q127" s="35"/>
      <c r="S127" s="36"/>
      <c r="T127" s="63"/>
    </row>
    <row r="128" spans="1:21" x14ac:dyDescent="0.45">
      <c r="C128" s="35"/>
      <c r="E128" s="36"/>
      <c r="I128" s="62"/>
      <c r="J128" s="35"/>
      <c r="L128" s="36"/>
      <c r="M128" s="63"/>
      <c r="P128" s="62"/>
      <c r="Q128" s="35"/>
      <c r="S128" s="36"/>
      <c r="T128" s="63"/>
    </row>
    <row r="129" spans="3:20" x14ac:dyDescent="0.45">
      <c r="C129" s="35"/>
      <c r="E129" s="36"/>
      <c r="I129" s="62"/>
      <c r="J129" s="35"/>
      <c r="L129" s="36"/>
      <c r="M129" s="63"/>
      <c r="P129" s="62"/>
      <c r="Q129" s="35"/>
      <c r="S129" s="36"/>
      <c r="T129" s="63"/>
    </row>
    <row r="130" spans="3:20" x14ac:dyDescent="0.45">
      <c r="C130" s="35"/>
      <c r="E130" s="36"/>
      <c r="I130" s="62"/>
      <c r="J130" s="35"/>
      <c r="L130" s="36"/>
      <c r="M130" s="63"/>
      <c r="P130" s="62"/>
      <c r="Q130" s="35"/>
      <c r="S130" s="36"/>
      <c r="T130" s="63"/>
    </row>
    <row r="131" spans="3:20" x14ac:dyDescent="0.45">
      <c r="C131" s="35"/>
      <c r="E131" s="36"/>
      <c r="I131" s="62"/>
      <c r="J131" s="35"/>
      <c r="L131" s="36"/>
      <c r="M131" s="63"/>
      <c r="P131" s="62"/>
      <c r="Q131" s="35"/>
      <c r="S131" s="36"/>
      <c r="T131" s="63"/>
    </row>
    <row r="132" spans="3:20" x14ac:dyDescent="0.45">
      <c r="C132" s="35"/>
      <c r="E132" s="36"/>
      <c r="I132" s="62"/>
      <c r="J132" s="35"/>
      <c r="L132" s="36"/>
      <c r="M132" s="63"/>
      <c r="P132" s="62"/>
      <c r="Q132" s="35"/>
      <c r="S132" s="36"/>
      <c r="T132" s="63"/>
    </row>
    <row r="133" spans="3:20" x14ac:dyDescent="0.45">
      <c r="C133" s="35"/>
      <c r="E133" s="36"/>
      <c r="I133" s="62"/>
      <c r="J133" s="35"/>
      <c r="L133" s="36"/>
      <c r="M133" s="63"/>
      <c r="P133" s="62"/>
      <c r="Q133" s="35"/>
      <c r="S133" s="36"/>
      <c r="T133" s="63"/>
    </row>
    <row r="134" spans="3:20" x14ac:dyDescent="0.45">
      <c r="C134" s="35"/>
      <c r="E134" s="36"/>
      <c r="I134" s="62"/>
      <c r="J134" s="35"/>
      <c r="L134" s="36"/>
      <c r="M134" s="63"/>
      <c r="P134" s="62"/>
      <c r="Q134" s="35"/>
      <c r="S134" s="36"/>
      <c r="T134" s="63"/>
    </row>
    <row r="135" spans="3:20" x14ac:dyDescent="0.45">
      <c r="C135" s="35"/>
      <c r="E135" s="36"/>
      <c r="I135" s="62"/>
      <c r="J135" s="35"/>
      <c r="L135" s="36"/>
      <c r="M135" s="63"/>
      <c r="P135" s="62"/>
      <c r="Q135" s="35"/>
      <c r="S135" s="36"/>
      <c r="T135" s="63"/>
    </row>
  </sheetData>
  <sheetProtection algorithmName="SHA-512" hashValue="Yen5XyfaIWJAuVRrOjJJzzlKXHltSoWLQiazAL2005oNfOFfFp2ar15DPYJt/pViiXQQYcoGT4PbuxkpmyP79Q==" saltValue="E8O/gDsmBEpAcMIcllPNsw==" spinCount="100000" sheet="1" objects="1" scenarios="1" formatCells="0" formatColumns="0" formatRows="0" sort="0" autoFilter="0"/>
  <conditionalFormatting sqref="F4:F19">
    <cfRule type="duplicateValues" dxfId="45" priority="28"/>
  </conditionalFormatting>
  <conditionalFormatting sqref="M4:M19">
    <cfRule type="duplicateValues" dxfId="44" priority="27"/>
  </conditionalFormatting>
  <conditionalFormatting sqref="T4:T20">
    <cfRule type="duplicateValues" dxfId="43" priority="26"/>
  </conditionalFormatting>
  <conditionalFormatting sqref="F23:F38">
    <cfRule type="duplicateValues" dxfId="42" priority="15"/>
  </conditionalFormatting>
  <conditionalFormatting sqref="F42:F57">
    <cfRule type="duplicateValues" dxfId="41" priority="14"/>
  </conditionalFormatting>
  <conditionalFormatting sqref="F61:F76">
    <cfRule type="duplicateValues" dxfId="40" priority="13"/>
  </conditionalFormatting>
  <conditionalFormatting sqref="F80:F95">
    <cfRule type="duplicateValues" dxfId="39" priority="12"/>
  </conditionalFormatting>
  <conditionalFormatting sqref="F99:F114">
    <cfRule type="duplicateValues" dxfId="38" priority="11"/>
  </conditionalFormatting>
  <conditionalFormatting sqref="M23:M38">
    <cfRule type="duplicateValues" dxfId="37" priority="10"/>
  </conditionalFormatting>
  <conditionalFormatting sqref="M42:M57">
    <cfRule type="duplicateValues" dxfId="36" priority="9"/>
  </conditionalFormatting>
  <conditionalFormatting sqref="M61:M76">
    <cfRule type="duplicateValues" dxfId="35" priority="8"/>
  </conditionalFormatting>
  <conditionalFormatting sqref="M80:M95">
    <cfRule type="duplicateValues" dxfId="34" priority="7"/>
  </conditionalFormatting>
  <conditionalFormatting sqref="M99:M114">
    <cfRule type="duplicateValues" dxfId="33" priority="6"/>
  </conditionalFormatting>
  <conditionalFormatting sqref="T23:T38">
    <cfRule type="duplicateValues" dxfId="32" priority="5"/>
  </conditionalFormatting>
  <conditionalFormatting sqref="T42:T57">
    <cfRule type="duplicateValues" dxfId="31" priority="4"/>
  </conditionalFormatting>
  <conditionalFormatting sqref="T61:T76">
    <cfRule type="duplicateValues" dxfId="30" priority="3"/>
  </conditionalFormatting>
  <conditionalFormatting sqref="T80:T95">
    <cfRule type="duplicateValues" dxfId="29" priority="2"/>
  </conditionalFormatting>
  <conditionalFormatting sqref="T99:T114">
    <cfRule type="duplicateValues" dxfId="28" priority="1"/>
  </conditionalFormatting>
  <dataValidations count="1">
    <dataValidation type="custom" allowBlank="1" showInputMessage="1" showErrorMessage="1" errorTitle="Field Performance" error="Input not allowed.  Please enter a value for the performance or X for a foul instead of NJ, NT, NP, NMR, NHC etc" promptTitle="Distance Card Input" prompt="Enter either a numeric value or an X instead of NJ, NT etc.  Enter 99 if event cancelled or 98 if no competitors declared" sqref="F80:F95 F4:F19 M61:M76 M4:M19 M80:M96 T4:U19 F99:F114 F23:F38 M99:M114 M23:M38 F42:F57 T23:U38 M42:M57 F61:F76 T42:U57 T61:U76 T80:U95 T99:U114" xr:uid="{00000000-0002-0000-1000-000000000000}">
      <formula1>OR(F4="X",T(F4)="")</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7" tint="-0.249977111117893"/>
  </sheetPr>
  <dimension ref="A2:AF43"/>
  <sheetViews>
    <sheetView showZeros="0" topLeftCell="B9" workbookViewId="0">
      <selection activeCell="E11" sqref="E11"/>
    </sheetView>
  </sheetViews>
  <sheetFormatPr defaultColWidth="8.86328125" defaultRowHeight="13.9" x14ac:dyDescent="0.45"/>
  <cols>
    <col min="1" max="1" width="6.86328125" style="62" hidden="1" customWidth="1"/>
    <col min="2" max="3" width="4.86328125" style="62" customWidth="1"/>
    <col min="4" max="4" width="4.86328125" style="59" customWidth="1"/>
    <col min="5" max="5" width="20.86328125" style="59" customWidth="1"/>
    <col min="6" max="6" width="7.86328125" style="59" customWidth="1"/>
    <col min="7" max="7" width="7.86328125" style="63" customWidth="1"/>
    <col min="8" max="8" width="2.86328125" style="59" customWidth="1"/>
    <col min="9" max="9" width="6.86328125" style="62" hidden="1" customWidth="1"/>
    <col min="10" max="12" width="4.86328125" style="59" customWidth="1"/>
    <col min="13" max="13" width="20.86328125" style="59" customWidth="1"/>
    <col min="14" max="14" width="8.86328125" style="59"/>
    <col min="15" max="15" width="7.86328125" style="62" customWidth="1"/>
    <col min="16" max="16" width="2.86328125" style="59" customWidth="1"/>
    <col min="17" max="17" width="6.86328125" style="62" hidden="1" customWidth="1"/>
    <col min="18" max="20" width="4.86328125" style="59" customWidth="1"/>
    <col min="21" max="21" width="20.86328125" style="59" customWidth="1"/>
    <col min="22" max="22" width="8.86328125" style="59"/>
    <col min="23" max="23" width="7.86328125" style="62" customWidth="1"/>
    <col min="24" max="24" width="8.86328125" style="62" hidden="1" customWidth="1"/>
    <col min="25" max="27" width="8.86328125" style="59" hidden="1" customWidth="1"/>
    <col min="28" max="30" width="4.86328125" style="62" hidden="1" customWidth="1"/>
    <col min="31" max="32" width="8.86328125" style="59" hidden="1" customWidth="1"/>
    <col min="33" max="33" width="0" style="59" hidden="1" customWidth="1"/>
    <col min="34" max="16384" width="8.86328125" style="59"/>
  </cols>
  <sheetData>
    <row r="2" spans="1:30" x14ac:dyDescent="0.45">
      <c r="A2" s="32" t="s">
        <v>233</v>
      </c>
      <c r="B2" s="107" t="str">
        <f>IFERROR(VLOOKUP(A2,Timetables!$A:$G,3,FALSE)&amp;" "&amp;VLOOKUP(A2,Timetables!$A:$G,2,FALSE),"")</f>
        <v>U15 Girls High Jump</v>
      </c>
      <c r="I2" s="32" t="s">
        <v>234</v>
      </c>
      <c r="J2" s="107" t="str">
        <f>IFERROR(VLOOKUP(I2,Timetables!$A:$G,3,FALSE)&amp;" "&amp;VLOOKUP(I2,Timetables!$A:$G,2,FALSE),"")</f>
        <v>U13 Boys High Jump</v>
      </c>
      <c r="O2" s="63"/>
      <c r="Q2" s="32" t="s">
        <v>238</v>
      </c>
      <c r="R2" s="107" t="str">
        <f>IFERROR(VLOOKUP(Q2,Timetables!$A:$G,3,FALSE)&amp;" "&amp;VLOOKUP(Q2,Timetables!$A:$G,2,FALSE),"")</f>
        <v>U13 Girls High Jump</v>
      </c>
      <c r="W2" s="63"/>
    </row>
    <row r="3" spans="1:30" x14ac:dyDescent="0.45">
      <c r="A3" s="33"/>
      <c r="B3" s="62" t="s">
        <v>163</v>
      </c>
      <c r="C3" s="62" t="s">
        <v>230</v>
      </c>
      <c r="D3" s="62" t="s">
        <v>183</v>
      </c>
      <c r="E3" s="59" t="s">
        <v>227</v>
      </c>
      <c r="F3" s="59" t="s">
        <v>228</v>
      </c>
      <c r="G3" s="63" t="s">
        <v>229</v>
      </c>
      <c r="I3" s="33"/>
      <c r="J3" s="62" t="s">
        <v>163</v>
      </c>
      <c r="K3" s="62" t="s">
        <v>230</v>
      </c>
      <c r="L3" s="62" t="s">
        <v>183</v>
      </c>
      <c r="M3" s="59" t="s">
        <v>227</v>
      </c>
      <c r="N3" s="59" t="s">
        <v>228</v>
      </c>
      <c r="O3" s="63" t="s">
        <v>229</v>
      </c>
      <c r="Q3" s="33"/>
      <c r="R3" s="62" t="s">
        <v>163</v>
      </c>
      <c r="S3" s="62" t="s">
        <v>230</v>
      </c>
      <c r="T3" s="62" t="s">
        <v>183</v>
      </c>
      <c r="U3" s="59" t="s">
        <v>227</v>
      </c>
      <c r="V3" s="59" t="s">
        <v>228</v>
      </c>
      <c r="W3" s="63" t="s">
        <v>229</v>
      </c>
      <c r="AA3" s="59" t="s">
        <v>325</v>
      </c>
      <c r="AB3" s="62" t="s">
        <v>333</v>
      </c>
      <c r="AC3" s="62" t="s">
        <v>225</v>
      </c>
      <c r="AD3" s="62">
        <v>4</v>
      </c>
    </row>
    <row r="4" spans="1:30" x14ac:dyDescent="0.45">
      <c r="A4" s="62" t="s">
        <v>224</v>
      </c>
      <c r="B4" s="62">
        <v>1</v>
      </c>
      <c r="C4" s="124"/>
      <c r="D4" s="34">
        <f>IFERROR(IF(B4&gt;MatchDay!$U$2,"-",VLOOKUP(A2,timetables,MatchDay!$U$4,FALSE)),0)</f>
        <v>4</v>
      </c>
      <c r="E4" s="59" t="str">
        <f ca="1">IFERROR(IF(A10=0,HLOOKUP(D4,Declarations!$D$2:$S$102,A6,FALSE),HLOOKUP(VLOOKUP(D4,Teams!$V$2:$W$19,2,FALSE),Declarations!$D$2:$S$102,A6,FALSE)),"")</f>
        <v>MANNION Grace</v>
      </c>
      <c r="F4" s="36" t="str">
        <f t="shared" ref="F4:F19" si="0">IFERROR(VLOOKUP(D4,teamlookup,5,FALSE),"-")</f>
        <v>M'bro</v>
      </c>
      <c r="G4" s="360"/>
      <c r="I4" s="62" t="s">
        <v>222</v>
      </c>
      <c r="J4" s="62">
        <v>1</v>
      </c>
      <c r="K4" s="124"/>
      <c r="L4" s="34">
        <f>IFERROR(IF(J4&gt;MatchDay!$U$2,"-",VLOOKUP(I2,timetables,MatchDay!$U$4,FALSE)),0)</f>
        <v>4</v>
      </c>
      <c r="M4" s="59" t="str">
        <f ca="1">IFERROR(IF(I10=0,HLOOKUP(L4,Declarations!$D$2:$S$102,I6,FALSE),HLOOKUP(VLOOKUP(L4,Teams!$V$2:$W$19,2,FALSE),Declarations!$D$2:$S$102,I6,FALSE)),"")</f>
        <v>-</v>
      </c>
      <c r="N4" s="36" t="str">
        <f t="shared" ref="N4:N19" si="1">IFERROR(VLOOKUP(L4,teamlookup,5,FALSE),"-")</f>
        <v>M'bro</v>
      </c>
      <c r="O4" s="360"/>
      <c r="Q4" s="62" t="s">
        <v>212</v>
      </c>
      <c r="R4" s="62">
        <v>1</v>
      </c>
      <c r="S4" s="124"/>
      <c r="T4" s="34">
        <f>IFERROR(IF(R4&gt;MatchDay!$U$2,"-",VLOOKUP(Q2,timetables,MatchDay!$U$4,FALSE)),0)</f>
        <v>4</v>
      </c>
      <c r="U4" s="59" t="str">
        <f ca="1">IFERROR(IF(Q10=0,HLOOKUP(T4,Declarations!$D$2:$S$102,Q6,FALSE),HLOOKUP(VLOOKUP(T4,Teams!$V$2:$W$19,2,FALSE),Declarations!$D$2:$S$102,Q6,FALSE)),"")</f>
        <v>-</v>
      </c>
      <c r="V4" s="36" t="str">
        <f t="shared" ref="V4:V19" si="2">IFERROR(VLOOKUP(T4,teamlookup,5,FALSE),"-")</f>
        <v>M'bro</v>
      </c>
      <c r="W4" s="360"/>
      <c r="AA4" s="59" t="s">
        <v>326</v>
      </c>
      <c r="AB4" s="62" t="s">
        <v>220</v>
      </c>
      <c r="AC4" s="62" t="s">
        <v>216</v>
      </c>
      <c r="AD4" s="62">
        <v>4</v>
      </c>
    </row>
    <row r="5" spans="1:30" x14ac:dyDescent="0.45">
      <c r="A5" s="62">
        <v>4</v>
      </c>
      <c r="B5" s="62">
        <v>2</v>
      </c>
      <c r="C5" s="124">
        <v>3</v>
      </c>
      <c r="D5" s="34">
        <f>IFERROR(IF(B5&gt;MatchDay!$U$2,"-",VLOOKUP(A2,timetables,MatchDay!$U$4+1,FALSE)),0)</f>
        <v>2</v>
      </c>
      <c r="E5" s="59" t="str">
        <f ca="1">IFERROR(IF(A10=0,HLOOKUP(D5,Declarations!$D$2:$S$102,A6,FALSE),HLOOKUP(VLOOKUP(D5,Teams!$V$2:$W$19,2,FALSE),Declarations!$D$2:$S$102,A6,FALSE)),"")</f>
        <v>WOODHOUSE Polly</v>
      </c>
      <c r="F5" s="36" t="str">
        <f t="shared" si="0"/>
        <v>Sheff+D</v>
      </c>
      <c r="G5" s="360">
        <v>1.5</v>
      </c>
      <c r="I5" s="62">
        <f>A5</f>
        <v>4</v>
      </c>
      <c r="J5" s="62">
        <v>2</v>
      </c>
      <c r="K5" s="124">
        <v>1.1000000000000001</v>
      </c>
      <c r="L5" s="34">
        <f>IFERROR(IF(J5&gt;MatchDay!$U$2,"-",VLOOKUP(I2,timetables,MatchDay!$U$4+1,FALSE)),0)</f>
        <v>2</v>
      </c>
      <c r="M5" s="59" t="str">
        <f ca="1">IFERROR(IF(I10=0,HLOOKUP(L5,Declarations!$D$2:$S$102,I6,FALSE),HLOOKUP(VLOOKUP(L5,Teams!$V$2:$W$19,2,FALSE),Declarations!$D$2:$S$102,I6,FALSE)),"")</f>
        <v>MAY Rudi</v>
      </c>
      <c r="N5" s="36" t="str">
        <f t="shared" si="1"/>
        <v>Sheff+D</v>
      </c>
      <c r="O5" s="360">
        <v>1.2</v>
      </c>
      <c r="Q5" s="62">
        <f>A5</f>
        <v>4</v>
      </c>
      <c r="R5" s="62">
        <v>2</v>
      </c>
      <c r="S5" s="124">
        <v>5.0999999999999996</v>
      </c>
      <c r="T5" s="34">
        <f>IFERROR(IF(R5&gt;MatchDay!$U$2,"-",VLOOKUP(Q2,timetables,MatchDay!$U$4+1,FALSE)),0)</f>
        <v>2</v>
      </c>
      <c r="U5" s="59" t="str">
        <f ca="1">IFERROR(IF(Q10=0,HLOOKUP(T5,Declarations!$D$2:$S$102,Q6,FALSE),HLOOKUP(VLOOKUP(T5,Teams!$V$2:$W$19,2,FALSE),Declarations!$D$2:$S$102,Q6,FALSE)),"")</f>
        <v>ROBERTS Eve</v>
      </c>
      <c r="V5" s="36" t="str">
        <f t="shared" si="2"/>
        <v>Sheff+D</v>
      </c>
      <c r="W5" s="360">
        <v>1.2</v>
      </c>
      <c r="AA5" s="59" t="s">
        <v>327</v>
      </c>
      <c r="AB5" s="62" t="s">
        <v>334</v>
      </c>
      <c r="AC5" s="62" t="s">
        <v>215</v>
      </c>
      <c r="AD5" s="62">
        <v>4</v>
      </c>
    </row>
    <row r="6" spans="1:30" ht="15" customHeight="1" x14ac:dyDescent="0.45">
      <c r="A6" s="181">
        <f>IFERROR(VLOOKUP(A2,Timetables!$A:$E,5,FALSE)-1,"")</f>
        <v>20</v>
      </c>
      <c r="B6" s="62">
        <v>3</v>
      </c>
      <c r="C6" s="124"/>
      <c r="D6" s="34">
        <f>IFERROR(IF(B6&gt;MatchDay!$U$2,"-",VLOOKUP(A2,timetables,MatchDay!$U$4+2,FALSE)),0)</f>
        <v>5</v>
      </c>
      <c r="E6" s="59">
        <f ca="1">IFERROR(IF(A10=0,HLOOKUP(D6,Declarations!$D$2:$S$102,A6,FALSE),HLOOKUP(VLOOKUP(D6,Teams!$V$2:$W$19,2,FALSE),Declarations!$D$2:$S$102,A6,FALSE)),"")</f>
        <v>0</v>
      </c>
      <c r="F6" s="36" t="str">
        <f t="shared" si="0"/>
        <v>Scun</v>
      </c>
      <c r="G6" s="360"/>
      <c r="I6" s="181">
        <f>IFERROR(VLOOKUP(I2,Timetables!$A:$E,5,FALSE)-1,"")</f>
        <v>95</v>
      </c>
      <c r="J6" s="62">
        <v>3</v>
      </c>
      <c r="K6" s="124"/>
      <c r="L6" s="34">
        <f>IFERROR(IF(J6&gt;MatchDay!$U$2,"-",VLOOKUP(I2,timetables,MatchDay!$U$4+2,FALSE)),0)</f>
        <v>5</v>
      </c>
      <c r="M6" s="59" t="str">
        <f ca="1">IFERROR(IF(I10=0,HLOOKUP(L6,Declarations!$D$2:$S$102,I6,FALSE),HLOOKUP(VLOOKUP(L6,Teams!$V$2:$W$19,2,FALSE),Declarations!$D$2:$S$102,I6,FALSE)),"")</f>
        <v>OADES James</v>
      </c>
      <c r="N6" s="36" t="str">
        <f t="shared" si="1"/>
        <v>Scun</v>
      </c>
      <c r="O6" s="418" t="s">
        <v>2268</v>
      </c>
      <c r="Q6" s="181">
        <f>IFERROR(VLOOKUP(Q2,Timetables!$A:$E,5,FALSE)-1,"")</f>
        <v>45</v>
      </c>
      <c r="R6" s="62">
        <v>3</v>
      </c>
      <c r="S6" s="124"/>
      <c r="T6" s="34">
        <f>IFERROR(IF(R6&gt;MatchDay!$U$2,"-",VLOOKUP(Q2,timetables,MatchDay!$U$4+2,FALSE)),0)</f>
        <v>5</v>
      </c>
      <c r="U6" s="59" t="str">
        <f ca="1">IFERROR(IF(Q10=0,HLOOKUP(T6,Declarations!$D$2:$S$102,Q6,FALSE),HLOOKUP(VLOOKUP(T6,Teams!$V$2:$W$19,2,FALSE),Declarations!$D$2:$S$102,Q6,FALSE)),"")</f>
        <v>-</v>
      </c>
      <c r="V6" s="36" t="str">
        <f t="shared" si="2"/>
        <v>Scun</v>
      </c>
      <c r="W6" s="360"/>
      <c r="AA6" s="59" t="s">
        <v>328</v>
      </c>
      <c r="AB6" s="62" t="s">
        <v>333</v>
      </c>
      <c r="AC6" s="62" t="s">
        <v>225</v>
      </c>
      <c r="AD6" s="62">
        <v>23</v>
      </c>
    </row>
    <row r="7" spans="1:30" x14ac:dyDescent="0.45">
      <c r="B7" s="62">
        <v>4</v>
      </c>
      <c r="C7" s="124">
        <v>1</v>
      </c>
      <c r="D7" s="34">
        <f>IFERROR(IF(B7&gt;MatchDay!$U$2,"-",VLOOKUP(A2,timetables,MatchDay!$U$4+3,FALSE)),0)</f>
        <v>1</v>
      </c>
      <c r="E7" s="59" t="str">
        <f ca="1">IFERROR(IF(A10=0,HLOOKUP(D7,Declarations!$D$2:$S$102,A6,FALSE),HLOOKUP(VLOOKUP(D7,Teams!$V$2:$W$19,2,FALSE),Declarations!$D$2:$S$102,A6,FALSE)),"")</f>
        <v>MOODY Hannah</v>
      </c>
      <c r="F7" s="36" t="str">
        <f t="shared" si="0"/>
        <v>C'field</v>
      </c>
      <c r="G7" s="360">
        <v>1.55</v>
      </c>
      <c r="J7" s="62">
        <v>4</v>
      </c>
      <c r="K7" s="124">
        <v>4.0999999999999996</v>
      </c>
      <c r="L7" s="34">
        <f>IFERROR(IF(J7&gt;MatchDay!$U$2,"-",VLOOKUP(I2,timetables,MatchDay!$U$4+3,FALSE)),0)</f>
        <v>1</v>
      </c>
      <c r="M7" s="59" t="str">
        <f ca="1">IFERROR(IF(I10=0,HLOOKUP(L7,Declarations!$D$2:$S$102,I6,FALSE),HLOOKUP(VLOOKUP(L7,Teams!$V$2:$W$19,2,FALSE),Declarations!$D$2:$S$102,I6,FALSE)),"")</f>
        <v>LOWE Seth</v>
      </c>
      <c r="N7" s="36" t="str">
        <f t="shared" si="1"/>
        <v>C'field</v>
      </c>
      <c r="O7" s="360">
        <v>1.05</v>
      </c>
      <c r="R7" s="62">
        <v>4</v>
      </c>
      <c r="S7" s="124">
        <v>4</v>
      </c>
      <c r="T7" s="34">
        <f>IFERROR(IF(R7&gt;MatchDay!$U$2,"-",VLOOKUP(Q2,timetables,MatchDay!$U$4+3,FALSE)),0)</f>
        <v>1</v>
      </c>
      <c r="U7" s="59" t="str">
        <f ca="1">IFERROR(IF(Q10=0,HLOOKUP(T7,Declarations!$D$2:$S$102,Q6,FALSE),HLOOKUP(VLOOKUP(T7,Teams!$V$2:$W$19,2,FALSE),Declarations!$D$2:$S$102,Q6,FALSE)),"")</f>
        <v>HUMPHREYS Melissa</v>
      </c>
      <c r="V7" s="36" t="str">
        <f t="shared" si="2"/>
        <v>C'field</v>
      </c>
      <c r="W7" s="360">
        <v>1.3</v>
      </c>
      <c r="AA7" s="59" t="s">
        <v>329</v>
      </c>
      <c r="AB7" s="62" t="s">
        <v>220</v>
      </c>
      <c r="AC7" s="62" t="s">
        <v>216</v>
      </c>
      <c r="AD7" s="62">
        <v>23</v>
      </c>
    </row>
    <row r="8" spans="1:30" x14ac:dyDescent="0.45">
      <c r="B8" s="62">
        <v>5</v>
      </c>
      <c r="C8" s="124">
        <v>2</v>
      </c>
      <c r="D8" s="34">
        <f>IFERROR(IF(B8&gt;MatchDay!$U$2,"-",VLOOKUP(A2,timetables,MatchDay!$U$4+4,FALSE)),0)</f>
        <v>3</v>
      </c>
      <c r="E8" s="59" t="str">
        <f ca="1">IFERROR(IF(A10=0,HLOOKUP(D8,Declarations!$D$2:$S$102,A6,FALSE),HLOOKUP(VLOOKUP(D8,Teams!$V$2:$W$19,2,FALSE),Declarations!$D$2:$S$102,A6,FALSE)),"")</f>
        <v>HOGG Frances</v>
      </c>
      <c r="F8" s="36" t="str">
        <f t="shared" si="0"/>
        <v>York</v>
      </c>
      <c r="G8" s="360">
        <v>1.5</v>
      </c>
      <c r="J8" s="62">
        <v>5</v>
      </c>
      <c r="K8" s="124">
        <v>1.2</v>
      </c>
      <c r="L8" s="34">
        <f>IFERROR(IF(J8&gt;MatchDay!$U$2,"-",VLOOKUP(I2,timetables,MatchDay!$U$4+4,FALSE)),0)</f>
        <v>3</v>
      </c>
      <c r="M8" s="59" t="str">
        <f ca="1">IFERROR(IF(I10=0,HLOOKUP(L8,Declarations!$D$2:$S$102,I6,FALSE),HLOOKUP(VLOOKUP(L8,Teams!$V$2:$W$19,2,FALSE),Declarations!$D$2:$S$102,I6,FALSE)),"")</f>
        <v>BASTOW Isaac</v>
      </c>
      <c r="N8" s="36" t="str">
        <f t="shared" si="1"/>
        <v>York</v>
      </c>
      <c r="O8" s="360">
        <v>1.2</v>
      </c>
      <c r="R8" s="62">
        <v>5</v>
      </c>
      <c r="S8" s="124">
        <v>2</v>
      </c>
      <c r="T8" s="34">
        <f>IFERROR(IF(R8&gt;MatchDay!$U$2,"-",VLOOKUP(Q2,timetables,MatchDay!$U$4+4,FALSE)),0)</f>
        <v>3</v>
      </c>
      <c r="U8" s="59" t="str">
        <f ca="1">IFERROR(IF(Q10=0,HLOOKUP(T8,Declarations!$D$2:$S$102,Q6,FALSE),HLOOKUP(VLOOKUP(T8,Teams!$V$2:$W$19,2,FALSE),Declarations!$D$2:$S$102,Q6,FALSE)),"")</f>
        <v>CLAGUE Kathryn</v>
      </c>
      <c r="V8" s="36" t="str">
        <f t="shared" si="2"/>
        <v>York</v>
      </c>
      <c r="W8" s="360">
        <v>1.3</v>
      </c>
      <c r="AA8" s="59" t="s">
        <v>330</v>
      </c>
      <c r="AB8" s="62" t="s">
        <v>334</v>
      </c>
      <c r="AC8" s="62" t="s">
        <v>215</v>
      </c>
      <c r="AD8" s="62">
        <v>23</v>
      </c>
    </row>
    <row r="9" spans="1:30" x14ac:dyDescent="0.45">
      <c r="B9" s="62">
        <v>6</v>
      </c>
      <c r="C9" s="124"/>
      <c r="D9" s="34" t="str">
        <f>IFERROR(IF(B9&gt;MatchDay!$U$2,"-",VLOOKUP(A2,timetables,MatchDay!$U$4+5,FALSE)),0)</f>
        <v>-</v>
      </c>
      <c r="E9" s="59" t="str">
        <f>IFERROR(IF(A10=0,HLOOKUP(D9,Declarations!$D$2:$S$102,A6,FALSE),HLOOKUP(VLOOKUP(D9,Teams!$V$2:$W$19,2,FALSE),Declarations!$D$2:$S$102,A6,FALSE)),"")</f>
        <v/>
      </c>
      <c r="F9" s="36" t="str">
        <f t="shared" si="0"/>
        <v/>
      </c>
      <c r="G9" s="360"/>
      <c r="J9" s="62">
        <v>6</v>
      </c>
      <c r="K9" s="124"/>
      <c r="L9" s="34" t="str">
        <f>IFERROR(IF(J9&gt;MatchDay!$U$2,"-",VLOOKUP(I2,timetables,MatchDay!$U$4+5,FALSE)),0)</f>
        <v>-</v>
      </c>
      <c r="M9" s="59" t="str">
        <f>IFERROR(IF(I10=0,HLOOKUP(L9,Declarations!$D$2:$S$102,I6,FALSE),HLOOKUP(VLOOKUP(L9,Teams!$V$2:$W$19,2,FALSE),Declarations!$D$2:$S$102,I6,FALSE)),"")</f>
        <v/>
      </c>
      <c r="N9" s="36" t="str">
        <f t="shared" si="1"/>
        <v/>
      </c>
      <c r="O9" s="360"/>
      <c r="R9" s="62">
        <v>6</v>
      </c>
      <c r="S9" s="124"/>
      <c r="T9" s="34" t="str">
        <f>IFERROR(IF(R9&gt;MatchDay!$U$2,"-",VLOOKUP(Q2,timetables,MatchDay!$U$4+5,FALSE)),0)</f>
        <v>-</v>
      </c>
      <c r="U9" s="59" t="str">
        <f>IFERROR(IF(Q10=0,HLOOKUP(T9,Declarations!$D$2:$S$102,Q6,FALSE),HLOOKUP(VLOOKUP(T9,Teams!$V$2:$W$19,2,FALSE),Declarations!$D$2:$S$102,Q6,FALSE)),"")</f>
        <v/>
      </c>
      <c r="V9" s="36" t="str">
        <f t="shared" si="2"/>
        <v/>
      </c>
      <c r="W9" s="360"/>
      <c r="AA9" s="59" t="s">
        <v>331</v>
      </c>
      <c r="AB9" s="62" t="s">
        <v>333</v>
      </c>
      <c r="AC9" s="62" t="s">
        <v>225</v>
      </c>
      <c r="AD9" s="62">
        <v>42</v>
      </c>
    </row>
    <row r="10" spans="1:30" ht="15" customHeight="1" x14ac:dyDescent="0.45">
      <c r="A10" s="136">
        <f>IFERROR(SEARCH("U17",B2),0)</f>
        <v>0</v>
      </c>
      <c r="B10" s="62">
        <v>7</v>
      </c>
      <c r="C10" s="124"/>
      <c r="D10" s="34" t="str">
        <f>IFERROR(IF(B10&gt;MatchDay!$U$2,"-",VLOOKUP(A2,timetables,MatchDay!$U$4+6,FALSE)),0)</f>
        <v>-</v>
      </c>
      <c r="E10" s="59" t="str">
        <f>IFERROR(IF(A10=0,HLOOKUP(D10,Declarations!$D$2:$S$102,A6,FALSE),HLOOKUP(VLOOKUP(D10,Teams!$V$2:$W$19,2,FALSE),Declarations!$D$2:$S$102,A6,FALSE)),"")</f>
        <v/>
      </c>
      <c r="F10" s="36" t="str">
        <f t="shared" si="0"/>
        <v/>
      </c>
      <c r="G10" s="360"/>
      <c r="I10" s="136">
        <f>IFERROR(SEARCH("U17",J2),0)</f>
        <v>0</v>
      </c>
      <c r="J10" s="62">
        <v>7</v>
      </c>
      <c r="K10" s="124"/>
      <c r="L10" s="34" t="str">
        <f>IFERROR(IF(J10&gt;MatchDay!$U$2,"-",VLOOKUP(I2,timetables,MatchDay!$U$4+6,FALSE)),0)</f>
        <v>-</v>
      </c>
      <c r="M10" s="59" t="str">
        <f>IFERROR(IF(I10=0,HLOOKUP(L10,Declarations!$D$2:$S$102,I6,FALSE),HLOOKUP(VLOOKUP(L10,Teams!$V$2:$W$19,2,FALSE),Declarations!$D$2:$S$102,I6,FALSE)),"")</f>
        <v/>
      </c>
      <c r="N10" s="36" t="str">
        <f t="shared" si="1"/>
        <v/>
      </c>
      <c r="O10" s="360"/>
      <c r="Q10" s="136">
        <f>IFERROR(SEARCH("U17",R2),0)</f>
        <v>0</v>
      </c>
      <c r="R10" s="62">
        <v>7</v>
      </c>
      <c r="S10" s="124"/>
      <c r="T10" s="34" t="str">
        <f>IFERROR(IF(R10&gt;MatchDay!$U$2,"-",VLOOKUP(Q2,timetables,MatchDay!$U$4+6,FALSE)),0)</f>
        <v>-</v>
      </c>
      <c r="U10" s="59" t="str">
        <f>IFERROR(IF(Q10=0,HLOOKUP(T10,Declarations!$D$2:$S$102,Q6,FALSE),HLOOKUP(VLOOKUP(T10,Teams!$V$2:$W$19,2,FALSE),Declarations!$D$2:$S$102,Q6,FALSE)),"")</f>
        <v/>
      </c>
      <c r="V10" s="36" t="str">
        <f t="shared" si="2"/>
        <v/>
      </c>
      <c r="W10" s="360"/>
      <c r="AA10" s="59" t="s">
        <v>332</v>
      </c>
      <c r="AB10" s="62" t="s">
        <v>220</v>
      </c>
      <c r="AC10" s="62" t="s">
        <v>216</v>
      </c>
      <c r="AD10" s="62">
        <v>42</v>
      </c>
    </row>
    <row r="11" spans="1:30" x14ac:dyDescent="0.45">
      <c r="B11" s="62">
        <v>8</v>
      </c>
      <c r="C11" s="124"/>
      <c r="D11" s="34" t="str">
        <f>IFERROR(IF(B11&gt;MatchDay!$U$2,"-",VLOOKUP(A2,timetables,MatchDay!$U$4+7,FALSE)),0)</f>
        <v>-</v>
      </c>
      <c r="E11" s="59" t="str">
        <f>IFERROR(IF(A10=0,HLOOKUP(D11,Declarations!$D$2:$S$102,A6,FALSE),HLOOKUP(VLOOKUP(D11,Teams!$V$2:$W$19,2,FALSE),Declarations!$D$2:$S$102,A6,FALSE)),"")</f>
        <v/>
      </c>
      <c r="F11" s="36" t="str">
        <f t="shared" si="0"/>
        <v/>
      </c>
      <c r="G11" s="360"/>
      <c r="J11" s="62">
        <v>8</v>
      </c>
      <c r="K11" s="124"/>
      <c r="L11" s="34" t="str">
        <f>IFERROR(IF(J11&gt;MatchDay!$U$2,"-",VLOOKUP(I2,timetables,MatchDay!$U$4+7,FALSE)),0)</f>
        <v>-</v>
      </c>
      <c r="M11" s="59" t="str">
        <f>IFERROR(IF(I10=0,HLOOKUP(L11,Declarations!$D$2:$S$102,I6,FALSE),HLOOKUP(VLOOKUP(L11,Teams!$V$2:$W$19,2,FALSE),Declarations!$D$2:$S$102,I6,FALSE)),"")</f>
        <v/>
      </c>
      <c r="N11" s="36" t="str">
        <f t="shared" si="1"/>
        <v/>
      </c>
      <c r="O11" s="360"/>
      <c r="R11" s="62">
        <v>8</v>
      </c>
      <c r="S11" s="124"/>
      <c r="T11" s="34" t="str">
        <f>IFERROR(IF(R11&gt;MatchDay!$U$2,"-",VLOOKUP(Q2,timetables,MatchDay!$U$4+7,FALSE)),0)</f>
        <v>-</v>
      </c>
      <c r="U11" s="59" t="str">
        <f>IFERROR(IF(Q10=0,HLOOKUP(T11,Declarations!$D$2:$S$102,Q6,FALSE),HLOOKUP(VLOOKUP(T11,Teams!$V$2:$W$19,2,FALSE),Declarations!$D$2:$S$102,Q6,FALSE)),"")</f>
        <v/>
      </c>
      <c r="V11" s="36" t="str">
        <f t="shared" si="2"/>
        <v/>
      </c>
      <c r="W11" s="360"/>
    </row>
    <row r="12" spans="1:30" x14ac:dyDescent="0.45">
      <c r="B12" s="62">
        <v>9</v>
      </c>
      <c r="C12" s="124"/>
      <c r="D12" s="34">
        <f>IFERROR(IF(T(D4)="",D4*11,D4&amp;D4),"-")</f>
        <v>44</v>
      </c>
      <c r="E12" s="59" t="str">
        <f ca="1">IFERROR(IF(A10=0,HLOOKUP(D12,Declarations!$D$2:$S$102,A6,FALSE),HLOOKUP(VLOOKUP(D12,Teams!$V$2:$W$19,2,FALSE),Declarations!$D$2:$S$102,A6,FALSE)),"")</f>
        <v>-</v>
      </c>
      <c r="F12" s="36" t="str">
        <f t="shared" si="0"/>
        <v>M'bro</v>
      </c>
      <c r="G12" s="360"/>
      <c r="J12" s="62">
        <v>9</v>
      </c>
      <c r="K12" s="124"/>
      <c r="L12" s="34">
        <f>IFERROR(IF(T(L4)="",L4*11,L4&amp;L4),"-")</f>
        <v>44</v>
      </c>
      <c r="M12" s="59" t="str">
        <f ca="1">IFERROR(IF(I10=0,HLOOKUP(L12,Declarations!$D$2:$S$102,I6,FALSE),HLOOKUP(VLOOKUP(L12,Teams!$V$2:$W$19,2,FALSE),Declarations!$D$2:$S$102,I6,FALSE)),"")</f>
        <v>-</v>
      </c>
      <c r="N12" s="36" t="str">
        <f t="shared" si="1"/>
        <v>M'bro</v>
      </c>
      <c r="O12" s="360"/>
      <c r="R12" s="62">
        <v>9</v>
      </c>
      <c r="S12" s="124"/>
      <c r="T12" s="34">
        <f>IFERROR(IF(T(T4)="",T4*11,T4&amp;T4),"-")</f>
        <v>44</v>
      </c>
      <c r="U12" s="59" t="str">
        <f ca="1">IFERROR(IF(Q10=0,HLOOKUP(T12,Declarations!$D$2:$S$102,Q6,FALSE),HLOOKUP(VLOOKUP(T12,Teams!$V$2:$W$19,2,FALSE),Declarations!$D$2:$S$102,Q6,FALSE)),"")</f>
        <v>-</v>
      </c>
      <c r="V12" s="36" t="str">
        <f t="shared" si="2"/>
        <v>M'bro</v>
      </c>
      <c r="W12" s="360"/>
    </row>
    <row r="13" spans="1:30" x14ac:dyDescent="0.45">
      <c r="B13" s="62">
        <v>10</v>
      </c>
      <c r="C13" s="124">
        <v>4</v>
      </c>
      <c r="D13" s="34">
        <f t="shared" ref="D13:D19" si="3">IFERROR(IF(T(D5)="",D5*11,D5&amp;D5),"-")</f>
        <v>22</v>
      </c>
      <c r="E13" s="59" t="str">
        <f ca="1">IFERROR(IF(A10=0,HLOOKUP(D13,Declarations!$D$2:$S$102,A6,FALSE),HLOOKUP(VLOOKUP(D13,Teams!$V$2:$W$19,2,FALSE),Declarations!$D$2:$S$102,A6,FALSE)),"")</f>
        <v>MYCROFT Tilly</v>
      </c>
      <c r="F13" s="36" t="str">
        <f t="shared" si="0"/>
        <v>Sheff+D</v>
      </c>
      <c r="G13" s="418">
        <v>1.45</v>
      </c>
      <c r="J13" s="62">
        <v>10</v>
      </c>
      <c r="K13" s="124">
        <v>1.3</v>
      </c>
      <c r="L13" s="34">
        <f t="shared" ref="L13:L19" si="4">IFERROR(IF(T(L5)="",L5*11,L5&amp;L5),"-")</f>
        <v>22</v>
      </c>
      <c r="M13" s="59" t="str">
        <f ca="1">IFERROR(IF(I10=0,HLOOKUP(L13,Declarations!$D$2:$S$102,I6,FALSE),HLOOKUP(VLOOKUP(L13,Teams!$V$2:$W$19,2,FALSE),Declarations!$D$2:$S$102,I6,FALSE)),"")</f>
        <v>COCKINGS Matthew</v>
      </c>
      <c r="N13" s="36" t="str">
        <f t="shared" si="1"/>
        <v>Sheff+D</v>
      </c>
      <c r="O13" s="418">
        <v>1.2</v>
      </c>
      <c r="R13" s="62">
        <v>10</v>
      </c>
      <c r="S13" s="124">
        <v>5.2</v>
      </c>
      <c r="T13" s="34">
        <f t="shared" ref="T13:T19" si="5">IFERROR(IF(T(T5)="",T5*11,T5&amp;T5),"-")</f>
        <v>22</v>
      </c>
      <c r="U13" s="59" t="str">
        <f ca="1">IFERROR(IF(Q10=0,HLOOKUP(T13,Declarations!$D$2:$S$102,Q6,FALSE),HLOOKUP(VLOOKUP(T13,Teams!$V$2:$W$19,2,FALSE),Declarations!$D$2:$S$102,Q6,FALSE)),"")</f>
        <v>HARTLEY Eleanor</v>
      </c>
      <c r="V13" s="36" t="str">
        <f t="shared" si="2"/>
        <v>Sheff+D</v>
      </c>
      <c r="W13" s="418">
        <v>1.2</v>
      </c>
    </row>
    <row r="14" spans="1:30" x14ac:dyDescent="0.45">
      <c r="B14" s="62">
        <v>11</v>
      </c>
      <c r="C14" s="124"/>
      <c r="D14" s="34">
        <f t="shared" si="3"/>
        <v>55</v>
      </c>
      <c r="E14" s="59">
        <f ca="1">IFERROR(IF(A10=0,HLOOKUP(D14,Declarations!$D$2:$S$102,A6,FALSE),HLOOKUP(VLOOKUP(D14,Teams!$V$2:$W$19,2,FALSE),Declarations!$D$2:$S$102,A6,FALSE)),"")</f>
        <v>0</v>
      </c>
      <c r="F14" s="36" t="str">
        <f t="shared" si="0"/>
        <v>Scun</v>
      </c>
      <c r="G14" s="360"/>
      <c r="J14" s="62">
        <v>11</v>
      </c>
      <c r="K14" s="124"/>
      <c r="L14" s="34">
        <f t="shared" si="4"/>
        <v>55</v>
      </c>
      <c r="M14" s="59" t="str">
        <f ca="1">IFERROR(IF(I10=0,HLOOKUP(L14,Declarations!$D$2:$S$102,I6,FALSE),HLOOKUP(VLOOKUP(L14,Teams!$V$2:$W$19,2,FALSE),Declarations!$D$2:$S$102,I6,FALSE)),"")</f>
        <v>-</v>
      </c>
      <c r="N14" s="36" t="str">
        <f t="shared" si="1"/>
        <v>Scun</v>
      </c>
      <c r="O14" s="418"/>
      <c r="R14" s="62">
        <v>11</v>
      </c>
      <c r="S14" s="124"/>
      <c r="T14" s="34">
        <f t="shared" si="5"/>
        <v>55</v>
      </c>
      <c r="U14" s="59">
        <f ca="1">IFERROR(IF(Q10=0,HLOOKUP(T14,Declarations!$D$2:$S$102,Q6,FALSE),HLOOKUP(VLOOKUP(T14,Teams!$V$2:$W$19,2,FALSE),Declarations!$D$2:$S$102,Q6,FALSE)),"")</f>
        <v>0</v>
      </c>
      <c r="V14" s="36" t="str">
        <f t="shared" si="2"/>
        <v>Scun</v>
      </c>
      <c r="W14" s="360"/>
    </row>
    <row r="15" spans="1:30" x14ac:dyDescent="0.45">
      <c r="B15" s="62">
        <v>12</v>
      </c>
      <c r="C15" s="124"/>
      <c r="D15" s="34">
        <f t="shared" si="3"/>
        <v>11</v>
      </c>
      <c r="E15" s="59" t="str">
        <f ca="1">IFERROR(IF(A10=0,HLOOKUP(D15,Declarations!$D$2:$S$102,A6,FALSE),HLOOKUP(VLOOKUP(D15,Teams!$V$2:$W$19,2,FALSE),Declarations!$D$2:$S$102,A6,FALSE)),"")</f>
        <v>KIRKWOOD Eva</v>
      </c>
      <c r="F15" s="36" t="str">
        <f t="shared" si="0"/>
        <v>C'field</v>
      </c>
      <c r="G15" s="360"/>
      <c r="J15" s="62">
        <v>12</v>
      </c>
      <c r="K15" s="124"/>
      <c r="L15" s="34">
        <f t="shared" si="4"/>
        <v>11</v>
      </c>
      <c r="M15" s="59">
        <f ca="1">IFERROR(IF(I10=0,HLOOKUP(L15,Declarations!$D$2:$S$102,I6,FALSE),HLOOKUP(VLOOKUP(L15,Teams!$V$2:$W$19,2,FALSE),Declarations!$D$2:$S$102,I6,FALSE)),"")</f>
        <v>0</v>
      </c>
      <c r="N15" s="36" t="str">
        <f t="shared" si="1"/>
        <v>C'field</v>
      </c>
      <c r="O15" s="360"/>
      <c r="R15" s="62">
        <v>12</v>
      </c>
      <c r="S15" s="124">
        <v>3</v>
      </c>
      <c r="T15" s="34">
        <f t="shared" si="5"/>
        <v>11</v>
      </c>
      <c r="U15" s="59" t="str">
        <f ca="1">IFERROR(IF(Q10=0,HLOOKUP(T15,Declarations!$D$2:$S$102,Q6,FALSE),HLOOKUP(VLOOKUP(T15,Teams!$V$2:$W$19,2,FALSE),Declarations!$D$2:$S$102,Q6,FALSE)),"")</f>
        <v>STANILAND Charlotte</v>
      </c>
      <c r="V15" s="36" t="str">
        <f t="shared" si="2"/>
        <v>C'field</v>
      </c>
      <c r="W15" s="360">
        <v>1.3</v>
      </c>
    </row>
    <row r="16" spans="1:30" x14ac:dyDescent="0.45">
      <c r="B16" s="62">
        <v>13</v>
      </c>
      <c r="C16" s="124">
        <v>5</v>
      </c>
      <c r="D16" s="34">
        <f t="shared" si="3"/>
        <v>33</v>
      </c>
      <c r="E16" s="59" t="str">
        <f ca="1">IFERROR(IF(A10=0,HLOOKUP(D16,Declarations!$D$2:$S$102,A6,FALSE),HLOOKUP(VLOOKUP(D16,Teams!$V$2:$W$19,2,FALSE),Declarations!$D$2:$S$102,A6,FALSE)),"")</f>
        <v>TWEDDLE Bella</v>
      </c>
      <c r="F16" s="36" t="str">
        <f t="shared" si="0"/>
        <v>York</v>
      </c>
      <c r="G16" s="360">
        <v>1.4</v>
      </c>
      <c r="J16" s="62">
        <v>13</v>
      </c>
      <c r="K16" s="124">
        <v>4.2</v>
      </c>
      <c r="L16" s="34">
        <f t="shared" si="4"/>
        <v>33</v>
      </c>
      <c r="M16" s="59" t="str">
        <f ca="1">IFERROR(IF(I10=0,HLOOKUP(L16,Declarations!$D$2:$S$102,I6,FALSE),HLOOKUP(VLOOKUP(L16,Teams!$V$2:$W$19,2,FALSE),Declarations!$D$2:$S$102,I6,FALSE)),"")</f>
        <v>JONES Alex</v>
      </c>
      <c r="N16" s="36" t="str">
        <f t="shared" si="1"/>
        <v>York</v>
      </c>
      <c r="O16" s="360">
        <v>1.05</v>
      </c>
      <c r="R16" s="62">
        <v>13</v>
      </c>
      <c r="S16" s="124">
        <v>1</v>
      </c>
      <c r="T16" s="34">
        <f t="shared" si="5"/>
        <v>33</v>
      </c>
      <c r="U16" s="59" t="str">
        <f ca="1">IFERROR(IF(Q10=0,HLOOKUP(T16,Declarations!$D$2:$S$102,Q6,FALSE),HLOOKUP(VLOOKUP(T16,Teams!$V$2:$W$19,2,FALSE),Declarations!$D$2:$S$102,Q6,FALSE)),"")</f>
        <v>POUNDER Esme</v>
      </c>
      <c r="V16" s="36" t="str">
        <f t="shared" si="2"/>
        <v>York</v>
      </c>
      <c r="W16" s="360">
        <v>1.41</v>
      </c>
    </row>
    <row r="17" spans="1:23" x14ac:dyDescent="0.45">
      <c r="B17" s="62">
        <v>14</v>
      </c>
      <c r="C17" s="124"/>
      <c r="D17" s="34" t="str">
        <f t="shared" si="3"/>
        <v>--</v>
      </c>
      <c r="E17" s="59" t="str">
        <f>IFERROR(IF(A10=0,HLOOKUP(D17,Declarations!$D$2:$S$102,A6,FALSE),HLOOKUP(VLOOKUP(D17,Teams!$V$2:$W$19,2,FALSE),Declarations!$D$2:$S$102,A6,FALSE)),"")</f>
        <v/>
      </c>
      <c r="F17" s="36" t="str">
        <f t="shared" si="0"/>
        <v>-</v>
      </c>
      <c r="G17" s="360"/>
      <c r="J17" s="62">
        <v>14</v>
      </c>
      <c r="K17" s="124"/>
      <c r="L17" s="34" t="str">
        <f t="shared" si="4"/>
        <v>--</v>
      </c>
      <c r="M17" s="59" t="str">
        <f>IFERROR(IF(I10=0,HLOOKUP(L17,Declarations!$D$2:$S$102,I6,FALSE),HLOOKUP(VLOOKUP(L17,Teams!$V$2:$W$19,2,FALSE),Declarations!$D$2:$S$102,I6,FALSE)),"")</f>
        <v/>
      </c>
      <c r="N17" s="36" t="str">
        <f t="shared" si="1"/>
        <v>-</v>
      </c>
      <c r="O17" s="360"/>
      <c r="R17" s="62">
        <v>14</v>
      </c>
      <c r="S17" s="124"/>
      <c r="T17" s="34" t="str">
        <f t="shared" si="5"/>
        <v>--</v>
      </c>
      <c r="U17" s="59" t="str">
        <f>IFERROR(IF(Q10=0,HLOOKUP(T17,Declarations!$D$2:$S$102,Q6,FALSE),HLOOKUP(VLOOKUP(T17,Teams!$V$2:$W$19,2,FALSE),Declarations!$D$2:$S$102,Q6,FALSE)),"")</f>
        <v/>
      </c>
      <c r="V17" s="36" t="str">
        <f t="shared" si="2"/>
        <v>-</v>
      </c>
      <c r="W17" s="360"/>
    </row>
    <row r="18" spans="1:23" x14ac:dyDescent="0.45">
      <c r="B18" s="62">
        <v>15</v>
      </c>
      <c r="C18" s="124"/>
      <c r="D18" s="34" t="str">
        <f t="shared" si="3"/>
        <v>--</v>
      </c>
      <c r="E18" s="59" t="str">
        <f>IFERROR(IF(A10=0,HLOOKUP(D18,Declarations!$D$2:$S$102,A6,FALSE),HLOOKUP(VLOOKUP(D18,Teams!$V$2:$W$19,2,FALSE),Declarations!$D$2:$S$102,A6,FALSE)),"")</f>
        <v/>
      </c>
      <c r="F18" s="36" t="str">
        <f t="shared" si="0"/>
        <v>-</v>
      </c>
      <c r="G18" s="360"/>
      <c r="J18" s="62">
        <v>15</v>
      </c>
      <c r="K18" s="124"/>
      <c r="L18" s="34" t="str">
        <f t="shared" si="4"/>
        <v>--</v>
      </c>
      <c r="M18" s="59" t="str">
        <f>IFERROR(IF(I10=0,HLOOKUP(L18,Declarations!$D$2:$S$102,I6,FALSE),HLOOKUP(VLOOKUP(L18,Teams!$V$2:$W$19,2,FALSE),Declarations!$D$2:$S$102,I6,FALSE)),"")</f>
        <v/>
      </c>
      <c r="N18" s="36" t="str">
        <f t="shared" si="1"/>
        <v>-</v>
      </c>
      <c r="O18" s="360"/>
      <c r="R18" s="62">
        <v>15</v>
      </c>
      <c r="S18" s="124"/>
      <c r="T18" s="34" t="str">
        <f t="shared" si="5"/>
        <v>--</v>
      </c>
      <c r="U18" s="59" t="str">
        <f>IFERROR(IF(Q10=0,HLOOKUP(T18,Declarations!$D$2:$S$102,Q6,FALSE),HLOOKUP(VLOOKUP(T18,Teams!$V$2:$W$19,2,FALSE),Declarations!$D$2:$S$102,Q6,FALSE)),"")</f>
        <v/>
      </c>
      <c r="V18" s="36" t="str">
        <f t="shared" si="2"/>
        <v>-</v>
      </c>
      <c r="W18" s="360"/>
    </row>
    <row r="19" spans="1:23" x14ac:dyDescent="0.45">
      <c r="B19" s="62">
        <v>16</v>
      </c>
      <c r="C19" s="124"/>
      <c r="D19" s="34" t="str">
        <f t="shared" si="3"/>
        <v>--</v>
      </c>
      <c r="E19" s="59" t="str">
        <f>IFERROR(IF(A10=0,HLOOKUP(D19,Declarations!$D$2:$S$102,A6,FALSE),HLOOKUP(VLOOKUP(D19,Teams!$V$2:$W$19,2,FALSE),Declarations!$D$2:$S$102,A6,FALSE)),"")</f>
        <v/>
      </c>
      <c r="F19" s="36" t="str">
        <f t="shared" si="0"/>
        <v>-</v>
      </c>
      <c r="G19" s="360"/>
      <c r="J19" s="62">
        <v>16</v>
      </c>
      <c r="K19" s="124"/>
      <c r="L19" s="34" t="str">
        <f t="shared" si="4"/>
        <v>--</v>
      </c>
      <c r="M19" s="59" t="str">
        <f>IFERROR(IF(I10=0,HLOOKUP(L19,Declarations!$D$2:$S$102,I6,FALSE),HLOOKUP(VLOOKUP(L19,Teams!$V$2:$W$19,2,FALSE),Declarations!$D$2:$S$102,I6,FALSE)),"")</f>
        <v/>
      </c>
      <c r="N19" s="36" t="str">
        <f t="shared" si="1"/>
        <v>-</v>
      </c>
      <c r="O19" s="360"/>
      <c r="R19" s="62">
        <v>16</v>
      </c>
      <c r="S19" s="124"/>
      <c r="T19" s="34" t="str">
        <f t="shared" si="5"/>
        <v>--</v>
      </c>
      <c r="U19" s="59" t="str">
        <f>IFERROR(IF(Q10=0,HLOOKUP(T19,Declarations!$D$2:$S$102,Q6,FALSE),HLOOKUP(VLOOKUP(T19,Teams!$V$2:$W$19,2,FALSE),Declarations!$D$2:$S$102,Q6,FALSE)),"")</f>
        <v/>
      </c>
      <c r="V19" s="36" t="str">
        <f t="shared" si="2"/>
        <v>-</v>
      </c>
      <c r="W19" s="360"/>
    </row>
    <row r="20" spans="1:23" x14ac:dyDescent="0.45">
      <c r="A20" s="34"/>
    </row>
    <row r="21" spans="1:23" x14ac:dyDescent="0.45">
      <c r="A21" s="32" t="s">
        <v>239</v>
      </c>
      <c r="B21" s="107" t="str">
        <f>IFERROR(VLOOKUP(A21,Timetables!$A:$G,3,FALSE)&amp;" "&amp;VLOOKUP(A21,Timetables!$A:$G,2,FALSE),"")</f>
        <v>U15 Boys Pole Vault</v>
      </c>
      <c r="I21" s="32" t="s">
        <v>240</v>
      </c>
      <c r="J21" s="107" t="str">
        <f>IFERROR(VLOOKUP(I21,Timetables!$A:$G,3,FALSE)&amp;" "&amp;VLOOKUP(I21,Timetables!$A:$G,2,FALSE),"")</f>
        <v>U15 Girls Pole Vault</v>
      </c>
      <c r="O21" s="63"/>
      <c r="Q21" s="32" t="s">
        <v>241</v>
      </c>
      <c r="R21" s="107" t="str">
        <f>IFERROR(VLOOKUP(Q21,Timetables!$A:$G,3,FALSE)&amp;" "&amp;VLOOKUP(Q21,Timetables!$A:$G,2,FALSE),"")</f>
        <v>U15 Boys High Jump</v>
      </c>
      <c r="W21" s="63"/>
    </row>
    <row r="22" spans="1:23" x14ac:dyDescent="0.45">
      <c r="A22" s="33"/>
      <c r="B22" s="62" t="s">
        <v>163</v>
      </c>
      <c r="C22" s="62" t="s">
        <v>230</v>
      </c>
      <c r="D22" s="62" t="s">
        <v>183</v>
      </c>
      <c r="E22" s="59" t="s">
        <v>227</v>
      </c>
      <c r="F22" s="59" t="s">
        <v>228</v>
      </c>
      <c r="G22" s="63" t="s">
        <v>229</v>
      </c>
      <c r="I22" s="33"/>
      <c r="J22" s="62" t="s">
        <v>163</v>
      </c>
      <c r="K22" s="62" t="s">
        <v>230</v>
      </c>
      <c r="L22" s="62" t="s">
        <v>183</v>
      </c>
      <c r="M22" s="59" t="s">
        <v>227</v>
      </c>
      <c r="N22" s="59" t="s">
        <v>228</v>
      </c>
      <c r="O22" s="63" t="s">
        <v>229</v>
      </c>
      <c r="Q22" s="33"/>
      <c r="R22" s="62" t="s">
        <v>163</v>
      </c>
      <c r="S22" s="62" t="s">
        <v>230</v>
      </c>
      <c r="T22" s="62" t="s">
        <v>183</v>
      </c>
      <c r="U22" s="59" t="s">
        <v>227</v>
      </c>
      <c r="V22" s="59" t="s">
        <v>228</v>
      </c>
      <c r="W22" s="63" t="s">
        <v>229</v>
      </c>
    </row>
    <row r="23" spans="1:23" x14ac:dyDescent="0.45">
      <c r="A23" s="62" t="s">
        <v>224</v>
      </c>
      <c r="B23" s="62">
        <v>1</v>
      </c>
      <c r="C23" s="124">
        <v>1</v>
      </c>
      <c r="D23" s="34">
        <f>IFERROR(IF(B23&gt;MatchDay!$U$2,"-",VLOOKUP(A21,timetables,MatchDay!$U$4,FALSE)),0)</f>
        <v>2</v>
      </c>
      <c r="E23" s="59" t="str">
        <f ca="1">IFERROR(IF(A29=0,HLOOKUP(D23,Declarations!$D$2:$S$102,A25,FALSE),HLOOKUP(VLOOKUP(D23,Teams!$V$2:$W$19,2,FALSE),Declarations!$D$2:$S$102,A25,FALSE)),"")</f>
        <v>LANE William</v>
      </c>
      <c r="F23" s="36" t="str">
        <f t="shared" ref="F23:F38" si="6">IFERROR(VLOOKUP(D23,teamlookup,5,FALSE),"-")</f>
        <v>Sheff+D</v>
      </c>
      <c r="G23" s="360">
        <v>3</v>
      </c>
      <c r="I23" s="62" t="s">
        <v>222</v>
      </c>
      <c r="J23" s="62">
        <v>1</v>
      </c>
      <c r="K23" s="124"/>
      <c r="L23" s="34">
        <f>IFERROR(IF(J23&gt;MatchDay!$U$2,"-",VLOOKUP(I21,timetables,MatchDay!$U$4,FALSE)),0)</f>
        <v>2</v>
      </c>
      <c r="M23" s="59">
        <f ca="1">IFERROR(IF(I29=0,HLOOKUP(L23,Declarations!$D$2:$S$102,I25,FALSE),HLOOKUP(VLOOKUP(L23,Teams!$V$2:$W$19,2,FALSE),Declarations!$D$2:$S$102,I25,FALSE)),"")</f>
        <v>0</v>
      </c>
      <c r="N23" s="36" t="str">
        <f t="shared" ref="N23:N38" si="7">IFERROR(VLOOKUP(L23,teamlookup,5,FALSE),"-")</f>
        <v>Sheff+D</v>
      </c>
      <c r="O23" s="360"/>
      <c r="Q23" s="62" t="s">
        <v>212</v>
      </c>
      <c r="R23" s="62">
        <v>1</v>
      </c>
      <c r="S23" s="124"/>
      <c r="T23" s="34">
        <f>IFERROR(IF(R23&gt;MatchDay!$U$2,"-",VLOOKUP(Q21,timetables,MatchDay!$U$4,FALSE)),0)</f>
        <v>4</v>
      </c>
      <c r="U23" s="59" t="str">
        <f ca="1">IFERROR(IF(Q29=0,HLOOKUP(T23,Declarations!$D$2:$S$102,Q25,FALSE),HLOOKUP(VLOOKUP(T23,Teams!$V$2:$W$19,2,FALSE),Declarations!$D$2:$S$102,Q25,FALSE)),"")</f>
        <v>-</v>
      </c>
      <c r="V23" s="36" t="str">
        <f t="shared" ref="V23:V38" si="8">IFERROR(VLOOKUP(T23,teamlookup,5,FALSE),"-")</f>
        <v>M'bro</v>
      </c>
      <c r="W23" s="360"/>
    </row>
    <row r="24" spans="1:23" x14ac:dyDescent="0.45">
      <c r="A24" s="62">
        <v>23</v>
      </c>
      <c r="B24" s="62">
        <v>2</v>
      </c>
      <c r="C24" s="124"/>
      <c r="D24" s="34">
        <f>IFERROR(IF(B24&gt;MatchDay!$U$2,"-",VLOOKUP(A21,timetables,MatchDay!$U$4+1,FALSE)),0)</f>
        <v>5</v>
      </c>
      <c r="E24" s="59">
        <f ca="1">IFERROR(IF(A29=0,HLOOKUP(D24,Declarations!$D$2:$S$102,A25,FALSE),HLOOKUP(VLOOKUP(D24,Teams!$V$2:$W$19,2,FALSE),Declarations!$D$2:$S$102,A25,FALSE)),"")</f>
        <v>0</v>
      </c>
      <c r="F24" s="36" t="str">
        <f t="shared" si="6"/>
        <v>Scun</v>
      </c>
      <c r="G24" s="360"/>
      <c r="I24" s="62">
        <f>A24</f>
        <v>23</v>
      </c>
      <c r="J24" s="62">
        <v>2</v>
      </c>
      <c r="K24" s="124"/>
      <c r="L24" s="34">
        <f>IFERROR(IF(J24&gt;MatchDay!$U$2,"-",VLOOKUP(I21,timetables,MatchDay!$U$4+1,FALSE)),0)</f>
        <v>5</v>
      </c>
      <c r="M24" s="59">
        <f ca="1">IFERROR(IF(I29=0,HLOOKUP(L24,Declarations!$D$2:$S$102,I25,FALSE),HLOOKUP(VLOOKUP(L24,Teams!$V$2:$W$19,2,FALSE),Declarations!$D$2:$S$102,I25,FALSE)),"")</f>
        <v>0</v>
      </c>
      <c r="N24" s="36" t="str">
        <f t="shared" si="7"/>
        <v>Scun</v>
      </c>
      <c r="O24" s="360"/>
      <c r="Q24" s="62">
        <f>A24</f>
        <v>23</v>
      </c>
      <c r="R24" s="62">
        <v>2</v>
      </c>
      <c r="S24" s="124">
        <v>3</v>
      </c>
      <c r="T24" s="34">
        <f>IFERROR(IF(R24&gt;MatchDay!$U$2,"-",VLOOKUP(Q21,timetables,MatchDay!$U$4+1,FALSE)),0)</f>
        <v>2</v>
      </c>
      <c r="U24" s="59" t="str">
        <f ca="1">IFERROR(IF(Q29=0,HLOOKUP(T24,Declarations!$D$2:$S$102,Q25,FALSE),HLOOKUP(VLOOKUP(T24,Teams!$V$2:$W$19,2,FALSE),Declarations!$D$2:$S$102,Q25,FALSE)),"")</f>
        <v>LANE William</v>
      </c>
      <c r="V24" s="36" t="str">
        <f t="shared" si="8"/>
        <v>Sheff+D</v>
      </c>
      <c r="W24" s="360">
        <v>1.25</v>
      </c>
    </row>
    <row r="25" spans="1:23" x14ac:dyDescent="0.45">
      <c r="A25" s="181">
        <f>IFERROR(VLOOKUP(A21,Timetables!$A:$E,5,FALSE)-1,"")</f>
        <v>71</v>
      </c>
      <c r="B25" s="62">
        <v>3</v>
      </c>
      <c r="C25" s="124">
        <v>2</v>
      </c>
      <c r="D25" s="34">
        <f>IFERROR(IF(B25&gt;MatchDay!$U$2,"-",VLOOKUP(A21,timetables,MatchDay!$U$4+2,FALSE)),0)</f>
        <v>3</v>
      </c>
      <c r="E25" s="59" t="str">
        <f ca="1">IFERROR(IF(A29=0,HLOOKUP(D25,Declarations!$D$2:$S$102,A25,FALSE),HLOOKUP(VLOOKUP(D25,Teams!$V$2:$W$19,2,FALSE),Declarations!$D$2:$S$102,A25,FALSE)),"")</f>
        <v>BOWSHER James</v>
      </c>
      <c r="F25" s="36" t="str">
        <f t="shared" si="6"/>
        <v>York</v>
      </c>
      <c r="G25" s="360">
        <v>2.1</v>
      </c>
      <c r="I25" s="181">
        <f>IFERROR(VLOOKUP(I21,Timetables!$A:$E,5,FALSE)-1,"")</f>
        <v>21</v>
      </c>
      <c r="J25" s="62">
        <v>3</v>
      </c>
      <c r="K25" s="124"/>
      <c r="L25" s="34">
        <f>IFERROR(IF(J25&gt;MatchDay!$U$2,"-",VLOOKUP(I21,timetables,MatchDay!$U$4+2,FALSE)),0)</f>
        <v>3</v>
      </c>
      <c r="M25" s="59" t="str">
        <f ca="1">IFERROR(IF(I29=0,HLOOKUP(L25,Declarations!$D$2:$S$102,I25,FALSE),HLOOKUP(VLOOKUP(L25,Teams!$V$2:$W$19,2,FALSE),Declarations!$D$2:$S$102,I25,FALSE)),"")</f>
        <v>CROSBY Alice</v>
      </c>
      <c r="N25" s="36" t="str">
        <f t="shared" si="7"/>
        <v>York</v>
      </c>
      <c r="O25" s="360"/>
      <c r="Q25" s="181">
        <f>IFERROR(VLOOKUP(Q21,Timetables!$A:$E,5,FALSE)-1,"")</f>
        <v>70</v>
      </c>
      <c r="R25" s="62">
        <v>3</v>
      </c>
      <c r="S25" s="124"/>
      <c r="T25" s="34">
        <f>IFERROR(IF(R25&gt;MatchDay!$U$2,"-",VLOOKUP(Q21,timetables,MatchDay!$U$4+2,FALSE)),0)</f>
        <v>5</v>
      </c>
      <c r="U25" s="59">
        <f ca="1">IFERROR(IF(Q29=0,HLOOKUP(T25,Declarations!$D$2:$S$102,Q25,FALSE),HLOOKUP(VLOOKUP(T25,Teams!$V$2:$W$19,2,FALSE),Declarations!$D$2:$S$102,Q25,FALSE)),"")</f>
        <v>0</v>
      </c>
      <c r="V25" s="36" t="str">
        <f t="shared" si="8"/>
        <v>Scun</v>
      </c>
      <c r="W25" s="360"/>
    </row>
    <row r="26" spans="1:23" x14ac:dyDescent="0.45">
      <c r="B26" s="62">
        <v>4</v>
      </c>
      <c r="C26" s="124"/>
      <c r="D26" s="34">
        <f>IFERROR(IF(B26&gt;MatchDay!$U$2,"-",VLOOKUP(A21,timetables,MatchDay!$U$4+3,FALSE)),0)</f>
        <v>4</v>
      </c>
      <c r="E26" s="59" t="str">
        <f ca="1">IFERROR(IF(A29=0,HLOOKUP(D26,Declarations!$D$2:$S$102,A25,FALSE),HLOOKUP(VLOOKUP(D26,Teams!$V$2:$W$19,2,FALSE),Declarations!$D$2:$S$102,A25,FALSE)),"")</f>
        <v>-</v>
      </c>
      <c r="F26" s="36" t="str">
        <f t="shared" si="6"/>
        <v>M'bro</v>
      </c>
      <c r="G26" s="360"/>
      <c r="J26" s="62">
        <v>4</v>
      </c>
      <c r="K26" s="124"/>
      <c r="L26" s="34">
        <f>IFERROR(IF(J26&gt;MatchDay!$U$2,"-",VLOOKUP(I21,timetables,MatchDay!$U$4+3,FALSE)),0)</f>
        <v>4</v>
      </c>
      <c r="M26" s="59" t="str">
        <f ca="1">IFERROR(IF(I29=0,HLOOKUP(L26,Declarations!$D$2:$S$102,I25,FALSE),HLOOKUP(VLOOKUP(L26,Teams!$V$2:$W$19,2,FALSE),Declarations!$D$2:$S$102,I25,FALSE)),"")</f>
        <v>-</v>
      </c>
      <c r="N26" s="36" t="str">
        <f t="shared" si="7"/>
        <v>M'bro</v>
      </c>
      <c r="O26" s="360"/>
      <c r="R26" s="62">
        <v>4</v>
      </c>
      <c r="S26" s="124">
        <v>4</v>
      </c>
      <c r="T26" s="34">
        <f>IFERROR(IF(R26&gt;MatchDay!$U$2,"-",VLOOKUP(Q21,timetables,MatchDay!$U$4+3,FALSE)),0)</f>
        <v>1</v>
      </c>
      <c r="U26" s="59" t="str">
        <f ca="1">IFERROR(IF(Q29=0,HLOOKUP(T26,Declarations!$D$2:$S$102,Q25,FALSE),HLOOKUP(VLOOKUP(T26,Teams!$V$2:$W$19,2,FALSE),Declarations!$D$2:$S$102,Q25,FALSE)),"")</f>
        <v>PEERS-WAIN Jacob</v>
      </c>
      <c r="V26" s="36" t="str">
        <f t="shared" si="8"/>
        <v>C'field</v>
      </c>
      <c r="W26" s="360">
        <v>1.25</v>
      </c>
    </row>
    <row r="27" spans="1:23" x14ac:dyDescent="0.45">
      <c r="B27" s="62">
        <v>5</v>
      </c>
      <c r="C27" s="124"/>
      <c r="D27" s="34">
        <f>IFERROR(IF(B27&gt;MatchDay!$U$2,"-",VLOOKUP(A21,timetables,MatchDay!$U$4+4,FALSE)),0)</f>
        <v>1</v>
      </c>
      <c r="E27" s="59">
        <f ca="1">IFERROR(IF(A29=0,HLOOKUP(D27,Declarations!$D$2:$S$102,A25,FALSE),HLOOKUP(VLOOKUP(D27,Teams!$V$2:$W$19,2,FALSE),Declarations!$D$2:$S$102,A25,FALSE)),"")</f>
        <v>0</v>
      </c>
      <c r="F27" s="36" t="str">
        <f t="shared" si="6"/>
        <v>C'field</v>
      </c>
      <c r="G27" s="360"/>
      <c r="J27" s="62">
        <v>5</v>
      </c>
      <c r="K27" s="124">
        <v>1</v>
      </c>
      <c r="L27" s="34">
        <f>IFERROR(IF(J27&gt;MatchDay!$U$2,"-",VLOOKUP(I21,timetables,MatchDay!$U$4+4,FALSE)),0)</f>
        <v>1</v>
      </c>
      <c r="M27" s="59" t="str">
        <f ca="1">IFERROR(IF(I29=0,HLOOKUP(L27,Declarations!$D$2:$S$102,I25,FALSE),HLOOKUP(VLOOKUP(L27,Teams!$V$2:$W$19,2,FALSE),Declarations!$D$2:$S$102,I25,FALSE)),"")</f>
        <v>MOODY Hannah</v>
      </c>
      <c r="N27" s="36" t="str">
        <f t="shared" si="7"/>
        <v>C'field</v>
      </c>
      <c r="O27" s="360">
        <v>2.5</v>
      </c>
      <c r="R27" s="62">
        <v>5</v>
      </c>
      <c r="S27" s="124">
        <v>1</v>
      </c>
      <c r="T27" s="34">
        <f>IFERROR(IF(R27&gt;MatchDay!$U$2,"-",VLOOKUP(Q21,timetables,MatchDay!$U$4+4,FALSE)),0)</f>
        <v>3</v>
      </c>
      <c r="U27" s="59" t="str">
        <f ca="1">IFERROR(IF(Q29=0,HLOOKUP(T27,Declarations!$D$2:$S$102,Q25,FALSE),HLOOKUP(VLOOKUP(T27,Teams!$V$2:$W$19,2,FALSE),Declarations!$D$2:$S$102,Q25,FALSE)),"")</f>
        <v>HENSON Isaac</v>
      </c>
      <c r="V27" s="36" t="str">
        <f t="shared" si="8"/>
        <v>York</v>
      </c>
      <c r="W27" s="360">
        <v>1.35</v>
      </c>
    </row>
    <row r="28" spans="1:23" x14ac:dyDescent="0.45">
      <c r="B28" s="62">
        <v>6</v>
      </c>
      <c r="C28" s="124"/>
      <c r="D28" s="34" t="str">
        <f>IFERROR(IF(B28&gt;MatchDay!$U$2,"-",VLOOKUP(A21,timetables,MatchDay!$U$4+5,FALSE)),0)</f>
        <v>-</v>
      </c>
      <c r="E28" s="59" t="str">
        <f>IFERROR(IF(A29=0,HLOOKUP(D28,Declarations!$D$2:$S$102,A25,FALSE),HLOOKUP(VLOOKUP(D28,Teams!$V$2:$W$19,2,FALSE),Declarations!$D$2:$S$102,A25,FALSE)),"")</f>
        <v/>
      </c>
      <c r="F28" s="36" t="str">
        <f t="shared" si="6"/>
        <v/>
      </c>
      <c r="G28" s="360"/>
      <c r="J28" s="62">
        <v>6</v>
      </c>
      <c r="K28" s="124"/>
      <c r="L28" s="34" t="str">
        <f>IFERROR(IF(J28&gt;MatchDay!$U$2,"-",VLOOKUP(I21,timetables,MatchDay!$U$4+5,FALSE)),0)</f>
        <v>-</v>
      </c>
      <c r="M28" s="59" t="str">
        <f>IFERROR(IF(I29=0,HLOOKUP(L28,Declarations!$D$2:$S$102,I25,FALSE),HLOOKUP(VLOOKUP(L28,Teams!$V$2:$W$19,2,FALSE),Declarations!$D$2:$S$102,I25,FALSE)),"")</f>
        <v/>
      </c>
      <c r="N28" s="36" t="str">
        <f t="shared" si="7"/>
        <v/>
      </c>
      <c r="O28" s="360"/>
      <c r="R28" s="62">
        <v>6</v>
      </c>
      <c r="S28" s="124"/>
      <c r="T28" s="34" t="str">
        <f>IFERROR(IF(R28&gt;MatchDay!$U$2,"-",VLOOKUP(Q21,timetables,MatchDay!$U$4+5,FALSE)),0)</f>
        <v>-</v>
      </c>
      <c r="U28" s="59" t="str">
        <f>IFERROR(IF(Q29=0,HLOOKUP(T28,Declarations!$D$2:$S$102,Q25,FALSE),HLOOKUP(VLOOKUP(T28,Teams!$V$2:$W$19,2,FALSE),Declarations!$D$2:$S$102,Q25,FALSE)),"")</f>
        <v/>
      </c>
      <c r="V28" s="36" t="str">
        <f t="shared" si="8"/>
        <v/>
      </c>
      <c r="W28" s="360"/>
    </row>
    <row r="29" spans="1:23" ht="15" customHeight="1" x14ac:dyDescent="0.45">
      <c r="A29" s="136">
        <f>IFERROR(SEARCH("U17",B21),0)</f>
        <v>0</v>
      </c>
      <c r="B29" s="62">
        <v>7</v>
      </c>
      <c r="C29" s="124"/>
      <c r="D29" s="34" t="str">
        <f>IFERROR(IF(B29&gt;MatchDay!$U$2,"-",VLOOKUP(A21,timetables,MatchDay!$U$4+6,FALSE)),0)</f>
        <v>-</v>
      </c>
      <c r="E29" s="59" t="str">
        <f>IFERROR(IF(A29=0,HLOOKUP(D29,Declarations!$D$2:$S$102,A25,FALSE),HLOOKUP(VLOOKUP(D29,Teams!$V$2:$W$19,2,FALSE),Declarations!$D$2:$S$102,A25,FALSE)),"")</f>
        <v/>
      </c>
      <c r="F29" s="36" t="str">
        <f t="shared" si="6"/>
        <v/>
      </c>
      <c r="G29" s="360"/>
      <c r="I29" s="136">
        <f>IFERROR(SEARCH("U17",J21),0)</f>
        <v>0</v>
      </c>
      <c r="J29" s="62">
        <v>7</v>
      </c>
      <c r="K29" s="124"/>
      <c r="L29" s="34" t="str">
        <f>IFERROR(IF(J29&gt;MatchDay!$U$2,"-",VLOOKUP(I21,timetables,MatchDay!$U$4+6,FALSE)),0)</f>
        <v>-</v>
      </c>
      <c r="M29" s="59" t="str">
        <f>IFERROR(IF(I29=0,HLOOKUP(L29,Declarations!$D$2:$S$102,I25,FALSE),HLOOKUP(VLOOKUP(L29,Teams!$V$2:$W$19,2,FALSE),Declarations!$D$2:$S$102,I25,FALSE)),"")</f>
        <v/>
      </c>
      <c r="N29" s="36" t="str">
        <f t="shared" si="7"/>
        <v/>
      </c>
      <c r="O29" s="360"/>
      <c r="Q29" s="136">
        <f>IFERROR(SEARCH("U17",R21),0)</f>
        <v>0</v>
      </c>
      <c r="R29" s="62">
        <v>7</v>
      </c>
      <c r="S29" s="124"/>
      <c r="T29" s="34" t="str">
        <f>IFERROR(IF(R29&gt;MatchDay!$U$2,"-",VLOOKUP(Q21,timetables,MatchDay!$U$4+6,FALSE)),0)</f>
        <v>-</v>
      </c>
      <c r="U29" s="59" t="str">
        <f>IFERROR(IF(Q29=0,HLOOKUP(T29,Declarations!$D$2:$S$102,Q25,FALSE),HLOOKUP(VLOOKUP(T29,Teams!$V$2:$W$19,2,FALSE),Declarations!$D$2:$S$102,Q25,FALSE)),"")</f>
        <v/>
      </c>
      <c r="V29" s="36" t="str">
        <f t="shared" si="8"/>
        <v/>
      </c>
      <c r="W29" s="360"/>
    </row>
    <row r="30" spans="1:23" x14ac:dyDescent="0.45">
      <c r="B30" s="62">
        <v>8</v>
      </c>
      <c r="C30" s="124"/>
      <c r="D30" s="34" t="str">
        <f>IFERROR(IF(B30&gt;MatchDay!$U$2,"-",VLOOKUP(A21,timetables,MatchDay!$U$4+7,FALSE)),0)</f>
        <v>-</v>
      </c>
      <c r="E30" s="59" t="str">
        <f>IFERROR(IF(A29=0,HLOOKUP(D30,Declarations!$D$2:$S$102,A25,FALSE),HLOOKUP(VLOOKUP(D30,Teams!$V$2:$W$19,2,FALSE),Declarations!$D$2:$S$102,A25,FALSE)),"")</f>
        <v/>
      </c>
      <c r="F30" s="36" t="str">
        <f t="shared" si="6"/>
        <v/>
      </c>
      <c r="G30" s="360"/>
      <c r="J30" s="62">
        <v>8</v>
      </c>
      <c r="K30" s="124"/>
      <c r="L30" s="34" t="str">
        <f>IFERROR(IF(J30&gt;MatchDay!$U$2,"-",VLOOKUP(I21,timetables,MatchDay!$U$4+7,FALSE)),0)</f>
        <v>-</v>
      </c>
      <c r="M30" s="59" t="str">
        <f>IFERROR(IF(I29=0,HLOOKUP(L30,Declarations!$D$2:$S$102,I25,FALSE),HLOOKUP(VLOOKUP(L30,Teams!$V$2:$W$19,2,FALSE),Declarations!$D$2:$S$102,I25,FALSE)),"")</f>
        <v/>
      </c>
      <c r="N30" s="36" t="str">
        <f t="shared" si="7"/>
        <v/>
      </c>
      <c r="O30" s="360"/>
      <c r="R30" s="62">
        <v>8</v>
      </c>
      <c r="S30" s="124"/>
      <c r="T30" s="34" t="str">
        <f>IFERROR(IF(R30&gt;MatchDay!$U$2,"-",VLOOKUP(Q21,timetables,MatchDay!$U$4+7,FALSE)),0)</f>
        <v>-</v>
      </c>
      <c r="U30" s="59" t="str">
        <f>IFERROR(IF(Q29=0,HLOOKUP(T30,Declarations!$D$2:$S$102,Q25,FALSE),HLOOKUP(VLOOKUP(T30,Teams!$V$2:$W$19,2,FALSE),Declarations!$D$2:$S$102,Q25,FALSE)),"")</f>
        <v/>
      </c>
      <c r="V30" s="36" t="str">
        <f t="shared" si="8"/>
        <v/>
      </c>
      <c r="W30" s="360"/>
    </row>
    <row r="31" spans="1:23" x14ac:dyDescent="0.45">
      <c r="B31" s="62">
        <v>9</v>
      </c>
      <c r="C31" s="124"/>
      <c r="D31" s="34">
        <f>IFERROR(IF(T(D23)="",D23*11,D23&amp;D23),"-")</f>
        <v>22</v>
      </c>
      <c r="E31" s="59">
        <f ca="1">IFERROR(IF(A29=0,HLOOKUP(D31,Declarations!$D$2:$S$102,A25,FALSE),HLOOKUP(VLOOKUP(D31,Teams!$V$2:$W$19,2,FALSE),Declarations!$D$2:$S$102,A25,FALSE)),"")</f>
        <v>0</v>
      </c>
      <c r="F31" s="36" t="str">
        <f t="shared" si="6"/>
        <v>Sheff+D</v>
      </c>
      <c r="G31" s="360"/>
      <c r="J31" s="62">
        <v>9</v>
      </c>
      <c r="K31" s="124"/>
      <c r="L31" s="34">
        <f>IFERROR(IF(T(L23)="",L23*11,L23&amp;L23),"-")</f>
        <v>22</v>
      </c>
      <c r="M31" s="59">
        <f ca="1">IFERROR(IF(I29=0,HLOOKUP(L31,Declarations!$D$2:$S$102,I25,FALSE),HLOOKUP(VLOOKUP(L31,Teams!$V$2:$W$19,2,FALSE),Declarations!$D$2:$S$102,I25,FALSE)),"")</f>
        <v>0</v>
      </c>
      <c r="N31" s="36" t="str">
        <f t="shared" si="7"/>
        <v>Sheff+D</v>
      </c>
      <c r="O31" s="360"/>
      <c r="R31" s="62">
        <v>9</v>
      </c>
      <c r="S31" s="124"/>
      <c r="T31" s="34">
        <f>IFERROR(IF(T(T23)="",T23*11,T23&amp;T23),"-")</f>
        <v>44</v>
      </c>
      <c r="U31" s="59" t="str">
        <f ca="1">IFERROR(IF(Q29=0,HLOOKUP(T31,Declarations!$D$2:$S$102,Q25,FALSE),HLOOKUP(VLOOKUP(T31,Teams!$V$2:$W$19,2,FALSE),Declarations!$D$2:$S$102,Q25,FALSE)),"")</f>
        <v>-</v>
      </c>
      <c r="V31" s="36" t="str">
        <f t="shared" si="8"/>
        <v>M'bro</v>
      </c>
      <c r="W31" s="360"/>
    </row>
    <row r="32" spans="1:23" x14ac:dyDescent="0.45">
      <c r="B32" s="62">
        <v>10</v>
      </c>
      <c r="C32" s="124"/>
      <c r="D32" s="34">
        <f t="shared" ref="D32:D38" si="9">IFERROR(IF(T(D24)="",D24*11,D24&amp;D24),"-")</f>
        <v>55</v>
      </c>
      <c r="E32" s="59" t="str">
        <f ca="1">IFERROR(IF(A29=0,HLOOKUP(D32,Declarations!$D$2:$S$102,A25,FALSE),HLOOKUP(VLOOKUP(D32,Teams!$V$2:$W$19,2,FALSE),Declarations!$D$2:$S$102,A25,FALSE)),"")</f>
        <v>-</v>
      </c>
      <c r="F32" s="36" t="str">
        <f t="shared" si="6"/>
        <v>Scun</v>
      </c>
      <c r="G32" s="418"/>
      <c r="J32" s="62">
        <v>10</v>
      </c>
      <c r="K32" s="124"/>
      <c r="L32" s="34">
        <f t="shared" ref="L32:L38" si="10">IFERROR(IF(T(L24)="",L24*11,L24&amp;L24),"-")</f>
        <v>55</v>
      </c>
      <c r="M32" s="59">
        <f ca="1">IFERROR(IF(I29=0,HLOOKUP(L32,Declarations!$D$2:$S$102,I25,FALSE),HLOOKUP(VLOOKUP(L32,Teams!$V$2:$W$19,2,FALSE),Declarations!$D$2:$S$102,I25,FALSE)),"")</f>
        <v>0</v>
      </c>
      <c r="N32" s="36" t="str">
        <f t="shared" si="7"/>
        <v>Scun</v>
      </c>
      <c r="O32" s="418"/>
      <c r="R32" s="62">
        <v>10</v>
      </c>
      <c r="S32" s="124"/>
      <c r="T32" s="34">
        <f t="shared" ref="T32:T38" si="11">IFERROR(IF(T(T24)="",T24*11,T24&amp;T24),"-")</f>
        <v>22</v>
      </c>
      <c r="U32" s="59">
        <f ca="1">IFERROR(IF(Q29=0,HLOOKUP(T32,Declarations!$D$2:$S$102,Q25,FALSE),HLOOKUP(VLOOKUP(T32,Teams!$V$2:$W$19,2,FALSE),Declarations!$D$2:$S$102,Q25,FALSE)),"")</f>
        <v>0</v>
      </c>
      <c r="V32" s="36" t="str">
        <f t="shared" si="8"/>
        <v>Sheff+D</v>
      </c>
      <c r="W32" s="418"/>
    </row>
    <row r="33" spans="2:27" x14ac:dyDescent="0.45">
      <c r="B33" s="62">
        <v>11</v>
      </c>
      <c r="C33" s="124"/>
      <c r="D33" s="34">
        <f t="shared" si="9"/>
        <v>33</v>
      </c>
      <c r="E33" s="59" t="str">
        <f ca="1">IFERROR(IF(A29=0,HLOOKUP(D33,Declarations!$D$2:$S$102,A25,FALSE),HLOOKUP(VLOOKUP(D33,Teams!$V$2:$W$19,2,FALSE),Declarations!$D$2:$S$102,A25,FALSE)),"")</f>
        <v>-</v>
      </c>
      <c r="F33" s="36" t="str">
        <f t="shared" si="6"/>
        <v>York</v>
      </c>
      <c r="G33" s="360"/>
      <c r="J33" s="62">
        <v>11</v>
      </c>
      <c r="K33" s="124"/>
      <c r="L33" s="34">
        <f t="shared" si="10"/>
        <v>33</v>
      </c>
      <c r="M33" s="59" t="str">
        <f ca="1">IFERROR(IF(I29=0,HLOOKUP(L33,Declarations!$D$2:$S$102,I25,FALSE),HLOOKUP(VLOOKUP(L33,Teams!$V$2:$W$19,2,FALSE),Declarations!$D$2:$S$102,I25,FALSE)),"")</f>
        <v>LEE Isabel</v>
      </c>
      <c r="N33" s="36" t="str">
        <f t="shared" si="7"/>
        <v>York</v>
      </c>
      <c r="O33" s="418" t="s">
        <v>2268</v>
      </c>
      <c r="R33" s="62">
        <v>11</v>
      </c>
      <c r="S33" s="124"/>
      <c r="T33" s="34">
        <f t="shared" si="11"/>
        <v>55</v>
      </c>
      <c r="U33" s="59">
        <f ca="1">IFERROR(IF(Q29=0,HLOOKUP(T33,Declarations!$D$2:$S$102,Q25,FALSE),HLOOKUP(VLOOKUP(T33,Teams!$V$2:$W$19,2,FALSE),Declarations!$D$2:$S$102,Q25,FALSE)),"")</f>
        <v>0</v>
      </c>
      <c r="V33" s="36" t="str">
        <f t="shared" si="8"/>
        <v>Scun</v>
      </c>
      <c r="W33" s="360"/>
    </row>
    <row r="34" spans="2:27" x14ac:dyDescent="0.45">
      <c r="B34" s="62">
        <v>12</v>
      </c>
      <c r="C34" s="124"/>
      <c r="D34" s="34">
        <f t="shared" si="9"/>
        <v>44</v>
      </c>
      <c r="E34" s="59" t="str">
        <f ca="1">IFERROR(IF(A29=0,HLOOKUP(D34,Declarations!$D$2:$S$102,A25,FALSE),HLOOKUP(VLOOKUP(D34,Teams!$V$2:$W$19,2,FALSE),Declarations!$D$2:$S$102,A25,FALSE)),"")</f>
        <v>-</v>
      </c>
      <c r="F34" s="36" t="str">
        <f t="shared" si="6"/>
        <v>M'bro</v>
      </c>
      <c r="G34" s="360"/>
      <c r="J34" s="62">
        <v>12</v>
      </c>
      <c r="K34" s="124"/>
      <c r="L34" s="34">
        <f t="shared" si="10"/>
        <v>44</v>
      </c>
      <c r="M34" s="59" t="str">
        <f ca="1">IFERROR(IF(I29=0,HLOOKUP(L34,Declarations!$D$2:$S$102,I25,FALSE),HLOOKUP(VLOOKUP(L34,Teams!$V$2:$W$19,2,FALSE),Declarations!$D$2:$S$102,I25,FALSE)),"")</f>
        <v>-</v>
      </c>
      <c r="N34" s="36" t="str">
        <f t="shared" si="7"/>
        <v>M'bro</v>
      </c>
      <c r="O34" s="360"/>
      <c r="R34" s="62">
        <v>12</v>
      </c>
      <c r="S34" s="124">
        <v>2</v>
      </c>
      <c r="T34" s="34">
        <f t="shared" si="11"/>
        <v>11</v>
      </c>
      <c r="U34" s="59" t="str">
        <f ca="1">IFERROR(IF(Q29=0,HLOOKUP(T34,Declarations!$D$2:$S$102,Q25,FALSE),HLOOKUP(VLOOKUP(T34,Teams!$V$2:$W$19,2,FALSE),Declarations!$D$2:$S$102,Q25,FALSE)),"")</f>
        <v>FOOT James</v>
      </c>
      <c r="V34" s="36" t="str">
        <f t="shared" si="8"/>
        <v>C'field</v>
      </c>
      <c r="W34" s="360">
        <v>1.35</v>
      </c>
    </row>
    <row r="35" spans="2:27" x14ac:dyDescent="0.45">
      <c r="B35" s="62">
        <v>13</v>
      </c>
      <c r="C35" s="124"/>
      <c r="D35" s="34">
        <f t="shared" si="9"/>
        <v>11</v>
      </c>
      <c r="E35" s="59">
        <f ca="1">IFERROR(IF(A29=0,HLOOKUP(D35,Declarations!$D$2:$S$102,A25,FALSE),HLOOKUP(VLOOKUP(D35,Teams!$V$2:$W$19,2,FALSE),Declarations!$D$2:$S$102,A25,FALSE)),"")</f>
        <v>0</v>
      </c>
      <c r="F35" s="36" t="str">
        <f t="shared" si="6"/>
        <v>C'field</v>
      </c>
      <c r="G35" s="360"/>
      <c r="J35" s="62">
        <v>13</v>
      </c>
      <c r="K35" s="124"/>
      <c r="L35" s="34">
        <f t="shared" si="10"/>
        <v>11</v>
      </c>
      <c r="M35" s="59" t="str">
        <f ca="1">IFERROR(IF(I29=0,HLOOKUP(L35,Declarations!$D$2:$S$102,I25,FALSE),HLOOKUP(VLOOKUP(L35,Teams!$V$2:$W$19,2,FALSE),Declarations!$D$2:$S$102,I25,FALSE)),"")</f>
        <v>PROCTOR Alicia</v>
      </c>
      <c r="N35" s="36" t="str">
        <f t="shared" si="7"/>
        <v>C'field</v>
      </c>
      <c r="O35" s="418" t="s">
        <v>2268</v>
      </c>
      <c r="R35" s="62">
        <v>13</v>
      </c>
      <c r="S35" s="124"/>
      <c r="T35" s="34">
        <f t="shared" si="11"/>
        <v>33</v>
      </c>
      <c r="U35" s="59" t="str">
        <f ca="1">IFERROR(IF(Q29=0,HLOOKUP(T35,Declarations!$D$2:$S$102,Q25,FALSE),HLOOKUP(VLOOKUP(T35,Teams!$V$2:$W$19,2,FALSE),Declarations!$D$2:$S$102,Q25,FALSE)),"")</f>
        <v>-</v>
      </c>
      <c r="V35" s="36" t="str">
        <f t="shared" si="8"/>
        <v>York</v>
      </c>
      <c r="W35" s="360"/>
    </row>
    <row r="36" spans="2:27" x14ac:dyDescent="0.45">
      <c r="B36" s="62">
        <v>14</v>
      </c>
      <c r="C36" s="124"/>
      <c r="D36" s="34" t="str">
        <f t="shared" si="9"/>
        <v>--</v>
      </c>
      <c r="E36" s="59" t="str">
        <f>IFERROR(IF(A29=0,HLOOKUP(D36,Declarations!$D$2:$S$102,A25,FALSE),HLOOKUP(VLOOKUP(D36,Teams!$V$2:$W$19,2,FALSE),Declarations!$D$2:$S$102,A25,FALSE)),"")</f>
        <v/>
      </c>
      <c r="F36" s="36" t="str">
        <f t="shared" si="6"/>
        <v>-</v>
      </c>
      <c r="G36" s="360"/>
      <c r="J36" s="62">
        <v>14</v>
      </c>
      <c r="K36" s="124"/>
      <c r="L36" s="34" t="str">
        <f t="shared" si="10"/>
        <v>--</v>
      </c>
      <c r="M36" s="59" t="str">
        <f>IFERROR(IF(I29=0,HLOOKUP(L36,Declarations!$D$2:$S$102,I25,FALSE),HLOOKUP(VLOOKUP(L36,Teams!$V$2:$W$19,2,FALSE),Declarations!$D$2:$S$102,I25,FALSE)),"")</f>
        <v/>
      </c>
      <c r="N36" s="36" t="str">
        <f t="shared" si="7"/>
        <v>-</v>
      </c>
      <c r="O36" s="360"/>
      <c r="R36" s="62">
        <v>14</v>
      </c>
      <c r="S36" s="124"/>
      <c r="T36" s="34" t="str">
        <f t="shared" si="11"/>
        <v>--</v>
      </c>
      <c r="U36" s="59" t="str">
        <f>IFERROR(IF(Q29=0,HLOOKUP(T36,Declarations!$D$2:$S$102,Q25,FALSE),HLOOKUP(VLOOKUP(T36,Teams!$V$2:$W$19,2,FALSE),Declarations!$D$2:$S$102,Q25,FALSE)),"")</f>
        <v/>
      </c>
      <c r="V36" s="36" t="str">
        <f t="shared" si="8"/>
        <v>-</v>
      </c>
      <c r="W36" s="360"/>
    </row>
    <row r="37" spans="2:27" x14ac:dyDescent="0.45">
      <c r="B37" s="62">
        <v>15</v>
      </c>
      <c r="C37" s="124"/>
      <c r="D37" s="34" t="str">
        <f t="shared" si="9"/>
        <v>--</v>
      </c>
      <c r="E37" s="59" t="str">
        <f>IFERROR(IF(A29=0,HLOOKUP(D37,Declarations!$D$2:$S$102,A25,FALSE),HLOOKUP(VLOOKUP(D37,Teams!$V$2:$W$19,2,FALSE),Declarations!$D$2:$S$102,A25,FALSE)),"")</f>
        <v/>
      </c>
      <c r="F37" s="36" t="str">
        <f t="shared" si="6"/>
        <v>-</v>
      </c>
      <c r="G37" s="360"/>
      <c r="J37" s="62">
        <v>15</v>
      </c>
      <c r="K37" s="124"/>
      <c r="L37" s="34" t="str">
        <f t="shared" si="10"/>
        <v>--</v>
      </c>
      <c r="M37" s="59" t="str">
        <f>IFERROR(IF(I29=0,HLOOKUP(L37,Declarations!$D$2:$S$102,I25,FALSE),HLOOKUP(VLOOKUP(L37,Teams!$V$2:$W$19,2,FALSE),Declarations!$D$2:$S$102,I25,FALSE)),"")</f>
        <v/>
      </c>
      <c r="N37" s="36" t="str">
        <f t="shared" si="7"/>
        <v>-</v>
      </c>
      <c r="O37" s="360"/>
      <c r="R37" s="62">
        <v>15</v>
      </c>
      <c r="S37" s="124"/>
      <c r="T37" s="34" t="str">
        <f t="shared" si="11"/>
        <v>--</v>
      </c>
      <c r="U37" s="59" t="str">
        <f>IFERROR(IF(Q29=0,HLOOKUP(T37,Declarations!$D$2:$S$102,Q25,FALSE),HLOOKUP(VLOOKUP(T37,Teams!$V$2:$W$19,2,FALSE),Declarations!$D$2:$S$102,Q25,FALSE)),"")</f>
        <v/>
      </c>
      <c r="V37" s="36" t="str">
        <f t="shared" si="8"/>
        <v>-</v>
      </c>
      <c r="W37" s="360"/>
    </row>
    <row r="38" spans="2:27" x14ac:dyDescent="0.45">
      <c r="B38" s="62">
        <v>16</v>
      </c>
      <c r="C38" s="124"/>
      <c r="D38" s="34" t="str">
        <f t="shared" si="9"/>
        <v>--</v>
      </c>
      <c r="E38" s="59" t="str">
        <f>IFERROR(IF(A29=0,HLOOKUP(D38,Declarations!$D$2:$S$102,A25,FALSE),HLOOKUP(VLOOKUP(D38,Teams!$V$2:$W$19,2,FALSE),Declarations!$D$2:$S$102,A25,FALSE)),"")</f>
        <v/>
      </c>
      <c r="F38" s="36" t="str">
        <f t="shared" si="6"/>
        <v>-</v>
      </c>
      <c r="G38" s="360"/>
      <c r="J38" s="62">
        <v>16</v>
      </c>
      <c r="K38" s="124"/>
      <c r="L38" s="34" t="str">
        <f t="shared" si="10"/>
        <v>--</v>
      </c>
      <c r="M38" s="59" t="str">
        <f>IFERROR(IF(I29=0,HLOOKUP(L38,Declarations!$D$2:$S$102,I25,FALSE),HLOOKUP(VLOOKUP(L38,Teams!$V$2:$W$19,2,FALSE),Declarations!$D$2:$S$102,I25,FALSE)),"")</f>
        <v/>
      </c>
      <c r="N38" s="36" t="str">
        <f t="shared" si="7"/>
        <v>-</v>
      </c>
      <c r="O38" s="360"/>
      <c r="R38" s="62">
        <v>16</v>
      </c>
      <c r="S38" s="124"/>
      <c r="T38" s="34" t="str">
        <f t="shared" si="11"/>
        <v>--</v>
      </c>
      <c r="U38" s="59" t="str">
        <f>IFERROR(IF(Q29=0,HLOOKUP(T38,Declarations!$D$2:$S$102,Q25,FALSE),HLOOKUP(VLOOKUP(T38,Teams!$V$2:$W$19,2,FALSE),Declarations!$D$2:$S$102,Q25,FALSE)),"")</f>
        <v/>
      </c>
      <c r="V38" s="36" t="str">
        <f t="shared" si="8"/>
        <v>-</v>
      </c>
      <c r="W38" s="360"/>
    </row>
    <row r="41" spans="2:27" s="62" customFormat="1" x14ac:dyDescent="0.45">
      <c r="D41" s="35"/>
      <c r="E41" s="59"/>
      <c r="F41" s="36"/>
      <c r="G41" s="63"/>
      <c r="H41" s="59"/>
      <c r="L41" s="35"/>
      <c r="M41" s="59"/>
      <c r="N41" s="36"/>
      <c r="O41" s="63"/>
      <c r="P41" s="59"/>
      <c r="T41" s="35"/>
      <c r="U41" s="59"/>
      <c r="V41" s="36"/>
      <c r="W41" s="63"/>
      <c r="Y41" s="59"/>
      <c r="Z41" s="59"/>
      <c r="AA41" s="59"/>
    </row>
    <row r="42" spans="2:27" s="62" customFormat="1" x14ac:dyDescent="0.45">
      <c r="D42" s="35"/>
      <c r="E42" s="59"/>
      <c r="F42" s="36"/>
      <c r="G42" s="63"/>
      <c r="H42" s="59"/>
      <c r="L42" s="35"/>
      <c r="M42" s="59"/>
      <c r="N42" s="36"/>
      <c r="O42" s="63"/>
      <c r="P42" s="59"/>
      <c r="T42" s="35"/>
      <c r="U42" s="59"/>
      <c r="V42" s="36"/>
      <c r="W42" s="63"/>
      <c r="Y42" s="59"/>
      <c r="Z42" s="59"/>
      <c r="AA42" s="59"/>
    </row>
    <row r="43" spans="2:27" s="62" customFormat="1" x14ac:dyDescent="0.45">
      <c r="D43" s="35"/>
      <c r="E43" s="59"/>
      <c r="F43" s="36"/>
      <c r="G43" s="63"/>
      <c r="H43" s="59"/>
      <c r="L43" s="35"/>
      <c r="M43" s="59"/>
      <c r="N43" s="36"/>
      <c r="O43" s="63"/>
      <c r="P43" s="59"/>
      <c r="T43" s="35"/>
      <c r="U43" s="59"/>
      <c r="V43" s="36"/>
      <c r="W43" s="63"/>
      <c r="Y43" s="59"/>
      <c r="Z43" s="59"/>
      <c r="AA43" s="59"/>
    </row>
  </sheetData>
  <sheetProtection algorithmName="SHA-512" hashValue="+QPkYTgSt4AxdAlr/p4SSBWNxkemfRrNeLFoffJ0OkWt0eGrEQ0wjXES42oVc+I0rBUicDa0cTw8noTBLVKs7w==" saltValue="+UpcWL3ycANMSuFvO1EUBw==" spinCount="100000" sheet="1" objects="1" scenarios="1" formatCells="0" formatColumns="0" formatRows="0" sort="0" autoFilter="0"/>
  <conditionalFormatting sqref="C4:C19">
    <cfRule type="duplicateValues" dxfId="27" priority="6"/>
  </conditionalFormatting>
  <conditionalFormatting sqref="K4:K19">
    <cfRule type="duplicateValues" dxfId="26" priority="5"/>
  </conditionalFormatting>
  <conditionalFormatting sqref="S4:S19">
    <cfRule type="duplicateValues" dxfId="25" priority="4"/>
  </conditionalFormatting>
  <conditionalFormatting sqref="S23:S38">
    <cfRule type="duplicateValues" dxfId="24" priority="3"/>
  </conditionalFormatting>
  <conditionalFormatting sqref="K23:K38">
    <cfRule type="duplicateValues" dxfId="23" priority="2"/>
  </conditionalFormatting>
  <conditionalFormatting sqref="C23:C38">
    <cfRule type="duplicateValues" dxfId="22" priority="1"/>
  </conditionalFormatting>
  <dataValidations count="2">
    <dataValidation type="custom" allowBlank="1" showInputMessage="1" showErrorMessage="1" errorTitle="Field Performance" error="Input not allowed.  Please enter a value for the performance or X for a foul instead of NJ, NT, NP, NMR, NHC etc" promptTitle="Height Card Input" prompt="Enter either a numeric value or an X instead of NJ, NHR etc.  Enter 99 if event cancelled or 98 if no competitors declared" sqref="O23:O38 G4:G19 W4:W19 G23:G38 O4:O19 W23:W38" xr:uid="{00000000-0002-0000-1100-000000000000}">
      <formula1>OR(G4="X",T(G4)="")</formula1>
    </dataValidation>
    <dataValidation type="custom" allowBlank="1" showInputMessage="1" showErrorMessage="1" errorTitle="Height Card Position" error="Please do not use A or B.  Performances should be ranked for the number of competitors in the competition regardless of A or B position e.g. 1 to 12 for a 6 club match" promptTitle="Height Position Input" prompt="Enter ranked positions for whole (A&amp;B) match.  No A, B or '=' allowed.  For tied positons enter that position followed by .1 for the 1st occurrence, .2 for the 2nd occurrence and so on.  E.g. 2 tied 5th places are 5.1, 5.2; 3 tied 7th places 7.1, 7.2, 7.3" sqref="S23:S38 C4:C19 S4:S19 K4:K19 K23:K38 C23:C38" xr:uid="{00000000-0002-0000-1100-000001000000}">
      <formula1>T(C4)=""</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theme="8" tint="-0.249977111117893"/>
    <pageSetUpPr autoPageBreaks="0"/>
  </sheetPr>
  <dimension ref="A1:U44"/>
  <sheetViews>
    <sheetView showZeros="0" zoomScaleNormal="100" zoomScaleSheetLayoutView="100" workbookViewId="0">
      <pane ySplit="1" topLeftCell="A2" activePane="bottomLeft" state="frozen"/>
      <selection activeCell="A134" sqref="A134:XFD177"/>
      <selection pane="bottomLeft" activeCell="C4" sqref="C4"/>
    </sheetView>
  </sheetViews>
  <sheetFormatPr defaultColWidth="8.86328125" defaultRowHeight="11.65" x14ac:dyDescent="0.35"/>
  <cols>
    <col min="1" max="1" width="8.86328125" style="64" hidden="1" customWidth="1"/>
    <col min="2" max="2" width="3.86328125" style="64" customWidth="1"/>
    <col min="3" max="3" width="3.86328125" style="66" customWidth="1"/>
    <col min="4" max="4" width="20.86328125" style="89" customWidth="1"/>
    <col min="5" max="5" width="7.86328125" style="64" customWidth="1"/>
    <col min="6" max="6" width="7.1328125" style="110" customWidth="1"/>
    <col min="7" max="7" width="3.86328125" style="198" customWidth="1"/>
    <col min="8" max="8" width="1.86328125" style="64" customWidth="1"/>
    <col min="9" max="10" width="3.86328125" style="64" customWidth="1"/>
    <col min="11" max="11" width="20.86328125" style="89" customWidth="1"/>
    <col min="12" max="12" width="7.86328125" style="64" customWidth="1"/>
    <col min="13" max="13" width="7.1328125" style="109" bestFit="1" customWidth="1"/>
    <col min="14" max="14" width="3.86328125" style="200" customWidth="1"/>
    <col min="15" max="15" width="8.86328125" style="64"/>
    <col min="16" max="17" width="0" style="64" hidden="1" customWidth="1"/>
    <col min="18" max="18" width="8.86328125" style="219" customWidth="1"/>
    <col min="19" max="19" width="8.86328125" style="64" customWidth="1"/>
    <col min="20" max="16384" width="8.86328125" style="64"/>
  </cols>
  <sheetData>
    <row r="1" spans="1:21" ht="45" customHeight="1" x14ac:dyDescent="0.35">
      <c r="A1" s="201" t="str">
        <f>"UK ATHLETICS :: YOUTH DEVELOPMENT LEAGUE 2017 "</f>
        <v xml:space="preserve">UK ATHLETICS :: YOUTH DEVELOPMENT LEAGUE 2017 </v>
      </c>
      <c r="B1" s="223" t="str">
        <f>Dashboard!E1</f>
        <v>LOWER NORTH East 1 @ Doncaster</v>
      </c>
      <c r="D1" s="223"/>
      <c r="F1" s="67"/>
      <c r="K1" s="202"/>
      <c r="L1" s="497">
        <f>Dashboard!E2</f>
        <v>43582</v>
      </c>
      <c r="M1" s="497"/>
      <c r="P1" s="82" t="s">
        <v>253</v>
      </c>
      <c r="Q1" s="70"/>
      <c r="R1" s="203">
        <f ca="1">SUM(R2:R214)</f>
        <v>4</v>
      </c>
      <c r="S1" s="82">
        <f ca="1">SUM(S2:S214)</f>
        <v>0</v>
      </c>
    </row>
    <row r="2" spans="1:21" x14ac:dyDescent="0.35">
      <c r="A2" s="111" t="s">
        <v>309</v>
      </c>
      <c r="B2" s="112" t="str">
        <f>IFERROR(VLOOKUP(A2,timetables,2,FALSE)&amp;" "&amp;VLOOKUP(A2,timetables,3,FALSE)&amp;" A","")</f>
        <v>1200m U13 Girls A</v>
      </c>
      <c r="C2" s="112"/>
      <c r="F2" s="113" t="str">
        <f ca="1">IFERROR(IF(OR(F4=0,F4=""),"",IF(F4&lt;A11,"REC",IF(F4=A11,"=Rec",""))),"")</f>
        <v/>
      </c>
      <c r="I2" s="114" t="str">
        <f>IFERROR(VLOOKUP(A2,timetables,2,FALSE)&amp;" "&amp;VLOOKUP(A2,timetables,3,FALSE)&amp;" B","")</f>
        <v>1200m U13 Girls B</v>
      </c>
      <c r="J2" s="115"/>
      <c r="P2" s="66" t="s">
        <v>53</v>
      </c>
      <c r="Q2" s="66" t="s">
        <v>54</v>
      </c>
    </row>
    <row r="3" spans="1:21" x14ac:dyDescent="0.35">
      <c r="A3" s="82"/>
      <c r="B3" s="45" t="s">
        <v>230</v>
      </c>
      <c r="C3" s="45" t="s">
        <v>183</v>
      </c>
      <c r="D3" s="182" t="s">
        <v>227</v>
      </c>
      <c r="E3" s="47" t="s">
        <v>228</v>
      </c>
      <c r="F3" s="150" t="s">
        <v>229</v>
      </c>
      <c r="G3" s="199" t="s">
        <v>55</v>
      </c>
      <c r="H3" s="47"/>
      <c r="I3" s="45" t="s">
        <v>230</v>
      </c>
      <c r="J3" s="45" t="s">
        <v>183</v>
      </c>
      <c r="K3" s="182" t="s">
        <v>227</v>
      </c>
      <c r="L3" s="47" t="s">
        <v>228</v>
      </c>
      <c r="M3" s="150" t="s">
        <v>229</v>
      </c>
      <c r="N3" s="199" t="s">
        <v>55</v>
      </c>
      <c r="P3" s="66">
        <f>IFERROR(SEARCH("NS",B2),0)</f>
        <v>0</v>
      </c>
      <c r="T3" s="67"/>
    </row>
    <row r="4" spans="1:21" x14ac:dyDescent="0.35">
      <c r="A4" s="116">
        <f>VLOOKUP(A2,'Middle D'!$A:$C,2,FALSE)</f>
        <v>19</v>
      </c>
      <c r="B4" s="117">
        <v>1</v>
      </c>
      <c r="C4" s="117">
        <f ca="1">IFERROR(INDIRECT(CONCATENATE("'Middle D'!E",A4)),"")</f>
        <v>3</v>
      </c>
      <c r="D4" s="183" t="str">
        <f ca="1">IFERROR(INDIRECT(CONCATENATE("'Middle D'!F",A4)),"")</f>
        <v>LANGAN Lottie</v>
      </c>
      <c r="E4" s="64" t="str">
        <f t="shared" ref="E4:E11" ca="1" si="0">IFERROR(VLOOKUP(C4,teamlookup,5,FALSE),"")</f>
        <v>York</v>
      </c>
      <c r="F4" s="109">
        <f ca="1">IFERROR(INDIRECT(CONCATENATE("'Middle D'!h",A4)),"")</f>
        <v>2.9884259259259265E-3</v>
      </c>
      <c r="G4" s="198" t="str">
        <f ca="1">IFERROR(IF(OR(F4=0,F4="",T4&gt;$A9-0.01),"",VLOOKUP(VLOOKUP(T4,$A$5:$B$9,2,TRUE),Points!$H$7:$I$10,2,FALSE)),"")</f>
        <v/>
      </c>
      <c r="H4" s="67"/>
      <c r="I4" s="117">
        <v>1</v>
      </c>
      <c r="J4" s="117">
        <f ca="1">IFERROR(INDIRECT(CONCATENATE("'Middle D'!E",A4+9)),"")</f>
        <v>33</v>
      </c>
      <c r="K4" s="183" t="str">
        <f ca="1">IFERROR(INDIRECT(CONCATENATE("'Middle D'!F",A4+9)),"")</f>
        <v>KENNEDY Amy</v>
      </c>
      <c r="L4" s="64" t="str">
        <f t="shared" ref="L4:L11" ca="1" si="1">IFERROR(VLOOKUP(J4,teamlookup,5,FALSE),"")</f>
        <v>York</v>
      </c>
      <c r="M4" s="109">
        <f ca="1">IFERROR(INDIRECT(CONCATENATE("'Middle D'!h",A4+9)),"")</f>
        <v>3.0185185185185185E-3</v>
      </c>
      <c r="N4" s="198">
        <f ca="1">IFERROR(IF(OR(M4=0,M4="",M4&gt;$A9-0.01),"",VLOOKUP(VLOOKUP(U4,$A$5:$B$9,2,TRUE),Points!$H$7:$I$10,2,FALSE)),"")</f>
        <v>1</v>
      </c>
      <c r="P4" s="66">
        <f ca="1">IFERROR(IF(OR(C4=0,C4="",F4=0,F4="",$P3&lt;&gt;0,LEFT(F4,1)="D"),0,VLOOKUP(B4,INDIRECT(MatchDay!$W$2),2,FALSE)),"")</f>
        <v>8</v>
      </c>
      <c r="Q4" s="66">
        <f ca="1">IFERROR(IF(OR(J4=0,J4="",M4=0,M4="",$P3&lt;&gt;0,LEFT(M4,1)="D"),0,VLOOKUP(I4,INDIRECT(MatchDay!$W$2),3,FALSE)),"")</f>
        <v>6</v>
      </c>
      <c r="R4" s="219">
        <f ca="1">COUNTIF(C4,"&gt;0")</f>
        <v>1</v>
      </c>
      <c r="S4" s="66">
        <f ca="1">IFERROR(IF(C4&gt;88,1,0),0)</f>
        <v>0</v>
      </c>
      <c r="T4" s="64">
        <f>'Middle D'!H2</f>
        <v>4.1820000000000004</v>
      </c>
      <c r="U4" s="64">
        <f>'Middle D'!H9</f>
        <v>0</v>
      </c>
    </row>
    <row r="5" spans="1:21" x14ac:dyDescent="0.35">
      <c r="A5" s="64">
        <v>0</v>
      </c>
      <c r="B5" s="117">
        <v>2</v>
      </c>
      <c r="C5" s="117">
        <f ca="1">IFERROR(INDIRECT(CONCATENATE("'Middle D'!E",A4+1)),"")</f>
        <v>4</v>
      </c>
      <c r="D5" s="183" t="str">
        <f ca="1">IFERROR(INDIRECT(CONCATENATE("'Middle D'!F",A4+1)),"")</f>
        <v>PETTIT Grace</v>
      </c>
      <c r="E5" s="64" t="str">
        <f t="shared" ca="1" si="0"/>
        <v>M'bro</v>
      </c>
      <c r="F5" s="109">
        <f ca="1">IFERROR(INDIRECT(CONCATENATE("'Middle D'!h",A4+1)),"")</f>
        <v>3.1608796296296298E-3</v>
      </c>
      <c r="G5" s="198" t="str">
        <f ca="1">IFERROR(IF(OR(F5=0,F5="",T5&gt;$A9-0.01),"",VLOOKUP(VLOOKUP(T5,$A$5:$B$9,2,TRUE),Points!$H$7:$I$10,2,FALSE)),"")</f>
        <v/>
      </c>
      <c r="H5" s="67"/>
      <c r="I5" s="117">
        <v>2</v>
      </c>
      <c r="J5" s="117">
        <f ca="1">IFERROR(INDIRECT(CONCATENATE("'Middle D'!E",A4+10)),"")</f>
        <v>1</v>
      </c>
      <c r="K5" s="183" t="str">
        <f ca="1">IFERROR(INDIRECT(CONCATENATE("'Middle D'!F",A4+10)),"")</f>
        <v>GRIFFIN Lydia</v>
      </c>
      <c r="L5" s="64" t="str">
        <f t="shared" ca="1" si="1"/>
        <v>C'field</v>
      </c>
      <c r="M5" s="109">
        <f ca="1">IFERROR(INDIRECT(CONCATENATE("'Middle D'!h",A4+10)),"")</f>
        <v>3.34837962962963E-3</v>
      </c>
      <c r="N5" s="198">
        <f ca="1">IFERROR(IF(OR(M5=0,M5="",M5&gt;$A9-0.01),"",VLOOKUP(VLOOKUP(U5,$A$5:$B$9,2,TRUE),Points!$H$7:$I$10,2,FALSE)),"")</f>
        <v>1</v>
      </c>
      <c r="P5" s="66">
        <f ca="1">IFERROR(IF(OR(C5=0,C5="",F5=0,F5="",$P3&lt;&gt;0,LEFT(F5,1)="D"),0,VLOOKUP(B5,INDIRECT(MatchDay!$W$2),2,FALSE)),"")</f>
        <v>6</v>
      </c>
      <c r="Q5" s="66">
        <f ca="1">IFERROR(IF(OR(J5=0,J5="",M5=0,M5="",$P3&lt;&gt;0,LEFT(M5,1)="D"),0,VLOOKUP(I5,INDIRECT(MatchDay!$W$2),3,FALSE)),"")</f>
        <v>4</v>
      </c>
      <c r="T5" s="64">
        <f>'Middle D'!H3</f>
        <v>4.2080000000000002</v>
      </c>
      <c r="U5" s="64">
        <f>'Middle D'!H10</f>
        <v>0</v>
      </c>
    </row>
    <row r="6" spans="1:21" x14ac:dyDescent="0.35">
      <c r="A6" s="118">
        <f>IFERROR(VLOOKUP(A2,standards,3,FALSE)+0.01,"-")</f>
        <v>3.57</v>
      </c>
      <c r="B6" s="117">
        <v>3</v>
      </c>
      <c r="C6" s="117">
        <f ca="1">IFERROR(INDIRECT(CONCATENATE("'Middle D'!E",A4+2)),"")</f>
        <v>11</v>
      </c>
      <c r="D6" s="183" t="str">
        <f ca="1">IFERROR(INDIRECT(CONCATENATE("'Middle D'!F",A4+2)),"")</f>
        <v>HELPS Macy</v>
      </c>
      <c r="E6" s="64" t="str">
        <f t="shared" ca="1" si="0"/>
        <v>C'field</v>
      </c>
      <c r="F6" s="109">
        <f ca="1">IFERROR(INDIRECT(CONCATENATE("'Middle D'!h",A4+2)),"")</f>
        <v>3.2314814814814819E-3</v>
      </c>
      <c r="G6" s="198" t="str">
        <f ca="1">IFERROR(IF(OR(F6=0,F6="",T6&gt;$A9-0.01),"",VLOOKUP(VLOOKUP(T6,$A$5:$B$9,2,TRUE),Points!$H$7:$I$10,2,FALSE)),"")</f>
        <v/>
      </c>
      <c r="H6" s="67"/>
      <c r="I6" s="117">
        <v>3</v>
      </c>
      <c r="J6" s="117" t="str">
        <f ca="1">IFERROR(INDIRECT(CONCATENATE("'Middle D'!E",A4+11)),"")</f>
        <v/>
      </c>
      <c r="K6" s="183" t="str">
        <f ca="1">IFERROR(INDIRECT(CONCATENATE("'Middle D'!F",A4+11)),"")</f>
        <v/>
      </c>
      <c r="L6" s="64" t="str">
        <f t="shared" ca="1" si="1"/>
        <v/>
      </c>
      <c r="M6" s="109" t="str">
        <f ca="1">IFERROR(INDIRECT(CONCATENATE("'Middle D'!h",A4+11)),"")</f>
        <v/>
      </c>
      <c r="N6" s="198" t="str">
        <f ca="1">IFERROR(IF(OR(M6=0,M6="",M6&gt;$A9-0.01),"",VLOOKUP(VLOOKUP(U6,$A$5:$B$9,2,TRUE),Points!$H$7:$I$10,2,FALSE)),"")</f>
        <v/>
      </c>
      <c r="P6" s="66">
        <f ca="1">IFERROR(IF(OR(C6=0,C6="",F6=0,F6="",$P3&lt;&gt;0,LEFT(F6,1)="D"),0,VLOOKUP(B6,INDIRECT(MatchDay!$W$2),2,FALSE)),"")</f>
        <v>5</v>
      </c>
      <c r="Q6" s="66">
        <f ca="1">IFERROR(IF(OR(J6=0,J6="",M6=0,M6="",$P3&lt;&gt;0,LEFT(M6,1)="D"),0,VLOOKUP(I6,INDIRECT(MatchDay!$W$2),3,FALSE)),"")</f>
        <v>0</v>
      </c>
      <c r="T6" s="64">
        <f>'Middle D'!H4</f>
        <v>4.3310000000000004</v>
      </c>
      <c r="U6" s="64">
        <f>'Middle D'!H11</f>
        <v>0</v>
      </c>
    </row>
    <row r="7" spans="1:21" x14ac:dyDescent="0.35">
      <c r="A7" s="118">
        <f>IFERROR(VLOOKUP(A2,standards,4,FALSE)+0.01,"-")</f>
        <v>4.01</v>
      </c>
      <c r="B7" s="117">
        <v>4</v>
      </c>
      <c r="C7" s="117">
        <f ca="1">IFERROR(INDIRECT(CONCATENATE("'Middle D'!E",A4+3)),"")</f>
        <v>5</v>
      </c>
      <c r="D7" s="183" t="str">
        <f ca="1">IFERROR(INDIRECT(CONCATENATE("'Middle D'!F",A4+3)),"")</f>
        <v>CRESSEY Evie</v>
      </c>
      <c r="E7" s="64" t="str">
        <f t="shared" ca="1" si="0"/>
        <v>Scun</v>
      </c>
      <c r="F7" s="109">
        <f ca="1">IFERROR(INDIRECT(CONCATENATE("'Middle D'!h",A4+3)),"")</f>
        <v>3.4537037037037036E-3</v>
      </c>
      <c r="G7" s="198" t="str">
        <f ca="1">IFERROR(IF(OR(F7=0,F7="",T7&gt;$A9-0.01),"",VLOOKUP(VLOOKUP(T7,$A$5:$B$9,2,TRUE),Points!$H$7:$I$10,2,FALSE)),"")</f>
        <v/>
      </c>
      <c r="H7" s="67"/>
      <c r="I7" s="117">
        <v>4</v>
      </c>
      <c r="J7" s="117" t="str">
        <f ca="1">IFERROR(INDIRECT(CONCATENATE("'Middle D'!E",A4+12)),"")</f>
        <v/>
      </c>
      <c r="K7" s="183" t="str">
        <f ca="1">IFERROR(INDIRECT(CONCATENATE("'Middle D'!F",A4+12)),"")</f>
        <v/>
      </c>
      <c r="L7" s="64" t="str">
        <f t="shared" ca="1" si="1"/>
        <v/>
      </c>
      <c r="M7" s="109" t="str">
        <f ca="1">IFERROR(INDIRECT(CONCATENATE("'Middle D'!h",A4+12)),"")</f>
        <v/>
      </c>
      <c r="N7" s="198" t="str">
        <f ca="1">IFERROR(IF(OR(M7=0,M7="",M7&gt;$A9-0.01),"",VLOOKUP(VLOOKUP(U7,$A$5:$B$9,2,TRUE),Points!$H$7:$I$10,2,FALSE)),"")</f>
        <v/>
      </c>
      <c r="P7" s="66">
        <f ca="1">IFERROR(IF(OR(C7=0,C7="",F7=0,F7="",$P3&lt;&gt;0,LEFT(F7,1)="D"),0,VLOOKUP(B7,INDIRECT(MatchDay!$W$2),2,FALSE)),"")</f>
        <v>4</v>
      </c>
      <c r="Q7" s="66">
        <f ca="1">IFERROR(IF(OR(J7=0,J7="",M7=0,M7="",$P3&lt;&gt;0,LEFT(M7,1)="D"),0,VLOOKUP(I7,INDIRECT(MatchDay!$W$2),3,FALSE)),"")</f>
        <v>0</v>
      </c>
      <c r="T7" s="64">
        <f>'Middle D'!H5</f>
        <v>4.3920000000000003</v>
      </c>
      <c r="U7" s="64">
        <f>'Middle D'!H12</f>
        <v>0</v>
      </c>
    </row>
    <row r="8" spans="1:21" x14ac:dyDescent="0.35">
      <c r="A8" s="118">
        <f>IFERROR(VLOOKUP(A2,standards,5,FALSE)+0.01,"-")</f>
        <v>4.0599999999999996</v>
      </c>
      <c r="B8" s="117">
        <v>5</v>
      </c>
      <c r="C8" s="117" t="str">
        <f ca="1">IFERROR(INDIRECT(CONCATENATE("'Middle D'!E",A4+4)),"")</f>
        <v/>
      </c>
      <c r="D8" s="183" t="str">
        <f ca="1">IFERROR(INDIRECT(CONCATENATE("'Middle D'!F",A4+4)),"")</f>
        <v/>
      </c>
      <c r="E8" s="64" t="str">
        <f t="shared" ca="1" si="0"/>
        <v/>
      </c>
      <c r="F8" s="109" t="str">
        <f ca="1">IFERROR(INDIRECT(CONCATENATE("'Middle D'!h",A4+4)),"")</f>
        <v/>
      </c>
      <c r="G8" s="198" t="str">
        <f ca="1">IFERROR(IF(OR(F8=0,F8="",T8&gt;$A9-0.01),"",VLOOKUP(VLOOKUP(T8,$A$5:$B$9,2,TRUE),Points!$H$7:$I$10,2,FALSE)),"")</f>
        <v/>
      </c>
      <c r="H8" s="67"/>
      <c r="I8" s="117">
        <v>5</v>
      </c>
      <c r="J8" s="117" t="str">
        <f ca="1">IFERROR(INDIRECT(CONCATENATE("'Middle D'!E",A4+13)),"")</f>
        <v/>
      </c>
      <c r="K8" s="183" t="str">
        <f ca="1">IFERROR(INDIRECT(CONCATENATE("'Middle D'!F",A4+13)),"")</f>
        <v/>
      </c>
      <c r="L8" s="64" t="str">
        <f t="shared" ca="1" si="1"/>
        <v/>
      </c>
      <c r="M8" s="109" t="str">
        <f ca="1">IFERROR(INDIRECT(CONCATENATE("'Middle D'!h",A4+13)),"")</f>
        <v/>
      </c>
      <c r="N8" s="198" t="str">
        <f ca="1">IFERROR(IF(OR(M8=0,M8="",M8&gt;$A9-0.01),"",VLOOKUP(VLOOKUP(U8,$A$5:$B$9,2,TRUE),Points!$H$7:$I$10,2,FALSE)),"")</f>
        <v/>
      </c>
      <c r="P8" s="66">
        <f ca="1">IFERROR(IF(OR(C8=0,C8="",F8=0,F8="",$P3&lt;&gt;0,LEFT(F8,1)="D"),0,VLOOKUP(B8,INDIRECT(MatchDay!$W$2),2,FALSE)),"")</f>
        <v>0</v>
      </c>
      <c r="Q8" s="66">
        <f ca="1">IFERROR(IF(OR(J8=0,J8="",M8=0,M8="",$P3&lt;&gt;0,LEFT(M8,1)="D"),0,VLOOKUP(I8,INDIRECT(MatchDay!$W$2),3,FALSE)),"")</f>
        <v>0</v>
      </c>
      <c r="T8" s="64">
        <f>'Middle D'!H6</f>
        <v>4.4930000000000003</v>
      </c>
      <c r="U8" s="64">
        <f>'Middle D'!H13</f>
        <v>0</v>
      </c>
    </row>
    <row r="9" spans="1:21" x14ac:dyDescent="0.35">
      <c r="A9" s="118">
        <f>IFERROR(VLOOKUP(A2,standards,6,FALSE)+0.01,"-")</f>
        <v>4.1449999999999996</v>
      </c>
      <c r="B9" s="117">
        <v>6</v>
      </c>
      <c r="C9" s="117" t="str">
        <f ca="1">IFERROR(INDIRECT(CONCATENATE("'Middle D'!E",A4+5)),"")</f>
        <v/>
      </c>
      <c r="D9" s="183" t="str">
        <f ca="1">IFERROR(INDIRECT(CONCATENATE("'Middle D'!F",A4+5)),"")</f>
        <v/>
      </c>
      <c r="E9" s="64" t="str">
        <f t="shared" ca="1" si="0"/>
        <v/>
      </c>
      <c r="F9" s="109" t="str">
        <f ca="1">IFERROR(INDIRECT(CONCATENATE("'Middle D'!h",A4+5)),"")</f>
        <v/>
      </c>
      <c r="G9" s="198" t="str">
        <f ca="1">IFERROR(IF(OR(F9=0,F9="",T9&gt;$A9-0.01),"",VLOOKUP(VLOOKUP(T9,$A$5:$B$9,2,TRUE),Points!$H$7:$I$10,2,FALSE)),"")</f>
        <v/>
      </c>
      <c r="H9" s="67"/>
      <c r="I9" s="117">
        <v>6</v>
      </c>
      <c r="J9" s="117" t="str">
        <f ca="1">IFERROR(INDIRECT(CONCATENATE("'Middle D'!E",A4+14)),"")</f>
        <v/>
      </c>
      <c r="K9" s="183" t="str">
        <f ca="1">IFERROR(INDIRECT(CONCATENATE("'Middle D'!F",A4+14)),"")</f>
        <v/>
      </c>
      <c r="L9" s="64" t="str">
        <f t="shared" ca="1" si="1"/>
        <v/>
      </c>
      <c r="M9" s="109" t="str">
        <f ca="1">IFERROR(INDIRECT(CONCATENATE("'Middle D'!h",A4+14)),"")</f>
        <v/>
      </c>
      <c r="N9" s="198" t="str">
        <f ca="1">IFERROR(IF(OR(M9=0,M9="",M9&gt;$A9-0.01),"",VLOOKUP(VLOOKUP(U9,$A$5:$B$9,2,TRUE),Points!$H$7:$I$10,2,FALSE)),"")</f>
        <v/>
      </c>
      <c r="P9" s="66">
        <f ca="1">IFERROR(IF(OR(C9=0,C9="",F9=0,F9="",$P3&lt;&gt;0,LEFT(F9,1)="D"),0,VLOOKUP(B9,INDIRECT(MatchDay!$W$2),2,FALSE)),"")</f>
        <v>0</v>
      </c>
      <c r="Q9" s="66">
        <f ca="1">IFERROR(IF(OR(J9=0,J9="",M9=0,M9="",$P3&lt;&gt;0,LEFT(M9,1)="D"),0,VLOOKUP(I9,INDIRECT(MatchDay!$W$2),3,FALSE)),"")</f>
        <v>0</v>
      </c>
      <c r="T9" s="64">
        <f>'Middle D'!H7</f>
        <v>4.5839999999999996</v>
      </c>
      <c r="U9" s="64">
        <f>'Middle D'!H14</f>
        <v>0</v>
      </c>
    </row>
    <row r="10" spans="1:21" x14ac:dyDescent="0.35">
      <c r="A10" s="116" t="s">
        <v>204</v>
      </c>
      <c r="B10" s="117">
        <v>7</v>
      </c>
      <c r="C10" s="117" t="str">
        <f ca="1">IFERROR(INDIRECT(CONCATENATE("'Middle D'!E",A4+6)),"")</f>
        <v/>
      </c>
      <c r="D10" s="183" t="str">
        <f ca="1">IFERROR(INDIRECT(CONCATENATE("'Middle D'!F",A4+6)),"")</f>
        <v/>
      </c>
      <c r="E10" s="64" t="str">
        <f t="shared" ca="1" si="0"/>
        <v/>
      </c>
      <c r="F10" s="109" t="str">
        <f ca="1">IFERROR(INDIRECT(CONCATENATE("'Middle D'!h",A4+6)),"")</f>
        <v/>
      </c>
      <c r="G10" s="198" t="str">
        <f ca="1">IFERROR(IF(OR(F10=0,F10="",T10&gt;$A9-0.01),"",VLOOKUP(VLOOKUP(T10,$A$5:$B$9,2,TRUE),Points!$H$7:$I$10,2,FALSE)),"")</f>
        <v/>
      </c>
      <c r="H10" s="67"/>
      <c r="I10" s="117">
        <v>7</v>
      </c>
      <c r="J10" s="117" t="str">
        <f ca="1">IFERROR(INDIRECT(CONCATENATE("'Middle D'!E",A4+15)),"")</f>
        <v/>
      </c>
      <c r="K10" s="183" t="str">
        <f ca="1">IFERROR(INDIRECT(CONCATENATE("'Middle D'!F",A4+15)),"")</f>
        <v/>
      </c>
      <c r="L10" s="64" t="str">
        <f t="shared" ca="1" si="1"/>
        <v/>
      </c>
      <c r="M10" s="109" t="str">
        <f ca="1">IFERROR(INDIRECT(CONCATENATE("'Middle D'!h",A4+15)),"")</f>
        <v/>
      </c>
      <c r="N10" s="198" t="str">
        <f ca="1">IFERROR(IF(OR(M10=0,M10="",M10&gt;$A9-0.01),"",VLOOKUP(VLOOKUP(U10,$A$5:$B$9,2,TRUE),Points!$H$7:$I$10,2,FALSE)),"")</f>
        <v/>
      </c>
      <c r="P10" s="66">
        <f ca="1">IFERROR(IF(OR(C10=0,C10="",F10=0,F10="",$P3&lt;&gt;0,LEFT(F10,1)="D"),0,VLOOKUP(B10,INDIRECT(MatchDay!$W$2),2,FALSE)),"")</f>
        <v>0</v>
      </c>
      <c r="Q10" s="66">
        <f ca="1">IFERROR(IF(OR(J10=0,J10="",M10=0,M10="",$P3&lt;&gt;0,LEFT(M10,1)="D"),0,VLOOKUP(I10,INDIRECT(MatchDay!$W$2),3,FALSE)),"")</f>
        <v>0</v>
      </c>
      <c r="T10" s="64">
        <f>'Middle D'!H8</f>
        <v>0</v>
      </c>
      <c r="U10" s="64">
        <f>'Middle D'!H15</f>
        <v>0</v>
      </c>
    </row>
    <row r="11" spans="1:21" x14ac:dyDescent="0.35">
      <c r="A11" s="303">
        <f>IFERROR(VLOOKUP(A2,records,5,FALSE),"")</f>
        <v>2.5833333333333337E-3</v>
      </c>
      <c r="B11" s="117">
        <v>8</v>
      </c>
      <c r="C11" s="117" t="str">
        <f ca="1">IFERROR(INDIRECT(CONCATENATE("'Middle D'!E",A4+7)),"")</f>
        <v/>
      </c>
      <c r="D11" s="183" t="str">
        <f ca="1">IFERROR(INDIRECT(CONCATENATE("'Middle D'!F",A4+7)),"")</f>
        <v/>
      </c>
      <c r="E11" s="64" t="str">
        <f t="shared" ca="1" si="0"/>
        <v/>
      </c>
      <c r="F11" s="109" t="str">
        <f ca="1">IFERROR(INDIRECT(CONCATENATE("'Middle D'!h",A4+7)),"")</f>
        <v/>
      </c>
      <c r="G11" s="198" t="str">
        <f ca="1">IFERROR(IF(OR(F11=0,F11="",T11&gt;$A9-0.01),"",VLOOKUP(VLOOKUP(T11,$A$5:$B$9,2,TRUE),Points!$H$7:$I$10,2,FALSE)),"")</f>
        <v/>
      </c>
      <c r="H11" s="67"/>
      <c r="I11" s="117">
        <v>8</v>
      </c>
      <c r="J11" s="117" t="str">
        <f ca="1">IFERROR(INDIRECT(CONCATENATE("'Middle D'!E",A4+16)),"")</f>
        <v/>
      </c>
      <c r="K11" s="183" t="str">
        <f ca="1">IFERROR(INDIRECT(CONCATENATE("'Middle D'!F",A4+16)),"")</f>
        <v/>
      </c>
      <c r="L11" s="64" t="str">
        <f t="shared" ca="1" si="1"/>
        <v/>
      </c>
      <c r="M11" s="109" t="str">
        <f ca="1">IFERROR(INDIRECT(CONCATENATE("'Middle D'!h",A4+16)),"")</f>
        <v/>
      </c>
      <c r="N11" s="198" t="str">
        <f ca="1">IFERROR(IF(OR(M11=0,M11="",M11&gt;$A9-0.01),"",VLOOKUP(VLOOKUP(U11,$A$5:$B$9,2,TRUE),Points!$H$7:$I$10,2,FALSE)),"")</f>
        <v/>
      </c>
      <c r="P11" s="66">
        <f ca="1">IFERROR(IF(OR(C11=0,C11="",F11=0,F11="",$P3&lt;&gt;0,LEFT(F11,1)="D"),0,VLOOKUP(B11,INDIRECT(MatchDay!$W$2),2,FALSE)),"")</f>
        <v>0</v>
      </c>
      <c r="Q11" s="66">
        <f ca="1">IFERROR(IF(OR(J11=0,J11="",M11=0,M11="",$P3&lt;&gt;0,LEFT(M11,1)="D"),0,VLOOKUP(I11,INDIRECT(MatchDay!$W$2),3,FALSE)),"")</f>
        <v>0</v>
      </c>
      <c r="U11" s="64">
        <f>'Middle D'!H16</f>
        <v>0</v>
      </c>
    </row>
    <row r="12" spans="1:21" x14ac:dyDescent="0.35">
      <c r="F12" s="304"/>
      <c r="M12" s="302"/>
    </row>
    <row r="13" spans="1:21" x14ac:dyDescent="0.35">
      <c r="A13" s="111" t="s">
        <v>310</v>
      </c>
      <c r="B13" s="112" t="str">
        <f>IFERROR(VLOOKUP(A13,timetables,2,FALSE)&amp;" "&amp;VLOOKUP(A13,timetables,3,FALSE)&amp;" A","")</f>
        <v>1500m U13 Boys A</v>
      </c>
      <c r="C13" s="112"/>
      <c r="F13" s="305" t="str">
        <f ca="1">IFERROR(IF(OR(F15=0,F15=""),"",IF(F15&lt;A22,"REC",IF(F15=A22,"=Rec",""))),"")</f>
        <v/>
      </c>
      <c r="I13" s="114" t="str">
        <f>IFERROR(VLOOKUP(A13,timetables,2,FALSE)&amp;" "&amp;VLOOKUP(A13,timetables,3,FALSE)&amp;" B","")</f>
        <v>1500m U13 Boys B</v>
      </c>
      <c r="J13" s="115"/>
      <c r="M13" s="302"/>
      <c r="P13" s="66" t="s">
        <v>53</v>
      </c>
      <c r="Q13" s="66" t="s">
        <v>54</v>
      </c>
    </row>
    <row r="14" spans="1:21" x14ac:dyDescent="0.35">
      <c r="A14" s="82"/>
      <c r="B14" s="45" t="s">
        <v>230</v>
      </c>
      <c r="C14" s="45" t="s">
        <v>183</v>
      </c>
      <c r="D14" s="182" t="s">
        <v>227</v>
      </c>
      <c r="E14" s="47" t="s">
        <v>228</v>
      </c>
      <c r="F14" s="306" t="s">
        <v>229</v>
      </c>
      <c r="G14" s="199" t="s">
        <v>55</v>
      </c>
      <c r="H14" s="47"/>
      <c r="I14" s="45" t="s">
        <v>230</v>
      </c>
      <c r="J14" s="45" t="s">
        <v>183</v>
      </c>
      <c r="K14" s="182" t="s">
        <v>227</v>
      </c>
      <c r="L14" s="47" t="s">
        <v>228</v>
      </c>
      <c r="M14" s="306" t="s">
        <v>229</v>
      </c>
      <c r="N14" s="199" t="s">
        <v>55</v>
      </c>
      <c r="P14" s="66">
        <f>IFERROR(SEARCH("NS",B13),0)</f>
        <v>0</v>
      </c>
      <c r="T14" s="67"/>
    </row>
    <row r="15" spans="1:21" x14ac:dyDescent="0.35">
      <c r="A15" s="116">
        <f>VLOOKUP(A13,'Middle D'!$A:$C,2,FALSE)</f>
        <v>55</v>
      </c>
      <c r="B15" s="117">
        <v>1</v>
      </c>
      <c r="C15" s="117">
        <f ca="1">IFERROR(INDIRECT(CONCATENATE("'Middle D'!E",A15)),"")</f>
        <v>4</v>
      </c>
      <c r="D15" s="183" t="str">
        <f ca="1">IFERROR(INDIRECT(CONCATENATE("'Middle D'!F",A15)),"")</f>
        <v>O'HARE Christy</v>
      </c>
      <c r="E15" s="64" t="str">
        <f t="shared" ref="E15:E22" ca="1" si="2">IFERROR(VLOOKUP(C15,teamlookup,5,FALSE),"")</f>
        <v>M'bro</v>
      </c>
      <c r="F15" s="109">
        <f ca="1">IFERROR(INDIRECT(CONCATENATE("'Middle D'!h",A15)),"")</f>
        <v>3.4664351851851852E-3</v>
      </c>
      <c r="G15" s="198" t="str">
        <f ca="1">IFERROR(IF(OR(F15=0,F15="",T15&gt;$A$20-0.01),"",VLOOKUP(VLOOKUP(T15,$A$16:$B$20,2,TRUE),Points!$H$7:$I$10,2,FALSE)),"")</f>
        <v/>
      </c>
      <c r="H15" s="67"/>
      <c r="I15" s="117">
        <v>1</v>
      </c>
      <c r="J15" s="117">
        <f ca="1">IFERROR(INDIRECT(CONCATENATE("'Middle D'!E",A15+9)),"")</f>
        <v>44</v>
      </c>
      <c r="K15" s="183" t="str">
        <f ca="1">IFERROR(INDIRECT(CONCATENATE("'Middle D'!F",A15+9)),"")</f>
        <v>MARRON Ethan</v>
      </c>
      <c r="L15" s="64" t="str">
        <f t="shared" ref="L15:L22" ca="1" si="3">IFERROR(VLOOKUP(J15,teamlookup,5,FALSE),"")</f>
        <v>M'bro</v>
      </c>
      <c r="M15" s="109">
        <f ca="1">IFERROR(INDIRECT(CONCATENATE("'Middle D'!h",A15+9)),"")</f>
        <v>3.7465277777777774E-3</v>
      </c>
      <c r="N15" s="198" t="str">
        <f ca="1">IFERROR(IF(OR(M15=0,M15="",M15&gt;$A$20-0.01),"",VLOOKUP(VLOOKUP(U15,$A$16:$B$20,2,TRUE),Points!$H$7:$I$10,2,FALSE)),"")</f>
        <v/>
      </c>
      <c r="P15" s="66">
        <f ca="1">IFERROR(IF(OR(C15=0,C15="",F15=0,F15="",$P14&lt;&gt;0,LEFT(F15,1)="D"),0,VLOOKUP(B15,INDIRECT(MatchDay!$W$2),2,FALSE)),"")</f>
        <v>8</v>
      </c>
      <c r="Q15" s="66">
        <f ca="1">IFERROR(IF(OR(J15=0,J15="",M15=0,M15="",$P14&lt;&gt;0,LEFT(M15,1)="D"),0,VLOOKUP(I15,INDIRECT(MatchDay!$W$2),3,FALSE)),"")</f>
        <v>6</v>
      </c>
      <c r="R15" s="219">
        <f ca="1">COUNTIF(C15,"&gt;0")</f>
        <v>1</v>
      </c>
      <c r="S15" s="66">
        <f ca="1">IFERROR(IF(C15&gt;88,1,0),0)</f>
        <v>0</v>
      </c>
      <c r="T15" s="64">
        <f ca="1">IFERROR(VLOOKUP(C15,'Middle D'!$E$38:$H$53,4,FALSE),"")</f>
        <v>4.5949999999999998</v>
      </c>
      <c r="U15" s="64">
        <f ca="1">IFERROR(VLOOKUP(J15,'Middle D'!$E$38:$H$53,4,FALSE),"")</f>
        <v>5.2370000000000001</v>
      </c>
    </row>
    <row r="16" spans="1:21" x14ac:dyDescent="0.35">
      <c r="A16" s="64">
        <v>0</v>
      </c>
      <c r="B16" s="117">
        <v>2</v>
      </c>
      <c r="C16" s="117">
        <f ca="1">IFERROR(INDIRECT(CONCATENATE("'Middle D'!E",A15+1)),"")</f>
        <v>2</v>
      </c>
      <c r="D16" s="183" t="str">
        <f ca="1">IFERROR(INDIRECT(CONCATENATE("'Middle D'!F",A15+1)),"")</f>
        <v>TAYLOR George</v>
      </c>
      <c r="E16" s="64" t="str">
        <f t="shared" ca="1" si="2"/>
        <v>Sheff+D</v>
      </c>
      <c r="F16" s="109">
        <f ca="1">IFERROR(INDIRECT(CONCATENATE("'Middle D'!h",A15+1)),"")</f>
        <v>3.8229166666666667E-3</v>
      </c>
      <c r="G16" s="198" t="str">
        <f ca="1">IFERROR(IF(OR(F16=0,F16="",T16&gt;$A$20-0.01),"",VLOOKUP(VLOOKUP(T16,$A$16:$B$20,2,TRUE),Points!$H$7:$I$10,2,FALSE)),"")</f>
        <v/>
      </c>
      <c r="H16" s="67"/>
      <c r="I16" s="117">
        <v>2</v>
      </c>
      <c r="J16" s="117">
        <f ca="1">IFERROR(INDIRECT(CONCATENATE("'Middle D'!E",A15+10)),"")</f>
        <v>33</v>
      </c>
      <c r="K16" s="183" t="str">
        <f ca="1">IFERROR(INDIRECT(CONCATENATE("'Middle D'!F",A15+10)),"")</f>
        <v>WATSON Miles</v>
      </c>
      <c r="L16" s="64" t="str">
        <f t="shared" ca="1" si="3"/>
        <v>York</v>
      </c>
      <c r="M16" s="109">
        <f ca="1">IFERROR(INDIRECT(CONCATENATE("'Middle D'!h",A15+10)),"")</f>
        <v>4.0185185185185194E-3</v>
      </c>
      <c r="N16" s="198" t="str">
        <f ca="1">IFERROR(IF(OR(M16=0,M16="",M16&gt;$A$20-0.01),"",VLOOKUP(VLOOKUP(U16,$A$16:$B$20,2,TRUE),Points!$H$7:$I$10,2,FALSE)),"")</f>
        <v/>
      </c>
      <c r="P16" s="66">
        <f ca="1">IFERROR(IF(OR(C16=0,C16="",F16=0,F16="",$P14&lt;&gt;0,LEFT(F16,1)="D"),0,VLOOKUP(B16,INDIRECT(MatchDay!$W$2),2,FALSE)),"")</f>
        <v>6</v>
      </c>
      <c r="Q16" s="66">
        <f ca="1">IFERROR(IF(OR(J16=0,J16="",M16=0,M16="",$P14&lt;&gt;0,LEFT(M16,1)="D"),0,VLOOKUP(I16,INDIRECT(MatchDay!$W$2),3,FALSE)),"")</f>
        <v>4</v>
      </c>
      <c r="T16" s="64">
        <f ca="1">IFERROR(VLOOKUP(C16,'Middle D'!$E$38:$H$53,4,FALSE),"")</f>
        <v>5.3029999999999999</v>
      </c>
      <c r="U16" s="64">
        <f ca="1">IFERROR(VLOOKUP(J16,'Middle D'!$E$38:$H$53,4,FALSE),"")</f>
        <v>5.4720000000000004</v>
      </c>
    </row>
    <row r="17" spans="1:21" x14ac:dyDescent="0.35">
      <c r="A17" s="118">
        <f>IFERROR(VLOOKUP(A13,standards,3,FALSE)+0.01,"-")</f>
        <v>4.51</v>
      </c>
      <c r="B17" s="117">
        <v>3</v>
      </c>
      <c r="C17" s="117">
        <f ca="1">IFERROR(INDIRECT(CONCATENATE("'Middle D'!E",A15+2)),"")</f>
        <v>3</v>
      </c>
      <c r="D17" s="183" t="str">
        <f ca="1">IFERROR(INDIRECT(CONCATENATE("'Middle D'!F",A15+2)),"")</f>
        <v>CHALK William</v>
      </c>
      <c r="E17" s="64" t="str">
        <f t="shared" ca="1" si="2"/>
        <v>York</v>
      </c>
      <c r="F17" s="109">
        <f ca="1">IFERROR(INDIRECT(CONCATENATE("'Middle D'!h",A15+2)),"")</f>
        <v>3.9027777777777776E-3</v>
      </c>
      <c r="G17" s="198" t="str">
        <f ca="1">IFERROR(IF(OR(F17=0,F17="",T17&gt;$A$20-0.01),"",VLOOKUP(VLOOKUP(T17,$A$16:$B$20,2,TRUE),Points!$H$7:$I$10,2,FALSE)),"")</f>
        <v/>
      </c>
      <c r="H17" s="67"/>
      <c r="I17" s="117">
        <v>3</v>
      </c>
      <c r="J17" s="117">
        <f ca="1">IFERROR(INDIRECT(CONCATENATE("'Middle D'!E",A15+11)),"")</f>
        <v>22</v>
      </c>
      <c r="K17" s="183" t="str">
        <f ca="1">IFERROR(INDIRECT(CONCATENATE("'Middle D'!F",A15+11)),"")</f>
        <v>ENGLISH Elliott</v>
      </c>
      <c r="L17" s="64" t="str">
        <f t="shared" ca="1" si="3"/>
        <v>Sheff+D</v>
      </c>
      <c r="M17" s="109">
        <f ca="1">IFERROR(INDIRECT(CONCATENATE("'Middle D'!h",A15+11)),"")</f>
        <v>4.1481481481481482E-3</v>
      </c>
      <c r="N17" s="198" t="str">
        <f ca="1">IFERROR(IF(OR(M17=0,M17="",M17&gt;$A$20-0.01),"",VLOOKUP(VLOOKUP(U17,$A$16:$B$20,2,TRUE),Points!$H$7:$I$10,2,FALSE)),"")</f>
        <v/>
      </c>
      <c r="P17" s="66">
        <f ca="1">IFERROR(IF(OR(C17=0,C17="",F17=0,F17="",$P14&lt;&gt;0,LEFT(F17,1)="D"),0,VLOOKUP(B17,INDIRECT(MatchDay!$W$2),2,FALSE)),"")</f>
        <v>5</v>
      </c>
      <c r="Q17" s="66">
        <f ca="1">IFERROR(IF(OR(J17=0,J17="",M17=0,M17="",$P14&lt;&gt;0,LEFT(M17,1)="D"),0,VLOOKUP(I17,INDIRECT(MatchDay!$W$2),3,FALSE)),"")</f>
        <v>3</v>
      </c>
      <c r="T17" s="64">
        <f ca="1">IFERROR(VLOOKUP(C17,'Middle D'!$E$38:$H$53,4,FALSE),"")</f>
        <v>5.3719999999999999</v>
      </c>
      <c r="U17" s="64">
        <f ca="1">IFERROR(VLOOKUP(J17,'Middle D'!$E$38:$H$53,4,FALSE),"")</f>
        <v>5.5839999999999996</v>
      </c>
    </row>
    <row r="18" spans="1:21" x14ac:dyDescent="0.35">
      <c r="A18" s="118">
        <f>IFERROR(VLOOKUP(A13,standards,4,FALSE)+0.01,"-")</f>
        <v>4.5599999999999996</v>
      </c>
      <c r="B18" s="420" t="s">
        <v>278</v>
      </c>
      <c r="C18" s="117">
        <f ca="1">IFERROR(INDIRECT(CONCATENATE("'Middle D'!E",A15+3)),"")</f>
        <v>5</v>
      </c>
      <c r="D18" s="183" t="str">
        <f ca="1">IFERROR(INDIRECT(CONCATENATE("'Middle D'!F",A15+3)),"")</f>
        <v>OADES James</v>
      </c>
      <c r="E18" s="64" t="str">
        <f t="shared" ca="1" si="2"/>
        <v>Scun</v>
      </c>
      <c r="F18" s="109">
        <f ca="1">IFERROR(INDIRECT(CONCATENATE("'Middle D'!h",A15+3)),"")</f>
        <v>4.0381944444444441E-3</v>
      </c>
      <c r="G18" s="198" t="str">
        <f ca="1">IFERROR(IF(OR(F18=0,F18="",T18&gt;$A$20-0.01),"",VLOOKUP(VLOOKUP(T18,$A$16:$B$20,2,TRUE),Points!$H$7:$I$10,2,FALSE)),"")</f>
        <v/>
      </c>
      <c r="H18" s="67"/>
      <c r="I18" s="117">
        <v>4</v>
      </c>
      <c r="J18" s="117" t="str">
        <f ca="1">IFERROR(INDIRECT(CONCATENATE("'Middle D'!E",A15+12)),"")</f>
        <v/>
      </c>
      <c r="K18" s="183" t="str">
        <f ca="1">IFERROR(INDIRECT(CONCATENATE("'Middle D'!F",A15+12)),"")</f>
        <v/>
      </c>
      <c r="L18" s="64" t="str">
        <f t="shared" ca="1" si="3"/>
        <v/>
      </c>
      <c r="M18" s="109" t="str">
        <f ca="1">IFERROR(INDIRECT(CONCATENATE("'Middle D'!h",A15+12)),"")</f>
        <v/>
      </c>
      <c r="N18" s="198" t="str">
        <f ca="1">IFERROR(IF(OR(M18=0,M18="",M18&gt;$A$20-0.01),"",VLOOKUP(VLOOKUP(U18,$A$16:$B$20,2,TRUE),Points!$H$7:$I$10,2,FALSE)),"")</f>
        <v/>
      </c>
      <c r="P18" s="66">
        <f ca="1">IFERROR(IF(OR(C18=0,C18="",F18=0,F18="",$P14&lt;&gt;0,LEFT(F18,1)="D"),0,VLOOKUP(B18,INDIRECT(MatchDay!$W$2),2,FALSE)),"")</f>
        <v>3.5</v>
      </c>
      <c r="Q18" s="66">
        <f ca="1">IFERROR(IF(OR(J18=0,J18="",M18=0,M18="",$P14&lt;&gt;0,LEFT(M18,1)="D"),0,VLOOKUP(I18,INDIRECT(MatchDay!$W$2),3,FALSE)),"")</f>
        <v>0</v>
      </c>
      <c r="T18" s="64">
        <f ca="1">IFERROR(VLOOKUP(C18,'Middle D'!$E$38:$H$53,4,FALSE),"")</f>
        <v>5.4889999999999999</v>
      </c>
      <c r="U18" s="64" t="str">
        <f ca="1">IFERROR(VLOOKUP(J18,'Middle D'!$E$38:$H$53,4,FALSE),"")</f>
        <v/>
      </c>
    </row>
    <row r="19" spans="1:21" x14ac:dyDescent="0.35">
      <c r="A19" s="118">
        <f>IFERROR(VLOOKUP(A13,standards,5,FALSE)+0.01,"-")</f>
        <v>5.04</v>
      </c>
      <c r="B19" s="420" t="s">
        <v>278</v>
      </c>
      <c r="C19" s="117" t="str">
        <f ca="1">IFERROR(INDIRECT(CONCATENATE("'Middle D'!E",A15+4)),"")</f>
        <v/>
      </c>
      <c r="D19" s="183" t="str">
        <f ca="1">IFERROR(INDIRECT(CONCATENATE("'Middle D'!F",A15+4)),"")</f>
        <v/>
      </c>
      <c r="E19" s="64" t="str">
        <f t="shared" ca="1" si="2"/>
        <v/>
      </c>
      <c r="F19" s="109" t="str">
        <f ca="1">IFERROR(INDIRECT(CONCATENATE("'Middle D'!h",A15+4)),"")</f>
        <v/>
      </c>
      <c r="G19" s="198" t="str">
        <f ca="1">IFERROR(IF(OR(F19=0,F19="",T19&gt;$A$20-0.01),"",VLOOKUP(VLOOKUP(T19,$A$16:$B$20,2,TRUE),Points!$H$7:$I$10,2,FALSE)),"")</f>
        <v/>
      </c>
      <c r="H19" s="67"/>
      <c r="I19" s="117">
        <v>5</v>
      </c>
      <c r="J19" s="117" t="str">
        <f ca="1">IFERROR(INDIRECT(CONCATENATE("'Middle D'!E",A15+13)),"")</f>
        <v/>
      </c>
      <c r="K19" s="183" t="str">
        <f ca="1">IFERROR(INDIRECT(CONCATENATE("'Middle D'!F",A15+13)),"")</f>
        <v/>
      </c>
      <c r="L19" s="64" t="str">
        <f t="shared" ca="1" si="3"/>
        <v/>
      </c>
      <c r="M19" s="109" t="str">
        <f ca="1">IFERROR(INDIRECT(CONCATENATE("'Middle D'!h",A15+13)),"")</f>
        <v/>
      </c>
      <c r="N19" s="198" t="str">
        <f ca="1">IFERROR(IF(OR(M19=0,M19="",M19&gt;$A$20-0.01),"",VLOOKUP(VLOOKUP(U19,$A$16:$B$20,2,TRUE),Points!$H$7:$I$10,2,FALSE)),"")</f>
        <v/>
      </c>
      <c r="P19" s="66">
        <f ca="1">IFERROR(IF(OR(C19=0,C19="",F19=0,F19="",$P14&lt;&gt;0,LEFT(F19,1)="D"),0,VLOOKUP(B19,INDIRECT(MatchDay!$W$2),2,FALSE)),"")</f>
        <v>0</v>
      </c>
      <c r="Q19" s="66">
        <f ca="1">IFERROR(IF(OR(J19=0,J19="",M19=0,M19="",$P14&lt;&gt;0,LEFT(M19,1)="D"),0,VLOOKUP(I19,INDIRECT(MatchDay!$W$2),3,FALSE)),"")</f>
        <v>0</v>
      </c>
      <c r="T19" s="64" t="str">
        <f ca="1">IFERROR(VLOOKUP(C19,'Middle D'!$E$38:$H$53,4,FALSE),"")</f>
        <v/>
      </c>
      <c r="U19" s="64" t="str">
        <f ca="1">IFERROR(VLOOKUP(J19,'Middle D'!$E$38:$H$53,4,FALSE),"")</f>
        <v/>
      </c>
    </row>
    <row r="20" spans="1:21" x14ac:dyDescent="0.35">
      <c r="A20" s="118">
        <f>IFERROR(VLOOKUP(A13,standards,6,FALSE)+0.01,"-")</f>
        <v>5.16</v>
      </c>
      <c r="B20" s="117">
        <v>6</v>
      </c>
      <c r="C20" s="117" t="str">
        <f ca="1">IFERROR(INDIRECT(CONCATENATE("'Middle D'!E",A15+5)),"")</f>
        <v/>
      </c>
      <c r="D20" s="183" t="str">
        <f ca="1">IFERROR(INDIRECT(CONCATENATE("'Middle D'!F",A15+5)),"")</f>
        <v/>
      </c>
      <c r="E20" s="64" t="str">
        <f t="shared" ca="1" si="2"/>
        <v/>
      </c>
      <c r="F20" s="109" t="str">
        <f ca="1">IFERROR(INDIRECT(CONCATENATE("'Middle D'!h",A15+5)),"")</f>
        <v/>
      </c>
      <c r="G20" s="198" t="str">
        <f ca="1">IFERROR(IF(OR(F20=0,F20="",T20&gt;$A$20-0.01),"",VLOOKUP(VLOOKUP(T20,$A$16:$B$20,2,TRUE),Points!$H$7:$I$10,2,FALSE)),"")</f>
        <v/>
      </c>
      <c r="H20" s="67"/>
      <c r="I20" s="117">
        <v>6</v>
      </c>
      <c r="J20" s="117" t="str">
        <f ca="1">IFERROR(INDIRECT(CONCATENATE("'Middle D'!E",A15+14)),"")</f>
        <v/>
      </c>
      <c r="K20" s="183" t="str">
        <f ca="1">IFERROR(INDIRECT(CONCATENATE("'Middle D'!F",A15+14)),"")</f>
        <v/>
      </c>
      <c r="L20" s="64" t="str">
        <f t="shared" ca="1" si="3"/>
        <v/>
      </c>
      <c r="M20" s="109" t="str">
        <f ca="1">IFERROR(INDIRECT(CONCATENATE("'Middle D'!h",A15+14)),"")</f>
        <v/>
      </c>
      <c r="N20" s="198" t="str">
        <f ca="1">IFERROR(IF(OR(M20=0,M20="",M20&gt;$A$20-0.01),"",VLOOKUP(VLOOKUP(U20,$A$16:$B$20,2,TRUE),Points!$H$7:$I$10,2,FALSE)),"")</f>
        <v/>
      </c>
      <c r="P20" s="66">
        <f ca="1">IFERROR(IF(OR(C20=0,C20="",F20=0,F20="",$P14&lt;&gt;0,LEFT(F20,1)="D"),0,VLOOKUP(B20,INDIRECT(MatchDay!$W$2),2,FALSE)),"")</f>
        <v>0</v>
      </c>
      <c r="Q20" s="66">
        <f ca="1">IFERROR(IF(OR(J20=0,J20="",M20=0,M20="",$P14&lt;&gt;0,LEFT(M20,1)="D"),0,VLOOKUP(I20,INDIRECT(MatchDay!$W$2),3,FALSE)),"")</f>
        <v>0</v>
      </c>
      <c r="T20" s="64" t="str">
        <f ca="1">IFERROR(VLOOKUP(C20,'Middle D'!$E$38:$H$53,4,FALSE),"")</f>
        <v/>
      </c>
      <c r="U20" s="64" t="str">
        <f ca="1">IFERROR(VLOOKUP(J20,'Middle D'!$E$38:$H$53,4,FALSE),"")</f>
        <v/>
      </c>
    </row>
    <row r="21" spans="1:21" x14ac:dyDescent="0.35">
      <c r="A21" s="116" t="s">
        <v>204</v>
      </c>
      <c r="B21" s="117">
        <v>7</v>
      </c>
      <c r="C21" s="117" t="str">
        <f ca="1">IFERROR(INDIRECT(CONCATENATE("'Middle D'!E",A15+6)),"")</f>
        <v/>
      </c>
      <c r="D21" s="183" t="str">
        <f ca="1">IFERROR(INDIRECT(CONCATENATE("'Middle D'!F",A15+6)),"")</f>
        <v/>
      </c>
      <c r="E21" s="64" t="str">
        <f t="shared" ca="1" si="2"/>
        <v/>
      </c>
      <c r="F21" s="109" t="str">
        <f ca="1">IFERROR(INDIRECT(CONCATENATE("'Middle D'!h",A15+6)),"")</f>
        <v/>
      </c>
      <c r="G21" s="198" t="str">
        <f ca="1">IFERROR(IF(OR(F21=0,F21="",T21&gt;$A$20-0.01),"",VLOOKUP(VLOOKUP(T21,$A$16:$B$20,2,TRUE),Points!$H$7:$I$10,2,FALSE)),"")</f>
        <v/>
      </c>
      <c r="H21" s="67"/>
      <c r="I21" s="117">
        <v>7</v>
      </c>
      <c r="J21" s="117" t="str">
        <f ca="1">IFERROR(INDIRECT(CONCATENATE("'Middle D'!E",A15+15)),"")</f>
        <v/>
      </c>
      <c r="K21" s="183" t="str">
        <f ca="1">IFERROR(INDIRECT(CONCATENATE("'Middle D'!F",A15+15)),"")</f>
        <v/>
      </c>
      <c r="L21" s="64" t="str">
        <f t="shared" ca="1" si="3"/>
        <v/>
      </c>
      <c r="M21" s="109" t="str">
        <f ca="1">IFERROR(INDIRECT(CONCATENATE("'Middle D'!h",A15+15)),"")</f>
        <v/>
      </c>
      <c r="N21" s="198" t="str">
        <f ca="1">IFERROR(IF(OR(M21=0,M21="",M21&gt;$A$20-0.01),"",VLOOKUP(VLOOKUP(U21,$A$16:$B$20,2,TRUE),Points!$H$7:$I$10,2,FALSE)),"")</f>
        <v/>
      </c>
      <c r="P21" s="66">
        <f ca="1">IFERROR(IF(OR(C21=0,C21="",F21=0,F21="",$P14&lt;&gt;0,LEFT(F21,1)="D"),0,VLOOKUP(B21,INDIRECT(MatchDay!$W$2),2,FALSE)),"")</f>
        <v>0</v>
      </c>
      <c r="Q21" s="66">
        <f ca="1">IFERROR(IF(OR(J21=0,J21="",M21=0,M21="",$P14&lt;&gt;0,LEFT(M21,1)="D"),0,VLOOKUP(I21,INDIRECT(MatchDay!$W$2),3,FALSE)),"")</f>
        <v>0</v>
      </c>
      <c r="T21" s="64" t="str">
        <f ca="1">IFERROR(VLOOKUP(C21,'Middle D'!$E$38:$H$53,4,FALSE),"")</f>
        <v/>
      </c>
      <c r="U21" s="64" t="str">
        <f ca="1">IFERROR(VLOOKUP(J21,'Middle D'!$E$38:$H$53,4,FALSE),"")</f>
        <v/>
      </c>
    </row>
    <row r="22" spans="1:21" x14ac:dyDescent="0.35">
      <c r="A22" s="116">
        <f>IFERROR(VLOOKUP(A13,records,5,FALSE),"")</f>
        <v>3.1087962962962966E-3</v>
      </c>
      <c r="B22" s="117">
        <v>8</v>
      </c>
      <c r="C22" s="117" t="str">
        <f ca="1">IFERROR(INDIRECT(CONCATENATE("'Middle D'!E",A15+7)),"")</f>
        <v/>
      </c>
      <c r="D22" s="183" t="str">
        <f ca="1">IFERROR(INDIRECT(CONCATENATE("'Middle D'!F",A15+7)),"")</f>
        <v/>
      </c>
      <c r="E22" s="64" t="str">
        <f t="shared" ca="1" si="2"/>
        <v/>
      </c>
      <c r="F22" s="109" t="str">
        <f ca="1">IFERROR(INDIRECT(CONCATENATE("'Middle D'!h",A15+7)),"")</f>
        <v/>
      </c>
      <c r="G22" s="198" t="str">
        <f ca="1">IFERROR(IF(OR(F22=0,F22="",T22&gt;$A$20-0.01),"",VLOOKUP(VLOOKUP(T22,$A$16:$B$20,2,TRUE),Points!$H$7:$I$10,2,FALSE)),"")</f>
        <v/>
      </c>
      <c r="H22" s="67"/>
      <c r="I22" s="117">
        <v>8</v>
      </c>
      <c r="J22" s="117" t="str">
        <f ca="1">IFERROR(INDIRECT(CONCATENATE("'Middle D'!E",A15+16)),"")</f>
        <v/>
      </c>
      <c r="K22" s="183" t="str">
        <f ca="1">IFERROR(INDIRECT(CONCATENATE("'Middle D'!F",A15+16)),"")</f>
        <v/>
      </c>
      <c r="L22" s="64" t="str">
        <f t="shared" ca="1" si="3"/>
        <v/>
      </c>
      <c r="M22" s="109" t="str">
        <f ca="1">IFERROR(INDIRECT(CONCATENATE("'Middle D'!h",A15+16)),"")</f>
        <v/>
      </c>
      <c r="N22" s="198" t="str">
        <f ca="1">IFERROR(IF(OR(M22=0,M22="",M22&gt;$A$20-0.01),"",VLOOKUP(VLOOKUP(U22,$A$16:$B$20,2,TRUE),Points!$H$7:$I$10,2,FALSE)),"")</f>
        <v/>
      </c>
      <c r="P22" s="66">
        <f ca="1">IFERROR(IF(OR(C22=0,C22="",F22=0,F22="",$P14&lt;&gt;0,LEFT(F22,1)="D"),0,VLOOKUP(B22,INDIRECT(MatchDay!$W$2),2,FALSE)),"")</f>
        <v>0</v>
      </c>
      <c r="Q22" s="66">
        <f ca="1">IFERROR(IF(OR(J22=0,J22="",M22=0,M22="",$P14&lt;&gt;0,LEFT(M22,1)="D"),0,VLOOKUP(I22,INDIRECT(MatchDay!$W$2),3,FALSE)),"")</f>
        <v>0</v>
      </c>
      <c r="T22" s="64" t="str">
        <f ca="1">IFERROR(VLOOKUP(C22,'Middle D'!$E$38:$H$53,4,FALSE),"")</f>
        <v/>
      </c>
      <c r="U22" s="64" t="str">
        <f ca="1">IFERROR(VLOOKUP(J22,'Middle D'!$E$38:$H$53,4,FALSE),"")</f>
        <v/>
      </c>
    </row>
    <row r="23" spans="1:21" x14ac:dyDescent="0.35">
      <c r="F23" s="304"/>
      <c r="M23" s="302"/>
    </row>
    <row r="24" spans="1:21" x14ac:dyDescent="0.35">
      <c r="A24" s="111" t="s">
        <v>311</v>
      </c>
      <c r="B24" s="112" t="str">
        <f>IFERROR(VLOOKUP(A24,timetables,2,FALSE)&amp;" "&amp;VLOOKUP(A24,timetables,3,FALSE)&amp;" A","")</f>
        <v>1500m U15 Girls A</v>
      </c>
      <c r="C24" s="112"/>
      <c r="F24" s="305" t="str">
        <f ca="1">IFERROR(IF(OR(F26=0,F26=""),"",IF(F26&lt;A33,"REC",IF(F26=A33,"=Rec",""))),"")</f>
        <v/>
      </c>
      <c r="I24" s="114" t="str">
        <f>IFERROR(VLOOKUP(A24,timetables,2,FALSE)&amp;" "&amp;VLOOKUP(A24,timetables,3,FALSE)&amp;" B","")</f>
        <v>1500m U15 Girls B</v>
      </c>
      <c r="J24" s="115"/>
      <c r="M24" s="302"/>
      <c r="P24" s="66" t="s">
        <v>53</v>
      </c>
      <c r="Q24" s="66" t="s">
        <v>54</v>
      </c>
    </row>
    <row r="25" spans="1:21" x14ac:dyDescent="0.35">
      <c r="A25" s="82"/>
      <c r="B25" s="45" t="s">
        <v>230</v>
      </c>
      <c r="C25" s="45" t="s">
        <v>183</v>
      </c>
      <c r="D25" s="182" t="s">
        <v>227</v>
      </c>
      <c r="E25" s="47" t="s">
        <v>228</v>
      </c>
      <c r="F25" s="306" t="s">
        <v>229</v>
      </c>
      <c r="G25" s="199" t="s">
        <v>55</v>
      </c>
      <c r="H25" s="47"/>
      <c r="I25" s="45" t="s">
        <v>230</v>
      </c>
      <c r="J25" s="45" t="s">
        <v>183</v>
      </c>
      <c r="K25" s="182" t="s">
        <v>227</v>
      </c>
      <c r="L25" s="47" t="s">
        <v>228</v>
      </c>
      <c r="M25" s="306" t="s">
        <v>229</v>
      </c>
      <c r="N25" s="199" t="s">
        <v>55</v>
      </c>
      <c r="P25" s="66">
        <f>IFERROR(SEARCH("NS",B24),0)</f>
        <v>0</v>
      </c>
      <c r="T25" s="67"/>
    </row>
    <row r="26" spans="1:21" x14ac:dyDescent="0.35">
      <c r="A26" s="116">
        <f>VLOOKUP(A24,'Middle D'!$A:$C,2,FALSE)</f>
        <v>91</v>
      </c>
      <c r="B26" s="117">
        <v>1</v>
      </c>
      <c r="C26" s="117">
        <f ca="1">IFERROR(INDIRECT(CONCATENATE("'Middle D'!E",A26)),"")</f>
        <v>44</v>
      </c>
      <c r="D26" s="183" t="str">
        <f ca="1">IFERROR(INDIRECT(CONCATENATE("'Middle D'!F",A26)),"")</f>
        <v>HILL Zoe</v>
      </c>
      <c r="E26" s="64" t="str">
        <f t="shared" ref="E26:E33" ca="1" si="4">IFERROR(VLOOKUP(C26,teamlookup,5,FALSE),"")</f>
        <v>M'bro</v>
      </c>
      <c r="F26" s="109">
        <f ca="1">IFERROR(INDIRECT(CONCATENATE("'Middle D'!h",A26)),"")</f>
        <v>3.6550925925925926E-3</v>
      </c>
      <c r="G26" s="198" t="str">
        <f ca="1">IFERROR(IF(OR(F26=0,F26="",T26&gt;$A$31-0.01),"",VLOOKUP(VLOOKUP(T26,$A$27:$B$31,2,TRUE),Points!$H$7:$I$10,2,FALSE)),"")</f>
        <v/>
      </c>
      <c r="H26" s="67"/>
      <c r="I26" s="117">
        <v>1</v>
      </c>
      <c r="J26" s="117">
        <f ca="1">IFERROR(INDIRECT(CONCATENATE("'Middle D'!E",A26+9)),"")</f>
        <v>4</v>
      </c>
      <c r="K26" s="183" t="str">
        <f ca="1">IFERROR(INDIRECT(CONCATENATE("'Middle D'!F",A26+9)),"")</f>
        <v>MCNEILL Emma</v>
      </c>
      <c r="L26" s="64" t="str">
        <f t="shared" ref="L26:L33" ca="1" si="5">IFERROR(VLOOKUP(J26,teamlookup,5,FALSE),"")</f>
        <v>M'bro</v>
      </c>
      <c r="M26" s="109">
        <f ca="1">IFERROR(INDIRECT(CONCATENATE("'Middle D'!h",A26+9)),"")</f>
        <v>3.7650462962962963E-3</v>
      </c>
      <c r="N26" s="198" t="str">
        <f ca="1">IFERROR(IF(OR(M26=0,M26="",M26&gt;$A$31-0.01),"",VLOOKUP(VLOOKUP(U26,$A$27:$B$31,2,TRUE),Points!$H$7:$I$10,2,FALSE)),"")</f>
        <v/>
      </c>
      <c r="P26" s="66">
        <f ca="1">IFERROR(IF(OR(C26=0,C26="",F26=0,F26="",$P25&lt;&gt;0,LEFT(F26,1)="D"),0,VLOOKUP(B26,INDIRECT(MatchDay!$W$2),2,FALSE)),"")</f>
        <v>8</v>
      </c>
      <c r="Q26" s="66">
        <f ca="1">IFERROR(IF(OR(J26=0,J26="",M26=0,M26="",$P25&lt;&gt;0,LEFT(M26,1)="D"),0,VLOOKUP(I26,INDIRECT(MatchDay!$W$2),3,FALSE)),"")</f>
        <v>6</v>
      </c>
      <c r="R26" s="219">
        <f ca="1">COUNTIF(C26,"&gt;0")</f>
        <v>1</v>
      </c>
      <c r="S26" s="66">
        <f ca="1">IFERROR(IF(C26&gt;88,1,0),0)</f>
        <v>0</v>
      </c>
      <c r="T26" s="64">
        <f ca="1">IFERROR(VLOOKUP(C26,'Middle D'!$E$74:$H$89,4,FALSE),"")</f>
        <v>5.1580000000000004</v>
      </c>
      <c r="U26" s="64">
        <f ca="1">IFERROR(VLOOKUP(J26,'Middle D'!$E$74:$H$89,4,FALSE),"")</f>
        <v>5.2530000000000001</v>
      </c>
    </row>
    <row r="27" spans="1:21" x14ac:dyDescent="0.35">
      <c r="A27" s="64">
        <v>0</v>
      </c>
      <c r="B27" s="117">
        <v>2</v>
      </c>
      <c r="C27" s="117">
        <f ca="1">IFERROR(INDIRECT(CONCATENATE("'Middle D'!E",A26+1)),"")</f>
        <v>3</v>
      </c>
      <c r="D27" s="183" t="str">
        <f ca="1">IFERROR(INDIRECT(CONCATENATE("'Middle D'!F",A26+1)),"")</f>
        <v>GASKIN Lucy</v>
      </c>
      <c r="E27" s="64" t="str">
        <f t="shared" ca="1" si="4"/>
        <v>York</v>
      </c>
      <c r="F27" s="109">
        <f ca="1">IFERROR(INDIRECT(CONCATENATE("'Middle D'!h",A26+1)),"")</f>
        <v>3.914351851851852E-3</v>
      </c>
      <c r="G27" s="198" t="str">
        <f ca="1">IFERROR(IF(OR(F27=0,F27="",T27&gt;$A$31-0.01),"",VLOOKUP(VLOOKUP(T27,$A$27:$B$31,2,TRUE),Points!$H$7:$I$10,2,FALSE)),"")</f>
        <v/>
      </c>
      <c r="H27" s="67"/>
      <c r="I27" s="117">
        <v>2</v>
      </c>
      <c r="J27" s="117">
        <f ca="1">IFERROR(INDIRECT(CONCATENATE("'Middle D'!E",A26+10)),"")</f>
        <v>55</v>
      </c>
      <c r="K27" s="183" t="str">
        <f ca="1">IFERROR(INDIRECT(CONCATENATE("'Middle D'!F",A26+10)),"")</f>
        <v>WHITTAKER Millie</v>
      </c>
      <c r="L27" s="64" t="str">
        <f t="shared" ca="1" si="5"/>
        <v>Scun</v>
      </c>
      <c r="M27" s="109">
        <f ca="1">IFERROR(INDIRECT(CONCATENATE("'Middle D'!h",A26+10)),"")</f>
        <v>4.1226851851851858E-3</v>
      </c>
      <c r="N27" s="198" t="str">
        <f ca="1">IFERROR(IF(OR(M27=0,M27="",M27&gt;$A$31-0.01),"",VLOOKUP(VLOOKUP(U27,$A$27:$B$31,2,TRUE),Points!$H$7:$I$10,2,FALSE)),"")</f>
        <v/>
      </c>
      <c r="P27" s="66">
        <f ca="1">IFERROR(IF(OR(C27=0,C27="",F27=0,F27="",$P25&lt;&gt;0,LEFT(F27,1)="D"),0,VLOOKUP(B27,INDIRECT(MatchDay!$W$2),2,FALSE)),"")</f>
        <v>6</v>
      </c>
      <c r="Q27" s="66">
        <f ca="1">IFERROR(IF(OR(J27=0,J27="",M27=0,M27="",$P25&lt;&gt;0,LEFT(M27,1)="D"),0,VLOOKUP(I27,INDIRECT(MatchDay!$W$2),3,FALSE)),"")</f>
        <v>4</v>
      </c>
      <c r="T27" s="64">
        <f ca="1">IFERROR(VLOOKUP(C27,'Middle D'!$E$74:$H$89,4,FALSE),"")</f>
        <v>5.3819999999999997</v>
      </c>
      <c r="U27" s="64">
        <f ca="1">IFERROR(VLOOKUP(J27,'Middle D'!$E$74:$H$89,4,FALSE),"")</f>
        <v>5.5620000000000003</v>
      </c>
    </row>
    <row r="28" spans="1:21" x14ac:dyDescent="0.35">
      <c r="A28" s="118">
        <f>IFERROR(VLOOKUP(A24,standards,3,FALSE)+0.01,"-")</f>
        <v>4.5049999999999999</v>
      </c>
      <c r="B28" s="117">
        <v>3</v>
      </c>
      <c r="C28" s="117">
        <f ca="1">IFERROR(INDIRECT(CONCATENATE("'Middle D'!E",A26+2)),"")</f>
        <v>5</v>
      </c>
      <c r="D28" s="183" t="str">
        <f ca="1">IFERROR(INDIRECT(CONCATENATE("'Middle D'!F",A26+2)),"")</f>
        <v>VICKERS Cerys</v>
      </c>
      <c r="E28" s="64" t="str">
        <f t="shared" ca="1" si="4"/>
        <v>Scun</v>
      </c>
      <c r="F28" s="109">
        <f ca="1">IFERROR(INDIRECT(CONCATENATE("'Middle D'!h",A26+2)),"")</f>
        <v>4.1203703703703697E-3</v>
      </c>
      <c r="G28" s="198" t="str">
        <f ca="1">IFERROR(IF(OR(F28=0,F28="",T28&gt;$A$31-0.01),"",VLOOKUP(VLOOKUP(T28,$A$27:$B$31,2,TRUE),Points!$H$7:$I$10,2,FALSE)),"")</f>
        <v/>
      </c>
      <c r="H28" s="67"/>
      <c r="I28" s="117">
        <v>3</v>
      </c>
      <c r="J28" s="117">
        <f ca="1">IFERROR(INDIRECT(CONCATENATE("'Middle D'!E",A26+11)),"")</f>
        <v>33</v>
      </c>
      <c r="K28" s="183" t="str">
        <f ca="1">IFERROR(INDIRECT(CONCATENATE("'Middle D'!F",A26+11)),"")</f>
        <v>COURTNEY Libby</v>
      </c>
      <c r="L28" s="64" t="str">
        <f t="shared" ca="1" si="5"/>
        <v>York</v>
      </c>
      <c r="M28" s="109">
        <f ca="1">IFERROR(INDIRECT(CONCATENATE("'Middle D'!h",A26+11)),"")</f>
        <v>4.293981481481482E-3</v>
      </c>
      <c r="N28" s="198" t="str">
        <f ca="1">IFERROR(IF(OR(M28=0,M28="",M28&gt;$A$31-0.01),"",VLOOKUP(VLOOKUP(U28,$A$27:$B$31,2,TRUE),Points!$H$7:$I$10,2,FALSE)),"")</f>
        <v/>
      </c>
      <c r="P28" s="66">
        <f ca="1">IFERROR(IF(OR(C28=0,C28="",F28=0,F28="",$P25&lt;&gt;0,LEFT(F28,1)="D"),0,VLOOKUP(B28,INDIRECT(MatchDay!$W$2),2,FALSE)),"")</f>
        <v>5</v>
      </c>
      <c r="Q28" s="66">
        <f ca="1">IFERROR(IF(OR(J28=0,J28="",M28=0,M28="",$P25&lt;&gt;0,LEFT(M28,1)="D"),0,VLOOKUP(I28,INDIRECT(MatchDay!$W$2),3,FALSE)),"")</f>
        <v>3</v>
      </c>
      <c r="T28" s="64">
        <f ca="1">IFERROR(VLOOKUP(C28,'Middle D'!$E$74:$H$89,4,FALSE),"")</f>
        <v>5.56</v>
      </c>
      <c r="U28" s="64">
        <f ca="1">IFERROR(VLOOKUP(J28,'Middle D'!$E$74:$H$89,4,FALSE),"")</f>
        <v>6.11</v>
      </c>
    </row>
    <row r="29" spans="1:21" x14ac:dyDescent="0.35">
      <c r="A29" s="118">
        <f>IFERROR(VLOOKUP(A24,standards,4,FALSE)+0.01,"-")</f>
        <v>4.5699999999999994</v>
      </c>
      <c r="B29" s="117">
        <v>4</v>
      </c>
      <c r="C29" s="117">
        <f ca="1">IFERROR(INDIRECT(CONCATENATE("'Middle D'!E",A26+3)),"")</f>
        <v>1</v>
      </c>
      <c r="D29" s="183" t="str">
        <f ca="1">IFERROR(INDIRECT(CONCATENATE("'Middle D'!F",A26+3)),"")</f>
        <v>KIRKWOOD Eva</v>
      </c>
      <c r="E29" s="64" t="str">
        <f t="shared" ca="1" si="4"/>
        <v>C'field</v>
      </c>
      <c r="F29" s="109">
        <f ca="1">IFERROR(INDIRECT(CONCATENATE("'Middle D'!h",A26+3)),"")</f>
        <v>4.2800925925925931E-3</v>
      </c>
      <c r="G29" s="198" t="str">
        <f ca="1">IFERROR(IF(OR(F29=0,F29="",T29&gt;$A$31-0.01),"",VLOOKUP(VLOOKUP(T29,$A$27:$B$31,2,TRUE),Points!$H$7:$I$10,2,FALSE)),"")</f>
        <v/>
      </c>
      <c r="H29" s="67"/>
      <c r="I29" s="117">
        <v>4</v>
      </c>
      <c r="J29" s="117" t="str">
        <f ca="1">IFERROR(INDIRECT(CONCATENATE("'Middle D'!E",A26+12)),"")</f>
        <v/>
      </c>
      <c r="K29" s="183" t="str">
        <f ca="1">IFERROR(INDIRECT(CONCATENATE("'Middle D'!F",A26+12)),"")</f>
        <v/>
      </c>
      <c r="L29" s="64" t="str">
        <f t="shared" ca="1" si="5"/>
        <v/>
      </c>
      <c r="M29" s="109" t="str">
        <f ca="1">IFERROR(INDIRECT(CONCATENATE("'Middle D'!h",A26+12)),"")</f>
        <v/>
      </c>
      <c r="N29" s="198" t="str">
        <f ca="1">IFERROR(IF(OR(M29=0,M29="",M29&gt;$A$31-0.01),"",VLOOKUP(VLOOKUP(U29,$A$27:$B$31,2,TRUE),Points!$H$7:$I$10,2,FALSE)),"")</f>
        <v/>
      </c>
      <c r="P29" s="66">
        <f ca="1">IFERROR(IF(OR(C29=0,C29="",F29=0,F29="",$P25&lt;&gt;0,LEFT(F29,1)="D"),0,VLOOKUP(B29,INDIRECT(MatchDay!$W$2),2,FALSE)),"")</f>
        <v>4</v>
      </c>
      <c r="Q29" s="66">
        <f ca="1">IFERROR(IF(OR(J29=0,J29="",M29=0,M29="",$P25&lt;&gt;0,LEFT(M29,1)="D"),0,VLOOKUP(I29,INDIRECT(MatchDay!$W$2),3,FALSE)),"")</f>
        <v>0</v>
      </c>
      <c r="T29" s="64">
        <f ca="1">IFERROR(VLOOKUP(C29,'Middle D'!$E$74:$H$89,4,FALSE),"")</f>
        <v>6.0979999999999999</v>
      </c>
      <c r="U29" s="64" t="str">
        <f ca="1">IFERROR(VLOOKUP(J29,'Middle D'!$E$74:$H$89,4,FALSE),"")</f>
        <v/>
      </c>
    </row>
    <row r="30" spans="1:21" x14ac:dyDescent="0.35">
      <c r="A30" s="118">
        <f>IFERROR(VLOOKUP(A24,standards,5,FALSE)+0.01,"-")</f>
        <v>5.0350000000000001</v>
      </c>
      <c r="B30" s="117">
        <v>5</v>
      </c>
      <c r="C30" s="117" t="str">
        <f ca="1">IFERROR(INDIRECT(CONCATENATE("'Middle D'!E",A26+4)),"")</f>
        <v/>
      </c>
      <c r="D30" s="183" t="str">
        <f ca="1">IFERROR(INDIRECT(CONCATENATE("'Middle D'!F",A26+4)),"")</f>
        <v/>
      </c>
      <c r="E30" s="64" t="str">
        <f t="shared" ca="1" si="4"/>
        <v/>
      </c>
      <c r="F30" s="109" t="str">
        <f ca="1">IFERROR(INDIRECT(CONCATENATE("'Middle D'!h",A26+4)),"")</f>
        <v/>
      </c>
      <c r="G30" s="198" t="str">
        <f ca="1">IFERROR(IF(OR(F30=0,F30="",T30&gt;$A$31-0.01),"",VLOOKUP(VLOOKUP(T30,$A$27:$B$31,2,TRUE),Points!$H$7:$I$10,2,FALSE)),"")</f>
        <v/>
      </c>
      <c r="H30" s="67"/>
      <c r="I30" s="117">
        <v>5</v>
      </c>
      <c r="J30" s="117" t="str">
        <f ca="1">IFERROR(INDIRECT(CONCATENATE("'Middle D'!E",A26+13)),"")</f>
        <v/>
      </c>
      <c r="K30" s="183" t="str">
        <f ca="1">IFERROR(INDIRECT(CONCATENATE("'Middle D'!F",A26+13)),"")</f>
        <v/>
      </c>
      <c r="L30" s="64" t="str">
        <f t="shared" ca="1" si="5"/>
        <v/>
      </c>
      <c r="M30" s="109" t="str">
        <f ca="1">IFERROR(INDIRECT(CONCATENATE("'Middle D'!h",A26+13)),"")</f>
        <v/>
      </c>
      <c r="N30" s="198" t="str">
        <f ca="1">IFERROR(IF(OR(M30=0,M30="",M30&gt;$A$31-0.01),"",VLOOKUP(VLOOKUP(U30,$A$27:$B$31,2,TRUE),Points!$H$7:$I$10,2,FALSE)),"")</f>
        <v/>
      </c>
      <c r="P30" s="66">
        <f ca="1">IFERROR(IF(OR(C30=0,C30="",F30=0,F30="",$P25&lt;&gt;0,LEFT(F30,1)="D"),0,VLOOKUP(B30,INDIRECT(MatchDay!$W$2),2,FALSE)),"")</f>
        <v>0</v>
      </c>
      <c r="Q30" s="66">
        <f ca="1">IFERROR(IF(OR(J30=0,J30="",M30=0,M30="",$P25&lt;&gt;0,LEFT(M30,1)="D"),0,VLOOKUP(I30,INDIRECT(MatchDay!$W$2),3,FALSE)),"")</f>
        <v>0</v>
      </c>
      <c r="T30" s="64" t="str">
        <f ca="1">IFERROR(VLOOKUP(C30,'Middle D'!$E$74:$H$89,4,FALSE),"")</f>
        <v/>
      </c>
      <c r="U30" s="64" t="str">
        <f ca="1">IFERROR(VLOOKUP(J30,'Middle D'!$E$74:$H$89,4,FALSE),"")</f>
        <v/>
      </c>
    </row>
    <row r="31" spans="1:21" x14ac:dyDescent="0.35">
      <c r="A31" s="118">
        <f>IFERROR(VLOOKUP(A24,standards,6,FALSE)+0.01,"-")</f>
        <v>5.16</v>
      </c>
      <c r="B31" s="117">
        <v>6</v>
      </c>
      <c r="C31" s="117" t="str">
        <f ca="1">IFERROR(INDIRECT(CONCATENATE("'Middle D'!E",A26+5)),"")</f>
        <v/>
      </c>
      <c r="D31" s="183" t="str">
        <f ca="1">IFERROR(INDIRECT(CONCATENATE("'Middle D'!F",A26+5)),"")</f>
        <v/>
      </c>
      <c r="E31" s="64" t="str">
        <f t="shared" ca="1" si="4"/>
        <v/>
      </c>
      <c r="F31" s="109" t="str">
        <f ca="1">IFERROR(INDIRECT(CONCATENATE("'Middle D'!h",A26+5)),"")</f>
        <v/>
      </c>
      <c r="G31" s="198" t="str">
        <f ca="1">IFERROR(IF(OR(F31=0,F31="",T31&gt;$A$31-0.01),"",VLOOKUP(VLOOKUP(T31,$A$27:$B$31,2,TRUE),Points!$H$7:$I$10,2,FALSE)),"")</f>
        <v/>
      </c>
      <c r="H31" s="67"/>
      <c r="I31" s="117">
        <v>6</v>
      </c>
      <c r="J31" s="117" t="str">
        <f ca="1">IFERROR(INDIRECT(CONCATENATE("'Middle D'!E",A26+14)),"")</f>
        <v/>
      </c>
      <c r="K31" s="183" t="str">
        <f ca="1">IFERROR(INDIRECT(CONCATENATE("'Middle D'!F",A26+14)),"")</f>
        <v/>
      </c>
      <c r="L31" s="64" t="str">
        <f t="shared" ca="1" si="5"/>
        <v/>
      </c>
      <c r="M31" s="109" t="str">
        <f ca="1">IFERROR(INDIRECT(CONCATENATE("'Middle D'!h",A26+14)),"")</f>
        <v/>
      </c>
      <c r="N31" s="198" t="str">
        <f ca="1">IFERROR(IF(OR(M31=0,M31="",M31&gt;$A$31-0.01),"",VLOOKUP(VLOOKUP(U31,$A$27:$B$31,2,TRUE),Points!$H$7:$I$10,2,FALSE)),"")</f>
        <v/>
      </c>
      <c r="P31" s="66">
        <f ca="1">IFERROR(IF(OR(C31=0,C31="",F31=0,F31="",$P25&lt;&gt;0,LEFT(F31,1)="D"),0,VLOOKUP(B31,INDIRECT(MatchDay!$W$2),2,FALSE)),"")</f>
        <v>0</v>
      </c>
      <c r="Q31" s="66">
        <f ca="1">IFERROR(IF(OR(J31=0,J31="",M31=0,M31="",$P25&lt;&gt;0,LEFT(M31,1)="D"),0,VLOOKUP(I31,INDIRECT(MatchDay!$W$2),3,FALSE)),"")</f>
        <v>0</v>
      </c>
      <c r="T31" s="64" t="str">
        <f ca="1">IFERROR(VLOOKUP(C31,'Middle D'!$E$74:$H$89,4,FALSE),"")</f>
        <v/>
      </c>
      <c r="U31" s="64" t="str">
        <f ca="1">IFERROR(VLOOKUP(J31,'Middle D'!$E$74:$H$89,4,FALSE),"")</f>
        <v/>
      </c>
    </row>
    <row r="32" spans="1:21" x14ac:dyDescent="0.35">
      <c r="A32" s="116" t="s">
        <v>204</v>
      </c>
      <c r="B32" s="117">
        <v>7</v>
      </c>
      <c r="C32" s="117" t="str">
        <f ca="1">IFERROR(INDIRECT(CONCATENATE("'Middle D'!E",A26+6)),"")</f>
        <v/>
      </c>
      <c r="D32" s="183" t="str">
        <f ca="1">IFERROR(INDIRECT(CONCATENATE("'Middle D'!F",A26+6)),"")</f>
        <v/>
      </c>
      <c r="E32" s="64" t="str">
        <f t="shared" ca="1" si="4"/>
        <v/>
      </c>
      <c r="F32" s="109" t="str">
        <f ca="1">IFERROR(INDIRECT(CONCATENATE("'Middle D'!h",A26+6)),"")</f>
        <v/>
      </c>
      <c r="G32" s="198" t="str">
        <f ca="1">IFERROR(IF(OR(F32=0,F32="",T32&gt;$A$31-0.01),"",VLOOKUP(VLOOKUP(T32,$A$27:$B$31,2,TRUE),Points!$H$7:$I$10,2,FALSE)),"")</f>
        <v/>
      </c>
      <c r="H32" s="67"/>
      <c r="I32" s="117">
        <v>7</v>
      </c>
      <c r="J32" s="117" t="str">
        <f ca="1">IFERROR(INDIRECT(CONCATENATE("'Middle D'!E",A26+15)),"")</f>
        <v/>
      </c>
      <c r="K32" s="183" t="str">
        <f ca="1">IFERROR(INDIRECT(CONCATENATE("'Middle D'!F",A26+15)),"")</f>
        <v/>
      </c>
      <c r="L32" s="64" t="str">
        <f t="shared" ca="1" si="5"/>
        <v/>
      </c>
      <c r="M32" s="109" t="str">
        <f ca="1">IFERROR(INDIRECT(CONCATENATE("'Middle D'!h",A26+15)),"")</f>
        <v/>
      </c>
      <c r="N32" s="198" t="str">
        <f ca="1">IFERROR(IF(OR(M32=0,M32="",M32&gt;$A$31-0.01),"",VLOOKUP(VLOOKUP(U32,$A$27:$B$31,2,TRUE),Points!$H$7:$I$10,2,FALSE)),"")</f>
        <v/>
      </c>
      <c r="P32" s="66">
        <f ca="1">IFERROR(IF(OR(C32=0,C32="",F32=0,F32="",$P25&lt;&gt;0,LEFT(F32,1)="D"),0,VLOOKUP(B32,INDIRECT(MatchDay!$W$2),2,FALSE)),"")</f>
        <v>0</v>
      </c>
      <c r="Q32" s="66">
        <f ca="1">IFERROR(IF(OR(J32=0,J32="",M32=0,M32="",$P25&lt;&gt;0,LEFT(M32,1)="D"),0,VLOOKUP(I32,INDIRECT(MatchDay!$W$2),3,FALSE)),"")</f>
        <v>0</v>
      </c>
      <c r="T32" s="64" t="str">
        <f ca="1">IFERROR(VLOOKUP(C32,'Middle D'!$E$74:$H$89,4,FALSE),"")</f>
        <v/>
      </c>
      <c r="U32" s="64" t="str">
        <f ca="1">IFERROR(VLOOKUP(J32,'Middle D'!$E$74:$H$89,4,FALSE),"")</f>
        <v/>
      </c>
    </row>
    <row r="33" spans="1:21" x14ac:dyDescent="0.35">
      <c r="A33" s="116">
        <f>IFERROR(VLOOKUP(A24,records,5,FALSE),"")</f>
        <v>3.1932870370370374E-3</v>
      </c>
      <c r="B33" s="117">
        <v>8</v>
      </c>
      <c r="C33" s="117" t="str">
        <f ca="1">IFERROR(INDIRECT(CONCATENATE("'Middle D'!E",A26+7)),"")</f>
        <v/>
      </c>
      <c r="D33" s="183" t="str">
        <f ca="1">IFERROR(INDIRECT(CONCATENATE("'Middle D'!F",A26+7)),"")</f>
        <v/>
      </c>
      <c r="E33" s="64" t="str">
        <f t="shared" ca="1" si="4"/>
        <v/>
      </c>
      <c r="F33" s="109" t="str">
        <f ca="1">IFERROR(INDIRECT(CONCATENATE("'Middle D'!h",A26+7)),"")</f>
        <v/>
      </c>
      <c r="G33" s="198" t="str">
        <f ca="1">IFERROR(IF(OR(F33=0,F33="",T33&gt;$A$31-0.01),"",VLOOKUP(VLOOKUP(T33,$A$27:$B$31,2,TRUE),Points!$H$7:$I$10,2,FALSE)),"")</f>
        <v/>
      </c>
      <c r="H33" s="67"/>
      <c r="I33" s="117">
        <v>8</v>
      </c>
      <c r="J33" s="117" t="str">
        <f ca="1">IFERROR(INDIRECT(CONCATENATE("'Middle D'!E",A26+16)),"")</f>
        <v/>
      </c>
      <c r="K33" s="183" t="str">
        <f ca="1">IFERROR(INDIRECT(CONCATENATE("'Middle D'!F",A26+16)),"")</f>
        <v/>
      </c>
      <c r="L33" s="64" t="str">
        <f t="shared" ca="1" si="5"/>
        <v/>
      </c>
      <c r="M33" s="109" t="str">
        <f ca="1">IFERROR(INDIRECT(CONCATENATE("'Middle D'!h",A26+16)),"")</f>
        <v/>
      </c>
      <c r="N33" s="198" t="str">
        <f ca="1">IFERROR(IF(OR(M33=0,M33="",M33&gt;$A$31-0.01),"",VLOOKUP(VLOOKUP(U33,$A$27:$B$31,2,TRUE),Points!$H$7:$I$10,2,FALSE)),"")</f>
        <v/>
      </c>
      <c r="P33" s="66">
        <f ca="1">IFERROR(IF(OR(C33=0,C33="",F33=0,F33="",$P25&lt;&gt;0,LEFT(F33,1)="D"),0,VLOOKUP(B33,INDIRECT(MatchDay!$W$2),2,FALSE)),"")</f>
        <v>0</v>
      </c>
      <c r="Q33" s="66">
        <f ca="1">IFERROR(IF(OR(J33=0,J33="",M33=0,M33="",$P25&lt;&gt;0,LEFT(M33,1)="D"),0,VLOOKUP(I33,INDIRECT(MatchDay!$W$2),3,FALSE)),"")</f>
        <v>0</v>
      </c>
      <c r="T33" s="64" t="str">
        <f ca="1">IFERROR(VLOOKUP(C33,'Middle D'!$E$74:$H$89,4,FALSE),"")</f>
        <v/>
      </c>
      <c r="U33" s="64" t="str">
        <f ca="1">IFERROR(VLOOKUP(J33,'Middle D'!$E$74:$H$89,4,FALSE),"")</f>
        <v/>
      </c>
    </row>
    <row r="34" spans="1:21" x14ac:dyDescent="0.35">
      <c r="F34" s="304"/>
      <c r="M34" s="302"/>
    </row>
    <row r="35" spans="1:21" x14ac:dyDescent="0.35">
      <c r="A35" s="111" t="s">
        <v>312</v>
      </c>
      <c r="B35" s="112" t="str">
        <f>IFERROR(VLOOKUP(A35,timetables,2,FALSE)&amp;" "&amp;VLOOKUP(A35,timetables,3,FALSE)&amp;" A","")</f>
        <v>1500m U15 Boys A</v>
      </c>
      <c r="C35" s="112"/>
      <c r="F35" s="305" t="str">
        <f ca="1">IFERROR(IF(OR(F37=0,F37=""),"",IF(F37&lt;A44,"REC",IF(F37=A44,"=Rec",""))),"")</f>
        <v/>
      </c>
      <c r="I35" s="114" t="str">
        <f>IFERROR(VLOOKUP(A35,timetables,2,FALSE)&amp;" "&amp;VLOOKUP(A35,timetables,3,FALSE)&amp;" B","")</f>
        <v>1500m U15 Boys B</v>
      </c>
      <c r="J35" s="115"/>
      <c r="M35" s="302"/>
      <c r="P35" s="66" t="s">
        <v>53</v>
      </c>
      <c r="Q35" s="66" t="s">
        <v>54</v>
      </c>
    </row>
    <row r="36" spans="1:21" x14ac:dyDescent="0.35">
      <c r="A36" s="82"/>
      <c r="B36" s="45" t="s">
        <v>230</v>
      </c>
      <c r="C36" s="45" t="s">
        <v>183</v>
      </c>
      <c r="D36" s="182" t="s">
        <v>227</v>
      </c>
      <c r="E36" s="47" t="s">
        <v>228</v>
      </c>
      <c r="F36" s="306" t="s">
        <v>229</v>
      </c>
      <c r="G36" s="199" t="s">
        <v>55</v>
      </c>
      <c r="H36" s="47"/>
      <c r="I36" s="45" t="s">
        <v>230</v>
      </c>
      <c r="J36" s="45" t="s">
        <v>183</v>
      </c>
      <c r="K36" s="182" t="s">
        <v>227</v>
      </c>
      <c r="L36" s="47" t="s">
        <v>228</v>
      </c>
      <c r="M36" s="306" t="s">
        <v>229</v>
      </c>
      <c r="N36" s="199" t="s">
        <v>55</v>
      </c>
      <c r="P36" s="66">
        <f>IFERROR(SEARCH("NS",B35),0)</f>
        <v>0</v>
      </c>
      <c r="T36" s="67"/>
    </row>
    <row r="37" spans="1:21" x14ac:dyDescent="0.35">
      <c r="A37" s="116">
        <f>VLOOKUP(A35,'Middle D'!$A:$C,2,FALSE)</f>
        <v>127</v>
      </c>
      <c r="B37" s="117">
        <v>1</v>
      </c>
      <c r="C37" s="117">
        <f ca="1">IFERROR(INDIRECT(CONCATENATE("'Middle D'!E",A37)),"")</f>
        <v>4</v>
      </c>
      <c r="D37" s="183" t="str">
        <f ca="1">IFERROR(INDIRECT(CONCATENATE("'Middle D'!F",A37)),"")</f>
        <v>SAYERS James</v>
      </c>
      <c r="E37" s="64" t="str">
        <f t="shared" ref="E37:E44" ca="1" si="6">IFERROR(VLOOKUP(C37,teamlookup,5,FALSE),"")</f>
        <v>M'bro</v>
      </c>
      <c r="F37" s="109">
        <f ca="1">IFERROR(INDIRECT(CONCATENATE("'Middle D'!h",A37)),"")</f>
        <v>3.4699074074074068E-3</v>
      </c>
      <c r="G37" s="198" t="str">
        <f ca="1">IFERROR(IF(OR(F37=0,F37="",T37&gt;$A$42-0.01),"",VLOOKUP(VLOOKUP(T37,$A$39:$B$43,2,TRUE),Points!$H$7:$I$10,2,FALSE)),"")</f>
        <v/>
      </c>
      <c r="H37" s="67"/>
      <c r="I37" s="117">
        <v>1</v>
      </c>
      <c r="J37" s="117">
        <f ca="1">IFERROR(INDIRECT(CONCATENATE("'Middle D'!E",A37+9)),"")</f>
        <v>33</v>
      </c>
      <c r="K37" s="183" t="str">
        <f ca="1">IFERROR(INDIRECT(CONCATENATE("'Middle D'!F",A37+9)),"")</f>
        <v>HENSON Isaac</v>
      </c>
      <c r="L37" s="64" t="str">
        <f t="shared" ref="L37:L44" ca="1" si="7">IFERROR(VLOOKUP(J37,teamlookup,5,FALSE),"")</f>
        <v>York</v>
      </c>
      <c r="M37" s="109">
        <f ca="1">IFERROR(INDIRECT(CONCATENATE("'Middle D'!h",A37+9)),"")</f>
        <v>3.7037037037037038E-3</v>
      </c>
      <c r="N37" s="198" t="str">
        <f ca="1">IFERROR(IF(OR(M37=0,M37="",M37&gt;$A$42-0.01),"",VLOOKUP(VLOOKUP(U37,$A$38:$B$42,2,TRUE),Points!$H$7:$I$10,2,FALSE)),"")</f>
        <v/>
      </c>
      <c r="P37" s="66">
        <f ca="1">IFERROR(IF(OR(C37=0,C37="",F37=0,F37="",$P36&lt;&gt;0,LEFT(F37,1)="D"),0,VLOOKUP(B37,INDIRECT(MatchDay!$W$2),2,FALSE)),"")</f>
        <v>8</v>
      </c>
      <c r="Q37" s="66">
        <f ca="1">IFERROR(IF(OR(J37=0,J37="",M37=0,M37="",$P36&lt;&gt;0,LEFT(M37,1)="D"),0,VLOOKUP(I37,INDIRECT(MatchDay!$W$2),3,FALSE)),"")</f>
        <v>6</v>
      </c>
      <c r="R37" s="219">
        <f ca="1">COUNTIF(C37,"&gt;0")</f>
        <v>1</v>
      </c>
      <c r="S37" s="66">
        <f ca="1">IFERROR(IF(C37&gt;88,1,0),0)</f>
        <v>0</v>
      </c>
      <c r="T37" s="64">
        <f ca="1">IFERROR(VLOOKUP(C37,'Middle D'!$E$110:$H$125,4,FALSE),"")</f>
        <v>4.5979999999999999</v>
      </c>
      <c r="U37" s="64">
        <f ca="1">IFERROR(VLOOKUP(J37,'Middle D'!$E$110:$H$125,4,FALSE),"")</f>
        <v>5.2</v>
      </c>
    </row>
    <row r="38" spans="1:21" x14ac:dyDescent="0.35">
      <c r="A38" s="64">
        <v>0</v>
      </c>
      <c r="B38" s="117">
        <v>2</v>
      </c>
      <c r="C38" s="117">
        <f ca="1">IFERROR(INDIRECT(CONCATENATE("'Middle D'!E",A37+1)),"")</f>
        <v>3</v>
      </c>
      <c r="D38" s="183" t="str">
        <f ca="1">IFERROR(INDIRECT(CONCATENATE("'Middle D'!F",A37+1)),"")</f>
        <v>BRATLEY Jack</v>
      </c>
      <c r="E38" s="64" t="str">
        <f t="shared" ca="1" si="6"/>
        <v>York</v>
      </c>
      <c r="F38" s="109">
        <f ca="1">IFERROR(INDIRECT(CONCATENATE("'Middle D'!h",A37+1)),"")</f>
        <v>3.5405092592592597E-3</v>
      </c>
      <c r="G38" s="198" t="str">
        <f ca="1">IFERROR(IF(OR(F38=0,F38="",T38&gt;$A$42-0.01),"",VLOOKUP(VLOOKUP(T38,$A$39:$B$43,2,TRUE),Points!$H$7:$I$10,2,FALSE)),"")</f>
        <v/>
      </c>
      <c r="H38" s="67"/>
      <c r="I38" s="117">
        <v>2</v>
      </c>
      <c r="J38" s="117" t="str">
        <f ca="1">IFERROR(INDIRECT(CONCATENATE("'Middle D'!E",A37+10)),"")</f>
        <v/>
      </c>
      <c r="K38" s="183" t="str">
        <f ca="1">IFERROR(INDIRECT(CONCATENATE("'Middle D'!F",A37+10)),"")</f>
        <v/>
      </c>
      <c r="L38" s="64" t="str">
        <f t="shared" ca="1" si="7"/>
        <v/>
      </c>
      <c r="M38" s="109" t="str">
        <f ca="1">IFERROR(INDIRECT(CONCATENATE("'Middle D'!h",A37+10)),"")</f>
        <v/>
      </c>
      <c r="N38" s="198" t="str">
        <f ca="1">IFERROR(IF(OR(M38=0,M38="",M38&gt;$A$42-0.01),"",VLOOKUP(VLOOKUP(U38,$A$38:$B$42,2,TRUE),Points!$H$7:$I$10,2,FALSE)),"")</f>
        <v/>
      </c>
      <c r="P38" s="66">
        <f ca="1">IFERROR(IF(OR(C38=0,C38="",F38=0,F38="",$P36&lt;&gt;0,LEFT(F38,1)="D"),0,VLOOKUP(B38,INDIRECT(MatchDay!$W$2),2,FALSE)),"")</f>
        <v>6</v>
      </c>
      <c r="Q38" s="66">
        <f ca="1">IFERROR(IF(OR(J38=0,J38="",M38=0,M38="",$P36&lt;&gt;0,LEFT(M38,1)="D"),0,VLOOKUP(I38,INDIRECT(MatchDay!$W$2),3,FALSE)),"")</f>
        <v>0</v>
      </c>
      <c r="T38" s="64">
        <f ca="1">IFERROR(VLOOKUP(C38,'Middle D'!$E$110:$H$125,4,FALSE),"")</f>
        <v>5.0590000000000002</v>
      </c>
      <c r="U38" s="64" t="str">
        <f ca="1">IFERROR(VLOOKUP(J38,'Middle D'!$E$110:$H$125,4,FALSE),"")</f>
        <v/>
      </c>
    </row>
    <row r="39" spans="1:21" x14ac:dyDescent="0.35">
      <c r="A39" s="118">
        <f>IFERROR(VLOOKUP(A35,standards,3,FALSE)+0.01,"-")</f>
        <v>4.2249999999999996</v>
      </c>
      <c r="B39" s="117">
        <v>3</v>
      </c>
      <c r="C39" s="117">
        <f ca="1">IFERROR(INDIRECT(CONCATENATE("'Middle D'!E",A37+2)),"")</f>
        <v>2</v>
      </c>
      <c r="D39" s="183" t="str">
        <f ca="1">IFERROR(INDIRECT(CONCATENATE("'Middle D'!F",A37+2)),"")</f>
        <v>COLLINI Joseph</v>
      </c>
      <c r="E39" s="64" t="str">
        <f t="shared" ca="1" si="6"/>
        <v>Sheff+D</v>
      </c>
      <c r="F39" s="109">
        <f ca="1">IFERROR(INDIRECT(CONCATENATE("'Middle D'!h",A37+2)),"")</f>
        <v>3.6724537037037038E-3</v>
      </c>
      <c r="G39" s="198" t="str">
        <f ca="1">IFERROR(IF(OR(F39=0,F39="",T39&gt;$A$42-0.01),"",VLOOKUP(VLOOKUP(T39,$A$39:$B$43,2,TRUE),Points!$H$7:$I$10,2,FALSE)),"")</f>
        <v/>
      </c>
      <c r="H39" s="67"/>
      <c r="I39" s="117">
        <v>3</v>
      </c>
      <c r="J39" s="117" t="str">
        <f ca="1">IFERROR(INDIRECT(CONCATENATE("'Middle D'!E",A37+11)),"")</f>
        <v/>
      </c>
      <c r="K39" s="183" t="str">
        <f ca="1">IFERROR(INDIRECT(CONCATENATE("'Middle D'!F",A37+11)),"")</f>
        <v/>
      </c>
      <c r="L39" s="64" t="str">
        <f t="shared" ca="1" si="7"/>
        <v/>
      </c>
      <c r="M39" s="109" t="str">
        <f ca="1">IFERROR(INDIRECT(CONCATENATE("'Middle D'!h",A37+11)),"")</f>
        <v/>
      </c>
      <c r="N39" s="198" t="str">
        <f ca="1">IFERROR(IF(OR(M39=0,M39="",M39&gt;$A$42-0.01),"",VLOOKUP(VLOOKUP(U39,$A$38:$B$42,2,TRUE),Points!$H$7:$I$10,2,FALSE)),"")</f>
        <v/>
      </c>
      <c r="P39" s="66">
        <f ca="1">IFERROR(IF(OR(C39=0,C39="",F39=0,F39="",$P36&lt;&gt;0,LEFT(F39,1)="D"),0,VLOOKUP(B39,INDIRECT(MatchDay!$W$2),2,FALSE)),"")</f>
        <v>5</v>
      </c>
      <c r="Q39" s="66">
        <f ca="1">IFERROR(IF(OR(J39=0,J39="",M39=0,M39="",$P36&lt;&gt;0,LEFT(M39,1)="D"),0,VLOOKUP(I39,INDIRECT(MatchDay!$W$2),3,FALSE)),"")</f>
        <v>0</v>
      </c>
      <c r="T39" s="64">
        <f ca="1">IFERROR(VLOOKUP(C39,'Middle D'!$E$110:$H$125,4,FALSE),"")</f>
        <v>5.173</v>
      </c>
      <c r="U39" s="64" t="str">
        <f ca="1">IFERROR(VLOOKUP(J39,'Middle D'!$E$110:$H$125,4,FALSE),"")</f>
        <v/>
      </c>
    </row>
    <row r="40" spans="1:21" x14ac:dyDescent="0.35">
      <c r="A40" s="118">
        <f>IFERROR(VLOOKUP(A35,standards,4,FALSE)+0.01,"-")</f>
        <v>4.2850000000000001</v>
      </c>
      <c r="B40" s="117">
        <v>4</v>
      </c>
      <c r="C40" s="117">
        <f ca="1">IFERROR(INDIRECT(CONCATENATE("'Middle D'!E",A37+3)),"")</f>
        <v>1</v>
      </c>
      <c r="D40" s="183" t="str">
        <f ca="1">IFERROR(INDIRECT(CONCATENATE("'Middle D'!F",A37+3)),"")</f>
        <v>BETTNEY Thomas</v>
      </c>
      <c r="E40" s="64" t="str">
        <f t="shared" ca="1" si="6"/>
        <v>C'field</v>
      </c>
      <c r="F40" s="109">
        <f ca="1">IFERROR(INDIRECT(CONCATENATE("'Middle D'!h",A37+3)),"")</f>
        <v>4.0428240740740745E-3</v>
      </c>
      <c r="G40" s="198" t="str">
        <f ca="1">IFERROR(IF(OR(F40=0,F40="",T40&gt;$A$42-0.01),"",VLOOKUP(VLOOKUP(T40,$A$39:$B$43,2,TRUE),Points!$H$7:$I$10,2,FALSE)),"")</f>
        <v/>
      </c>
      <c r="H40" s="67"/>
      <c r="I40" s="117">
        <v>4</v>
      </c>
      <c r="J40" s="117" t="str">
        <f ca="1">IFERROR(INDIRECT(CONCATENATE("'Middle D'!E",A37+12)),"")</f>
        <v/>
      </c>
      <c r="K40" s="183" t="str">
        <f ca="1">IFERROR(INDIRECT(CONCATENATE("'Middle D'!F",A37+12)),"")</f>
        <v/>
      </c>
      <c r="L40" s="64" t="str">
        <f t="shared" ca="1" si="7"/>
        <v/>
      </c>
      <c r="M40" s="109" t="str">
        <f ca="1">IFERROR(INDIRECT(CONCATENATE("'Middle D'!h",A37+12)),"")</f>
        <v/>
      </c>
      <c r="N40" s="198" t="str">
        <f ca="1">IFERROR(IF(OR(M40=0,M40="",M40&gt;$A$42-0.01),"",VLOOKUP(VLOOKUP(U40,$A$38:$B$42,2,TRUE),Points!$H$7:$I$10,2,FALSE)),"")</f>
        <v/>
      </c>
      <c r="P40" s="66">
        <f ca="1">IFERROR(IF(OR(C40=0,C40="",F40=0,F40="",$P36&lt;&gt;0,LEFT(F40,1)="D"),0,VLOOKUP(B40,INDIRECT(MatchDay!$W$2),2,FALSE)),"")</f>
        <v>4</v>
      </c>
      <c r="Q40" s="66">
        <f ca="1">IFERROR(IF(OR(J40=0,J40="",M40=0,M40="",$P36&lt;&gt;0,LEFT(M40,1)="D"),0,VLOOKUP(I40,INDIRECT(MatchDay!$W$2),3,FALSE)),"")</f>
        <v>0</v>
      </c>
      <c r="T40" s="64">
        <f ca="1">IFERROR(VLOOKUP(C40,'Middle D'!$E$110:$H$125,4,FALSE),"")</f>
        <v>5.4930000000000003</v>
      </c>
      <c r="U40" s="64" t="str">
        <f ca="1">IFERROR(VLOOKUP(J40,'Middle D'!$E$110:$H$125,4,FALSE),"")</f>
        <v/>
      </c>
    </row>
    <row r="41" spans="1:21" x14ac:dyDescent="0.35">
      <c r="A41" s="118">
        <f>IFERROR(VLOOKUP(A35,standards,5,FALSE)+0.01,"-")</f>
        <v>4.37</v>
      </c>
      <c r="B41" s="117">
        <v>5</v>
      </c>
      <c r="C41" s="117" t="str">
        <f ca="1">IFERROR(INDIRECT(CONCATENATE("'Middle D'!E",A37+4)),"")</f>
        <v/>
      </c>
      <c r="D41" s="183" t="str">
        <f ca="1">IFERROR(INDIRECT(CONCATENATE("'Middle D'!F",A37+4)),"")</f>
        <v/>
      </c>
      <c r="E41" s="64" t="str">
        <f t="shared" ca="1" si="6"/>
        <v/>
      </c>
      <c r="F41" s="109" t="str">
        <f ca="1">IFERROR(INDIRECT(CONCATENATE("'Middle D'!h",A37+4)),"")</f>
        <v/>
      </c>
      <c r="G41" s="198" t="str">
        <f ca="1">IFERROR(IF(OR(F41=0,F41="",T41&gt;$A$42-0.01),"",VLOOKUP(VLOOKUP(T41,$A$39:$B$43,2,TRUE),Points!$H$7:$I$10,2,FALSE)),"")</f>
        <v/>
      </c>
      <c r="H41" s="67"/>
      <c r="I41" s="117">
        <v>5</v>
      </c>
      <c r="J41" s="117" t="str">
        <f ca="1">IFERROR(INDIRECT(CONCATENATE("'Middle D'!E",A37+13)),"")</f>
        <v/>
      </c>
      <c r="K41" s="183" t="str">
        <f ca="1">IFERROR(INDIRECT(CONCATENATE("'Middle D'!F",A37+13)),"")</f>
        <v/>
      </c>
      <c r="L41" s="64" t="str">
        <f t="shared" ca="1" si="7"/>
        <v/>
      </c>
      <c r="M41" s="109" t="str">
        <f ca="1">IFERROR(INDIRECT(CONCATENATE("'Middle D'!h",A37+13)),"")</f>
        <v/>
      </c>
      <c r="N41" s="198" t="str">
        <f ca="1">IFERROR(IF(OR(M41=0,M41="",M41&gt;$A$42-0.01),"",VLOOKUP(VLOOKUP(U41,$A$38:$B$42,2,TRUE),Points!$H$7:$I$10,2,FALSE)),"")</f>
        <v/>
      </c>
      <c r="P41" s="66">
        <f ca="1">IFERROR(IF(OR(C41=0,C41="",F41=0,F41="",$P36&lt;&gt;0,LEFT(F41,1)="D"),0,VLOOKUP(B41,INDIRECT(MatchDay!$W$2),2,FALSE)),"")</f>
        <v>0</v>
      </c>
      <c r="Q41" s="66">
        <f ca="1">IFERROR(IF(OR(J41=0,J41="",M41=0,M41="",$P36&lt;&gt;0,LEFT(M41,1)="D"),0,VLOOKUP(I41,INDIRECT(MatchDay!$W$2),3,FALSE)),"")</f>
        <v>0</v>
      </c>
      <c r="T41" s="64" t="str">
        <f ca="1">IFERROR(VLOOKUP(C41,'Middle D'!$E$110:$H$125,4,FALSE),"")</f>
        <v/>
      </c>
      <c r="U41" s="64" t="str">
        <f ca="1">IFERROR(VLOOKUP(J41,'Middle D'!$E$110:$H$125,4,FALSE),"")</f>
        <v/>
      </c>
    </row>
    <row r="42" spans="1:21" x14ac:dyDescent="0.35">
      <c r="A42" s="118">
        <f>IFERROR(VLOOKUP(A35,standards,6,FALSE)+0.01,"-")</f>
        <v>4.4749999999999996</v>
      </c>
      <c r="B42" s="117">
        <v>6</v>
      </c>
      <c r="C42" s="117" t="str">
        <f ca="1">IFERROR(INDIRECT(CONCATENATE("'Middle D'!E",A37+5)),"")</f>
        <v/>
      </c>
      <c r="D42" s="183" t="str">
        <f ca="1">IFERROR(INDIRECT(CONCATENATE("'Middle D'!F",A37+5)),"")</f>
        <v/>
      </c>
      <c r="E42" s="64" t="str">
        <f t="shared" ca="1" si="6"/>
        <v/>
      </c>
      <c r="F42" s="109" t="str">
        <f ca="1">IFERROR(INDIRECT(CONCATENATE("'Middle D'!h",A37+5)),"")</f>
        <v/>
      </c>
      <c r="G42" s="198" t="str">
        <f ca="1">IFERROR(IF(OR(F42=0,F42="",T42&gt;$A$42-0.01),"",VLOOKUP(VLOOKUP(T42,$A$39:$B$43,2,TRUE),Points!$H$7:$I$10,2,FALSE)),"")</f>
        <v/>
      </c>
      <c r="H42" s="67"/>
      <c r="I42" s="117">
        <v>6</v>
      </c>
      <c r="J42" s="117" t="str">
        <f ca="1">IFERROR(INDIRECT(CONCATENATE("'Middle D'!E",A37+14)),"")</f>
        <v/>
      </c>
      <c r="K42" s="183" t="str">
        <f ca="1">IFERROR(INDIRECT(CONCATENATE("'Middle D'!F",A37+14)),"")</f>
        <v/>
      </c>
      <c r="L42" s="64" t="str">
        <f t="shared" ca="1" si="7"/>
        <v/>
      </c>
      <c r="M42" s="109" t="str">
        <f ca="1">IFERROR(INDIRECT(CONCATENATE("'Middle D'!h",A37+14)),"")</f>
        <v/>
      </c>
      <c r="N42" s="198" t="str">
        <f ca="1">IFERROR(IF(OR(M42=0,M42="",M42&gt;$A$42-0.01),"",VLOOKUP(VLOOKUP(U42,$A$38:$B$42,2,TRUE),Points!$H$7:$I$10,2,FALSE)),"")</f>
        <v/>
      </c>
      <c r="P42" s="66">
        <f ca="1">IFERROR(IF(OR(C42=0,C42="",F42=0,F42="",$P36&lt;&gt;0,LEFT(F42,1)="D"),0,VLOOKUP(B42,INDIRECT(MatchDay!$W$2),2,FALSE)),"")</f>
        <v>0</v>
      </c>
      <c r="Q42" s="66">
        <f ca="1">IFERROR(IF(OR(J42=0,J42="",M42=0,M42="",$P36&lt;&gt;0,LEFT(M42,1)="D"),0,VLOOKUP(I42,INDIRECT(MatchDay!$W$2),3,FALSE)),"")</f>
        <v>0</v>
      </c>
      <c r="T42" s="64" t="str">
        <f ca="1">IFERROR(VLOOKUP(C42,'Middle D'!$E$110:$H$125,4,FALSE),"")</f>
        <v/>
      </c>
      <c r="U42" s="64" t="str">
        <f ca="1">IFERROR(VLOOKUP(J42,'Middle D'!$E$110:$H$125,4,FALSE),"")</f>
        <v/>
      </c>
    </row>
    <row r="43" spans="1:21" x14ac:dyDescent="0.35">
      <c r="A43" s="116" t="s">
        <v>204</v>
      </c>
      <c r="B43" s="117">
        <v>7</v>
      </c>
      <c r="C43" s="117" t="str">
        <f ca="1">IFERROR(INDIRECT(CONCATENATE("'Middle D'!E",A37+6)),"")</f>
        <v/>
      </c>
      <c r="D43" s="183" t="str">
        <f ca="1">IFERROR(INDIRECT(CONCATENATE("'Middle D'!F",A37+6)),"")</f>
        <v/>
      </c>
      <c r="E43" s="64" t="str">
        <f t="shared" ca="1" si="6"/>
        <v/>
      </c>
      <c r="F43" s="109" t="str">
        <f ca="1">IFERROR(INDIRECT(CONCATENATE("'Middle D'!h",A37+6)),"")</f>
        <v/>
      </c>
      <c r="G43" s="198" t="str">
        <f ca="1">IFERROR(IF(OR(F43=0,F43="",T43&gt;$A$42-0.01),"",VLOOKUP(VLOOKUP(T43,$A$39:$B$43,2,TRUE),Points!$H$7:$I$10,2,FALSE)),"")</f>
        <v/>
      </c>
      <c r="H43" s="67"/>
      <c r="I43" s="117">
        <v>7</v>
      </c>
      <c r="J43" s="117" t="str">
        <f ca="1">IFERROR(INDIRECT(CONCATENATE("'Middle D'!E",A37+15)),"")</f>
        <v/>
      </c>
      <c r="K43" s="183" t="str">
        <f ca="1">IFERROR(INDIRECT(CONCATENATE("'Middle D'!F",A37+15)),"")</f>
        <v/>
      </c>
      <c r="L43" s="64" t="str">
        <f t="shared" ca="1" si="7"/>
        <v/>
      </c>
      <c r="M43" s="109" t="str">
        <f ca="1">IFERROR(INDIRECT(CONCATENATE("'Middle D'!h",A37+15)),"")</f>
        <v/>
      </c>
      <c r="N43" s="198" t="str">
        <f ca="1">IFERROR(IF(OR(M43=0,M43="",M43&gt;$A$42-0.01),"",VLOOKUP(VLOOKUP(U43,$A$38:$B$42,2,TRUE),Points!$H$7:$I$10,2,FALSE)),"")</f>
        <v/>
      </c>
      <c r="P43" s="66">
        <f ca="1">IFERROR(IF(OR(C43=0,C43="",F43=0,F43="",$P36&lt;&gt;0,LEFT(F43,1)="D"),0,VLOOKUP(B43,INDIRECT(MatchDay!$W$2),2,FALSE)),"")</f>
        <v>0</v>
      </c>
      <c r="Q43" s="66">
        <f ca="1">IFERROR(IF(OR(J43=0,J43="",M43=0,M43="",$P36&lt;&gt;0,LEFT(M43,1)="D"),0,VLOOKUP(I43,INDIRECT(MatchDay!$W$2),3,FALSE)),"")</f>
        <v>0</v>
      </c>
      <c r="T43" s="64" t="str">
        <f ca="1">IFERROR(VLOOKUP(C43,'Middle D'!$E$110:$H$125,4,FALSE),"")</f>
        <v/>
      </c>
      <c r="U43" s="64" t="str">
        <f ca="1">IFERROR(VLOOKUP(J43,'Middle D'!$E$110:$H$125,4,FALSE),"")</f>
        <v/>
      </c>
    </row>
    <row r="44" spans="1:21" x14ac:dyDescent="0.35">
      <c r="A44" s="116">
        <f>IFERROR(VLOOKUP(A35,records,5,FALSE),"")</f>
        <v>2.9348379629629633E-3</v>
      </c>
      <c r="B44" s="117">
        <v>8</v>
      </c>
      <c r="C44" s="117" t="str">
        <f ca="1">IFERROR(INDIRECT(CONCATENATE("'Middle D'!E",A37+7)),"")</f>
        <v/>
      </c>
      <c r="D44" s="183" t="str">
        <f ca="1">IFERROR(INDIRECT(CONCATENATE("'Middle D'!F",A37+7)),"")</f>
        <v/>
      </c>
      <c r="E44" s="64" t="str">
        <f t="shared" ca="1" si="6"/>
        <v/>
      </c>
      <c r="F44" s="109" t="str">
        <f ca="1">IFERROR(INDIRECT(CONCATENATE("'Middle D'!h",A37+7)),"")</f>
        <v/>
      </c>
      <c r="G44" s="198" t="str">
        <f ca="1">IFERROR(IF(OR(F44=0,F44="",T44&gt;$A$42-0.01),"",VLOOKUP(VLOOKUP(T44,$A$39:$B$43,2,TRUE),Points!$H$7:$I$10,2,FALSE)),"")</f>
        <v/>
      </c>
      <c r="H44" s="67"/>
      <c r="I44" s="117">
        <v>8</v>
      </c>
      <c r="J44" s="117" t="str">
        <f ca="1">IFERROR(INDIRECT(CONCATENATE("'Middle D'!E",A37+16)),"")</f>
        <v/>
      </c>
      <c r="K44" s="183" t="str">
        <f ca="1">IFERROR(INDIRECT(CONCATENATE("'Middle D'!F",A37+16)),"")</f>
        <v/>
      </c>
      <c r="L44" s="64" t="str">
        <f t="shared" ca="1" si="7"/>
        <v/>
      </c>
      <c r="M44" s="109" t="str">
        <f ca="1">IFERROR(INDIRECT(CONCATENATE("'Middle D'!h",A37+16)),"")</f>
        <v/>
      </c>
      <c r="N44" s="198" t="str">
        <f ca="1">IFERROR(IF(OR(M44=0,M44="",M44&gt;$A$42-0.01),"",VLOOKUP(VLOOKUP(U44,$A$38:$B$42,2,TRUE),Points!$H$7:$I$10,2,FALSE)),"")</f>
        <v/>
      </c>
      <c r="P44" s="66">
        <f ca="1">IFERROR(IF(OR(C44=0,C44="",F44=0,F44="",$P36&lt;&gt;0,LEFT(F44,1)="D"),0,VLOOKUP(B44,INDIRECT(MatchDay!$W$2),2,FALSE)),"")</f>
        <v>0</v>
      </c>
      <c r="Q44" s="66">
        <f ca="1">IFERROR(IF(OR(J44=0,J44="",M44=0,M44="",$P36&lt;&gt;0,LEFT(M44,1)="D"),0,VLOOKUP(I44,INDIRECT(MatchDay!$W$2),3,FALSE)),"")</f>
        <v>0</v>
      </c>
      <c r="T44" s="64" t="str">
        <f ca="1">IFERROR(VLOOKUP(C44,'Middle D'!$E$110:$H$125,4,FALSE),"")</f>
        <v/>
      </c>
      <c r="U44" s="64" t="str">
        <f ca="1">IFERROR(VLOOKUP(J44,'Middle D'!$E$110:$H$125,4,FALSE),"")</f>
        <v/>
      </c>
    </row>
  </sheetData>
  <sheetProtection algorithmName="SHA-512" hashValue="L/5W10F8xDqgD00EaO2EP6ew3LMhlK+5kkgTYU9/lo/Ur9hzUe4bjet43Wp/NGr+mD747lRXI3QMx92GUB738A==" saltValue="28sevkXkhhVZ3AkQ0xL2TA=="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blackAndWhite="1" r:id="rId1"/>
  <headerFooter scaleWithDoc="0">
    <oddHeader>&amp;L&amp;G&amp;C&amp;"+,Regular"UK ATHLETICS :: YOUTH DEVELOPMENT LEAGUE 2019</oddHeader>
    <oddFooter>&amp;L&amp;9&amp;D &amp;T&amp;C&amp;G&amp;R&amp;9&amp;A
Page &amp;P of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249977111117893"/>
  </sheetPr>
  <dimension ref="A1:AX6298"/>
  <sheetViews>
    <sheetView workbookViewId="0">
      <pane ySplit="1" topLeftCell="A128" activePane="bottomLeft" state="frozen"/>
      <selection activeCell="K3" sqref="K3:N3"/>
      <selection pane="bottomLeft" sqref="A1:C1048576 S1:AA1048576"/>
    </sheetView>
  </sheetViews>
  <sheetFormatPr defaultColWidth="9.1328125" defaultRowHeight="15" customHeight="1" x14ac:dyDescent="0.45"/>
  <cols>
    <col min="1" max="1" width="7.3984375" style="438" bestFit="1" customWidth="1"/>
    <col min="2" max="2" width="8.59765625" style="438" bestFit="1" customWidth="1"/>
    <col min="3" max="3" width="22.265625" style="438" customWidth="1"/>
    <col min="4" max="4" width="20.265625" style="439" customWidth="1"/>
    <col min="5" max="9" width="9.1328125" style="439" customWidth="1"/>
    <col min="10" max="10" width="10.3984375" style="439" customWidth="1"/>
    <col min="11" max="11" width="12.1328125" style="439" bestFit="1" customWidth="1"/>
    <col min="12" max="12" width="21" style="439" bestFit="1" customWidth="1"/>
    <col min="13" max="13" width="31.3984375" style="439" bestFit="1" customWidth="1"/>
    <col min="14" max="14" width="8.73046875" style="451" bestFit="1" customWidth="1"/>
    <col min="15" max="15" width="22.3984375" style="439" bestFit="1" customWidth="1"/>
    <col min="16" max="16" width="9.73046875" style="439" bestFit="1" customWidth="1"/>
    <col min="17" max="17" width="5.265625" style="439" bestFit="1" customWidth="1"/>
    <col min="18" max="18" width="9.1328125" style="439"/>
    <col min="19" max="19" width="4" style="436" bestFit="1" customWidth="1"/>
    <col min="20" max="20" width="20.73046875" style="435" customWidth="1"/>
    <col min="21" max="21" width="8.265625" style="435" bestFit="1" customWidth="1"/>
    <col min="22" max="22" width="3" style="435" bestFit="1" customWidth="1"/>
    <col min="23" max="23" width="2.73046875" style="435" customWidth="1"/>
    <col min="24" max="24" width="4" style="436" bestFit="1" customWidth="1"/>
    <col min="25" max="25" width="20.265625" style="435" customWidth="1"/>
    <col min="26" max="26" width="8.265625" style="435" bestFit="1" customWidth="1"/>
    <col min="27" max="27" width="3" style="435" bestFit="1" customWidth="1"/>
    <col min="28" max="28" width="5.265625" style="435" bestFit="1" customWidth="1"/>
    <col min="29" max="29" width="9.73046875" style="435" bestFit="1" customWidth="1"/>
    <col min="30" max="30" width="3.86328125" style="439" customWidth="1"/>
    <col min="31" max="31" width="7" style="439" customWidth="1"/>
    <col min="32" max="32" width="6.3984375" style="439" bestFit="1" customWidth="1"/>
    <col min="33" max="33" width="7" style="439" customWidth="1"/>
    <col min="34" max="34" width="6.3984375" style="439" customWidth="1"/>
    <col min="35" max="35" width="7" style="439" customWidth="1"/>
    <col min="36" max="36" width="6.3984375" style="439" customWidth="1"/>
    <col min="37" max="37" width="7" style="439" customWidth="1"/>
    <col min="38" max="38" width="6.3984375" style="439" bestFit="1" customWidth="1"/>
    <col min="39" max="39" width="7" style="439" bestFit="1" customWidth="1"/>
    <col min="40" max="40" width="6.3984375" style="439" bestFit="1" customWidth="1"/>
    <col min="41" max="41" width="7" style="439" bestFit="1" customWidth="1"/>
    <col min="42" max="42" width="6.3984375" style="439" bestFit="1" customWidth="1"/>
    <col min="43" max="43" width="7" style="439" bestFit="1" customWidth="1"/>
    <col min="44" max="44" width="6.3984375" style="439" bestFit="1" customWidth="1"/>
    <col min="45" max="45" width="7" style="439" bestFit="1" customWidth="1"/>
    <col min="46" max="46" width="6.3984375" style="439" bestFit="1" customWidth="1"/>
    <col min="47" max="47" width="7" style="439" bestFit="1" customWidth="1"/>
    <col min="48" max="48" width="6.3984375" style="439" bestFit="1" customWidth="1"/>
    <col min="49" max="49" width="7" style="439" bestFit="1" customWidth="1"/>
    <col min="50" max="50" width="6.3984375" style="439" bestFit="1" customWidth="1"/>
    <col min="51" max="16384" width="9.1328125" style="439"/>
  </cols>
  <sheetData>
    <row r="1" spans="1:50" ht="15" customHeight="1" x14ac:dyDescent="0.45">
      <c r="A1" s="437"/>
      <c r="B1" s="438" t="s">
        <v>1424</v>
      </c>
      <c r="C1" s="438" t="s">
        <v>98</v>
      </c>
      <c r="J1" s="440" t="s">
        <v>1420</v>
      </c>
      <c r="K1" s="440"/>
      <c r="L1" s="440"/>
      <c r="M1" s="440"/>
      <c r="N1" s="440"/>
      <c r="O1" s="440"/>
      <c r="P1" s="440"/>
      <c r="Q1" s="440"/>
      <c r="S1" s="452"/>
      <c r="T1" s="452"/>
      <c r="U1" s="452"/>
      <c r="V1" s="452"/>
      <c r="W1" s="452"/>
      <c r="X1" s="452"/>
      <c r="Y1" s="452"/>
      <c r="Z1" s="452"/>
      <c r="AA1" s="452"/>
      <c r="AB1" s="433"/>
    </row>
    <row r="2" spans="1:50" ht="15" customHeight="1" x14ac:dyDescent="0.45">
      <c r="A2" s="441"/>
      <c r="B2" s="441" t="s">
        <v>1425</v>
      </c>
      <c r="C2" s="441" t="s">
        <v>615</v>
      </c>
      <c r="G2" s="442"/>
      <c r="J2" s="443" t="s">
        <v>904</v>
      </c>
      <c r="K2" s="443" t="s">
        <v>905</v>
      </c>
      <c r="L2" s="443" t="s">
        <v>906</v>
      </c>
      <c r="M2" s="443" t="s">
        <v>907</v>
      </c>
      <c r="N2" s="444" t="s">
        <v>908</v>
      </c>
      <c r="O2" s="443" t="s">
        <v>909</v>
      </c>
      <c r="P2" s="443" t="s">
        <v>910</v>
      </c>
      <c r="Q2" s="443" t="s">
        <v>911</v>
      </c>
      <c r="S2" s="452"/>
      <c r="T2" s="452" t="s">
        <v>914</v>
      </c>
      <c r="U2" s="452" t="s">
        <v>915</v>
      </c>
      <c r="V2" s="452"/>
      <c r="W2" s="452"/>
      <c r="X2" s="452"/>
      <c r="Y2" s="452" t="s">
        <v>914</v>
      </c>
      <c r="Z2" s="452" t="s">
        <v>915</v>
      </c>
      <c r="AA2" s="452"/>
      <c r="AB2" s="433"/>
    </row>
    <row r="3" spans="1:50" ht="15" customHeight="1" x14ac:dyDescent="0.45">
      <c r="A3" s="441"/>
      <c r="B3" s="441" t="s">
        <v>1426</v>
      </c>
      <c r="C3" s="441" t="s">
        <v>7</v>
      </c>
      <c r="J3" s="445" t="s">
        <v>44</v>
      </c>
      <c r="K3" s="445" t="s">
        <v>16</v>
      </c>
      <c r="L3" s="445" t="s">
        <v>1258</v>
      </c>
      <c r="M3" s="445" t="s">
        <v>435</v>
      </c>
      <c r="N3" s="446">
        <v>11</v>
      </c>
      <c r="O3" s="445" t="s">
        <v>1250</v>
      </c>
      <c r="P3" s="445" t="s">
        <v>1251</v>
      </c>
      <c r="Q3" s="445">
        <v>2018</v>
      </c>
      <c r="S3" s="452">
        <v>11</v>
      </c>
      <c r="T3" s="452" t="s">
        <v>2063</v>
      </c>
      <c r="U3" s="452" t="s">
        <v>9</v>
      </c>
      <c r="V3" s="452">
        <v>11</v>
      </c>
      <c r="W3" s="452"/>
      <c r="X3" s="452">
        <v>11</v>
      </c>
      <c r="Y3" s="452" t="s">
        <v>1992</v>
      </c>
      <c r="Z3" s="452" t="s">
        <v>7</v>
      </c>
      <c r="AA3" s="452">
        <v>11</v>
      </c>
      <c r="AB3" s="433"/>
    </row>
    <row r="4" spans="1:50" ht="15" customHeight="1" x14ac:dyDescent="0.45">
      <c r="A4" s="441"/>
      <c r="B4" s="441" t="s">
        <v>901</v>
      </c>
      <c r="C4" s="441">
        <v>1</v>
      </c>
      <c r="D4" s="439">
        <v>11</v>
      </c>
      <c r="J4" s="445" t="s">
        <v>47</v>
      </c>
      <c r="K4" s="445" t="s">
        <v>17</v>
      </c>
      <c r="L4" s="445" t="s">
        <v>1258</v>
      </c>
      <c r="M4" s="445" t="s">
        <v>435</v>
      </c>
      <c r="N4" s="446">
        <v>11</v>
      </c>
      <c r="O4" s="445" t="s">
        <v>1250</v>
      </c>
      <c r="P4" s="445" t="s">
        <v>1251</v>
      </c>
      <c r="Q4" s="445">
        <v>2018</v>
      </c>
      <c r="S4" s="452">
        <v>21</v>
      </c>
      <c r="T4" s="452" t="s">
        <v>2155</v>
      </c>
      <c r="U4" s="452" t="s">
        <v>6</v>
      </c>
      <c r="V4" s="452">
        <v>11</v>
      </c>
      <c r="W4" s="452"/>
      <c r="X4" s="452">
        <v>21</v>
      </c>
      <c r="Y4" s="452" t="s">
        <v>2220</v>
      </c>
      <c r="Z4" s="452" t="s">
        <v>7</v>
      </c>
      <c r="AA4" s="452">
        <v>11</v>
      </c>
      <c r="AB4" s="433"/>
    </row>
    <row r="5" spans="1:50" ht="15" customHeight="1" x14ac:dyDescent="0.45">
      <c r="A5" s="441" t="s">
        <v>1440</v>
      </c>
      <c r="B5" s="441" t="s">
        <v>1427</v>
      </c>
      <c r="C5" s="441" t="s">
        <v>1991</v>
      </c>
      <c r="D5" s="439" t="s">
        <v>1992</v>
      </c>
      <c r="J5" s="445" t="s">
        <v>39</v>
      </c>
      <c r="K5" s="445" t="s">
        <v>11</v>
      </c>
      <c r="L5" s="445" t="s">
        <v>442</v>
      </c>
      <c r="M5" s="445" t="s">
        <v>435</v>
      </c>
      <c r="N5" s="446">
        <v>22.2</v>
      </c>
      <c r="O5" s="445" t="s">
        <v>444</v>
      </c>
      <c r="P5" s="445" t="s">
        <v>445</v>
      </c>
      <c r="Q5" s="445">
        <v>2014</v>
      </c>
      <c r="S5" s="452">
        <v>31</v>
      </c>
      <c r="T5" s="452" t="s">
        <v>2066</v>
      </c>
      <c r="U5" s="452" t="s">
        <v>9</v>
      </c>
      <c r="V5" s="452">
        <v>11</v>
      </c>
      <c r="W5" s="452"/>
      <c r="X5" s="452">
        <v>31</v>
      </c>
      <c r="Y5" s="452" t="s">
        <v>1991</v>
      </c>
      <c r="Z5" s="452" t="s">
        <v>7</v>
      </c>
      <c r="AA5" s="452">
        <v>11</v>
      </c>
      <c r="AB5" s="433"/>
    </row>
    <row r="6" spans="1:50" ht="15" customHeight="1" x14ac:dyDescent="0.45">
      <c r="A6" s="441" t="s">
        <v>1441</v>
      </c>
      <c r="B6" s="441" t="s">
        <v>1428</v>
      </c>
      <c r="C6" s="441"/>
      <c r="J6" s="445" t="s">
        <v>514</v>
      </c>
      <c r="K6" s="445" t="s">
        <v>18</v>
      </c>
      <c r="L6" s="445" t="s">
        <v>1242</v>
      </c>
      <c r="M6" s="445" t="s">
        <v>950</v>
      </c>
      <c r="N6" s="446">
        <v>35.4</v>
      </c>
      <c r="O6" s="445" t="s">
        <v>437</v>
      </c>
      <c r="P6" s="445" t="s">
        <v>1251</v>
      </c>
      <c r="Q6" s="445">
        <v>2018</v>
      </c>
      <c r="S6" s="452">
        <v>41</v>
      </c>
      <c r="T6" s="452" t="s">
        <v>2156</v>
      </c>
      <c r="U6" s="452" t="s">
        <v>6</v>
      </c>
      <c r="V6" s="452">
        <v>11</v>
      </c>
      <c r="W6" s="452"/>
      <c r="X6" s="452">
        <v>41</v>
      </c>
      <c r="Y6" s="452" t="s">
        <v>2221</v>
      </c>
      <c r="Z6" s="452" t="s">
        <v>7</v>
      </c>
      <c r="AA6" s="452">
        <v>10</v>
      </c>
      <c r="AB6" s="433"/>
    </row>
    <row r="7" spans="1:50" ht="15" customHeight="1" x14ac:dyDescent="0.45">
      <c r="A7" s="441" t="s">
        <v>1442</v>
      </c>
      <c r="B7" s="447">
        <v>200</v>
      </c>
      <c r="C7" s="447" t="s">
        <v>1991</v>
      </c>
      <c r="D7" s="439" t="s">
        <v>1993</v>
      </c>
      <c r="J7" s="445" t="s">
        <v>509</v>
      </c>
      <c r="K7" s="445" t="s">
        <v>12</v>
      </c>
      <c r="L7" s="445" t="s">
        <v>447</v>
      </c>
      <c r="M7" s="445" t="s">
        <v>106</v>
      </c>
      <c r="N7" s="448">
        <v>1.3854166666666667E-3</v>
      </c>
      <c r="O7" s="445" t="s">
        <v>448</v>
      </c>
      <c r="P7" s="445" t="s">
        <v>445</v>
      </c>
      <c r="Q7" s="445">
        <v>2014</v>
      </c>
      <c r="S7" s="452">
        <v>51</v>
      </c>
      <c r="T7" s="452" t="s">
        <v>2061</v>
      </c>
      <c r="U7" s="452" t="s">
        <v>9</v>
      </c>
      <c r="V7" s="452">
        <v>11</v>
      </c>
      <c r="W7" s="452"/>
      <c r="X7" s="452">
        <v>51</v>
      </c>
      <c r="Y7" s="452" t="s">
        <v>2222</v>
      </c>
      <c r="Z7" s="452" t="s">
        <v>4</v>
      </c>
      <c r="AA7" s="452">
        <v>11</v>
      </c>
      <c r="AB7" s="433"/>
    </row>
    <row r="8" spans="1:50" ht="15" customHeight="1" x14ac:dyDescent="0.45">
      <c r="A8" s="441" t="s">
        <v>1443</v>
      </c>
      <c r="B8" s="441">
        <v>400</v>
      </c>
      <c r="C8" s="441" t="s">
        <v>1994</v>
      </c>
      <c r="D8" s="439" t="s">
        <v>1995</v>
      </c>
      <c r="J8" s="445" t="s">
        <v>513</v>
      </c>
      <c r="K8" s="445" t="s">
        <v>13</v>
      </c>
      <c r="L8" s="445" t="s">
        <v>447</v>
      </c>
      <c r="M8" s="445" t="s">
        <v>106</v>
      </c>
      <c r="N8" s="448">
        <v>1.3854166666666667E-3</v>
      </c>
      <c r="O8" s="445" t="s">
        <v>448</v>
      </c>
      <c r="P8" s="445" t="s">
        <v>445</v>
      </c>
      <c r="Q8" s="445">
        <v>2014</v>
      </c>
      <c r="S8" s="452">
        <v>61</v>
      </c>
      <c r="T8" s="452" t="s">
        <v>2157</v>
      </c>
      <c r="U8" s="452" t="s">
        <v>9</v>
      </c>
      <c r="V8" s="452">
        <v>11</v>
      </c>
      <c r="W8" s="452"/>
      <c r="X8" s="452">
        <v>61</v>
      </c>
      <c r="Y8" s="452" t="s">
        <v>1996</v>
      </c>
      <c r="Z8" s="452" t="s">
        <v>7</v>
      </c>
      <c r="AA8" s="452">
        <v>11</v>
      </c>
      <c r="AB8" s="433"/>
    </row>
    <row r="9" spans="1:50" ht="15" customHeight="1" x14ac:dyDescent="0.45">
      <c r="A9" s="441" t="s">
        <v>1444</v>
      </c>
      <c r="B9" s="441">
        <v>800</v>
      </c>
      <c r="C9" s="447" t="s">
        <v>1995</v>
      </c>
      <c r="D9" s="439" t="s">
        <v>1996</v>
      </c>
      <c r="J9" s="445" t="s">
        <v>312</v>
      </c>
      <c r="K9" s="445" t="s">
        <v>20</v>
      </c>
      <c r="L9" s="445" t="s">
        <v>449</v>
      </c>
      <c r="M9" s="445" t="s">
        <v>365</v>
      </c>
      <c r="N9" s="448">
        <v>2.9348379629629633E-3</v>
      </c>
      <c r="O9" s="445" t="s">
        <v>432</v>
      </c>
      <c r="P9" s="445" t="s">
        <v>450</v>
      </c>
      <c r="Q9" s="445">
        <v>2015</v>
      </c>
      <c r="S9" s="452">
        <v>71</v>
      </c>
      <c r="T9" s="452" t="s">
        <v>2158</v>
      </c>
      <c r="U9" s="452" t="s">
        <v>6</v>
      </c>
      <c r="V9" s="452">
        <v>11</v>
      </c>
      <c r="W9" s="452"/>
      <c r="X9" s="452">
        <v>71</v>
      </c>
      <c r="Y9" s="452" t="s">
        <v>2106</v>
      </c>
      <c r="Z9" s="452" t="s">
        <v>4</v>
      </c>
      <c r="AA9" s="452">
        <v>11</v>
      </c>
      <c r="AB9" s="433"/>
      <c r="AO9" s="445"/>
      <c r="AP9" s="445"/>
      <c r="AQ9" s="445"/>
      <c r="AR9" s="445"/>
      <c r="AS9" s="445"/>
      <c r="AT9" s="445"/>
      <c r="AU9" s="445"/>
      <c r="AV9" s="445"/>
      <c r="AW9" s="445"/>
      <c r="AX9" s="445"/>
    </row>
    <row r="10" spans="1:50" ht="15" customHeight="1" x14ac:dyDescent="0.45">
      <c r="A10" s="441" t="s">
        <v>1445</v>
      </c>
      <c r="B10" s="441" t="s">
        <v>1429</v>
      </c>
      <c r="C10" s="441"/>
      <c r="J10" s="445" t="s">
        <v>35</v>
      </c>
      <c r="K10" s="445" t="s">
        <v>439</v>
      </c>
      <c r="L10" s="445" t="s">
        <v>921</v>
      </c>
      <c r="M10" s="445" t="s">
        <v>364</v>
      </c>
      <c r="N10" s="446">
        <v>11</v>
      </c>
      <c r="O10" s="445" t="s">
        <v>922</v>
      </c>
      <c r="P10" s="445" t="s">
        <v>923</v>
      </c>
      <c r="Q10" s="445">
        <v>2017</v>
      </c>
      <c r="S10" s="452">
        <v>81</v>
      </c>
      <c r="T10" s="452" t="s">
        <v>2130</v>
      </c>
      <c r="U10" s="452" t="s">
        <v>6</v>
      </c>
      <c r="V10" s="452">
        <v>11</v>
      </c>
      <c r="W10" s="452"/>
      <c r="X10" s="452">
        <v>81</v>
      </c>
      <c r="Y10" s="452" t="s">
        <v>2102</v>
      </c>
      <c r="Z10" s="452" t="s">
        <v>4</v>
      </c>
      <c r="AA10" s="452">
        <v>11</v>
      </c>
      <c r="AB10" s="433"/>
      <c r="AO10" s="445"/>
      <c r="AP10" s="445"/>
      <c r="AQ10" s="445"/>
      <c r="AR10" s="445"/>
      <c r="AS10" s="445"/>
      <c r="AT10" s="445"/>
      <c r="AU10" s="445"/>
      <c r="AV10" s="445"/>
      <c r="AW10" s="445"/>
      <c r="AX10" s="445"/>
    </row>
    <row r="11" spans="1:50" ht="15" customHeight="1" x14ac:dyDescent="0.45">
      <c r="A11" s="441" t="s">
        <v>1446</v>
      </c>
      <c r="B11" s="447">
        <v>1500</v>
      </c>
      <c r="C11" s="447" t="s">
        <v>1997</v>
      </c>
      <c r="D11" s="439" t="s">
        <v>912</v>
      </c>
      <c r="J11" s="445" t="s">
        <v>241</v>
      </c>
      <c r="K11" s="445" t="s">
        <v>23</v>
      </c>
      <c r="L11" s="445" t="s">
        <v>1265</v>
      </c>
      <c r="M11" s="445" t="s">
        <v>1266</v>
      </c>
      <c r="N11" s="446">
        <v>1.9</v>
      </c>
      <c r="O11" s="445" t="s">
        <v>1267</v>
      </c>
      <c r="P11" s="445" t="s">
        <v>1268</v>
      </c>
      <c r="Q11" s="445">
        <v>2018</v>
      </c>
      <c r="S11" s="452">
        <v>91</v>
      </c>
      <c r="T11" s="452" t="s">
        <v>2060</v>
      </c>
      <c r="U11" s="452" t="s">
        <v>9</v>
      </c>
      <c r="V11" s="452">
        <v>11</v>
      </c>
      <c r="W11" s="452"/>
      <c r="X11" s="452">
        <v>91</v>
      </c>
      <c r="Y11" s="452" t="s">
        <v>2101</v>
      </c>
      <c r="Z11" s="452" t="s">
        <v>4</v>
      </c>
      <c r="AA11" s="452">
        <v>11</v>
      </c>
      <c r="AB11" s="433"/>
    </row>
    <row r="12" spans="1:50" ht="15" customHeight="1" x14ac:dyDescent="0.45">
      <c r="A12" s="441" t="s">
        <v>1447</v>
      </c>
      <c r="B12" s="441" t="s">
        <v>1430</v>
      </c>
      <c r="C12" s="441" t="s">
        <v>1998</v>
      </c>
      <c r="D12" s="439" t="s">
        <v>1993</v>
      </c>
      <c r="J12" s="445" t="s">
        <v>239</v>
      </c>
      <c r="K12" s="445" t="s">
        <v>27</v>
      </c>
      <c r="L12" s="445" t="s">
        <v>429</v>
      </c>
      <c r="M12" s="445" t="s">
        <v>348</v>
      </c>
      <c r="N12" s="446">
        <v>4.32</v>
      </c>
      <c r="O12" s="445" t="s">
        <v>432</v>
      </c>
      <c r="P12" s="445" t="s">
        <v>450</v>
      </c>
      <c r="Q12" s="445">
        <v>2015</v>
      </c>
      <c r="S12" s="452">
        <v>101</v>
      </c>
      <c r="T12" s="452" t="s">
        <v>2067</v>
      </c>
      <c r="U12" s="452" t="s">
        <v>9</v>
      </c>
      <c r="V12" s="452">
        <v>11</v>
      </c>
      <c r="W12" s="452"/>
      <c r="X12" s="452">
        <v>101</v>
      </c>
      <c r="Y12" s="452" t="s">
        <v>2105</v>
      </c>
      <c r="Z12" s="452" t="s">
        <v>4</v>
      </c>
      <c r="AA12" s="452">
        <v>11</v>
      </c>
      <c r="AB12" s="433"/>
    </row>
    <row r="13" spans="1:50" ht="15" customHeight="1" x14ac:dyDescent="0.45">
      <c r="A13" s="441" t="s">
        <v>1448</v>
      </c>
      <c r="B13" s="441">
        <v>3000</v>
      </c>
      <c r="C13" s="447"/>
      <c r="J13" s="445" t="s">
        <v>300</v>
      </c>
      <c r="K13" s="445" t="s">
        <v>22</v>
      </c>
      <c r="L13" s="445" t="s">
        <v>452</v>
      </c>
      <c r="M13" s="445" t="s">
        <v>453</v>
      </c>
      <c r="N13" s="446">
        <v>6.82</v>
      </c>
      <c r="O13" s="445" t="s">
        <v>454</v>
      </c>
      <c r="P13" s="445" t="s">
        <v>455</v>
      </c>
      <c r="Q13" s="445">
        <v>2013</v>
      </c>
      <c r="S13" s="452">
        <v>111</v>
      </c>
      <c r="T13" s="452" t="s">
        <v>2129</v>
      </c>
      <c r="U13" s="452" t="s">
        <v>6</v>
      </c>
      <c r="V13" s="452">
        <v>11</v>
      </c>
      <c r="W13" s="452"/>
      <c r="X13" s="452">
        <v>111</v>
      </c>
      <c r="Y13" s="452" t="s">
        <v>2100</v>
      </c>
      <c r="Z13" s="452" t="s">
        <v>4</v>
      </c>
      <c r="AA13" s="452">
        <v>11</v>
      </c>
      <c r="AB13" s="433"/>
    </row>
    <row r="14" spans="1:50" ht="15" customHeight="1" x14ac:dyDescent="0.45">
      <c r="A14" s="441" t="s">
        <v>1449</v>
      </c>
      <c r="B14" s="441" t="s">
        <v>1431</v>
      </c>
      <c r="C14" s="441"/>
      <c r="J14" s="445" t="s">
        <v>242</v>
      </c>
      <c r="K14" s="445" t="s">
        <v>426</v>
      </c>
      <c r="L14" s="445" t="s">
        <v>456</v>
      </c>
      <c r="M14" s="445" t="s">
        <v>398</v>
      </c>
      <c r="N14" s="446">
        <v>15.49</v>
      </c>
      <c r="O14" s="445" t="s">
        <v>422</v>
      </c>
      <c r="P14" s="445" t="s">
        <v>451</v>
      </c>
      <c r="Q14" s="445">
        <v>2015</v>
      </c>
      <c r="S14" s="452">
        <v>121</v>
      </c>
      <c r="T14" s="452" t="s">
        <v>2159</v>
      </c>
      <c r="U14" s="452" t="s">
        <v>9</v>
      </c>
      <c r="V14" s="452">
        <v>11</v>
      </c>
      <c r="W14" s="452"/>
      <c r="X14" s="452">
        <v>121</v>
      </c>
      <c r="Y14" s="452" t="s">
        <v>1999</v>
      </c>
      <c r="Z14" s="452" t="s">
        <v>7</v>
      </c>
      <c r="AA14" s="452">
        <v>11</v>
      </c>
      <c r="AB14" s="433"/>
    </row>
    <row r="15" spans="1:50" ht="15" customHeight="1" x14ac:dyDescent="0.45">
      <c r="A15" s="441" t="s">
        <v>1450</v>
      </c>
      <c r="B15" s="441" t="s">
        <v>902</v>
      </c>
      <c r="C15" s="441"/>
      <c r="J15" s="445" t="s">
        <v>237</v>
      </c>
      <c r="K15" s="445" t="s">
        <v>25</v>
      </c>
      <c r="L15" s="445" t="s">
        <v>457</v>
      </c>
      <c r="M15" s="445" t="s">
        <v>347</v>
      </c>
      <c r="N15" s="446">
        <v>49.53</v>
      </c>
      <c r="O15" s="445" t="s">
        <v>437</v>
      </c>
      <c r="P15" s="445" t="s">
        <v>443</v>
      </c>
      <c r="Q15" s="445">
        <v>2014</v>
      </c>
      <c r="S15" s="452">
        <v>131</v>
      </c>
      <c r="T15" s="452" t="s">
        <v>2160</v>
      </c>
      <c r="U15" s="452" t="s">
        <v>9</v>
      </c>
      <c r="V15" s="452">
        <v>11</v>
      </c>
      <c r="W15" s="452"/>
      <c r="X15" s="452">
        <v>131</v>
      </c>
      <c r="Y15" s="452" t="s">
        <v>2223</v>
      </c>
      <c r="Z15" s="452" t="s">
        <v>7</v>
      </c>
      <c r="AA15" s="452">
        <v>11</v>
      </c>
      <c r="AB15" s="433"/>
    </row>
    <row r="16" spans="1:50" ht="15" customHeight="1" x14ac:dyDescent="0.45">
      <c r="A16" s="441" t="s">
        <v>1451</v>
      </c>
      <c r="B16" s="441" t="s">
        <v>25</v>
      </c>
      <c r="C16" s="447" t="s">
        <v>1998</v>
      </c>
      <c r="D16" s="439" t="s">
        <v>1999</v>
      </c>
      <c r="J16" s="445" t="s">
        <v>231</v>
      </c>
      <c r="K16" s="445" t="s">
        <v>21</v>
      </c>
      <c r="L16" s="445" t="s">
        <v>431</v>
      </c>
      <c r="M16" s="445" t="s">
        <v>203</v>
      </c>
      <c r="N16" s="446">
        <v>59.79</v>
      </c>
      <c r="O16" s="445" t="s">
        <v>423</v>
      </c>
      <c r="P16" s="445" t="s">
        <v>458</v>
      </c>
      <c r="Q16" s="445">
        <v>2013</v>
      </c>
      <c r="S16" s="452">
        <v>141</v>
      </c>
      <c r="T16" s="452" t="s">
        <v>2161</v>
      </c>
      <c r="U16" s="452" t="s">
        <v>6</v>
      </c>
      <c r="V16" s="452">
        <v>11</v>
      </c>
      <c r="W16" s="452"/>
      <c r="X16" s="452">
        <v>141</v>
      </c>
      <c r="Y16" s="452" t="s">
        <v>2098</v>
      </c>
      <c r="Z16" s="452" t="s">
        <v>4</v>
      </c>
      <c r="AA16" s="452">
        <v>11</v>
      </c>
      <c r="AB16" s="433"/>
    </row>
    <row r="17" spans="1:28" ht="15" customHeight="1" x14ac:dyDescent="0.45">
      <c r="A17" s="441" t="s">
        <v>1452</v>
      </c>
      <c r="B17" s="441" t="s">
        <v>21</v>
      </c>
      <c r="C17" s="447" t="s">
        <v>1998</v>
      </c>
      <c r="D17" s="439" t="s">
        <v>1999</v>
      </c>
      <c r="J17" s="445" t="s">
        <v>243</v>
      </c>
      <c r="K17" s="445" t="s">
        <v>28</v>
      </c>
      <c r="L17" s="449" t="s">
        <v>459</v>
      </c>
      <c r="M17" s="445" t="s">
        <v>361</v>
      </c>
      <c r="N17" s="446">
        <v>61.4</v>
      </c>
      <c r="O17" s="445" t="s">
        <v>460</v>
      </c>
      <c r="P17" s="445" t="s">
        <v>461</v>
      </c>
      <c r="Q17" s="445">
        <v>2016</v>
      </c>
      <c r="S17" s="452">
        <v>151</v>
      </c>
      <c r="T17" s="452" t="s">
        <v>2131</v>
      </c>
      <c r="U17" s="452" t="s">
        <v>6</v>
      </c>
      <c r="V17" s="452">
        <v>11</v>
      </c>
      <c r="W17" s="452"/>
      <c r="X17" s="452">
        <v>151</v>
      </c>
      <c r="Y17" s="452" t="s">
        <v>1997</v>
      </c>
      <c r="Z17" s="452" t="s">
        <v>7</v>
      </c>
      <c r="AA17" s="452">
        <v>11</v>
      </c>
      <c r="AB17" s="433"/>
    </row>
    <row r="18" spans="1:28" ht="15" customHeight="1" x14ac:dyDescent="0.45">
      <c r="A18" s="441" t="s">
        <v>1453</v>
      </c>
      <c r="B18" s="447" t="s">
        <v>28</v>
      </c>
      <c r="C18" s="447" t="s">
        <v>1992</v>
      </c>
      <c r="D18" s="439" t="s">
        <v>1997</v>
      </c>
      <c r="J18" s="445" t="s">
        <v>318</v>
      </c>
      <c r="K18" s="445" t="s">
        <v>427</v>
      </c>
      <c r="L18" s="449" t="s">
        <v>912</v>
      </c>
      <c r="M18" s="445" t="s">
        <v>358</v>
      </c>
      <c r="N18" s="446">
        <v>45.4</v>
      </c>
      <c r="O18" s="445" t="s">
        <v>460</v>
      </c>
      <c r="P18" s="445" t="s">
        <v>462</v>
      </c>
      <c r="Q18" s="445">
        <v>2014</v>
      </c>
      <c r="S18" s="452">
        <v>161</v>
      </c>
      <c r="T18" s="452" t="s">
        <v>2162</v>
      </c>
      <c r="U18" s="452" t="s">
        <v>6</v>
      </c>
      <c r="V18" s="452">
        <v>11</v>
      </c>
      <c r="W18" s="452"/>
      <c r="X18" s="452">
        <v>161</v>
      </c>
      <c r="Y18" s="452" t="s">
        <v>1998</v>
      </c>
      <c r="Z18" s="452" t="s">
        <v>7</v>
      </c>
      <c r="AA18" s="452">
        <v>11</v>
      </c>
      <c r="AB18" s="433"/>
    </row>
    <row r="19" spans="1:28" ht="15" customHeight="1" x14ac:dyDescent="0.45">
      <c r="A19" s="441" t="s">
        <v>1454</v>
      </c>
      <c r="B19" s="441" t="s">
        <v>24</v>
      </c>
      <c r="C19" s="441" t="s">
        <v>1999</v>
      </c>
      <c r="D19" s="439" t="s">
        <v>1992</v>
      </c>
      <c r="J19" s="445" t="s">
        <v>314</v>
      </c>
      <c r="K19" s="445" t="s">
        <v>441</v>
      </c>
      <c r="L19" s="449" t="s">
        <v>912</v>
      </c>
      <c r="M19" s="445" t="s">
        <v>435</v>
      </c>
      <c r="N19" s="448">
        <v>1.7754629629629631E-3</v>
      </c>
      <c r="O19" s="445" t="s">
        <v>927</v>
      </c>
      <c r="P19" s="445" t="s">
        <v>948</v>
      </c>
      <c r="Q19" s="445">
        <v>2017</v>
      </c>
      <c r="S19" s="452">
        <v>171</v>
      </c>
      <c r="T19" s="452" t="s">
        <v>2065</v>
      </c>
      <c r="U19" s="452" t="s">
        <v>9</v>
      </c>
      <c r="V19" s="452">
        <v>11</v>
      </c>
      <c r="W19" s="452"/>
      <c r="X19" s="452">
        <v>171</v>
      </c>
      <c r="Y19" s="452" t="s">
        <v>1994</v>
      </c>
      <c r="Z19" s="452" t="s">
        <v>7</v>
      </c>
      <c r="AA19" s="452">
        <v>11</v>
      </c>
      <c r="AB19" s="433"/>
    </row>
    <row r="20" spans="1:28" ht="15" customHeight="1" x14ac:dyDescent="0.45">
      <c r="A20" s="441" t="s">
        <v>1455</v>
      </c>
      <c r="B20" s="441" t="s">
        <v>1432</v>
      </c>
      <c r="C20" s="447" t="s">
        <v>1991</v>
      </c>
      <c r="D20" s="439" t="s">
        <v>1993</v>
      </c>
      <c r="J20" s="445" t="s">
        <v>42</v>
      </c>
      <c r="K20" s="445" t="s">
        <v>16</v>
      </c>
      <c r="L20" s="445" t="s">
        <v>463</v>
      </c>
      <c r="M20" s="445" t="s">
        <v>361</v>
      </c>
      <c r="N20" s="446">
        <v>12</v>
      </c>
      <c r="O20" s="445" t="s">
        <v>424</v>
      </c>
      <c r="P20" s="445" t="s">
        <v>450</v>
      </c>
      <c r="Q20" s="445">
        <v>2015</v>
      </c>
      <c r="S20" s="452">
        <v>181</v>
      </c>
      <c r="T20" s="452" t="s">
        <v>2062</v>
      </c>
      <c r="U20" s="452" t="s">
        <v>9</v>
      </c>
      <c r="V20" s="452">
        <v>11</v>
      </c>
      <c r="W20" s="452"/>
      <c r="X20" s="452">
        <v>181</v>
      </c>
      <c r="Y20" s="452" t="s">
        <v>2099</v>
      </c>
      <c r="Z20" s="452" t="s">
        <v>4</v>
      </c>
      <c r="AA20" s="452">
        <v>11</v>
      </c>
      <c r="AB20" s="433"/>
    </row>
    <row r="21" spans="1:28" ht="15" customHeight="1" x14ac:dyDescent="0.45">
      <c r="A21" s="441" t="s">
        <v>1456</v>
      </c>
      <c r="B21" s="447" t="s">
        <v>1433</v>
      </c>
      <c r="C21" s="447"/>
      <c r="J21" s="445" t="s">
        <v>45</v>
      </c>
      <c r="K21" s="445" t="s">
        <v>17</v>
      </c>
      <c r="L21" s="445" t="s">
        <v>464</v>
      </c>
      <c r="M21" s="445" t="s">
        <v>435</v>
      </c>
      <c r="N21" s="446">
        <v>12</v>
      </c>
      <c r="O21" s="445" t="s">
        <v>444</v>
      </c>
      <c r="P21" s="445" t="s">
        <v>465</v>
      </c>
      <c r="Q21" s="445">
        <v>2016</v>
      </c>
      <c r="S21" s="452">
        <v>191</v>
      </c>
      <c r="T21" s="452" t="s">
        <v>2068</v>
      </c>
      <c r="U21" s="452" t="s">
        <v>9</v>
      </c>
      <c r="V21" s="452">
        <v>11</v>
      </c>
      <c r="W21" s="452"/>
      <c r="X21" s="452">
        <v>191</v>
      </c>
      <c r="Y21" s="452" t="s">
        <v>1995</v>
      </c>
      <c r="Z21" s="452" t="s">
        <v>7</v>
      </c>
      <c r="AA21" s="452">
        <v>11</v>
      </c>
      <c r="AB21" s="433"/>
    </row>
    <row r="22" spans="1:28" ht="15" customHeight="1" x14ac:dyDescent="0.45">
      <c r="A22" s="441" t="s">
        <v>1457</v>
      </c>
      <c r="B22" s="441" t="s">
        <v>1434</v>
      </c>
      <c r="C22" s="441" t="s">
        <v>1994</v>
      </c>
      <c r="D22" s="439" t="s">
        <v>1997</v>
      </c>
      <c r="J22" s="445" t="s">
        <v>37</v>
      </c>
      <c r="K22" s="445" t="s">
        <v>11</v>
      </c>
      <c r="L22" s="445" t="s">
        <v>1269</v>
      </c>
      <c r="M22" s="445" t="s">
        <v>385</v>
      </c>
      <c r="N22" s="446">
        <v>24.34</v>
      </c>
      <c r="O22" s="445" t="s">
        <v>1270</v>
      </c>
      <c r="P22" s="445" t="s">
        <v>1268</v>
      </c>
      <c r="Q22" s="445">
        <v>2018</v>
      </c>
      <c r="S22" s="452">
        <v>201</v>
      </c>
      <c r="T22" s="452" t="s">
        <v>2064</v>
      </c>
      <c r="U22" s="452" t="s">
        <v>9</v>
      </c>
      <c r="V22" s="452">
        <v>11</v>
      </c>
      <c r="W22" s="452"/>
      <c r="X22" s="452">
        <v>201</v>
      </c>
      <c r="Y22" s="452" t="s">
        <v>1993</v>
      </c>
      <c r="Z22" s="452" t="s">
        <v>7</v>
      </c>
      <c r="AA22" s="452">
        <v>11</v>
      </c>
      <c r="AB22" s="433"/>
    </row>
    <row r="23" spans="1:28" ht="15" customHeight="1" x14ac:dyDescent="0.45">
      <c r="A23" s="441" t="s">
        <v>1458</v>
      </c>
      <c r="B23" s="441" t="s">
        <v>1435</v>
      </c>
      <c r="C23" s="447" t="s">
        <v>1994</v>
      </c>
      <c r="D23" s="439" t="s">
        <v>1995</v>
      </c>
      <c r="J23" s="445" t="s">
        <v>507</v>
      </c>
      <c r="K23" s="445" t="s">
        <v>12</v>
      </c>
      <c r="L23" s="445" t="s">
        <v>466</v>
      </c>
      <c r="M23" s="445" t="s">
        <v>365</v>
      </c>
      <c r="N23" s="446">
        <v>1.4988425925925924E-3</v>
      </c>
      <c r="O23" s="445" t="s">
        <v>460</v>
      </c>
      <c r="P23" s="445" t="s">
        <v>461</v>
      </c>
      <c r="Q23" s="445">
        <v>2016</v>
      </c>
      <c r="S23" s="452">
        <v>211</v>
      </c>
      <c r="T23" s="452" t="s">
        <v>2132</v>
      </c>
      <c r="U23" s="452" t="s">
        <v>6</v>
      </c>
      <c r="V23" s="452">
        <v>11</v>
      </c>
      <c r="W23" s="452"/>
      <c r="X23" s="452">
        <v>211</v>
      </c>
      <c r="Y23" s="452" t="s">
        <v>2103</v>
      </c>
      <c r="Z23" s="452" t="s">
        <v>4</v>
      </c>
      <c r="AA23" s="452">
        <v>11</v>
      </c>
      <c r="AB23" s="433"/>
    </row>
    <row r="24" spans="1:28" ht="15" customHeight="1" x14ac:dyDescent="0.45">
      <c r="A24" s="441" t="s">
        <v>1459</v>
      </c>
      <c r="B24" s="447" t="s">
        <v>1436</v>
      </c>
      <c r="C24" s="447" t="s">
        <v>1992</v>
      </c>
      <c r="D24" s="439" t="s">
        <v>1997</v>
      </c>
      <c r="J24" s="445" t="s">
        <v>511</v>
      </c>
      <c r="K24" s="445" t="s">
        <v>13</v>
      </c>
      <c r="L24" s="445" t="s">
        <v>466</v>
      </c>
      <c r="M24" s="445" t="s">
        <v>365</v>
      </c>
      <c r="N24" s="448">
        <v>1.4988425925925924E-3</v>
      </c>
      <c r="O24" s="445" t="s">
        <v>460</v>
      </c>
      <c r="P24" s="445" t="s">
        <v>461</v>
      </c>
      <c r="Q24" s="445">
        <v>2016</v>
      </c>
      <c r="S24" s="452"/>
      <c r="T24" s="452" t="s">
        <v>914</v>
      </c>
      <c r="U24" s="452" t="s">
        <v>915</v>
      </c>
      <c r="V24" s="452"/>
      <c r="W24" s="452"/>
      <c r="X24" s="452">
        <v>221</v>
      </c>
      <c r="Y24" s="452" t="s">
        <v>2224</v>
      </c>
      <c r="Z24" s="452" t="s">
        <v>7</v>
      </c>
      <c r="AA24" s="452">
        <v>11</v>
      </c>
      <c r="AB24" s="433"/>
    </row>
    <row r="25" spans="1:28" ht="15" customHeight="1" x14ac:dyDescent="0.45">
      <c r="A25" s="441" t="s">
        <v>1460</v>
      </c>
      <c r="B25" s="441" t="s">
        <v>1437</v>
      </c>
      <c r="C25" s="441" t="s">
        <v>1996</v>
      </c>
      <c r="D25" s="439" t="s">
        <v>1991</v>
      </c>
      <c r="J25" s="445" t="s">
        <v>310</v>
      </c>
      <c r="K25" s="445" t="s">
        <v>20</v>
      </c>
      <c r="L25" s="445" t="s">
        <v>466</v>
      </c>
      <c r="M25" s="445" t="s">
        <v>365</v>
      </c>
      <c r="N25" s="448">
        <v>3.1087962962962966E-3</v>
      </c>
      <c r="O25" s="445" t="s">
        <v>433</v>
      </c>
      <c r="P25" s="445" t="s">
        <v>465</v>
      </c>
      <c r="Q25" s="445">
        <v>2016</v>
      </c>
      <c r="S25" s="452">
        <v>12</v>
      </c>
      <c r="T25" s="452" t="s">
        <v>2055</v>
      </c>
      <c r="U25" s="452" t="s">
        <v>9</v>
      </c>
      <c r="V25" s="452">
        <v>21</v>
      </c>
      <c r="W25" s="452"/>
      <c r="X25" s="452">
        <v>231</v>
      </c>
      <c r="Y25" s="452" t="s">
        <v>2225</v>
      </c>
      <c r="Z25" s="452" t="s">
        <v>7</v>
      </c>
      <c r="AA25" s="452">
        <v>11</v>
      </c>
      <c r="AB25" s="433"/>
    </row>
    <row r="26" spans="1:28" ht="15" customHeight="1" x14ac:dyDescent="0.45">
      <c r="A26" s="441" t="s">
        <v>1461</v>
      </c>
      <c r="B26" s="441" t="s">
        <v>1438</v>
      </c>
      <c r="C26" s="441" t="s">
        <v>1998</v>
      </c>
      <c r="D26" s="439" t="s">
        <v>1996</v>
      </c>
      <c r="J26" s="445" t="s">
        <v>33</v>
      </c>
      <c r="K26" s="445" t="s">
        <v>467</v>
      </c>
      <c r="L26" s="445" t="s">
        <v>1259</v>
      </c>
      <c r="M26" s="445" t="s">
        <v>424</v>
      </c>
      <c r="N26" s="448">
        <v>11.15</v>
      </c>
      <c r="O26" s="445" t="s">
        <v>922</v>
      </c>
      <c r="P26" s="445" t="s">
        <v>1251</v>
      </c>
      <c r="Q26" s="445">
        <v>2018</v>
      </c>
      <c r="S26" s="452">
        <v>22</v>
      </c>
      <c r="T26" s="452" t="s">
        <v>2136</v>
      </c>
      <c r="U26" s="452" t="s">
        <v>6</v>
      </c>
      <c r="V26" s="452">
        <v>21</v>
      </c>
      <c r="W26" s="452"/>
      <c r="X26" s="452">
        <v>241</v>
      </c>
      <c r="Y26" s="452" t="s">
        <v>2104</v>
      </c>
      <c r="Z26" s="452" t="s">
        <v>4</v>
      </c>
      <c r="AA26" s="452">
        <v>11</v>
      </c>
      <c r="AB26" s="433"/>
    </row>
    <row r="27" spans="1:28" ht="15" customHeight="1" x14ac:dyDescent="0.45">
      <c r="A27" s="441" t="s">
        <v>1462</v>
      </c>
      <c r="B27" s="447" t="s">
        <v>1439</v>
      </c>
      <c r="C27" s="447" t="s">
        <v>1995</v>
      </c>
      <c r="D27" s="439" t="s">
        <v>1994</v>
      </c>
      <c r="J27" s="445" t="s">
        <v>234</v>
      </c>
      <c r="K27" s="445" t="s">
        <v>23</v>
      </c>
      <c r="L27" s="445" t="s">
        <v>924</v>
      </c>
      <c r="M27" s="445" t="s">
        <v>925</v>
      </c>
      <c r="N27" s="446">
        <v>1.64</v>
      </c>
      <c r="O27" s="445" t="s">
        <v>925</v>
      </c>
      <c r="P27" s="445" t="s">
        <v>926</v>
      </c>
      <c r="Q27" s="445">
        <v>2017</v>
      </c>
      <c r="S27" s="452">
        <v>32</v>
      </c>
      <c r="T27" s="452" t="s">
        <v>2058</v>
      </c>
      <c r="U27" s="452" t="s">
        <v>9</v>
      </c>
      <c r="V27" s="452">
        <v>21</v>
      </c>
      <c r="W27" s="452"/>
      <c r="X27" s="452"/>
      <c r="Y27" s="452" t="s">
        <v>914</v>
      </c>
      <c r="Z27" s="452" t="s">
        <v>915</v>
      </c>
      <c r="AA27" s="452"/>
      <c r="AB27" s="433"/>
    </row>
    <row r="28" spans="1:28" ht="15" customHeight="1" x14ac:dyDescent="0.45">
      <c r="A28" s="441"/>
      <c r="B28" s="447" t="s">
        <v>1424</v>
      </c>
      <c r="C28" s="447" t="s">
        <v>100</v>
      </c>
      <c r="J28" s="445" t="s">
        <v>297</v>
      </c>
      <c r="K28" s="445" t="s">
        <v>22</v>
      </c>
      <c r="L28" s="445" t="s">
        <v>1244</v>
      </c>
      <c r="M28" s="445" t="s">
        <v>365</v>
      </c>
      <c r="N28" s="446">
        <v>5.45</v>
      </c>
      <c r="O28" s="445" t="s">
        <v>433</v>
      </c>
      <c r="P28" s="445" t="s">
        <v>1268</v>
      </c>
      <c r="Q28" s="445">
        <v>2018</v>
      </c>
      <c r="S28" s="452">
        <v>42</v>
      </c>
      <c r="T28" s="452" t="s">
        <v>2134</v>
      </c>
      <c r="U28" s="452" t="s">
        <v>6</v>
      </c>
      <c r="V28" s="452">
        <v>21</v>
      </c>
      <c r="W28" s="452"/>
      <c r="X28" s="452">
        <v>12</v>
      </c>
      <c r="Y28" s="452" t="s">
        <v>2002</v>
      </c>
      <c r="Z28" s="452" t="s">
        <v>7</v>
      </c>
      <c r="AA28" s="452">
        <v>21</v>
      </c>
      <c r="AB28" s="433"/>
    </row>
    <row r="29" spans="1:28" ht="15" customHeight="1" x14ac:dyDescent="0.45">
      <c r="A29" s="441"/>
      <c r="B29" s="441" t="s">
        <v>1425</v>
      </c>
      <c r="C29" s="441" t="s">
        <v>793</v>
      </c>
      <c r="J29" s="445" t="s">
        <v>245</v>
      </c>
      <c r="K29" s="445" t="s">
        <v>426</v>
      </c>
      <c r="L29" s="445" t="s">
        <v>469</v>
      </c>
      <c r="M29" s="445" t="s">
        <v>470</v>
      </c>
      <c r="N29" s="446">
        <v>12.35</v>
      </c>
      <c r="O29" s="445" t="s">
        <v>471</v>
      </c>
      <c r="P29" s="445" t="s">
        <v>455</v>
      </c>
      <c r="Q29" s="445">
        <v>2013</v>
      </c>
      <c r="S29" s="452">
        <v>52</v>
      </c>
      <c r="T29" s="452" t="s">
        <v>2141</v>
      </c>
      <c r="U29" s="452" t="s">
        <v>6</v>
      </c>
      <c r="V29" s="452">
        <v>20</v>
      </c>
      <c r="W29" s="452"/>
      <c r="X29" s="452">
        <v>22</v>
      </c>
      <c r="Y29" s="452" t="s">
        <v>2226</v>
      </c>
      <c r="Z29" s="452" t="s">
        <v>4</v>
      </c>
      <c r="AA29" s="452">
        <v>21</v>
      </c>
      <c r="AB29" s="433"/>
    </row>
    <row r="30" spans="1:28" ht="15" customHeight="1" x14ac:dyDescent="0.45">
      <c r="A30" s="441"/>
      <c r="B30" s="441" t="s">
        <v>1426</v>
      </c>
      <c r="C30" s="441" t="s">
        <v>7</v>
      </c>
      <c r="J30" s="445" t="s">
        <v>246</v>
      </c>
      <c r="K30" s="445" t="s">
        <v>28</v>
      </c>
      <c r="L30" s="445" t="s">
        <v>472</v>
      </c>
      <c r="M30" s="445" t="s">
        <v>203</v>
      </c>
      <c r="N30" s="446">
        <v>48.28</v>
      </c>
      <c r="O30" s="445" t="s">
        <v>423</v>
      </c>
      <c r="P30" s="445" t="s">
        <v>468</v>
      </c>
      <c r="Q30" s="445">
        <v>2015</v>
      </c>
      <c r="S30" s="452">
        <v>62</v>
      </c>
      <c r="T30" s="452" t="s">
        <v>2163</v>
      </c>
      <c r="U30" s="452" t="s">
        <v>6</v>
      </c>
      <c r="V30" s="452">
        <v>20</v>
      </c>
      <c r="W30" s="452"/>
      <c r="X30" s="452">
        <v>32</v>
      </c>
      <c r="Y30" s="452" t="s">
        <v>2093</v>
      </c>
      <c r="Z30" s="452" t="s">
        <v>4</v>
      </c>
      <c r="AA30" s="452">
        <v>22</v>
      </c>
      <c r="AB30" s="433"/>
    </row>
    <row r="31" spans="1:28" ht="15" customHeight="1" x14ac:dyDescent="0.45">
      <c r="A31" s="441"/>
      <c r="B31" s="441" t="s">
        <v>901</v>
      </c>
      <c r="C31" s="441">
        <v>2</v>
      </c>
      <c r="D31" s="439">
        <v>22</v>
      </c>
      <c r="J31" s="445" t="s">
        <v>316</v>
      </c>
      <c r="K31" s="445" t="s">
        <v>427</v>
      </c>
      <c r="L31" s="445" t="s">
        <v>912</v>
      </c>
      <c r="M31" s="445" t="s">
        <v>937</v>
      </c>
      <c r="N31" s="446">
        <v>50.3</v>
      </c>
      <c r="O31" s="445" t="s">
        <v>1271</v>
      </c>
      <c r="P31" s="445" t="s">
        <v>1268</v>
      </c>
      <c r="Q31" s="445">
        <v>2018</v>
      </c>
      <c r="S31" s="452">
        <v>72</v>
      </c>
      <c r="T31" s="452" t="s">
        <v>2164</v>
      </c>
      <c r="U31" s="452" t="s">
        <v>9</v>
      </c>
      <c r="V31" s="452">
        <v>21</v>
      </c>
      <c r="W31" s="452"/>
      <c r="X31" s="452">
        <v>42</v>
      </c>
      <c r="Y31" s="452" t="s">
        <v>2097</v>
      </c>
      <c r="Z31" s="452" t="s">
        <v>4</v>
      </c>
      <c r="AA31" s="452">
        <v>21</v>
      </c>
      <c r="AB31" s="433"/>
    </row>
    <row r="32" spans="1:28" ht="15" customHeight="1" x14ac:dyDescent="0.45">
      <c r="A32" s="441" t="s">
        <v>1463</v>
      </c>
      <c r="B32" s="441" t="s">
        <v>1427</v>
      </c>
      <c r="C32" s="441" t="s">
        <v>2000</v>
      </c>
      <c r="D32" s="439" t="s">
        <v>2001</v>
      </c>
      <c r="J32" s="445" t="s">
        <v>43</v>
      </c>
      <c r="K32" s="445" t="s">
        <v>16</v>
      </c>
      <c r="L32" s="445" t="s">
        <v>1272</v>
      </c>
      <c r="M32" s="445" t="s">
        <v>951</v>
      </c>
      <c r="N32" s="446">
        <v>12.1</v>
      </c>
      <c r="O32" s="445" t="s">
        <v>1203</v>
      </c>
      <c r="P32" s="445" t="s">
        <v>1243</v>
      </c>
      <c r="Q32" s="445">
        <v>2018</v>
      </c>
      <c r="S32" s="452">
        <v>82</v>
      </c>
      <c r="T32" s="452" t="s">
        <v>2142</v>
      </c>
      <c r="U32" s="452" t="s">
        <v>6</v>
      </c>
      <c r="V32" s="452">
        <v>20</v>
      </c>
      <c r="W32" s="452"/>
      <c r="X32" s="452">
        <v>52</v>
      </c>
      <c r="Y32" s="452" t="s">
        <v>2004</v>
      </c>
      <c r="Z32" s="452" t="s">
        <v>7</v>
      </c>
      <c r="AA32" s="452">
        <v>21</v>
      </c>
      <c r="AB32" s="433"/>
    </row>
    <row r="33" spans="1:28" ht="15" customHeight="1" x14ac:dyDescent="0.45">
      <c r="A33" s="441" t="s">
        <v>1464</v>
      </c>
      <c r="B33" s="441" t="s">
        <v>1428</v>
      </c>
      <c r="C33" s="441"/>
      <c r="J33" s="445" t="s">
        <v>46</v>
      </c>
      <c r="K33" s="445" t="s">
        <v>17</v>
      </c>
      <c r="L33" s="449" t="s">
        <v>1272</v>
      </c>
      <c r="M33" s="445" t="s">
        <v>951</v>
      </c>
      <c r="N33" s="446">
        <v>12.1</v>
      </c>
      <c r="O33" s="445" t="s">
        <v>1203</v>
      </c>
      <c r="P33" s="445" t="s">
        <v>1243</v>
      </c>
      <c r="Q33" s="445">
        <v>2018</v>
      </c>
      <c r="S33" s="452">
        <v>92</v>
      </c>
      <c r="T33" s="452" t="s">
        <v>2165</v>
      </c>
      <c r="U33" s="452" t="s">
        <v>9</v>
      </c>
      <c r="V33" s="452">
        <v>22</v>
      </c>
      <c r="W33" s="452"/>
      <c r="X33" s="452">
        <v>62</v>
      </c>
      <c r="Y33" s="452" t="s">
        <v>2005</v>
      </c>
      <c r="Z33" s="452" t="s">
        <v>7</v>
      </c>
      <c r="AA33" s="452">
        <v>21</v>
      </c>
      <c r="AB33" s="433"/>
    </row>
    <row r="34" spans="1:28" ht="15" customHeight="1" x14ac:dyDescent="0.45">
      <c r="A34" s="441" t="s">
        <v>1465</v>
      </c>
      <c r="B34" s="447">
        <v>200</v>
      </c>
      <c r="C34" s="441" t="s">
        <v>2002</v>
      </c>
      <c r="D34" s="439" t="s">
        <v>2003</v>
      </c>
      <c r="J34" s="445" t="s">
        <v>38</v>
      </c>
      <c r="K34" s="445" t="s">
        <v>11</v>
      </c>
      <c r="L34" s="449" t="s">
        <v>473</v>
      </c>
      <c r="M34" s="445" t="s">
        <v>101</v>
      </c>
      <c r="N34" s="446">
        <v>24.6</v>
      </c>
      <c r="O34" s="445" t="s">
        <v>436</v>
      </c>
      <c r="P34" s="445" t="s">
        <v>445</v>
      </c>
      <c r="Q34" s="445">
        <v>2013</v>
      </c>
      <c r="S34" s="452">
        <v>102</v>
      </c>
      <c r="T34" s="452" t="s">
        <v>2166</v>
      </c>
      <c r="U34" s="452" t="s">
        <v>9</v>
      </c>
      <c r="V34" s="452">
        <v>21</v>
      </c>
      <c r="W34" s="452"/>
      <c r="X34" s="452">
        <v>72</v>
      </c>
      <c r="Y34" s="452" t="s">
        <v>2094</v>
      </c>
      <c r="Z34" s="452" t="s">
        <v>4</v>
      </c>
      <c r="AA34" s="452">
        <v>21</v>
      </c>
      <c r="AB34" s="433"/>
    </row>
    <row r="35" spans="1:28" ht="15" customHeight="1" x14ac:dyDescent="0.45">
      <c r="A35" s="441" t="s">
        <v>1466</v>
      </c>
      <c r="B35" s="441">
        <v>400</v>
      </c>
      <c r="C35" s="441"/>
      <c r="J35" s="445" t="s">
        <v>48</v>
      </c>
      <c r="K35" s="445" t="s">
        <v>18</v>
      </c>
      <c r="L35" s="445" t="s">
        <v>1273</v>
      </c>
      <c r="M35" s="445" t="s">
        <v>385</v>
      </c>
      <c r="N35" s="446">
        <v>40.11</v>
      </c>
      <c r="O35" s="445" t="s">
        <v>1270</v>
      </c>
      <c r="P35" s="445" t="s">
        <v>1268</v>
      </c>
      <c r="Q35" s="445">
        <v>2018</v>
      </c>
      <c r="S35" s="452">
        <v>112</v>
      </c>
      <c r="T35" s="452" t="s">
        <v>2056</v>
      </c>
      <c r="U35" s="452" t="s">
        <v>9</v>
      </c>
      <c r="V35" s="452">
        <v>21</v>
      </c>
      <c r="W35" s="452"/>
      <c r="X35" s="452">
        <v>82</v>
      </c>
      <c r="Y35" s="452" t="s">
        <v>2095</v>
      </c>
      <c r="Z35" s="452" t="s">
        <v>4</v>
      </c>
      <c r="AA35" s="452">
        <v>21</v>
      </c>
      <c r="AB35" s="433"/>
    </row>
    <row r="36" spans="1:28" ht="15" customHeight="1" x14ac:dyDescent="0.45">
      <c r="A36" s="441" t="s">
        <v>1467</v>
      </c>
      <c r="B36" s="441">
        <v>800</v>
      </c>
      <c r="C36" s="441" t="s">
        <v>2004</v>
      </c>
      <c r="D36" s="439" t="s">
        <v>2005</v>
      </c>
      <c r="J36" s="445" t="s">
        <v>508</v>
      </c>
      <c r="K36" s="445" t="s">
        <v>12</v>
      </c>
      <c r="L36" s="445" t="s">
        <v>475</v>
      </c>
      <c r="M36" s="445" t="s">
        <v>111</v>
      </c>
      <c r="N36" s="446">
        <v>1.4791666666666666E-3</v>
      </c>
      <c r="O36" s="445" t="s">
        <v>476</v>
      </c>
      <c r="P36" s="445" t="s">
        <v>450</v>
      </c>
      <c r="Q36" s="445">
        <v>2015</v>
      </c>
      <c r="S36" s="452">
        <v>122</v>
      </c>
      <c r="T36" s="452" t="s">
        <v>2059</v>
      </c>
      <c r="U36" s="452" t="s">
        <v>9</v>
      </c>
      <c r="V36" s="452">
        <v>21</v>
      </c>
      <c r="W36" s="452"/>
      <c r="X36" s="452">
        <v>92</v>
      </c>
      <c r="Y36" s="452" t="s">
        <v>2091</v>
      </c>
      <c r="Z36" s="452" t="s">
        <v>4</v>
      </c>
      <c r="AA36" s="452">
        <v>21</v>
      </c>
      <c r="AB36" s="433"/>
    </row>
    <row r="37" spans="1:28" ht="15" customHeight="1" x14ac:dyDescent="0.45">
      <c r="A37" s="441" t="s">
        <v>1468</v>
      </c>
      <c r="B37" s="441" t="s">
        <v>1429</v>
      </c>
      <c r="C37" s="441"/>
      <c r="J37" s="445" t="s">
        <v>512</v>
      </c>
      <c r="K37" s="445" t="s">
        <v>13</v>
      </c>
      <c r="L37" s="445" t="s">
        <v>475</v>
      </c>
      <c r="M37" s="445" t="s">
        <v>111</v>
      </c>
      <c r="N37" s="446">
        <v>1.4791666666666666E-3</v>
      </c>
      <c r="O37" s="445" t="s">
        <v>476</v>
      </c>
      <c r="P37" s="445" t="s">
        <v>450</v>
      </c>
      <c r="Q37" s="445">
        <v>2015</v>
      </c>
      <c r="S37" s="452">
        <v>132</v>
      </c>
      <c r="T37" s="452" t="s">
        <v>2167</v>
      </c>
      <c r="U37" s="452" t="s">
        <v>9</v>
      </c>
      <c r="V37" s="452">
        <v>21</v>
      </c>
      <c r="W37" s="452"/>
      <c r="X37" s="452">
        <v>102</v>
      </c>
      <c r="Y37" s="452" t="s">
        <v>2227</v>
      </c>
      <c r="Z37" s="452" t="s">
        <v>7</v>
      </c>
      <c r="AA37" s="452">
        <v>21</v>
      </c>
      <c r="AB37" s="433"/>
    </row>
    <row r="38" spans="1:28" ht="15" customHeight="1" x14ac:dyDescent="0.45">
      <c r="A38" s="441" t="s">
        <v>1469</v>
      </c>
      <c r="B38" s="441">
        <v>1500</v>
      </c>
      <c r="C38" s="441"/>
      <c r="J38" s="445" t="s">
        <v>311</v>
      </c>
      <c r="K38" s="445" t="s">
        <v>20</v>
      </c>
      <c r="L38" s="445" t="s">
        <v>477</v>
      </c>
      <c r="M38" s="445" t="s">
        <v>478</v>
      </c>
      <c r="N38" s="446">
        <v>3.1932870370370374E-3</v>
      </c>
      <c r="O38" s="445" t="s">
        <v>434</v>
      </c>
      <c r="P38" s="445" t="s">
        <v>474</v>
      </c>
      <c r="Q38" s="445">
        <v>2015</v>
      </c>
      <c r="S38" s="452">
        <v>142</v>
      </c>
      <c r="T38" s="452" t="s">
        <v>2137</v>
      </c>
      <c r="U38" s="452" t="s">
        <v>6</v>
      </c>
      <c r="V38" s="452">
        <v>21</v>
      </c>
      <c r="W38" s="452"/>
      <c r="X38" s="452">
        <v>112</v>
      </c>
      <c r="Y38" s="452" t="s">
        <v>2001</v>
      </c>
      <c r="Z38" s="452" t="s">
        <v>7</v>
      </c>
      <c r="AA38" s="452">
        <v>21</v>
      </c>
      <c r="AB38" s="433"/>
    </row>
    <row r="39" spans="1:28" ht="15" customHeight="1" x14ac:dyDescent="0.45">
      <c r="A39" s="441" t="s">
        <v>1470</v>
      </c>
      <c r="B39" s="441" t="s">
        <v>1430</v>
      </c>
      <c r="C39" s="447" t="s">
        <v>2006</v>
      </c>
      <c r="D39" s="439" t="s">
        <v>2003</v>
      </c>
      <c r="J39" s="445" t="s">
        <v>34</v>
      </c>
      <c r="K39" s="445" t="s">
        <v>467</v>
      </c>
      <c r="L39" s="445" t="s">
        <v>479</v>
      </c>
      <c r="M39" s="445" t="s">
        <v>352</v>
      </c>
      <c r="N39" s="448">
        <v>11.1</v>
      </c>
      <c r="O39" s="445" t="s">
        <v>480</v>
      </c>
      <c r="P39" s="445" t="s">
        <v>438</v>
      </c>
      <c r="Q39" s="445">
        <v>2013</v>
      </c>
      <c r="S39" s="452">
        <v>152</v>
      </c>
      <c r="T39" s="452" t="s">
        <v>2168</v>
      </c>
      <c r="U39" s="452" t="s">
        <v>6</v>
      </c>
      <c r="V39" s="452">
        <v>21</v>
      </c>
      <c r="W39" s="452"/>
      <c r="X39" s="452">
        <v>122</v>
      </c>
      <c r="Y39" s="452" t="s">
        <v>2228</v>
      </c>
      <c r="Z39" s="452" t="s">
        <v>7</v>
      </c>
      <c r="AA39" s="452">
        <v>21</v>
      </c>
      <c r="AB39" s="433"/>
    </row>
    <row r="40" spans="1:28" ht="15" customHeight="1" x14ac:dyDescent="0.45">
      <c r="A40" s="441" t="s">
        <v>1471</v>
      </c>
      <c r="B40" s="441">
        <v>3000</v>
      </c>
      <c r="C40" s="447"/>
      <c r="J40" s="445" t="s">
        <v>233</v>
      </c>
      <c r="K40" s="445" t="s">
        <v>23</v>
      </c>
      <c r="L40" s="445" t="s">
        <v>913</v>
      </c>
      <c r="M40" s="445" t="s">
        <v>375</v>
      </c>
      <c r="N40" s="448">
        <v>1.73</v>
      </c>
      <c r="O40" s="445" t="s">
        <v>440</v>
      </c>
      <c r="P40" s="445" t="s">
        <v>450</v>
      </c>
      <c r="Q40" s="445">
        <v>2015</v>
      </c>
      <c r="S40" s="452">
        <v>162</v>
      </c>
      <c r="T40" s="452" t="s">
        <v>2169</v>
      </c>
      <c r="U40" s="452" t="s">
        <v>6</v>
      </c>
      <c r="V40" s="452">
        <v>21</v>
      </c>
      <c r="W40" s="452"/>
      <c r="X40" s="452">
        <v>132</v>
      </c>
      <c r="Y40" s="452" t="s">
        <v>2007</v>
      </c>
      <c r="Z40" s="452" t="s">
        <v>7</v>
      </c>
      <c r="AA40" s="452">
        <v>21</v>
      </c>
      <c r="AB40" s="433"/>
    </row>
    <row r="41" spans="1:28" ht="15" customHeight="1" x14ac:dyDescent="0.45">
      <c r="A41" s="441" t="s">
        <v>1472</v>
      </c>
      <c r="B41" s="441" t="s">
        <v>1431</v>
      </c>
      <c r="C41" s="441"/>
      <c r="J41" s="445" t="s">
        <v>233</v>
      </c>
      <c r="K41" s="445" t="s">
        <v>23</v>
      </c>
      <c r="L41" s="445" t="s">
        <v>481</v>
      </c>
      <c r="M41" s="445" t="s">
        <v>101</v>
      </c>
      <c r="N41" s="448">
        <v>1.73</v>
      </c>
      <c r="O41" s="445" t="s">
        <v>482</v>
      </c>
      <c r="P41" s="445" t="s">
        <v>468</v>
      </c>
      <c r="Q41" s="445">
        <v>2015</v>
      </c>
      <c r="S41" s="452">
        <v>172</v>
      </c>
      <c r="T41" s="452" t="s">
        <v>2053</v>
      </c>
      <c r="U41" s="452" t="s">
        <v>9</v>
      </c>
      <c r="V41" s="452">
        <v>21</v>
      </c>
      <c r="W41" s="452"/>
      <c r="X41" s="452">
        <v>142</v>
      </c>
      <c r="Y41" s="452" t="s">
        <v>2000</v>
      </c>
      <c r="Z41" s="452" t="s">
        <v>7</v>
      </c>
      <c r="AA41" s="452">
        <v>21</v>
      </c>
      <c r="AB41" s="433"/>
    </row>
    <row r="42" spans="1:28" ht="15" customHeight="1" x14ac:dyDescent="0.45">
      <c r="A42" s="441" t="s">
        <v>1473</v>
      </c>
      <c r="B42" s="441" t="s">
        <v>902</v>
      </c>
      <c r="C42" s="441"/>
      <c r="J42" s="445" t="s">
        <v>240</v>
      </c>
      <c r="K42" s="445" t="s">
        <v>27</v>
      </c>
      <c r="L42" s="445" t="s">
        <v>1012</v>
      </c>
      <c r="M42" s="445" t="s">
        <v>435</v>
      </c>
      <c r="N42" s="446">
        <v>3.42</v>
      </c>
      <c r="O42" s="445" t="s">
        <v>422</v>
      </c>
      <c r="P42" s="445" t="s">
        <v>1011</v>
      </c>
      <c r="Q42" s="445">
        <v>2017</v>
      </c>
      <c r="S42" s="452">
        <v>182</v>
      </c>
      <c r="T42" s="452" t="s">
        <v>2138</v>
      </c>
      <c r="U42" s="452" t="s">
        <v>6</v>
      </c>
      <c r="V42" s="452">
        <v>21</v>
      </c>
      <c r="W42" s="452"/>
      <c r="X42" s="452">
        <v>152</v>
      </c>
      <c r="Y42" s="452" t="s">
        <v>2006</v>
      </c>
      <c r="Z42" s="452" t="s">
        <v>7</v>
      </c>
      <c r="AA42" s="452">
        <v>21</v>
      </c>
      <c r="AB42" s="433"/>
    </row>
    <row r="43" spans="1:28" ht="15" customHeight="1" x14ac:dyDescent="0.45">
      <c r="A43" s="441" t="s">
        <v>1474</v>
      </c>
      <c r="B43" s="441" t="s">
        <v>25</v>
      </c>
      <c r="C43" s="441" t="s">
        <v>2007</v>
      </c>
      <c r="D43" s="439" t="s">
        <v>2001</v>
      </c>
      <c r="J43" s="445" t="s">
        <v>298</v>
      </c>
      <c r="K43" s="445" t="s">
        <v>22</v>
      </c>
      <c r="L43" s="445" t="s">
        <v>949</v>
      </c>
      <c r="M43" s="445" t="s">
        <v>376</v>
      </c>
      <c r="N43" s="446">
        <v>5.63</v>
      </c>
      <c r="O43" s="445" t="s">
        <v>428</v>
      </c>
      <c r="P43" s="445" t="s">
        <v>948</v>
      </c>
      <c r="Q43" s="445">
        <v>2017</v>
      </c>
      <c r="S43" s="452">
        <v>192</v>
      </c>
      <c r="T43" s="452" t="s">
        <v>2170</v>
      </c>
      <c r="U43" s="452" t="s">
        <v>6</v>
      </c>
      <c r="V43" s="452">
        <v>21</v>
      </c>
      <c r="W43" s="452"/>
      <c r="X43" s="452">
        <v>162</v>
      </c>
      <c r="Y43" s="452" t="s">
        <v>2003</v>
      </c>
      <c r="Z43" s="452" t="s">
        <v>7</v>
      </c>
      <c r="AA43" s="452">
        <v>21</v>
      </c>
      <c r="AB43" s="433"/>
    </row>
    <row r="44" spans="1:28" ht="15" customHeight="1" x14ac:dyDescent="0.45">
      <c r="A44" s="441" t="s">
        <v>1475</v>
      </c>
      <c r="B44" s="441" t="s">
        <v>21</v>
      </c>
      <c r="C44" s="447" t="s">
        <v>2007</v>
      </c>
      <c r="D44" s="439" t="s">
        <v>2006</v>
      </c>
      <c r="J44" s="445" t="s">
        <v>247</v>
      </c>
      <c r="K44" s="445" t="s">
        <v>426</v>
      </c>
      <c r="L44" s="445" t="s">
        <v>1228</v>
      </c>
      <c r="M44" s="445" t="s">
        <v>361</v>
      </c>
      <c r="N44" s="446">
        <v>13.72</v>
      </c>
      <c r="O44" s="445" t="s">
        <v>1229</v>
      </c>
      <c r="P44" s="445" t="s">
        <v>1230</v>
      </c>
      <c r="Q44" s="445">
        <v>2018</v>
      </c>
      <c r="S44" s="452">
        <v>202</v>
      </c>
      <c r="T44" s="452" t="s">
        <v>2139</v>
      </c>
      <c r="U44" s="452" t="s">
        <v>6</v>
      </c>
      <c r="V44" s="452">
        <v>21</v>
      </c>
      <c r="W44" s="452"/>
      <c r="X44" s="452">
        <v>172</v>
      </c>
      <c r="Y44" s="452" t="s">
        <v>2092</v>
      </c>
      <c r="Z44" s="452" t="s">
        <v>4</v>
      </c>
      <c r="AA44" s="452">
        <v>21</v>
      </c>
      <c r="AB44" s="433"/>
    </row>
    <row r="45" spans="1:28" ht="15" customHeight="1" x14ac:dyDescent="0.45">
      <c r="A45" s="441" t="s">
        <v>1476</v>
      </c>
      <c r="B45" s="447" t="s">
        <v>28</v>
      </c>
      <c r="C45" s="447" t="s">
        <v>2006</v>
      </c>
      <c r="D45" s="439" t="s">
        <v>2003</v>
      </c>
      <c r="J45" s="445" t="s">
        <v>235</v>
      </c>
      <c r="K45" s="445" t="s">
        <v>25</v>
      </c>
      <c r="L45" s="445" t="s">
        <v>485</v>
      </c>
      <c r="M45" s="445" t="s">
        <v>367</v>
      </c>
      <c r="N45" s="446">
        <v>39.94</v>
      </c>
      <c r="O45" s="445" t="s">
        <v>471</v>
      </c>
      <c r="P45" s="445" t="s">
        <v>455</v>
      </c>
      <c r="Q45" s="445">
        <v>2013</v>
      </c>
      <c r="S45" s="452">
        <v>212</v>
      </c>
      <c r="T45" s="452" t="s">
        <v>2133</v>
      </c>
      <c r="U45" s="452" t="s">
        <v>6</v>
      </c>
      <c r="V45" s="452">
        <v>21</v>
      </c>
      <c r="W45" s="452"/>
      <c r="X45" s="452">
        <v>182</v>
      </c>
      <c r="Y45" s="452" t="s">
        <v>2096</v>
      </c>
      <c r="Z45" s="452" t="s">
        <v>4</v>
      </c>
      <c r="AA45" s="452">
        <v>21</v>
      </c>
      <c r="AB45" s="433"/>
    </row>
    <row r="46" spans="1:28" ht="15" customHeight="1" x14ac:dyDescent="0.45">
      <c r="A46" s="441" t="s">
        <v>1477</v>
      </c>
      <c r="B46" s="447" t="s">
        <v>24</v>
      </c>
      <c r="C46" s="447" t="s">
        <v>2002</v>
      </c>
      <c r="D46" s="439" t="s">
        <v>2007</v>
      </c>
      <c r="J46" s="445" t="s">
        <v>232</v>
      </c>
      <c r="K46" s="445" t="s">
        <v>21</v>
      </c>
      <c r="L46" s="445" t="s">
        <v>486</v>
      </c>
      <c r="M46" s="445" t="s">
        <v>487</v>
      </c>
      <c r="N46" s="446">
        <v>55.15</v>
      </c>
      <c r="O46" s="445" t="s">
        <v>488</v>
      </c>
      <c r="P46" s="445" t="s">
        <v>465</v>
      </c>
      <c r="Q46" s="445">
        <v>2016</v>
      </c>
      <c r="S46" s="452">
        <v>222</v>
      </c>
      <c r="T46" s="452" t="s">
        <v>2171</v>
      </c>
      <c r="U46" s="452" t="s">
        <v>9</v>
      </c>
      <c r="V46" s="452">
        <v>22</v>
      </c>
      <c r="W46" s="452"/>
      <c r="X46" s="452">
        <v>192</v>
      </c>
      <c r="Y46" s="452" t="s">
        <v>2008</v>
      </c>
      <c r="Z46" s="452" t="s">
        <v>7</v>
      </c>
      <c r="AA46" s="452">
        <v>21</v>
      </c>
      <c r="AB46" s="433"/>
    </row>
    <row r="47" spans="1:28" ht="15" customHeight="1" x14ac:dyDescent="0.45">
      <c r="A47" s="441" t="s">
        <v>1478</v>
      </c>
      <c r="B47" s="441" t="s">
        <v>1432</v>
      </c>
      <c r="C47" s="447" t="s">
        <v>2000</v>
      </c>
      <c r="D47" s="439" t="s">
        <v>2002</v>
      </c>
      <c r="J47" s="445" t="s">
        <v>244</v>
      </c>
      <c r="K47" s="445" t="s">
        <v>28</v>
      </c>
      <c r="L47" s="445" t="s">
        <v>489</v>
      </c>
      <c r="M47" s="445" t="s">
        <v>407</v>
      </c>
      <c r="N47" s="446">
        <v>45.76</v>
      </c>
      <c r="O47" s="445" t="s">
        <v>490</v>
      </c>
      <c r="P47" s="445" t="s">
        <v>491</v>
      </c>
      <c r="Q47" s="445">
        <v>2016</v>
      </c>
      <c r="S47" s="452">
        <v>232</v>
      </c>
      <c r="T47" s="452" t="s">
        <v>2057</v>
      </c>
      <c r="U47" s="452" t="s">
        <v>9</v>
      </c>
      <c r="V47" s="452">
        <v>21</v>
      </c>
      <c r="W47" s="452"/>
      <c r="X47" s="452"/>
      <c r="Y47" s="452" t="s">
        <v>914</v>
      </c>
      <c r="Z47" s="452" t="s">
        <v>915</v>
      </c>
      <c r="AA47" s="452"/>
      <c r="AB47" s="433"/>
    </row>
    <row r="48" spans="1:28" ht="15" customHeight="1" x14ac:dyDescent="0.45">
      <c r="A48" s="441" t="s">
        <v>1479</v>
      </c>
      <c r="B48" s="441" t="s">
        <v>1433</v>
      </c>
      <c r="C48" s="441"/>
      <c r="J48" s="445" t="s">
        <v>317</v>
      </c>
      <c r="K48" s="445" t="s">
        <v>427</v>
      </c>
      <c r="L48" s="445" t="s">
        <v>912</v>
      </c>
      <c r="M48" s="445" t="s">
        <v>374</v>
      </c>
      <c r="N48" s="446">
        <v>48.61</v>
      </c>
      <c r="O48" s="445" t="s">
        <v>432</v>
      </c>
      <c r="P48" s="445" t="s">
        <v>450</v>
      </c>
      <c r="Q48" s="445">
        <v>2015</v>
      </c>
      <c r="S48" s="452">
        <v>242</v>
      </c>
      <c r="T48" s="452" t="s">
        <v>2140</v>
      </c>
      <c r="U48" s="452" t="s">
        <v>6</v>
      </c>
      <c r="V48" s="452">
        <v>21</v>
      </c>
      <c r="W48" s="452"/>
      <c r="X48" s="452">
        <v>13</v>
      </c>
      <c r="Y48" s="452" t="s">
        <v>2085</v>
      </c>
      <c r="Z48" s="452" t="s">
        <v>4</v>
      </c>
      <c r="AA48" s="452">
        <v>31</v>
      </c>
      <c r="AB48" s="433"/>
    </row>
    <row r="49" spans="1:28" ht="15" customHeight="1" x14ac:dyDescent="0.45">
      <c r="A49" s="441" t="s">
        <v>1480</v>
      </c>
      <c r="B49" s="441" t="s">
        <v>1434</v>
      </c>
      <c r="C49" s="441" t="s">
        <v>2008</v>
      </c>
      <c r="D49" s="439" t="s">
        <v>2000</v>
      </c>
      <c r="J49" s="445" t="s">
        <v>313</v>
      </c>
      <c r="K49" s="445" t="s">
        <v>441</v>
      </c>
      <c r="L49" s="445" t="s">
        <v>912</v>
      </c>
      <c r="M49" s="445" t="s">
        <v>950</v>
      </c>
      <c r="N49" s="446">
        <v>1.9575231481481483E-3</v>
      </c>
      <c r="O49" s="445" t="s">
        <v>928</v>
      </c>
      <c r="P49" s="445" t="s">
        <v>962</v>
      </c>
      <c r="Q49" s="445">
        <v>2017</v>
      </c>
      <c r="S49" s="452">
        <v>252</v>
      </c>
      <c r="T49" s="452" t="s">
        <v>2054</v>
      </c>
      <c r="U49" s="452" t="s">
        <v>9</v>
      </c>
      <c r="V49" s="452">
        <v>21</v>
      </c>
      <c r="W49" s="452"/>
      <c r="X49" s="452">
        <v>23</v>
      </c>
      <c r="Y49" s="452" t="s">
        <v>2009</v>
      </c>
      <c r="Z49" s="452" t="s">
        <v>7</v>
      </c>
      <c r="AA49" s="452">
        <v>31</v>
      </c>
      <c r="AB49" s="433"/>
    </row>
    <row r="50" spans="1:28" ht="15" customHeight="1" x14ac:dyDescent="0.45">
      <c r="A50" s="441" t="s">
        <v>1481</v>
      </c>
      <c r="B50" s="441" t="s">
        <v>1435</v>
      </c>
      <c r="C50" s="441"/>
      <c r="J50" s="445" t="s">
        <v>40</v>
      </c>
      <c r="K50" s="445" t="s">
        <v>14</v>
      </c>
      <c r="L50" s="449" t="s">
        <v>1253</v>
      </c>
      <c r="M50" s="445" t="s">
        <v>1254</v>
      </c>
      <c r="N50" s="446">
        <v>9.5</v>
      </c>
      <c r="O50" s="445" t="s">
        <v>1255</v>
      </c>
      <c r="P50" s="445" t="s">
        <v>1251</v>
      </c>
      <c r="Q50" s="445">
        <v>2018</v>
      </c>
      <c r="S50" s="452">
        <v>262</v>
      </c>
      <c r="T50" s="452" t="s">
        <v>2172</v>
      </c>
      <c r="U50" s="452" t="s">
        <v>6</v>
      </c>
      <c r="V50" s="452">
        <v>21</v>
      </c>
      <c r="W50" s="452"/>
      <c r="X50" s="452">
        <v>33</v>
      </c>
      <c r="Y50" s="452" t="s">
        <v>2082</v>
      </c>
      <c r="Z50" s="452" t="s">
        <v>4</v>
      </c>
      <c r="AA50" s="452">
        <v>30</v>
      </c>
      <c r="AB50" s="433"/>
    </row>
    <row r="51" spans="1:28" ht="15" customHeight="1" x14ac:dyDescent="0.45">
      <c r="A51" s="441" t="s">
        <v>1482</v>
      </c>
      <c r="B51" s="447" t="s">
        <v>1436</v>
      </c>
      <c r="C51" s="447" t="s">
        <v>2003</v>
      </c>
      <c r="D51" s="439" t="s">
        <v>2006</v>
      </c>
      <c r="J51" s="445" t="s">
        <v>41</v>
      </c>
      <c r="K51" s="445" t="s">
        <v>15</v>
      </c>
      <c r="L51" s="449" t="s">
        <v>1253</v>
      </c>
      <c r="M51" s="445" t="s">
        <v>1254</v>
      </c>
      <c r="N51" s="446">
        <v>9.5</v>
      </c>
      <c r="O51" s="445" t="s">
        <v>1255</v>
      </c>
      <c r="P51" s="445" t="s">
        <v>1251</v>
      </c>
      <c r="Q51" s="445">
        <v>2018</v>
      </c>
      <c r="S51" s="452">
        <v>272</v>
      </c>
      <c r="T51" s="452" t="s">
        <v>2173</v>
      </c>
      <c r="U51" s="452" t="s">
        <v>9</v>
      </c>
      <c r="V51" s="452">
        <v>21</v>
      </c>
      <c r="W51" s="452"/>
      <c r="X51" s="452">
        <v>43</v>
      </c>
      <c r="Y51" s="452" t="s">
        <v>2229</v>
      </c>
      <c r="Z51" s="452" t="s">
        <v>7</v>
      </c>
      <c r="AA51" s="452">
        <v>31</v>
      </c>
      <c r="AB51" s="433"/>
    </row>
    <row r="52" spans="1:28" ht="15" customHeight="1" x14ac:dyDescent="0.45">
      <c r="A52" s="441" t="s">
        <v>1483</v>
      </c>
      <c r="B52" s="441" t="s">
        <v>1437</v>
      </c>
      <c r="C52" s="441" t="s">
        <v>2002</v>
      </c>
      <c r="D52" s="439" t="s">
        <v>2001</v>
      </c>
      <c r="J52" s="445" t="s">
        <v>36</v>
      </c>
      <c r="K52" s="445" t="s">
        <v>10</v>
      </c>
      <c r="L52" s="449" t="s">
        <v>492</v>
      </c>
      <c r="M52" s="445" t="s">
        <v>374</v>
      </c>
      <c r="N52" s="448">
        <v>18.7</v>
      </c>
      <c r="O52" s="445" t="s">
        <v>484</v>
      </c>
      <c r="P52" s="445" t="s">
        <v>462</v>
      </c>
      <c r="Q52" s="445">
        <v>2014</v>
      </c>
      <c r="S52" s="452">
        <v>282</v>
      </c>
      <c r="T52" s="452" t="s">
        <v>2135</v>
      </c>
      <c r="U52" s="452" t="s">
        <v>6</v>
      </c>
      <c r="V52" s="452">
        <v>21</v>
      </c>
      <c r="W52" s="452"/>
      <c r="X52" s="452">
        <v>53</v>
      </c>
      <c r="Y52" s="452" t="s">
        <v>2230</v>
      </c>
      <c r="Z52" s="452" t="s">
        <v>7</v>
      </c>
      <c r="AA52" s="452">
        <v>31</v>
      </c>
      <c r="AB52" s="433"/>
    </row>
    <row r="53" spans="1:28" ht="15" customHeight="1" x14ac:dyDescent="0.45">
      <c r="A53" s="441" t="s">
        <v>1484</v>
      </c>
      <c r="B53" s="441" t="s">
        <v>1438</v>
      </c>
      <c r="C53" s="441"/>
      <c r="J53" s="445" t="s">
        <v>506</v>
      </c>
      <c r="K53" s="445" t="s">
        <v>12</v>
      </c>
      <c r="L53" s="445" t="s">
        <v>493</v>
      </c>
      <c r="M53" s="445" t="s">
        <v>425</v>
      </c>
      <c r="N53" s="446">
        <v>1.6215277777777779E-3</v>
      </c>
      <c r="O53" s="445" t="s">
        <v>421</v>
      </c>
      <c r="P53" s="445" t="s">
        <v>443</v>
      </c>
      <c r="Q53" s="445">
        <v>2014</v>
      </c>
      <c r="S53" s="452"/>
      <c r="T53" s="452" t="s">
        <v>914</v>
      </c>
      <c r="U53" s="452" t="s">
        <v>915</v>
      </c>
      <c r="V53" s="452"/>
      <c r="W53" s="452"/>
      <c r="X53" s="452">
        <v>63</v>
      </c>
      <c r="Y53" s="452" t="s">
        <v>2089</v>
      </c>
      <c r="Z53" s="452" t="s">
        <v>4</v>
      </c>
      <c r="AA53" s="452">
        <v>31</v>
      </c>
      <c r="AB53" s="433"/>
    </row>
    <row r="54" spans="1:28" ht="15" customHeight="1" x14ac:dyDescent="0.45">
      <c r="A54" s="441" t="s">
        <v>1485</v>
      </c>
      <c r="B54" s="441" t="s">
        <v>1439</v>
      </c>
      <c r="C54" s="441"/>
      <c r="J54" s="445" t="s">
        <v>510</v>
      </c>
      <c r="K54" s="445" t="s">
        <v>13</v>
      </c>
      <c r="L54" s="445" t="s">
        <v>493</v>
      </c>
      <c r="M54" s="445" t="s">
        <v>425</v>
      </c>
      <c r="N54" s="446">
        <v>1.6215277777777779E-3</v>
      </c>
      <c r="O54" s="445" t="s">
        <v>421</v>
      </c>
      <c r="P54" s="445" t="s">
        <v>443</v>
      </c>
      <c r="Q54" s="445">
        <v>2014</v>
      </c>
      <c r="S54" s="452">
        <v>13</v>
      </c>
      <c r="T54" s="452" t="s">
        <v>2120</v>
      </c>
      <c r="U54" s="452" t="s">
        <v>6</v>
      </c>
      <c r="V54" s="452">
        <v>31</v>
      </c>
      <c r="W54" s="452"/>
      <c r="X54" s="452">
        <v>73</v>
      </c>
      <c r="Y54" s="452" t="s">
        <v>2015</v>
      </c>
      <c r="Z54" s="452" t="s">
        <v>7</v>
      </c>
      <c r="AA54" s="452">
        <v>31</v>
      </c>
      <c r="AB54" s="433"/>
    </row>
    <row r="55" spans="1:28" ht="15" customHeight="1" x14ac:dyDescent="0.45">
      <c r="A55" s="441"/>
      <c r="B55" s="441" t="s">
        <v>1424</v>
      </c>
      <c r="C55" s="447" t="s">
        <v>112</v>
      </c>
      <c r="J55" s="445" t="s">
        <v>309</v>
      </c>
      <c r="K55" s="445" t="s">
        <v>19</v>
      </c>
      <c r="L55" s="445" t="s">
        <v>494</v>
      </c>
      <c r="M55" s="445" t="s">
        <v>122</v>
      </c>
      <c r="N55" s="446">
        <v>2.5833333333333337E-3</v>
      </c>
      <c r="O55" s="445" t="s">
        <v>495</v>
      </c>
      <c r="P55" s="445" t="s">
        <v>462</v>
      </c>
      <c r="Q55" s="445">
        <v>2014</v>
      </c>
      <c r="S55" s="452">
        <v>23</v>
      </c>
      <c r="T55" s="452" t="s">
        <v>2046</v>
      </c>
      <c r="U55" s="452" t="s">
        <v>9</v>
      </c>
      <c r="V55" s="452">
        <v>30</v>
      </c>
      <c r="W55" s="452"/>
      <c r="X55" s="452">
        <v>83</v>
      </c>
      <c r="Y55" s="452" t="s">
        <v>2012</v>
      </c>
      <c r="Z55" s="452" t="s">
        <v>7</v>
      </c>
      <c r="AA55" s="452">
        <v>31</v>
      </c>
      <c r="AB55" s="433"/>
    </row>
    <row r="56" spans="1:28" ht="15" customHeight="1" x14ac:dyDescent="0.45">
      <c r="A56" s="441"/>
      <c r="B56" s="447" t="s">
        <v>1425</v>
      </c>
      <c r="C56" s="447" t="s">
        <v>636</v>
      </c>
      <c r="J56" s="445" t="s">
        <v>32</v>
      </c>
      <c r="K56" s="445" t="s">
        <v>496</v>
      </c>
      <c r="L56" s="445" t="s">
        <v>1256</v>
      </c>
      <c r="M56" s="445" t="s">
        <v>358</v>
      </c>
      <c r="N56" s="446">
        <v>10.9</v>
      </c>
      <c r="O56" s="445" t="s">
        <v>1252</v>
      </c>
      <c r="P56" s="445" t="s">
        <v>1251</v>
      </c>
      <c r="Q56" s="445">
        <v>2018</v>
      </c>
      <c r="S56" s="452">
        <v>33</v>
      </c>
      <c r="T56" s="452" t="s">
        <v>2174</v>
      </c>
      <c r="U56" s="452" t="s">
        <v>6</v>
      </c>
      <c r="V56" s="452">
        <v>31</v>
      </c>
      <c r="W56" s="452"/>
      <c r="X56" s="452">
        <v>93</v>
      </c>
      <c r="Y56" s="452" t="s">
        <v>2018</v>
      </c>
      <c r="Z56" s="452" t="s">
        <v>7</v>
      </c>
      <c r="AA56" s="452">
        <v>31</v>
      </c>
      <c r="AB56" s="433"/>
    </row>
    <row r="57" spans="1:28" ht="15" customHeight="1" x14ac:dyDescent="0.45">
      <c r="A57" s="441"/>
      <c r="B57" s="447" t="s">
        <v>1426</v>
      </c>
      <c r="C57" s="447" t="s">
        <v>7</v>
      </c>
      <c r="J57" s="445" t="s">
        <v>238</v>
      </c>
      <c r="K57" s="445" t="s">
        <v>23</v>
      </c>
      <c r="L57" s="445" t="s">
        <v>497</v>
      </c>
      <c r="M57" s="445" t="s">
        <v>498</v>
      </c>
      <c r="N57" s="448">
        <v>1.6</v>
      </c>
      <c r="O57" s="445" t="s">
        <v>454</v>
      </c>
      <c r="P57" s="445" t="s">
        <v>462</v>
      </c>
      <c r="Q57" s="445">
        <v>2014</v>
      </c>
      <c r="S57" s="452">
        <v>43</v>
      </c>
      <c r="T57" s="452" t="s">
        <v>2045</v>
      </c>
      <c r="U57" s="452" t="s">
        <v>9</v>
      </c>
      <c r="V57" s="452">
        <v>31</v>
      </c>
      <c r="W57" s="452"/>
      <c r="X57" s="452">
        <v>103</v>
      </c>
      <c r="Y57" s="452" t="s">
        <v>2231</v>
      </c>
      <c r="Z57" s="452" t="s">
        <v>7</v>
      </c>
      <c r="AA57" s="452">
        <v>31</v>
      </c>
      <c r="AB57" s="433"/>
    </row>
    <row r="58" spans="1:28" ht="15" customHeight="1" x14ac:dyDescent="0.45">
      <c r="A58" s="441"/>
      <c r="B58" s="447" t="s">
        <v>901</v>
      </c>
      <c r="C58" s="447">
        <v>3</v>
      </c>
      <c r="D58" s="439">
        <v>33</v>
      </c>
      <c r="J58" s="445" t="s">
        <v>299</v>
      </c>
      <c r="K58" s="445" t="s">
        <v>22</v>
      </c>
      <c r="L58" s="445" t="s">
        <v>483</v>
      </c>
      <c r="M58" s="445" t="s">
        <v>365</v>
      </c>
      <c r="N58" s="448">
        <v>5.16</v>
      </c>
      <c r="O58" s="445" t="s">
        <v>437</v>
      </c>
      <c r="P58" s="445" t="s">
        <v>443</v>
      </c>
      <c r="Q58" s="445">
        <v>2014</v>
      </c>
      <c r="S58" s="452">
        <v>53</v>
      </c>
      <c r="T58" s="452" t="s">
        <v>2051</v>
      </c>
      <c r="U58" s="452" t="s">
        <v>9</v>
      </c>
      <c r="V58" s="452">
        <v>31</v>
      </c>
      <c r="W58" s="452"/>
      <c r="X58" s="452">
        <v>113</v>
      </c>
      <c r="Y58" s="452" t="s">
        <v>2016</v>
      </c>
      <c r="Z58" s="452" t="s">
        <v>7</v>
      </c>
      <c r="AA58" s="452">
        <v>31</v>
      </c>
      <c r="AB58" s="433"/>
    </row>
    <row r="59" spans="1:28" ht="15" customHeight="1" x14ac:dyDescent="0.45">
      <c r="A59" s="441" t="s">
        <v>1509</v>
      </c>
      <c r="B59" s="447" t="s">
        <v>1427</v>
      </c>
      <c r="C59" s="447" t="s">
        <v>2009</v>
      </c>
      <c r="D59" s="439" t="s">
        <v>2010</v>
      </c>
      <c r="J59" s="445" t="s">
        <v>236</v>
      </c>
      <c r="K59" s="445" t="s">
        <v>426</v>
      </c>
      <c r="L59" s="445" t="s">
        <v>1231</v>
      </c>
      <c r="M59" s="445" t="s">
        <v>1232</v>
      </c>
      <c r="N59" s="448">
        <v>12.19</v>
      </c>
      <c r="O59" s="445" t="s">
        <v>1233</v>
      </c>
      <c r="P59" s="445" t="s">
        <v>923</v>
      </c>
      <c r="Q59" s="445">
        <v>2018</v>
      </c>
      <c r="S59" s="452">
        <v>63</v>
      </c>
      <c r="T59" s="452" t="s">
        <v>2175</v>
      </c>
      <c r="U59" s="452" t="s">
        <v>9</v>
      </c>
      <c r="V59" s="452">
        <v>31</v>
      </c>
      <c r="W59" s="452"/>
      <c r="X59" s="452">
        <v>123</v>
      </c>
      <c r="Y59" s="452" t="s">
        <v>2086</v>
      </c>
      <c r="Z59" s="452" t="s">
        <v>4</v>
      </c>
      <c r="AA59" s="452">
        <v>31</v>
      </c>
      <c r="AB59" s="433"/>
    </row>
    <row r="60" spans="1:28" ht="15" customHeight="1" x14ac:dyDescent="0.45">
      <c r="A60" s="441" t="s">
        <v>1510</v>
      </c>
      <c r="B60" s="447" t="s">
        <v>1428</v>
      </c>
      <c r="C60" s="447" t="s">
        <v>2011</v>
      </c>
      <c r="D60" s="439" t="s">
        <v>2012</v>
      </c>
      <c r="J60" s="445" t="s">
        <v>248</v>
      </c>
      <c r="K60" s="445" t="s">
        <v>28</v>
      </c>
      <c r="L60" s="445" t="s">
        <v>1234</v>
      </c>
      <c r="M60" s="445" t="s">
        <v>404</v>
      </c>
      <c r="N60" s="446">
        <v>41.04</v>
      </c>
      <c r="O60" s="445" t="s">
        <v>1274</v>
      </c>
      <c r="P60" s="445" t="s">
        <v>1268</v>
      </c>
      <c r="Q60" s="445">
        <v>2018</v>
      </c>
      <c r="S60" s="452">
        <v>73</v>
      </c>
      <c r="T60" s="452" t="s">
        <v>2125</v>
      </c>
      <c r="U60" s="452" t="s">
        <v>6</v>
      </c>
      <c r="V60" s="452">
        <v>31</v>
      </c>
      <c r="W60" s="452"/>
      <c r="X60" s="452">
        <v>133</v>
      </c>
      <c r="Y60" s="452" t="s">
        <v>2232</v>
      </c>
      <c r="Z60" s="452" t="s">
        <v>7</v>
      </c>
      <c r="AA60" s="452">
        <v>31</v>
      </c>
      <c r="AB60" s="433"/>
    </row>
    <row r="61" spans="1:28" ht="15" customHeight="1" x14ac:dyDescent="0.45">
      <c r="A61" s="441" t="s">
        <v>1511</v>
      </c>
      <c r="B61" s="441">
        <v>200</v>
      </c>
      <c r="C61" s="441" t="s">
        <v>2013</v>
      </c>
      <c r="D61" s="439" t="s">
        <v>2011</v>
      </c>
      <c r="J61" s="445" t="s">
        <v>315</v>
      </c>
      <c r="K61" s="445" t="s">
        <v>427</v>
      </c>
      <c r="L61" s="445" t="s">
        <v>912</v>
      </c>
      <c r="M61" s="445" t="s">
        <v>103</v>
      </c>
      <c r="N61" s="446">
        <v>52</v>
      </c>
      <c r="O61" s="445" t="s">
        <v>1275</v>
      </c>
      <c r="P61" s="445" t="s">
        <v>1268</v>
      </c>
      <c r="Q61" s="445">
        <v>2018</v>
      </c>
      <c r="S61" s="452">
        <v>83</v>
      </c>
      <c r="T61" s="452" t="s">
        <v>2043</v>
      </c>
      <c r="U61" s="452" t="s">
        <v>9</v>
      </c>
      <c r="V61" s="452">
        <v>31</v>
      </c>
      <c r="W61" s="452"/>
      <c r="X61" s="452">
        <v>143</v>
      </c>
      <c r="Y61" s="452" t="s">
        <v>2233</v>
      </c>
      <c r="Z61" s="452" t="s">
        <v>7</v>
      </c>
      <c r="AA61" s="452">
        <v>31</v>
      </c>
      <c r="AB61" s="433"/>
    </row>
    <row r="62" spans="1:28" ht="15" customHeight="1" x14ac:dyDescent="0.45">
      <c r="A62" s="441" t="s">
        <v>1512</v>
      </c>
      <c r="B62" s="441">
        <v>400</v>
      </c>
      <c r="C62" s="441" t="s">
        <v>2014</v>
      </c>
      <c r="D62" s="439" t="s">
        <v>2015</v>
      </c>
      <c r="J62" s="445" t="s">
        <v>315</v>
      </c>
      <c r="K62" s="445" t="s">
        <v>427</v>
      </c>
      <c r="L62" s="445" t="s">
        <v>912</v>
      </c>
      <c r="M62" s="445" t="s">
        <v>103</v>
      </c>
      <c r="N62" s="446">
        <v>52</v>
      </c>
      <c r="O62" s="445" t="s">
        <v>1275</v>
      </c>
      <c r="P62" s="445" t="s">
        <v>1268</v>
      </c>
      <c r="Q62" s="445">
        <v>2018</v>
      </c>
      <c r="S62" s="452">
        <v>93</v>
      </c>
      <c r="T62" s="452" t="s">
        <v>2176</v>
      </c>
      <c r="U62" s="452" t="s">
        <v>6</v>
      </c>
      <c r="V62" s="452">
        <v>31</v>
      </c>
      <c r="W62" s="452"/>
      <c r="X62" s="452">
        <v>153</v>
      </c>
      <c r="Y62" s="452" t="s">
        <v>2234</v>
      </c>
      <c r="Z62" s="452" t="s">
        <v>4</v>
      </c>
      <c r="AA62" s="452">
        <v>31</v>
      </c>
      <c r="AB62" s="433"/>
    </row>
    <row r="63" spans="1:28" ht="15" customHeight="1" x14ac:dyDescent="0.45">
      <c r="A63" s="441" t="s">
        <v>1513</v>
      </c>
      <c r="B63" s="441">
        <v>800</v>
      </c>
      <c r="C63" s="441" t="s">
        <v>2014</v>
      </c>
      <c r="D63" s="439" t="s">
        <v>2013</v>
      </c>
      <c r="J63" s="445" t="s">
        <v>1017</v>
      </c>
      <c r="K63" s="445" t="s">
        <v>16</v>
      </c>
      <c r="L63" s="449" t="s">
        <v>1018</v>
      </c>
      <c r="M63" s="445" t="s">
        <v>375</v>
      </c>
      <c r="N63" s="446">
        <v>10.3</v>
      </c>
      <c r="O63" s="445" t="s">
        <v>1019</v>
      </c>
      <c r="P63" s="445" t="s">
        <v>1020</v>
      </c>
      <c r="Q63" s="445">
        <v>2017</v>
      </c>
      <c r="S63" s="452">
        <v>103</v>
      </c>
      <c r="T63" s="452" t="s">
        <v>2177</v>
      </c>
      <c r="U63" s="452" t="s">
        <v>6</v>
      </c>
      <c r="V63" s="452">
        <v>31</v>
      </c>
      <c r="W63" s="452"/>
      <c r="X63" s="452">
        <v>163</v>
      </c>
      <c r="Y63" s="452" t="s">
        <v>2011</v>
      </c>
      <c r="Z63" s="452" t="s">
        <v>7</v>
      </c>
      <c r="AA63" s="452">
        <v>31</v>
      </c>
      <c r="AB63" s="433"/>
    </row>
    <row r="64" spans="1:28" ht="15" customHeight="1" x14ac:dyDescent="0.45">
      <c r="A64" s="441" t="s">
        <v>1514</v>
      </c>
      <c r="B64" s="447" t="s">
        <v>1429</v>
      </c>
      <c r="C64" s="447" t="s">
        <v>912</v>
      </c>
      <c r="D64" s="439" t="s">
        <v>912</v>
      </c>
      <c r="J64" s="445" t="s">
        <v>1021</v>
      </c>
      <c r="K64" s="445" t="s">
        <v>11</v>
      </c>
      <c r="L64" s="449" t="s">
        <v>1235</v>
      </c>
      <c r="M64" s="445" t="s">
        <v>1068</v>
      </c>
      <c r="N64" s="446">
        <v>20.74</v>
      </c>
      <c r="O64" s="445" t="s">
        <v>437</v>
      </c>
      <c r="P64" s="445" t="s">
        <v>1236</v>
      </c>
      <c r="Q64" s="445">
        <v>2018</v>
      </c>
      <c r="S64" s="452">
        <v>113</v>
      </c>
      <c r="T64" s="452" t="s">
        <v>2178</v>
      </c>
      <c r="U64" s="452" t="s">
        <v>6</v>
      </c>
      <c r="V64" s="452">
        <v>31</v>
      </c>
      <c r="W64" s="452"/>
      <c r="X64" s="452">
        <v>173</v>
      </c>
      <c r="Y64" s="452" t="s">
        <v>2010</v>
      </c>
      <c r="Z64" s="452" t="s">
        <v>7</v>
      </c>
      <c r="AA64" s="452">
        <v>31</v>
      </c>
      <c r="AB64" s="433"/>
    </row>
    <row r="65" spans="1:28" ht="15" customHeight="1" x14ac:dyDescent="0.45">
      <c r="A65" s="441" t="s">
        <v>1515</v>
      </c>
      <c r="B65" s="447">
        <v>1500</v>
      </c>
      <c r="C65" s="447" t="s">
        <v>2016</v>
      </c>
      <c r="D65" s="439" t="s">
        <v>2015</v>
      </c>
      <c r="J65" s="445" t="s">
        <v>1024</v>
      </c>
      <c r="K65" s="445" t="s">
        <v>1025</v>
      </c>
      <c r="L65" s="449" t="s">
        <v>1026</v>
      </c>
      <c r="M65" s="445" t="s">
        <v>1027</v>
      </c>
      <c r="N65" s="446">
        <v>48</v>
      </c>
      <c r="O65" s="445" t="s">
        <v>421</v>
      </c>
      <c r="P65" s="445" t="s">
        <v>1028</v>
      </c>
      <c r="Q65" s="445">
        <v>2013</v>
      </c>
      <c r="S65" s="452">
        <v>123</v>
      </c>
      <c r="T65" s="452" t="s">
        <v>2179</v>
      </c>
      <c r="U65" s="452" t="s">
        <v>9</v>
      </c>
      <c r="V65" s="452">
        <v>31</v>
      </c>
      <c r="W65" s="452"/>
      <c r="X65" s="452">
        <v>183</v>
      </c>
      <c r="Y65" s="452" t="s">
        <v>2013</v>
      </c>
      <c r="Z65" s="452" t="s">
        <v>7</v>
      </c>
      <c r="AA65" s="452">
        <v>31</v>
      </c>
      <c r="AB65" s="433"/>
    </row>
    <row r="66" spans="1:28" ht="15" customHeight="1" x14ac:dyDescent="0.45">
      <c r="A66" s="441" t="s">
        <v>1516</v>
      </c>
      <c r="B66" s="447" t="s">
        <v>1430</v>
      </c>
      <c r="C66" s="447" t="s">
        <v>2017</v>
      </c>
      <c r="D66" s="439" t="s">
        <v>2018</v>
      </c>
      <c r="J66" s="445" t="s">
        <v>1029</v>
      </c>
      <c r="K66" s="445" t="s">
        <v>12</v>
      </c>
      <c r="L66" s="449" t="s">
        <v>1030</v>
      </c>
      <c r="M66" s="445" t="s">
        <v>375</v>
      </c>
      <c r="N66" s="446">
        <v>1.2905092592592593E-3</v>
      </c>
      <c r="O66" s="445" t="s">
        <v>422</v>
      </c>
      <c r="P66" s="445" t="s">
        <v>1031</v>
      </c>
      <c r="Q66" s="445">
        <v>2013</v>
      </c>
      <c r="S66" s="452">
        <v>133</v>
      </c>
      <c r="T66" s="452" t="s">
        <v>2047</v>
      </c>
      <c r="U66" s="452" t="s">
        <v>9</v>
      </c>
      <c r="V66" s="452">
        <v>31</v>
      </c>
      <c r="W66" s="452"/>
      <c r="X66" s="452">
        <v>193</v>
      </c>
      <c r="Y66" s="452" t="s">
        <v>2088</v>
      </c>
      <c r="Z66" s="452" t="s">
        <v>4</v>
      </c>
      <c r="AA66" s="452">
        <v>30</v>
      </c>
      <c r="AB66" s="433"/>
    </row>
    <row r="67" spans="1:28" ht="15" customHeight="1" x14ac:dyDescent="0.45">
      <c r="A67" s="441" t="s">
        <v>1517</v>
      </c>
      <c r="B67" s="447">
        <v>3000</v>
      </c>
      <c r="C67" s="447"/>
      <c r="J67" s="445" t="s">
        <v>1032</v>
      </c>
      <c r="K67" s="445" t="s">
        <v>20</v>
      </c>
      <c r="L67" s="445" t="s">
        <v>1033</v>
      </c>
      <c r="M67" s="445" t="s">
        <v>1034</v>
      </c>
      <c r="N67" s="446">
        <v>2.642361111111111E-3</v>
      </c>
      <c r="O67" s="445" t="s">
        <v>927</v>
      </c>
      <c r="P67" s="445" t="s">
        <v>1035</v>
      </c>
      <c r="Q67" s="445">
        <v>2015</v>
      </c>
      <c r="S67" s="452">
        <v>143</v>
      </c>
      <c r="T67" s="452" t="s">
        <v>2048</v>
      </c>
      <c r="U67" s="452" t="s">
        <v>9</v>
      </c>
      <c r="V67" s="452">
        <v>31</v>
      </c>
      <c r="W67" s="452"/>
      <c r="X67" s="452">
        <v>203</v>
      </c>
      <c r="Y67" s="452" t="s">
        <v>2087</v>
      </c>
      <c r="Z67" s="452" t="s">
        <v>4</v>
      </c>
      <c r="AA67" s="452">
        <v>31</v>
      </c>
      <c r="AB67" s="433"/>
    </row>
    <row r="68" spans="1:28" ht="15" customHeight="1" x14ac:dyDescent="0.45">
      <c r="A68" s="441" t="s">
        <v>1518</v>
      </c>
      <c r="B68" s="447" t="s">
        <v>1431</v>
      </c>
      <c r="C68" s="447"/>
      <c r="J68" s="445" t="s">
        <v>1036</v>
      </c>
      <c r="K68" s="445" t="s">
        <v>1037</v>
      </c>
      <c r="L68" s="445" t="s">
        <v>1038</v>
      </c>
      <c r="M68" s="445" t="s">
        <v>1039</v>
      </c>
      <c r="N68" s="446">
        <v>5.8715277777777776E-3</v>
      </c>
      <c r="O68" s="445" t="s">
        <v>1040</v>
      </c>
      <c r="P68" s="445" t="s">
        <v>1041</v>
      </c>
      <c r="Q68" s="445">
        <v>2014</v>
      </c>
      <c r="S68" s="452">
        <v>153</v>
      </c>
      <c r="T68" s="452" t="s">
        <v>2119</v>
      </c>
      <c r="U68" s="452" t="s">
        <v>6</v>
      </c>
      <c r="V68" s="452">
        <v>30</v>
      </c>
      <c r="W68" s="452"/>
      <c r="X68" s="452">
        <v>213</v>
      </c>
      <c r="Y68" s="452" t="s">
        <v>2019</v>
      </c>
      <c r="Z68" s="452" t="s">
        <v>7</v>
      </c>
      <c r="AA68" s="452">
        <v>31</v>
      </c>
      <c r="AB68" s="433"/>
    </row>
    <row r="69" spans="1:28" ht="15" customHeight="1" x14ac:dyDescent="0.45">
      <c r="A69" s="441" t="s">
        <v>1519</v>
      </c>
      <c r="B69" s="441" t="s">
        <v>902</v>
      </c>
      <c r="C69" s="441"/>
      <c r="J69" s="445" t="s">
        <v>1042</v>
      </c>
      <c r="K69" s="445" t="s">
        <v>1043</v>
      </c>
      <c r="L69" s="445" t="s">
        <v>1099</v>
      </c>
      <c r="M69" s="445" t="s">
        <v>376</v>
      </c>
      <c r="N69" s="446">
        <v>13.6</v>
      </c>
      <c r="O69" s="445" t="s">
        <v>1019</v>
      </c>
      <c r="P69" s="445" t="s">
        <v>1245</v>
      </c>
      <c r="Q69" s="445">
        <v>2018</v>
      </c>
      <c r="S69" s="452">
        <v>163</v>
      </c>
      <c r="T69" s="452" t="s">
        <v>2180</v>
      </c>
      <c r="U69" s="452" t="s">
        <v>9</v>
      </c>
      <c r="V69" s="452">
        <v>31</v>
      </c>
      <c r="W69" s="452"/>
      <c r="X69" s="452">
        <v>223</v>
      </c>
      <c r="Y69" s="452" t="s">
        <v>2235</v>
      </c>
      <c r="Z69" s="452" t="s">
        <v>7</v>
      </c>
      <c r="AA69" s="452">
        <v>31</v>
      </c>
      <c r="AB69" s="433"/>
    </row>
    <row r="70" spans="1:28" ht="15" customHeight="1" x14ac:dyDescent="0.45">
      <c r="A70" s="441" t="s">
        <v>1520</v>
      </c>
      <c r="B70" s="447" t="s">
        <v>25</v>
      </c>
      <c r="C70" s="447" t="s">
        <v>2009</v>
      </c>
      <c r="D70" s="439" t="s">
        <v>2019</v>
      </c>
      <c r="J70" s="445" t="s">
        <v>1045</v>
      </c>
      <c r="K70" s="445" t="s">
        <v>902</v>
      </c>
      <c r="L70" s="445" t="s">
        <v>1046</v>
      </c>
      <c r="M70" s="445" t="s">
        <v>203</v>
      </c>
      <c r="N70" s="446">
        <v>52.03</v>
      </c>
      <c r="O70" s="445" t="s">
        <v>424</v>
      </c>
      <c r="P70" s="445" t="s">
        <v>1047</v>
      </c>
      <c r="Q70" s="445">
        <v>2013</v>
      </c>
      <c r="S70" s="452">
        <v>173</v>
      </c>
      <c r="T70" s="452" t="s">
        <v>2044</v>
      </c>
      <c r="U70" s="452" t="s">
        <v>9</v>
      </c>
      <c r="V70" s="452">
        <v>31</v>
      </c>
      <c r="W70" s="452"/>
      <c r="X70" s="452">
        <v>233</v>
      </c>
      <c r="Y70" s="452" t="s">
        <v>2084</v>
      </c>
      <c r="Z70" s="452" t="s">
        <v>4</v>
      </c>
      <c r="AA70" s="452">
        <v>30</v>
      </c>
      <c r="AB70" s="433"/>
    </row>
    <row r="71" spans="1:28" ht="15" customHeight="1" x14ac:dyDescent="0.45">
      <c r="A71" s="441" t="s">
        <v>1521</v>
      </c>
      <c r="B71" s="447" t="s">
        <v>21</v>
      </c>
      <c r="C71" s="447" t="s">
        <v>912</v>
      </c>
      <c r="D71" s="439" t="s">
        <v>912</v>
      </c>
      <c r="J71" s="445" t="s">
        <v>1048</v>
      </c>
      <c r="K71" s="445" t="s">
        <v>1049</v>
      </c>
      <c r="L71" s="445" t="s">
        <v>1050</v>
      </c>
      <c r="M71" s="445" t="s">
        <v>103</v>
      </c>
      <c r="N71" s="446">
        <v>4.1561342592592596E-3</v>
      </c>
      <c r="O71" s="445" t="s">
        <v>927</v>
      </c>
      <c r="P71" s="445" t="s">
        <v>1028</v>
      </c>
      <c r="Q71" s="445">
        <v>2013</v>
      </c>
      <c r="S71" s="452">
        <v>183</v>
      </c>
      <c r="T71" s="452" t="s">
        <v>2124</v>
      </c>
      <c r="U71" s="452" t="s">
        <v>6</v>
      </c>
      <c r="V71" s="452">
        <v>31</v>
      </c>
      <c r="W71" s="452"/>
      <c r="X71" s="452">
        <v>243</v>
      </c>
      <c r="Y71" s="452" t="s">
        <v>2017</v>
      </c>
      <c r="Z71" s="452" t="s">
        <v>7</v>
      </c>
      <c r="AA71" s="452">
        <v>31</v>
      </c>
      <c r="AB71" s="433"/>
    </row>
    <row r="72" spans="1:28" ht="15" customHeight="1" x14ac:dyDescent="0.45">
      <c r="A72" s="441" t="s">
        <v>1522</v>
      </c>
      <c r="B72" s="441" t="s">
        <v>28</v>
      </c>
      <c r="C72" s="447" t="s">
        <v>2012</v>
      </c>
      <c r="D72" s="439" t="s">
        <v>2010</v>
      </c>
      <c r="J72" s="445" t="s">
        <v>1051</v>
      </c>
      <c r="K72" s="445" t="s">
        <v>23</v>
      </c>
      <c r="L72" s="445" t="s">
        <v>1052</v>
      </c>
      <c r="M72" s="445" t="s">
        <v>1053</v>
      </c>
      <c r="N72" s="446">
        <v>2.14</v>
      </c>
      <c r="O72" s="445" t="s">
        <v>928</v>
      </c>
      <c r="P72" s="445" t="s">
        <v>1028</v>
      </c>
      <c r="Q72" s="445">
        <v>2013</v>
      </c>
      <c r="S72" s="452">
        <v>193</v>
      </c>
      <c r="T72" s="452" t="s">
        <v>2181</v>
      </c>
      <c r="U72" s="452" t="s">
        <v>9</v>
      </c>
      <c r="V72" s="452">
        <v>31</v>
      </c>
      <c r="W72" s="452"/>
      <c r="X72" s="452">
        <v>253</v>
      </c>
      <c r="Y72" s="452" t="s">
        <v>2080</v>
      </c>
      <c r="Z72" s="452" t="s">
        <v>4</v>
      </c>
      <c r="AA72" s="452">
        <v>31</v>
      </c>
      <c r="AB72" s="433"/>
    </row>
    <row r="73" spans="1:28" ht="15" customHeight="1" x14ac:dyDescent="0.45">
      <c r="A73" s="441" t="s">
        <v>1523</v>
      </c>
      <c r="B73" s="447" t="s">
        <v>24</v>
      </c>
      <c r="C73" s="447" t="s">
        <v>2009</v>
      </c>
      <c r="D73" s="439" t="s">
        <v>2019</v>
      </c>
      <c r="J73" s="445" t="s">
        <v>1054</v>
      </c>
      <c r="K73" s="445" t="s">
        <v>27</v>
      </c>
      <c r="L73" s="445" t="s">
        <v>1055</v>
      </c>
      <c r="M73" s="445" t="s">
        <v>425</v>
      </c>
      <c r="N73" s="446">
        <v>5.25</v>
      </c>
      <c r="O73" s="445" t="s">
        <v>422</v>
      </c>
      <c r="P73" s="445" t="s">
        <v>1056</v>
      </c>
      <c r="Q73" s="445">
        <v>2015</v>
      </c>
      <c r="S73" s="452">
        <v>203</v>
      </c>
      <c r="T73" s="452" t="s">
        <v>2049</v>
      </c>
      <c r="U73" s="452" t="s">
        <v>9</v>
      </c>
      <c r="V73" s="452">
        <v>31</v>
      </c>
      <c r="W73" s="452"/>
      <c r="X73" s="452">
        <v>263</v>
      </c>
      <c r="Y73" s="452" t="s">
        <v>2236</v>
      </c>
      <c r="Z73" s="452" t="s">
        <v>4</v>
      </c>
      <c r="AA73" s="452">
        <v>31</v>
      </c>
      <c r="AB73" s="433"/>
    </row>
    <row r="74" spans="1:28" ht="15" customHeight="1" x14ac:dyDescent="0.45">
      <c r="A74" s="441" t="s">
        <v>1524</v>
      </c>
      <c r="B74" s="441" t="s">
        <v>1432</v>
      </c>
      <c r="C74" s="441" t="s">
        <v>2011</v>
      </c>
      <c r="D74" s="439" t="s">
        <v>2017</v>
      </c>
      <c r="J74" s="445" t="s">
        <v>1057</v>
      </c>
      <c r="K74" s="445" t="s">
        <v>22</v>
      </c>
      <c r="L74" s="445" t="s">
        <v>1058</v>
      </c>
      <c r="M74" s="445" t="s">
        <v>1059</v>
      </c>
      <c r="N74" s="446">
        <v>7.37</v>
      </c>
      <c r="O74" s="445" t="s">
        <v>1060</v>
      </c>
      <c r="P74" s="445" t="s">
        <v>1028</v>
      </c>
      <c r="Q74" s="445">
        <v>2013</v>
      </c>
      <c r="S74" s="452">
        <v>213</v>
      </c>
      <c r="T74" s="452" t="s">
        <v>2182</v>
      </c>
      <c r="U74" s="452" t="s">
        <v>9</v>
      </c>
      <c r="V74" s="452">
        <v>31</v>
      </c>
      <c r="W74" s="452"/>
      <c r="X74" s="452">
        <v>273</v>
      </c>
      <c r="Y74" s="452" t="s">
        <v>2083</v>
      </c>
      <c r="Z74" s="452" t="s">
        <v>4</v>
      </c>
      <c r="AA74" s="452">
        <v>31</v>
      </c>
      <c r="AB74" s="433"/>
    </row>
    <row r="75" spans="1:28" ht="15" customHeight="1" x14ac:dyDescent="0.45">
      <c r="A75" s="441" t="s">
        <v>1525</v>
      </c>
      <c r="B75" s="441" t="s">
        <v>1433</v>
      </c>
      <c r="C75" s="441"/>
      <c r="J75" s="445" t="s">
        <v>1061</v>
      </c>
      <c r="K75" s="445" t="s">
        <v>31</v>
      </c>
      <c r="L75" s="445" t="s">
        <v>1062</v>
      </c>
      <c r="M75" s="445" t="s">
        <v>1063</v>
      </c>
      <c r="N75" s="446">
        <v>14.76</v>
      </c>
      <c r="O75" s="445" t="s">
        <v>1064</v>
      </c>
      <c r="P75" s="445" t="s">
        <v>1065</v>
      </c>
      <c r="Q75" s="445">
        <v>2013</v>
      </c>
      <c r="S75" s="452">
        <v>223</v>
      </c>
      <c r="T75" s="452" t="s">
        <v>2183</v>
      </c>
      <c r="U75" s="452" t="s">
        <v>6</v>
      </c>
      <c r="V75" s="452">
        <v>31</v>
      </c>
      <c r="W75" s="452"/>
      <c r="X75" s="452">
        <v>283</v>
      </c>
      <c r="Y75" s="452" t="s">
        <v>2237</v>
      </c>
      <c r="Z75" s="452" t="s">
        <v>7</v>
      </c>
      <c r="AA75" s="452">
        <v>31</v>
      </c>
      <c r="AB75" s="433"/>
    </row>
    <row r="76" spans="1:28" ht="15" customHeight="1" x14ac:dyDescent="0.45">
      <c r="A76" s="441" t="s">
        <v>1526</v>
      </c>
      <c r="B76" s="441" t="s">
        <v>1434</v>
      </c>
      <c r="C76" s="441" t="s">
        <v>2013</v>
      </c>
      <c r="D76" s="439" t="s">
        <v>2020</v>
      </c>
      <c r="J76" s="445" t="s">
        <v>1066</v>
      </c>
      <c r="K76" s="445" t="s">
        <v>426</v>
      </c>
      <c r="L76" s="445" t="s">
        <v>1067</v>
      </c>
      <c r="M76" s="445" t="s">
        <v>1068</v>
      </c>
      <c r="N76" s="446">
        <v>17.79</v>
      </c>
      <c r="O76" s="445" t="s">
        <v>1069</v>
      </c>
      <c r="P76" s="445" t="s">
        <v>1070</v>
      </c>
      <c r="Q76" s="445">
        <v>2016</v>
      </c>
      <c r="S76" s="452">
        <v>233</v>
      </c>
      <c r="T76" s="452" t="s">
        <v>2122</v>
      </c>
      <c r="U76" s="452" t="s">
        <v>6</v>
      </c>
      <c r="V76" s="452">
        <v>30</v>
      </c>
      <c r="W76" s="452"/>
      <c r="X76" s="452">
        <v>293</v>
      </c>
      <c r="Y76" s="452" t="s">
        <v>2081</v>
      </c>
      <c r="Z76" s="452" t="s">
        <v>4</v>
      </c>
      <c r="AA76" s="452">
        <v>30</v>
      </c>
      <c r="AB76" s="433"/>
    </row>
    <row r="77" spans="1:28" ht="15" customHeight="1" x14ac:dyDescent="0.45">
      <c r="A77" s="441" t="s">
        <v>1527</v>
      </c>
      <c r="B77" s="441" t="s">
        <v>1435</v>
      </c>
      <c r="C77" s="441" t="s">
        <v>2012</v>
      </c>
      <c r="D77" s="439" t="s">
        <v>2019</v>
      </c>
      <c r="J77" s="445" t="s">
        <v>1071</v>
      </c>
      <c r="K77" s="445" t="s">
        <v>25</v>
      </c>
      <c r="L77" s="445" t="s">
        <v>1072</v>
      </c>
      <c r="M77" s="445" t="s">
        <v>1068</v>
      </c>
      <c r="N77" s="446">
        <v>60.75</v>
      </c>
      <c r="O77" s="445" t="s">
        <v>424</v>
      </c>
      <c r="P77" s="445" t="s">
        <v>1047</v>
      </c>
      <c r="Q77" s="445">
        <v>2013</v>
      </c>
      <c r="S77" s="452">
        <v>243</v>
      </c>
      <c r="T77" s="452" t="s">
        <v>2041</v>
      </c>
      <c r="U77" s="452" t="s">
        <v>9</v>
      </c>
      <c r="V77" s="452">
        <v>31</v>
      </c>
      <c r="W77" s="452"/>
      <c r="X77" s="452">
        <v>303</v>
      </c>
      <c r="Y77" s="452" t="s">
        <v>2238</v>
      </c>
      <c r="Z77" s="452" t="s">
        <v>7</v>
      </c>
      <c r="AA77" s="452">
        <v>31</v>
      </c>
      <c r="AB77" s="433"/>
    </row>
    <row r="78" spans="1:28" ht="15" customHeight="1" x14ac:dyDescent="0.45">
      <c r="A78" s="441" t="s">
        <v>1528</v>
      </c>
      <c r="B78" s="447" t="s">
        <v>1436</v>
      </c>
      <c r="C78" s="447" t="s">
        <v>2013</v>
      </c>
      <c r="D78" s="439" t="s">
        <v>2017</v>
      </c>
      <c r="J78" s="445" t="s">
        <v>1073</v>
      </c>
      <c r="K78" s="445" t="s">
        <v>21</v>
      </c>
      <c r="L78" s="445" t="s">
        <v>431</v>
      </c>
      <c r="M78" s="445" t="s">
        <v>203</v>
      </c>
      <c r="N78" s="446">
        <v>79.150000000000006</v>
      </c>
      <c r="O78" s="445" t="s">
        <v>423</v>
      </c>
      <c r="P78" s="445" t="s">
        <v>1257</v>
      </c>
      <c r="Q78" s="445">
        <v>2018</v>
      </c>
      <c r="S78" s="452">
        <v>253</v>
      </c>
      <c r="T78" s="452" t="s">
        <v>2184</v>
      </c>
      <c r="U78" s="452" t="s">
        <v>9</v>
      </c>
      <c r="V78" s="452">
        <v>31</v>
      </c>
      <c r="W78" s="452"/>
      <c r="X78" s="452">
        <v>313</v>
      </c>
      <c r="Y78" s="452" t="s">
        <v>2020</v>
      </c>
      <c r="Z78" s="452" t="s">
        <v>7</v>
      </c>
      <c r="AA78" s="452">
        <v>30</v>
      </c>
      <c r="AB78" s="433"/>
    </row>
    <row r="79" spans="1:28" ht="15" customHeight="1" x14ac:dyDescent="0.45">
      <c r="A79" s="441" t="s">
        <v>1529</v>
      </c>
      <c r="B79" s="441" t="s">
        <v>1437</v>
      </c>
      <c r="C79" s="441" t="s">
        <v>2011</v>
      </c>
      <c r="D79" s="439" t="s">
        <v>2010</v>
      </c>
      <c r="J79" s="445" t="s">
        <v>1074</v>
      </c>
      <c r="K79" s="445" t="s">
        <v>28</v>
      </c>
      <c r="L79" s="445" t="s">
        <v>1075</v>
      </c>
      <c r="M79" s="445" t="s">
        <v>929</v>
      </c>
      <c r="N79" s="446">
        <v>73.400000000000006</v>
      </c>
      <c r="O79" s="445" t="s">
        <v>1076</v>
      </c>
      <c r="P79" s="445" t="s">
        <v>1020</v>
      </c>
      <c r="Q79" s="445">
        <v>2017</v>
      </c>
      <c r="S79" s="452">
        <v>263</v>
      </c>
      <c r="T79" s="452" t="s">
        <v>2118</v>
      </c>
      <c r="U79" s="452" t="s">
        <v>6</v>
      </c>
      <c r="V79" s="452">
        <v>31</v>
      </c>
      <c r="W79" s="452"/>
      <c r="X79" s="452">
        <v>323</v>
      </c>
      <c r="Y79" s="452" t="s">
        <v>2239</v>
      </c>
      <c r="Z79" s="452" t="s">
        <v>7</v>
      </c>
      <c r="AA79" s="452">
        <v>31</v>
      </c>
      <c r="AB79" s="433"/>
    </row>
    <row r="80" spans="1:28" ht="15" customHeight="1" x14ac:dyDescent="0.45">
      <c r="A80" s="441" t="s">
        <v>1530</v>
      </c>
      <c r="B80" s="441" t="s">
        <v>1438</v>
      </c>
      <c r="C80" s="441" t="s">
        <v>2014</v>
      </c>
      <c r="D80" s="439" t="s">
        <v>2009</v>
      </c>
      <c r="J80" s="445" t="s">
        <v>1077</v>
      </c>
      <c r="K80" s="445" t="s">
        <v>427</v>
      </c>
      <c r="L80" s="445" t="s">
        <v>912</v>
      </c>
      <c r="M80" s="445" t="s">
        <v>358</v>
      </c>
      <c r="N80" s="446">
        <v>41.11</v>
      </c>
      <c r="O80" s="445" t="s">
        <v>433</v>
      </c>
      <c r="P80" s="445" t="s">
        <v>1044</v>
      </c>
      <c r="Q80" s="445">
        <v>2017</v>
      </c>
      <c r="S80" s="452">
        <v>273</v>
      </c>
      <c r="T80" s="452" t="s">
        <v>2042</v>
      </c>
      <c r="U80" s="452" t="s">
        <v>9</v>
      </c>
      <c r="V80" s="452">
        <v>31</v>
      </c>
      <c r="W80" s="452"/>
      <c r="X80" s="452">
        <v>333</v>
      </c>
      <c r="Y80" s="452" t="s">
        <v>2014</v>
      </c>
      <c r="Z80" s="452" t="s">
        <v>7</v>
      </c>
      <c r="AA80" s="452">
        <v>31</v>
      </c>
      <c r="AB80" s="433"/>
    </row>
    <row r="81" spans="1:28" ht="15" customHeight="1" x14ac:dyDescent="0.45">
      <c r="A81" s="441" t="s">
        <v>1531</v>
      </c>
      <c r="B81" s="441" t="s">
        <v>1439</v>
      </c>
      <c r="C81" s="441" t="s">
        <v>2019</v>
      </c>
      <c r="D81" s="439" t="s">
        <v>2020</v>
      </c>
      <c r="J81" s="445" t="s">
        <v>1078</v>
      </c>
      <c r="K81" s="445" t="s">
        <v>1079</v>
      </c>
      <c r="L81" s="445" t="s">
        <v>912</v>
      </c>
      <c r="M81" s="445" t="s">
        <v>102</v>
      </c>
      <c r="N81" s="446">
        <v>2.3240740740740743E-3</v>
      </c>
      <c r="O81" s="445" t="s">
        <v>1080</v>
      </c>
      <c r="P81" s="445" t="s">
        <v>1065</v>
      </c>
      <c r="Q81" s="445">
        <v>2013</v>
      </c>
      <c r="S81" s="452">
        <v>283</v>
      </c>
      <c r="T81" s="452" t="s">
        <v>2185</v>
      </c>
      <c r="U81" s="452" t="s">
        <v>9</v>
      </c>
      <c r="V81" s="452">
        <v>31</v>
      </c>
      <c r="W81" s="452"/>
      <c r="X81" s="452">
        <v>343</v>
      </c>
      <c r="Y81" s="452" t="s">
        <v>2240</v>
      </c>
      <c r="Z81" s="452" t="s">
        <v>4</v>
      </c>
      <c r="AA81" s="452">
        <v>31</v>
      </c>
      <c r="AB81" s="433"/>
    </row>
    <row r="82" spans="1:28" ht="15" customHeight="1" x14ac:dyDescent="0.45">
      <c r="A82" s="441"/>
      <c r="B82" s="441" t="s">
        <v>1424</v>
      </c>
      <c r="C82" s="441" t="s">
        <v>100</v>
      </c>
      <c r="J82" s="445" t="s">
        <v>1081</v>
      </c>
      <c r="K82" s="445" t="s">
        <v>16</v>
      </c>
      <c r="L82" s="449" t="s">
        <v>1237</v>
      </c>
      <c r="M82" s="445" t="s">
        <v>1238</v>
      </c>
      <c r="N82" s="446">
        <v>10.62</v>
      </c>
      <c r="O82" s="445" t="s">
        <v>437</v>
      </c>
      <c r="P82" s="445" t="s">
        <v>1236</v>
      </c>
      <c r="Q82" s="445">
        <v>2018</v>
      </c>
      <c r="S82" s="452">
        <v>293</v>
      </c>
      <c r="T82" s="452" t="s">
        <v>2050</v>
      </c>
      <c r="U82" s="452" t="s">
        <v>9</v>
      </c>
      <c r="V82" s="452">
        <v>31</v>
      </c>
      <c r="W82" s="452"/>
      <c r="X82" s="452">
        <v>353</v>
      </c>
      <c r="Y82" s="452" t="s">
        <v>2090</v>
      </c>
      <c r="Z82" s="452" t="s">
        <v>4</v>
      </c>
      <c r="AA82" s="452">
        <v>31</v>
      </c>
      <c r="AB82" s="433"/>
    </row>
    <row r="83" spans="1:28" ht="15" customHeight="1" x14ac:dyDescent="0.45">
      <c r="A83" s="441"/>
      <c r="B83" s="441" t="s">
        <v>1425</v>
      </c>
      <c r="C83" s="441" t="s">
        <v>793</v>
      </c>
      <c r="J83" s="445" t="s">
        <v>1086</v>
      </c>
      <c r="K83" s="445" t="s">
        <v>11</v>
      </c>
      <c r="L83" s="449" t="s">
        <v>1082</v>
      </c>
      <c r="M83" s="445" t="s">
        <v>385</v>
      </c>
      <c r="N83" s="446">
        <v>21.64</v>
      </c>
      <c r="O83" s="445" t="s">
        <v>422</v>
      </c>
      <c r="P83" s="445" t="s">
        <v>1023</v>
      </c>
      <c r="Q83" s="445">
        <v>2014</v>
      </c>
      <c r="S83" s="452">
        <v>303</v>
      </c>
      <c r="T83" s="452" t="s">
        <v>2127</v>
      </c>
      <c r="U83" s="452" t="s">
        <v>6</v>
      </c>
      <c r="V83" s="452">
        <v>30</v>
      </c>
      <c r="W83" s="452"/>
      <c r="X83" s="452"/>
      <c r="Y83" s="452" t="s">
        <v>914</v>
      </c>
      <c r="Z83" s="452" t="s">
        <v>915</v>
      </c>
      <c r="AA83" s="452"/>
      <c r="AB83" s="433"/>
    </row>
    <row r="84" spans="1:28" ht="15" customHeight="1" x14ac:dyDescent="0.45">
      <c r="A84" s="441"/>
      <c r="B84" s="441" t="s">
        <v>1426</v>
      </c>
      <c r="C84" s="441" t="s">
        <v>7</v>
      </c>
      <c r="J84" s="445" t="s">
        <v>1087</v>
      </c>
      <c r="K84" s="445" t="s">
        <v>1025</v>
      </c>
      <c r="L84" s="449" t="s">
        <v>1239</v>
      </c>
      <c r="M84" s="445" t="s">
        <v>203</v>
      </c>
      <c r="N84" s="446">
        <v>48.88</v>
      </c>
      <c r="O84" s="445" t="s">
        <v>437</v>
      </c>
      <c r="P84" s="445" t="s">
        <v>1236</v>
      </c>
      <c r="Q84" s="445">
        <v>2018</v>
      </c>
      <c r="S84" s="452">
        <v>313</v>
      </c>
      <c r="T84" s="452" t="s">
        <v>2052</v>
      </c>
      <c r="U84" s="452" t="s">
        <v>9</v>
      </c>
      <c r="V84" s="452">
        <v>31</v>
      </c>
      <c r="W84" s="452"/>
      <c r="X84" s="452">
        <v>14</v>
      </c>
      <c r="Y84" s="452" t="s">
        <v>2241</v>
      </c>
      <c r="Z84" s="452" t="s">
        <v>7</v>
      </c>
      <c r="AA84" s="452">
        <v>41</v>
      </c>
      <c r="AB84" s="433"/>
    </row>
    <row r="85" spans="1:28" ht="15" customHeight="1" x14ac:dyDescent="0.45">
      <c r="A85" s="441"/>
      <c r="B85" s="441" t="s">
        <v>901</v>
      </c>
      <c r="C85" s="441">
        <v>2</v>
      </c>
      <c r="D85" s="439">
        <v>22</v>
      </c>
      <c r="J85" s="445" t="s">
        <v>1089</v>
      </c>
      <c r="K85" s="445" t="s">
        <v>12</v>
      </c>
      <c r="L85" s="449" t="s">
        <v>1090</v>
      </c>
      <c r="M85" s="445" t="s">
        <v>1091</v>
      </c>
      <c r="N85" s="446">
        <v>1.3368055555555555E-3</v>
      </c>
      <c r="O85" s="445" t="s">
        <v>1092</v>
      </c>
      <c r="P85" s="445" t="s">
        <v>1041</v>
      </c>
      <c r="Q85" s="445">
        <v>2014</v>
      </c>
      <c r="S85" s="452">
        <v>323</v>
      </c>
      <c r="T85" s="452" t="s">
        <v>2126</v>
      </c>
      <c r="U85" s="452" t="s">
        <v>6</v>
      </c>
      <c r="V85" s="452">
        <v>30</v>
      </c>
      <c r="W85" s="452"/>
      <c r="X85" s="452">
        <v>24</v>
      </c>
      <c r="Y85" s="452" t="s">
        <v>2242</v>
      </c>
      <c r="Z85" s="452" t="s">
        <v>7</v>
      </c>
      <c r="AA85" s="452">
        <v>40</v>
      </c>
      <c r="AB85" s="433"/>
    </row>
    <row r="86" spans="1:28" ht="15" customHeight="1" x14ac:dyDescent="0.45">
      <c r="A86" s="441" t="s">
        <v>1463</v>
      </c>
      <c r="B86" s="441" t="s">
        <v>1427</v>
      </c>
      <c r="C86" s="441" t="s">
        <v>2000</v>
      </c>
      <c r="D86" s="439" t="s">
        <v>2001</v>
      </c>
      <c r="J86" s="445" t="s">
        <v>1093</v>
      </c>
      <c r="K86" s="445" t="s">
        <v>20</v>
      </c>
      <c r="L86" s="445" t="s">
        <v>1033</v>
      </c>
      <c r="M86" s="445" t="s">
        <v>1034</v>
      </c>
      <c r="N86" s="446">
        <v>2.7395833333333335E-3</v>
      </c>
      <c r="O86" s="445" t="s">
        <v>1092</v>
      </c>
      <c r="P86" s="445" t="s">
        <v>1041</v>
      </c>
      <c r="Q86" s="445">
        <v>2014</v>
      </c>
      <c r="S86" s="452">
        <v>333</v>
      </c>
      <c r="T86" s="452" t="s">
        <v>2123</v>
      </c>
      <c r="U86" s="452" t="s">
        <v>6</v>
      </c>
      <c r="V86" s="452">
        <v>31</v>
      </c>
      <c r="W86" s="452"/>
      <c r="X86" s="452">
        <v>34</v>
      </c>
      <c r="Y86" s="452" t="s">
        <v>2027</v>
      </c>
      <c r="Z86" s="452" t="s">
        <v>7</v>
      </c>
      <c r="AA86" s="452">
        <v>41</v>
      </c>
      <c r="AB86" s="433"/>
    </row>
    <row r="87" spans="1:28" ht="15" customHeight="1" x14ac:dyDescent="0.45">
      <c r="A87" s="441" t="s">
        <v>1464</v>
      </c>
      <c r="B87" s="441" t="s">
        <v>1428</v>
      </c>
      <c r="C87" s="441"/>
      <c r="J87" s="445" t="s">
        <v>1094</v>
      </c>
      <c r="K87" s="445" t="s">
        <v>1037</v>
      </c>
      <c r="L87" s="445" t="s">
        <v>1095</v>
      </c>
      <c r="M87" s="445" t="s">
        <v>1096</v>
      </c>
      <c r="N87" s="446">
        <v>6.1253472222222221E-3</v>
      </c>
      <c r="O87" s="445" t="s">
        <v>422</v>
      </c>
      <c r="P87" s="445" t="s">
        <v>1035</v>
      </c>
      <c r="Q87" s="445">
        <v>2015</v>
      </c>
      <c r="S87" s="452">
        <v>343</v>
      </c>
      <c r="T87" s="452" t="s">
        <v>2186</v>
      </c>
      <c r="U87" s="452" t="s">
        <v>9</v>
      </c>
      <c r="V87" s="452">
        <v>31</v>
      </c>
      <c r="W87" s="452"/>
      <c r="X87" s="452">
        <v>44</v>
      </c>
      <c r="Y87" s="452" t="s">
        <v>2243</v>
      </c>
      <c r="Z87" s="452" t="s">
        <v>7</v>
      </c>
      <c r="AA87" s="452">
        <v>41</v>
      </c>
      <c r="AB87" s="433"/>
    </row>
    <row r="88" spans="1:28" ht="15" customHeight="1" x14ac:dyDescent="0.45">
      <c r="A88" s="441" t="s">
        <v>1465</v>
      </c>
      <c r="B88" s="447">
        <v>200</v>
      </c>
      <c r="C88" s="441" t="s">
        <v>2002</v>
      </c>
      <c r="D88" s="439" t="s">
        <v>2003</v>
      </c>
      <c r="J88" s="445" t="s">
        <v>1097</v>
      </c>
      <c r="K88" s="445" t="s">
        <v>1098</v>
      </c>
      <c r="L88" s="445" t="s">
        <v>1099</v>
      </c>
      <c r="M88" s="445" t="s">
        <v>376</v>
      </c>
      <c r="N88" s="446">
        <v>12.8</v>
      </c>
      <c r="O88" s="445" t="s">
        <v>1100</v>
      </c>
      <c r="P88" s="445" t="s">
        <v>1101</v>
      </c>
      <c r="Q88" s="445">
        <v>2016</v>
      </c>
      <c r="S88" s="452">
        <v>353</v>
      </c>
      <c r="T88" s="452" t="s">
        <v>2187</v>
      </c>
      <c r="U88" s="452" t="s">
        <v>6</v>
      </c>
      <c r="V88" s="452">
        <v>30</v>
      </c>
      <c r="W88" s="452"/>
      <c r="X88" s="452">
        <v>54</v>
      </c>
      <c r="Y88" s="452" t="s">
        <v>2244</v>
      </c>
      <c r="Z88" s="452" t="s">
        <v>7</v>
      </c>
      <c r="AA88" s="452">
        <v>41</v>
      </c>
      <c r="AB88" s="433"/>
    </row>
    <row r="89" spans="1:28" ht="15" customHeight="1" x14ac:dyDescent="0.45">
      <c r="A89" s="441" t="s">
        <v>1466</v>
      </c>
      <c r="B89" s="441">
        <v>400</v>
      </c>
      <c r="C89" s="441"/>
      <c r="J89" s="445" t="s">
        <v>1102</v>
      </c>
      <c r="K89" s="445" t="s">
        <v>902</v>
      </c>
      <c r="L89" s="445" t="s">
        <v>1103</v>
      </c>
      <c r="M89" s="445" t="s">
        <v>929</v>
      </c>
      <c r="N89" s="446">
        <v>54.05</v>
      </c>
      <c r="O89" s="445" t="s">
        <v>422</v>
      </c>
      <c r="P89" s="445" t="s">
        <v>1104</v>
      </c>
      <c r="Q89" s="445">
        <v>2014</v>
      </c>
      <c r="S89" s="452">
        <v>363</v>
      </c>
      <c r="T89" s="452" t="s">
        <v>2188</v>
      </c>
      <c r="U89" s="452" t="s">
        <v>6</v>
      </c>
      <c r="V89" s="452">
        <v>30</v>
      </c>
      <c r="W89" s="452"/>
      <c r="X89" s="452">
        <v>64</v>
      </c>
      <c r="Y89" s="452" t="s">
        <v>2031</v>
      </c>
      <c r="Z89" s="452" t="s">
        <v>7</v>
      </c>
      <c r="AA89" s="452">
        <v>41</v>
      </c>
      <c r="AB89" s="433"/>
    </row>
    <row r="90" spans="1:28" ht="15" customHeight="1" x14ac:dyDescent="0.45">
      <c r="A90" s="441" t="s">
        <v>1467</v>
      </c>
      <c r="B90" s="441">
        <v>800</v>
      </c>
      <c r="C90" s="441" t="s">
        <v>2004</v>
      </c>
      <c r="D90" s="439" t="s">
        <v>2005</v>
      </c>
      <c r="J90" s="445" t="s">
        <v>1105</v>
      </c>
      <c r="K90" s="445" t="s">
        <v>1106</v>
      </c>
      <c r="L90" s="445" t="s">
        <v>1107</v>
      </c>
      <c r="M90" s="445" t="s">
        <v>346</v>
      </c>
      <c r="N90" s="446">
        <v>3.0370370370370364E-3</v>
      </c>
      <c r="O90" s="445" t="s">
        <v>423</v>
      </c>
      <c r="P90" s="445" t="s">
        <v>1101</v>
      </c>
      <c r="Q90" s="445">
        <v>2016</v>
      </c>
      <c r="S90" s="452">
        <v>373</v>
      </c>
      <c r="T90" s="452" t="s">
        <v>2189</v>
      </c>
      <c r="U90" s="452" t="s">
        <v>9</v>
      </c>
      <c r="V90" s="452">
        <v>31</v>
      </c>
      <c r="W90" s="452"/>
      <c r="X90" s="452">
        <v>74</v>
      </c>
      <c r="Y90" s="452" t="s">
        <v>2245</v>
      </c>
      <c r="Z90" s="452" t="s">
        <v>7</v>
      </c>
      <c r="AA90" s="452">
        <v>41</v>
      </c>
      <c r="AB90" s="433"/>
    </row>
    <row r="91" spans="1:28" ht="15" customHeight="1" x14ac:dyDescent="0.45">
      <c r="A91" s="441" t="s">
        <v>1468</v>
      </c>
      <c r="B91" s="441" t="s">
        <v>1429</v>
      </c>
      <c r="C91" s="441"/>
      <c r="J91" s="445" t="s">
        <v>1108</v>
      </c>
      <c r="K91" s="445" t="s">
        <v>23</v>
      </c>
      <c r="L91" s="445" t="s">
        <v>1109</v>
      </c>
      <c r="M91" s="445" t="s">
        <v>1096</v>
      </c>
      <c r="N91" s="446">
        <v>2.08</v>
      </c>
      <c r="O91" s="445" t="s">
        <v>1110</v>
      </c>
      <c r="P91" s="445" t="s">
        <v>1070</v>
      </c>
      <c r="Q91" s="445">
        <v>2016</v>
      </c>
      <c r="S91" s="452">
        <v>383</v>
      </c>
      <c r="T91" s="452" t="s">
        <v>2190</v>
      </c>
      <c r="U91" s="452" t="s">
        <v>9</v>
      </c>
      <c r="V91" s="452">
        <v>31</v>
      </c>
      <c r="W91" s="452"/>
      <c r="X91" s="452">
        <v>84</v>
      </c>
      <c r="Y91" s="452" t="s">
        <v>2246</v>
      </c>
      <c r="Z91" s="452" t="s">
        <v>7</v>
      </c>
      <c r="AA91" s="452">
        <v>41</v>
      </c>
      <c r="AB91" s="433"/>
    </row>
    <row r="92" spans="1:28" ht="15" customHeight="1" x14ac:dyDescent="0.45">
      <c r="A92" s="441" t="s">
        <v>1469</v>
      </c>
      <c r="B92" s="441">
        <v>1500</v>
      </c>
      <c r="C92" s="441"/>
      <c r="J92" s="445" t="s">
        <v>1111</v>
      </c>
      <c r="K92" s="445" t="s">
        <v>27</v>
      </c>
      <c r="L92" s="445" t="s">
        <v>429</v>
      </c>
      <c r="M92" s="445" t="s">
        <v>1112</v>
      </c>
      <c r="N92" s="446">
        <v>4.8</v>
      </c>
      <c r="O92" s="445" t="s">
        <v>930</v>
      </c>
      <c r="P92" s="445" t="s">
        <v>1070</v>
      </c>
      <c r="Q92" s="445">
        <v>2016</v>
      </c>
      <c r="S92" s="452">
        <v>393</v>
      </c>
      <c r="T92" s="452" t="s">
        <v>2128</v>
      </c>
      <c r="U92" s="452" t="s">
        <v>6</v>
      </c>
      <c r="V92" s="452">
        <v>31</v>
      </c>
      <c r="W92" s="452"/>
      <c r="X92" s="452">
        <v>94</v>
      </c>
      <c r="Y92" s="452" t="s">
        <v>2022</v>
      </c>
      <c r="Z92" s="452" t="s">
        <v>7</v>
      </c>
      <c r="AA92" s="452">
        <v>41</v>
      </c>
      <c r="AB92" s="433"/>
    </row>
    <row r="93" spans="1:28" ht="15" customHeight="1" x14ac:dyDescent="0.45">
      <c r="A93" s="441" t="s">
        <v>1470</v>
      </c>
      <c r="B93" s="441" t="s">
        <v>1430</v>
      </c>
      <c r="C93" s="447" t="s">
        <v>2006</v>
      </c>
      <c r="D93" s="439" t="s">
        <v>2003</v>
      </c>
      <c r="J93" s="445" t="s">
        <v>1113</v>
      </c>
      <c r="K93" s="445" t="s">
        <v>22</v>
      </c>
      <c r="L93" s="445" t="s">
        <v>1114</v>
      </c>
      <c r="M93" s="445" t="s">
        <v>1115</v>
      </c>
      <c r="N93" s="446">
        <v>6.97</v>
      </c>
      <c r="O93" s="445" t="s">
        <v>430</v>
      </c>
      <c r="P93" s="445" t="s">
        <v>1044</v>
      </c>
      <c r="Q93" s="445">
        <v>2017</v>
      </c>
      <c r="S93" s="452">
        <v>403</v>
      </c>
      <c r="T93" s="452" t="s">
        <v>2121</v>
      </c>
      <c r="U93" s="452" t="s">
        <v>6</v>
      </c>
      <c r="V93" s="452">
        <v>30</v>
      </c>
      <c r="W93" s="452"/>
      <c r="X93" s="452">
        <v>104</v>
      </c>
      <c r="Y93" s="452" t="s">
        <v>2247</v>
      </c>
      <c r="Z93" s="452" t="s">
        <v>7</v>
      </c>
      <c r="AA93" s="452">
        <v>41</v>
      </c>
      <c r="AB93" s="433"/>
    </row>
    <row r="94" spans="1:28" ht="15" customHeight="1" x14ac:dyDescent="0.45">
      <c r="A94" s="441" t="s">
        <v>1471</v>
      </c>
      <c r="B94" s="441">
        <v>3000</v>
      </c>
      <c r="C94" s="441"/>
      <c r="J94" s="445" t="s">
        <v>1116</v>
      </c>
      <c r="K94" s="445" t="s">
        <v>31</v>
      </c>
      <c r="L94" s="445" t="s">
        <v>1117</v>
      </c>
      <c r="M94" s="445" t="s">
        <v>929</v>
      </c>
      <c r="N94" s="446">
        <v>14.62</v>
      </c>
      <c r="O94" s="445" t="s">
        <v>422</v>
      </c>
      <c r="P94" s="445" t="s">
        <v>1031</v>
      </c>
      <c r="Q94" s="445">
        <v>2013</v>
      </c>
      <c r="S94" s="452">
        <v>413</v>
      </c>
      <c r="T94" s="452" t="s">
        <v>2191</v>
      </c>
      <c r="U94" s="452" t="s">
        <v>6</v>
      </c>
      <c r="V94" s="452">
        <v>31</v>
      </c>
      <c r="W94" s="452"/>
      <c r="X94" s="452">
        <v>114</v>
      </c>
      <c r="Y94" s="452" t="s">
        <v>2248</v>
      </c>
      <c r="Z94" s="452" t="s">
        <v>7</v>
      </c>
      <c r="AA94" s="452">
        <v>41</v>
      </c>
      <c r="AB94" s="433"/>
    </row>
    <row r="95" spans="1:28" ht="15" customHeight="1" x14ac:dyDescent="0.45">
      <c r="A95" s="441" t="s">
        <v>1472</v>
      </c>
      <c r="B95" s="441" t="s">
        <v>1431</v>
      </c>
      <c r="C95" s="441"/>
      <c r="J95" s="445" t="s">
        <v>1118</v>
      </c>
      <c r="K95" s="445" t="s">
        <v>426</v>
      </c>
      <c r="L95" s="445" t="s">
        <v>1421</v>
      </c>
      <c r="M95" s="445" t="s">
        <v>1096</v>
      </c>
      <c r="N95" s="446">
        <v>18.260000000000002</v>
      </c>
      <c r="O95" s="445" t="s">
        <v>930</v>
      </c>
      <c r="P95" s="445" t="s">
        <v>1422</v>
      </c>
      <c r="Q95" s="445">
        <v>2018</v>
      </c>
      <c r="S95" s="452">
        <v>423</v>
      </c>
      <c r="T95" s="452" t="s">
        <v>2192</v>
      </c>
      <c r="U95" s="452" t="s">
        <v>9</v>
      </c>
      <c r="V95" s="452">
        <v>31</v>
      </c>
      <c r="W95" s="452"/>
      <c r="X95" s="452">
        <v>124</v>
      </c>
      <c r="Y95" s="452" t="s">
        <v>2249</v>
      </c>
      <c r="Z95" s="452" t="s">
        <v>4</v>
      </c>
      <c r="AA95" s="452">
        <v>41</v>
      </c>
      <c r="AB95" s="433"/>
    </row>
    <row r="96" spans="1:28" ht="15" customHeight="1" x14ac:dyDescent="0.45">
      <c r="A96" s="441" t="s">
        <v>1473</v>
      </c>
      <c r="B96" s="441" t="s">
        <v>902</v>
      </c>
      <c r="C96" s="447"/>
      <c r="J96" s="445" t="s">
        <v>1119</v>
      </c>
      <c r="K96" s="445" t="s">
        <v>25</v>
      </c>
      <c r="L96" s="445" t="s">
        <v>1120</v>
      </c>
      <c r="M96" s="445" t="s">
        <v>1121</v>
      </c>
      <c r="N96" s="446">
        <v>57.43</v>
      </c>
      <c r="O96" s="445" t="s">
        <v>1122</v>
      </c>
      <c r="P96" s="445" t="s">
        <v>1123</v>
      </c>
      <c r="Q96" s="445">
        <v>2016</v>
      </c>
      <c r="S96" s="452">
        <v>433</v>
      </c>
      <c r="T96" s="452" t="s">
        <v>2193</v>
      </c>
      <c r="U96" s="452" t="s">
        <v>9</v>
      </c>
      <c r="V96" s="452">
        <v>31</v>
      </c>
      <c r="W96" s="452"/>
      <c r="X96" s="452">
        <v>134</v>
      </c>
      <c r="Y96" s="452" t="s">
        <v>2250</v>
      </c>
      <c r="Z96" s="452" t="s">
        <v>7</v>
      </c>
      <c r="AA96" s="452">
        <v>41</v>
      </c>
      <c r="AB96" s="433"/>
    </row>
    <row r="97" spans="1:28" ht="15" customHeight="1" x14ac:dyDescent="0.45">
      <c r="A97" s="441" t="s">
        <v>1474</v>
      </c>
      <c r="B97" s="441" t="s">
        <v>25</v>
      </c>
      <c r="C97" s="441" t="s">
        <v>2007</v>
      </c>
      <c r="D97" s="439" t="s">
        <v>2001</v>
      </c>
      <c r="J97" s="445" t="s">
        <v>1124</v>
      </c>
      <c r="K97" s="445" t="s">
        <v>21</v>
      </c>
      <c r="L97" s="445" t="s">
        <v>431</v>
      </c>
      <c r="M97" s="445" t="s">
        <v>203</v>
      </c>
      <c r="N97" s="446">
        <v>73.25</v>
      </c>
      <c r="O97" s="445" t="s">
        <v>432</v>
      </c>
      <c r="P97" s="445" t="s">
        <v>1035</v>
      </c>
      <c r="Q97" s="445">
        <v>2015</v>
      </c>
      <c r="S97" s="452"/>
      <c r="T97" s="452" t="s">
        <v>914</v>
      </c>
      <c r="U97" s="452" t="s">
        <v>915</v>
      </c>
      <c r="V97" s="452"/>
      <c r="W97" s="452"/>
      <c r="X97" s="452">
        <v>144</v>
      </c>
      <c r="Y97" s="452" t="s">
        <v>2030</v>
      </c>
      <c r="Z97" s="452" t="s">
        <v>7</v>
      </c>
      <c r="AA97" s="452">
        <v>41</v>
      </c>
      <c r="AB97" s="433"/>
    </row>
    <row r="98" spans="1:28" ht="15" customHeight="1" x14ac:dyDescent="0.45">
      <c r="A98" s="441" t="s">
        <v>1475</v>
      </c>
      <c r="B98" s="441" t="s">
        <v>21</v>
      </c>
      <c r="C98" s="441" t="s">
        <v>2007</v>
      </c>
      <c r="D98" s="439" t="s">
        <v>2006</v>
      </c>
      <c r="J98" s="445" t="s">
        <v>1125</v>
      </c>
      <c r="K98" s="445" t="s">
        <v>28</v>
      </c>
      <c r="L98" s="445" t="s">
        <v>1126</v>
      </c>
      <c r="M98" s="445" t="s">
        <v>1127</v>
      </c>
      <c r="N98" s="446">
        <v>69.959999999999994</v>
      </c>
      <c r="O98" s="445" t="s">
        <v>1022</v>
      </c>
      <c r="P98" s="445" t="s">
        <v>1023</v>
      </c>
      <c r="Q98" s="445">
        <v>2014</v>
      </c>
      <c r="S98" s="452">
        <v>14</v>
      </c>
      <c r="T98" s="452" t="s">
        <v>2194</v>
      </c>
      <c r="U98" s="452" t="s">
        <v>9</v>
      </c>
      <c r="V98" s="452">
        <v>41</v>
      </c>
      <c r="W98" s="452"/>
      <c r="X98" s="452">
        <v>154</v>
      </c>
      <c r="Y98" s="452" t="s">
        <v>2251</v>
      </c>
      <c r="Z98" s="452" t="s">
        <v>4</v>
      </c>
      <c r="AA98" s="452">
        <v>41</v>
      </c>
      <c r="AB98" s="433"/>
    </row>
    <row r="99" spans="1:28" ht="15" customHeight="1" x14ac:dyDescent="0.45">
      <c r="A99" s="441" t="s">
        <v>1476</v>
      </c>
      <c r="B99" s="441" t="s">
        <v>28</v>
      </c>
      <c r="C99" s="441" t="s">
        <v>2006</v>
      </c>
      <c r="D99" s="439" t="s">
        <v>2003</v>
      </c>
      <c r="J99" s="445" t="s">
        <v>1128</v>
      </c>
      <c r="K99" s="445" t="s">
        <v>427</v>
      </c>
      <c r="L99" s="445" t="s">
        <v>912</v>
      </c>
      <c r="M99" s="445" t="s">
        <v>358</v>
      </c>
      <c r="N99" s="446">
        <v>42.74</v>
      </c>
      <c r="O99" s="445" t="s">
        <v>1083</v>
      </c>
      <c r="P99" s="445" t="s">
        <v>1245</v>
      </c>
      <c r="Q99" s="445">
        <v>2018</v>
      </c>
      <c r="S99" s="452">
        <v>24</v>
      </c>
      <c r="T99" s="452" t="s">
        <v>2195</v>
      </c>
      <c r="U99" s="452" t="s">
        <v>6</v>
      </c>
      <c r="V99" s="452">
        <v>41</v>
      </c>
      <c r="W99" s="452"/>
      <c r="X99" s="452">
        <v>164</v>
      </c>
      <c r="Y99" s="452" t="s">
        <v>2109</v>
      </c>
      <c r="Z99" s="452" t="s">
        <v>4</v>
      </c>
      <c r="AA99" s="452">
        <v>41</v>
      </c>
      <c r="AB99" s="433"/>
    </row>
    <row r="100" spans="1:28" ht="15" customHeight="1" x14ac:dyDescent="0.45">
      <c r="A100" s="441" t="s">
        <v>1477</v>
      </c>
      <c r="B100" s="441" t="s">
        <v>24</v>
      </c>
      <c r="C100" s="447" t="s">
        <v>2002</v>
      </c>
      <c r="D100" s="439" t="s">
        <v>2007</v>
      </c>
      <c r="J100" s="445" t="s">
        <v>1130</v>
      </c>
      <c r="K100" s="445" t="s">
        <v>1079</v>
      </c>
      <c r="L100" s="445" t="s">
        <v>912</v>
      </c>
      <c r="M100" s="445" t="s">
        <v>929</v>
      </c>
      <c r="N100" s="446">
        <v>2.3899305555555553E-3</v>
      </c>
      <c r="O100" s="445" t="s">
        <v>422</v>
      </c>
      <c r="P100" s="445" t="s">
        <v>1104</v>
      </c>
      <c r="Q100" s="445">
        <v>2014</v>
      </c>
      <c r="S100" s="452">
        <v>34</v>
      </c>
      <c r="T100" s="452" t="s">
        <v>2075</v>
      </c>
      <c r="U100" s="452" t="s">
        <v>9</v>
      </c>
      <c r="V100" s="452">
        <v>41</v>
      </c>
      <c r="W100" s="452"/>
      <c r="X100" s="452">
        <v>174</v>
      </c>
      <c r="Y100" s="452" t="s">
        <v>2028</v>
      </c>
      <c r="Z100" s="452" t="s">
        <v>7</v>
      </c>
      <c r="AA100" s="452">
        <v>41</v>
      </c>
      <c r="AB100" s="433"/>
    </row>
    <row r="101" spans="1:28" ht="15" customHeight="1" x14ac:dyDescent="0.45">
      <c r="A101" s="441" t="s">
        <v>1478</v>
      </c>
      <c r="B101" s="441" t="s">
        <v>1432</v>
      </c>
      <c r="C101" s="441" t="s">
        <v>2000</v>
      </c>
      <c r="D101" s="439" t="s">
        <v>2002</v>
      </c>
      <c r="J101" s="445" t="s">
        <v>1131</v>
      </c>
      <c r="K101" s="445" t="s">
        <v>16</v>
      </c>
      <c r="L101" s="445" t="s">
        <v>1132</v>
      </c>
      <c r="M101" s="445" t="s">
        <v>929</v>
      </c>
      <c r="N101" s="446">
        <v>11.49</v>
      </c>
      <c r="O101" s="445" t="s">
        <v>1076</v>
      </c>
      <c r="P101" s="445" t="s">
        <v>1023</v>
      </c>
      <c r="Q101" s="445">
        <v>2014</v>
      </c>
      <c r="S101" s="452">
        <v>44</v>
      </c>
      <c r="T101" s="452" t="s">
        <v>2196</v>
      </c>
      <c r="U101" s="452" t="s">
        <v>9</v>
      </c>
      <c r="V101" s="452">
        <v>41</v>
      </c>
      <c r="W101" s="452"/>
      <c r="X101" s="452">
        <v>184</v>
      </c>
      <c r="Y101" s="452" t="s">
        <v>2252</v>
      </c>
      <c r="Z101" s="452" t="s">
        <v>7</v>
      </c>
      <c r="AA101" s="452">
        <v>41</v>
      </c>
      <c r="AB101" s="433"/>
    </row>
    <row r="102" spans="1:28" ht="15" customHeight="1" x14ac:dyDescent="0.45">
      <c r="A102" s="441" t="s">
        <v>1479</v>
      </c>
      <c r="B102" s="441" t="s">
        <v>1433</v>
      </c>
      <c r="C102" s="447"/>
      <c r="J102" s="445" t="s">
        <v>1133</v>
      </c>
      <c r="K102" s="445" t="s">
        <v>11</v>
      </c>
      <c r="L102" s="445" t="s">
        <v>1132</v>
      </c>
      <c r="M102" s="445" t="s">
        <v>929</v>
      </c>
      <c r="N102" s="446">
        <v>23.08</v>
      </c>
      <c r="O102" s="445" t="s">
        <v>1076</v>
      </c>
      <c r="P102" s="445" t="s">
        <v>1023</v>
      </c>
      <c r="Q102" s="445">
        <v>2014</v>
      </c>
      <c r="S102" s="452">
        <v>54</v>
      </c>
      <c r="T102" s="452" t="s">
        <v>2071</v>
      </c>
      <c r="U102" s="452" t="s">
        <v>9</v>
      </c>
      <c r="V102" s="452">
        <v>41</v>
      </c>
      <c r="W102" s="452"/>
      <c r="X102" s="452">
        <v>194</v>
      </c>
      <c r="Y102" s="452" t="s">
        <v>2033</v>
      </c>
      <c r="Z102" s="452" t="s">
        <v>7</v>
      </c>
      <c r="AA102" s="452">
        <v>41</v>
      </c>
      <c r="AB102" s="433"/>
    </row>
    <row r="103" spans="1:28" ht="15" customHeight="1" x14ac:dyDescent="0.45">
      <c r="A103" s="441" t="s">
        <v>1480</v>
      </c>
      <c r="B103" s="441" t="s">
        <v>1434</v>
      </c>
      <c r="C103" s="441" t="s">
        <v>2008</v>
      </c>
      <c r="D103" s="439" t="s">
        <v>2000</v>
      </c>
      <c r="J103" s="445" t="s">
        <v>1134</v>
      </c>
      <c r="K103" s="445" t="s">
        <v>1025</v>
      </c>
      <c r="L103" s="449" t="s">
        <v>1135</v>
      </c>
      <c r="M103" s="445" t="s">
        <v>1136</v>
      </c>
      <c r="N103" s="446">
        <v>54.38</v>
      </c>
      <c r="O103" s="445" t="s">
        <v>1083</v>
      </c>
      <c r="P103" s="445" t="s">
        <v>1084</v>
      </c>
      <c r="Q103" s="445">
        <v>2015</v>
      </c>
      <c r="S103" s="452">
        <v>64</v>
      </c>
      <c r="T103" s="452" t="s">
        <v>2197</v>
      </c>
      <c r="U103" s="452" t="s">
        <v>9</v>
      </c>
      <c r="V103" s="452">
        <v>41</v>
      </c>
      <c r="W103" s="452"/>
      <c r="X103" s="452">
        <v>204</v>
      </c>
      <c r="Y103" s="452" t="s">
        <v>2253</v>
      </c>
      <c r="Z103" s="452" t="s">
        <v>7</v>
      </c>
      <c r="AA103" s="452">
        <v>41</v>
      </c>
      <c r="AB103" s="433"/>
    </row>
    <row r="104" spans="1:28" ht="15" customHeight="1" x14ac:dyDescent="0.45">
      <c r="A104" s="441" t="s">
        <v>1481</v>
      </c>
      <c r="B104" s="441" t="s">
        <v>1435</v>
      </c>
      <c r="C104" s="441"/>
      <c r="J104" s="445" t="s">
        <v>1137</v>
      </c>
      <c r="K104" s="445" t="s">
        <v>12</v>
      </c>
      <c r="L104" s="449" t="s">
        <v>1138</v>
      </c>
      <c r="M104" s="445" t="s">
        <v>929</v>
      </c>
      <c r="N104" s="446">
        <v>1.4840277777777777E-3</v>
      </c>
      <c r="O104" s="445" t="s">
        <v>422</v>
      </c>
      <c r="P104" s="445" t="s">
        <v>1139</v>
      </c>
      <c r="Q104" s="445">
        <v>2017</v>
      </c>
      <c r="S104" s="452">
        <v>74</v>
      </c>
      <c r="T104" s="452" t="s">
        <v>2198</v>
      </c>
      <c r="U104" s="452" t="s">
        <v>9</v>
      </c>
      <c r="V104" s="452">
        <v>41</v>
      </c>
      <c r="W104" s="452"/>
      <c r="X104" s="452">
        <v>214</v>
      </c>
      <c r="Y104" s="452" t="s">
        <v>2254</v>
      </c>
      <c r="Z104" s="452" t="s">
        <v>7</v>
      </c>
      <c r="AA104" s="452">
        <v>41</v>
      </c>
      <c r="AB104" s="433"/>
    </row>
    <row r="105" spans="1:28" ht="15" customHeight="1" x14ac:dyDescent="0.45">
      <c r="A105" s="441" t="s">
        <v>1482</v>
      </c>
      <c r="B105" s="441" t="s">
        <v>1436</v>
      </c>
      <c r="C105" s="441" t="s">
        <v>2003</v>
      </c>
      <c r="D105" s="439" t="s">
        <v>2006</v>
      </c>
      <c r="J105" s="445" t="s">
        <v>1140</v>
      </c>
      <c r="K105" s="445" t="s">
        <v>20</v>
      </c>
      <c r="L105" s="449" t="s">
        <v>1141</v>
      </c>
      <c r="M105" s="445" t="s">
        <v>929</v>
      </c>
      <c r="N105" s="446">
        <v>3.1238425925925926E-3</v>
      </c>
      <c r="O105" s="445" t="s">
        <v>1069</v>
      </c>
      <c r="P105" s="445" t="s">
        <v>1070</v>
      </c>
      <c r="Q105" s="445">
        <v>2016</v>
      </c>
      <c r="S105" s="452">
        <v>84</v>
      </c>
      <c r="T105" s="452" t="s">
        <v>2199</v>
      </c>
      <c r="U105" s="452" t="s">
        <v>9</v>
      </c>
      <c r="V105" s="452">
        <v>40</v>
      </c>
      <c r="W105" s="452"/>
      <c r="X105" s="452">
        <v>224</v>
      </c>
      <c r="Y105" s="452" t="s">
        <v>2029</v>
      </c>
      <c r="Z105" s="452" t="s">
        <v>7</v>
      </c>
      <c r="AA105" s="452">
        <v>41</v>
      </c>
      <c r="AB105" s="433"/>
    </row>
    <row r="106" spans="1:28" ht="15" customHeight="1" x14ac:dyDescent="0.45">
      <c r="A106" s="441" t="s">
        <v>1483</v>
      </c>
      <c r="B106" s="447" t="s">
        <v>1437</v>
      </c>
      <c r="C106" s="441" t="s">
        <v>2002</v>
      </c>
      <c r="D106" s="439" t="s">
        <v>2001</v>
      </c>
      <c r="J106" s="445" t="s">
        <v>1142</v>
      </c>
      <c r="K106" s="445" t="s">
        <v>1037</v>
      </c>
      <c r="L106" s="449" t="s">
        <v>1143</v>
      </c>
      <c r="M106" s="445" t="s">
        <v>1144</v>
      </c>
      <c r="N106" s="446">
        <v>6.6847222222222212E-3</v>
      </c>
      <c r="O106" s="445" t="s">
        <v>1145</v>
      </c>
      <c r="P106" s="445" t="s">
        <v>1146</v>
      </c>
      <c r="Q106" s="445">
        <v>2016</v>
      </c>
      <c r="S106" s="452">
        <v>94</v>
      </c>
      <c r="T106" s="452" t="s">
        <v>2072</v>
      </c>
      <c r="U106" s="452" t="s">
        <v>9</v>
      </c>
      <c r="V106" s="452">
        <v>41</v>
      </c>
      <c r="W106" s="452"/>
      <c r="X106" s="452">
        <v>234</v>
      </c>
      <c r="Y106" s="452" t="s">
        <v>2255</v>
      </c>
      <c r="Z106" s="452" t="s">
        <v>7</v>
      </c>
      <c r="AA106" s="452">
        <v>41</v>
      </c>
      <c r="AB106" s="433"/>
    </row>
    <row r="107" spans="1:28" ht="15" customHeight="1" x14ac:dyDescent="0.45">
      <c r="A107" s="441" t="s">
        <v>1484</v>
      </c>
      <c r="B107" s="441" t="s">
        <v>1438</v>
      </c>
      <c r="C107" s="441"/>
      <c r="J107" s="445" t="s">
        <v>1147</v>
      </c>
      <c r="K107" s="445" t="s">
        <v>1098</v>
      </c>
      <c r="L107" s="445" t="s">
        <v>1148</v>
      </c>
      <c r="M107" s="445" t="s">
        <v>1149</v>
      </c>
      <c r="N107" s="446">
        <v>13.85</v>
      </c>
      <c r="O107" s="445" t="s">
        <v>437</v>
      </c>
      <c r="P107" s="445" t="s">
        <v>1236</v>
      </c>
      <c r="Q107" s="445">
        <v>2018</v>
      </c>
      <c r="S107" s="452">
        <v>104</v>
      </c>
      <c r="T107" s="452" t="s">
        <v>2147</v>
      </c>
      <c r="U107" s="452" t="s">
        <v>6</v>
      </c>
      <c r="V107" s="452">
        <v>41</v>
      </c>
      <c r="W107" s="452"/>
      <c r="X107" s="452">
        <v>244</v>
      </c>
      <c r="Y107" s="452" t="s">
        <v>2256</v>
      </c>
      <c r="Z107" s="452" t="s">
        <v>7</v>
      </c>
      <c r="AA107" s="452">
        <v>41</v>
      </c>
      <c r="AB107" s="433"/>
    </row>
    <row r="108" spans="1:28" ht="15" customHeight="1" x14ac:dyDescent="0.45">
      <c r="A108" s="441" t="s">
        <v>1485</v>
      </c>
      <c r="B108" s="441" t="s">
        <v>1439</v>
      </c>
      <c r="C108" s="441"/>
      <c r="J108" s="445" t="s">
        <v>1151</v>
      </c>
      <c r="K108" s="445" t="s">
        <v>902</v>
      </c>
      <c r="L108" s="445" t="s">
        <v>1152</v>
      </c>
      <c r="M108" s="445" t="s">
        <v>203</v>
      </c>
      <c r="N108" s="446">
        <v>57.91</v>
      </c>
      <c r="O108" s="445" t="s">
        <v>1076</v>
      </c>
      <c r="P108" s="445" t="s">
        <v>1023</v>
      </c>
      <c r="Q108" s="445">
        <v>2014</v>
      </c>
      <c r="S108" s="452">
        <v>114</v>
      </c>
      <c r="T108" s="452" t="s">
        <v>2146</v>
      </c>
      <c r="U108" s="452" t="s">
        <v>6</v>
      </c>
      <c r="V108" s="452">
        <v>41</v>
      </c>
      <c r="W108" s="452"/>
      <c r="X108" s="452">
        <v>254</v>
      </c>
      <c r="Y108" s="452" t="s">
        <v>2023</v>
      </c>
      <c r="Z108" s="452" t="s">
        <v>7</v>
      </c>
      <c r="AA108" s="452">
        <v>41</v>
      </c>
      <c r="AB108" s="433"/>
    </row>
    <row r="109" spans="1:28" ht="15" customHeight="1" x14ac:dyDescent="0.45">
      <c r="A109" s="441"/>
      <c r="B109" s="441" t="s">
        <v>1424</v>
      </c>
      <c r="C109" s="441" t="s">
        <v>98</v>
      </c>
      <c r="J109" s="445" t="s">
        <v>1153</v>
      </c>
      <c r="K109" s="445" t="s">
        <v>1106</v>
      </c>
      <c r="L109" s="445" t="s">
        <v>1154</v>
      </c>
      <c r="M109" s="445" t="s">
        <v>435</v>
      </c>
      <c r="N109" s="446">
        <v>3.3761574074074071E-3</v>
      </c>
      <c r="O109" s="445" t="s">
        <v>1155</v>
      </c>
      <c r="P109" s="445" t="s">
        <v>1101</v>
      </c>
      <c r="Q109" s="445">
        <v>2016</v>
      </c>
      <c r="S109" s="452">
        <v>124</v>
      </c>
      <c r="T109" s="452" t="s">
        <v>2073</v>
      </c>
      <c r="U109" s="452" t="s">
        <v>9</v>
      </c>
      <c r="V109" s="452">
        <v>41</v>
      </c>
      <c r="W109" s="452"/>
      <c r="X109" s="452">
        <v>264</v>
      </c>
      <c r="Y109" s="452" t="s">
        <v>2110</v>
      </c>
      <c r="Z109" s="452" t="s">
        <v>4</v>
      </c>
      <c r="AA109" s="452">
        <v>41</v>
      </c>
      <c r="AB109" s="433"/>
    </row>
    <row r="110" spans="1:28" ht="15" customHeight="1" x14ac:dyDescent="0.45">
      <c r="A110" s="441"/>
      <c r="B110" s="441" t="s">
        <v>1425</v>
      </c>
      <c r="C110" s="441" t="s">
        <v>615</v>
      </c>
      <c r="J110" s="445" t="s">
        <v>1156</v>
      </c>
      <c r="K110" s="445" t="s">
        <v>23</v>
      </c>
      <c r="L110" s="445" t="s">
        <v>1157</v>
      </c>
      <c r="M110" s="445" t="s">
        <v>1158</v>
      </c>
      <c r="N110" s="446">
        <v>1.8</v>
      </c>
      <c r="O110" s="445" t="s">
        <v>925</v>
      </c>
      <c r="P110" s="445" t="s">
        <v>1084</v>
      </c>
      <c r="Q110" s="445">
        <v>2015</v>
      </c>
      <c r="S110" s="452">
        <v>134</v>
      </c>
      <c r="T110" s="452" t="s">
        <v>2200</v>
      </c>
      <c r="U110" s="452" t="s">
        <v>9</v>
      </c>
      <c r="V110" s="452">
        <v>40</v>
      </c>
      <c r="W110" s="452"/>
      <c r="X110" s="452">
        <v>274</v>
      </c>
      <c r="Y110" s="452" t="s">
        <v>2257</v>
      </c>
      <c r="Z110" s="452" t="s">
        <v>7</v>
      </c>
      <c r="AA110" s="452">
        <v>41</v>
      </c>
      <c r="AB110" s="433"/>
    </row>
    <row r="111" spans="1:28" ht="15" customHeight="1" x14ac:dyDescent="0.45">
      <c r="A111" s="441"/>
      <c r="B111" s="441" t="s">
        <v>1426</v>
      </c>
      <c r="C111" s="441" t="s">
        <v>7</v>
      </c>
      <c r="J111" s="445" t="s">
        <v>1159</v>
      </c>
      <c r="K111" s="445" t="s">
        <v>27</v>
      </c>
      <c r="L111" s="445" t="s">
        <v>1160</v>
      </c>
      <c r="M111" s="445" t="s">
        <v>425</v>
      </c>
      <c r="N111" s="446">
        <v>3.95</v>
      </c>
      <c r="O111" s="445" t="s">
        <v>436</v>
      </c>
      <c r="P111" s="445" t="s">
        <v>1088</v>
      </c>
      <c r="Q111" s="445">
        <v>2015</v>
      </c>
      <c r="S111" s="452">
        <v>144</v>
      </c>
      <c r="T111" s="452" t="s">
        <v>2201</v>
      </c>
      <c r="U111" s="452" t="s">
        <v>9</v>
      </c>
      <c r="V111" s="452">
        <v>41</v>
      </c>
      <c r="W111" s="452"/>
      <c r="X111" s="452">
        <v>284</v>
      </c>
      <c r="Y111" s="452" t="s">
        <v>2112</v>
      </c>
      <c r="Z111" s="452" t="s">
        <v>4</v>
      </c>
      <c r="AA111" s="452">
        <v>41</v>
      </c>
      <c r="AB111" s="433"/>
    </row>
    <row r="112" spans="1:28" ht="15" customHeight="1" x14ac:dyDescent="0.45">
      <c r="A112" s="441"/>
      <c r="B112" s="441" t="s">
        <v>901</v>
      </c>
      <c r="C112" s="441">
        <v>1</v>
      </c>
      <c r="D112" s="439">
        <v>11</v>
      </c>
      <c r="J112" s="445" t="s">
        <v>1161</v>
      </c>
      <c r="K112" s="445" t="s">
        <v>22</v>
      </c>
      <c r="L112" s="445" t="s">
        <v>1162</v>
      </c>
      <c r="M112" s="445" t="s">
        <v>1096</v>
      </c>
      <c r="N112" s="446">
        <v>6.26</v>
      </c>
      <c r="O112" s="445" t="s">
        <v>1163</v>
      </c>
      <c r="P112" s="445" t="s">
        <v>1123</v>
      </c>
      <c r="Q112" s="445">
        <v>2016</v>
      </c>
      <c r="S112" s="452">
        <v>154</v>
      </c>
      <c r="T112" s="452" t="s">
        <v>2144</v>
      </c>
      <c r="U112" s="452" t="s">
        <v>6</v>
      </c>
      <c r="V112" s="452">
        <v>40</v>
      </c>
      <c r="W112" s="452"/>
      <c r="X112" s="452">
        <v>294</v>
      </c>
      <c r="Y112" s="452" t="s">
        <v>2026</v>
      </c>
      <c r="Z112" s="452" t="s">
        <v>7</v>
      </c>
      <c r="AA112" s="452">
        <v>41</v>
      </c>
      <c r="AB112" s="433"/>
    </row>
    <row r="113" spans="1:28" ht="15" customHeight="1" x14ac:dyDescent="0.45">
      <c r="A113" s="441" t="s">
        <v>1440</v>
      </c>
      <c r="B113" s="441" t="s">
        <v>1427</v>
      </c>
      <c r="C113" s="441" t="s">
        <v>1991</v>
      </c>
      <c r="D113" s="439" t="s">
        <v>1992</v>
      </c>
      <c r="J113" s="445" t="s">
        <v>1164</v>
      </c>
      <c r="K113" s="445" t="s">
        <v>31</v>
      </c>
      <c r="L113" s="445" t="s">
        <v>1165</v>
      </c>
      <c r="M113" s="445" t="s">
        <v>101</v>
      </c>
      <c r="N113" s="446">
        <v>12.68</v>
      </c>
      <c r="O113" s="445" t="s">
        <v>482</v>
      </c>
      <c r="P113" s="445" t="s">
        <v>1020</v>
      </c>
      <c r="Q113" s="445">
        <v>2017</v>
      </c>
      <c r="S113" s="452">
        <v>164</v>
      </c>
      <c r="T113" s="452" t="s">
        <v>2202</v>
      </c>
      <c r="U113" s="452" t="s">
        <v>9</v>
      </c>
      <c r="V113" s="452">
        <v>41</v>
      </c>
      <c r="W113" s="452"/>
      <c r="X113" s="452">
        <v>304</v>
      </c>
      <c r="Y113" s="452" t="s">
        <v>2025</v>
      </c>
      <c r="Z113" s="452" t="s">
        <v>7</v>
      </c>
      <c r="AA113" s="452">
        <v>41</v>
      </c>
      <c r="AB113" s="433"/>
    </row>
    <row r="114" spans="1:28" ht="15" customHeight="1" x14ac:dyDescent="0.45">
      <c r="A114" s="441" t="s">
        <v>1441</v>
      </c>
      <c r="B114" s="441" t="s">
        <v>1428</v>
      </c>
      <c r="C114" s="441"/>
      <c r="J114" s="445" t="s">
        <v>1166</v>
      </c>
      <c r="K114" s="445" t="s">
        <v>426</v>
      </c>
      <c r="L114" s="445" t="s">
        <v>1167</v>
      </c>
      <c r="M114" s="445" t="s">
        <v>375</v>
      </c>
      <c r="N114" s="446">
        <v>14.9</v>
      </c>
      <c r="O114" s="445" t="s">
        <v>1168</v>
      </c>
      <c r="P114" s="445" t="s">
        <v>1169</v>
      </c>
      <c r="Q114" s="445">
        <v>2015</v>
      </c>
      <c r="S114" s="452">
        <v>174</v>
      </c>
      <c r="T114" s="452" t="s">
        <v>2077</v>
      </c>
      <c r="U114" s="452" t="s">
        <v>9</v>
      </c>
      <c r="V114" s="452">
        <v>41</v>
      </c>
      <c r="W114" s="452"/>
      <c r="X114" s="452">
        <v>314</v>
      </c>
      <c r="Y114" s="452" t="s">
        <v>2258</v>
      </c>
      <c r="Z114" s="452" t="s">
        <v>7</v>
      </c>
      <c r="AA114" s="452">
        <v>41</v>
      </c>
      <c r="AB114" s="433"/>
    </row>
    <row r="115" spans="1:28" ht="15" customHeight="1" x14ac:dyDescent="0.45">
      <c r="A115" s="441" t="s">
        <v>1442</v>
      </c>
      <c r="B115" s="441">
        <v>200</v>
      </c>
      <c r="C115" s="447" t="s">
        <v>1991</v>
      </c>
      <c r="D115" s="439" t="s">
        <v>1993</v>
      </c>
      <c r="J115" s="445" t="s">
        <v>1170</v>
      </c>
      <c r="K115" s="445" t="s">
        <v>25</v>
      </c>
      <c r="L115" s="445" t="s">
        <v>1171</v>
      </c>
      <c r="M115" s="445" t="s">
        <v>203</v>
      </c>
      <c r="N115" s="446">
        <v>51.89</v>
      </c>
      <c r="O115" s="445" t="s">
        <v>1083</v>
      </c>
      <c r="P115" s="445" t="s">
        <v>1084</v>
      </c>
      <c r="Q115" s="445">
        <v>2015</v>
      </c>
      <c r="S115" s="452">
        <v>184</v>
      </c>
      <c r="T115" s="452" t="s">
        <v>2203</v>
      </c>
      <c r="U115" s="452" t="s">
        <v>9</v>
      </c>
      <c r="V115" s="452">
        <v>41</v>
      </c>
      <c r="W115" s="452"/>
      <c r="X115" s="452">
        <v>324</v>
      </c>
      <c r="Y115" s="452" t="s">
        <v>2024</v>
      </c>
      <c r="Z115" s="452" t="s">
        <v>7</v>
      </c>
      <c r="AA115" s="452">
        <v>41</v>
      </c>
      <c r="AB115" s="433"/>
    </row>
    <row r="116" spans="1:28" ht="15" customHeight="1" x14ac:dyDescent="0.45">
      <c r="A116" s="441" t="s">
        <v>1443</v>
      </c>
      <c r="B116" s="441">
        <v>400</v>
      </c>
      <c r="C116" s="441" t="s">
        <v>1994</v>
      </c>
      <c r="D116" s="439" t="s">
        <v>1995</v>
      </c>
      <c r="J116" s="445" t="s">
        <v>1172</v>
      </c>
      <c r="K116" s="445" t="s">
        <v>21</v>
      </c>
      <c r="L116" s="445" t="s">
        <v>1173</v>
      </c>
      <c r="M116" s="445" t="s">
        <v>1034</v>
      </c>
      <c r="N116" s="446">
        <v>60.48</v>
      </c>
      <c r="O116" s="445" t="s">
        <v>1174</v>
      </c>
      <c r="P116" s="445" t="s">
        <v>1023</v>
      </c>
      <c r="Q116" s="445">
        <v>2014</v>
      </c>
      <c r="S116" s="452">
        <v>194</v>
      </c>
      <c r="T116" s="452" t="s">
        <v>2074</v>
      </c>
      <c r="U116" s="452" t="s">
        <v>9</v>
      </c>
      <c r="V116" s="452">
        <v>41</v>
      </c>
      <c r="W116" s="452"/>
      <c r="X116" s="452">
        <v>334</v>
      </c>
      <c r="Y116" s="452" t="s">
        <v>2111</v>
      </c>
      <c r="Z116" s="452" t="s">
        <v>4</v>
      </c>
      <c r="AA116" s="452">
        <v>41</v>
      </c>
      <c r="AB116" s="433"/>
    </row>
    <row r="117" spans="1:28" ht="15" customHeight="1" x14ac:dyDescent="0.45">
      <c r="A117" s="441" t="s">
        <v>1444</v>
      </c>
      <c r="B117" s="447">
        <v>800</v>
      </c>
      <c r="C117" s="447" t="s">
        <v>1995</v>
      </c>
      <c r="D117" s="439" t="s">
        <v>1996</v>
      </c>
      <c r="J117" s="445" t="s">
        <v>1175</v>
      </c>
      <c r="K117" s="445" t="s">
        <v>28</v>
      </c>
      <c r="L117" s="445" t="s">
        <v>1423</v>
      </c>
      <c r="M117" s="445" t="s">
        <v>950</v>
      </c>
      <c r="N117" s="446">
        <v>49.94</v>
      </c>
      <c r="O117" s="445" t="s">
        <v>930</v>
      </c>
      <c r="P117" s="445" t="s">
        <v>1422</v>
      </c>
      <c r="Q117" s="445">
        <v>2018</v>
      </c>
      <c r="S117" s="452">
        <v>204</v>
      </c>
      <c r="T117" s="452" t="s">
        <v>2204</v>
      </c>
      <c r="U117" s="452" t="s">
        <v>9</v>
      </c>
      <c r="V117" s="452">
        <v>41</v>
      </c>
      <c r="W117" s="452"/>
      <c r="X117" s="452">
        <v>344</v>
      </c>
      <c r="Y117" s="452" t="s">
        <v>2032</v>
      </c>
      <c r="Z117" s="452" t="s">
        <v>7</v>
      </c>
      <c r="AA117" s="452">
        <v>41</v>
      </c>
      <c r="AB117" s="433"/>
    </row>
    <row r="118" spans="1:28" ht="15" customHeight="1" x14ac:dyDescent="0.45">
      <c r="A118" s="441" t="s">
        <v>1445</v>
      </c>
      <c r="B118" s="441" t="s">
        <v>1429</v>
      </c>
      <c r="C118" s="447"/>
      <c r="J118" s="445" t="s">
        <v>1178</v>
      </c>
      <c r="K118" s="445" t="s">
        <v>427</v>
      </c>
      <c r="L118" s="445" t="s">
        <v>912</v>
      </c>
      <c r="M118" s="445" t="s">
        <v>929</v>
      </c>
      <c r="N118" s="446">
        <v>46.43</v>
      </c>
      <c r="O118" s="445" t="s">
        <v>928</v>
      </c>
      <c r="P118" s="445" t="s">
        <v>438</v>
      </c>
      <c r="Q118" s="445">
        <v>2014</v>
      </c>
      <c r="S118" s="452">
        <v>214</v>
      </c>
      <c r="T118" s="452" t="s">
        <v>2149</v>
      </c>
      <c r="U118" s="452" t="s">
        <v>6</v>
      </c>
      <c r="V118" s="452">
        <v>41</v>
      </c>
      <c r="W118" s="452"/>
      <c r="X118" s="452">
        <v>354</v>
      </c>
      <c r="Y118" s="452" t="s">
        <v>2108</v>
      </c>
      <c r="Z118" s="452" t="s">
        <v>4</v>
      </c>
      <c r="AA118" s="452">
        <v>41</v>
      </c>
      <c r="AB118" s="433"/>
    </row>
    <row r="119" spans="1:28" ht="15" customHeight="1" x14ac:dyDescent="0.45">
      <c r="A119" s="441" t="s">
        <v>1446</v>
      </c>
      <c r="B119" s="441">
        <v>1500</v>
      </c>
      <c r="C119" s="447" t="s">
        <v>1997</v>
      </c>
      <c r="D119" s="439" t="s">
        <v>912</v>
      </c>
      <c r="J119" s="445" t="s">
        <v>1179</v>
      </c>
      <c r="K119" s="445" t="s">
        <v>1079</v>
      </c>
      <c r="L119" s="445" t="s">
        <v>912</v>
      </c>
      <c r="M119" s="445" t="s">
        <v>1136</v>
      </c>
      <c r="N119" s="446">
        <v>2.6584490740740739E-3</v>
      </c>
      <c r="O119" s="445" t="s">
        <v>1069</v>
      </c>
      <c r="P119" s="445" t="s">
        <v>1088</v>
      </c>
      <c r="Q119" s="445">
        <v>2015</v>
      </c>
      <c r="S119" s="452">
        <v>224</v>
      </c>
      <c r="T119" s="452" t="s">
        <v>2143</v>
      </c>
      <c r="U119" s="452" t="s">
        <v>6</v>
      </c>
      <c r="V119" s="452">
        <v>41</v>
      </c>
      <c r="W119" s="452"/>
      <c r="X119" s="452">
        <v>364</v>
      </c>
      <c r="Y119" s="452" t="s">
        <v>2259</v>
      </c>
      <c r="Z119" s="452" t="s">
        <v>7</v>
      </c>
      <c r="AA119" s="452">
        <v>41</v>
      </c>
      <c r="AB119" s="433"/>
    </row>
    <row r="120" spans="1:28" ht="15" customHeight="1" x14ac:dyDescent="0.45">
      <c r="A120" s="441" t="s">
        <v>1447</v>
      </c>
      <c r="B120" s="447" t="s">
        <v>1430</v>
      </c>
      <c r="C120" s="447" t="s">
        <v>1998</v>
      </c>
      <c r="D120" s="439" t="s">
        <v>1993</v>
      </c>
      <c r="J120" s="445" t="s">
        <v>1180</v>
      </c>
      <c r="K120" s="445" t="s">
        <v>16</v>
      </c>
      <c r="L120" s="445" t="s">
        <v>1181</v>
      </c>
      <c r="M120" s="445" t="s">
        <v>375</v>
      </c>
      <c r="N120" s="446">
        <v>11.85</v>
      </c>
      <c r="O120" s="445" t="s">
        <v>422</v>
      </c>
      <c r="P120" s="445" t="s">
        <v>1035</v>
      </c>
      <c r="Q120" s="445">
        <v>2015</v>
      </c>
      <c r="S120" s="452">
        <v>234</v>
      </c>
      <c r="T120" s="452" t="s">
        <v>2069</v>
      </c>
      <c r="U120" s="452" t="s">
        <v>9</v>
      </c>
      <c r="V120" s="452">
        <v>41</v>
      </c>
      <c r="W120" s="452"/>
      <c r="X120" s="452">
        <v>374</v>
      </c>
      <c r="Y120" s="452" t="s">
        <v>2260</v>
      </c>
      <c r="Z120" s="452" t="s">
        <v>7</v>
      </c>
      <c r="AA120" s="452">
        <v>41</v>
      </c>
      <c r="AB120" s="433"/>
    </row>
    <row r="121" spans="1:28" ht="15" customHeight="1" x14ac:dyDescent="0.45">
      <c r="A121" s="441" t="s">
        <v>1448</v>
      </c>
      <c r="B121" s="441">
        <v>3000</v>
      </c>
      <c r="C121" s="447"/>
      <c r="J121" s="445" t="s">
        <v>1182</v>
      </c>
      <c r="K121" s="445" t="s">
        <v>11</v>
      </c>
      <c r="L121" s="445" t="s">
        <v>1183</v>
      </c>
      <c r="M121" s="445" t="s">
        <v>385</v>
      </c>
      <c r="N121" s="446">
        <v>23.92</v>
      </c>
      <c r="O121" s="445" t="s">
        <v>422</v>
      </c>
      <c r="P121" s="445" t="s">
        <v>1023</v>
      </c>
      <c r="Q121" s="445">
        <v>2014</v>
      </c>
      <c r="S121" s="452">
        <v>244</v>
      </c>
      <c r="T121" s="452" t="s">
        <v>2148</v>
      </c>
      <c r="U121" s="452" t="s">
        <v>6</v>
      </c>
      <c r="V121" s="452">
        <v>41</v>
      </c>
      <c r="W121" s="452"/>
      <c r="X121" s="452">
        <v>384</v>
      </c>
      <c r="Y121" s="452" t="s">
        <v>2107</v>
      </c>
      <c r="Z121" s="452" t="s">
        <v>4</v>
      </c>
      <c r="AA121" s="452">
        <v>41</v>
      </c>
      <c r="AB121" s="433"/>
    </row>
    <row r="122" spans="1:28" ht="15" customHeight="1" x14ac:dyDescent="0.45">
      <c r="A122" s="441" t="s">
        <v>1449</v>
      </c>
      <c r="B122" s="441" t="s">
        <v>1431</v>
      </c>
      <c r="C122" s="441"/>
      <c r="J122" s="445" t="s">
        <v>1184</v>
      </c>
      <c r="K122" s="445" t="s">
        <v>18</v>
      </c>
      <c r="L122" s="449" t="s">
        <v>1185</v>
      </c>
      <c r="M122" s="445" t="s">
        <v>929</v>
      </c>
      <c r="N122" s="446">
        <v>38.47</v>
      </c>
      <c r="O122" s="445" t="s">
        <v>422</v>
      </c>
      <c r="P122" s="445" t="s">
        <v>1031</v>
      </c>
      <c r="Q122" s="445">
        <v>2013</v>
      </c>
      <c r="S122" s="452">
        <v>254</v>
      </c>
      <c r="T122" s="452" t="s">
        <v>2150</v>
      </c>
      <c r="U122" s="452" t="s">
        <v>6</v>
      </c>
      <c r="V122" s="452">
        <v>41</v>
      </c>
      <c r="W122" s="452"/>
      <c r="X122" s="452">
        <v>394</v>
      </c>
      <c r="Y122" s="452" t="s">
        <v>2261</v>
      </c>
      <c r="Z122" s="452" t="s">
        <v>7</v>
      </c>
      <c r="AA122" s="452">
        <v>41</v>
      </c>
      <c r="AB122" s="433"/>
    </row>
    <row r="123" spans="1:28" ht="15" customHeight="1" x14ac:dyDescent="0.45">
      <c r="A123" s="441" t="s">
        <v>1450</v>
      </c>
      <c r="B123" s="441" t="s">
        <v>902</v>
      </c>
      <c r="C123" s="441"/>
      <c r="J123" s="445" t="s">
        <v>1186</v>
      </c>
      <c r="K123" s="445" t="s">
        <v>12</v>
      </c>
      <c r="L123" s="449" t="s">
        <v>1138</v>
      </c>
      <c r="M123" s="445" t="s">
        <v>929</v>
      </c>
      <c r="N123" s="446">
        <v>1.4675925925925926E-3</v>
      </c>
      <c r="O123" s="445" t="s">
        <v>930</v>
      </c>
      <c r="P123" s="445" t="s">
        <v>1085</v>
      </c>
      <c r="Q123" s="445">
        <v>2016</v>
      </c>
      <c r="S123" s="452">
        <v>264</v>
      </c>
      <c r="T123" s="452" t="s">
        <v>2070</v>
      </c>
      <c r="U123" s="452" t="s">
        <v>9</v>
      </c>
      <c r="V123" s="452">
        <v>41</v>
      </c>
      <c r="W123" s="452"/>
      <c r="X123" s="452">
        <v>404</v>
      </c>
      <c r="Y123" s="452" t="s">
        <v>2021</v>
      </c>
      <c r="Z123" s="452" t="s">
        <v>7</v>
      </c>
      <c r="AA123" s="452">
        <v>41</v>
      </c>
      <c r="AB123" s="433"/>
    </row>
    <row r="124" spans="1:28" ht="15" customHeight="1" x14ac:dyDescent="0.45">
      <c r="A124" s="441" t="s">
        <v>1451</v>
      </c>
      <c r="B124" s="441" t="s">
        <v>25</v>
      </c>
      <c r="C124" s="441" t="s">
        <v>1998</v>
      </c>
      <c r="D124" s="439" t="s">
        <v>1999</v>
      </c>
      <c r="J124" s="445" t="s">
        <v>1187</v>
      </c>
      <c r="K124" s="445" t="s">
        <v>20</v>
      </c>
      <c r="L124" s="449" t="s">
        <v>1188</v>
      </c>
      <c r="M124" s="445" t="s">
        <v>1189</v>
      </c>
      <c r="N124" s="446">
        <v>3.1365740740740742E-3</v>
      </c>
      <c r="O124" s="445" t="s">
        <v>1190</v>
      </c>
      <c r="P124" s="445" t="s">
        <v>1023</v>
      </c>
      <c r="Q124" s="445">
        <v>2014</v>
      </c>
      <c r="S124" s="452">
        <v>274</v>
      </c>
      <c r="T124" s="452" t="s">
        <v>2205</v>
      </c>
      <c r="U124" s="452" t="s">
        <v>9</v>
      </c>
      <c r="V124" s="452">
        <v>40</v>
      </c>
      <c r="W124" s="452"/>
      <c r="X124" s="452"/>
      <c r="Y124" s="452" t="s">
        <v>914</v>
      </c>
      <c r="Z124" s="452" t="s">
        <v>915</v>
      </c>
      <c r="AA124" s="452"/>
      <c r="AB124" s="433"/>
    </row>
    <row r="125" spans="1:28" ht="15" customHeight="1" x14ac:dyDescent="0.45">
      <c r="A125" s="441" t="s">
        <v>1452</v>
      </c>
      <c r="B125" s="441" t="s">
        <v>21</v>
      </c>
      <c r="C125" s="441" t="s">
        <v>1998</v>
      </c>
      <c r="D125" s="439" t="s">
        <v>1999</v>
      </c>
      <c r="J125" s="445" t="s">
        <v>1191</v>
      </c>
      <c r="K125" s="445" t="s">
        <v>1037</v>
      </c>
      <c r="L125" s="449" t="s">
        <v>1192</v>
      </c>
      <c r="M125" s="445" t="s">
        <v>339</v>
      </c>
      <c r="N125" s="446">
        <v>6.8981481481481489E-3</v>
      </c>
      <c r="O125" s="445" t="s">
        <v>434</v>
      </c>
      <c r="P125" s="445" t="s">
        <v>1020</v>
      </c>
      <c r="Q125" s="445">
        <v>2017</v>
      </c>
      <c r="S125" s="452">
        <v>284</v>
      </c>
      <c r="T125" s="452" t="s">
        <v>2206</v>
      </c>
      <c r="U125" s="452" t="s">
        <v>9</v>
      </c>
      <c r="V125" s="452">
        <v>41</v>
      </c>
      <c r="W125" s="452"/>
      <c r="X125" s="452">
        <v>15</v>
      </c>
      <c r="Y125" s="452" t="s">
        <v>2114</v>
      </c>
      <c r="Z125" s="452" t="s">
        <v>4</v>
      </c>
      <c r="AA125" s="452">
        <v>51</v>
      </c>
      <c r="AB125" s="433"/>
    </row>
    <row r="126" spans="1:28" ht="15" customHeight="1" x14ac:dyDescent="0.45">
      <c r="A126" s="441" t="s">
        <v>1453</v>
      </c>
      <c r="B126" s="447" t="s">
        <v>28</v>
      </c>
      <c r="C126" s="441" t="s">
        <v>1992</v>
      </c>
      <c r="D126" s="439" t="s">
        <v>1997</v>
      </c>
      <c r="J126" s="445" t="s">
        <v>1193</v>
      </c>
      <c r="K126" s="445" t="s">
        <v>439</v>
      </c>
      <c r="L126" s="445" t="s">
        <v>1194</v>
      </c>
      <c r="M126" s="445" t="s">
        <v>1195</v>
      </c>
      <c r="N126" s="446">
        <v>11.2</v>
      </c>
      <c r="O126" s="445" t="s">
        <v>1196</v>
      </c>
      <c r="P126" s="445" t="s">
        <v>1041</v>
      </c>
      <c r="Q126" s="445">
        <v>2014</v>
      </c>
      <c r="S126" s="452">
        <v>294</v>
      </c>
      <c r="T126" s="452" t="s">
        <v>2207</v>
      </c>
      <c r="U126" s="452" t="s">
        <v>9</v>
      </c>
      <c r="V126" s="452">
        <v>41</v>
      </c>
      <c r="W126" s="452"/>
      <c r="X126" s="452">
        <v>25</v>
      </c>
      <c r="Y126" s="452" t="s">
        <v>2262</v>
      </c>
      <c r="Z126" s="452" t="s">
        <v>4</v>
      </c>
      <c r="AA126" s="452">
        <v>51</v>
      </c>
      <c r="AB126" s="433"/>
    </row>
    <row r="127" spans="1:28" ht="15" customHeight="1" x14ac:dyDescent="0.45">
      <c r="A127" s="441" t="s">
        <v>1454</v>
      </c>
      <c r="B127" s="441" t="s">
        <v>24</v>
      </c>
      <c r="C127" s="447" t="s">
        <v>1999</v>
      </c>
      <c r="D127" s="439" t="s">
        <v>1992</v>
      </c>
      <c r="J127" s="445" t="s">
        <v>1197</v>
      </c>
      <c r="K127" s="445" t="s">
        <v>1198</v>
      </c>
      <c r="L127" s="445" t="s">
        <v>1199</v>
      </c>
      <c r="M127" s="445" t="s">
        <v>1200</v>
      </c>
      <c r="N127" s="446">
        <v>43.2</v>
      </c>
      <c r="O127" s="445" t="s">
        <v>1100</v>
      </c>
      <c r="P127" s="445" t="s">
        <v>438</v>
      </c>
      <c r="Q127" s="445">
        <v>2014</v>
      </c>
      <c r="S127" s="452">
        <v>304</v>
      </c>
      <c r="T127" s="452" t="s">
        <v>2208</v>
      </c>
      <c r="U127" s="452" t="s">
        <v>9</v>
      </c>
      <c r="V127" s="452">
        <v>41</v>
      </c>
      <c r="W127" s="452"/>
      <c r="X127" s="452">
        <v>35</v>
      </c>
      <c r="Y127" s="452" t="s">
        <v>2263</v>
      </c>
      <c r="Z127" s="452" t="s">
        <v>4</v>
      </c>
      <c r="AA127" s="452">
        <v>51</v>
      </c>
      <c r="AB127" s="433"/>
    </row>
    <row r="128" spans="1:28" ht="15" customHeight="1" x14ac:dyDescent="0.45">
      <c r="A128" s="441" t="s">
        <v>1455</v>
      </c>
      <c r="B128" s="441" t="s">
        <v>1432</v>
      </c>
      <c r="C128" s="441" t="s">
        <v>1991</v>
      </c>
      <c r="D128" s="439" t="s">
        <v>1993</v>
      </c>
      <c r="J128" s="445" t="s">
        <v>1201</v>
      </c>
      <c r="K128" s="445" t="s">
        <v>1106</v>
      </c>
      <c r="L128" s="445" t="s">
        <v>1202</v>
      </c>
      <c r="M128" s="445" t="s">
        <v>353</v>
      </c>
      <c r="N128" s="446">
        <v>3.4664351851851852E-3</v>
      </c>
      <c r="O128" s="445" t="s">
        <v>1203</v>
      </c>
      <c r="P128" s="445" t="s">
        <v>1101</v>
      </c>
      <c r="Q128" s="445">
        <v>2016</v>
      </c>
      <c r="S128" s="452">
        <v>314</v>
      </c>
      <c r="T128" s="452" t="s">
        <v>2209</v>
      </c>
      <c r="U128" s="452" t="s">
        <v>9</v>
      </c>
      <c r="V128" s="452">
        <v>41</v>
      </c>
      <c r="W128" s="452"/>
      <c r="X128" s="452">
        <v>45</v>
      </c>
      <c r="Y128" s="452" t="s">
        <v>2036</v>
      </c>
      <c r="Z128" s="452" t="s">
        <v>7</v>
      </c>
      <c r="AA128" s="452">
        <v>51</v>
      </c>
      <c r="AB128" s="433"/>
    </row>
    <row r="129" spans="1:28" ht="15" customHeight="1" x14ac:dyDescent="0.45">
      <c r="A129" s="441" t="s">
        <v>1456</v>
      </c>
      <c r="B129" s="441" t="s">
        <v>1433</v>
      </c>
      <c r="C129" s="447"/>
      <c r="J129" s="445" t="s">
        <v>1204</v>
      </c>
      <c r="K129" s="445" t="s">
        <v>23</v>
      </c>
      <c r="L129" s="445" t="s">
        <v>1205</v>
      </c>
      <c r="M129" s="445" t="s">
        <v>203</v>
      </c>
      <c r="N129" s="446">
        <v>1.8</v>
      </c>
      <c r="O129" s="445" t="s">
        <v>1150</v>
      </c>
      <c r="P129" s="445" t="s">
        <v>1129</v>
      </c>
      <c r="Q129" s="445">
        <v>2013</v>
      </c>
      <c r="S129" s="452">
        <v>324</v>
      </c>
      <c r="T129" s="452" t="s">
        <v>2145</v>
      </c>
      <c r="U129" s="452" t="s">
        <v>6</v>
      </c>
      <c r="V129" s="452">
        <v>41</v>
      </c>
      <c r="W129" s="452"/>
      <c r="X129" s="452">
        <v>55</v>
      </c>
      <c r="Y129" s="452" t="s">
        <v>2264</v>
      </c>
      <c r="Z129" s="452" t="s">
        <v>7</v>
      </c>
      <c r="AA129" s="452">
        <v>51</v>
      </c>
      <c r="AB129" s="433"/>
    </row>
    <row r="130" spans="1:28" ht="15" customHeight="1" x14ac:dyDescent="0.45">
      <c r="A130" s="441" t="s">
        <v>1457</v>
      </c>
      <c r="B130" s="441" t="s">
        <v>1434</v>
      </c>
      <c r="C130" s="441" t="s">
        <v>1994</v>
      </c>
      <c r="D130" s="439" t="s">
        <v>1997</v>
      </c>
      <c r="J130" s="445" t="s">
        <v>1206</v>
      </c>
      <c r="K130" s="445" t="s">
        <v>27</v>
      </c>
      <c r="L130" s="445" t="s">
        <v>1207</v>
      </c>
      <c r="M130" s="445" t="s">
        <v>1144</v>
      </c>
      <c r="N130" s="446">
        <v>4.0599999999999996</v>
      </c>
      <c r="O130" s="445" t="s">
        <v>1145</v>
      </c>
      <c r="P130" s="445" t="s">
        <v>1146</v>
      </c>
      <c r="Q130" s="445">
        <v>2016</v>
      </c>
      <c r="S130" s="452">
        <v>334</v>
      </c>
      <c r="T130" s="452" t="s">
        <v>2210</v>
      </c>
      <c r="U130" s="452" t="s">
        <v>9</v>
      </c>
      <c r="V130" s="452">
        <v>41</v>
      </c>
      <c r="W130" s="452"/>
      <c r="X130" s="452">
        <v>65</v>
      </c>
      <c r="Y130" s="452" t="s">
        <v>2117</v>
      </c>
      <c r="Z130" s="452" t="s">
        <v>4</v>
      </c>
      <c r="AA130" s="452">
        <v>51</v>
      </c>
      <c r="AB130" s="433"/>
    </row>
    <row r="131" spans="1:28" ht="15" customHeight="1" x14ac:dyDescent="0.45">
      <c r="A131" s="441" t="s">
        <v>1458</v>
      </c>
      <c r="B131" s="441" t="s">
        <v>1435</v>
      </c>
      <c r="C131" s="441" t="s">
        <v>1994</v>
      </c>
      <c r="D131" s="439" t="s">
        <v>1995</v>
      </c>
      <c r="J131" s="445" t="s">
        <v>1208</v>
      </c>
      <c r="K131" s="445" t="s">
        <v>22</v>
      </c>
      <c r="L131" s="445" t="s">
        <v>1209</v>
      </c>
      <c r="M131" s="445" t="s">
        <v>929</v>
      </c>
      <c r="N131" s="446">
        <v>6.17</v>
      </c>
      <c r="O131" s="445" t="s">
        <v>423</v>
      </c>
      <c r="P131" s="445" t="s">
        <v>1101</v>
      </c>
      <c r="Q131" s="445">
        <v>2016</v>
      </c>
      <c r="S131" s="452"/>
      <c r="T131" s="452" t="s">
        <v>914</v>
      </c>
      <c r="U131" s="452" t="s">
        <v>915</v>
      </c>
      <c r="V131" s="452"/>
      <c r="W131" s="452"/>
      <c r="X131" s="452">
        <v>75</v>
      </c>
      <c r="Y131" s="452" t="s">
        <v>2265</v>
      </c>
      <c r="Z131" s="452" t="s">
        <v>7</v>
      </c>
      <c r="AA131" s="452">
        <v>51</v>
      </c>
      <c r="AB131" s="433"/>
    </row>
    <row r="132" spans="1:28" ht="15" customHeight="1" x14ac:dyDescent="0.45">
      <c r="A132" s="441" t="s">
        <v>1459</v>
      </c>
      <c r="B132" s="441" t="s">
        <v>1436</v>
      </c>
      <c r="C132" s="447" t="s">
        <v>1992</v>
      </c>
      <c r="D132" s="439" t="s">
        <v>1997</v>
      </c>
      <c r="J132" s="445" t="s">
        <v>1210</v>
      </c>
      <c r="K132" s="445" t="s">
        <v>31</v>
      </c>
      <c r="L132" s="445" t="s">
        <v>1240</v>
      </c>
      <c r="M132" s="445" t="s">
        <v>1068</v>
      </c>
      <c r="N132" s="446">
        <v>12.45</v>
      </c>
      <c r="O132" s="445" t="s">
        <v>437</v>
      </c>
      <c r="P132" s="445" t="s">
        <v>1236</v>
      </c>
      <c r="Q132" s="445">
        <v>2018</v>
      </c>
      <c r="S132" s="452">
        <v>15</v>
      </c>
      <c r="T132" s="452" t="s">
        <v>2211</v>
      </c>
      <c r="U132" s="452" t="s">
        <v>9</v>
      </c>
      <c r="V132" s="452">
        <v>51</v>
      </c>
      <c r="W132" s="452"/>
      <c r="X132" s="452">
        <v>85</v>
      </c>
      <c r="Y132" s="452" t="s">
        <v>2116</v>
      </c>
      <c r="Z132" s="452" t="s">
        <v>4</v>
      </c>
      <c r="AA132" s="452">
        <v>51</v>
      </c>
      <c r="AB132" s="433"/>
    </row>
    <row r="133" spans="1:28" ht="15" customHeight="1" x14ac:dyDescent="0.45">
      <c r="A133" s="441" t="s">
        <v>1460</v>
      </c>
      <c r="B133" s="441" t="s">
        <v>1437</v>
      </c>
      <c r="C133" s="441" t="s">
        <v>1996</v>
      </c>
      <c r="D133" s="439" t="s">
        <v>1991</v>
      </c>
      <c r="J133" s="445" t="s">
        <v>1211</v>
      </c>
      <c r="K133" s="445" t="s">
        <v>426</v>
      </c>
      <c r="L133" s="445" t="s">
        <v>1212</v>
      </c>
      <c r="M133" s="445" t="s">
        <v>1213</v>
      </c>
      <c r="N133" s="446">
        <v>15.55</v>
      </c>
      <c r="O133" s="445" t="s">
        <v>1246</v>
      </c>
      <c r="P133" s="445" t="s">
        <v>1245</v>
      </c>
      <c r="Q133" s="445">
        <v>2018</v>
      </c>
      <c r="S133" s="452">
        <v>25</v>
      </c>
      <c r="T133" s="452" t="s">
        <v>2212</v>
      </c>
      <c r="U133" s="452" t="s">
        <v>6</v>
      </c>
      <c r="V133" s="452">
        <v>51</v>
      </c>
      <c r="W133" s="452"/>
      <c r="X133" s="452">
        <v>95</v>
      </c>
      <c r="Y133" s="452" t="s">
        <v>2266</v>
      </c>
      <c r="Z133" s="452" t="s">
        <v>7</v>
      </c>
      <c r="AA133" s="452">
        <v>51</v>
      </c>
      <c r="AB133" s="433"/>
    </row>
    <row r="134" spans="1:28" ht="15" customHeight="1" x14ac:dyDescent="0.45">
      <c r="A134" s="441" t="s">
        <v>1461</v>
      </c>
      <c r="B134" s="441" t="s">
        <v>1438</v>
      </c>
      <c r="C134" s="441" t="s">
        <v>1998</v>
      </c>
      <c r="D134" s="439" t="s">
        <v>1996</v>
      </c>
      <c r="J134" s="445" t="s">
        <v>1214</v>
      </c>
      <c r="K134" s="445" t="s">
        <v>25</v>
      </c>
      <c r="L134" s="445" t="s">
        <v>1215</v>
      </c>
      <c r="M134" s="445" t="s">
        <v>361</v>
      </c>
      <c r="N134" s="446">
        <v>45.41</v>
      </c>
      <c r="O134" s="445" t="s">
        <v>1216</v>
      </c>
      <c r="P134" s="445" t="s">
        <v>1028</v>
      </c>
      <c r="Q134" s="445">
        <v>2013</v>
      </c>
      <c r="S134" s="452">
        <v>35</v>
      </c>
      <c r="T134" s="452" t="s">
        <v>2213</v>
      </c>
      <c r="U134" s="452" t="s">
        <v>6</v>
      </c>
      <c r="V134" s="452">
        <v>51</v>
      </c>
      <c r="W134" s="452"/>
      <c r="X134" s="452">
        <v>105</v>
      </c>
      <c r="Y134" s="452" t="s">
        <v>2034</v>
      </c>
      <c r="Z134" s="452" t="s">
        <v>7</v>
      </c>
      <c r="AA134" s="452">
        <v>51</v>
      </c>
      <c r="AB134" s="433"/>
    </row>
    <row r="135" spans="1:28" ht="15" customHeight="1" x14ac:dyDescent="0.45">
      <c r="A135" s="441" t="s">
        <v>1462</v>
      </c>
      <c r="B135" s="447" t="s">
        <v>1439</v>
      </c>
      <c r="C135" s="447" t="s">
        <v>1995</v>
      </c>
      <c r="D135" s="439" t="s">
        <v>1994</v>
      </c>
      <c r="J135" s="445" t="s">
        <v>1217</v>
      </c>
      <c r="K135" s="445" t="s">
        <v>21</v>
      </c>
      <c r="L135" s="445" t="s">
        <v>1218</v>
      </c>
      <c r="M135" s="445" t="s">
        <v>1219</v>
      </c>
      <c r="N135" s="446">
        <v>61.76</v>
      </c>
      <c r="O135" s="445" t="s">
        <v>1220</v>
      </c>
      <c r="P135" s="445" t="s">
        <v>1123</v>
      </c>
      <c r="Q135" s="445">
        <v>2016</v>
      </c>
      <c r="S135" s="452">
        <v>45</v>
      </c>
      <c r="T135" s="452" t="s">
        <v>2153</v>
      </c>
      <c r="U135" s="452" t="s">
        <v>6</v>
      </c>
      <c r="V135" s="452">
        <v>51</v>
      </c>
      <c r="W135" s="452"/>
      <c r="X135" s="452">
        <v>115</v>
      </c>
      <c r="Y135" s="452" t="s">
        <v>2115</v>
      </c>
      <c r="Z135" s="452" t="s">
        <v>4</v>
      </c>
      <c r="AA135" s="452">
        <v>51</v>
      </c>
      <c r="AB135" s="433"/>
    </row>
    <row r="136" spans="1:28" ht="15" customHeight="1" x14ac:dyDescent="0.45">
      <c r="A136" s="441"/>
      <c r="B136" s="447" t="s">
        <v>1424</v>
      </c>
      <c r="C136" s="447" t="s">
        <v>112</v>
      </c>
      <c r="J136" s="445" t="s">
        <v>1221</v>
      </c>
      <c r="K136" s="445" t="s">
        <v>28</v>
      </c>
      <c r="L136" s="445" t="s">
        <v>1176</v>
      </c>
      <c r="M136" s="445" t="s">
        <v>1222</v>
      </c>
      <c r="N136" s="446">
        <v>57.14</v>
      </c>
      <c r="O136" s="445" t="s">
        <v>440</v>
      </c>
      <c r="P136" s="445" t="s">
        <v>438</v>
      </c>
      <c r="Q136" s="445">
        <v>2014</v>
      </c>
      <c r="S136" s="452">
        <v>55</v>
      </c>
      <c r="T136" s="452" t="s">
        <v>2079</v>
      </c>
      <c r="U136" s="452" t="s">
        <v>9</v>
      </c>
      <c r="V136" s="452">
        <v>51</v>
      </c>
      <c r="W136" s="452"/>
      <c r="X136" s="452">
        <v>125</v>
      </c>
      <c r="Y136" s="452" t="s">
        <v>2040</v>
      </c>
      <c r="Z136" s="452" t="s">
        <v>7</v>
      </c>
      <c r="AA136" s="452">
        <v>51</v>
      </c>
      <c r="AB136" s="433"/>
    </row>
    <row r="137" spans="1:28" ht="15" customHeight="1" x14ac:dyDescent="0.45">
      <c r="A137" s="441"/>
      <c r="B137" s="441" t="s">
        <v>1425</v>
      </c>
      <c r="C137" s="441" t="s">
        <v>636</v>
      </c>
      <c r="J137" s="445" t="s">
        <v>1223</v>
      </c>
      <c r="K137" s="445" t="s">
        <v>427</v>
      </c>
      <c r="L137" s="445" t="s">
        <v>912</v>
      </c>
      <c r="M137" s="445" t="s">
        <v>929</v>
      </c>
      <c r="N137" s="446">
        <v>46.71</v>
      </c>
      <c r="O137" s="445" t="s">
        <v>422</v>
      </c>
      <c r="P137" s="445" t="s">
        <v>1031</v>
      </c>
      <c r="Q137" s="445">
        <v>2013</v>
      </c>
      <c r="S137" s="452">
        <v>65</v>
      </c>
      <c r="T137" s="452" t="s">
        <v>2214</v>
      </c>
      <c r="U137" s="452" t="s">
        <v>9</v>
      </c>
      <c r="V137" s="452">
        <v>51</v>
      </c>
      <c r="W137" s="452"/>
      <c r="X137" s="452">
        <v>135</v>
      </c>
      <c r="Y137" s="452" t="s">
        <v>2267</v>
      </c>
      <c r="Z137" s="452" t="s">
        <v>4</v>
      </c>
      <c r="AA137" s="452">
        <v>51</v>
      </c>
      <c r="AB137" s="433"/>
    </row>
    <row r="138" spans="1:28" ht="15" customHeight="1" x14ac:dyDescent="0.45">
      <c r="A138" s="441"/>
      <c r="B138" s="441" t="s">
        <v>1426</v>
      </c>
      <c r="C138" s="441" t="s">
        <v>7</v>
      </c>
      <c r="J138" s="445" t="s">
        <v>1224</v>
      </c>
      <c r="K138" s="445" t="s">
        <v>441</v>
      </c>
      <c r="L138" s="445" t="s">
        <v>912</v>
      </c>
      <c r="M138" s="445" t="s">
        <v>374</v>
      </c>
      <c r="N138" s="446">
        <v>1.9209490740740743E-3</v>
      </c>
      <c r="O138" s="445" t="s">
        <v>432</v>
      </c>
      <c r="P138" s="445" t="s">
        <v>1035</v>
      </c>
      <c r="Q138" s="445">
        <v>2015</v>
      </c>
      <c r="S138" s="452">
        <v>75</v>
      </c>
      <c r="T138" s="452" t="s">
        <v>2215</v>
      </c>
      <c r="U138" s="452" t="s">
        <v>6</v>
      </c>
      <c r="V138" s="452">
        <v>51</v>
      </c>
      <c r="W138" s="452"/>
      <c r="X138" s="452">
        <v>145</v>
      </c>
      <c r="Y138" s="452" t="s">
        <v>2113</v>
      </c>
      <c r="Z138" s="452" t="s">
        <v>4</v>
      </c>
      <c r="AA138" s="452">
        <v>51</v>
      </c>
      <c r="AB138" s="433"/>
    </row>
    <row r="139" spans="1:28" ht="15" customHeight="1" x14ac:dyDescent="0.45">
      <c r="A139" s="441"/>
      <c r="B139" s="441" t="s">
        <v>901</v>
      </c>
      <c r="C139" s="441">
        <v>3</v>
      </c>
      <c r="D139" s="439">
        <v>33</v>
      </c>
      <c r="J139" s="445" t="s">
        <v>1061</v>
      </c>
      <c r="K139" s="445" t="s">
        <v>31</v>
      </c>
      <c r="L139" s="445" t="s">
        <v>1225</v>
      </c>
      <c r="M139" s="445" t="s">
        <v>1144</v>
      </c>
      <c r="N139" s="446">
        <v>14.76</v>
      </c>
      <c r="O139" s="445" t="s">
        <v>1226</v>
      </c>
      <c r="P139" s="445" t="s">
        <v>1177</v>
      </c>
      <c r="Q139" s="445">
        <v>2017</v>
      </c>
      <c r="S139" s="452">
        <v>85</v>
      </c>
      <c r="T139" s="452" t="s">
        <v>2151</v>
      </c>
      <c r="U139" s="452" t="s">
        <v>6</v>
      </c>
      <c r="V139" s="452">
        <v>51</v>
      </c>
      <c r="W139" s="452"/>
      <c r="X139" s="452">
        <v>155</v>
      </c>
      <c r="Y139" s="452" t="s">
        <v>2039</v>
      </c>
      <c r="Z139" s="452" t="s">
        <v>7</v>
      </c>
      <c r="AA139" s="452">
        <v>51</v>
      </c>
      <c r="AB139" s="433"/>
    </row>
    <row r="140" spans="1:28" ht="15" customHeight="1" x14ac:dyDescent="0.45">
      <c r="A140" s="441" t="s">
        <v>1509</v>
      </c>
      <c r="B140" s="441" t="s">
        <v>1427</v>
      </c>
      <c r="C140" s="441" t="s">
        <v>2009</v>
      </c>
      <c r="D140" s="439" t="s">
        <v>2010</v>
      </c>
      <c r="J140" s="445"/>
      <c r="K140" s="445"/>
      <c r="L140" s="445"/>
      <c r="M140" s="445"/>
      <c r="N140" s="446"/>
      <c r="O140" s="445"/>
      <c r="P140" s="445"/>
      <c r="Q140" s="445"/>
      <c r="S140" s="452">
        <v>95</v>
      </c>
      <c r="T140" s="452" t="s">
        <v>2152</v>
      </c>
      <c r="U140" s="452" t="s">
        <v>6</v>
      </c>
      <c r="V140" s="452">
        <v>51</v>
      </c>
      <c r="W140" s="452"/>
      <c r="X140" s="452">
        <v>165</v>
      </c>
      <c r="Y140" s="452" t="s">
        <v>2037</v>
      </c>
      <c r="Z140" s="452" t="s">
        <v>7</v>
      </c>
      <c r="AA140" s="452">
        <v>51</v>
      </c>
      <c r="AB140" s="433"/>
    </row>
    <row r="141" spans="1:28" ht="15" customHeight="1" x14ac:dyDescent="0.45">
      <c r="A141" s="441" t="s">
        <v>1510</v>
      </c>
      <c r="B141" s="441" t="s">
        <v>1428</v>
      </c>
      <c r="C141" s="441" t="s">
        <v>2011</v>
      </c>
      <c r="D141" s="439" t="s">
        <v>2012</v>
      </c>
      <c r="J141" s="445"/>
      <c r="K141" s="445"/>
      <c r="L141" s="449"/>
      <c r="M141" s="445"/>
      <c r="N141" s="446"/>
      <c r="O141" s="445"/>
      <c r="P141" s="445"/>
      <c r="Q141" s="445"/>
      <c r="S141" s="452">
        <v>105</v>
      </c>
      <c r="T141" s="452" t="s">
        <v>2078</v>
      </c>
      <c r="U141" s="452" t="s">
        <v>9</v>
      </c>
      <c r="V141" s="452">
        <v>51</v>
      </c>
      <c r="W141" s="452"/>
      <c r="X141" s="452">
        <v>175</v>
      </c>
      <c r="Y141" s="452" t="s">
        <v>2038</v>
      </c>
      <c r="Z141" s="452" t="s">
        <v>7</v>
      </c>
      <c r="AA141" s="452">
        <v>51</v>
      </c>
      <c r="AB141" s="433"/>
    </row>
    <row r="142" spans="1:28" ht="15" customHeight="1" x14ac:dyDescent="0.45">
      <c r="A142" s="441" t="s">
        <v>1511</v>
      </c>
      <c r="B142" s="447">
        <v>200</v>
      </c>
      <c r="C142" s="447" t="s">
        <v>2013</v>
      </c>
      <c r="D142" s="439" t="s">
        <v>2011</v>
      </c>
      <c r="J142" s="445"/>
      <c r="K142" s="445"/>
      <c r="L142" s="449"/>
      <c r="M142" s="445"/>
      <c r="N142" s="446"/>
      <c r="O142" s="445"/>
      <c r="P142" s="445"/>
      <c r="Q142" s="445"/>
      <c r="S142" s="452">
        <v>115</v>
      </c>
      <c r="T142" s="452" t="s">
        <v>2154</v>
      </c>
      <c r="U142" s="452" t="s">
        <v>6</v>
      </c>
      <c r="V142" s="452">
        <v>51</v>
      </c>
      <c r="W142" s="452"/>
      <c r="X142" s="452">
        <v>185</v>
      </c>
      <c r="Y142" s="452" t="s">
        <v>2035</v>
      </c>
      <c r="Z142" s="452" t="s">
        <v>7</v>
      </c>
      <c r="AA142" s="452">
        <v>51</v>
      </c>
      <c r="AB142" s="433"/>
    </row>
    <row r="143" spans="1:28" ht="15" customHeight="1" x14ac:dyDescent="0.45">
      <c r="A143" s="441" t="s">
        <v>1512</v>
      </c>
      <c r="B143" s="441">
        <v>400</v>
      </c>
      <c r="C143" s="441" t="s">
        <v>2014</v>
      </c>
      <c r="D143" s="439" t="s">
        <v>2015</v>
      </c>
      <c r="L143" s="450"/>
      <c r="S143" s="452">
        <v>125</v>
      </c>
      <c r="T143" s="452" t="s">
        <v>2216</v>
      </c>
      <c r="U143" s="452" t="s">
        <v>6</v>
      </c>
      <c r="V143" s="452">
        <v>51</v>
      </c>
      <c r="W143" s="452"/>
      <c r="X143" s="452"/>
      <c r="Y143" s="452" t="s">
        <v>914</v>
      </c>
      <c r="Z143" s="452" t="s">
        <v>915</v>
      </c>
      <c r="AA143" s="452"/>
      <c r="AB143" s="433"/>
    </row>
    <row r="144" spans="1:28" ht="15" customHeight="1" x14ac:dyDescent="0.45">
      <c r="A144" s="441" t="s">
        <v>1513</v>
      </c>
      <c r="B144" s="441">
        <v>800</v>
      </c>
      <c r="C144" s="441" t="s">
        <v>2014</v>
      </c>
      <c r="D144" s="439" t="s">
        <v>2013</v>
      </c>
      <c r="L144" s="450"/>
      <c r="S144" s="452">
        <v>135</v>
      </c>
      <c r="T144" s="452" t="s">
        <v>2217</v>
      </c>
      <c r="U144" s="452" t="s">
        <v>9</v>
      </c>
      <c r="V144" s="452">
        <v>51</v>
      </c>
      <c r="W144" s="452"/>
      <c r="X144" s="452" t="s">
        <v>912</v>
      </c>
      <c r="Y144" s="452"/>
      <c r="Z144" s="452"/>
      <c r="AA144" s="452"/>
      <c r="AB144" s="433"/>
    </row>
    <row r="145" spans="1:28" ht="15" customHeight="1" x14ac:dyDescent="0.45">
      <c r="A145" s="441" t="s">
        <v>1514</v>
      </c>
      <c r="B145" s="441" t="s">
        <v>1429</v>
      </c>
      <c r="C145" s="441" t="s">
        <v>912</v>
      </c>
      <c r="D145" s="439" t="s">
        <v>912</v>
      </c>
      <c r="S145" s="452">
        <v>145</v>
      </c>
      <c r="T145" s="452" t="s">
        <v>2218</v>
      </c>
      <c r="U145" s="452" t="s">
        <v>9</v>
      </c>
      <c r="V145" s="452">
        <v>51</v>
      </c>
      <c r="W145" s="452"/>
      <c r="X145" s="452"/>
      <c r="Y145" s="452" t="s">
        <v>914</v>
      </c>
      <c r="Z145" s="452" t="s">
        <v>915</v>
      </c>
      <c r="AA145" s="452"/>
      <c r="AB145" s="433"/>
    </row>
    <row r="146" spans="1:28" ht="15" customHeight="1" x14ac:dyDescent="0.45">
      <c r="A146" s="441" t="s">
        <v>1515</v>
      </c>
      <c r="B146" s="447">
        <v>1500</v>
      </c>
      <c r="C146" s="447" t="s">
        <v>2016</v>
      </c>
      <c r="D146" s="439" t="s">
        <v>2015</v>
      </c>
      <c r="S146" s="452">
        <v>155</v>
      </c>
      <c r="T146" s="452" t="s">
        <v>2219</v>
      </c>
      <c r="U146" s="452" t="s">
        <v>6</v>
      </c>
      <c r="V146" s="452">
        <v>51</v>
      </c>
      <c r="W146" s="452"/>
      <c r="X146" s="452" t="s">
        <v>912</v>
      </c>
      <c r="Y146" s="452"/>
      <c r="Z146" s="452"/>
      <c r="AA146" s="452"/>
      <c r="AB146" s="433"/>
    </row>
    <row r="147" spans="1:28" ht="15" customHeight="1" x14ac:dyDescent="0.45">
      <c r="A147" s="441" t="s">
        <v>1516</v>
      </c>
      <c r="B147" s="441" t="s">
        <v>1430</v>
      </c>
      <c r="C147" s="441" t="s">
        <v>2017</v>
      </c>
      <c r="D147" s="439" t="s">
        <v>2018</v>
      </c>
      <c r="S147" s="452"/>
      <c r="T147" s="452" t="s">
        <v>914</v>
      </c>
      <c r="U147" s="452" t="s">
        <v>915</v>
      </c>
      <c r="V147" s="452"/>
      <c r="W147" s="452"/>
      <c r="X147" s="452"/>
      <c r="Y147" s="452" t="s">
        <v>914</v>
      </c>
      <c r="Z147" s="452" t="s">
        <v>915</v>
      </c>
      <c r="AA147" s="452"/>
      <c r="AB147" s="433"/>
    </row>
    <row r="148" spans="1:28" ht="15" customHeight="1" x14ac:dyDescent="0.45">
      <c r="A148" s="441" t="s">
        <v>1517</v>
      </c>
      <c r="B148" s="441">
        <v>3000</v>
      </c>
      <c r="C148" s="441"/>
      <c r="S148" s="452" t="s">
        <v>912</v>
      </c>
      <c r="T148" s="452"/>
      <c r="U148" s="452"/>
      <c r="V148" s="452"/>
      <c r="W148" s="452"/>
      <c r="X148" s="452" t="s">
        <v>912</v>
      </c>
      <c r="Y148" s="452"/>
      <c r="Z148" s="452"/>
      <c r="AA148" s="452"/>
      <c r="AB148" s="433"/>
    </row>
    <row r="149" spans="1:28" ht="15" customHeight="1" x14ac:dyDescent="0.45">
      <c r="A149" s="441" t="s">
        <v>1518</v>
      </c>
      <c r="B149" s="441" t="s">
        <v>1431</v>
      </c>
      <c r="C149" s="441"/>
      <c r="S149" s="452"/>
      <c r="T149" s="452" t="s">
        <v>914</v>
      </c>
      <c r="U149" s="452" t="s">
        <v>915</v>
      </c>
      <c r="V149" s="452"/>
      <c r="W149" s="452"/>
      <c r="X149" s="452"/>
      <c r="Y149" s="452"/>
      <c r="Z149" s="452"/>
      <c r="AA149" s="452"/>
      <c r="AB149" s="433"/>
    </row>
    <row r="150" spans="1:28" ht="15" customHeight="1" x14ac:dyDescent="0.45">
      <c r="A150" s="441" t="s">
        <v>1519</v>
      </c>
      <c r="B150" s="441" t="s">
        <v>902</v>
      </c>
      <c r="C150" s="441"/>
      <c r="S150" s="452" t="s">
        <v>912</v>
      </c>
      <c r="T150" s="452"/>
      <c r="U150" s="452"/>
      <c r="V150" s="452"/>
      <c r="W150" s="452"/>
      <c r="X150" s="452"/>
      <c r="Y150" s="452"/>
      <c r="Z150" s="452"/>
      <c r="AA150" s="452"/>
      <c r="AB150" s="433"/>
    </row>
    <row r="151" spans="1:28" ht="15" customHeight="1" x14ac:dyDescent="0.45">
      <c r="A151" s="441" t="s">
        <v>1520</v>
      </c>
      <c r="B151" s="441" t="s">
        <v>25</v>
      </c>
      <c r="C151" s="441" t="s">
        <v>2009</v>
      </c>
      <c r="D151" s="439" t="s">
        <v>2019</v>
      </c>
      <c r="S151" s="452"/>
      <c r="T151" s="452" t="s">
        <v>914</v>
      </c>
      <c r="U151" s="452" t="s">
        <v>915</v>
      </c>
      <c r="V151" s="452"/>
      <c r="W151" s="452"/>
      <c r="X151" s="452"/>
      <c r="Y151" s="452"/>
      <c r="Z151" s="452"/>
      <c r="AA151" s="452"/>
      <c r="AB151" s="433"/>
    </row>
    <row r="152" spans="1:28" ht="15" customHeight="1" x14ac:dyDescent="0.45">
      <c r="A152" s="441" t="s">
        <v>1521</v>
      </c>
      <c r="B152" s="441" t="s">
        <v>21</v>
      </c>
      <c r="C152" s="441" t="s">
        <v>912</v>
      </c>
      <c r="D152" s="439" t="s">
        <v>912</v>
      </c>
      <c r="S152" s="452" t="s">
        <v>912</v>
      </c>
      <c r="T152" s="452"/>
      <c r="U152" s="452"/>
      <c r="V152" s="452"/>
      <c r="W152" s="452"/>
      <c r="X152" s="452"/>
      <c r="Y152" s="452"/>
      <c r="Z152" s="452"/>
      <c r="AA152" s="452"/>
      <c r="AB152" s="433"/>
    </row>
    <row r="153" spans="1:28" ht="15" customHeight="1" x14ac:dyDescent="0.45">
      <c r="A153" s="441" t="s">
        <v>1522</v>
      </c>
      <c r="B153" s="441" t="s">
        <v>28</v>
      </c>
      <c r="C153" s="441" t="s">
        <v>2012</v>
      </c>
      <c r="D153" s="439" t="s">
        <v>2010</v>
      </c>
      <c r="S153" s="452"/>
      <c r="T153" s="452"/>
      <c r="U153" s="452"/>
      <c r="V153" s="452"/>
      <c r="W153" s="452"/>
      <c r="X153" s="452"/>
      <c r="Y153" s="452"/>
      <c r="Z153" s="452"/>
      <c r="AA153" s="452"/>
      <c r="AB153" s="433"/>
    </row>
    <row r="154" spans="1:28" ht="15" customHeight="1" x14ac:dyDescent="0.45">
      <c r="A154" s="441" t="s">
        <v>1523</v>
      </c>
      <c r="B154" s="441" t="s">
        <v>24</v>
      </c>
      <c r="C154" s="441" t="s">
        <v>2009</v>
      </c>
      <c r="D154" s="439" t="s">
        <v>2019</v>
      </c>
      <c r="S154" s="452"/>
      <c r="T154" s="452"/>
      <c r="U154" s="452"/>
      <c r="V154" s="452"/>
      <c r="W154" s="452"/>
      <c r="X154" s="452"/>
      <c r="Y154" s="452"/>
      <c r="Z154" s="452"/>
      <c r="AA154" s="452"/>
      <c r="AB154" s="433"/>
    </row>
    <row r="155" spans="1:28" ht="15" customHeight="1" x14ac:dyDescent="0.45">
      <c r="A155" s="441" t="s">
        <v>1524</v>
      </c>
      <c r="B155" s="441" t="s">
        <v>1432</v>
      </c>
      <c r="C155" s="441" t="s">
        <v>2011</v>
      </c>
      <c r="D155" s="439" t="s">
        <v>2017</v>
      </c>
      <c r="S155" s="452"/>
      <c r="T155" s="452"/>
      <c r="U155" s="452"/>
      <c r="V155" s="452"/>
      <c r="W155" s="452"/>
      <c r="X155" s="452"/>
      <c r="Y155" s="452"/>
      <c r="Z155" s="452"/>
      <c r="AA155" s="452"/>
      <c r="AB155" s="433"/>
    </row>
    <row r="156" spans="1:28" ht="15" customHeight="1" x14ac:dyDescent="0.45">
      <c r="A156" s="441" t="s">
        <v>1525</v>
      </c>
      <c r="B156" s="441" t="s">
        <v>1433</v>
      </c>
      <c r="C156" s="441"/>
      <c r="S156" s="452"/>
      <c r="T156" s="452"/>
      <c r="U156" s="452"/>
      <c r="V156" s="452"/>
      <c r="W156" s="452"/>
      <c r="X156" s="452"/>
      <c r="Y156" s="452"/>
      <c r="Z156" s="452"/>
      <c r="AA156" s="452"/>
      <c r="AB156" s="433"/>
    </row>
    <row r="157" spans="1:28" ht="15" customHeight="1" x14ac:dyDescent="0.45">
      <c r="A157" s="441" t="s">
        <v>1526</v>
      </c>
      <c r="B157" s="441" t="s">
        <v>1434</v>
      </c>
      <c r="C157" s="441" t="s">
        <v>2013</v>
      </c>
      <c r="D157" s="439" t="s">
        <v>2020</v>
      </c>
      <c r="S157" s="452"/>
      <c r="T157" s="452"/>
      <c r="U157" s="452"/>
      <c r="V157" s="452"/>
      <c r="W157" s="452"/>
      <c r="X157" s="452"/>
      <c r="Y157" s="452"/>
      <c r="Z157" s="452"/>
      <c r="AA157" s="452"/>
      <c r="AB157" s="433"/>
    </row>
    <row r="158" spans="1:28" ht="15" customHeight="1" x14ac:dyDescent="0.45">
      <c r="A158" s="441" t="s">
        <v>1527</v>
      </c>
      <c r="B158" s="441" t="s">
        <v>1435</v>
      </c>
      <c r="C158" s="447" t="s">
        <v>2012</v>
      </c>
      <c r="D158" s="439" t="s">
        <v>2019</v>
      </c>
      <c r="S158" s="452"/>
      <c r="T158" s="452"/>
      <c r="U158" s="452"/>
      <c r="V158" s="452"/>
      <c r="W158" s="452"/>
      <c r="X158" s="452"/>
      <c r="Y158" s="452"/>
      <c r="Z158" s="452"/>
      <c r="AA158" s="452"/>
      <c r="AB158" s="433"/>
    </row>
    <row r="159" spans="1:28" ht="15" customHeight="1" x14ac:dyDescent="0.45">
      <c r="A159" s="441" t="s">
        <v>1528</v>
      </c>
      <c r="B159" s="447" t="s">
        <v>1436</v>
      </c>
      <c r="C159" s="447" t="s">
        <v>2013</v>
      </c>
      <c r="D159" s="439" t="s">
        <v>2017</v>
      </c>
      <c r="S159" s="452"/>
      <c r="T159" s="452"/>
      <c r="U159" s="452"/>
      <c r="V159" s="452"/>
      <c r="W159" s="452"/>
      <c r="X159" s="452"/>
      <c r="Y159" s="452"/>
      <c r="Z159" s="452"/>
      <c r="AA159" s="452"/>
      <c r="AB159" s="433"/>
    </row>
    <row r="160" spans="1:28" ht="15" customHeight="1" x14ac:dyDescent="0.45">
      <c r="A160" s="441" t="s">
        <v>1529</v>
      </c>
      <c r="B160" s="441" t="s">
        <v>1437</v>
      </c>
      <c r="C160" s="447" t="s">
        <v>2011</v>
      </c>
      <c r="D160" s="439" t="s">
        <v>2010</v>
      </c>
      <c r="S160" s="452"/>
      <c r="T160" s="452"/>
      <c r="U160" s="452"/>
      <c r="V160" s="452"/>
      <c r="W160" s="452"/>
      <c r="X160" s="452"/>
      <c r="Y160" s="452"/>
      <c r="Z160" s="452"/>
      <c r="AA160" s="452"/>
      <c r="AB160" s="433"/>
    </row>
    <row r="161" spans="1:28" ht="15" customHeight="1" x14ac:dyDescent="0.45">
      <c r="A161" s="441" t="s">
        <v>1530</v>
      </c>
      <c r="B161" s="441" t="s">
        <v>1438</v>
      </c>
      <c r="C161" s="441" t="s">
        <v>2014</v>
      </c>
      <c r="D161" s="439" t="s">
        <v>2009</v>
      </c>
      <c r="S161" s="452"/>
      <c r="T161" s="452"/>
      <c r="U161" s="452"/>
      <c r="V161" s="452"/>
      <c r="W161" s="452"/>
      <c r="X161" s="452"/>
      <c r="Y161" s="452"/>
      <c r="Z161" s="452"/>
      <c r="AA161" s="452"/>
      <c r="AB161" s="433"/>
    </row>
    <row r="162" spans="1:28" ht="15" customHeight="1" x14ac:dyDescent="0.45">
      <c r="A162" s="441" t="s">
        <v>1531</v>
      </c>
      <c r="B162" s="441" t="s">
        <v>1439</v>
      </c>
      <c r="C162" s="441" t="s">
        <v>2019</v>
      </c>
      <c r="D162" s="439" t="s">
        <v>2020</v>
      </c>
      <c r="S162" s="452"/>
      <c r="T162" s="452"/>
      <c r="U162" s="452"/>
      <c r="V162" s="452"/>
      <c r="W162" s="452"/>
      <c r="X162" s="452"/>
      <c r="Y162" s="452"/>
      <c r="Z162" s="452"/>
      <c r="AA162" s="452"/>
      <c r="AB162" s="433"/>
    </row>
    <row r="163" spans="1:28" ht="15" customHeight="1" x14ac:dyDescent="0.45">
      <c r="A163" s="441"/>
      <c r="B163" s="441" t="s">
        <v>1424</v>
      </c>
      <c r="C163" s="441" t="s">
        <v>594</v>
      </c>
      <c r="S163" s="452"/>
      <c r="T163" s="452"/>
      <c r="U163" s="452"/>
      <c r="V163" s="452"/>
      <c r="W163" s="452"/>
      <c r="X163" s="452"/>
      <c r="Y163" s="452"/>
      <c r="Z163" s="452"/>
      <c r="AA163" s="452"/>
      <c r="AB163" s="433"/>
    </row>
    <row r="164" spans="1:28" ht="15" customHeight="1" x14ac:dyDescent="0.45">
      <c r="A164" s="441"/>
      <c r="B164" s="441" t="s">
        <v>1425</v>
      </c>
      <c r="C164" s="441" t="s">
        <v>617</v>
      </c>
      <c r="S164" s="452"/>
      <c r="T164" s="452"/>
      <c r="U164" s="452"/>
      <c r="V164" s="452"/>
      <c r="W164" s="452"/>
      <c r="X164" s="452"/>
      <c r="Y164" s="452"/>
      <c r="Z164" s="452"/>
      <c r="AA164" s="452"/>
      <c r="AB164" s="433"/>
    </row>
    <row r="165" spans="1:28" ht="15" customHeight="1" x14ac:dyDescent="0.45">
      <c r="A165" s="441"/>
      <c r="B165" s="441" t="s">
        <v>1426</v>
      </c>
      <c r="C165" s="441" t="s">
        <v>7</v>
      </c>
      <c r="S165" s="452"/>
      <c r="T165" s="452"/>
      <c r="U165" s="452"/>
      <c r="V165" s="452"/>
      <c r="W165" s="452"/>
      <c r="X165" s="452"/>
      <c r="Y165" s="452"/>
      <c r="Z165" s="452"/>
      <c r="AA165" s="452"/>
      <c r="AB165" s="433"/>
    </row>
    <row r="166" spans="1:28" ht="15" customHeight="1" x14ac:dyDescent="0.45">
      <c r="A166" s="441"/>
      <c r="B166" s="441" t="s">
        <v>901</v>
      </c>
      <c r="C166" s="441">
        <v>4</v>
      </c>
      <c r="D166" s="439">
        <v>44</v>
      </c>
      <c r="S166" s="452"/>
      <c r="T166" s="452"/>
      <c r="U166" s="452"/>
      <c r="V166" s="452"/>
      <c r="W166" s="452"/>
      <c r="X166" s="452"/>
      <c r="Y166" s="452"/>
      <c r="Z166" s="452"/>
      <c r="AA166" s="452"/>
      <c r="AB166" s="433"/>
    </row>
    <row r="167" spans="1:28" ht="15" customHeight="1" x14ac:dyDescent="0.45">
      <c r="A167" s="441" t="s">
        <v>1486</v>
      </c>
      <c r="B167" s="441" t="s">
        <v>1427</v>
      </c>
      <c r="C167" s="441" t="s">
        <v>2021</v>
      </c>
      <c r="D167" s="439" t="s">
        <v>2022</v>
      </c>
      <c r="S167" s="452"/>
      <c r="T167" s="452"/>
      <c r="U167" s="452"/>
      <c r="V167" s="452"/>
      <c r="W167" s="452"/>
      <c r="X167" s="452"/>
      <c r="Y167" s="452"/>
      <c r="Z167" s="452"/>
      <c r="AA167" s="452"/>
      <c r="AB167" s="433"/>
    </row>
    <row r="168" spans="1:28" ht="15" customHeight="1" x14ac:dyDescent="0.45">
      <c r="A168" s="441" t="s">
        <v>1487</v>
      </c>
      <c r="B168" s="441" t="s">
        <v>1428</v>
      </c>
      <c r="C168" s="441" t="s">
        <v>2023</v>
      </c>
      <c r="D168" s="439" t="s">
        <v>2024</v>
      </c>
      <c r="S168" s="452"/>
      <c r="T168" s="452"/>
      <c r="U168" s="452"/>
      <c r="V168" s="452"/>
      <c r="W168" s="452"/>
      <c r="X168" s="452"/>
      <c r="Y168" s="452"/>
      <c r="Z168" s="452"/>
      <c r="AA168" s="452"/>
      <c r="AB168" s="433"/>
    </row>
    <row r="169" spans="1:28" ht="15" customHeight="1" x14ac:dyDescent="0.45">
      <c r="A169" s="441" t="s">
        <v>1488</v>
      </c>
      <c r="B169" s="441">
        <v>200</v>
      </c>
      <c r="C169" s="447" t="s">
        <v>2025</v>
      </c>
      <c r="D169" s="439" t="s">
        <v>2026</v>
      </c>
      <c r="S169" s="452"/>
      <c r="T169" s="452"/>
      <c r="U169" s="452"/>
      <c r="V169" s="452"/>
      <c r="W169" s="452"/>
      <c r="X169" s="452"/>
      <c r="Y169" s="452"/>
      <c r="Z169" s="452"/>
      <c r="AA169" s="452"/>
      <c r="AB169" s="433"/>
    </row>
    <row r="170" spans="1:28" ht="15" customHeight="1" x14ac:dyDescent="0.45">
      <c r="A170" s="441" t="s">
        <v>1489</v>
      </c>
      <c r="B170" s="447">
        <v>400</v>
      </c>
      <c r="C170" s="447" t="s">
        <v>2022</v>
      </c>
      <c r="D170" s="439" t="s">
        <v>2026</v>
      </c>
      <c r="S170" s="452"/>
      <c r="T170" s="452"/>
      <c r="U170" s="452"/>
      <c r="V170" s="452"/>
      <c r="W170" s="452"/>
      <c r="X170" s="452"/>
      <c r="Y170" s="452"/>
      <c r="Z170" s="452"/>
      <c r="AA170" s="452"/>
      <c r="AB170" s="433"/>
    </row>
    <row r="171" spans="1:28" ht="15" customHeight="1" x14ac:dyDescent="0.45">
      <c r="A171" s="441" t="s">
        <v>1490</v>
      </c>
      <c r="B171" s="447">
        <v>800</v>
      </c>
      <c r="C171" s="447" t="s">
        <v>2027</v>
      </c>
      <c r="D171" s="439" t="s">
        <v>2028</v>
      </c>
      <c r="S171" s="452"/>
      <c r="T171" s="452"/>
      <c r="U171" s="452"/>
      <c r="V171" s="452"/>
      <c r="W171" s="452"/>
      <c r="X171" s="452"/>
      <c r="Y171" s="452"/>
      <c r="Z171" s="452"/>
      <c r="AA171" s="452"/>
      <c r="AB171" s="433"/>
    </row>
    <row r="172" spans="1:28" ht="15" customHeight="1" x14ac:dyDescent="0.45">
      <c r="A172" s="441" t="s">
        <v>1491</v>
      </c>
      <c r="B172" s="441" t="s">
        <v>1429</v>
      </c>
      <c r="C172" s="441" t="s">
        <v>912</v>
      </c>
      <c r="D172" s="439" t="s">
        <v>912</v>
      </c>
      <c r="S172" s="452"/>
      <c r="T172" s="452"/>
      <c r="U172" s="452"/>
      <c r="V172" s="452"/>
      <c r="W172" s="452"/>
      <c r="X172" s="452"/>
      <c r="Y172" s="452"/>
      <c r="Z172" s="452"/>
      <c r="AA172" s="452"/>
      <c r="AB172" s="433"/>
    </row>
    <row r="173" spans="1:28" ht="15" customHeight="1" x14ac:dyDescent="0.45">
      <c r="A173" s="441" t="s">
        <v>1492</v>
      </c>
      <c r="B173" s="441">
        <v>1500</v>
      </c>
      <c r="C173" s="441" t="s">
        <v>2029</v>
      </c>
      <c r="D173" s="439" t="s">
        <v>2030</v>
      </c>
      <c r="S173" s="452"/>
      <c r="T173" s="452"/>
      <c r="U173" s="452"/>
      <c r="V173" s="452"/>
      <c r="W173" s="452"/>
      <c r="X173" s="452"/>
      <c r="Y173" s="452"/>
      <c r="Z173" s="452"/>
      <c r="AA173" s="452"/>
      <c r="AB173" s="433"/>
    </row>
    <row r="174" spans="1:28" ht="15" customHeight="1" x14ac:dyDescent="0.45">
      <c r="A174" s="441" t="s">
        <v>1493</v>
      </c>
      <c r="B174" s="441" t="s">
        <v>1430</v>
      </c>
      <c r="C174" s="441" t="s">
        <v>912</v>
      </c>
      <c r="D174" s="439" t="s">
        <v>912</v>
      </c>
      <c r="S174" s="452"/>
      <c r="T174" s="452"/>
      <c r="U174" s="452"/>
      <c r="V174" s="452"/>
      <c r="W174" s="452"/>
      <c r="X174" s="452"/>
      <c r="Y174" s="452"/>
      <c r="Z174" s="452"/>
      <c r="AA174" s="452"/>
      <c r="AB174" s="433"/>
    </row>
    <row r="175" spans="1:28" ht="15" customHeight="1" x14ac:dyDescent="0.45">
      <c r="A175" s="441" t="s">
        <v>1494</v>
      </c>
      <c r="B175" s="441">
        <v>3000</v>
      </c>
      <c r="C175" s="441"/>
      <c r="S175" s="452"/>
      <c r="T175" s="452"/>
      <c r="U175" s="452"/>
      <c r="V175" s="452"/>
      <c r="W175" s="452"/>
      <c r="X175" s="452"/>
      <c r="Y175" s="452"/>
      <c r="Z175" s="452"/>
      <c r="AA175" s="452"/>
      <c r="AB175" s="433"/>
    </row>
    <row r="176" spans="1:28" ht="15" customHeight="1" x14ac:dyDescent="0.45">
      <c r="A176" s="441" t="s">
        <v>1495</v>
      </c>
      <c r="B176" s="441" t="s">
        <v>1431</v>
      </c>
      <c r="C176" s="441"/>
      <c r="S176" s="452"/>
      <c r="T176" s="452"/>
      <c r="U176" s="452"/>
      <c r="V176" s="452"/>
      <c r="W176" s="452"/>
      <c r="X176" s="452"/>
      <c r="Y176" s="452"/>
      <c r="Z176" s="452"/>
      <c r="AA176" s="452"/>
      <c r="AB176" s="433"/>
    </row>
    <row r="177" spans="1:28" ht="15" customHeight="1" x14ac:dyDescent="0.45">
      <c r="A177" s="441" t="s">
        <v>1496</v>
      </c>
      <c r="B177" s="441" t="s">
        <v>902</v>
      </c>
      <c r="C177" s="441"/>
      <c r="S177" s="452"/>
      <c r="T177" s="452"/>
      <c r="U177" s="452"/>
      <c r="V177" s="452"/>
      <c r="W177" s="452"/>
      <c r="X177" s="452"/>
      <c r="Y177" s="452"/>
      <c r="Z177" s="452"/>
      <c r="AA177" s="452"/>
      <c r="AB177" s="433"/>
    </row>
    <row r="178" spans="1:28" ht="15" customHeight="1" x14ac:dyDescent="0.45">
      <c r="A178" s="441" t="s">
        <v>1497</v>
      </c>
      <c r="B178" s="441" t="s">
        <v>25</v>
      </c>
      <c r="C178" s="441" t="s">
        <v>2031</v>
      </c>
      <c r="D178" s="439" t="s">
        <v>2033</v>
      </c>
      <c r="S178" s="452"/>
      <c r="T178" s="452"/>
      <c r="U178" s="452"/>
      <c r="V178" s="452"/>
      <c r="W178" s="452"/>
      <c r="X178" s="452"/>
      <c r="Y178" s="452"/>
      <c r="Z178" s="452"/>
      <c r="AA178" s="452"/>
      <c r="AB178" s="433"/>
    </row>
    <row r="179" spans="1:28" ht="15" customHeight="1" x14ac:dyDescent="0.45">
      <c r="A179" s="441" t="s">
        <v>1498</v>
      </c>
      <c r="B179" s="441" t="s">
        <v>21</v>
      </c>
      <c r="C179" s="447" t="s">
        <v>912</v>
      </c>
      <c r="D179" s="439" t="s">
        <v>912</v>
      </c>
      <c r="S179" s="452"/>
      <c r="T179" s="452"/>
      <c r="U179" s="452"/>
      <c r="V179" s="452"/>
      <c r="W179" s="452"/>
      <c r="X179" s="452"/>
      <c r="Y179" s="452"/>
      <c r="Z179" s="452"/>
      <c r="AA179" s="452"/>
      <c r="AB179" s="433"/>
    </row>
    <row r="180" spans="1:28" ht="15" customHeight="1" x14ac:dyDescent="0.45">
      <c r="A180" s="441" t="s">
        <v>1499</v>
      </c>
      <c r="B180" s="447" t="s">
        <v>28</v>
      </c>
      <c r="C180" s="441" t="s">
        <v>2031</v>
      </c>
      <c r="D180" s="439" t="s">
        <v>2032</v>
      </c>
      <c r="S180" s="452"/>
      <c r="T180" s="452"/>
      <c r="U180" s="452"/>
      <c r="V180" s="452"/>
      <c r="W180" s="452"/>
      <c r="X180" s="452"/>
      <c r="Y180" s="452"/>
      <c r="Z180" s="452"/>
      <c r="AA180" s="452"/>
      <c r="AB180" s="433"/>
    </row>
    <row r="181" spans="1:28" ht="15" customHeight="1" x14ac:dyDescent="0.45">
      <c r="A181" s="441" t="s">
        <v>1500</v>
      </c>
      <c r="B181" s="441" t="s">
        <v>24</v>
      </c>
      <c r="C181" s="441" t="s">
        <v>2031</v>
      </c>
      <c r="D181" s="439" t="s">
        <v>912</v>
      </c>
      <c r="S181" s="452"/>
      <c r="T181" s="452"/>
      <c r="U181" s="452"/>
      <c r="V181" s="452"/>
      <c r="W181" s="452"/>
      <c r="X181" s="452"/>
      <c r="Y181" s="452"/>
      <c r="Z181" s="452"/>
      <c r="AA181" s="452"/>
      <c r="AB181" s="433"/>
    </row>
    <row r="182" spans="1:28" ht="15" customHeight="1" x14ac:dyDescent="0.45">
      <c r="A182" s="441" t="s">
        <v>1501</v>
      </c>
      <c r="B182" s="441" t="s">
        <v>1432</v>
      </c>
      <c r="C182" s="447" t="s">
        <v>2025</v>
      </c>
      <c r="D182" s="439" t="s">
        <v>2033</v>
      </c>
      <c r="S182" s="452"/>
      <c r="T182" s="452"/>
      <c r="U182" s="452"/>
      <c r="V182" s="452"/>
      <c r="W182" s="452"/>
      <c r="X182" s="452"/>
      <c r="Y182" s="452"/>
      <c r="Z182" s="452"/>
      <c r="AA182" s="452"/>
      <c r="AB182" s="433"/>
    </row>
    <row r="183" spans="1:28" ht="15" customHeight="1" x14ac:dyDescent="0.45">
      <c r="A183" s="441" t="s">
        <v>1502</v>
      </c>
      <c r="B183" s="441" t="s">
        <v>1433</v>
      </c>
      <c r="C183" s="447"/>
      <c r="S183" s="452"/>
      <c r="T183" s="452"/>
      <c r="U183" s="452"/>
      <c r="V183" s="452"/>
      <c r="W183" s="452"/>
      <c r="X183" s="452"/>
      <c r="Y183" s="452"/>
      <c r="Z183" s="452"/>
      <c r="AA183" s="452"/>
      <c r="AB183" s="433"/>
    </row>
    <row r="184" spans="1:28" ht="15" customHeight="1" x14ac:dyDescent="0.45">
      <c r="A184" s="441" t="s">
        <v>1503</v>
      </c>
      <c r="B184" s="441" t="s">
        <v>1434</v>
      </c>
      <c r="C184" s="447" t="s">
        <v>2033</v>
      </c>
      <c r="D184" s="439" t="s">
        <v>912</v>
      </c>
      <c r="S184" s="452"/>
      <c r="T184" s="452"/>
      <c r="U184" s="452"/>
      <c r="V184" s="452"/>
      <c r="W184" s="452"/>
      <c r="X184" s="452"/>
      <c r="Y184" s="452"/>
      <c r="Z184" s="452"/>
      <c r="AA184" s="452"/>
      <c r="AB184" s="433"/>
    </row>
    <row r="185" spans="1:28" ht="15" customHeight="1" x14ac:dyDescent="0.45">
      <c r="A185" s="441" t="s">
        <v>1504</v>
      </c>
      <c r="B185" s="441" t="s">
        <v>1435</v>
      </c>
      <c r="C185" s="441" t="s">
        <v>912</v>
      </c>
      <c r="D185" s="439" t="s">
        <v>912</v>
      </c>
      <c r="S185" s="452"/>
      <c r="T185" s="452"/>
      <c r="U185" s="452"/>
      <c r="V185" s="452"/>
      <c r="W185" s="452"/>
      <c r="X185" s="452"/>
      <c r="Y185" s="452"/>
      <c r="Z185" s="452"/>
      <c r="AA185" s="452"/>
      <c r="AB185" s="433"/>
    </row>
    <row r="186" spans="1:28" ht="15" customHeight="1" x14ac:dyDescent="0.45">
      <c r="A186" s="441" t="s">
        <v>1505</v>
      </c>
      <c r="B186" s="441" t="s">
        <v>1436</v>
      </c>
      <c r="C186" s="441" t="s">
        <v>2023</v>
      </c>
      <c r="D186" s="439" t="s">
        <v>2024</v>
      </c>
      <c r="S186" s="452"/>
      <c r="T186" s="452"/>
      <c r="U186" s="452"/>
      <c r="V186" s="452"/>
      <c r="W186" s="452"/>
      <c r="X186" s="452"/>
      <c r="Y186" s="452"/>
      <c r="Z186" s="452"/>
      <c r="AA186" s="452"/>
      <c r="AB186" s="433"/>
    </row>
    <row r="187" spans="1:28" ht="15" customHeight="1" x14ac:dyDescent="0.45">
      <c r="A187" s="441" t="s">
        <v>1506</v>
      </c>
      <c r="B187" s="447" t="s">
        <v>1437</v>
      </c>
      <c r="C187" s="447" t="s">
        <v>2025</v>
      </c>
      <c r="D187" s="439" t="s">
        <v>2021</v>
      </c>
      <c r="S187" s="452"/>
      <c r="T187" s="452"/>
      <c r="U187" s="452"/>
      <c r="V187" s="452"/>
      <c r="W187" s="452"/>
      <c r="X187" s="452"/>
      <c r="Y187" s="452"/>
      <c r="Z187" s="452"/>
      <c r="AA187" s="452"/>
      <c r="AB187" s="433"/>
    </row>
    <row r="188" spans="1:28" ht="15" customHeight="1" x14ac:dyDescent="0.45">
      <c r="A188" s="441" t="s">
        <v>1507</v>
      </c>
      <c r="B188" s="441" t="s">
        <v>1438</v>
      </c>
      <c r="C188" s="441" t="s">
        <v>2029</v>
      </c>
      <c r="D188" s="439" t="s">
        <v>2028</v>
      </c>
      <c r="S188" s="452"/>
      <c r="T188" s="452"/>
      <c r="U188" s="452"/>
      <c r="V188" s="452"/>
      <c r="W188" s="452"/>
      <c r="X188" s="452"/>
      <c r="Y188" s="452"/>
      <c r="Z188" s="452"/>
      <c r="AA188" s="452"/>
      <c r="AB188" s="433"/>
    </row>
    <row r="189" spans="1:28" ht="15" customHeight="1" x14ac:dyDescent="0.45">
      <c r="A189" s="441" t="s">
        <v>1508</v>
      </c>
      <c r="B189" s="441" t="s">
        <v>1439</v>
      </c>
      <c r="C189" s="441" t="s">
        <v>2026</v>
      </c>
      <c r="D189" s="439" t="s">
        <v>2022</v>
      </c>
      <c r="S189" s="452"/>
      <c r="T189" s="452"/>
      <c r="U189" s="452"/>
      <c r="V189" s="452"/>
      <c r="W189" s="452"/>
      <c r="X189" s="452"/>
      <c r="Y189" s="452"/>
      <c r="Z189" s="452"/>
      <c r="AA189" s="452"/>
      <c r="AB189" s="433"/>
    </row>
    <row r="190" spans="1:28" ht="15" customHeight="1" x14ac:dyDescent="0.45">
      <c r="A190" s="441"/>
      <c r="B190" s="441" t="s">
        <v>1424</v>
      </c>
      <c r="C190" s="441" t="s">
        <v>115</v>
      </c>
      <c r="S190" s="452"/>
      <c r="T190" s="452"/>
      <c r="U190" s="452"/>
      <c r="V190" s="452"/>
      <c r="W190" s="452"/>
      <c r="X190" s="452"/>
      <c r="Y190" s="452"/>
      <c r="Z190" s="452"/>
      <c r="AA190" s="452"/>
      <c r="AB190" s="433"/>
    </row>
    <row r="191" spans="1:28" ht="15" customHeight="1" x14ac:dyDescent="0.45">
      <c r="A191" s="441"/>
      <c r="B191" s="441" t="s">
        <v>1425</v>
      </c>
      <c r="C191" s="441" t="s">
        <v>643</v>
      </c>
      <c r="S191" s="452"/>
      <c r="T191" s="452"/>
      <c r="U191" s="452"/>
      <c r="V191" s="452"/>
      <c r="W191" s="452"/>
      <c r="X191" s="452"/>
      <c r="Y191" s="452"/>
      <c r="Z191" s="452"/>
      <c r="AA191" s="452"/>
      <c r="AB191" s="433"/>
    </row>
    <row r="192" spans="1:28" ht="15" customHeight="1" x14ac:dyDescent="0.45">
      <c r="A192" s="441"/>
      <c r="B192" s="441" t="s">
        <v>1426</v>
      </c>
      <c r="C192" s="441" t="s">
        <v>7</v>
      </c>
      <c r="S192" s="452"/>
      <c r="T192" s="452"/>
      <c r="U192" s="452"/>
      <c r="V192" s="452"/>
      <c r="W192" s="452"/>
      <c r="X192" s="452"/>
      <c r="Y192" s="452"/>
      <c r="Z192" s="452"/>
      <c r="AA192" s="452"/>
      <c r="AB192" s="433"/>
    </row>
    <row r="193" spans="1:28" ht="15" customHeight="1" x14ac:dyDescent="0.45">
      <c r="A193" s="441"/>
      <c r="B193" s="441" t="s">
        <v>901</v>
      </c>
      <c r="C193" s="441">
        <v>5</v>
      </c>
      <c r="D193" s="439">
        <v>55</v>
      </c>
      <c r="S193" s="452"/>
      <c r="T193" s="452"/>
      <c r="U193" s="452"/>
      <c r="V193" s="452"/>
      <c r="W193" s="452"/>
      <c r="X193" s="452"/>
      <c r="Y193" s="452"/>
      <c r="Z193" s="452"/>
      <c r="AA193" s="452"/>
      <c r="AB193" s="433"/>
    </row>
    <row r="194" spans="1:28" ht="15" customHeight="1" x14ac:dyDescent="0.45">
      <c r="A194" s="441" t="s">
        <v>1532</v>
      </c>
      <c r="B194" s="441" t="s">
        <v>1427</v>
      </c>
      <c r="C194" s="441" t="s">
        <v>912</v>
      </c>
      <c r="S194" s="452"/>
      <c r="T194" s="452"/>
      <c r="U194" s="452"/>
      <c r="V194" s="452"/>
      <c r="W194" s="452"/>
      <c r="X194" s="452"/>
      <c r="Y194" s="452"/>
      <c r="Z194" s="452"/>
      <c r="AA194" s="452"/>
      <c r="AB194" s="433"/>
    </row>
    <row r="195" spans="1:28" ht="15" customHeight="1" x14ac:dyDescent="0.45">
      <c r="A195" s="441" t="s">
        <v>1533</v>
      </c>
      <c r="B195" s="441" t="s">
        <v>1428</v>
      </c>
      <c r="C195" s="441"/>
      <c r="S195" s="452"/>
      <c r="T195" s="452"/>
      <c r="U195" s="452"/>
      <c r="V195" s="452"/>
      <c r="W195" s="452"/>
      <c r="X195" s="452"/>
      <c r="Y195" s="452"/>
      <c r="Z195" s="452"/>
      <c r="AA195" s="452"/>
      <c r="AB195" s="433"/>
    </row>
    <row r="196" spans="1:28" ht="15" customHeight="1" x14ac:dyDescent="0.45">
      <c r="A196" s="441" t="s">
        <v>1534</v>
      </c>
      <c r="B196" s="441">
        <v>200</v>
      </c>
      <c r="C196" s="447" t="s">
        <v>2034</v>
      </c>
      <c r="D196" s="439" t="s">
        <v>912</v>
      </c>
      <c r="S196" s="452"/>
      <c r="T196" s="452"/>
      <c r="U196" s="452"/>
      <c r="V196" s="452"/>
      <c r="W196" s="452"/>
      <c r="X196" s="452"/>
      <c r="Y196" s="452"/>
      <c r="Z196" s="452"/>
      <c r="AA196" s="452"/>
      <c r="AB196" s="433"/>
    </row>
    <row r="197" spans="1:28" ht="15" customHeight="1" x14ac:dyDescent="0.45">
      <c r="A197" s="441" t="s">
        <v>1535</v>
      </c>
      <c r="B197" s="441">
        <v>400</v>
      </c>
      <c r="C197" s="441" t="s">
        <v>2035</v>
      </c>
      <c r="S197" s="452"/>
      <c r="T197" s="452"/>
      <c r="U197" s="452"/>
      <c r="V197" s="452"/>
      <c r="W197" s="452"/>
      <c r="X197" s="452"/>
      <c r="Y197" s="452"/>
      <c r="Z197" s="452"/>
      <c r="AA197" s="452"/>
      <c r="AB197" s="433"/>
    </row>
    <row r="198" spans="1:28" ht="15" customHeight="1" x14ac:dyDescent="0.45">
      <c r="A198" s="441" t="s">
        <v>1536</v>
      </c>
      <c r="B198" s="441">
        <v>800</v>
      </c>
      <c r="C198" s="447" t="s">
        <v>2035</v>
      </c>
      <c r="D198" s="439" t="s">
        <v>2036</v>
      </c>
      <c r="S198" s="452"/>
      <c r="T198" s="452"/>
      <c r="U198" s="452"/>
      <c r="V198" s="452"/>
      <c r="W198" s="452"/>
      <c r="X198" s="452"/>
      <c r="Y198" s="452"/>
      <c r="Z198" s="452"/>
      <c r="AA198" s="452"/>
      <c r="AB198" s="433"/>
    </row>
    <row r="199" spans="1:28" ht="15" customHeight="1" x14ac:dyDescent="0.45">
      <c r="A199" s="441" t="s">
        <v>1537</v>
      </c>
      <c r="B199" s="441" t="s">
        <v>1429</v>
      </c>
      <c r="C199" s="447"/>
      <c r="S199" s="452"/>
      <c r="T199" s="452"/>
      <c r="U199" s="452"/>
      <c r="V199" s="452"/>
      <c r="W199" s="452"/>
      <c r="X199" s="452"/>
      <c r="Y199" s="452"/>
      <c r="Z199" s="452"/>
      <c r="AA199" s="452"/>
      <c r="AB199" s="433"/>
    </row>
    <row r="200" spans="1:28" ht="15" customHeight="1" x14ac:dyDescent="0.45">
      <c r="A200" s="441" t="s">
        <v>1538</v>
      </c>
      <c r="B200" s="447">
        <v>1500</v>
      </c>
      <c r="C200" s="441" t="s">
        <v>2037</v>
      </c>
      <c r="D200" s="439" t="s">
        <v>2038</v>
      </c>
      <c r="S200" s="452"/>
      <c r="T200" s="452"/>
      <c r="U200" s="452"/>
      <c r="V200" s="452"/>
      <c r="W200" s="452"/>
      <c r="X200" s="452"/>
      <c r="Y200" s="452"/>
      <c r="Z200" s="452"/>
      <c r="AA200" s="452"/>
      <c r="AB200" s="433"/>
    </row>
    <row r="201" spans="1:28" ht="15" customHeight="1" x14ac:dyDescent="0.45">
      <c r="A201" s="441" t="s">
        <v>1539</v>
      </c>
      <c r="B201" s="441" t="s">
        <v>1430</v>
      </c>
      <c r="C201" s="441" t="s">
        <v>912</v>
      </c>
      <c r="S201" s="452"/>
      <c r="T201" s="452"/>
      <c r="U201" s="452"/>
      <c r="V201" s="452"/>
      <c r="W201" s="452"/>
      <c r="X201" s="452"/>
      <c r="Y201" s="452"/>
      <c r="Z201" s="452"/>
      <c r="AA201" s="452"/>
      <c r="AB201" s="433"/>
    </row>
    <row r="202" spans="1:28" ht="15" customHeight="1" x14ac:dyDescent="0.45">
      <c r="A202" s="441" t="s">
        <v>1540</v>
      </c>
      <c r="B202" s="441">
        <v>3000</v>
      </c>
      <c r="C202" s="447"/>
      <c r="S202" s="452"/>
      <c r="T202" s="452"/>
      <c r="U202" s="452"/>
      <c r="V202" s="452"/>
      <c r="W202" s="452"/>
      <c r="X202" s="452"/>
      <c r="Y202" s="452"/>
      <c r="Z202" s="452"/>
      <c r="AA202" s="452"/>
      <c r="AB202" s="433"/>
    </row>
    <row r="203" spans="1:28" ht="15" customHeight="1" x14ac:dyDescent="0.45">
      <c r="A203" s="441" t="s">
        <v>1541</v>
      </c>
      <c r="B203" s="441" t="s">
        <v>1431</v>
      </c>
      <c r="C203" s="441"/>
      <c r="S203" s="452"/>
      <c r="T203" s="452"/>
      <c r="U203" s="452"/>
      <c r="V203" s="452"/>
      <c r="W203" s="452"/>
      <c r="X203" s="452"/>
      <c r="Y203" s="452"/>
      <c r="Z203" s="452"/>
      <c r="AA203" s="452"/>
      <c r="AB203" s="433"/>
    </row>
    <row r="204" spans="1:28" ht="15" customHeight="1" x14ac:dyDescent="0.45">
      <c r="A204" s="441" t="s">
        <v>1542</v>
      </c>
      <c r="B204" s="441" t="s">
        <v>902</v>
      </c>
      <c r="C204" s="441"/>
      <c r="S204" s="452"/>
      <c r="T204" s="452"/>
      <c r="U204" s="452"/>
      <c r="V204" s="452"/>
      <c r="W204" s="452"/>
      <c r="X204" s="452"/>
      <c r="Y204" s="452"/>
      <c r="Z204" s="452"/>
      <c r="AA204" s="452"/>
      <c r="AB204" s="433"/>
    </row>
    <row r="205" spans="1:28" ht="15" customHeight="1" x14ac:dyDescent="0.45">
      <c r="A205" s="441" t="s">
        <v>1543</v>
      </c>
      <c r="B205" s="441" t="s">
        <v>25</v>
      </c>
      <c r="C205" s="447" t="s">
        <v>2039</v>
      </c>
      <c r="D205" s="439" t="s">
        <v>912</v>
      </c>
      <c r="S205" s="452"/>
      <c r="T205" s="452"/>
      <c r="U205" s="452"/>
      <c r="V205" s="452"/>
      <c r="W205" s="452"/>
      <c r="X205" s="452"/>
      <c r="Y205" s="452"/>
      <c r="Z205" s="452"/>
      <c r="AA205" s="452"/>
      <c r="AB205" s="433"/>
    </row>
    <row r="206" spans="1:28" ht="15" customHeight="1" x14ac:dyDescent="0.45">
      <c r="A206" s="441" t="s">
        <v>1544</v>
      </c>
      <c r="B206" s="447" t="s">
        <v>21</v>
      </c>
      <c r="C206" s="447" t="s">
        <v>2040</v>
      </c>
      <c r="D206" s="439" t="s">
        <v>2036</v>
      </c>
      <c r="S206" s="452"/>
      <c r="T206" s="452"/>
      <c r="U206" s="452"/>
      <c r="V206" s="452"/>
      <c r="W206" s="452"/>
      <c r="X206" s="452"/>
      <c r="Y206" s="452"/>
      <c r="Z206" s="452"/>
      <c r="AA206" s="452"/>
      <c r="AB206" s="433"/>
    </row>
    <row r="207" spans="1:28" ht="15" customHeight="1" x14ac:dyDescent="0.45">
      <c r="A207" s="441" t="s">
        <v>1545</v>
      </c>
      <c r="B207" s="447" t="s">
        <v>28</v>
      </c>
      <c r="C207" s="447" t="s">
        <v>2036</v>
      </c>
      <c r="D207" s="439" t="s">
        <v>912</v>
      </c>
      <c r="S207" s="452"/>
      <c r="T207" s="452"/>
      <c r="U207" s="452"/>
      <c r="V207" s="452"/>
      <c r="W207" s="452"/>
      <c r="X207" s="452"/>
      <c r="Y207" s="452"/>
      <c r="Z207" s="452"/>
      <c r="AA207" s="452"/>
      <c r="AB207" s="433"/>
    </row>
    <row r="208" spans="1:28" ht="15" customHeight="1" x14ac:dyDescent="0.45">
      <c r="A208" s="441" t="s">
        <v>1546</v>
      </c>
      <c r="B208" s="447" t="s">
        <v>24</v>
      </c>
      <c r="C208" s="447" t="s">
        <v>2039</v>
      </c>
      <c r="D208" s="439" t="s">
        <v>2037</v>
      </c>
      <c r="S208" s="452"/>
      <c r="T208" s="452"/>
      <c r="U208" s="452"/>
      <c r="V208" s="452"/>
      <c r="W208" s="452"/>
      <c r="X208" s="452"/>
      <c r="Y208" s="452"/>
      <c r="Z208" s="452"/>
      <c r="AA208" s="452"/>
      <c r="AB208" s="433"/>
    </row>
    <row r="209" spans="1:28" ht="15" customHeight="1" x14ac:dyDescent="0.45">
      <c r="A209" s="441" t="s">
        <v>1547</v>
      </c>
      <c r="B209" s="447" t="s">
        <v>1432</v>
      </c>
      <c r="C209" s="447" t="s">
        <v>2034</v>
      </c>
      <c r="D209" s="439" t="s">
        <v>2038</v>
      </c>
      <c r="S209" s="452"/>
      <c r="T209" s="452"/>
      <c r="U209" s="452"/>
      <c r="V209" s="452"/>
      <c r="W209" s="452"/>
      <c r="X209" s="452"/>
      <c r="Y209" s="452"/>
      <c r="Z209" s="452"/>
      <c r="AA209" s="452"/>
      <c r="AB209" s="433"/>
    </row>
    <row r="210" spans="1:28" ht="15" customHeight="1" x14ac:dyDescent="0.45">
      <c r="A210" s="441" t="s">
        <v>1548</v>
      </c>
      <c r="B210" s="447" t="s">
        <v>1433</v>
      </c>
      <c r="C210" s="447"/>
      <c r="S210" s="452"/>
      <c r="T210" s="452"/>
      <c r="U210" s="452"/>
      <c r="V210" s="452"/>
      <c r="W210" s="452"/>
      <c r="X210" s="452"/>
      <c r="Y210" s="452"/>
      <c r="Z210" s="452"/>
      <c r="AA210" s="452"/>
      <c r="AB210" s="433"/>
    </row>
    <row r="211" spans="1:28" ht="15" customHeight="1" x14ac:dyDescent="0.45">
      <c r="A211" s="441" t="s">
        <v>1549</v>
      </c>
      <c r="B211" s="441" t="s">
        <v>1434</v>
      </c>
      <c r="C211" s="441"/>
      <c r="S211" s="452"/>
      <c r="T211" s="452"/>
      <c r="U211" s="452"/>
      <c r="V211" s="452"/>
      <c r="W211" s="452"/>
      <c r="X211" s="452"/>
      <c r="Y211" s="452"/>
      <c r="Z211" s="452"/>
      <c r="AA211" s="452"/>
      <c r="AB211" s="433"/>
    </row>
    <row r="212" spans="1:28" ht="15" customHeight="1" x14ac:dyDescent="0.45">
      <c r="A212" s="441" t="s">
        <v>1550</v>
      </c>
      <c r="B212" s="441" t="s">
        <v>1435</v>
      </c>
      <c r="C212" s="441"/>
      <c r="S212" s="452"/>
      <c r="T212" s="452"/>
      <c r="U212" s="452"/>
      <c r="V212" s="452"/>
      <c r="W212" s="452"/>
      <c r="X212" s="452"/>
      <c r="Y212" s="452"/>
      <c r="Z212" s="452"/>
      <c r="AA212" s="452"/>
      <c r="AB212" s="433"/>
    </row>
    <row r="213" spans="1:28" ht="15" customHeight="1" x14ac:dyDescent="0.45">
      <c r="A213" s="441" t="s">
        <v>1551</v>
      </c>
      <c r="B213" s="441" t="s">
        <v>1436</v>
      </c>
      <c r="C213" s="441" t="s">
        <v>2037</v>
      </c>
      <c r="D213" s="439" t="s">
        <v>2035</v>
      </c>
      <c r="S213" s="452"/>
      <c r="T213" s="452"/>
      <c r="U213" s="452"/>
      <c r="V213" s="452"/>
      <c r="W213" s="452"/>
      <c r="X213" s="452"/>
      <c r="Y213" s="452"/>
      <c r="Z213" s="452"/>
      <c r="AA213" s="452"/>
      <c r="AB213" s="433"/>
    </row>
    <row r="214" spans="1:28" ht="15" customHeight="1" x14ac:dyDescent="0.45">
      <c r="A214" s="441" t="s">
        <v>1552</v>
      </c>
      <c r="B214" s="447" t="s">
        <v>1437</v>
      </c>
      <c r="C214" s="447" t="s">
        <v>2038</v>
      </c>
      <c r="D214" s="439" t="s">
        <v>2036</v>
      </c>
      <c r="S214" s="452"/>
      <c r="T214" s="452"/>
      <c r="U214" s="452"/>
      <c r="V214" s="452"/>
      <c r="W214" s="452"/>
      <c r="X214" s="452"/>
      <c r="Y214" s="452"/>
      <c r="Z214" s="452"/>
      <c r="AA214" s="452"/>
      <c r="AB214" s="433"/>
    </row>
    <row r="215" spans="1:28" ht="15" customHeight="1" x14ac:dyDescent="0.45">
      <c r="A215" s="441" t="s">
        <v>1553</v>
      </c>
      <c r="B215" s="441" t="s">
        <v>1438</v>
      </c>
      <c r="C215" s="441"/>
      <c r="S215" s="452"/>
      <c r="T215" s="452"/>
      <c r="U215" s="452"/>
      <c r="V215" s="452"/>
      <c r="W215" s="452"/>
      <c r="X215" s="452"/>
      <c r="Y215" s="452"/>
      <c r="Z215" s="452"/>
      <c r="AA215" s="452"/>
      <c r="AB215" s="433"/>
    </row>
    <row r="216" spans="1:28" ht="15" customHeight="1" x14ac:dyDescent="0.45">
      <c r="A216" s="441" t="s">
        <v>1554</v>
      </c>
      <c r="B216" s="447" t="s">
        <v>1439</v>
      </c>
      <c r="C216" s="447"/>
      <c r="S216" s="452"/>
      <c r="T216" s="452"/>
      <c r="U216" s="452"/>
      <c r="V216" s="452"/>
      <c r="W216" s="452"/>
      <c r="X216" s="452"/>
      <c r="Y216" s="452"/>
      <c r="Z216" s="452"/>
      <c r="AA216" s="452"/>
      <c r="AB216" s="433"/>
    </row>
    <row r="217" spans="1:28" ht="15" customHeight="1" x14ac:dyDescent="0.45">
      <c r="A217" s="441"/>
      <c r="B217" s="447" t="s">
        <v>1424</v>
      </c>
      <c r="C217" s="447" t="s">
        <v>594</v>
      </c>
      <c r="S217" s="452"/>
      <c r="T217" s="452"/>
      <c r="U217" s="452"/>
      <c r="V217" s="452"/>
      <c r="W217" s="452"/>
      <c r="X217" s="452"/>
      <c r="Y217" s="452"/>
      <c r="Z217" s="452"/>
      <c r="AA217" s="452"/>
      <c r="AB217" s="433"/>
    </row>
    <row r="218" spans="1:28" ht="15" customHeight="1" x14ac:dyDescent="0.45">
      <c r="A218" s="441"/>
      <c r="B218" s="447" t="s">
        <v>1425</v>
      </c>
      <c r="C218" s="447" t="s">
        <v>617</v>
      </c>
      <c r="S218" s="452"/>
      <c r="T218" s="452"/>
      <c r="U218" s="452"/>
      <c r="V218" s="452"/>
      <c r="W218" s="452"/>
      <c r="X218" s="452"/>
      <c r="Y218" s="452"/>
      <c r="Z218" s="452"/>
      <c r="AA218" s="452"/>
      <c r="AB218" s="433"/>
    </row>
    <row r="219" spans="1:28" ht="15" customHeight="1" x14ac:dyDescent="0.45">
      <c r="A219" s="441"/>
      <c r="B219" s="441" t="s">
        <v>1426</v>
      </c>
      <c r="C219" s="441" t="s">
        <v>7</v>
      </c>
      <c r="S219" s="452"/>
      <c r="T219" s="452"/>
      <c r="U219" s="452"/>
      <c r="V219" s="452"/>
      <c r="W219" s="452"/>
      <c r="X219" s="452"/>
      <c r="Y219" s="452"/>
      <c r="Z219" s="452"/>
      <c r="AA219" s="452"/>
      <c r="AB219" s="433"/>
    </row>
    <row r="220" spans="1:28" ht="15" customHeight="1" x14ac:dyDescent="0.45">
      <c r="A220" s="441"/>
      <c r="B220" s="447" t="s">
        <v>901</v>
      </c>
      <c r="C220" s="447">
        <v>4</v>
      </c>
      <c r="D220" s="439">
        <v>44</v>
      </c>
      <c r="S220" s="452"/>
      <c r="T220" s="452"/>
      <c r="U220" s="452"/>
      <c r="V220" s="452"/>
      <c r="W220" s="452"/>
      <c r="X220" s="452"/>
      <c r="Y220" s="452"/>
      <c r="Z220" s="452"/>
      <c r="AA220" s="452"/>
      <c r="AB220" s="433"/>
    </row>
    <row r="221" spans="1:28" ht="15" customHeight="1" x14ac:dyDescent="0.45">
      <c r="A221" s="441" t="s">
        <v>1486</v>
      </c>
      <c r="B221" s="447" t="s">
        <v>1427</v>
      </c>
      <c r="C221" s="447" t="s">
        <v>2021</v>
      </c>
      <c r="D221" s="439" t="s">
        <v>2022</v>
      </c>
      <c r="S221" s="452"/>
      <c r="T221" s="452"/>
      <c r="U221" s="452"/>
      <c r="V221" s="452"/>
      <c r="W221" s="452"/>
      <c r="X221" s="452"/>
      <c r="Y221" s="452"/>
      <c r="Z221" s="452"/>
      <c r="AA221" s="452"/>
      <c r="AB221" s="433"/>
    </row>
    <row r="222" spans="1:28" ht="15" customHeight="1" x14ac:dyDescent="0.45">
      <c r="A222" s="441" t="s">
        <v>1487</v>
      </c>
      <c r="B222" s="447" t="s">
        <v>1428</v>
      </c>
      <c r="C222" s="447" t="s">
        <v>2023</v>
      </c>
      <c r="D222" s="439" t="s">
        <v>2024</v>
      </c>
      <c r="S222" s="452"/>
      <c r="T222" s="452"/>
      <c r="U222" s="452"/>
      <c r="V222" s="452"/>
      <c r="W222" s="452"/>
      <c r="X222" s="452"/>
      <c r="Y222" s="452"/>
      <c r="Z222" s="452"/>
      <c r="AA222" s="452"/>
      <c r="AB222" s="433"/>
    </row>
    <row r="223" spans="1:28" ht="15" customHeight="1" x14ac:dyDescent="0.45">
      <c r="A223" s="441" t="s">
        <v>1488</v>
      </c>
      <c r="B223" s="447">
        <v>200</v>
      </c>
      <c r="C223" s="447" t="s">
        <v>2025</v>
      </c>
      <c r="D223" s="439" t="s">
        <v>2026</v>
      </c>
      <c r="S223" s="452"/>
      <c r="T223" s="452"/>
      <c r="U223" s="452"/>
      <c r="V223" s="452"/>
      <c r="W223" s="452"/>
      <c r="X223" s="452"/>
      <c r="Y223" s="452"/>
      <c r="Z223" s="452"/>
      <c r="AA223" s="452"/>
      <c r="AB223" s="433"/>
    </row>
    <row r="224" spans="1:28" ht="15" customHeight="1" x14ac:dyDescent="0.45">
      <c r="A224" s="441" t="s">
        <v>1489</v>
      </c>
      <c r="B224" s="441">
        <v>400</v>
      </c>
      <c r="C224" s="441" t="s">
        <v>2022</v>
      </c>
      <c r="D224" s="439" t="s">
        <v>2026</v>
      </c>
      <c r="S224" s="452"/>
      <c r="T224" s="452"/>
      <c r="U224" s="452"/>
      <c r="V224" s="452"/>
      <c r="W224" s="452"/>
      <c r="X224" s="452"/>
      <c r="Y224" s="452"/>
      <c r="Z224" s="452"/>
      <c r="AA224" s="452"/>
      <c r="AB224" s="433"/>
    </row>
    <row r="225" spans="1:28" ht="15" customHeight="1" x14ac:dyDescent="0.45">
      <c r="A225" s="441" t="s">
        <v>1490</v>
      </c>
      <c r="B225" s="441">
        <v>800</v>
      </c>
      <c r="C225" s="441" t="s">
        <v>2027</v>
      </c>
      <c r="D225" s="439" t="s">
        <v>2028</v>
      </c>
      <c r="S225" s="452"/>
      <c r="T225" s="452"/>
      <c r="U225" s="452"/>
      <c r="V225" s="452"/>
      <c r="W225" s="452"/>
      <c r="X225" s="452"/>
      <c r="Y225" s="452"/>
      <c r="Z225" s="452"/>
      <c r="AA225" s="452"/>
      <c r="AB225" s="433"/>
    </row>
    <row r="226" spans="1:28" ht="15" customHeight="1" x14ac:dyDescent="0.45">
      <c r="A226" s="441" t="s">
        <v>1491</v>
      </c>
      <c r="B226" s="441" t="s">
        <v>1429</v>
      </c>
      <c r="C226" s="441" t="s">
        <v>912</v>
      </c>
      <c r="D226" s="439" t="s">
        <v>912</v>
      </c>
      <c r="S226" s="452"/>
      <c r="T226" s="452"/>
      <c r="U226" s="452"/>
      <c r="V226" s="452"/>
      <c r="W226" s="452"/>
      <c r="X226" s="452"/>
      <c r="Y226" s="452"/>
      <c r="Z226" s="452"/>
      <c r="AA226" s="452"/>
      <c r="AB226" s="433"/>
    </row>
    <row r="227" spans="1:28" ht="15" customHeight="1" x14ac:dyDescent="0.45">
      <c r="A227" s="441" t="s">
        <v>1492</v>
      </c>
      <c r="B227" s="447">
        <v>1500</v>
      </c>
      <c r="C227" s="447" t="s">
        <v>2029</v>
      </c>
      <c r="D227" s="439" t="s">
        <v>2030</v>
      </c>
      <c r="S227" s="452"/>
      <c r="T227" s="452"/>
      <c r="U227" s="452"/>
      <c r="V227" s="452"/>
      <c r="W227" s="452"/>
      <c r="X227" s="452"/>
      <c r="Y227" s="452"/>
      <c r="Z227" s="452"/>
      <c r="AA227" s="452"/>
      <c r="AB227" s="433"/>
    </row>
    <row r="228" spans="1:28" ht="15" customHeight="1" x14ac:dyDescent="0.45">
      <c r="A228" s="441" t="s">
        <v>1493</v>
      </c>
      <c r="B228" s="441" t="s">
        <v>1430</v>
      </c>
      <c r="C228" s="441" t="s">
        <v>912</v>
      </c>
      <c r="D228" s="439" t="s">
        <v>912</v>
      </c>
      <c r="S228" s="452"/>
      <c r="T228" s="452"/>
      <c r="U228" s="452"/>
      <c r="V228" s="452"/>
      <c r="W228" s="452"/>
      <c r="X228" s="452"/>
      <c r="Y228" s="452"/>
      <c r="Z228" s="452"/>
      <c r="AA228" s="452"/>
      <c r="AB228" s="433"/>
    </row>
    <row r="229" spans="1:28" ht="15" customHeight="1" x14ac:dyDescent="0.45">
      <c r="A229" s="441" t="s">
        <v>1494</v>
      </c>
      <c r="B229" s="441">
        <v>3000</v>
      </c>
      <c r="C229" s="441"/>
      <c r="S229" s="452"/>
      <c r="T229" s="452"/>
      <c r="U229" s="452"/>
      <c r="V229" s="452"/>
      <c r="W229" s="452"/>
      <c r="X229" s="452"/>
      <c r="Y229" s="452"/>
      <c r="Z229" s="452"/>
      <c r="AA229" s="452"/>
      <c r="AB229" s="433"/>
    </row>
    <row r="230" spans="1:28" ht="15" customHeight="1" x14ac:dyDescent="0.45">
      <c r="A230" s="441" t="s">
        <v>1495</v>
      </c>
      <c r="B230" s="441" t="s">
        <v>1431</v>
      </c>
      <c r="C230" s="441"/>
      <c r="S230" s="452"/>
      <c r="T230" s="452"/>
      <c r="U230" s="452"/>
      <c r="V230" s="452"/>
      <c r="W230" s="452"/>
      <c r="X230" s="452"/>
      <c r="Y230" s="452"/>
      <c r="Z230" s="452"/>
      <c r="AA230" s="452"/>
      <c r="AB230" s="433"/>
    </row>
    <row r="231" spans="1:28" ht="15" customHeight="1" x14ac:dyDescent="0.45">
      <c r="A231" s="441" t="s">
        <v>1496</v>
      </c>
      <c r="B231" s="441" t="s">
        <v>902</v>
      </c>
      <c r="C231" s="441"/>
      <c r="S231" s="452"/>
      <c r="T231" s="452"/>
      <c r="U231" s="452"/>
      <c r="V231" s="452"/>
      <c r="W231" s="452"/>
      <c r="X231" s="452"/>
      <c r="Y231" s="452"/>
      <c r="Z231" s="452"/>
      <c r="AA231" s="452"/>
      <c r="AB231" s="433"/>
    </row>
    <row r="232" spans="1:28" ht="15" customHeight="1" x14ac:dyDescent="0.45">
      <c r="A232" s="441" t="s">
        <v>1497</v>
      </c>
      <c r="B232" s="441" t="s">
        <v>25</v>
      </c>
      <c r="C232" s="441" t="s">
        <v>2031</v>
      </c>
      <c r="D232" s="439" t="s">
        <v>2033</v>
      </c>
      <c r="S232" s="452"/>
      <c r="T232" s="452"/>
      <c r="U232" s="452"/>
      <c r="V232" s="452"/>
      <c r="W232" s="452"/>
      <c r="X232" s="452"/>
      <c r="Y232" s="452"/>
      <c r="Z232" s="452"/>
      <c r="AA232" s="452"/>
      <c r="AB232" s="433"/>
    </row>
    <row r="233" spans="1:28" ht="15" customHeight="1" x14ac:dyDescent="0.45">
      <c r="A233" s="441" t="s">
        <v>1498</v>
      </c>
      <c r="B233" s="441" t="s">
        <v>21</v>
      </c>
      <c r="C233" s="441" t="s">
        <v>912</v>
      </c>
      <c r="D233" s="439" t="s">
        <v>912</v>
      </c>
      <c r="S233" s="452"/>
      <c r="T233" s="452"/>
      <c r="U233" s="452"/>
      <c r="V233" s="452"/>
      <c r="W233" s="452"/>
      <c r="X233" s="452"/>
      <c r="Y233" s="452"/>
      <c r="Z233" s="452"/>
      <c r="AA233" s="452"/>
      <c r="AB233" s="433"/>
    </row>
    <row r="234" spans="1:28" ht="15" customHeight="1" x14ac:dyDescent="0.45">
      <c r="A234" s="441" t="s">
        <v>1499</v>
      </c>
      <c r="B234" s="447" t="s">
        <v>28</v>
      </c>
      <c r="C234" s="447" t="s">
        <v>2031</v>
      </c>
      <c r="D234" s="439" t="s">
        <v>2032</v>
      </c>
      <c r="S234" s="452"/>
      <c r="T234" s="452"/>
      <c r="U234" s="452"/>
      <c r="V234" s="452"/>
      <c r="W234" s="452"/>
      <c r="X234" s="452"/>
      <c r="Y234" s="452"/>
      <c r="Z234" s="452"/>
      <c r="AA234" s="452"/>
      <c r="AB234" s="433"/>
    </row>
    <row r="235" spans="1:28" ht="15" customHeight="1" x14ac:dyDescent="0.45">
      <c r="A235" s="441" t="s">
        <v>1500</v>
      </c>
      <c r="B235" s="441" t="s">
        <v>24</v>
      </c>
      <c r="C235" s="441" t="s">
        <v>2031</v>
      </c>
      <c r="D235" s="439" t="s">
        <v>912</v>
      </c>
      <c r="S235" s="452"/>
      <c r="T235" s="452"/>
      <c r="U235" s="452"/>
      <c r="V235" s="452"/>
      <c r="W235" s="452"/>
      <c r="X235" s="452"/>
      <c r="Y235" s="452"/>
      <c r="Z235" s="452"/>
      <c r="AA235" s="452"/>
      <c r="AB235" s="433"/>
    </row>
    <row r="236" spans="1:28" ht="15" customHeight="1" x14ac:dyDescent="0.45">
      <c r="A236" s="441" t="s">
        <v>1501</v>
      </c>
      <c r="B236" s="441" t="s">
        <v>1432</v>
      </c>
      <c r="C236" s="441" t="s">
        <v>2025</v>
      </c>
      <c r="D236" s="439" t="s">
        <v>2033</v>
      </c>
      <c r="S236" s="452"/>
      <c r="T236" s="452"/>
      <c r="U236" s="452"/>
      <c r="V236" s="452"/>
      <c r="W236" s="452"/>
      <c r="X236" s="452"/>
      <c r="Y236" s="452"/>
      <c r="Z236" s="452"/>
      <c r="AA236" s="452"/>
      <c r="AB236" s="433"/>
    </row>
    <row r="237" spans="1:28" ht="15" customHeight="1" x14ac:dyDescent="0.45">
      <c r="A237" s="441" t="s">
        <v>1502</v>
      </c>
      <c r="B237" s="441" t="s">
        <v>1433</v>
      </c>
      <c r="C237" s="441"/>
      <c r="S237" s="452"/>
      <c r="T237" s="452"/>
      <c r="U237" s="452"/>
      <c r="V237" s="452"/>
      <c r="W237" s="452"/>
      <c r="X237" s="452"/>
      <c r="Y237" s="452"/>
      <c r="Z237" s="452"/>
      <c r="AA237" s="452"/>
      <c r="AB237" s="433"/>
    </row>
    <row r="238" spans="1:28" ht="15" customHeight="1" x14ac:dyDescent="0.45">
      <c r="A238" s="441" t="s">
        <v>1503</v>
      </c>
      <c r="B238" s="441" t="s">
        <v>1434</v>
      </c>
      <c r="C238" s="441" t="s">
        <v>2033</v>
      </c>
      <c r="D238" s="439" t="s">
        <v>912</v>
      </c>
      <c r="S238" s="452"/>
      <c r="T238" s="452"/>
      <c r="U238" s="452"/>
      <c r="V238" s="452"/>
      <c r="W238" s="452"/>
      <c r="X238" s="452"/>
      <c r="Y238" s="452"/>
      <c r="Z238" s="452"/>
      <c r="AA238" s="452"/>
      <c r="AB238" s="433"/>
    </row>
    <row r="239" spans="1:28" ht="15" customHeight="1" x14ac:dyDescent="0.45">
      <c r="A239" s="441" t="s">
        <v>1504</v>
      </c>
      <c r="B239" s="441" t="s">
        <v>1435</v>
      </c>
      <c r="C239" s="441" t="s">
        <v>912</v>
      </c>
      <c r="D239" s="439" t="s">
        <v>912</v>
      </c>
      <c r="S239" s="452"/>
      <c r="T239" s="452"/>
      <c r="U239" s="452"/>
      <c r="V239" s="452"/>
      <c r="W239" s="452"/>
      <c r="X239" s="452"/>
      <c r="Y239" s="452"/>
      <c r="Z239" s="452"/>
      <c r="AA239" s="452"/>
      <c r="AB239" s="433"/>
    </row>
    <row r="240" spans="1:28" ht="15" customHeight="1" x14ac:dyDescent="0.45">
      <c r="A240" s="441" t="s">
        <v>1505</v>
      </c>
      <c r="B240" s="447" t="s">
        <v>1436</v>
      </c>
      <c r="C240" s="447" t="s">
        <v>2023</v>
      </c>
      <c r="D240" s="439" t="s">
        <v>2024</v>
      </c>
      <c r="S240" s="452"/>
      <c r="T240" s="452"/>
      <c r="U240" s="452"/>
      <c r="V240" s="452"/>
      <c r="W240" s="452"/>
      <c r="X240" s="452"/>
      <c r="Y240" s="452"/>
      <c r="Z240" s="452"/>
      <c r="AA240" s="452"/>
      <c r="AB240" s="433"/>
    </row>
    <row r="241" spans="1:28" ht="15" customHeight="1" x14ac:dyDescent="0.45">
      <c r="A241" s="441" t="s">
        <v>1506</v>
      </c>
      <c r="B241" s="441" t="s">
        <v>1437</v>
      </c>
      <c r="C241" s="441" t="s">
        <v>2025</v>
      </c>
      <c r="D241" s="439" t="s">
        <v>2021</v>
      </c>
      <c r="S241" s="452"/>
      <c r="T241" s="452"/>
      <c r="U241" s="452"/>
      <c r="V241" s="452"/>
      <c r="W241" s="452"/>
      <c r="X241" s="452"/>
      <c r="Y241" s="452"/>
      <c r="Z241" s="452"/>
      <c r="AA241" s="452"/>
      <c r="AB241" s="433"/>
    </row>
    <row r="242" spans="1:28" ht="15" customHeight="1" x14ac:dyDescent="0.45">
      <c r="A242" s="441" t="s">
        <v>1507</v>
      </c>
      <c r="B242" s="441" t="s">
        <v>1438</v>
      </c>
      <c r="C242" s="441" t="s">
        <v>2029</v>
      </c>
      <c r="D242" s="439" t="s">
        <v>2028</v>
      </c>
      <c r="S242" s="452"/>
      <c r="T242" s="452"/>
      <c r="U242" s="452"/>
      <c r="V242" s="452"/>
      <c r="W242" s="452"/>
      <c r="X242" s="452"/>
      <c r="Y242" s="452"/>
      <c r="Z242" s="452"/>
      <c r="AA242" s="452"/>
      <c r="AB242" s="433"/>
    </row>
    <row r="243" spans="1:28" ht="15" customHeight="1" x14ac:dyDescent="0.45">
      <c r="A243" s="441" t="s">
        <v>1508</v>
      </c>
      <c r="B243" s="441" t="s">
        <v>1439</v>
      </c>
      <c r="C243" s="441" t="s">
        <v>2026</v>
      </c>
      <c r="D243" s="439" t="s">
        <v>2022</v>
      </c>
      <c r="S243" s="452"/>
      <c r="T243" s="452"/>
      <c r="U243" s="452"/>
      <c r="V243" s="452"/>
      <c r="W243" s="452"/>
      <c r="X243" s="452"/>
      <c r="Y243" s="452"/>
      <c r="Z243" s="452"/>
      <c r="AA243" s="452"/>
      <c r="AB243" s="433"/>
    </row>
    <row r="244" spans="1:28" ht="15" customHeight="1" x14ac:dyDescent="0.45">
      <c r="A244" s="441"/>
      <c r="B244" s="441" t="s">
        <v>1424</v>
      </c>
      <c r="C244" s="441" t="s">
        <v>115</v>
      </c>
      <c r="S244" s="452"/>
      <c r="T244" s="452"/>
      <c r="U244" s="452"/>
      <c r="V244" s="452"/>
      <c r="W244" s="452"/>
      <c r="X244" s="452"/>
      <c r="Y244" s="452"/>
      <c r="Z244" s="452"/>
      <c r="AA244" s="452"/>
      <c r="AB244" s="433"/>
    </row>
    <row r="245" spans="1:28" ht="15" customHeight="1" x14ac:dyDescent="0.45">
      <c r="A245" s="441"/>
      <c r="B245" s="441" t="s">
        <v>1425</v>
      </c>
      <c r="C245" s="441" t="s">
        <v>643</v>
      </c>
      <c r="S245" s="452"/>
      <c r="T245" s="452"/>
      <c r="U245" s="452"/>
      <c r="V245" s="452"/>
      <c r="W245" s="452"/>
      <c r="X245" s="452"/>
      <c r="Y245" s="452"/>
      <c r="Z245" s="452"/>
      <c r="AA245" s="452"/>
      <c r="AB245" s="433"/>
    </row>
    <row r="246" spans="1:28" ht="15" customHeight="1" x14ac:dyDescent="0.45">
      <c r="A246" s="441"/>
      <c r="B246" s="441" t="s">
        <v>1426</v>
      </c>
      <c r="C246" s="447" t="s">
        <v>7</v>
      </c>
      <c r="S246" s="452"/>
      <c r="T246" s="452"/>
      <c r="U246" s="452"/>
      <c r="V246" s="452"/>
      <c r="W246" s="452"/>
      <c r="X246" s="452"/>
      <c r="Y246" s="452"/>
      <c r="Z246" s="452"/>
      <c r="AA246" s="452"/>
      <c r="AB246" s="433"/>
    </row>
    <row r="247" spans="1:28" ht="15" customHeight="1" x14ac:dyDescent="0.45">
      <c r="A247" s="441"/>
      <c r="B247" s="441" t="s">
        <v>901</v>
      </c>
      <c r="C247" s="441">
        <v>5</v>
      </c>
      <c r="D247" s="439">
        <v>55</v>
      </c>
      <c r="S247" s="452"/>
      <c r="T247" s="452"/>
      <c r="U247" s="452"/>
      <c r="V247" s="452"/>
      <c r="W247" s="452"/>
      <c r="X247" s="452"/>
      <c r="Y247" s="452"/>
      <c r="Z247" s="452"/>
      <c r="AA247" s="452"/>
      <c r="AB247" s="433"/>
    </row>
    <row r="248" spans="1:28" ht="15" customHeight="1" x14ac:dyDescent="0.45">
      <c r="A248" s="441" t="s">
        <v>1532</v>
      </c>
      <c r="B248" s="441" t="s">
        <v>1427</v>
      </c>
      <c r="C248" s="441" t="s">
        <v>912</v>
      </c>
      <c r="S248" s="452"/>
      <c r="T248" s="452"/>
      <c r="U248" s="452"/>
      <c r="V248" s="452"/>
      <c r="W248" s="452"/>
      <c r="X248" s="452"/>
      <c r="Y248" s="452"/>
      <c r="Z248" s="452"/>
      <c r="AA248" s="452"/>
      <c r="AB248" s="433"/>
    </row>
    <row r="249" spans="1:28" ht="15" customHeight="1" x14ac:dyDescent="0.45">
      <c r="A249" s="441" t="s">
        <v>1533</v>
      </c>
      <c r="B249" s="441" t="s">
        <v>1428</v>
      </c>
      <c r="C249" s="441"/>
      <c r="S249" s="452"/>
      <c r="T249" s="452"/>
      <c r="U249" s="452"/>
      <c r="V249" s="452"/>
      <c r="W249" s="452"/>
      <c r="X249" s="452"/>
      <c r="Y249" s="452"/>
      <c r="Z249" s="452"/>
      <c r="AA249" s="452"/>
      <c r="AB249" s="433"/>
    </row>
    <row r="250" spans="1:28" ht="15" customHeight="1" x14ac:dyDescent="0.45">
      <c r="A250" s="441" t="s">
        <v>1534</v>
      </c>
      <c r="B250" s="441">
        <v>200</v>
      </c>
      <c r="C250" s="441" t="s">
        <v>2034</v>
      </c>
      <c r="D250" s="439" t="s">
        <v>912</v>
      </c>
      <c r="S250" s="452"/>
      <c r="T250" s="452"/>
      <c r="U250" s="452"/>
      <c r="V250" s="452"/>
      <c r="W250" s="452"/>
      <c r="X250" s="452"/>
      <c r="Y250" s="452"/>
      <c r="Z250" s="452"/>
      <c r="AA250" s="452"/>
      <c r="AB250" s="433"/>
    </row>
    <row r="251" spans="1:28" ht="15" customHeight="1" x14ac:dyDescent="0.45">
      <c r="A251" s="441" t="s">
        <v>1535</v>
      </c>
      <c r="B251" s="441">
        <v>400</v>
      </c>
      <c r="C251" s="441" t="s">
        <v>2035</v>
      </c>
      <c r="S251" s="452"/>
      <c r="T251" s="452"/>
      <c r="U251" s="452"/>
      <c r="V251" s="452"/>
      <c r="W251" s="452"/>
      <c r="X251" s="452"/>
      <c r="Y251" s="452"/>
      <c r="Z251" s="452"/>
      <c r="AA251" s="452"/>
      <c r="AB251" s="433"/>
    </row>
    <row r="252" spans="1:28" ht="15" customHeight="1" x14ac:dyDescent="0.45">
      <c r="A252" s="441" t="s">
        <v>1536</v>
      </c>
      <c r="B252" s="441">
        <v>800</v>
      </c>
      <c r="C252" s="447" t="s">
        <v>2035</v>
      </c>
      <c r="D252" s="439" t="s">
        <v>2036</v>
      </c>
      <c r="S252" s="452"/>
      <c r="T252" s="452"/>
      <c r="U252" s="452"/>
      <c r="V252" s="452"/>
      <c r="W252" s="452"/>
      <c r="X252" s="452"/>
      <c r="Y252" s="452"/>
      <c r="Z252" s="452"/>
      <c r="AA252" s="452"/>
      <c r="AB252" s="433"/>
    </row>
    <row r="253" spans="1:28" ht="15" customHeight="1" x14ac:dyDescent="0.45">
      <c r="A253" s="441" t="s">
        <v>1537</v>
      </c>
      <c r="B253" s="441" t="s">
        <v>1429</v>
      </c>
      <c r="C253" s="441"/>
      <c r="S253" s="452"/>
      <c r="T253" s="452"/>
      <c r="U253" s="452"/>
      <c r="V253" s="452"/>
      <c r="W253" s="452"/>
      <c r="X253" s="452"/>
      <c r="Y253" s="452"/>
      <c r="Z253" s="452"/>
      <c r="AA253" s="452"/>
      <c r="AB253" s="433"/>
    </row>
    <row r="254" spans="1:28" ht="15" customHeight="1" x14ac:dyDescent="0.45">
      <c r="A254" s="441" t="s">
        <v>1538</v>
      </c>
      <c r="B254" s="447">
        <v>1500</v>
      </c>
      <c r="C254" s="447" t="s">
        <v>2037</v>
      </c>
      <c r="D254" s="439" t="s">
        <v>2038</v>
      </c>
      <c r="S254" s="452"/>
      <c r="T254" s="452"/>
      <c r="U254" s="452"/>
      <c r="V254" s="452"/>
      <c r="W254" s="452"/>
      <c r="X254" s="452"/>
      <c r="Y254" s="452"/>
      <c r="Z254" s="452"/>
      <c r="AA254" s="452"/>
      <c r="AB254" s="433"/>
    </row>
    <row r="255" spans="1:28" ht="15" customHeight="1" x14ac:dyDescent="0.45">
      <c r="A255" s="441" t="s">
        <v>1539</v>
      </c>
      <c r="B255" s="441" t="s">
        <v>1430</v>
      </c>
      <c r="C255" s="447" t="s">
        <v>912</v>
      </c>
      <c r="S255" s="452"/>
      <c r="T255" s="452"/>
      <c r="U255" s="452"/>
      <c r="V255" s="452"/>
      <c r="W255" s="452"/>
      <c r="X255" s="452"/>
      <c r="Y255" s="452"/>
      <c r="Z255" s="452"/>
      <c r="AA255" s="452"/>
      <c r="AB255" s="433"/>
    </row>
    <row r="256" spans="1:28" ht="15" customHeight="1" x14ac:dyDescent="0.45">
      <c r="A256" s="441" t="s">
        <v>1540</v>
      </c>
      <c r="B256" s="447">
        <v>3000</v>
      </c>
      <c r="C256" s="441"/>
      <c r="S256" s="452"/>
      <c r="T256" s="452"/>
      <c r="U256" s="452"/>
      <c r="V256" s="452"/>
      <c r="W256" s="452"/>
      <c r="X256" s="452"/>
      <c r="Y256" s="452"/>
      <c r="Z256" s="452"/>
      <c r="AA256" s="452"/>
    </row>
    <row r="257" spans="1:27" ht="15" customHeight="1" x14ac:dyDescent="0.45">
      <c r="A257" s="441" t="s">
        <v>1541</v>
      </c>
      <c r="B257" s="441" t="s">
        <v>1431</v>
      </c>
      <c r="C257" s="441"/>
      <c r="S257" s="452"/>
      <c r="T257" s="452"/>
      <c r="U257" s="452"/>
      <c r="V257" s="452"/>
      <c r="W257" s="452"/>
      <c r="X257" s="452"/>
      <c r="Y257" s="452"/>
      <c r="Z257" s="452"/>
      <c r="AA257" s="452"/>
    </row>
    <row r="258" spans="1:27" ht="15" customHeight="1" x14ac:dyDescent="0.45">
      <c r="A258" s="441" t="s">
        <v>1542</v>
      </c>
      <c r="B258" s="441" t="s">
        <v>902</v>
      </c>
      <c r="C258" s="441"/>
      <c r="S258" s="452"/>
      <c r="T258" s="452"/>
      <c r="U258" s="452"/>
      <c r="V258" s="452"/>
      <c r="W258" s="452"/>
      <c r="X258" s="452"/>
      <c r="Y258" s="452"/>
      <c r="Z258" s="452"/>
      <c r="AA258" s="452"/>
    </row>
    <row r="259" spans="1:27" ht="15" customHeight="1" x14ac:dyDescent="0.45">
      <c r="A259" s="441" t="s">
        <v>1543</v>
      </c>
      <c r="B259" s="441" t="s">
        <v>25</v>
      </c>
      <c r="C259" s="441" t="s">
        <v>2039</v>
      </c>
      <c r="D259" s="439" t="s">
        <v>912</v>
      </c>
      <c r="S259" s="452"/>
      <c r="T259" s="452"/>
      <c r="U259" s="452"/>
      <c r="V259" s="452"/>
      <c r="W259" s="452"/>
      <c r="X259" s="452"/>
      <c r="Y259" s="452"/>
      <c r="Z259" s="452"/>
      <c r="AA259" s="452"/>
    </row>
    <row r="260" spans="1:27" ht="15" customHeight="1" x14ac:dyDescent="0.45">
      <c r="A260" s="441" t="s">
        <v>1544</v>
      </c>
      <c r="B260" s="441" t="s">
        <v>21</v>
      </c>
      <c r="C260" s="441" t="s">
        <v>2040</v>
      </c>
      <c r="D260" s="439" t="s">
        <v>2036</v>
      </c>
      <c r="S260" s="452"/>
      <c r="T260" s="452"/>
      <c r="U260" s="452"/>
      <c r="V260" s="452"/>
      <c r="W260" s="452"/>
      <c r="X260" s="452"/>
      <c r="Y260" s="452"/>
      <c r="Z260" s="452"/>
      <c r="AA260" s="452"/>
    </row>
    <row r="261" spans="1:27" ht="15" customHeight="1" x14ac:dyDescent="0.45">
      <c r="A261" s="441" t="s">
        <v>1545</v>
      </c>
      <c r="B261" s="441" t="s">
        <v>28</v>
      </c>
      <c r="C261" s="441" t="s">
        <v>2036</v>
      </c>
      <c r="D261" s="439" t="s">
        <v>912</v>
      </c>
      <c r="S261" s="452"/>
      <c r="T261" s="452"/>
      <c r="U261" s="452"/>
      <c r="V261" s="452"/>
      <c r="W261" s="452"/>
      <c r="X261" s="452"/>
      <c r="Y261" s="452"/>
      <c r="Z261" s="452"/>
      <c r="AA261" s="452"/>
    </row>
    <row r="262" spans="1:27" ht="15" customHeight="1" x14ac:dyDescent="0.45">
      <c r="A262" s="441" t="s">
        <v>1546</v>
      </c>
      <c r="B262" s="441" t="s">
        <v>24</v>
      </c>
      <c r="C262" s="441" t="s">
        <v>2039</v>
      </c>
      <c r="D262" s="439" t="s">
        <v>2037</v>
      </c>
      <c r="S262" s="452"/>
      <c r="T262" s="452"/>
      <c r="U262" s="452"/>
      <c r="V262" s="452"/>
      <c r="W262" s="452"/>
      <c r="X262" s="452"/>
      <c r="Y262" s="452"/>
      <c r="Z262" s="452"/>
      <c r="AA262" s="452"/>
    </row>
    <row r="263" spans="1:27" ht="15" customHeight="1" x14ac:dyDescent="0.45">
      <c r="A263" s="441" t="s">
        <v>1547</v>
      </c>
      <c r="B263" s="441" t="s">
        <v>1432</v>
      </c>
      <c r="C263" s="441" t="s">
        <v>2034</v>
      </c>
      <c r="D263" s="439" t="s">
        <v>2038</v>
      </c>
      <c r="S263" s="452"/>
      <c r="T263" s="452"/>
      <c r="U263" s="452"/>
      <c r="V263" s="452"/>
      <c r="W263" s="452"/>
      <c r="X263" s="452"/>
      <c r="Y263" s="452"/>
      <c r="Z263" s="452"/>
      <c r="AA263" s="452"/>
    </row>
    <row r="264" spans="1:27" ht="15" customHeight="1" x14ac:dyDescent="0.45">
      <c r="A264" s="441" t="s">
        <v>1548</v>
      </c>
      <c r="B264" s="441" t="s">
        <v>1433</v>
      </c>
      <c r="C264" s="441"/>
      <c r="S264" s="452"/>
      <c r="T264" s="452"/>
      <c r="U264" s="452"/>
      <c r="V264" s="452"/>
      <c r="W264" s="452"/>
      <c r="X264" s="452"/>
      <c r="Y264" s="452"/>
      <c r="Z264" s="452"/>
      <c r="AA264" s="452"/>
    </row>
    <row r="265" spans="1:27" ht="15" customHeight="1" x14ac:dyDescent="0.45">
      <c r="A265" s="441" t="s">
        <v>1549</v>
      </c>
      <c r="B265" s="441" t="s">
        <v>1434</v>
      </c>
      <c r="C265" s="441"/>
      <c r="S265" s="452"/>
      <c r="T265" s="452"/>
      <c r="U265" s="452"/>
      <c r="V265" s="452"/>
      <c r="W265" s="452"/>
      <c r="X265" s="452"/>
      <c r="Y265" s="452"/>
      <c r="Z265" s="452"/>
      <c r="AA265" s="452"/>
    </row>
    <row r="266" spans="1:27" ht="15" customHeight="1" x14ac:dyDescent="0.45">
      <c r="A266" s="441" t="s">
        <v>1550</v>
      </c>
      <c r="B266" s="441" t="s">
        <v>1435</v>
      </c>
      <c r="C266" s="441"/>
      <c r="S266" s="452"/>
      <c r="T266" s="452"/>
      <c r="U266" s="452"/>
      <c r="V266" s="452"/>
      <c r="W266" s="452"/>
      <c r="X266" s="452"/>
      <c r="Y266" s="452"/>
      <c r="Z266" s="452"/>
      <c r="AA266" s="452"/>
    </row>
    <row r="267" spans="1:27" ht="15" customHeight="1" x14ac:dyDescent="0.45">
      <c r="A267" s="441" t="s">
        <v>1551</v>
      </c>
      <c r="B267" s="441" t="s">
        <v>1436</v>
      </c>
      <c r="C267" s="441" t="s">
        <v>2037</v>
      </c>
      <c r="D267" s="439" t="s">
        <v>2035</v>
      </c>
      <c r="S267" s="452"/>
      <c r="T267" s="452"/>
      <c r="U267" s="452"/>
      <c r="V267" s="452"/>
      <c r="W267" s="452"/>
      <c r="X267" s="452"/>
      <c r="Y267" s="452"/>
      <c r="Z267" s="452"/>
      <c r="AA267" s="452"/>
    </row>
    <row r="268" spans="1:27" ht="15" customHeight="1" x14ac:dyDescent="0.45">
      <c r="A268" s="441" t="s">
        <v>1552</v>
      </c>
      <c r="B268" s="441" t="s">
        <v>1437</v>
      </c>
      <c r="C268" s="441" t="s">
        <v>2038</v>
      </c>
      <c r="D268" s="439" t="s">
        <v>2036</v>
      </c>
      <c r="S268" s="452"/>
      <c r="T268" s="452"/>
      <c r="U268" s="452"/>
      <c r="V268" s="452"/>
      <c r="W268" s="452"/>
      <c r="X268" s="452"/>
      <c r="Y268" s="452"/>
      <c r="Z268" s="452"/>
      <c r="AA268" s="452"/>
    </row>
    <row r="269" spans="1:27" ht="15" customHeight="1" x14ac:dyDescent="0.45">
      <c r="A269" s="441" t="s">
        <v>1553</v>
      </c>
      <c r="B269" s="441" t="s">
        <v>1438</v>
      </c>
      <c r="C269" s="441"/>
      <c r="S269" s="452"/>
      <c r="T269" s="452"/>
      <c r="U269" s="452"/>
      <c r="V269" s="452"/>
      <c r="W269" s="452"/>
      <c r="X269" s="452"/>
      <c r="Y269" s="452"/>
      <c r="Z269" s="452"/>
      <c r="AA269" s="452"/>
    </row>
    <row r="270" spans="1:27" ht="15" customHeight="1" x14ac:dyDescent="0.45">
      <c r="A270" s="441" t="s">
        <v>1554</v>
      </c>
      <c r="B270" s="441" t="s">
        <v>1439</v>
      </c>
      <c r="C270" s="441"/>
      <c r="S270" s="452"/>
      <c r="T270" s="452"/>
      <c r="U270" s="452"/>
      <c r="V270" s="452"/>
      <c r="W270" s="452"/>
      <c r="X270" s="452"/>
      <c r="Y270" s="452"/>
      <c r="Z270" s="452"/>
      <c r="AA270" s="452"/>
    </row>
    <row r="271" spans="1:27" ht="15" customHeight="1" x14ac:dyDescent="0.45">
      <c r="A271" s="441"/>
      <c r="B271" s="441" t="s">
        <v>1424</v>
      </c>
      <c r="C271" s="447" t="s">
        <v>112</v>
      </c>
      <c r="S271" s="452"/>
      <c r="T271" s="452"/>
      <c r="U271" s="452"/>
      <c r="V271" s="452"/>
      <c r="W271" s="452"/>
      <c r="X271" s="452"/>
      <c r="Y271" s="452"/>
      <c r="Z271" s="452"/>
      <c r="AA271" s="452"/>
    </row>
    <row r="272" spans="1:27" ht="15" customHeight="1" x14ac:dyDescent="0.45">
      <c r="A272" s="441"/>
      <c r="B272" s="441" t="s">
        <v>1425</v>
      </c>
      <c r="C272" s="441" t="s">
        <v>636</v>
      </c>
      <c r="S272" s="452"/>
      <c r="T272" s="452"/>
      <c r="U272" s="452"/>
      <c r="V272" s="452"/>
      <c r="W272" s="452"/>
      <c r="X272" s="452"/>
      <c r="Y272" s="452"/>
      <c r="Z272" s="452"/>
      <c r="AA272" s="452"/>
    </row>
    <row r="273" spans="1:27" ht="15" customHeight="1" x14ac:dyDescent="0.45">
      <c r="A273" s="441"/>
      <c r="B273" s="441" t="s">
        <v>1426</v>
      </c>
      <c r="C273" s="441" t="s">
        <v>9</v>
      </c>
      <c r="S273" s="452"/>
      <c r="T273" s="452"/>
      <c r="U273" s="452"/>
      <c r="V273" s="452"/>
      <c r="W273" s="452"/>
      <c r="X273" s="452"/>
      <c r="Y273" s="452"/>
      <c r="Z273" s="452"/>
      <c r="AA273" s="452"/>
    </row>
    <row r="274" spans="1:27" ht="15" customHeight="1" x14ac:dyDescent="0.45">
      <c r="A274" s="441"/>
      <c r="B274" s="441" t="s">
        <v>901</v>
      </c>
      <c r="C274" s="441">
        <v>3</v>
      </c>
      <c r="D274" s="439">
        <v>33</v>
      </c>
      <c r="S274" s="452"/>
      <c r="T274" s="452"/>
      <c r="U274" s="452"/>
      <c r="V274" s="452"/>
      <c r="W274" s="452"/>
      <c r="X274" s="452"/>
      <c r="Y274" s="452"/>
      <c r="Z274" s="452"/>
      <c r="AA274" s="452"/>
    </row>
    <row r="275" spans="1:27" ht="15" customHeight="1" x14ac:dyDescent="0.45">
      <c r="A275" s="441" t="s">
        <v>1624</v>
      </c>
      <c r="B275" s="441" t="s">
        <v>1427</v>
      </c>
      <c r="C275" s="441" t="s">
        <v>2041</v>
      </c>
      <c r="D275" s="439" t="s">
        <v>2042</v>
      </c>
      <c r="S275" s="452"/>
      <c r="T275" s="452"/>
      <c r="U275" s="452"/>
      <c r="V275" s="452"/>
      <c r="W275" s="452"/>
      <c r="X275" s="452"/>
      <c r="Y275" s="452"/>
      <c r="Z275" s="452"/>
      <c r="AA275" s="452"/>
    </row>
    <row r="276" spans="1:27" ht="15" customHeight="1" x14ac:dyDescent="0.45">
      <c r="A276" s="441" t="s">
        <v>1625</v>
      </c>
      <c r="B276" s="441" t="s">
        <v>1428</v>
      </c>
      <c r="C276" s="441" t="s">
        <v>2043</v>
      </c>
      <c r="D276" s="439" t="s">
        <v>912</v>
      </c>
      <c r="S276" s="452"/>
      <c r="T276" s="452"/>
      <c r="U276" s="452"/>
      <c r="V276" s="452"/>
      <c r="W276" s="452"/>
      <c r="X276" s="452"/>
      <c r="Y276" s="452"/>
      <c r="Z276" s="452"/>
      <c r="AA276" s="452"/>
    </row>
    <row r="277" spans="1:27" ht="15" customHeight="1" x14ac:dyDescent="0.45">
      <c r="A277" s="441" t="s">
        <v>1626</v>
      </c>
      <c r="B277" s="441">
        <v>200</v>
      </c>
      <c r="C277" s="441" t="s">
        <v>2044</v>
      </c>
      <c r="D277" s="439" t="s">
        <v>2042</v>
      </c>
      <c r="S277" s="452"/>
      <c r="T277" s="452"/>
      <c r="U277" s="452"/>
      <c r="V277" s="452"/>
      <c r="W277" s="452"/>
      <c r="X277" s="452"/>
      <c r="Y277" s="452"/>
      <c r="Z277" s="452"/>
      <c r="AA277" s="452"/>
    </row>
    <row r="278" spans="1:27" ht="15" customHeight="1" x14ac:dyDescent="0.45">
      <c r="A278" s="441" t="s">
        <v>1627</v>
      </c>
      <c r="B278" s="441">
        <v>400</v>
      </c>
      <c r="C278" s="441" t="s">
        <v>2045</v>
      </c>
      <c r="D278" s="439" t="s">
        <v>2051</v>
      </c>
      <c r="S278" s="452"/>
      <c r="T278" s="452"/>
      <c r="U278" s="452"/>
      <c r="V278" s="452"/>
      <c r="W278" s="452"/>
      <c r="X278" s="452"/>
      <c r="Y278" s="452"/>
      <c r="Z278" s="452"/>
      <c r="AA278" s="452"/>
    </row>
    <row r="279" spans="1:27" ht="15" customHeight="1" x14ac:dyDescent="0.45">
      <c r="A279" s="441" t="s">
        <v>1628</v>
      </c>
      <c r="B279" s="441">
        <v>800</v>
      </c>
      <c r="C279" s="441" t="s">
        <v>2044</v>
      </c>
      <c r="D279" s="439" t="s">
        <v>2047</v>
      </c>
      <c r="S279" s="452"/>
      <c r="T279" s="452"/>
      <c r="U279" s="452"/>
      <c r="V279" s="452"/>
      <c r="W279" s="452"/>
      <c r="X279" s="452"/>
      <c r="Y279" s="452"/>
      <c r="Z279" s="452"/>
      <c r="AA279" s="452"/>
    </row>
    <row r="280" spans="1:27" ht="15" customHeight="1" x14ac:dyDescent="0.45">
      <c r="A280" s="441" t="s">
        <v>1629</v>
      </c>
      <c r="B280" s="441" t="s">
        <v>1429</v>
      </c>
      <c r="C280" s="441" t="s">
        <v>912</v>
      </c>
      <c r="D280" s="439" t="s">
        <v>912</v>
      </c>
      <c r="S280" s="452"/>
      <c r="T280" s="452"/>
      <c r="U280" s="452"/>
      <c r="V280" s="452"/>
      <c r="W280" s="452"/>
      <c r="X280" s="452"/>
      <c r="Y280" s="452"/>
      <c r="Z280" s="452"/>
      <c r="AA280" s="452"/>
    </row>
    <row r="281" spans="1:27" ht="15" customHeight="1" x14ac:dyDescent="0.45">
      <c r="A281" s="441" t="s">
        <v>1630</v>
      </c>
      <c r="B281" s="441">
        <v>1500</v>
      </c>
      <c r="C281" s="441" t="s">
        <v>2045</v>
      </c>
      <c r="D281" s="439" t="s">
        <v>2048</v>
      </c>
      <c r="S281" s="452"/>
      <c r="T281" s="452"/>
      <c r="U281" s="452"/>
      <c r="V281" s="452"/>
      <c r="W281" s="452"/>
      <c r="X281" s="452"/>
      <c r="Y281" s="452"/>
      <c r="Z281" s="452"/>
      <c r="AA281" s="452"/>
    </row>
    <row r="282" spans="1:27" ht="15" customHeight="1" x14ac:dyDescent="0.45">
      <c r="A282" s="441" t="s">
        <v>1631</v>
      </c>
      <c r="B282" s="441" t="s">
        <v>1430</v>
      </c>
      <c r="C282" s="441" t="s">
        <v>2048</v>
      </c>
      <c r="D282" s="439" t="s">
        <v>2049</v>
      </c>
      <c r="S282" s="452"/>
      <c r="T282" s="452"/>
      <c r="U282" s="452"/>
      <c r="V282" s="452"/>
      <c r="W282" s="452"/>
      <c r="X282" s="452"/>
      <c r="Y282" s="452"/>
      <c r="Z282" s="452"/>
      <c r="AA282" s="452"/>
    </row>
    <row r="283" spans="1:27" ht="15" customHeight="1" x14ac:dyDescent="0.45">
      <c r="A283" s="441" t="s">
        <v>1632</v>
      </c>
      <c r="B283" s="441">
        <v>3000</v>
      </c>
      <c r="C283" s="441"/>
      <c r="S283" s="452"/>
      <c r="T283" s="452"/>
      <c r="U283" s="452"/>
      <c r="V283" s="452"/>
      <c r="W283" s="452"/>
      <c r="X283" s="452"/>
      <c r="Y283" s="452"/>
      <c r="Z283" s="452"/>
      <c r="AA283" s="452"/>
    </row>
    <row r="284" spans="1:27" ht="15" customHeight="1" x14ac:dyDescent="0.45">
      <c r="A284" s="441" t="s">
        <v>1633</v>
      </c>
      <c r="B284" s="441" t="s">
        <v>1431</v>
      </c>
      <c r="C284" s="447"/>
      <c r="S284" s="452"/>
      <c r="T284" s="452"/>
      <c r="U284" s="452"/>
      <c r="V284" s="452"/>
      <c r="W284" s="452"/>
      <c r="X284" s="452"/>
      <c r="Y284" s="452"/>
      <c r="Z284" s="452"/>
      <c r="AA284" s="452"/>
    </row>
    <row r="285" spans="1:27" ht="15" customHeight="1" x14ac:dyDescent="0.45">
      <c r="A285" s="441" t="s">
        <v>1634</v>
      </c>
      <c r="B285" s="441" t="s">
        <v>902</v>
      </c>
      <c r="C285" s="447"/>
      <c r="S285" s="452"/>
      <c r="T285" s="452"/>
      <c r="U285" s="452"/>
      <c r="V285" s="452"/>
      <c r="W285" s="452"/>
      <c r="X285" s="452"/>
      <c r="Y285" s="452"/>
      <c r="Z285" s="452"/>
      <c r="AA285" s="452"/>
    </row>
    <row r="286" spans="1:27" ht="15" customHeight="1" x14ac:dyDescent="0.45">
      <c r="A286" s="441" t="s">
        <v>1635</v>
      </c>
      <c r="B286" s="441" t="s">
        <v>25</v>
      </c>
      <c r="C286" s="441" t="s">
        <v>2050</v>
      </c>
      <c r="D286" s="439" t="s">
        <v>2051</v>
      </c>
      <c r="S286" s="452"/>
      <c r="T286" s="452"/>
      <c r="U286" s="452"/>
      <c r="V286" s="452"/>
      <c r="W286" s="452"/>
      <c r="X286" s="452"/>
      <c r="Y286" s="452"/>
      <c r="Z286" s="452"/>
      <c r="AA286" s="452"/>
    </row>
    <row r="287" spans="1:27" ht="15" customHeight="1" x14ac:dyDescent="0.45">
      <c r="A287" s="441" t="s">
        <v>1636</v>
      </c>
      <c r="B287" s="441" t="s">
        <v>21</v>
      </c>
      <c r="C287" s="441" t="s">
        <v>2041</v>
      </c>
      <c r="D287" s="439" t="s">
        <v>2052</v>
      </c>
      <c r="S287" s="452"/>
      <c r="T287" s="452"/>
      <c r="U287" s="452"/>
      <c r="V287" s="452"/>
      <c r="W287" s="452"/>
      <c r="X287" s="452"/>
      <c r="Y287" s="452"/>
      <c r="Z287" s="452"/>
      <c r="AA287" s="452"/>
    </row>
    <row r="288" spans="1:27" ht="15" customHeight="1" x14ac:dyDescent="0.45">
      <c r="A288" s="441" t="s">
        <v>1637</v>
      </c>
      <c r="B288" s="441" t="s">
        <v>28</v>
      </c>
      <c r="C288" s="441" t="s">
        <v>2050</v>
      </c>
      <c r="D288" s="439" t="s">
        <v>2051</v>
      </c>
      <c r="S288" s="452"/>
      <c r="T288" s="452"/>
      <c r="U288" s="452"/>
      <c r="V288" s="452"/>
      <c r="W288" s="452"/>
      <c r="X288" s="452"/>
      <c r="Y288" s="452"/>
      <c r="Z288" s="452"/>
      <c r="AA288" s="452"/>
    </row>
    <row r="289" spans="1:27" ht="15" customHeight="1" x14ac:dyDescent="0.45">
      <c r="A289" s="441" t="s">
        <v>1638</v>
      </c>
      <c r="B289" s="441" t="s">
        <v>24</v>
      </c>
      <c r="C289" s="441" t="s">
        <v>2041</v>
      </c>
      <c r="D289" s="439" t="s">
        <v>2052</v>
      </c>
      <c r="S289" s="452"/>
      <c r="T289" s="452"/>
      <c r="U289" s="452"/>
      <c r="V289" s="452"/>
      <c r="W289" s="452"/>
      <c r="X289" s="452"/>
      <c r="Y289" s="452"/>
      <c r="Z289" s="452"/>
      <c r="AA289" s="452"/>
    </row>
    <row r="290" spans="1:27" ht="15" customHeight="1" x14ac:dyDescent="0.45">
      <c r="A290" s="441" t="s">
        <v>1639</v>
      </c>
      <c r="B290" s="441" t="s">
        <v>1432</v>
      </c>
      <c r="C290" s="441" t="s">
        <v>2043</v>
      </c>
      <c r="D290" s="439" t="s">
        <v>2049</v>
      </c>
      <c r="S290" s="452"/>
      <c r="T290" s="452"/>
      <c r="U290" s="452"/>
      <c r="V290" s="452"/>
      <c r="W290" s="452"/>
      <c r="X290" s="452"/>
      <c r="Y290" s="452"/>
      <c r="Z290" s="452"/>
      <c r="AA290" s="452"/>
    </row>
    <row r="291" spans="1:27" ht="15" customHeight="1" x14ac:dyDescent="0.45">
      <c r="A291" s="441" t="s">
        <v>1640</v>
      </c>
      <c r="B291" s="441" t="s">
        <v>1433</v>
      </c>
      <c r="C291" s="441"/>
      <c r="S291" s="452"/>
      <c r="T291" s="452"/>
      <c r="U291" s="452"/>
      <c r="V291" s="452"/>
      <c r="W291" s="452"/>
      <c r="X291" s="452"/>
      <c r="Y291" s="452"/>
      <c r="Z291" s="452"/>
      <c r="AA291" s="452"/>
    </row>
    <row r="292" spans="1:27" ht="15" customHeight="1" x14ac:dyDescent="0.45">
      <c r="A292" s="441" t="s">
        <v>1641</v>
      </c>
      <c r="B292" s="441" t="s">
        <v>1434</v>
      </c>
      <c r="C292" s="441" t="s">
        <v>2048</v>
      </c>
      <c r="D292" s="439" t="s">
        <v>912</v>
      </c>
      <c r="S292" s="452"/>
      <c r="T292" s="452"/>
      <c r="U292" s="452"/>
      <c r="V292" s="452"/>
      <c r="W292" s="452"/>
      <c r="X292" s="452"/>
      <c r="Y292" s="452"/>
      <c r="Z292" s="452"/>
      <c r="AA292" s="452"/>
    </row>
    <row r="293" spans="1:27" ht="15" customHeight="1" x14ac:dyDescent="0.45">
      <c r="A293" s="441" t="s">
        <v>1642</v>
      </c>
      <c r="B293" s="441" t="s">
        <v>1435</v>
      </c>
      <c r="C293" s="441" t="s">
        <v>2046</v>
      </c>
      <c r="D293" s="439" t="s">
        <v>912</v>
      </c>
      <c r="S293" s="452"/>
      <c r="T293" s="452"/>
      <c r="U293" s="452"/>
      <c r="V293" s="452"/>
      <c r="W293" s="452"/>
      <c r="X293" s="452"/>
      <c r="Y293" s="452"/>
      <c r="Z293" s="452"/>
      <c r="AA293" s="452"/>
    </row>
    <row r="294" spans="1:27" ht="15" customHeight="1" x14ac:dyDescent="0.45">
      <c r="A294" s="441" t="s">
        <v>1643</v>
      </c>
      <c r="B294" s="441" t="s">
        <v>1436</v>
      </c>
      <c r="C294" s="447" t="s">
        <v>2049</v>
      </c>
      <c r="D294" s="439" t="s">
        <v>2044</v>
      </c>
      <c r="S294" s="452"/>
      <c r="T294" s="452"/>
      <c r="U294" s="452"/>
      <c r="V294" s="452"/>
      <c r="W294" s="452"/>
      <c r="X294" s="452"/>
      <c r="Y294" s="452"/>
      <c r="Z294" s="452"/>
      <c r="AA294" s="452"/>
    </row>
    <row r="295" spans="1:27" ht="15" customHeight="1" x14ac:dyDescent="0.45">
      <c r="A295" s="441" t="s">
        <v>1644</v>
      </c>
      <c r="B295" s="441" t="s">
        <v>1437</v>
      </c>
      <c r="C295" s="441" t="s">
        <v>2042</v>
      </c>
      <c r="D295" s="439" t="s">
        <v>2041</v>
      </c>
      <c r="S295" s="452"/>
      <c r="T295" s="452"/>
      <c r="U295" s="452"/>
      <c r="V295" s="452"/>
      <c r="W295" s="452"/>
      <c r="X295" s="452"/>
      <c r="Y295" s="452"/>
      <c r="Z295" s="452"/>
      <c r="AA295" s="452"/>
    </row>
    <row r="296" spans="1:27" ht="15" customHeight="1" x14ac:dyDescent="0.45">
      <c r="A296" s="441" t="s">
        <v>1645</v>
      </c>
      <c r="B296" s="441" t="s">
        <v>1438</v>
      </c>
      <c r="C296" s="447" t="s">
        <v>2048</v>
      </c>
      <c r="D296" s="439" t="s">
        <v>2045</v>
      </c>
      <c r="S296" s="452"/>
      <c r="T296" s="452"/>
      <c r="U296" s="452"/>
      <c r="V296" s="452"/>
      <c r="W296" s="452"/>
      <c r="X296" s="452"/>
      <c r="Y296" s="452"/>
      <c r="Z296" s="452"/>
      <c r="AA296" s="452"/>
    </row>
    <row r="297" spans="1:27" ht="15" customHeight="1" x14ac:dyDescent="0.45">
      <c r="A297" s="441" t="s">
        <v>1646</v>
      </c>
      <c r="B297" s="441" t="s">
        <v>1439</v>
      </c>
      <c r="C297" s="441" t="s">
        <v>2047</v>
      </c>
      <c r="D297" s="439" t="s">
        <v>2051</v>
      </c>
      <c r="S297" s="452"/>
      <c r="T297" s="452"/>
      <c r="U297" s="452"/>
      <c r="V297" s="452"/>
      <c r="W297" s="452"/>
      <c r="X297" s="452"/>
      <c r="Y297" s="452"/>
      <c r="Z297" s="452"/>
      <c r="AA297" s="452"/>
    </row>
    <row r="298" spans="1:27" ht="15" customHeight="1" x14ac:dyDescent="0.45">
      <c r="A298" s="441"/>
      <c r="B298" s="441" t="s">
        <v>1424</v>
      </c>
      <c r="C298" s="441" t="s">
        <v>100</v>
      </c>
      <c r="S298" s="452"/>
      <c r="T298" s="452"/>
      <c r="U298" s="452"/>
      <c r="V298" s="452"/>
      <c r="W298" s="452"/>
      <c r="X298" s="452"/>
      <c r="Y298" s="452"/>
      <c r="Z298" s="452"/>
      <c r="AA298" s="452"/>
    </row>
    <row r="299" spans="1:27" ht="15" customHeight="1" x14ac:dyDescent="0.45">
      <c r="A299" s="441"/>
      <c r="B299" s="441" t="s">
        <v>1425</v>
      </c>
      <c r="C299" s="441" t="s">
        <v>793</v>
      </c>
      <c r="S299" s="452"/>
      <c r="T299" s="452"/>
      <c r="U299" s="452"/>
      <c r="V299" s="452"/>
      <c r="W299" s="452"/>
      <c r="X299" s="452"/>
      <c r="Y299" s="452"/>
      <c r="Z299" s="452"/>
      <c r="AA299" s="452"/>
    </row>
    <row r="300" spans="1:27" ht="15" customHeight="1" x14ac:dyDescent="0.45">
      <c r="A300" s="441"/>
      <c r="B300" s="441" t="s">
        <v>1426</v>
      </c>
      <c r="C300" s="441" t="s">
        <v>9</v>
      </c>
      <c r="S300" s="452"/>
      <c r="T300" s="452"/>
      <c r="U300" s="452"/>
      <c r="V300" s="452"/>
      <c r="W300" s="452"/>
      <c r="X300" s="452"/>
      <c r="Y300" s="452"/>
      <c r="Z300" s="452"/>
      <c r="AA300" s="452"/>
    </row>
    <row r="301" spans="1:27" ht="15" customHeight="1" x14ac:dyDescent="0.45">
      <c r="A301" s="441"/>
      <c r="B301" s="441" t="s">
        <v>901</v>
      </c>
      <c r="C301" s="441">
        <v>2</v>
      </c>
      <c r="D301" s="439">
        <v>22</v>
      </c>
      <c r="S301" s="452"/>
      <c r="T301" s="452"/>
      <c r="U301" s="452"/>
      <c r="V301" s="452"/>
      <c r="W301" s="452"/>
      <c r="X301" s="452"/>
      <c r="Y301" s="452"/>
      <c r="Z301" s="452"/>
      <c r="AA301" s="452"/>
    </row>
    <row r="302" spans="1:27" ht="15" customHeight="1" x14ac:dyDescent="0.45">
      <c r="A302" s="441" t="s">
        <v>1578</v>
      </c>
      <c r="B302" s="441" t="s">
        <v>1427</v>
      </c>
      <c r="C302" s="441" t="s">
        <v>2054</v>
      </c>
      <c r="D302" s="439" t="s">
        <v>912</v>
      </c>
      <c r="S302" s="452"/>
      <c r="T302" s="452"/>
      <c r="U302" s="452"/>
      <c r="V302" s="452"/>
      <c r="W302" s="452"/>
      <c r="X302" s="452"/>
      <c r="Y302" s="452"/>
      <c r="Z302" s="452"/>
      <c r="AA302" s="452"/>
    </row>
    <row r="303" spans="1:27" ht="15" customHeight="1" x14ac:dyDescent="0.45">
      <c r="A303" s="441" t="s">
        <v>1579</v>
      </c>
      <c r="B303" s="441" t="s">
        <v>1428</v>
      </c>
      <c r="C303" s="441"/>
      <c r="S303" s="452"/>
      <c r="T303" s="452"/>
      <c r="U303" s="452"/>
      <c r="V303" s="452"/>
      <c r="W303" s="452"/>
      <c r="X303" s="452"/>
      <c r="Y303" s="452"/>
      <c r="Z303" s="452"/>
      <c r="AA303" s="452"/>
    </row>
    <row r="304" spans="1:27" ht="15" customHeight="1" x14ac:dyDescent="0.45">
      <c r="A304" s="441" t="s">
        <v>1580</v>
      </c>
      <c r="B304" s="447">
        <v>200</v>
      </c>
      <c r="C304" s="447" t="s">
        <v>2053</v>
      </c>
      <c r="D304" s="439" t="s">
        <v>2055</v>
      </c>
      <c r="S304" s="452"/>
      <c r="T304" s="452"/>
      <c r="U304" s="452"/>
      <c r="V304" s="452"/>
      <c r="W304" s="452"/>
      <c r="X304" s="452"/>
      <c r="Y304" s="452"/>
      <c r="Z304" s="452"/>
      <c r="AA304" s="452"/>
    </row>
    <row r="305" spans="1:27" ht="15" customHeight="1" x14ac:dyDescent="0.45">
      <c r="A305" s="441" t="s">
        <v>1581</v>
      </c>
      <c r="B305" s="441">
        <v>400</v>
      </c>
      <c r="C305" s="441" t="s">
        <v>2056</v>
      </c>
      <c r="D305" s="439" t="s">
        <v>912</v>
      </c>
      <c r="S305" s="452"/>
      <c r="T305" s="452"/>
      <c r="U305" s="452"/>
      <c r="V305" s="452"/>
      <c r="W305" s="452"/>
      <c r="X305" s="452"/>
      <c r="Y305" s="452"/>
      <c r="Z305" s="452"/>
      <c r="AA305" s="452"/>
    </row>
    <row r="306" spans="1:27" ht="15" customHeight="1" x14ac:dyDescent="0.45">
      <c r="A306" s="441" t="s">
        <v>1582</v>
      </c>
      <c r="B306" s="441">
        <v>800</v>
      </c>
      <c r="C306" s="441" t="s">
        <v>2057</v>
      </c>
      <c r="D306" s="439" t="s">
        <v>2056</v>
      </c>
      <c r="S306" s="452"/>
      <c r="T306" s="452"/>
      <c r="U306" s="452"/>
      <c r="V306" s="452"/>
      <c r="W306" s="452"/>
      <c r="X306" s="452"/>
      <c r="Y306" s="452"/>
      <c r="Z306" s="452"/>
      <c r="AA306" s="452"/>
    </row>
    <row r="307" spans="1:27" ht="15" customHeight="1" x14ac:dyDescent="0.45">
      <c r="A307" s="441" t="s">
        <v>1583</v>
      </c>
      <c r="B307" s="447" t="s">
        <v>1429</v>
      </c>
      <c r="C307" s="447"/>
      <c r="S307" s="452"/>
      <c r="T307" s="452"/>
      <c r="U307" s="452"/>
      <c r="V307" s="452"/>
      <c r="W307" s="452"/>
      <c r="X307" s="452"/>
      <c r="Y307" s="452"/>
      <c r="Z307" s="452"/>
      <c r="AA307" s="452"/>
    </row>
    <row r="308" spans="1:27" ht="15" customHeight="1" x14ac:dyDescent="0.45">
      <c r="A308" s="441" t="s">
        <v>1584</v>
      </c>
      <c r="B308" s="441">
        <v>1500</v>
      </c>
      <c r="C308" s="447" t="s">
        <v>2058</v>
      </c>
      <c r="S308" s="452"/>
      <c r="T308" s="452"/>
      <c r="U308" s="452"/>
      <c r="V308" s="452"/>
      <c r="W308" s="452"/>
      <c r="X308" s="452"/>
      <c r="Y308" s="452"/>
      <c r="Z308" s="452"/>
      <c r="AA308" s="452"/>
    </row>
    <row r="309" spans="1:27" ht="15" customHeight="1" x14ac:dyDescent="0.45">
      <c r="A309" s="441" t="s">
        <v>1585</v>
      </c>
      <c r="B309" s="441" t="s">
        <v>1430</v>
      </c>
      <c r="C309" s="447" t="s">
        <v>2055</v>
      </c>
      <c r="D309" s="439" t="s">
        <v>2057</v>
      </c>
      <c r="S309" s="452"/>
      <c r="T309" s="452"/>
      <c r="U309" s="452"/>
      <c r="V309" s="452"/>
      <c r="W309" s="452"/>
      <c r="X309" s="452"/>
      <c r="Y309" s="452"/>
      <c r="Z309" s="452"/>
      <c r="AA309" s="452"/>
    </row>
    <row r="310" spans="1:27" ht="15" customHeight="1" x14ac:dyDescent="0.45">
      <c r="A310" s="441" t="s">
        <v>1586</v>
      </c>
      <c r="B310" s="447">
        <v>3000</v>
      </c>
      <c r="C310" s="447"/>
      <c r="S310" s="452"/>
      <c r="T310" s="452"/>
      <c r="U310" s="452"/>
      <c r="V310" s="452"/>
      <c r="W310" s="452"/>
      <c r="X310" s="452"/>
      <c r="Y310" s="452"/>
      <c r="Z310" s="452"/>
      <c r="AA310" s="452"/>
    </row>
    <row r="311" spans="1:27" ht="15" customHeight="1" x14ac:dyDescent="0.45">
      <c r="A311" s="441" t="s">
        <v>1587</v>
      </c>
      <c r="B311" s="441" t="s">
        <v>1431</v>
      </c>
      <c r="C311" s="441"/>
      <c r="S311" s="452"/>
      <c r="T311" s="452"/>
      <c r="U311" s="452"/>
      <c r="V311" s="452"/>
      <c r="W311" s="452"/>
      <c r="X311" s="452"/>
      <c r="Y311" s="452"/>
      <c r="Z311" s="452"/>
      <c r="AA311" s="452"/>
    </row>
    <row r="312" spans="1:27" ht="15" customHeight="1" x14ac:dyDescent="0.45">
      <c r="A312" s="441" t="s">
        <v>1588</v>
      </c>
      <c r="B312" s="441" t="s">
        <v>902</v>
      </c>
      <c r="C312" s="441"/>
      <c r="S312" s="452"/>
      <c r="T312" s="452"/>
      <c r="U312" s="452"/>
      <c r="V312" s="452"/>
      <c r="W312" s="452"/>
      <c r="X312" s="452"/>
      <c r="Y312" s="452"/>
      <c r="Z312" s="452"/>
      <c r="AA312" s="452"/>
    </row>
    <row r="313" spans="1:27" ht="15" customHeight="1" x14ac:dyDescent="0.45">
      <c r="A313" s="441" t="s">
        <v>1589</v>
      </c>
      <c r="B313" s="441" t="s">
        <v>25</v>
      </c>
      <c r="C313" s="441" t="s">
        <v>2054</v>
      </c>
      <c r="D313" s="439" t="s">
        <v>2056</v>
      </c>
      <c r="S313" s="452"/>
      <c r="T313" s="452"/>
      <c r="U313" s="452"/>
      <c r="V313" s="452"/>
      <c r="W313" s="452"/>
      <c r="X313" s="452"/>
      <c r="Y313" s="452"/>
      <c r="Z313" s="452"/>
      <c r="AA313" s="452"/>
    </row>
    <row r="314" spans="1:27" ht="15" customHeight="1" x14ac:dyDescent="0.45">
      <c r="A314" s="441" t="s">
        <v>1590</v>
      </c>
      <c r="B314" s="447" t="s">
        <v>21</v>
      </c>
      <c r="C314" s="447"/>
      <c r="S314" s="452"/>
      <c r="T314" s="452"/>
      <c r="U314" s="452"/>
      <c r="V314" s="452"/>
      <c r="W314" s="452"/>
      <c r="X314" s="452"/>
      <c r="Y314" s="452"/>
      <c r="Z314" s="452"/>
      <c r="AA314" s="452"/>
    </row>
    <row r="315" spans="1:27" ht="15" customHeight="1" x14ac:dyDescent="0.45">
      <c r="A315" s="441" t="s">
        <v>1591</v>
      </c>
      <c r="B315" s="447" t="s">
        <v>28</v>
      </c>
      <c r="C315" s="441" t="s">
        <v>2058</v>
      </c>
      <c r="D315" s="439" t="s">
        <v>2054</v>
      </c>
      <c r="S315" s="452"/>
      <c r="T315" s="452"/>
      <c r="U315" s="452"/>
      <c r="V315" s="452"/>
      <c r="W315" s="452"/>
      <c r="X315" s="452"/>
      <c r="Y315" s="452"/>
      <c r="Z315" s="452"/>
      <c r="AA315" s="452"/>
    </row>
    <row r="316" spans="1:27" ht="15" customHeight="1" x14ac:dyDescent="0.45">
      <c r="A316" s="441" t="s">
        <v>1592</v>
      </c>
      <c r="B316" s="447" t="s">
        <v>24</v>
      </c>
      <c r="C316" s="447" t="s">
        <v>2059</v>
      </c>
      <c r="S316" s="452"/>
      <c r="T316" s="452"/>
      <c r="U316" s="452"/>
      <c r="V316" s="452"/>
      <c r="W316" s="452"/>
      <c r="X316" s="452"/>
      <c r="Y316" s="452"/>
      <c r="Z316" s="452"/>
      <c r="AA316" s="452"/>
    </row>
    <row r="317" spans="1:27" ht="15" customHeight="1" x14ac:dyDescent="0.45">
      <c r="A317" s="441" t="s">
        <v>1593</v>
      </c>
      <c r="B317" s="447" t="s">
        <v>1432</v>
      </c>
      <c r="C317" s="447" t="s">
        <v>2055</v>
      </c>
      <c r="D317" s="439" t="s">
        <v>2057</v>
      </c>
      <c r="S317" s="452"/>
      <c r="T317" s="452"/>
      <c r="U317" s="452"/>
      <c r="V317" s="452"/>
      <c r="W317" s="452"/>
      <c r="X317" s="452"/>
      <c r="Y317" s="452"/>
      <c r="Z317" s="452"/>
      <c r="AA317" s="452"/>
    </row>
    <row r="318" spans="1:27" ht="15" customHeight="1" x14ac:dyDescent="0.45">
      <c r="A318" s="441" t="s">
        <v>1594</v>
      </c>
      <c r="B318" s="441" t="s">
        <v>1433</v>
      </c>
      <c r="C318" s="441"/>
      <c r="S318" s="452"/>
      <c r="T318" s="452"/>
      <c r="U318" s="452"/>
      <c r="V318" s="452"/>
      <c r="W318" s="452"/>
      <c r="X318" s="452"/>
      <c r="Y318" s="452"/>
      <c r="Z318" s="452"/>
      <c r="AA318" s="452"/>
    </row>
    <row r="319" spans="1:27" ht="15" customHeight="1" x14ac:dyDescent="0.45">
      <c r="A319" s="441" t="s">
        <v>1595</v>
      </c>
      <c r="B319" s="441" t="s">
        <v>1434</v>
      </c>
      <c r="C319" s="441" t="s">
        <v>2059</v>
      </c>
      <c r="S319" s="452"/>
      <c r="T319" s="452"/>
      <c r="U319" s="452"/>
      <c r="V319" s="452"/>
      <c r="W319" s="452"/>
      <c r="X319" s="452"/>
      <c r="Y319" s="452"/>
      <c r="Z319" s="452"/>
      <c r="AA319" s="452"/>
    </row>
    <row r="320" spans="1:27" ht="15" customHeight="1" x14ac:dyDescent="0.45">
      <c r="A320" s="441" t="s">
        <v>1596</v>
      </c>
      <c r="B320" s="447" t="s">
        <v>1435</v>
      </c>
      <c r="C320" s="447" t="s">
        <v>2059</v>
      </c>
      <c r="S320" s="452"/>
      <c r="T320" s="452"/>
      <c r="U320" s="452"/>
      <c r="V320" s="452"/>
      <c r="W320" s="452"/>
      <c r="X320" s="452"/>
      <c r="Y320" s="452"/>
      <c r="Z320" s="452"/>
      <c r="AA320" s="452"/>
    </row>
    <row r="321" spans="1:27" ht="15" customHeight="1" x14ac:dyDescent="0.45">
      <c r="A321" s="441" t="s">
        <v>1597</v>
      </c>
      <c r="B321" s="447" t="s">
        <v>1436</v>
      </c>
      <c r="C321" s="447" t="s">
        <v>2055</v>
      </c>
      <c r="D321" s="439" t="s">
        <v>2056</v>
      </c>
      <c r="S321" s="452"/>
      <c r="T321" s="452"/>
      <c r="U321" s="452"/>
      <c r="V321" s="452"/>
      <c r="W321" s="452"/>
      <c r="X321" s="452"/>
      <c r="Y321" s="452"/>
      <c r="Z321" s="452"/>
      <c r="AA321" s="452"/>
    </row>
    <row r="322" spans="1:27" ht="15" customHeight="1" x14ac:dyDescent="0.45">
      <c r="A322" s="441" t="s">
        <v>1598</v>
      </c>
      <c r="B322" s="441" t="s">
        <v>1437</v>
      </c>
      <c r="C322" s="441" t="s">
        <v>2054</v>
      </c>
      <c r="D322" s="439" t="s">
        <v>2053</v>
      </c>
      <c r="S322" s="452"/>
      <c r="T322" s="452"/>
      <c r="U322" s="452"/>
      <c r="V322" s="452"/>
      <c r="W322" s="452"/>
      <c r="X322" s="452"/>
      <c r="Y322" s="452"/>
      <c r="Z322" s="452"/>
      <c r="AA322" s="452"/>
    </row>
    <row r="323" spans="1:27" ht="15" customHeight="1" x14ac:dyDescent="0.45">
      <c r="A323" s="441" t="s">
        <v>1599</v>
      </c>
      <c r="B323" s="441" t="s">
        <v>1438</v>
      </c>
      <c r="C323" s="441"/>
      <c r="S323" s="452"/>
      <c r="T323" s="452"/>
      <c r="U323" s="452"/>
      <c r="V323" s="452"/>
      <c r="W323" s="452"/>
      <c r="X323" s="452"/>
      <c r="Y323" s="452"/>
      <c r="Z323" s="452"/>
      <c r="AA323" s="452"/>
    </row>
    <row r="324" spans="1:27" ht="15" customHeight="1" x14ac:dyDescent="0.45">
      <c r="A324" s="441" t="s">
        <v>1600</v>
      </c>
      <c r="B324" s="441" t="s">
        <v>1439</v>
      </c>
      <c r="C324" s="441"/>
      <c r="S324" s="452"/>
      <c r="T324" s="452"/>
      <c r="U324" s="452"/>
      <c r="V324" s="452"/>
      <c r="W324" s="452"/>
      <c r="X324" s="452"/>
      <c r="Y324" s="452"/>
      <c r="Z324" s="452"/>
      <c r="AA324" s="452"/>
    </row>
    <row r="325" spans="1:27" ht="15" customHeight="1" x14ac:dyDescent="0.45">
      <c r="A325" s="441"/>
      <c r="B325" s="441" t="s">
        <v>1424</v>
      </c>
      <c r="C325" s="441" t="s">
        <v>98</v>
      </c>
      <c r="S325" s="452"/>
      <c r="T325" s="452"/>
      <c r="U325" s="452"/>
      <c r="V325" s="452"/>
      <c r="W325" s="452"/>
      <c r="X325" s="452"/>
      <c r="Y325" s="452"/>
      <c r="Z325" s="452"/>
      <c r="AA325" s="452"/>
    </row>
    <row r="326" spans="1:27" ht="15" customHeight="1" x14ac:dyDescent="0.45">
      <c r="A326" s="441"/>
      <c r="B326" s="441" t="s">
        <v>1425</v>
      </c>
      <c r="C326" s="441" t="s">
        <v>615</v>
      </c>
      <c r="S326" s="452"/>
      <c r="T326" s="452"/>
      <c r="U326" s="452"/>
      <c r="V326" s="452"/>
      <c r="W326" s="452"/>
      <c r="X326" s="452"/>
      <c r="Y326" s="452"/>
      <c r="Z326" s="452"/>
      <c r="AA326" s="452"/>
    </row>
    <row r="327" spans="1:27" ht="15" customHeight="1" x14ac:dyDescent="0.45">
      <c r="A327" s="441"/>
      <c r="B327" s="441" t="s">
        <v>1426</v>
      </c>
      <c r="C327" s="441" t="s">
        <v>9</v>
      </c>
      <c r="S327" s="452"/>
      <c r="T327" s="452"/>
      <c r="U327" s="452"/>
      <c r="V327" s="452"/>
      <c r="W327" s="452"/>
      <c r="X327" s="452"/>
      <c r="Y327" s="452"/>
      <c r="Z327" s="452"/>
      <c r="AA327" s="452"/>
    </row>
    <row r="328" spans="1:27" ht="15" customHeight="1" x14ac:dyDescent="0.45">
      <c r="A328" s="441"/>
      <c r="B328" s="441" t="s">
        <v>901</v>
      </c>
      <c r="C328" s="441">
        <v>1</v>
      </c>
      <c r="D328" s="439">
        <v>11</v>
      </c>
      <c r="S328" s="452"/>
      <c r="T328" s="452"/>
      <c r="U328" s="452"/>
      <c r="V328" s="452"/>
      <c r="W328" s="452"/>
      <c r="X328" s="452"/>
      <c r="Y328" s="452"/>
      <c r="Z328" s="452"/>
      <c r="AA328" s="452"/>
    </row>
    <row r="329" spans="1:27" ht="15" customHeight="1" x14ac:dyDescent="0.45">
      <c r="A329" s="441" t="s">
        <v>1601</v>
      </c>
      <c r="B329" s="441" t="s">
        <v>1427</v>
      </c>
      <c r="C329" s="441" t="s">
        <v>2060</v>
      </c>
      <c r="D329" s="439" t="s">
        <v>2061</v>
      </c>
      <c r="S329" s="452"/>
      <c r="T329" s="452"/>
      <c r="U329" s="452"/>
      <c r="V329" s="452"/>
      <c r="W329" s="452"/>
      <c r="X329" s="452"/>
      <c r="Y329" s="452"/>
      <c r="Z329" s="452"/>
      <c r="AA329" s="452"/>
    </row>
    <row r="330" spans="1:27" ht="15" customHeight="1" x14ac:dyDescent="0.45">
      <c r="A330" s="441" t="s">
        <v>1602</v>
      </c>
      <c r="B330" s="441" t="s">
        <v>1428</v>
      </c>
      <c r="C330" s="447" t="s">
        <v>2062</v>
      </c>
      <c r="D330" s="439" t="s">
        <v>2063</v>
      </c>
      <c r="S330" s="452"/>
      <c r="T330" s="452"/>
      <c r="U330" s="452"/>
      <c r="V330" s="452"/>
      <c r="W330" s="452"/>
      <c r="X330" s="452"/>
      <c r="Y330" s="452"/>
      <c r="Z330" s="452"/>
      <c r="AA330" s="452"/>
    </row>
    <row r="331" spans="1:27" ht="15" customHeight="1" x14ac:dyDescent="0.45">
      <c r="A331" s="441" t="s">
        <v>1603</v>
      </c>
      <c r="B331" s="447">
        <v>200</v>
      </c>
      <c r="C331" s="447" t="s">
        <v>2060</v>
      </c>
      <c r="D331" s="439" t="s">
        <v>2064</v>
      </c>
      <c r="S331" s="452"/>
      <c r="T331" s="452"/>
      <c r="U331" s="452"/>
      <c r="V331" s="452"/>
      <c r="W331" s="452"/>
      <c r="X331" s="452"/>
      <c r="Y331" s="452"/>
      <c r="Z331" s="452"/>
      <c r="AA331" s="452"/>
    </row>
    <row r="332" spans="1:27" ht="15" customHeight="1" x14ac:dyDescent="0.45">
      <c r="A332" s="441" t="s">
        <v>1604</v>
      </c>
      <c r="B332" s="447">
        <v>400</v>
      </c>
      <c r="C332" s="447" t="s">
        <v>2065</v>
      </c>
      <c r="D332" s="439" t="s">
        <v>2063</v>
      </c>
      <c r="S332" s="452"/>
      <c r="T332" s="452"/>
      <c r="U332" s="452"/>
      <c r="V332" s="452"/>
      <c r="W332" s="452"/>
      <c r="X332" s="452"/>
      <c r="Y332" s="452"/>
      <c r="Z332" s="452"/>
      <c r="AA332" s="452"/>
    </row>
    <row r="333" spans="1:27" ht="15" customHeight="1" x14ac:dyDescent="0.45">
      <c r="A333" s="441" t="s">
        <v>1605</v>
      </c>
      <c r="B333" s="441">
        <v>800</v>
      </c>
      <c r="C333" s="441" t="s">
        <v>2065</v>
      </c>
      <c r="D333" s="439" t="s">
        <v>2062</v>
      </c>
      <c r="S333" s="452"/>
      <c r="T333" s="452"/>
      <c r="U333" s="452"/>
      <c r="V333" s="452"/>
      <c r="W333" s="452"/>
      <c r="X333" s="452"/>
      <c r="Y333" s="452"/>
      <c r="Z333" s="452"/>
      <c r="AA333" s="452"/>
    </row>
    <row r="334" spans="1:27" ht="15" customHeight="1" x14ac:dyDescent="0.45">
      <c r="A334" s="441" t="s">
        <v>1606</v>
      </c>
      <c r="B334" s="441" t="s">
        <v>1429</v>
      </c>
      <c r="C334" s="441" t="s">
        <v>2063</v>
      </c>
      <c r="S334" s="452"/>
      <c r="T334" s="452"/>
      <c r="U334" s="452"/>
      <c r="V334" s="452"/>
      <c r="W334" s="452"/>
      <c r="X334" s="452"/>
      <c r="Y334" s="452"/>
      <c r="Z334" s="452"/>
      <c r="AA334" s="452"/>
    </row>
    <row r="335" spans="1:27" ht="15" customHeight="1" x14ac:dyDescent="0.45">
      <c r="A335" s="441" t="s">
        <v>1607</v>
      </c>
      <c r="B335" s="447">
        <v>1500</v>
      </c>
      <c r="C335" s="441" t="s">
        <v>2066</v>
      </c>
      <c r="D335" s="439" t="s">
        <v>2064</v>
      </c>
      <c r="S335" s="452"/>
      <c r="T335" s="452"/>
      <c r="U335" s="452"/>
      <c r="V335" s="452"/>
      <c r="W335" s="452"/>
      <c r="X335" s="452"/>
      <c r="Y335" s="452"/>
      <c r="Z335" s="452"/>
      <c r="AA335" s="452"/>
    </row>
    <row r="336" spans="1:27" ht="15" customHeight="1" x14ac:dyDescent="0.45">
      <c r="A336" s="441" t="s">
        <v>1608</v>
      </c>
      <c r="B336" s="441" t="s">
        <v>1430</v>
      </c>
      <c r="C336" s="441" t="s">
        <v>2065</v>
      </c>
      <c r="D336" s="439" t="s">
        <v>2067</v>
      </c>
      <c r="S336" s="452"/>
      <c r="T336" s="452"/>
      <c r="U336" s="452"/>
      <c r="V336" s="452"/>
      <c r="W336" s="452"/>
      <c r="X336" s="452"/>
      <c r="Y336" s="452"/>
      <c r="Z336" s="452"/>
      <c r="AA336" s="452"/>
    </row>
    <row r="337" spans="1:27" ht="15" customHeight="1" x14ac:dyDescent="0.45">
      <c r="A337" s="441" t="s">
        <v>1609</v>
      </c>
      <c r="B337" s="447">
        <v>3000</v>
      </c>
      <c r="C337" s="447"/>
      <c r="S337" s="452"/>
      <c r="T337" s="452"/>
      <c r="U337" s="452"/>
      <c r="V337" s="452"/>
      <c r="W337" s="452"/>
      <c r="X337" s="452"/>
      <c r="Y337" s="452"/>
      <c r="Z337" s="452"/>
      <c r="AA337" s="452"/>
    </row>
    <row r="338" spans="1:27" ht="15" customHeight="1" x14ac:dyDescent="0.45">
      <c r="A338" s="441" t="s">
        <v>1610</v>
      </c>
      <c r="B338" s="441" t="s">
        <v>1431</v>
      </c>
      <c r="C338" s="441"/>
      <c r="S338" s="452"/>
      <c r="T338" s="452"/>
      <c r="U338" s="452"/>
      <c r="V338" s="452"/>
      <c r="W338" s="452"/>
      <c r="X338" s="452"/>
      <c r="Y338" s="452"/>
      <c r="Z338" s="452"/>
      <c r="AA338" s="452"/>
    </row>
    <row r="339" spans="1:27" ht="15" customHeight="1" x14ac:dyDescent="0.45">
      <c r="A339" s="441" t="s">
        <v>1611</v>
      </c>
      <c r="B339" s="447" t="s">
        <v>902</v>
      </c>
      <c r="C339" s="447"/>
      <c r="S339" s="452"/>
      <c r="T339" s="452"/>
      <c r="U339" s="452"/>
      <c r="V339" s="452"/>
      <c r="W339" s="452"/>
      <c r="X339" s="452"/>
      <c r="Y339" s="452"/>
      <c r="Z339" s="452"/>
      <c r="AA339" s="452"/>
    </row>
    <row r="340" spans="1:27" ht="15" customHeight="1" x14ac:dyDescent="0.45">
      <c r="A340" s="441" t="s">
        <v>1612</v>
      </c>
      <c r="B340" s="441" t="s">
        <v>25</v>
      </c>
      <c r="C340" s="441" t="s">
        <v>2061</v>
      </c>
      <c r="D340" s="439" t="s">
        <v>2068</v>
      </c>
      <c r="S340" s="452"/>
      <c r="T340" s="452"/>
      <c r="U340" s="452"/>
      <c r="V340" s="452"/>
      <c r="W340" s="452"/>
      <c r="X340" s="452"/>
      <c r="Y340" s="452"/>
      <c r="Z340" s="452"/>
      <c r="AA340" s="452"/>
    </row>
    <row r="341" spans="1:27" ht="15" customHeight="1" x14ac:dyDescent="0.45">
      <c r="A341" s="441" t="s">
        <v>1613</v>
      </c>
      <c r="B341" s="441" t="s">
        <v>21</v>
      </c>
      <c r="C341" s="447" t="s">
        <v>2068</v>
      </c>
      <c r="D341" s="439" t="s">
        <v>2066</v>
      </c>
      <c r="S341" s="452"/>
      <c r="T341" s="452"/>
      <c r="U341" s="452"/>
      <c r="V341" s="452"/>
      <c r="W341" s="452"/>
      <c r="X341" s="452"/>
      <c r="Y341" s="452"/>
      <c r="Z341" s="452"/>
      <c r="AA341" s="452"/>
    </row>
    <row r="342" spans="1:27" ht="15" customHeight="1" x14ac:dyDescent="0.45">
      <c r="A342" s="441" t="s">
        <v>1614</v>
      </c>
      <c r="B342" s="447" t="s">
        <v>28</v>
      </c>
      <c r="C342" s="447" t="s">
        <v>2066</v>
      </c>
      <c r="D342" s="439" t="s">
        <v>2064</v>
      </c>
      <c r="S342" s="452"/>
      <c r="T342" s="452"/>
      <c r="U342" s="452"/>
      <c r="V342" s="452"/>
      <c r="W342" s="452"/>
      <c r="X342" s="452"/>
      <c r="Y342" s="452"/>
      <c r="Z342" s="452"/>
      <c r="AA342" s="452"/>
    </row>
    <row r="343" spans="1:27" ht="15" customHeight="1" x14ac:dyDescent="0.45">
      <c r="A343" s="441" t="s">
        <v>1615</v>
      </c>
      <c r="B343" s="441" t="s">
        <v>24</v>
      </c>
      <c r="C343" s="441" t="s">
        <v>2061</v>
      </c>
      <c r="D343" s="439" t="s">
        <v>2062</v>
      </c>
      <c r="S343" s="452"/>
      <c r="T343" s="452"/>
      <c r="U343" s="452"/>
      <c r="V343" s="452"/>
      <c r="W343" s="452"/>
      <c r="X343" s="452"/>
      <c r="Y343" s="452"/>
      <c r="Z343" s="452"/>
      <c r="AA343" s="452"/>
    </row>
    <row r="344" spans="1:27" ht="15" customHeight="1" x14ac:dyDescent="0.45">
      <c r="A344" s="441" t="s">
        <v>1616</v>
      </c>
      <c r="B344" s="441" t="s">
        <v>1432</v>
      </c>
      <c r="C344" s="441" t="s">
        <v>2060</v>
      </c>
      <c r="D344" s="439" t="s">
        <v>2067</v>
      </c>
      <c r="S344" s="452"/>
      <c r="T344" s="452"/>
      <c r="U344" s="452"/>
      <c r="V344" s="452"/>
      <c r="W344" s="452"/>
      <c r="X344" s="452"/>
      <c r="Y344" s="452"/>
      <c r="Z344" s="452"/>
      <c r="AA344" s="452"/>
    </row>
    <row r="345" spans="1:27" ht="15" customHeight="1" x14ac:dyDescent="0.45">
      <c r="A345" s="441" t="s">
        <v>1617</v>
      </c>
      <c r="B345" s="441" t="s">
        <v>1433</v>
      </c>
      <c r="C345" s="441"/>
      <c r="S345" s="452"/>
      <c r="T345" s="452"/>
      <c r="U345" s="452"/>
      <c r="V345" s="452"/>
      <c r="W345" s="452"/>
      <c r="X345" s="452"/>
      <c r="Y345" s="452"/>
      <c r="Z345" s="452"/>
      <c r="AA345" s="452"/>
    </row>
    <row r="346" spans="1:27" ht="15" customHeight="1" x14ac:dyDescent="0.45">
      <c r="A346" s="441" t="s">
        <v>1618</v>
      </c>
      <c r="B346" s="447" t="s">
        <v>1434</v>
      </c>
      <c r="C346" s="447" t="s">
        <v>2068</v>
      </c>
      <c r="D346" s="439" t="s">
        <v>2067</v>
      </c>
      <c r="S346" s="452"/>
      <c r="T346" s="452"/>
      <c r="U346" s="452"/>
      <c r="V346" s="452"/>
      <c r="W346" s="452"/>
      <c r="X346" s="452"/>
      <c r="Y346" s="452"/>
      <c r="Z346" s="452"/>
      <c r="AA346" s="452"/>
    </row>
    <row r="347" spans="1:27" ht="15" customHeight="1" x14ac:dyDescent="0.45">
      <c r="A347" s="441" t="s">
        <v>1619</v>
      </c>
      <c r="B347" s="447" t="s">
        <v>1435</v>
      </c>
      <c r="C347" s="441"/>
      <c r="S347" s="452"/>
      <c r="T347" s="452"/>
      <c r="U347" s="452"/>
      <c r="V347" s="452"/>
      <c r="W347" s="452"/>
      <c r="X347" s="452"/>
      <c r="Y347" s="452"/>
      <c r="Z347" s="452"/>
      <c r="AA347" s="452"/>
    </row>
    <row r="348" spans="1:27" ht="15" customHeight="1" x14ac:dyDescent="0.45">
      <c r="A348" s="441" t="s">
        <v>1620</v>
      </c>
      <c r="B348" s="447" t="s">
        <v>1436</v>
      </c>
      <c r="C348" s="441" t="s">
        <v>2061</v>
      </c>
      <c r="D348" s="439" t="s">
        <v>2065</v>
      </c>
      <c r="S348" s="452"/>
      <c r="T348" s="452"/>
      <c r="U348" s="452"/>
      <c r="V348" s="452"/>
      <c r="W348" s="452"/>
      <c r="X348" s="452"/>
      <c r="Y348" s="452"/>
      <c r="Z348" s="452"/>
      <c r="AA348" s="452"/>
    </row>
    <row r="349" spans="1:27" ht="15" customHeight="1" x14ac:dyDescent="0.45">
      <c r="A349" s="441" t="s">
        <v>1621</v>
      </c>
      <c r="B349" s="441" t="s">
        <v>1437</v>
      </c>
      <c r="C349" s="441" t="s">
        <v>2064</v>
      </c>
      <c r="D349" s="439" t="s">
        <v>2060</v>
      </c>
      <c r="S349" s="452"/>
      <c r="T349" s="452"/>
      <c r="U349" s="452"/>
      <c r="V349" s="452"/>
      <c r="W349" s="452"/>
      <c r="X349" s="452"/>
      <c r="Y349" s="452"/>
      <c r="Z349" s="452"/>
      <c r="AA349" s="452"/>
    </row>
    <row r="350" spans="1:27" ht="15" customHeight="1" x14ac:dyDescent="0.45">
      <c r="A350" s="441" t="s">
        <v>1622</v>
      </c>
      <c r="B350" s="441" t="s">
        <v>1438</v>
      </c>
      <c r="C350" s="441" t="s">
        <v>2067</v>
      </c>
      <c r="D350" s="439" t="s">
        <v>2066</v>
      </c>
      <c r="S350" s="452"/>
      <c r="T350" s="452"/>
      <c r="U350" s="452"/>
      <c r="V350" s="452"/>
      <c r="W350" s="452"/>
      <c r="X350" s="452"/>
      <c r="Y350" s="452"/>
      <c r="Z350" s="452"/>
      <c r="AA350" s="452"/>
    </row>
    <row r="351" spans="1:27" ht="15" customHeight="1" x14ac:dyDescent="0.45">
      <c r="A351" s="441" t="s">
        <v>1623</v>
      </c>
      <c r="B351" s="447" t="s">
        <v>1439</v>
      </c>
      <c r="C351" s="447" t="s">
        <v>2068</v>
      </c>
      <c r="D351" s="439" t="s">
        <v>2062</v>
      </c>
      <c r="S351" s="452"/>
      <c r="T351" s="452"/>
      <c r="U351" s="452"/>
      <c r="V351" s="452"/>
      <c r="W351" s="452"/>
      <c r="X351" s="452"/>
      <c r="Y351" s="452"/>
      <c r="Z351" s="452"/>
      <c r="AA351" s="452"/>
    </row>
    <row r="352" spans="1:27" ht="15" customHeight="1" x14ac:dyDescent="0.45">
      <c r="A352" s="441"/>
      <c r="B352" s="447" t="s">
        <v>1424</v>
      </c>
      <c r="C352" s="447" t="s">
        <v>100</v>
      </c>
      <c r="S352" s="452"/>
      <c r="T352" s="452"/>
      <c r="U352" s="452"/>
      <c r="V352" s="452"/>
      <c r="W352" s="452"/>
      <c r="X352" s="452"/>
      <c r="Y352" s="452"/>
      <c r="Z352" s="452"/>
      <c r="AA352" s="452"/>
    </row>
    <row r="353" spans="1:27" ht="15" customHeight="1" x14ac:dyDescent="0.45">
      <c r="A353" s="441"/>
      <c r="B353" s="441" t="s">
        <v>1425</v>
      </c>
      <c r="C353" s="441" t="s">
        <v>793</v>
      </c>
      <c r="S353" s="452"/>
      <c r="T353" s="452"/>
      <c r="U353" s="452"/>
      <c r="V353" s="452"/>
      <c r="W353" s="452"/>
      <c r="X353" s="452"/>
      <c r="Y353" s="452"/>
      <c r="Z353" s="452"/>
      <c r="AA353" s="452"/>
    </row>
    <row r="354" spans="1:27" ht="15" customHeight="1" x14ac:dyDescent="0.45">
      <c r="A354" s="441"/>
      <c r="B354" s="441" t="s">
        <v>1426</v>
      </c>
      <c r="C354" s="441" t="s">
        <v>9</v>
      </c>
      <c r="S354" s="452"/>
      <c r="T354" s="452"/>
      <c r="U354" s="452"/>
      <c r="V354" s="452"/>
      <c r="W354" s="452"/>
      <c r="X354" s="452"/>
      <c r="Y354" s="452"/>
      <c r="Z354" s="452"/>
      <c r="AA354" s="452"/>
    </row>
    <row r="355" spans="1:27" ht="15" customHeight="1" x14ac:dyDescent="0.45">
      <c r="A355" s="441"/>
      <c r="B355" s="441" t="s">
        <v>901</v>
      </c>
      <c r="C355" s="447">
        <v>2</v>
      </c>
      <c r="D355" s="439">
        <v>22</v>
      </c>
      <c r="S355" s="452"/>
      <c r="T355" s="452"/>
      <c r="U355" s="452"/>
      <c r="V355" s="452"/>
      <c r="W355" s="452"/>
      <c r="X355" s="452"/>
      <c r="Y355" s="452"/>
      <c r="Z355" s="452"/>
      <c r="AA355" s="452"/>
    </row>
    <row r="356" spans="1:27" ht="15" customHeight="1" x14ac:dyDescent="0.45">
      <c r="A356" s="441" t="s">
        <v>1578</v>
      </c>
      <c r="B356" s="447" t="s">
        <v>1427</v>
      </c>
      <c r="C356" s="447" t="s">
        <v>2054</v>
      </c>
      <c r="D356" s="439" t="s">
        <v>912</v>
      </c>
      <c r="S356" s="452"/>
      <c r="T356" s="452"/>
      <c r="U356" s="452"/>
      <c r="V356" s="452"/>
      <c r="W356" s="452"/>
      <c r="X356" s="452"/>
      <c r="Y356" s="452"/>
      <c r="Z356" s="452"/>
      <c r="AA356" s="452"/>
    </row>
    <row r="357" spans="1:27" ht="15" customHeight="1" x14ac:dyDescent="0.45">
      <c r="A357" s="441" t="s">
        <v>1579</v>
      </c>
      <c r="B357" s="441" t="s">
        <v>1428</v>
      </c>
      <c r="C357" s="447"/>
      <c r="S357" s="452"/>
      <c r="T357" s="452"/>
      <c r="U357" s="452"/>
      <c r="V357" s="452"/>
      <c r="W357" s="452"/>
      <c r="X357" s="452"/>
      <c r="Y357" s="452"/>
      <c r="Z357" s="452"/>
      <c r="AA357" s="452"/>
    </row>
    <row r="358" spans="1:27" ht="15" customHeight="1" x14ac:dyDescent="0.45">
      <c r="A358" s="441" t="s">
        <v>1580</v>
      </c>
      <c r="B358" s="447">
        <v>200</v>
      </c>
      <c r="C358" s="447" t="s">
        <v>2053</v>
      </c>
      <c r="D358" s="439" t="s">
        <v>2055</v>
      </c>
      <c r="S358" s="452"/>
      <c r="T358" s="452"/>
      <c r="U358" s="452"/>
      <c r="V358" s="452"/>
      <c r="W358" s="452"/>
      <c r="X358" s="452"/>
      <c r="Y358" s="452"/>
      <c r="Z358" s="452"/>
      <c r="AA358" s="452"/>
    </row>
    <row r="359" spans="1:27" ht="15" customHeight="1" x14ac:dyDescent="0.45">
      <c r="A359" s="441" t="s">
        <v>1581</v>
      </c>
      <c r="B359" s="447">
        <v>400</v>
      </c>
      <c r="C359" s="447" t="s">
        <v>2056</v>
      </c>
      <c r="D359" s="439" t="s">
        <v>912</v>
      </c>
      <c r="S359" s="452"/>
      <c r="T359" s="452"/>
      <c r="U359" s="452"/>
      <c r="V359" s="452"/>
      <c r="W359" s="452"/>
      <c r="X359" s="452"/>
      <c r="Y359" s="452"/>
      <c r="Z359" s="452"/>
      <c r="AA359" s="452"/>
    </row>
    <row r="360" spans="1:27" ht="15" customHeight="1" x14ac:dyDescent="0.45">
      <c r="A360" s="441" t="s">
        <v>1582</v>
      </c>
      <c r="B360" s="447">
        <v>800</v>
      </c>
      <c r="C360" s="447" t="s">
        <v>2057</v>
      </c>
      <c r="D360" s="439" t="s">
        <v>2056</v>
      </c>
      <c r="S360" s="452"/>
      <c r="T360" s="452"/>
      <c r="U360" s="452"/>
      <c r="V360" s="452"/>
      <c r="W360" s="452"/>
      <c r="X360" s="452"/>
      <c r="Y360" s="452"/>
      <c r="Z360" s="452"/>
      <c r="AA360" s="452"/>
    </row>
    <row r="361" spans="1:27" ht="15" customHeight="1" x14ac:dyDescent="0.45">
      <c r="A361" s="441" t="s">
        <v>1583</v>
      </c>
      <c r="B361" s="441" t="s">
        <v>1429</v>
      </c>
      <c r="C361" s="441"/>
      <c r="S361" s="452"/>
      <c r="T361" s="452"/>
      <c r="U361" s="452"/>
      <c r="V361" s="452"/>
      <c r="W361" s="452"/>
      <c r="X361" s="452"/>
      <c r="Y361" s="452"/>
      <c r="Z361" s="452"/>
      <c r="AA361" s="452"/>
    </row>
    <row r="362" spans="1:27" ht="15" customHeight="1" x14ac:dyDescent="0.45">
      <c r="A362" s="441" t="s">
        <v>1584</v>
      </c>
      <c r="B362" s="447">
        <v>1500</v>
      </c>
      <c r="C362" s="447" t="s">
        <v>2058</v>
      </c>
      <c r="S362" s="452"/>
      <c r="T362" s="452"/>
      <c r="U362" s="452"/>
      <c r="V362" s="452"/>
      <c r="W362" s="452"/>
      <c r="X362" s="452"/>
      <c r="Y362" s="452"/>
      <c r="Z362" s="452"/>
      <c r="AA362" s="452"/>
    </row>
    <row r="363" spans="1:27" ht="15" customHeight="1" x14ac:dyDescent="0.45">
      <c r="A363" s="441" t="s">
        <v>1585</v>
      </c>
      <c r="B363" s="441" t="s">
        <v>1430</v>
      </c>
      <c r="C363" s="447" t="s">
        <v>2055</v>
      </c>
      <c r="D363" s="439" t="s">
        <v>2057</v>
      </c>
      <c r="S363" s="452"/>
      <c r="T363" s="452"/>
      <c r="U363" s="452"/>
      <c r="V363" s="452"/>
      <c r="W363" s="452"/>
      <c r="X363" s="452"/>
      <c r="Y363" s="452"/>
      <c r="Z363" s="452"/>
      <c r="AA363" s="452"/>
    </row>
    <row r="364" spans="1:27" ht="15" customHeight="1" x14ac:dyDescent="0.45">
      <c r="A364" s="441" t="s">
        <v>1586</v>
      </c>
      <c r="B364" s="441">
        <v>3000</v>
      </c>
      <c r="C364" s="447"/>
      <c r="S364" s="452"/>
      <c r="T364" s="452"/>
      <c r="U364" s="452"/>
      <c r="V364" s="452"/>
      <c r="W364" s="452"/>
      <c r="X364" s="452"/>
      <c r="Y364" s="452"/>
      <c r="Z364" s="452"/>
      <c r="AA364" s="452"/>
    </row>
    <row r="365" spans="1:27" ht="15" customHeight="1" x14ac:dyDescent="0.45">
      <c r="A365" s="441" t="s">
        <v>1587</v>
      </c>
      <c r="B365" s="441" t="s">
        <v>1431</v>
      </c>
      <c r="C365" s="441"/>
      <c r="S365" s="452"/>
      <c r="T365" s="452"/>
      <c r="U365" s="452"/>
      <c r="V365" s="452"/>
      <c r="W365" s="452"/>
      <c r="X365" s="452"/>
      <c r="Y365" s="452"/>
      <c r="Z365" s="452"/>
      <c r="AA365" s="452"/>
    </row>
    <row r="366" spans="1:27" ht="15" customHeight="1" x14ac:dyDescent="0.45">
      <c r="A366" s="441" t="s">
        <v>1588</v>
      </c>
      <c r="B366" s="447" t="s">
        <v>902</v>
      </c>
      <c r="C366" s="447"/>
      <c r="S366" s="452"/>
      <c r="T366" s="452"/>
      <c r="U366" s="452"/>
      <c r="V366" s="452"/>
      <c r="W366" s="452"/>
      <c r="X366" s="452"/>
      <c r="Y366" s="452"/>
      <c r="Z366" s="452"/>
      <c r="AA366" s="452"/>
    </row>
    <row r="367" spans="1:27" ht="15" customHeight="1" x14ac:dyDescent="0.45">
      <c r="A367" s="441" t="s">
        <v>1589</v>
      </c>
      <c r="B367" s="447" t="s">
        <v>25</v>
      </c>
      <c r="C367" s="447" t="s">
        <v>2054</v>
      </c>
      <c r="D367" s="439" t="s">
        <v>2056</v>
      </c>
      <c r="S367" s="452"/>
      <c r="T367" s="452"/>
      <c r="U367" s="452"/>
      <c r="V367" s="452"/>
      <c r="W367" s="452"/>
      <c r="X367" s="452"/>
      <c r="Y367" s="452"/>
      <c r="Z367" s="452"/>
      <c r="AA367" s="452"/>
    </row>
    <row r="368" spans="1:27" ht="15" customHeight="1" x14ac:dyDescent="0.45">
      <c r="A368" s="441" t="s">
        <v>1590</v>
      </c>
      <c r="B368" s="447" t="s">
        <v>21</v>
      </c>
      <c r="C368" s="447"/>
      <c r="S368" s="452"/>
      <c r="T368" s="452"/>
      <c r="U368" s="452"/>
      <c r="V368" s="452"/>
      <c r="W368" s="452"/>
      <c r="X368" s="452"/>
      <c r="Y368" s="452"/>
      <c r="Z368" s="452"/>
      <c r="AA368" s="452"/>
    </row>
    <row r="369" spans="1:27" ht="15" customHeight="1" x14ac:dyDescent="0.45">
      <c r="A369" s="441" t="s">
        <v>1591</v>
      </c>
      <c r="B369" s="441" t="s">
        <v>28</v>
      </c>
      <c r="C369" s="441" t="s">
        <v>2058</v>
      </c>
      <c r="D369" s="439" t="s">
        <v>2054</v>
      </c>
      <c r="S369" s="452"/>
      <c r="T369" s="452"/>
      <c r="U369" s="452"/>
      <c r="V369" s="452"/>
      <c r="W369" s="452"/>
      <c r="X369" s="452"/>
      <c r="Y369" s="452"/>
      <c r="Z369" s="452"/>
      <c r="AA369" s="452"/>
    </row>
    <row r="370" spans="1:27" ht="15" customHeight="1" x14ac:dyDescent="0.45">
      <c r="A370" s="441" t="s">
        <v>1592</v>
      </c>
      <c r="B370" s="447" t="s">
        <v>24</v>
      </c>
      <c r="C370" s="447" t="s">
        <v>2059</v>
      </c>
      <c r="S370" s="452"/>
      <c r="T370" s="452"/>
      <c r="U370" s="452"/>
      <c r="V370" s="452"/>
      <c r="W370" s="452"/>
      <c r="X370" s="452"/>
      <c r="Y370" s="452"/>
      <c r="Z370" s="452"/>
      <c r="AA370" s="452"/>
    </row>
    <row r="371" spans="1:27" ht="15" customHeight="1" x14ac:dyDescent="0.45">
      <c r="A371" s="441" t="s">
        <v>1593</v>
      </c>
      <c r="B371" s="441" t="s">
        <v>1432</v>
      </c>
      <c r="C371" s="441" t="s">
        <v>2055</v>
      </c>
      <c r="D371" s="439" t="s">
        <v>2057</v>
      </c>
      <c r="S371" s="452"/>
      <c r="T371" s="452"/>
      <c r="U371" s="452"/>
      <c r="V371" s="452"/>
      <c r="W371" s="452"/>
      <c r="X371" s="452"/>
      <c r="Y371" s="452"/>
      <c r="Z371" s="452"/>
      <c r="AA371" s="452"/>
    </row>
    <row r="372" spans="1:27" ht="15" customHeight="1" x14ac:dyDescent="0.45">
      <c r="A372" s="441" t="s">
        <v>1594</v>
      </c>
      <c r="B372" s="447" t="s">
        <v>1433</v>
      </c>
      <c r="C372" s="447"/>
      <c r="S372" s="452"/>
      <c r="T372" s="452"/>
      <c r="U372" s="452"/>
      <c r="V372" s="452"/>
      <c r="W372" s="452"/>
      <c r="X372" s="452"/>
      <c r="Y372" s="452"/>
      <c r="Z372" s="452"/>
      <c r="AA372" s="452"/>
    </row>
    <row r="373" spans="1:27" ht="15" customHeight="1" x14ac:dyDescent="0.45">
      <c r="A373" s="441" t="s">
        <v>1595</v>
      </c>
      <c r="B373" s="447" t="s">
        <v>1434</v>
      </c>
      <c r="C373" s="447" t="s">
        <v>2059</v>
      </c>
      <c r="S373" s="452"/>
      <c r="T373" s="452"/>
      <c r="U373" s="452"/>
      <c r="V373" s="452"/>
      <c r="W373" s="452"/>
      <c r="X373" s="452"/>
      <c r="Y373" s="452"/>
      <c r="Z373" s="452"/>
      <c r="AA373" s="452"/>
    </row>
    <row r="374" spans="1:27" ht="15" customHeight="1" x14ac:dyDescent="0.45">
      <c r="A374" s="441" t="s">
        <v>1596</v>
      </c>
      <c r="B374" s="441" t="s">
        <v>1435</v>
      </c>
      <c r="C374" s="447" t="s">
        <v>2059</v>
      </c>
      <c r="S374" s="452"/>
      <c r="T374" s="452"/>
      <c r="U374" s="452"/>
      <c r="V374" s="452"/>
      <c r="W374" s="452"/>
      <c r="X374" s="452"/>
      <c r="Y374" s="452"/>
      <c r="Z374" s="452"/>
      <c r="AA374" s="452"/>
    </row>
    <row r="375" spans="1:27" ht="15" customHeight="1" x14ac:dyDescent="0.45">
      <c r="A375" s="441" t="s">
        <v>1597</v>
      </c>
      <c r="B375" s="441" t="s">
        <v>1436</v>
      </c>
      <c r="C375" s="441" t="s">
        <v>2055</v>
      </c>
      <c r="D375" s="439" t="s">
        <v>2056</v>
      </c>
      <c r="S375" s="452"/>
      <c r="T375" s="452"/>
      <c r="U375" s="452"/>
      <c r="V375" s="452"/>
      <c r="W375" s="452"/>
      <c r="X375" s="452"/>
      <c r="Y375" s="452"/>
      <c r="Z375" s="452"/>
      <c r="AA375" s="452"/>
    </row>
    <row r="376" spans="1:27" ht="15" customHeight="1" x14ac:dyDescent="0.45">
      <c r="A376" s="441" t="s">
        <v>1598</v>
      </c>
      <c r="B376" s="447" t="s">
        <v>1437</v>
      </c>
      <c r="C376" s="441" t="s">
        <v>2054</v>
      </c>
      <c r="D376" s="439" t="s">
        <v>2053</v>
      </c>
      <c r="S376" s="452"/>
      <c r="T376" s="452"/>
      <c r="U376" s="452"/>
      <c r="V376" s="452"/>
      <c r="W376" s="452"/>
      <c r="X376" s="452"/>
      <c r="Y376" s="452"/>
      <c r="Z376" s="452"/>
      <c r="AA376" s="452"/>
    </row>
    <row r="377" spans="1:27" ht="15" customHeight="1" x14ac:dyDescent="0.45">
      <c r="A377" s="441" t="s">
        <v>1599</v>
      </c>
      <c r="B377" s="441" t="s">
        <v>1438</v>
      </c>
      <c r="C377" s="441"/>
      <c r="S377" s="452"/>
      <c r="T377" s="452"/>
      <c r="U377" s="452"/>
      <c r="V377" s="452"/>
      <c r="W377" s="452"/>
      <c r="X377" s="452"/>
      <c r="Y377" s="452"/>
      <c r="Z377" s="452"/>
      <c r="AA377" s="452"/>
    </row>
    <row r="378" spans="1:27" ht="15" customHeight="1" x14ac:dyDescent="0.45">
      <c r="A378" s="441" t="s">
        <v>1600</v>
      </c>
      <c r="B378" s="441" t="s">
        <v>1439</v>
      </c>
      <c r="C378" s="441"/>
      <c r="S378" s="452"/>
      <c r="T378" s="452"/>
      <c r="U378" s="452"/>
      <c r="V378" s="452"/>
      <c r="W378" s="452"/>
      <c r="X378" s="452"/>
      <c r="Y378" s="452"/>
      <c r="Z378" s="452"/>
      <c r="AA378" s="452"/>
    </row>
    <row r="379" spans="1:27" ht="15" customHeight="1" x14ac:dyDescent="0.45">
      <c r="A379" s="441"/>
      <c r="B379" s="441" t="s">
        <v>1424</v>
      </c>
      <c r="C379" s="441" t="s">
        <v>98</v>
      </c>
      <c r="S379" s="452"/>
      <c r="T379" s="452"/>
      <c r="U379" s="452"/>
      <c r="V379" s="452"/>
      <c r="W379" s="452"/>
      <c r="X379" s="452"/>
      <c r="Y379" s="452"/>
      <c r="Z379" s="452"/>
      <c r="AA379" s="452"/>
    </row>
    <row r="380" spans="1:27" ht="15" customHeight="1" x14ac:dyDescent="0.45">
      <c r="A380" s="441"/>
      <c r="B380" s="441" t="s">
        <v>1425</v>
      </c>
      <c r="C380" s="441" t="s">
        <v>615</v>
      </c>
      <c r="S380" s="452"/>
      <c r="T380" s="452"/>
      <c r="U380" s="452"/>
      <c r="V380" s="452"/>
      <c r="W380" s="452"/>
      <c r="X380" s="452"/>
      <c r="Y380" s="452"/>
      <c r="Z380" s="452"/>
      <c r="AA380" s="452"/>
    </row>
    <row r="381" spans="1:27" ht="15" customHeight="1" x14ac:dyDescent="0.45">
      <c r="A381" s="441"/>
      <c r="B381" s="441" t="s">
        <v>1426</v>
      </c>
      <c r="C381" s="441" t="s">
        <v>9</v>
      </c>
      <c r="S381" s="452"/>
      <c r="T381" s="452"/>
      <c r="U381" s="452"/>
      <c r="V381" s="452"/>
      <c r="W381" s="452"/>
      <c r="X381" s="452"/>
      <c r="Y381" s="452"/>
      <c r="Z381" s="452"/>
      <c r="AA381" s="452"/>
    </row>
    <row r="382" spans="1:27" ht="15" customHeight="1" x14ac:dyDescent="0.45">
      <c r="A382" s="441"/>
      <c r="B382" s="447" t="s">
        <v>901</v>
      </c>
      <c r="C382" s="447">
        <v>1</v>
      </c>
      <c r="D382" s="439">
        <v>11</v>
      </c>
      <c r="S382" s="452"/>
      <c r="T382" s="452"/>
      <c r="U382" s="452"/>
      <c r="V382" s="452"/>
      <c r="W382" s="452"/>
      <c r="X382" s="452"/>
      <c r="Y382" s="452"/>
      <c r="Z382" s="452"/>
      <c r="AA382" s="452"/>
    </row>
    <row r="383" spans="1:27" ht="15" customHeight="1" x14ac:dyDescent="0.45">
      <c r="A383" s="441" t="s">
        <v>1601</v>
      </c>
      <c r="B383" s="441" t="s">
        <v>1427</v>
      </c>
      <c r="C383" s="441" t="s">
        <v>2060</v>
      </c>
      <c r="D383" s="439" t="s">
        <v>2061</v>
      </c>
      <c r="S383" s="452"/>
      <c r="T383" s="452"/>
      <c r="U383" s="452"/>
      <c r="V383" s="452"/>
      <c r="W383" s="452"/>
      <c r="X383" s="452"/>
      <c r="Y383" s="452"/>
      <c r="Z383" s="452"/>
      <c r="AA383" s="452"/>
    </row>
    <row r="384" spans="1:27" ht="15" customHeight="1" x14ac:dyDescent="0.45">
      <c r="A384" s="441" t="s">
        <v>1602</v>
      </c>
      <c r="B384" s="441" t="s">
        <v>1428</v>
      </c>
      <c r="C384" s="441" t="s">
        <v>2062</v>
      </c>
      <c r="D384" s="439" t="s">
        <v>2063</v>
      </c>
      <c r="S384" s="452"/>
      <c r="T384" s="452"/>
      <c r="U384" s="452"/>
      <c r="V384" s="452"/>
      <c r="W384" s="452"/>
      <c r="X384" s="452"/>
      <c r="Y384" s="452"/>
      <c r="Z384" s="452"/>
      <c r="AA384" s="452"/>
    </row>
    <row r="385" spans="1:27" ht="15" customHeight="1" x14ac:dyDescent="0.45">
      <c r="A385" s="441" t="s">
        <v>1603</v>
      </c>
      <c r="B385" s="447">
        <v>200</v>
      </c>
      <c r="C385" s="441" t="s">
        <v>2060</v>
      </c>
      <c r="D385" s="439" t="s">
        <v>2064</v>
      </c>
      <c r="S385" s="452"/>
      <c r="T385" s="452"/>
      <c r="U385" s="452"/>
      <c r="V385" s="452"/>
      <c r="W385" s="452"/>
      <c r="X385" s="452"/>
      <c r="Y385" s="452"/>
      <c r="Z385" s="452"/>
      <c r="AA385" s="452"/>
    </row>
    <row r="386" spans="1:27" ht="15" customHeight="1" x14ac:dyDescent="0.45">
      <c r="A386" s="441" t="s">
        <v>1604</v>
      </c>
      <c r="B386" s="441">
        <v>400</v>
      </c>
      <c r="C386" s="441" t="s">
        <v>2065</v>
      </c>
      <c r="D386" s="439" t="s">
        <v>2063</v>
      </c>
      <c r="S386" s="452"/>
      <c r="T386" s="452"/>
      <c r="U386" s="452"/>
      <c r="V386" s="452"/>
      <c r="W386" s="452"/>
      <c r="X386" s="452"/>
      <c r="Y386" s="452"/>
      <c r="Z386" s="452"/>
      <c r="AA386" s="452"/>
    </row>
    <row r="387" spans="1:27" ht="15" customHeight="1" x14ac:dyDescent="0.45">
      <c r="A387" s="441" t="s">
        <v>1605</v>
      </c>
      <c r="B387" s="441">
        <v>800</v>
      </c>
      <c r="C387" s="441" t="s">
        <v>2065</v>
      </c>
      <c r="D387" s="439" t="s">
        <v>2062</v>
      </c>
      <c r="S387" s="452"/>
      <c r="T387" s="452"/>
      <c r="U387" s="452"/>
      <c r="V387" s="452"/>
      <c r="W387" s="452"/>
      <c r="X387" s="452"/>
      <c r="Y387" s="452"/>
      <c r="Z387" s="452"/>
      <c r="AA387" s="452"/>
    </row>
    <row r="388" spans="1:27" ht="15" customHeight="1" x14ac:dyDescent="0.45">
      <c r="A388" s="441" t="s">
        <v>1606</v>
      </c>
      <c r="B388" s="441" t="s">
        <v>1429</v>
      </c>
      <c r="C388" s="447" t="s">
        <v>2063</v>
      </c>
      <c r="S388" s="452"/>
      <c r="T388" s="452"/>
      <c r="U388" s="452"/>
      <c r="V388" s="452"/>
      <c r="W388" s="452"/>
      <c r="X388" s="452"/>
      <c r="Y388" s="452"/>
      <c r="Z388" s="452"/>
      <c r="AA388" s="452"/>
    </row>
    <row r="389" spans="1:27" ht="15" customHeight="1" x14ac:dyDescent="0.45">
      <c r="A389" s="441" t="s">
        <v>1607</v>
      </c>
      <c r="B389" s="447">
        <v>1500</v>
      </c>
      <c r="C389" s="447" t="s">
        <v>2066</v>
      </c>
      <c r="D389" s="439" t="s">
        <v>2064</v>
      </c>
      <c r="S389" s="452"/>
      <c r="T389" s="452"/>
      <c r="U389" s="452"/>
      <c r="V389" s="452"/>
      <c r="W389" s="452"/>
      <c r="X389" s="452"/>
      <c r="Y389" s="452"/>
      <c r="Z389" s="452"/>
      <c r="AA389" s="452"/>
    </row>
    <row r="390" spans="1:27" ht="15" customHeight="1" x14ac:dyDescent="0.45">
      <c r="A390" s="441" t="s">
        <v>1608</v>
      </c>
      <c r="B390" s="441" t="s">
        <v>1430</v>
      </c>
      <c r="C390" s="441" t="s">
        <v>2065</v>
      </c>
      <c r="D390" s="439" t="s">
        <v>2067</v>
      </c>
      <c r="S390" s="452"/>
      <c r="T390" s="452"/>
      <c r="U390" s="452"/>
      <c r="V390" s="452"/>
      <c r="W390" s="452"/>
      <c r="X390" s="452"/>
      <c r="Y390" s="452"/>
      <c r="Z390" s="452"/>
      <c r="AA390" s="452"/>
    </row>
    <row r="391" spans="1:27" ht="15" customHeight="1" x14ac:dyDescent="0.45">
      <c r="A391" s="441" t="s">
        <v>1609</v>
      </c>
      <c r="B391" s="441">
        <v>3000</v>
      </c>
      <c r="C391" s="447"/>
      <c r="S391" s="452"/>
      <c r="T391" s="452"/>
      <c r="U391" s="452"/>
      <c r="V391" s="452"/>
      <c r="W391" s="452"/>
      <c r="X391" s="452"/>
      <c r="Y391" s="452"/>
      <c r="Z391" s="452"/>
      <c r="AA391" s="452"/>
    </row>
    <row r="392" spans="1:27" ht="15" customHeight="1" x14ac:dyDescent="0.45">
      <c r="A392" s="441" t="s">
        <v>1610</v>
      </c>
      <c r="B392" s="441" t="s">
        <v>1431</v>
      </c>
      <c r="C392" s="441"/>
      <c r="S392" s="452"/>
      <c r="T392" s="452"/>
      <c r="U392" s="452"/>
      <c r="V392" s="452"/>
      <c r="W392" s="452"/>
      <c r="X392" s="452"/>
      <c r="Y392" s="452"/>
      <c r="Z392" s="452"/>
      <c r="AA392" s="452"/>
    </row>
    <row r="393" spans="1:27" ht="15" customHeight="1" x14ac:dyDescent="0.45">
      <c r="A393" s="441" t="s">
        <v>1611</v>
      </c>
      <c r="B393" s="441" t="s">
        <v>902</v>
      </c>
      <c r="C393" s="441"/>
      <c r="S393" s="452"/>
      <c r="T393" s="452"/>
      <c r="U393" s="452"/>
      <c r="V393" s="452"/>
      <c r="W393" s="452"/>
      <c r="X393" s="452"/>
      <c r="Y393" s="452"/>
      <c r="Z393" s="452"/>
      <c r="AA393" s="452"/>
    </row>
    <row r="394" spans="1:27" ht="15" customHeight="1" x14ac:dyDescent="0.45">
      <c r="A394" s="441" t="s">
        <v>1612</v>
      </c>
      <c r="B394" s="441" t="s">
        <v>25</v>
      </c>
      <c r="C394" s="441" t="s">
        <v>2061</v>
      </c>
      <c r="D394" s="439" t="s">
        <v>2068</v>
      </c>
      <c r="S394" s="452"/>
      <c r="T394" s="452"/>
      <c r="U394" s="452"/>
      <c r="V394" s="452"/>
      <c r="W394" s="452"/>
      <c r="X394" s="452"/>
      <c r="Y394" s="452"/>
      <c r="Z394" s="452"/>
      <c r="AA394" s="452"/>
    </row>
    <row r="395" spans="1:27" ht="15" customHeight="1" x14ac:dyDescent="0.45">
      <c r="A395" s="441" t="s">
        <v>1613</v>
      </c>
      <c r="B395" s="441" t="s">
        <v>21</v>
      </c>
      <c r="C395" s="447" t="s">
        <v>2068</v>
      </c>
      <c r="D395" s="439" t="s">
        <v>2066</v>
      </c>
      <c r="S395" s="452"/>
      <c r="T395" s="452"/>
      <c r="U395" s="452"/>
      <c r="V395" s="452"/>
      <c r="W395" s="452"/>
      <c r="X395" s="452"/>
      <c r="Y395" s="452"/>
      <c r="Z395" s="452"/>
      <c r="AA395" s="452"/>
    </row>
    <row r="396" spans="1:27" ht="15" customHeight="1" x14ac:dyDescent="0.45">
      <c r="A396" s="441" t="s">
        <v>1614</v>
      </c>
      <c r="B396" s="447" t="s">
        <v>28</v>
      </c>
      <c r="C396" s="447" t="s">
        <v>2066</v>
      </c>
      <c r="D396" s="439" t="s">
        <v>2064</v>
      </c>
      <c r="S396" s="452"/>
      <c r="T396" s="452"/>
      <c r="U396" s="452"/>
      <c r="V396" s="452"/>
      <c r="W396" s="452"/>
      <c r="X396" s="452"/>
      <c r="Y396" s="452"/>
      <c r="Z396" s="452"/>
      <c r="AA396" s="452"/>
    </row>
    <row r="397" spans="1:27" ht="15" customHeight="1" x14ac:dyDescent="0.45">
      <c r="A397" s="441" t="s">
        <v>1615</v>
      </c>
      <c r="B397" s="441" t="s">
        <v>24</v>
      </c>
      <c r="C397" s="447" t="s">
        <v>2061</v>
      </c>
      <c r="D397" s="439" t="s">
        <v>2062</v>
      </c>
      <c r="S397" s="452"/>
      <c r="T397" s="452"/>
      <c r="U397" s="452"/>
      <c r="V397" s="452"/>
      <c r="W397" s="452"/>
      <c r="X397" s="452"/>
      <c r="Y397" s="452"/>
      <c r="Z397" s="452"/>
      <c r="AA397" s="452"/>
    </row>
    <row r="398" spans="1:27" ht="15" customHeight="1" x14ac:dyDescent="0.45">
      <c r="A398" s="441" t="s">
        <v>1616</v>
      </c>
      <c r="B398" s="441" t="s">
        <v>1432</v>
      </c>
      <c r="C398" s="447" t="s">
        <v>2060</v>
      </c>
      <c r="D398" s="439" t="s">
        <v>2067</v>
      </c>
      <c r="S398" s="452"/>
      <c r="T398" s="452"/>
      <c r="U398" s="452"/>
      <c r="V398" s="452"/>
      <c r="W398" s="452"/>
      <c r="X398" s="452"/>
      <c r="Y398" s="452"/>
      <c r="Z398" s="452"/>
      <c r="AA398" s="452"/>
    </row>
    <row r="399" spans="1:27" ht="15" customHeight="1" x14ac:dyDescent="0.45">
      <c r="A399" s="441" t="s">
        <v>1617</v>
      </c>
      <c r="B399" s="441" t="s">
        <v>1433</v>
      </c>
      <c r="C399" s="447"/>
      <c r="S399" s="452"/>
      <c r="T399" s="452"/>
      <c r="U399" s="452"/>
      <c r="V399" s="452"/>
      <c r="W399" s="452"/>
      <c r="X399" s="452"/>
      <c r="Y399" s="452"/>
      <c r="Z399" s="452"/>
      <c r="AA399" s="452"/>
    </row>
    <row r="400" spans="1:27" ht="15" customHeight="1" x14ac:dyDescent="0.45">
      <c r="A400" s="441" t="s">
        <v>1618</v>
      </c>
      <c r="B400" s="441" t="s">
        <v>1434</v>
      </c>
      <c r="C400" s="441" t="s">
        <v>2068</v>
      </c>
      <c r="D400" s="439" t="s">
        <v>2067</v>
      </c>
      <c r="S400" s="452"/>
      <c r="T400" s="452"/>
      <c r="U400" s="452"/>
      <c r="V400" s="452"/>
      <c r="W400" s="452"/>
      <c r="X400" s="452"/>
      <c r="Y400" s="452"/>
      <c r="Z400" s="452"/>
      <c r="AA400" s="452"/>
    </row>
    <row r="401" spans="1:27" ht="15" customHeight="1" x14ac:dyDescent="0.45">
      <c r="A401" s="441" t="s">
        <v>1619</v>
      </c>
      <c r="B401" s="441" t="s">
        <v>1435</v>
      </c>
      <c r="C401" s="447"/>
      <c r="S401" s="452"/>
      <c r="T401" s="452"/>
      <c r="U401" s="452"/>
      <c r="V401" s="452"/>
      <c r="W401" s="452"/>
      <c r="X401" s="452"/>
      <c r="Y401" s="452"/>
      <c r="Z401" s="452"/>
      <c r="AA401" s="452"/>
    </row>
    <row r="402" spans="1:27" ht="15" customHeight="1" x14ac:dyDescent="0.45">
      <c r="A402" s="441" t="s">
        <v>1620</v>
      </c>
      <c r="B402" s="441" t="s">
        <v>1436</v>
      </c>
      <c r="C402" s="441" t="s">
        <v>2061</v>
      </c>
      <c r="D402" s="439" t="s">
        <v>2065</v>
      </c>
      <c r="S402" s="452"/>
      <c r="T402" s="452"/>
      <c r="U402" s="452"/>
      <c r="V402" s="452"/>
      <c r="W402" s="452"/>
      <c r="X402" s="452"/>
      <c r="Y402" s="452"/>
      <c r="Z402" s="452"/>
      <c r="AA402" s="452"/>
    </row>
    <row r="403" spans="1:27" ht="15" customHeight="1" x14ac:dyDescent="0.45">
      <c r="A403" s="441" t="s">
        <v>1621</v>
      </c>
      <c r="B403" s="441" t="s">
        <v>1437</v>
      </c>
      <c r="C403" s="441" t="s">
        <v>2064</v>
      </c>
      <c r="D403" s="439" t="s">
        <v>2060</v>
      </c>
      <c r="S403" s="452"/>
      <c r="T403" s="452"/>
      <c r="U403" s="452"/>
      <c r="V403" s="452"/>
      <c r="W403" s="452"/>
      <c r="X403" s="452"/>
      <c r="Y403" s="452"/>
      <c r="Z403" s="452"/>
      <c r="AA403" s="452"/>
    </row>
    <row r="404" spans="1:27" ht="15" customHeight="1" x14ac:dyDescent="0.45">
      <c r="A404" s="441" t="s">
        <v>1622</v>
      </c>
      <c r="B404" s="441" t="s">
        <v>1438</v>
      </c>
      <c r="C404" s="441" t="s">
        <v>2067</v>
      </c>
      <c r="D404" s="439" t="s">
        <v>2066</v>
      </c>
      <c r="S404" s="452"/>
      <c r="T404" s="452"/>
      <c r="U404" s="452"/>
      <c r="V404" s="452"/>
      <c r="W404" s="452"/>
      <c r="X404" s="452"/>
      <c r="Y404" s="452"/>
      <c r="Z404" s="452"/>
      <c r="AA404" s="452"/>
    </row>
    <row r="405" spans="1:27" ht="15" customHeight="1" x14ac:dyDescent="0.45">
      <c r="A405" s="441" t="s">
        <v>1623</v>
      </c>
      <c r="B405" s="447" t="s">
        <v>1439</v>
      </c>
      <c r="C405" s="441" t="s">
        <v>2068</v>
      </c>
      <c r="D405" s="439" t="s">
        <v>2062</v>
      </c>
      <c r="S405" s="452"/>
      <c r="T405" s="452"/>
      <c r="U405" s="452"/>
      <c r="V405" s="452"/>
      <c r="W405" s="452"/>
      <c r="X405" s="452"/>
      <c r="Y405" s="452"/>
      <c r="Z405" s="452"/>
      <c r="AA405" s="452"/>
    </row>
    <row r="406" spans="1:27" ht="15" customHeight="1" x14ac:dyDescent="0.45">
      <c r="A406" s="441"/>
      <c r="B406" s="441" t="s">
        <v>1424</v>
      </c>
      <c r="C406" s="441" t="s">
        <v>112</v>
      </c>
      <c r="S406" s="452"/>
      <c r="T406" s="452"/>
      <c r="U406" s="452"/>
      <c r="V406" s="452"/>
      <c r="W406" s="452"/>
      <c r="X406" s="452"/>
      <c r="Y406" s="452"/>
      <c r="Z406" s="452"/>
      <c r="AA406" s="452"/>
    </row>
    <row r="407" spans="1:27" ht="15" customHeight="1" x14ac:dyDescent="0.45">
      <c r="A407" s="441"/>
      <c r="B407" s="447" t="s">
        <v>1425</v>
      </c>
      <c r="C407" s="447" t="s">
        <v>636</v>
      </c>
      <c r="S407" s="452"/>
      <c r="T407" s="452"/>
      <c r="U407" s="452"/>
      <c r="V407" s="452"/>
      <c r="W407" s="452"/>
      <c r="X407" s="452"/>
      <c r="Y407" s="452"/>
      <c r="Z407" s="452"/>
      <c r="AA407" s="452"/>
    </row>
    <row r="408" spans="1:27" ht="15" customHeight="1" x14ac:dyDescent="0.45">
      <c r="A408" s="441"/>
      <c r="B408" s="441" t="s">
        <v>1426</v>
      </c>
      <c r="C408" s="441" t="s">
        <v>9</v>
      </c>
      <c r="S408" s="452"/>
      <c r="T408" s="452"/>
      <c r="U408" s="452"/>
      <c r="V408" s="452"/>
      <c r="W408" s="452"/>
      <c r="X408" s="452"/>
      <c r="Y408" s="452"/>
      <c r="Z408" s="452"/>
      <c r="AA408" s="452"/>
    </row>
    <row r="409" spans="1:27" ht="15" customHeight="1" x14ac:dyDescent="0.45">
      <c r="A409" s="441"/>
      <c r="B409" s="441" t="s">
        <v>901</v>
      </c>
      <c r="C409" s="441">
        <v>3</v>
      </c>
      <c r="D409" s="439">
        <v>33</v>
      </c>
      <c r="S409" s="452"/>
      <c r="T409" s="452"/>
      <c r="U409" s="452"/>
      <c r="V409" s="452"/>
      <c r="W409" s="452"/>
      <c r="X409" s="452"/>
      <c r="Y409" s="452"/>
      <c r="Z409" s="452"/>
      <c r="AA409" s="452"/>
    </row>
    <row r="410" spans="1:27" ht="15" customHeight="1" x14ac:dyDescent="0.45">
      <c r="A410" s="441" t="s">
        <v>1624</v>
      </c>
      <c r="B410" s="441" t="s">
        <v>1427</v>
      </c>
      <c r="C410" s="441" t="s">
        <v>2041</v>
      </c>
      <c r="D410" s="439" t="s">
        <v>2042</v>
      </c>
      <c r="S410" s="452"/>
      <c r="T410" s="452"/>
      <c r="U410" s="452"/>
      <c r="V410" s="452"/>
      <c r="W410" s="452"/>
      <c r="X410" s="452"/>
      <c r="Y410" s="452"/>
      <c r="Z410" s="452"/>
      <c r="AA410" s="452"/>
    </row>
    <row r="411" spans="1:27" ht="15" customHeight="1" x14ac:dyDescent="0.45">
      <c r="A411" s="441" t="s">
        <v>1625</v>
      </c>
      <c r="B411" s="441" t="s">
        <v>1428</v>
      </c>
      <c r="C411" s="441" t="s">
        <v>2043</v>
      </c>
      <c r="D411" s="439" t="s">
        <v>912</v>
      </c>
      <c r="S411" s="452"/>
      <c r="T411" s="452"/>
      <c r="U411" s="452"/>
      <c r="V411" s="452"/>
      <c r="W411" s="452"/>
      <c r="X411" s="452"/>
      <c r="Y411" s="452"/>
      <c r="Z411" s="452"/>
      <c r="AA411" s="452"/>
    </row>
    <row r="412" spans="1:27" ht="15" customHeight="1" x14ac:dyDescent="0.45">
      <c r="A412" s="441" t="s">
        <v>1626</v>
      </c>
      <c r="B412" s="441">
        <v>200</v>
      </c>
      <c r="C412" s="441" t="s">
        <v>2044</v>
      </c>
      <c r="D412" s="439" t="s">
        <v>2042</v>
      </c>
      <c r="S412" s="452"/>
      <c r="T412" s="452"/>
      <c r="U412" s="452"/>
      <c r="V412" s="452"/>
      <c r="W412" s="452"/>
      <c r="X412" s="452"/>
      <c r="Y412" s="452"/>
      <c r="Z412" s="452"/>
      <c r="AA412" s="452"/>
    </row>
    <row r="413" spans="1:27" ht="15" customHeight="1" x14ac:dyDescent="0.45">
      <c r="A413" s="441" t="s">
        <v>1627</v>
      </c>
      <c r="B413" s="441">
        <v>400</v>
      </c>
      <c r="C413" s="441" t="s">
        <v>2045</v>
      </c>
      <c r="D413" s="439" t="s">
        <v>2051</v>
      </c>
      <c r="S413" s="452"/>
      <c r="T413" s="452"/>
      <c r="U413" s="452"/>
      <c r="V413" s="452"/>
      <c r="W413" s="452"/>
      <c r="X413" s="452"/>
      <c r="Y413" s="452"/>
      <c r="Z413" s="452"/>
      <c r="AA413" s="452"/>
    </row>
    <row r="414" spans="1:27" ht="15" customHeight="1" x14ac:dyDescent="0.45">
      <c r="A414" s="441" t="s">
        <v>1628</v>
      </c>
      <c r="B414" s="447">
        <v>800</v>
      </c>
      <c r="C414" s="447" t="s">
        <v>2044</v>
      </c>
      <c r="D414" s="439" t="s">
        <v>2047</v>
      </c>
      <c r="S414" s="452"/>
      <c r="T414" s="452"/>
      <c r="U414" s="452"/>
      <c r="V414" s="452"/>
      <c r="W414" s="452"/>
      <c r="X414" s="452"/>
      <c r="Y414" s="452"/>
      <c r="Z414" s="452"/>
      <c r="AA414" s="452"/>
    </row>
    <row r="415" spans="1:27" ht="15" customHeight="1" x14ac:dyDescent="0.45">
      <c r="A415" s="441" t="s">
        <v>1629</v>
      </c>
      <c r="B415" s="441" t="s">
        <v>1429</v>
      </c>
      <c r="C415" s="447" t="s">
        <v>912</v>
      </c>
      <c r="D415" s="439" t="s">
        <v>912</v>
      </c>
      <c r="S415" s="452"/>
      <c r="T415" s="452"/>
      <c r="U415" s="452"/>
      <c r="V415" s="452"/>
      <c r="W415" s="452"/>
      <c r="X415" s="452"/>
      <c r="Y415" s="452"/>
      <c r="Z415" s="452"/>
      <c r="AA415" s="452"/>
    </row>
    <row r="416" spans="1:27" ht="15" customHeight="1" x14ac:dyDescent="0.45">
      <c r="A416" s="441" t="s">
        <v>1630</v>
      </c>
      <c r="B416" s="447">
        <v>1500</v>
      </c>
      <c r="C416" s="447" t="s">
        <v>2045</v>
      </c>
      <c r="D416" s="439" t="s">
        <v>2048</v>
      </c>
      <c r="S416" s="452"/>
      <c r="T416" s="452"/>
      <c r="U416" s="452"/>
      <c r="V416" s="452"/>
      <c r="W416" s="452"/>
      <c r="X416" s="452"/>
      <c r="Y416" s="452"/>
      <c r="Z416" s="452"/>
      <c r="AA416" s="452"/>
    </row>
    <row r="417" spans="1:27" ht="15" customHeight="1" x14ac:dyDescent="0.45">
      <c r="A417" s="441" t="s">
        <v>1631</v>
      </c>
      <c r="B417" s="441" t="s">
        <v>1430</v>
      </c>
      <c r="C417" s="447" t="s">
        <v>2048</v>
      </c>
      <c r="D417" s="439" t="s">
        <v>2049</v>
      </c>
      <c r="S417" s="452"/>
      <c r="T417" s="452"/>
      <c r="U417" s="452"/>
      <c r="V417" s="452"/>
      <c r="W417" s="452"/>
      <c r="X417" s="452"/>
      <c r="Y417" s="452"/>
      <c r="Z417" s="452"/>
      <c r="AA417" s="452"/>
    </row>
    <row r="418" spans="1:27" ht="15" customHeight="1" x14ac:dyDescent="0.45">
      <c r="A418" s="441" t="s">
        <v>1632</v>
      </c>
      <c r="B418" s="447">
        <v>3000</v>
      </c>
      <c r="C418" s="447"/>
      <c r="S418" s="452"/>
      <c r="T418" s="452"/>
      <c r="U418" s="452"/>
      <c r="V418" s="452"/>
      <c r="W418" s="452"/>
      <c r="X418" s="452"/>
      <c r="Y418" s="452"/>
      <c r="Z418" s="452"/>
      <c r="AA418" s="452"/>
    </row>
    <row r="419" spans="1:27" ht="15" customHeight="1" x14ac:dyDescent="0.45">
      <c r="A419" s="441" t="s">
        <v>1633</v>
      </c>
      <c r="B419" s="441" t="s">
        <v>1431</v>
      </c>
      <c r="C419" s="441"/>
      <c r="S419" s="452"/>
      <c r="T419" s="452"/>
      <c r="U419" s="452"/>
      <c r="V419" s="452"/>
      <c r="W419" s="452"/>
      <c r="X419" s="452"/>
      <c r="Y419" s="452"/>
      <c r="Z419" s="452"/>
      <c r="AA419" s="452"/>
    </row>
    <row r="420" spans="1:27" ht="15" customHeight="1" x14ac:dyDescent="0.45">
      <c r="A420" s="441" t="s">
        <v>1634</v>
      </c>
      <c r="B420" s="441" t="s">
        <v>902</v>
      </c>
      <c r="C420" s="441"/>
      <c r="S420" s="452"/>
      <c r="T420" s="452"/>
      <c r="U420" s="452"/>
      <c r="V420" s="452"/>
      <c r="W420" s="452"/>
      <c r="X420" s="452"/>
      <c r="Y420" s="452"/>
      <c r="Z420" s="452"/>
      <c r="AA420" s="452"/>
    </row>
    <row r="421" spans="1:27" ht="15" customHeight="1" x14ac:dyDescent="0.45">
      <c r="A421" s="441" t="s">
        <v>1635</v>
      </c>
      <c r="B421" s="447" t="s">
        <v>25</v>
      </c>
      <c r="C421" s="447" t="s">
        <v>2050</v>
      </c>
      <c r="D421" s="439" t="s">
        <v>2051</v>
      </c>
      <c r="S421" s="452"/>
      <c r="T421" s="452"/>
      <c r="U421" s="452"/>
      <c r="V421" s="452"/>
      <c r="W421" s="452"/>
      <c r="X421" s="452"/>
      <c r="Y421" s="452"/>
      <c r="Z421" s="452"/>
      <c r="AA421" s="452"/>
    </row>
    <row r="422" spans="1:27" ht="15" customHeight="1" x14ac:dyDescent="0.45">
      <c r="A422" s="441" t="s">
        <v>1636</v>
      </c>
      <c r="B422" s="441" t="s">
        <v>21</v>
      </c>
      <c r="C422" s="441" t="s">
        <v>2041</v>
      </c>
      <c r="D422" s="439" t="s">
        <v>2052</v>
      </c>
      <c r="S422" s="452"/>
      <c r="T422" s="452"/>
      <c r="U422" s="452"/>
      <c r="V422" s="452"/>
      <c r="W422" s="452"/>
      <c r="X422" s="452"/>
      <c r="Y422" s="452"/>
      <c r="Z422" s="452"/>
      <c r="AA422" s="452"/>
    </row>
    <row r="423" spans="1:27" ht="15" customHeight="1" x14ac:dyDescent="0.45">
      <c r="A423" s="441" t="s">
        <v>1637</v>
      </c>
      <c r="B423" s="447" t="s">
        <v>28</v>
      </c>
      <c r="C423" s="447" t="s">
        <v>2050</v>
      </c>
      <c r="D423" s="439" t="s">
        <v>2051</v>
      </c>
      <c r="S423" s="452"/>
      <c r="T423" s="452"/>
      <c r="U423" s="452"/>
      <c r="V423" s="452"/>
      <c r="W423" s="452"/>
      <c r="X423" s="452"/>
      <c r="Y423" s="452"/>
      <c r="Z423" s="452"/>
      <c r="AA423" s="452"/>
    </row>
    <row r="424" spans="1:27" ht="15" customHeight="1" x14ac:dyDescent="0.45">
      <c r="A424" s="441" t="s">
        <v>1638</v>
      </c>
      <c r="B424" s="447" t="s">
        <v>24</v>
      </c>
      <c r="C424" s="441" t="s">
        <v>2041</v>
      </c>
      <c r="D424" s="439" t="s">
        <v>2052</v>
      </c>
      <c r="S424" s="452"/>
      <c r="T424" s="452"/>
      <c r="U424" s="452"/>
      <c r="V424" s="452"/>
      <c r="W424" s="452"/>
      <c r="X424" s="452"/>
      <c r="Y424" s="452"/>
      <c r="Z424" s="452"/>
      <c r="AA424" s="452"/>
    </row>
    <row r="425" spans="1:27" ht="15" customHeight="1" x14ac:dyDescent="0.45">
      <c r="A425" s="441" t="s">
        <v>1639</v>
      </c>
      <c r="B425" s="441" t="s">
        <v>1432</v>
      </c>
      <c r="C425" s="441" t="s">
        <v>2043</v>
      </c>
      <c r="D425" s="439" t="s">
        <v>2049</v>
      </c>
      <c r="S425" s="452"/>
      <c r="T425" s="452"/>
      <c r="U425" s="452"/>
      <c r="V425" s="452"/>
      <c r="W425" s="452"/>
      <c r="X425" s="452"/>
      <c r="Y425" s="452"/>
      <c r="Z425" s="452"/>
      <c r="AA425" s="452"/>
    </row>
    <row r="426" spans="1:27" ht="15" customHeight="1" x14ac:dyDescent="0.45">
      <c r="A426" s="441" t="s">
        <v>1640</v>
      </c>
      <c r="B426" s="441" t="s">
        <v>1433</v>
      </c>
      <c r="C426" s="441"/>
      <c r="S426" s="452"/>
      <c r="T426" s="452"/>
      <c r="U426" s="452"/>
      <c r="V426" s="452"/>
      <c r="W426" s="452"/>
      <c r="X426" s="452"/>
      <c r="Y426" s="452"/>
      <c r="Z426" s="452"/>
      <c r="AA426" s="452"/>
    </row>
    <row r="427" spans="1:27" ht="15" customHeight="1" x14ac:dyDescent="0.45">
      <c r="A427" s="441" t="s">
        <v>1641</v>
      </c>
      <c r="B427" s="441" t="s">
        <v>1434</v>
      </c>
      <c r="C427" s="441" t="s">
        <v>2048</v>
      </c>
      <c r="D427" s="439" t="s">
        <v>912</v>
      </c>
      <c r="S427" s="452"/>
      <c r="T427" s="452"/>
      <c r="U427" s="452"/>
      <c r="V427" s="452"/>
      <c r="W427" s="452"/>
      <c r="X427" s="452"/>
      <c r="Y427" s="452"/>
      <c r="Z427" s="452"/>
      <c r="AA427" s="452"/>
    </row>
    <row r="428" spans="1:27" ht="15" customHeight="1" x14ac:dyDescent="0.45">
      <c r="A428" s="441" t="s">
        <v>1642</v>
      </c>
      <c r="B428" s="441" t="s">
        <v>1435</v>
      </c>
      <c r="C428" s="441" t="s">
        <v>2046</v>
      </c>
      <c r="D428" s="439" t="s">
        <v>912</v>
      </c>
      <c r="S428" s="452"/>
      <c r="T428" s="452"/>
      <c r="U428" s="452"/>
      <c r="V428" s="452"/>
      <c r="W428" s="452"/>
      <c r="X428" s="452"/>
      <c r="Y428" s="452"/>
      <c r="Z428" s="452"/>
      <c r="AA428" s="452"/>
    </row>
    <row r="429" spans="1:27" ht="15" customHeight="1" x14ac:dyDescent="0.45">
      <c r="A429" s="441" t="s">
        <v>1643</v>
      </c>
      <c r="B429" s="447" t="s">
        <v>1436</v>
      </c>
      <c r="C429" s="447" t="s">
        <v>2049</v>
      </c>
      <c r="D429" s="439" t="s">
        <v>2044</v>
      </c>
      <c r="S429" s="452"/>
      <c r="T429" s="452"/>
      <c r="U429" s="452"/>
      <c r="V429" s="452"/>
      <c r="W429" s="452"/>
      <c r="X429" s="452"/>
      <c r="Y429" s="452"/>
      <c r="Z429" s="452"/>
      <c r="AA429" s="452"/>
    </row>
    <row r="430" spans="1:27" ht="15" customHeight="1" x14ac:dyDescent="0.45">
      <c r="A430" s="441" t="s">
        <v>1644</v>
      </c>
      <c r="B430" s="441" t="s">
        <v>1437</v>
      </c>
      <c r="C430" s="447" t="s">
        <v>2042</v>
      </c>
      <c r="D430" s="439" t="s">
        <v>2041</v>
      </c>
      <c r="S430" s="452"/>
      <c r="T430" s="452"/>
      <c r="U430" s="452"/>
      <c r="V430" s="452"/>
      <c r="W430" s="452"/>
      <c r="X430" s="452"/>
      <c r="Y430" s="452"/>
      <c r="Z430" s="452"/>
      <c r="AA430" s="452"/>
    </row>
    <row r="431" spans="1:27" ht="15" customHeight="1" x14ac:dyDescent="0.45">
      <c r="A431" s="441" t="s">
        <v>1645</v>
      </c>
      <c r="B431" s="447" t="s">
        <v>1438</v>
      </c>
      <c r="C431" s="447" t="s">
        <v>2048</v>
      </c>
      <c r="D431" s="439" t="s">
        <v>2045</v>
      </c>
      <c r="S431" s="452"/>
      <c r="T431" s="452"/>
      <c r="U431" s="452"/>
      <c r="V431" s="452"/>
      <c r="W431" s="452"/>
      <c r="X431" s="452"/>
      <c r="Y431" s="452"/>
      <c r="Z431" s="452"/>
      <c r="AA431" s="452"/>
    </row>
    <row r="432" spans="1:27" ht="15" customHeight="1" x14ac:dyDescent="0.45">
      <c r="A432" s="441" t="s">
        <v>1646</v>
      </c>
      <c r="B432" s="447" t="s">
        <v>1439</v>
      </c>
      <c r="C432" s="447" t="s">
        <v>2047</v>
      </c>
      <c r="D432" s="439" t="s">
        <v>2051</v>
      </c>
      <c r="S432" s="452"/>
      <c r="T432" s="452"/>
      <c r="U432" s="452"/>
      <c r="V432" s="452"/>
      <c r="W432" s="452"/>
      <c r="X432" s="452"/>
      <c r="Y432" s="452"/>
      <c r="Z432" s="452"/>
      <c r="AA432" s="452"/>
    </row>
    <row r="433" spans="1:27" ht="15" customHeight="1" x14ac:dyDescent="0.45">
      <c r="A433" s="441"/>
      <c r="B433" s="441" t="s">
        <v>1424</v>
      </c>
      <c r="C433" s="441" t="s">
        <v>594</v>
      </c>
      <c r="S433" s="452"/>
      <c r="T433" s="452"/>
      <c r="U433" s="452"/>
      <c r="V433" s="452"/>
      <c r="W433" s="452"/>
      <c r="X433" s="452"/>
      <c r="Y433" s="452"/>
      <c r="Z433" s="452"/>
      <c r="AA433" s="452"/>
    </row>
    <row r="434" spans="1:27" ht="15" customHeight="1" x14ac:dyDescent="0.45">
      <c r="A434" s="441"/>
      <c r="B434" s="441" t="s">
        <v>1425</v>
      </c>
      <c r="C434" s="441" t="s">
        <v>617</v>
      </c>
      <c r="S434" s="452"/>
      <c r="T434" s="452"/>
      <c r="U434" s="452"/>
      <c r="V434" s="452"/>
      <c r="W434" s="452"/>
      <c r="X434" s="452"/>
      <c r="Y434" s="452"/>
      <c r="Z434" s="452"/>
      <c r="AA434" s="452"/>
    </row>
    <row r="435" spans="1:27" ht="15" customHeight="1" x14ac:dyDescent="0.45">
      <c r="A435" s="441"/>
      <c r="B435" s="441" t="s">
        <v>1426</v>
      </c>
      <c r="C435" s="441" t="s">
        <v>9</v>
      </c>
      <c r="S435" s="452"/>
      <c r="T435" s="452"/>
      <c r="U435" s="452"/>
      <c r="V435" s="452"/>
      <c r="W435" s="452"/>
      <c r="X435" s="452"/>
      <c r="Y435" s="452"/>
      <c r="Z435" s="452"/>
      <c r="AA435" s="452"/>
    </row>
    <row r="436" spans="1:27" ht="15" customHeight="1" x14ac:dyDescent="0.45">
      <c r="A436" s="441"/>
      <c r="B436" s="441" t="s">
        <v>901</v>
      </c>
      <c r="C436" s="441">
        <v>4</v>
      </c>
      <c r="D436" s="439">
        <v>44</v>
      </c>
      <c r="S436" s="452"/>
      <c r="T436" s="452"/>
      <c r="U436" s="452"/>
      <c r="V436" s="452"/>
      <c r="W436" s="452"/>
      <c r="X436" s="452"/>
      <c r="Y436" s="452"/>
      <c r="Z436" s="452"/>
      <c r="AA436" s="452"/>
    </row>
    <row r="437" spans="1:27" ht="15" customHeight="1" x14ac:dyDescent="0.45">
      <c r="A437" s="441" t="s">
        <v>1555</v>
      </c>
      <c r="B437" s="441" t="s">
        <v>1427</v>
      </c>
      <c r="C437" s="441" t="s">
        <v>2069</v>
      </c>
      <c r="D437" s="439" t="s">
        <v>2070</v>
      </c>
      <c r="S437" s="452"/>
      <c r="T437" s="452"/>
      <c r="U437" s="452"/>
      <c r="V437" s="452"/>
      <c r="W437" s="452"/>
      <c r="X437" s="452"/>
      <c r="Y437" s="452"/>
      <c r="Z437" s="452"/>
      <c r="AA437" s="452"/>
    </row>
    <row r="438" spans="1:27" ht="15" customHeight="1" x14ac:dyDescent="0.45">
      <c r="A438" s="441" t="s">
        <v>1556</v>
      </c>
      <c r="B438" s="441" t="s">
        <v>1428</v>
      </c>
      <c r="C438" s="441" t="s">
        <v>2071</v>
      </c>
      <c r="D438" s="439" t="s">
        <v>2072</v>
      </c>
      <c r="S438" s="452"/>
      <c r="T438" s="452"/>
      <c r="U438" s="452"/>
      <c r="V438" s="452"/>
      <c r="W438" s="452"/>
      <c r="X438" s="452"/>
      <c r="Y438" s="452"/>
      <c r="Z438" s="452"/>
      <c r="AA438" s="452"/>
    </row>
    <row r="439" spans="1:27" ht="15" customHeight="1" x14ac:dyDescent="0.45">
      <c r="A439" s="441" t="s">
        <v>1557</v>
      </c>
      <c r="B439" s="447">
        <v>200</v>
      </c>
      <c r="C439" s="447" t="s">
        <v>2069</v>
      </c>
      <c r="D439" s="439" t="s">
        <v>2072</v>
      </c>
      <c r="S439" s="452"/>
      <c r="T439" s="452"/>
      <c r="U439" s="452"/>
      <c r="V439" s="452"/>
      <c r="W439" s="452"/>
      <c r="X439" s="452"/>
      <c r="Y439" s="452"/>
      <c r="Z439" s="452"/>
      <c r="AA439" s="452"/>
    </row>
    <row r="440" spans="1:27" ht="15" customHeight="1" x14ac:dyDescent="0.45">
      <c r="A440" s="441" t="s">
        <v>1558</v>
      </c>
      <c r="B440" s="441">
        <v>400</v>
      </c>
      <c r="C440" s="441" t="s">
        <v>2073</v>
      </c>
      <c r="D440" s="439" t="s">
        <v>2074</v>
      </c>
      <c r="S440" s="452"/>
      <c r="T440" s="452"/>
      <c r="U440" s="452"/>
      <c r="V440" s="452"/>
      <c r="W440" s="452"/>
      <c r="X440" s="452"/>
      <c r="Y440" s="452"/>
      <c r="Z440" s="452"/>
      <c r="AA440" s="452"/>
    </row>
    <row r="441" spans="1:27" ht="15" customHeight="1" x14ac:dyDescent="0.45">
      <c r="A441" s="441" t="s">
        <v>1559</v>
      </c>
      <c r="B441" s="441">
        <v>800</v>
      </c>
      <c r="C441" s="441" t="s">
        <v>2075</v>
      </c>
      <c r="D441" s="439" t="s">
        <v>912</v>
      </c>
      <c r="S441" s="452"/>
      <c r="T441" s="452"/>
      <c r="U441" s="452"/>
      <c r="V441" s="452"/>
      <c r="W441" s="452"/>
      <c r="X441" s="452"/>
      <c r="Y441" s="452"/>
      <c r="Z441" s="452"/>
      <c r="AA441" s="452"/>
    </row>
    <row r="442" spans="1:27" ht="15" customHeight="1" x14ac:dyDescent="0.45">
      <c r="A442" s="441" t="s">
        <v>1560</v>
      </c>
      <c r="B442" s="441" t="s">
        <v>1429</v>
      </c>
      <c r="C442" s="441" t="s">
        <v>912</v>
      </c>
      <c r="D442" s="439" t="s">
        <v>912</v>
      </c>
      <c r="S442" s="452"/>
      <c r="T442" s="452"/>
      <c r="U442" s="452"/>
      <c r="V442" s="452"/>
      <c r="W442" s="452"/>
      <c r="X442" s="452"/>
      <c r="Y442" s="452"/>
      <c r="Z442" s="452"/>
      <c r="AA442" s="452"/>
    </row>
    <row r="443" spans="1:27" ht="15" customHeight="1" x14ac:dyDescent="0.45">
      <c r="A443" s="441" t="s">
        <v>1561</v>
      </c>
      <c r="B443" s="447">
        <v>1500</v>
      </c>
      <c r="C443" s="441" t="s">
        <v>2076</v>
      </c>
      <c r="D443" s="439" t="s">
        <v>912</v>
      </c>
      <c r="S443" s="452"/>
      <c r="T443" s="452"/>
      <c r="U443" s="452"/>
      <c r="V443" s="452"/>
      <c r="W443" s="452"/>
      <c r="X443" s="452"/>
      <c r="Y443" s="452"/>
      <c r="Z443" s="452"/>
      <c r="AA443" s="452"/>
    </row>
    <row r="444" spans="1:27" ht="15" customHeight="1" x14ac:dyDescent="0.45">
      <c r="A444" s="441" t="s">
        <v>1562</v>
      </c>
      <c r="B444" s="441" t="s">
        <v>1430</v>
      </c>
      <c r="C444" s="441" t="s">
        <v>912</v>
      </c>
      <c r="D444" s="439" t="s">
        <v>912</v>
      </c>
      <c r="S444" s="452"/>
      <c r="T444" s="452"/>
      <c r="U444" s="452"/>
      <c r="V444" s="452"/>
      <c r="W444" s="452"/>
      <c r="X444" s="452"/>
      <c r="Y444" s="452"/>
      <c r="Z444" s="452"/>
      <c r="AA444" s="452"/>
    </row>
    <row r="445" spans="1:27" ht="15" customHeight="1" x14ac:dyDescent="0.45">
      <c r="A445" s="441" t="s">
        <v>1563</v>
      </c>
      <c r="B445" s="441">
        <v>3000</v>
      </c>
      <c r="C445" s="441"/>
      <c r="S445" s="452"/>
      <c r="T445" s="452"/>
      <c r="U445" s="452"/>
      <c r="V445" s="452"/>
      <c r="W445" s="452"/>
      <c r="X445" s="452"/>
      <c r="Y445" s="452"/>
      <c r="Z445" s="452"/>
      <c r="AA445" s="452"/>
    </row>
    <row r="446" spans="1:27" ht="15" customHeight="1" x14ac:dyDescent="0.45">
      <c r="A446" s="441" t="s">
        <v>1564</v>
      </c>
      <c r="B446" s="447" t="s">
        <v>1431</v>
      </c>
      <c r="C446" s="447"/>
      <c r="S446" s="452"/>
      <c r="T446" s="452"/>
      <c r="U446" s="452"/>
      <c r="V446" s="452"/>
      <c r="W446" s="452"/>
      <c r="X446" s="452"/>
      <c r="Y446" s="452"/>
      <c r="Z446" s="452"/>
      <c r="AA446" s="452"/>
    </row>
    <row r="447" spans="1:27" ht="15" customHeight="1" x14ac:dyDescent="0.45">
      <c r="A447" s="441" t="s">
        <v>1565</v>
      </c>
      <c r="B447" s="441" t="s">
        <v>902</v>
      </c>
      <c r="C447" s="441"/>
      <c r="S447" s="452"/>
      <c r="T447" s="452"/>
      <c r="U447" s="452"/>
      <c r="V447" s="452"/>
      <c r="W447" s="452"/>
      <c r="X447" s="452"/>
      <c r="Y447" s="452"/>
      <c r="Z447" s="452"/>
      <c r="AA447" s="452"/>
    </row>
    <row r="448" spans="1:27" ht="15" customHeight="1" x14ac:dyDescent="0.45">
      <c r="A448" s="441" t="s">
        <v>1566</v>
      </c>
      <c r="B448" s="441" t="s">
        <v>25</v>
      </c>
      <c r="C448" s="441" t="s">
        <v>2075</v>
      </c>
      <c r="D448" s="439" t="s">
        <v>912</v>
      </c>
      <c r="S448" s="452"/>
      <c r="T448" s="452"/>
      <c r="U448" s="452"/>
      <c r="V448" s="452"/>
      <c r="W448" s="452"/>
      <c r="X448" s="452"/>
      <c r="Y448" s="452"/>
      <c r="Z448" s="452"/>
      <c r="AA448" s="452"/>
    </row>
    <row r="449" spans="1:27" ht="15" customHeight="1" x14ac:dyDescent="0.45">
      <c r="A449" s="441" t="s">
        <v>1567</v>
      </c>
      <c r="B449" s="441" t="s">
        <v>21</v>
      </c>
      <c r="C449" s="441" t="s">
        <v>2075</v>
      </c>
      <c r="D449" s="439" t="s">
        <v>912</v>
      </c>
      <c r="S449" s="452"/>
      <c r="T449" s="452"/>
      <c r="U449" s="452"/>
      <c r="V449" s="452"/>
      <c r="W449" s="452"/>
      <c r="X449" s="452"/>
      <c r="Y449" s="452"/>
      <c r="Z449" s="452"/>
      <c r="AA449" s="452"/>
    </row>
    <row r="450" spans="1:27" ht="15" customHeight="1" x14ac:dyDescent="0.45">
      <c r="A450" s="441" t="s">
        <v>1568</v>
      </c>
      <c r="B450" s="441" t="s">
        <v>28</v>
      </c>
      <c r="C450" s="441" t="s">
        <v>912</v>
      </c>
      <c r="D450" s="439" t="s">
        <v>912</v>
      </c>
      <c r="S450" s="452"/>
      <c r="T450" s="452"/>
      <c r="U450" s="452"/>
      <c r="V450" s="452"/>
      <c r="W450" s="452"/>
      <c r="X450" s="452"/>
      <c r="Y450" s="452"/>
      <c r="Z450" s="452"/>
      <c r="AA450" s="452"/>
    </row>
    <row r="451" spans="1:27" ht="15" customHeight="1" x14ac:dyDescent="0.45">
      <c r="A451" s="441" t="s">
        <v>1569</v>
      </c>
      <c r="B451" s="441" t="s">
        <v>24</v>
      </c>
      <c r="C451" s="441" t="s">
        <v>2077</v>
      </c>
      <c r="D451" s="439" t="s">
        <v>2074</v>
      </c>
      <c r="S451" s="452"/>
      <c r="T451" s="452"/>
      <c r="U451" s="452"/>
      <c r="V451" s="452"/>
      <c r="W451" s="452"/>
      <c r="X451" s="452"/>
      <c r="Y451" s="452"/>
      <c r="Z451" s="452"/>
      <c r="AA451" s="452"/>
    </row>
    <row r="452" spans="1:27" ht="15" customHeight="1" x14ac:dyDescent="0.45">
      <c r="A452" s="441" t="s">
        <v>1570</v>
      </c>
      <c r="B452" s="441" t="s">
        <v>1432</v>
      </c>
      <c r="C452" s="441" t="s">
        <v>2072</v>
      </c>
      <c r="D452" s="439" t="s">
        <v>2077</v>
      </c>
      <c r="S452" s="452"/>
      <c r="T452" s="452"/>
      <c r="U452" s="452"/>
      <c r="V452" s="452"/>
      <c r="W452" s="452"/>
      <c r="X452" s="452"/>
      <c r="Y452" s="452"/>
      <c r="Z452" s="452"/>
      <c r="AA452" s="452"/>
    </row>
    <row r="453" spans="1:27" ht="15" customHeight="1" x14ac:dyDescent="0.45">
      <c r="A453" s="441" t="s">
        <v>1571</v>
      </c>
      <c r="B453" s="441" t="s">
        <v>1433</v>
      </c>
      <c r="C453" s="441"/>
      <c r="S453" s="452"/>
      <c r="T453" s="452"/>
      <c r="U453" s="452"/>
      <c r="V453" s="452"/>
      <c r="W453" s="452"/>
      <c r="X453" s="452"/>
      <c r="Y453" s="452"/>
      <c r="Z453" s="452"/>
      <c r="AA453" s="452"/>
    </row>
    <row r="454" spans="1:27" ht="15" customHeight="1" x14ac:dyDescent="0.45">
      <c r="A454" s="441" t="s">
        <v>1572</v>
      </c>
      <c r="B454" s="441" t="s">
        <v>1434</v>
      </c>
      <c r="C454" s="441" t="s">
        <v>912</v>
      </c>
      <c r="D454" s="439" t="s">
        <v>912</v>
      </c>
      <c r="S454" s="452"/>
      <c r="T454" s="452"/>
      <c r="U454" s="452"/>
      <c r="V454" s="452"/>
      <c r="W454" s="452"/>
      <c r="X454" s="452"/>
      <c r="Y454" s="452"/>
      <c r="Z454" s="452"/>
      <c r="AA454" s="452"/>
    </row>
    <row r="455" spans="1:27" ht="15" customHeight="1" x14ac:dyDescent="0.45">
      <c r="A455" s="441" t="s">
        <v>1573</v>
      </c>
      <c r="B455" s="441" t="s">
        <v>1435</v>
      </c>
      <c r="C455" s="441" t="s">
        <v>912</v>
      </c>
      <c r="D455" s="439" t="s">
        <v>912</v>
      </c>
      <c r="S455" s="452"/>
      <c r="T455" s="452"/>
      <c r="U455" s="452"/>
      <c r="V455" s="452"/>
      <c r="W455" s="452"/>
      <c r="X455" s="452"/>
      <c r="Y455" s="452"/>
      <c r="Z455" s="452"/>
      <c r="AA455" s="452"/>
    </row>
    <row r="456" spans="1:27" ht="15" customHeight="1" x14ac:dyDescent="0.45">
      <c r="A456" s="441" t="s">
        <v>1574</v>
      </c>
      <c r="B456" s="441" t="s">
        <v>1436</v>
      </c>
      <c r="C456" s="441" t="s">
        <v>2071</v>
      </c>
      <c r="D456" s="439" t="s">
        <v>2070</v>
      </c>
      <c r="S456" s="452"/>
      <c r="T456" s="452"/>
      <c r="U456" s="452"/>
      <c r="V456" s="452"/>
      <c r="W456" s="452"/>
      <c r="X456" s="452"/>
      <c r="Y456" s="452"/>
      <c r="Z456" s="452"/>
      <c r="AA456" s="452"/>
    </row>
    <row r="457" spans="1:27" ht="15" customHeight="1" x14ac:dyDescent="0.45">
      <c r="A457" s="441" t="s">
        <v>1575</v>
      </c>
      <c r="B457" s="447" t="s">
        <v>1437</v>
      </c>
      <c r="C457" s="447" t="s">
        <v>2072</v>
      </c>
      <c r="D457" s="439" t="s">
        <v>2069</v>
      </c>
      <c r="S457" s="452"/>
      <c r="T457" s="452"/>
      <c r="U457" s="452"/>
      <c r="V457" s="452"/>
      <c r="W457" s="452"/>
      <c r="X457" s="452"/>
      <c r="Y457" s="452"/>
      <c r="Z457" s="452"/>
      <c r="AA457" s="452"/>
    </row>
    <row r="458" spans="1:27" ht="15" customHeight="1" x14ac:dyDescent="0.45">
      <c r="A458" s="441" t="s">
        <v>1576</v>
      </c>
      <c r="B458" s="447" t="s">
        <v>1438</v>
      </c>
      <c r="C458" s="447" t="s">
        <v>2076</v>
      </c>
      <c r="D458" s="439" t="s">
        <v>2077</v>
      </c>
      <c r="S458" s="452"/>
      <c r="T458" s="452"/>
      <c r="U458" s="452"/>
      <c r="V458" s="452"/>
      <c r="W458" s="452"/>
      <c r="X458" s="452"/>
      <c r="Y458" s="452"/>
      <c r="Z458" s="452"/>
      <c r="AA458" s="452"/>
    </row>
    <row r="459" spans="1:27" ht="15" customHeight="1" x14ac:dyDescent="0.45">
      <c r="A459" s="441" t="s">
        <v>1577</v>
      </c>
      <c r="B459" s="447" t="s">
        <v>1439</v>
      </c>
      <c r="C459" s="447" t="s">
        <v>2074</v>
      </c>
      <c r="D459" s="439" t="s">
        <v>2073</v>
      </c>
      <c r="S459" s="452"/>
      <c r="T459" s="452"/>
      <c r="U459" s="452"/>
      <c r="V459" s="452"/>
      <c r="W459" s="452"/>
      <c r="X459" s="452"/>
      <c r="Y459" s="452"/>
      <c r="Z459" s="452"/>
      <c r="AA459" s="452"/>
    </row>
    <row r="460" spans="1:27" ht="15" customHeight="1" x14ac:dyDescent="0.45">
      <c r="A460" s="441"/>
      <c r="B460" s="441" t="s">
        <v>1424</v>
      </c>
      <c r="C460" s="447" t="s">
        <v>115</v>
      </c>
      <c r="S460" s="452"/>
      <c r="T460" s="452"/>
      <c r="U460" s="452"/>
      <c r="V460" s="452"/>
      <c r="W460" s="452"/>
      <c r="X460" s="452"/>
      <c r="Y460" s="452"/>
      <c r="Z460" s="452"/>
      <c r="AA460" s="452"/>
    </row>
    <row r="461" spans="1:27" ht="15" customHeight="1" x14ac:dyDescent="0.45">
      <c r="A461" s="441"/>
      <c r="B461" s="441" t="s">
        <v>1425</v>
      </c>
      <c r="C461" s="441" t="s">
        <v>643</v>
      </c>
      <c r="S461" s="452"/>
      <c r="T461" s="452"/>
      <c r="U461" s="452"/>
      <c r="V461" s="452"/>
      <c r="W461" s="452"/>
      <c r="X461" s="452"/>
      <c r="Y461" s="452"/>
      <c r="Z461" s="452"/>
      <c r="AA461" s="452"/>
    </row>
    <row r="462" spans="1:27" ht="15" customHeight="1" x14ac:dyDescent="0.45">
      <c r="A462" s="441"/>
      <c r="B462" s="441" t="s">
        <v>1426</v>
      </c>
      <c r="C462" s="441" t="s">
        <v>9</v>
      </c>
      <c r="S462" s="452"/>
      <c r="T462" s="452"/>
      <c r="U462" s="452"/>
      <c r="V462" s="452"/>
      <c r="W462" s="452"/>
      <c r="X462" s="452"/>
      <c r="Y462" s="452"/>
      <c r="Z462" s="452"/>
      <c r="AA462" s="452"/>
    </row>
    <row r="463" spans="1:27" ht="15" customHeight="1" x14ac:dyDescent="0.45">
      <c r="A463" s="441"/>
      <c r="B463" s="441" t="s">
        <v>901</v>
      </c>
      <c r="C463" s="441">
        <v>5</v>
      </c>
      <c r="D463" s="439">
        <v>55</v>
      </c>
      <c r="S463" s="452"/>
      <c r="T463" s="452"/>
      <c r="U463" s="452"/>
      <c r="V463" s="452"/>
      <c r="W463" s="452"/>
      <c r="X463" s="452"/>
      <c r="Y463" s="452"/>
      <c r="Z463" s="452"/>
      <c r="AA463" s="452"/>
    </row>
    <row r="464" spans="1:27" ht="15" customHeight="1" x14ac:dyDescent="0.45">
      <c r="A464" s="441" t="s">
        <v>1647</v>
      </c>
      <c r="B464" s="447" t="s">
        <v>1427</v>
      </c>
      <c r="C464" s="447"/>
      <c r="S464" s="452"/>
      <c r="T464" s="452"/>
      <c r="U464" s="452"/>
      <c r="V464" s="452"/>
      <c r="W464" s="452"/>
      <c r="X464" s="452"/>
      <c r="Y464" s="452"/>
      <c r="Z464" s="452"/>
      <c r="AA464" s="452"/>
    </row>
    <row r="465" spans="1:27" ht="15" customHeight="1" x14ac:dyDescent="0.45">
      <c r="A465" s="441" t="s">
        <v>1648</v>
      </c>
      <c r="B465" s="441" t="s">
        <v>1428</v>
      </c>
      <c r="C465" s="441"/>
      <c r="S465" s="452"/>
      <c r="T465" s="452"/>
      <c r="U465" s="452"/>
      <c r="V465" s="452"/>
      <c r="W465" s="452"/>
      <c r="X465" s="452"/>
      <c r="Y465" s="452"/>
      <c r="Z465" s="452"/>
      <c r="AA465" s="452"/>
    </row>
    <row r="466" spans="1:27" ht="15" customHeight="1" x14ac:dyDescent="0.45">
      <c r="A466" s="441" t="s">
        <v>1649</v>
      </c>
      <c r="B466" s="447">
        <v>200</v>
      </c>
      <c r="C466" s="447"/>
      <c r="S466" s="452"/>
      <c r="T466" s="452"/>
      <c r="U466" s="452"/>
      <c r="V466" s="452"/>
      <c r="W466" s="452"/>
      <c r="X466" s="452"/>
      <c r="Y466" s="452"/>
      <c r="Z466" s="452"/>
      <c r="AA466" s="452"/>
    </row>
    <row r="467" spans="1:27" ht="15" customHeight="1" x14ac:dyDescent="0.45">
      <c r="A467" s="441" t="s">
        <v>1650</v>
      </c>
      <c r="B467" s="441">
        <v>400</v>
      </c>
      <c r="C467" s="447" t="s">
        <v>2078</v>
      </c>
      <c r="S467" s="452"/>
      <c r="T467" s="452"/>
      <c r="U467" s="452"/>
      <c r="V467" s="452"/>
      <c r="W467" s="452"/>
      <c r="X467" s="452"/>
      <c r="Y467" s="452"/>
      <c r="Z467" s="452"/>
      <c r="AA467" s="452"/>
    </row>
    <row r="468" spans="1:27" ht="15" customHeight="1" x14ac:dyDescent="0.45">
      <c r="A468" s="441" t="s">
        <v>1651</v>
      </c>
      <c r="B468" s="441">
        <v>800</v>
      </c>
      <c r="C468" s="441" t="s">
        <v>2078</v>
      </c>
      <c r="S468" s="452"/>
      <c r="T468" s="452"/>
      <c r="U468" s="452"/>
      <c r="V468" s="452"/>
      <c r="W468" s="452"/>
      <c r="X468" s="452"/>
      <c r="Y468" s="452"/>
      <c r="Z468" s="452"/>
      <c r="AA468" s="452"/>
    </row>
    <row r="469" spans="1:27" ht="15" customHeight="1" x14ac:dyDescent="0.45">
      <c r="A469" s="441" t="s">
        <v>1652</v>
      </c>
      <c r="B469" s="441" t="s">
        <v>1429</v>
      </c>
      <c r="C469" s="441"/>
      <c r="S469" s="452"/>
      <c r="T469" s="452"/>
      <c r="U469" s="452"/>
      <c r="V469" s="452"/>
      <c r="W469" s="452"/>
      <c r="X469" s="452"/>
      <c r="Y469" s="452"/>
      <c r="Z469" s="452"/>
      <c r="AA469" s="452"/>
    </row>
    <row r="470" spans="1:27" ht="15" customHeight="1" x14ac:dyDescent="0.45">
      <c r="A470" s="441" t="s">
        <v>1653</v>
      </c>
      <c r="B470" s="447">
        <v>1500</v>
      </c>
      <c r="C470" s="447"/>
      <c r="S470" s="452"/>
      <c r="T470" s="452"/>
      <c r="U470" s="452"/>
      <c r="V470" s="452"/>
      <c r="W470" s="452"/>
      <c r="X470" s="452"/>
      <c r="Y470" s="452"/>
      <c r="Z470" s="452"/>
      <c r="AA470" s="452"/>
    </row>
    <row r="471" spans="1:27" ht="15" customHeight="1" x14ac:dyDescent="0.45">
      <c r="A471" s="441" t="s">
        <v>1654</v>
      </c>
      <c r="B471" s="447" t="s">
        <v>1430</v>
      </c>
      <c r="C471" s="447"/>
      <c r="S471" s="452"/>
      <c r="T471" s="452"/>
      <c r="U471" s="452"/>
      <c r="V471" s="452"/>
      <c r="W471" s="452"/>
      <c r="X471" s="452"/>
      <c r="Y471" s="452"/>
      <c r="Z471" s="452"/>
      <c r="AA471" s="452"/>
    </row>
    <row r="472" spans="1:27" ht="15" customHeight="1" x14ac:dyDescent="0.45">
      <c r="A472" s="441" t="s">
        <v>1655</v>
      </c>
      <c r="B472" s="447">
        <v>3000</v>
      </c>
      <c r="C472" s="447"/>
      <c r="S472" s="452"/>
      <c r="T472" s="452"/>
      <c r="U472" s="452"/>
      <c r="V472" s="452"/>
      <c r="W472" s="452"/>
      <c r="X472" s="452"/>
      <c r="Y472" s="452"/>
      <c r="Z472" s="452"/>
      <c r="AA472" s="452"/>
    </row>
    <row r="473" spans="1:27" ht="15" customHeight="1" x14ac:dyDescent="0.45">
      <c r="A473" s="441" t="s">
        <v>1656</v>
      </c>
      <c r="B473" s="441" t="s">
        <v>1431</v>
      </c>
      <c r="C473" s="441"/>
      <c r="S473" s="452"/>
      <c r="T473" s="452"/>
      <c r="U473" s="452"/>
      <c r="V473" s="452"/>
      <c r="W473" s="452"/>
      <c r="X473" s="452"/>
      <c r="Y473" s="452"/>
      <c r="Z473" s="452"/>
      <c r="AA473" s="452"/>
    </row>
    <row r="474" spans="1:27" ht="15" customHeight="1" x14ac:dyDescent="0.45">
      <c r="A474" s="441" t="s">
        <v>1657</v>
      </c>
      <c r="B474" s="441" t="s">
        <v>902</v>
      </c>
      <c r="C474" s="441"/>
      <c r="S474" s="452"/>
      <c r="T474" s="452"/>
      <c r="U474" s="452"/>
      <c r="V474" s="452"/>
      <c r="W474" s="452"/>
      <c r="X474" s="452"/>
      <c r="Y474" s="452"/>
      <c r="Z474" s="452"/>
      <c r="AA474" s="452"/>
    </row>
    <row r="475" spans="1:27" ht="15" customHeight="1" x14ac:dyDescent="0.45">
      <c r="A475" s="441" t="s">
        <v>1658</v>
      </c>
      <c r="B475" s="441" t="s">
        <v>25</v>
      </c>
      <c r="C475" s="441" t="s">
        <v>2079</v>
      </c>
      <c r="S475" s="452"/>
      <c r="T475" s="452"/>
      <c r="U475" s="452"/>
      <c r="V475" s="452"/>
      <c r="W475" s="452"/>
      <c r="X475" s="452"/>
      <c r="Y475" s="452"/>
      <c r="Z475" s="452"/>
      <c r="AA475" s="452"/>
    </row>
    <row r="476" spans="1:27" ht="15" customHeight="1" x14ac:dyDescent="0.45">
      <c r="A476" s="441" t="s">
        <v>1659</v>
      </c>
      <c r="B476" s="441" t="s">
        <v>21</v>
      </c>
      <c r="C476" s="441" t="s">
        <v>912</v>
      </c>
      <c r="S476" s="452"/>
      <c r="T476" s="452"/>
      <c r="U476" s="452"/>
      <c r="V476" s="452"/>
      <c r="W476" s="452"/>
      <c r="X476" s="452"/>
      <c r="Y476" s="452"/>
      <c r="Z476" s="452"/>
      <c r="AA476" s="452"/>
    </row>
    <row r="477" spans="1:27" ht="15" customHeight="1" x14ac:dyDescent="0.45">
      <c r="A477" s="441" t="s">
        <v>1660</v>
      </c>
      <c r="B477" s="441" t="s">
        <v>28</v>
      </c>
      <c r="C477" s="441" t="s">
        <v>2079</v>
      </c>
      <c r="D477" s="439" t="s">
        <v>2078</v>
      </c>
      <c r="S477" s="452"/>
      <c r="T477" s="452"/>
      <c r="U477" s="452"/>
      <c r="V477" s="452"/>
      <c r="W477" s="452"/>
      <c r="X477" s="452"/>
      <c r="Y477" s="452"/>
      <c r="Z477" s="452"/>
      <c r="AA477" s="452"/>
    </row>
    <row r="478" spans="1:27" ht="15" customHeight="1" x14ac:dyDescent="0.45">
      <c r="A478" s="441" t="s">
        <v>1661</v>
      </c>
      <c r="B478" s="441" t="s">
        <v>24</v>
      </c>
      <c r="C478" s="441" t="s">
        <v>2079</v>
      </c>
      <c r="D478" s="439" t="s">
        <v>2078</v>
      </c>
      <c r="S478" s="452"/>
      <c r="T478" s="452"/>
      <c r="U478" s="452"/>
      <c r="V478" s="452"/>
      <c r="W478" s="452"/>
      <c r="X478" s="452"/>
      <c r="Y478" s="452"/>
      <c r="Z478" s="452"/>
      <c r="AA478" s="452"/>
    </row>
    <row r="479" spans="1:27" ht="15" customHeight="1" x14ac:dyDescent="0.45">
      <c r="A479" s="441" t="s">
        <v>1662</v>
      </c>
      <c r="B479" s="441" t="s">
        <v>1432</v>
      </c>
      <c r="C479" s="441"/>
      <c r="S479" s="452"/>
      <c r="T479" s="452"/>
      <c r="U479" s="452"/>
      <c r="V479" s="452"/>
      <c r="W479" s="452"/>
      <c r="X479" s="452"/>
      <c r="Y479" s="452"/>
      <c r="Z479" s="452"/>
      <c r="AA479" s="452"/>
    </row>
    <row r="480" spans="1:27" ht="15" customHeight="1" x14ac:dyDescent="0.45">
      <c r="A480" s="441" t="s">
        <v>1663</v>
      </c>
      <c r="B480" s="441" t="s">
        <v>1433</v>
      </c>
      <c r="C480" s="441"/>
      <c r="S480" s="452"/>
      <c r="T480" s="452"/>
      <c r="U480" s="452"/>
      <c r="V480" s="452"/>
      <c r="W480" s="452"/>
      <c r="X480" s="452"/>
      <c r="Y480" s="452"/>
      <c r="Z480" s="452"/>
      <c r="AA480" s="452"/>
    </row>
    <row r="481" spans="1:27" ht="15" customHeight="1" x14ac:dyDescent="0.45">
      <c r="A481" s="441" t="s">
        <v>1664</v>
      </c>
      <c r="B481" s="441" t="s">
        <v>1434</v>
      </c>
      <c r="C481" s="441"/>
      <c r="S481" s="452"/>
      <c r="T481" s="452"/>
      <c r="U481" s="452"/>
      <c r="V481" s="452"/>
      <c r="W481" s="452"/>
      <c r="X481" s="452"/>
      <c r="Y481" s="452"/>
      <c r="Z481" s="452"/>
      <c r="AA481" s="452"/>
    </row>
    <row r="482" spans="1:27" ht="15" customHeight="1" x14ac:dyDescent="0.45">
      <c r="A482" s="441" t="s">
        <v>1665</v>
      </c>
      <c r="B482" s="447" t="s">
        <v>1435</v>
      </c>
      <c r="C482" s="447"/>
      <c r="D482" s="439" t="s">
        <v>912</v>
      </c>
      <c r="S482" s="452"/>
      <c r="T482" s="452"/>
      <c r="U482" s="452"/>
      <c r="V482" s="452"/>
      <c r="W482" s="452"/>
      <c r="X482" s="452"/>
      <c r="Y482" s="452"/>
      <c r="Z482" s="452"/>
      <c r="AA482" s="452"/>
    </row>
    <row r="483" spans="1:27" ht="15" customHeight="1" x14ac:dyDescent="0.45">
      <c r="A483" s="441" t="s">
        <v>1666</v>
      </c>
      <c r="B483" s="441" t="s">
        <v>1436</v>
      </c>
      <c r="C483" s="447"/>
      <c r="S483" s="452"/>
      <c r="T483" s="452"/>
      <c r="U483" s="452"/>
      <c r="V483" s="452"/>
      <c r="W483" s="452"/>
      <c r="X483" s="452"/>
      <c r="Y483" s="452"/>
      <c r="Z483" s="452"/>
      <c r="AA483" s="452"/>
    </row>
    <row r="484" spans="1:27" ht="15" customHeight="1" x14ac:dyDescent="0.45">
      <c r="A484" s="441" t="s">
        <v>1667</v>
      </c>
      <c r="B484" s="441" t="s">
        <v>1437</v>
      </c>
      <c r="C484" s="441"/>
      <c r="S484" s="452"/>
      <c r="T484" s="452"/>
      <c r="U484" s="452"/>
      <c r="V484" s="452"/>
      <c r="W484" s="452"/>
      <c r="X484" s="452"/>
      <c r="Y484" s="452"/>
      <c r="Z484" s="452"/>
      <c r="AA484" s="452"/>
    </row>
    <row r="485" spans="1:27" ht="15" customHeight="1" x14ac:dyDescent="0.45">
      <c r="A485" s="441" t="s">
        <v>1668</v>
      </c>
      <c r="B485" s="441" t="s">
        <v>1438</v>
      </c>
      <c r="C485" s="441"/>
      <c r="S485" s="452"/>
      <c r="T485" s="452"/>
      <c r="U485" s="452"/>
      <c r="V485" s="452"/>
      <c r="W485" s="452"/>
      <c r="X485" s="452"/>
      <c r="Y485" s="452"/>
      <c r="Z485" s="452"/>
      <c r="AA485" s="452"/>
    </row>
    <row r="486" spans="1:27" ht="15" customHeight="1" x14ac:dyDescent="0.45">
      <c r="A486" s="441" t="s">
        <v>1669</v>
      </c>
      <c r="B486" s="441" t="s">
        <v>1439</v>
      </c>
      <c r="C486" s="441"/>
      <c r="S486" s="452"/>
      <c r="T486" s="452"/>
      <c r="U486" s="452"/>
      <c r="V486" s="452"/>
      <c r="W486" s="452"/>
      <c r="X486" s="452"/>
      <c r="Y486" s="452"/>
      <c r="Z486" s="452"/>
      <c r="AA486" s="452"/>
    </row>
    <row r="487" spans="1:27" ht="15" customHeight="1" x14ac:dyDescent="0.45">
      <c r="A487" s="441"/>
      <c r="B487" s="441" t="s">
        <v>1424</v>
      </c>
      <c r="C487" s="441" t="s">
        <v>594</v>
      </c>
      <c r="S487" s="452"/>
      <c r="T487" s="452"/>
      <c r="U487" s="452"/>
      <c r="V487" s="452"/>
      <c r="W487" s="452"/>
      <c r="X487" s="452"/>
      <c r="Y487" s="452"/>
      <c r="Z487" s="452"/>
      <c r="AA487" s="452"/>
    </row>
    <row r="488" spans="1:27" ht="15" customHeight="1" x14ac:dyDescent="0.45">
      <c r="A488" s="441"/>
      <c r="B488" s="441" t="s">
        <v>1425</v>
      </c>
      <c r="C488" s="441" t="s">
        <v>617</v>
      </c>
      <c r="S488" s="452"/>
      <c r="T488" s="452"/>
      <c r="U488" s="452"/>
      <c r="V488" s="452"/>
      <c r="W488" s="452"/>
      <c r="X488" s="452"/>
      <c r="Y488" s="452"/>
      <c r="Z488" s="452"/>
      <c r="AA488" s="452"/>
    </row>
    <row r="489" spans="1:27" ht="15" customHeight="1" x14ac:dyDescent="0.45">
      <c r="A489" s="441"/>
      <c r="B489" s="447" t="s">
        <v>1426</v>
      </c>
      <c r="C489" s="447" t="s">
        <v>9</v>
      </c>
      <c r="S489" s="452"/>
      <c r="T489" s="452"/>
      <c r="U489" s="452"/>
      <c r="V489" s="452"/>
      <c r="W489" s="452"/>
      <c r="X489" s="452"/>
      <c r="Y489" s="452"/>
      <c r="Z489" s="452"/>
      <c r="AA489" s="452"/>
    </row>
    <row r="490" spans="1:27" ht="15" customHeight="1" x14ac:dyDescent="0.45">
      <c r="A490" s="441"/>
      <c r="B490" s="441" t="s">
        <v>901</v>
      </c>
      <c r="C490" s="441">
        <v>4</v>
      </c>
      <c r="D490" s="439">
        <v>44</v>
      </c>
      <c r="S490" s="452"/>
      <c r="T490" s="452"/>
      <c r="U490" s="452"/>
      <c r="V490" s="452"/>
      <c r="W490" s="452"/>
      <c r="X490" s="452"/>
      <c r="Y490" s="452"/>
      <c r="Z490" s="452"/>
      <c r="AA490" s="452"/>
    </row>
    <row r="491" spans="1:27" ht="15" customHeight="1" x14ac:dyDescent="0.45">
      <c r="A491" s="441" t="s">
        <v>1555</v>
      </c>
      <c r="B491" s="441" t="s">
        <v>1427</v>
      </c>
      <c r="C491" s="441" t="s">
        <v>2069</v>
      </c>
      <c r="D491" s="439" t="s">
        <v>2070</v>
      </c>
      <c r="S491" s="452"/>
      <c r="T491" s="452"/>
      <c r="U491" s="452"/>
      <c r="V491" s="452"/>
      <c r="W491" s="452"/>
      <c r="X491" s="452"/>
      <c r="Y491" s="452"/>
      <c r="Z491" s="452"/>
      <c r="AA491" s="452"/>
    </row>
    <row r="492" spans="1:27" ht="15" customHeight="1" x14ac:dyDescent="0.45">
      <c r="A492" s="441" t="s">
        <v>1556</v>
      </c>
      <c r="B492" s="441" t="s">
        <v>1428</v>
      </c>
      <c r="C492" s="441" t="s">
        <v>2071</v>
      </c>
      <c r="D492" s="439" t="s">
        <v>2072</v>
      </c>
      <c r="S492" s="452"/>
      <c r="T492" s="452"/>
      <c r="U492" s="452"/>
      <c r="V492" s="452"/>
      <c r="W492" s="452"/>
      <c r="X492" s="452"/>
      <c r="Y492" s="452"/>
      <c r="Z492" s="452"/>
      <c r="AA492" s="452"/>
    </row>
    <row r="493" spans="1:27" ht="15" customHeight="1" x14ac:dyDescent="0.45">
      <c r="A493" s="441" t="s">
        <v>1557</v>
      </c>
      <c r="B493" s="447">
        <v>200</v>
      </c>
      <c r="C493" s="447" t="s">
        <v>2069</v>
      </c>
      <c r="D493" s="439" t="s">
        <v>2072</v>
      </c>
      <c r="S493" s="452"/>
      <c r="T493" s="452"/>
      <c r="U493" s="452"/>
      <c r="V493" s="452"/>
      <c r="W493" s="452"/>
      <c r="X493" s="452"/>
      <c r="Y493" s="452"/>
      <c r="Z493" s="452"/>
      <c r="AA493" s="452"/>
    </row>
    <row r="494" spans="1:27" ht="15" customHeight="1" x14ac:dyDescent="0.45">
      <c r="A494" s="441" t="s">
        <v>1558</v>
      </c>
      <c r="B494" s="441">
        <v>400</v>
      </c>
      <c r="C494" s="441" t="s">
        <v>2073</v>
      </c>
      <c r="D494" s="439" t="s">
        <v>2074</v>
      </c>
      <c r="S494" s="452"/>
      <c r="T494" s="452"/>
      <c r="U494" s="452"/>
      <c r="V494" s="452"/>
      <c r="W494" s="452"/>
      <c r="X494" s="452"/>
      <c r="Y494" s="452"/>
      <c r="Z494" s="452"/>
      <c r="AA494" s="452"/>
    </row>
    <row r="495" spans="1:27" ht="15" customHeight="1" x14ac:dyDescent="0.45">
      <c r="A495" s="441" t="s">
        <v>1559</v>
      </c>
      <c r="B495" s="441">
        <v>800</v>
      </c>
      <c r="C495" s="441" t="s">
        <v>2075</v>
      </c>
      <c r="D495" s="439" t="s">
        <v>912</v>
      </c>
      <c r="S495" s="452"/>
      <c r="T495" s="452"/>
      <c r="U495" s="452"/>
      <c r="V495" s="452"/>
      <c r="W495" s="452"/>
      <c r="X495" s="452"/>
      <c r="Y495" s="452"/>
      <c r="Z495" s="452"/>
      <c r="AA495" s="452"/>
    </row>
    <row r="496" spans="1:27" ht="15" customHeight="1" x14ac:dyDescent="0.45">
      <c r="A496" s="441" t="s">
        <v>1560</v>
      </c>
      <c r="B496" s="447" t="s">
        <v>1429</v>
      </c>
      <c r="C496" s="447" t="s">
        <v>912</v>
      </c>
      <c r="D496" s="439" t="s">
        <v>912</v>
      </c>
      <c r="S496" s="452"/>
      <c r="T496" s="452"/>
      <c r="U496" s="452"/>
      <c r="V496" s="452"/>
      <c r="W496" s="452"/>
      <c r="X496" s="452"/>
      <c r="Y496" s="452"/>
      <c r="Z496" s="452"/>
      <c r="AA496" s="452"/>
    </row>
    <row r="497" spans="1:27" ht="15" customHeight="1" x14ac:dyDescent="0.45">
      <c r="A497" s="441" t="s">
        <v>1561</v>
      </c>
      <c r="B497" s="441">
        <v>1500</v>
      </c>
      <c r="C497" s="441" t="s">
        <v>2076</v>
      </c>
      <c r="D497" s="439" t="s">
        <v>912</v>
      </c>
      <c r="S497" s="452"/>
      <c r="T497" s="452"/>
      <c r="U497" s="452"/>
      <c r="V497" s="452"/>
      <c r="W497" s="452"/>
      <c r="X497" s="452"/>
      <c r="Y497" s="452"/>
      <c r="Z497" s="452"/>
      <c r="AA497" s="452"/>
    </row>
    <row r="498" spans="1:27" ht="15" customHeight="1" x14ac:dyDescent="0.45">
      <c r="A498" s="441" t="s">
        <v>1562</v>
      </c>
      <c r="B498" s="441" t="s">
        <v>1430</v>
      </c>
      <c r="C498" s="441" t="s">
        <v>912</v>
      </c>
      <c r="D498" s="439" t="s">
        <v>912</v>
      </c>
      <c r="S498" s="452"/>
      <c r="T498" s="452"/>
      <c r="U498" s="452"/>
      <c r="V498" s="452"/>
      <c r="W498" s="452"/>
      <c r="X498" s="452"/>
      <c r="Y498" s="452"/>
      <c r="Z498" s="452"/>
      <c r="AA498" s="452"/>
    </row>
    <row r="499" spans="1:27" ht="15" customHeight="1" x14ac:dyDescent="0.45">
      <c r="A499" s="441" t="s">
        <v>1563</v>
      </c>
      <c r="B499" s="441">
        <v>3000</v>
      </c>
      <c r="C499" s="447"/>
      <c r="S499" s="452"/>
      <c r="T499" s="452"/>
      <c r="U499" s="452"/>
      <c r="V499" s="452"/>
      <c r="W499" s="452"/>
      <c r="X499" s="452"/>
      <c r="Y499" s="452"/>
      <c r="Z499" s="452"/>
      <c r="AA499" s="452"/>
    </row>
    <row r="500" spans="1:27" ht="15" customHeight="1" x14ac:dyDescent="0.45">
      <c r="A500" s="441" t="s">
        <v>1564</v>
      </c>
      <c r="B500" s="441" t="s">
        <v>1431</v>
      </c>
      <c r="C500" s="441"/>
      <c r="S500" s="452"/>
      <c r="T500" s="452"/>
      <c r="U500" s="452"/>
      <c r="V500" s="452"/>
      <c r="W500" s="452"/>
      <c r="X500" s="452"/>
      <c r="Y500" s="452"/>
      <c r="Z500" s="452"/>
      <c r="AA500" s="452"/>
    </row>
    <row r="501" spans="1:27" ht="15" customHeight="1" x14ac:dyDescent="0.45">
      <c r="A501" s="441" t="s">
        <v>1565</v>
      </c>
      <c r="B501" s="441" t="s">
        <v>902</v>
      </c>
      <c r="C501" s="441"/>
      <c r="S501" s="452"/>
      <c r="T501" s="452"/>
      <c r="U501" s="452"/>
      <c r="V501" s="452"/>
      <c r="W501" s="452"/>
      <c r="X501" s="452"/>
      <c r="Y501" s="452"/>
      <c r="Z501" s="452"/>
      <c r="AA501" s="452"/>
    </row>
    <row r="502" spans="1:27" ht="15" customHeight="1" x14ac:dyDescent="0.45">
      <c r="A502" s="441" t="s">
        <v>1566</v>
      </c>
      <c r="B502" s="441" t="s">
        <v>25</v>
      </c>
      <c r="C502" s="441" t="s">
        <v>2075</v>
      </c>
      <c r="D502" s="439" t="s">
        <v>912</v>
      </c>
      <c r="S502" s="452"/>
      <c r="T502" s="452"/>
      <c r="U502" s="452"/>
      <c r="V502" s="452"/>
      <c r="W502" s="452"/>
      <c r="X502" s="452"/>
      <c r="Y502" s="452"/>
      <c r="Z502" s="452"/>
      <c r="AA502" s="452"/>
    </row>
    <row r="503" spans="1:27" ht="15" customHeight="1" x14ac:dyDescent="0.45">
      <c r="A503" s="441" t="s">
        <v>1567</v>
      </c>
      <c r="B503" s="441" t="s">
        <v>21</v>
      </c>
      <c r="C503" s="441" t="s">
        <v>2075</v>
      </c>
      <c r="D503" s="439" t="s">
        <v>912</v>
      </c>
      <c r="S503" s="452"/>
      <c r="T503" s="452"/>
      <c r="U503" s="452"/>
      <c r="V503" s="452"/>
      <c r="W503" s="452"/>
      <c r="X503" s="452"/>
      <c r="Y503" s="452"/>
      <c r="Z503" s="452"/>
      <c r="AA503" s="452"/>
    </row>
    <row r="504" spans="1:27" ht="15" customHeight="1" x14ac:dyDescent="0.45">
      <c r="A504" s="441" t="s">
        <v>1568</v>
      </c>
      <c r="B504" s="441" t="s">
        <v>28</v>
      </c>
      <c r="C504" s="441" t="s">
        <v>912</v>
      </c>
      <c r="D504" s="439" t="s">
        <v>912</v>
      </c>
      <c r="S504" s="452"/>
      <c r="T504" s="452"/>
      <c r="U504" s="452"/>
      <c r="V504" s="452"/>
      <c r="W504" s="452"/>
      <c r="X504" s="452"/>
      <c r="Y504" s="452"/>
      <c r="Z504" s="452"/>
      <c r="AA504" s="452"/>
    </row>
    <row r="505" spans="1:27" ht="15" customHeight="1" x14ac:dyDescent="0.45">
      <c r="A505" s="441" t="s">
        <v>1569</v>
      </c>
      <c r="B505" s="447" t="s">
        <v>24</v>
      </c>
      <c r="C505" s="447" t="s">
        <v>2077</v>
      </c>
      <c r="D505" s="439" t="s">
        <v>2074</v>
      </c>
      <c r="S505" s="452"/>
      <c r="T505" s="452"/>
      <c r="U505" s="452"/>
      <c r="V505" s="452"/>
      <c r="W505" s="452"/>
      <c r="X505" s="452"/>
      <c r="Y505" s="452"/>
      <c r="Z505" s="452"/>
      <c r="AA505" s="452"/>
    </row>
    <row r="506" spans="1:27" ht="15" customHeight="1" x14ac:dyDescent="0.45">
      <c r="A506" s="441" t="s">
        <v>1570</v>
      </c>
      <c r="B506" s="447" t="s">
        <v>1432</v>
      </c>
      <c r="C506" s="447" t="s">
        <v>2072</v>
      </c>
      <c r="D506" s="439" t="s">
        <v>2077</v>
      </c>
      <c r="S506" s="452"/>
      <c r="T506" s="452"/>
      <c r="U506" s="452"/>
      <c r="V506" s="452"/>
      <c r="W506" s="452"/>
      <c r="X506" s="452"/>
      <c r="Y506" s="452"/>
      <c r="Z506" s="452"/>
      <c r="AA506" s="452"/>
    </row>
    <row r="507" spans="1:27" ht="15" customHeight="1" x14ac:dyDescent="0.45">
      <c r="A507" s="441" t="s">
        <v>1571</v>
      </c>
      <c r="B507" s="441" t="s">
        <v>1433</v>
      </c>
      <c r="C507" s="441"/>
      <c r="S507" s="452"/>
      <c r="T507" s="452"/>
      <c r="U507" s="452"/>
      <c r="V507" s="452"/>
      <c r="W507" s="452"/>
      <c r="X507" s="452"/>
      <c r="Y507" s="452"/>
      <c r="Z507" s="452"/>
      <c r="AA507" s="452"/>
    </row>
    <row r="508" spans="1:27" ht="15" customHeight="1" x14ac:dyDescent="0.45">
      <c r="A508" s="441" t="s">
        <v>1572</v>
      </c>
      <c r="B508" s="447" t="s">
        <v>1434</v>
      </c>
      <c r="C508" s="447" t="s">
        <v>912</v>
      </c>
      <c r="D508" s="439" t="s">
        <v>912</v>
      </c>
      <c r="S508" s="452"/>
      <c r="T508" s="452"/>
      <c r="U508" s="452"/>
      <c r="V508" s="452"/>
      <c r="W508" s="452"/>
      <c r="X508" s="452"/>
      <c r="Y508" s="452"/>
      <c r="Z508" s="452"/>
      <c r="AA508" s="452"/>
    </row>
    <row r="509" spans="1:27" ht="15" customHeight="1" x14ac:dyDescent="0.45">
      <c r="A509" s="441" t="s">
        <v>1573</v>
      </c>
      <c r="B509" s="447" t="s">
        <v>1435</v>
      </c>
      <c r="C509" s="447" t="s">
        <v>912</v>
      </c>
      <c r="D509" s="439" t="s">
        <v>912</v>
      </c>
      <c r="S509" s="452"/>
      <c r="T509" s="452"/>
      <c r="U509" s="452"/>
      <c r="V509" s="452"/>
      <c r="W509" s="452"/>
      <c r="X509" s="452"/>
      <c r="Y509" s="452"/>
      <c r="Z509" s="452"/>
      <c r="AA509" s="452"/>
    </row>
    <row r="510" spans="1:27" ht="15" customHeight="1" x14ac:dyDescent="0.45">
      <c r="A510" s="441" t="s">
        <v>1574</v>
      </c>
      <c r="B510" s="447" t="s">
        <v>1436</v>
      </c>
      <c r="C510" s="447" t="s">
        <v>2071</v>
      </c>
      <c r="D510" s="439" t="s">
        <v>2070</v>
      </c>
      <c r="S510" s="452"/>
      <c r="T510" s="452"/>
      <c r="U510" s="452"/>
      <c r="V510" s="452"/>
      <c r="W510" s="452"/>
      <c r="X510" s="452"/>
      <c r="Y510" s="452"/>
      <c r="Z510" s="452"/>
      <c r="AA510" s="452"/>
    </row>
    <row r="511" spans="1:27" ht="15" customHeight="1" x14ac:dyDescent="0.45">
      <c r="A511" s="441" t="s">
        <v>1575</v>
      </c>
      <c r="B511" s="441" t="s">
        <v>1437</v>
      </c>
      <c r="C511" s="441" t="s">
        <v>2072</v>
      </c>
      <c r="D511" s="439" t="s">
        <v>2069</v>
      </c>
      <c r="S511" s="452"/>
      <c r="T511" s="452"/>
      <c r="U511" s="452"/>
      <c r="V511" s="452"/>
      <c r="W511" s="452"/>
      <c r="X511" s="452"/>
      <c r="Y511" s="452"/>
      <c r="Z511" s="452"/>
      <c r="AA511" s="452"/>
    </row>
    <row r="512" spans="1:27" ht="15" customHeight="1" x14ac:dyDescent="0.45">
      <c r="A512" s="441" t="s">
        <v>1576</v>
      </c>
      <c r="B512" s="441" t="s">
        <v>1438</v>
      </c>
      <c r="C512" s="441" t="s">
        <v>2076</v>
      </c>
      <c r="D512" s="439" t="s">
        <v>2077</v>
      </c>
      <c r="S512" s="452"/>
      <c r="T512" s="452"/>
      <c r="U512" s="452"/>
      <c r="V512" s="452"/>
      <c r="W512" s="452"/>
      <c r="X512" s="452"/>
      <c r="Y512" s="452"/>
      <c r="Z512" s="452"/>
      <c r="AA512" s="452"/>
    </row>
    <row r="513" spans="1:27" ht="15" customHeight="1" x14ac:dyDescent="0.45">
      <c r="A513" s="441" t="s">
        <v>1577</v>
      </c>
      <c r="B513" s="441" t="s">
        <v>1439</v>
      </c>
      <c r="C513" s="441" t="s">
        <v>2074</v>
      </c>
      <c r="D513" s="439" t="s">
        <v>2073</v>
      </c>
      <c r="S513" s="452"/>
      <c r="T513" s="452"/>
      <c r="U513" s="452"/>
      <c r="V513" s="452"/>
      <c r="W513" s="452"/>
      <c r="X513" s="452"/>
      <c r="Y513" s="452"/>
      <c r="Z513" s="452"/>
      <c r="AA513" s="452"/>
    </row>
    <row r="514" spans="1:27" ht="15" customHeight="1" x14ac:dyDescent="0.45">
      <c r="A514" s="441"/>
      <c r="B514" s="441" t="s">
        <v>1424</v>
      </c>
      <c r="C514" s="441" t="s">
        <v>115</v>
      </c>
      <c r="S514" s="452"/>
      <c r="T514" s="452"/>
      <c r="U514" s="452"/>
      <c r="V514" s="452"/>
      <c r="W514" s="452"/>
      <c r="X514" s="452"/>
      <c r="Y514" s="452"/>
      <c r="Z514" s="452"/>
      <c r="AA514" s="452"/>
    </row>
    <row r="515" spans="1:27" ht="15" customHeight="1" x14ac:dyDescent="0.45">
      <c r="A515" s="441"/>
      <c r="B515" s="441" t="s">
        <v>1425</v>
      </c>
      <c r="C515" s="441" t="s">
        <v>643</v>
      </c>
      <c r="S515" s="452"/>
      <c r="T515" s="452"/>
      <c r="U515" s="452"/>
      <c r="V515" s="452"/>
      <c r="W515" s="452"/>
      <c r="X515" s="452"/>
      <c r="Y515" s="452"/>
      <c r="Z515" s="452"/>
      <c r="AA515" s="452"/>
    </row>
    <row r="516" spans="1:27" ht="15" customHeight="1" x14ac:dyDescent="0.45">
      <c r="A516" s="441"/>
      <c r="B516" s="447" t="s">
        <v>1426</v>
      </c>
      <c r="C516" s="447" t="s">
        <v>9</v>
      </c>
      <c r="S516" s="452"/>
      <c r="T516" s="452"/>
      <c r="U516" s="452"/>
      <c r="V516" s="452"/>
      <c r="W516" s="452"/>
      <c r="X516" s="452"/>
      <c r="Y516" s="452"/>
      <c r="Z516" s="452"/>
      <c r="AA516" s="452"/>
    </row>
    <row r="517" spans="1:27" ht="15" customHeight="1" x14ac:dyDescent="0.45">
      <c r="A517" s="441"/>
      <c r="B517" s="447" t="s">
        <v>901</v>
      </c>
      <c r="C517" s="447">
        <v>5</v>
      </c>
      <c r="D517" s="439">
        <v>55</v>
      </c>
      <c r="S517" s="452"/>
      <c r="T517" s="452"/>
      <c r="U517" s="452"/>
      <c r="V517" s="452"/>
      <c r="W517" s="452"/>
      <c r="X517" s="452"/>
      <c r="Y517" s="452"/>
      <c r="Z517" s="452"/>
      <c r="AA517" s="452"/>
    </row>
    <row r="518" spans="1:27" ht="15" customHeight="1" x14ac:dyDescent="0.45">
      <c r="A518" s="441" t="s">
        <v>1647</v>
      </c>
      <c r="B518" s="447" t="s">
        <v>1427</v>
      </c>
      <c r="C518" s="447"/>
      <c r="S518" s="452"/>
      <c r="T518" s="452"/>
      <c r="U518" s="452"/>
      <c r="V518" s="452"/>
      <c r="W518" s="452"/>
      <c r="X518" s="452"/>
      <c r="Y518" s="452"/>
      <c r="Z518" s="452"/>
      <c r="AA518" s="452"/>
    </row>
    <row r="519" spans="1:27" ht="15" customHeight="1" x14ac:dyDescent="0.45">
      <c r="A519" s="441" t="s">
        <v>1648</v>
      </c>
      <c r="B519" s="441" t="s">
        <v>1428</v>
      </c>
      <c r="C519" s="441"/>
      <c r="S519" s="452"/>
      <c r="T519" s="452"/>
      <c r="U519" s="452"/>
      <c r="V519" s="452"/>
      <c r="W519" s="452"/>
      <c r="X519" s="452"/>
      <c r="Y519" s="452"/>
      <c r="Z519" s="452"/>
      <c r="AA519" s="452"/>
    </row>
    <row r="520" spans="1:27" ht="15" customHeight="1" x14ac:dyDescent="0.45">
      <c r="A520" s="441" t="s">
        <v>1649</v>
      </c>
      <c r="B520" s="447">
        <v>200</v>
      </c>
      <c r="C520" s="447"/>
      <c r="S520" s="452"/>
      <c r="T520" s="452"/>
      <c r="U520" s="452"/>
      <c r="V520" s="452"/>
      <c r="W520" s="452"/>
      <c r="X520" s="452"/>
      <c r="Y520" s="452"/>
      <c r="Z520" s="452"/>
      <c r="AA520" s="452"/>
    </row>
    <row r="521" spans="1:27" ht="15" customHeight="1" x14ac:dyDescent="0.45">
      <c r="A521" s="441" t="s">
        <v>1650</v>
      </c>
      <c r="B521" s="441">
        <v>400</v>
      </c>
      <c r="C521" s="441" t="s">
        <v>2078</v>
      </c>
      <c r="S521" s="452"/>
      <c r="T521" s="452"/>
      <c r="U521" s="452"/>
      <c r="V521" s="452"/>
      <c r="W521" s="452"/>
      <c r="X521" s="452"/>
      <c r="Y521" s="452"/>
      <c r="Z521" s="452"/>
      <c r="AA521" s="452"/>
    </row>
    <row r="522" spans="1:27" ht="15" customHeight="1" x14ac:dyDescent="0.45">
      <c r="A522" s="441" t="s">
        <v>1651</v>
      </c>
      <c r="B522" s="441">
        <v>800</v>
      </c>
      <c r="C522" s="447" t="s">
        <v>2078</v>
      </c>
      <c r="S522" s="452"/>
      <c r="T522" s="452"/>
      <c r="U522" s="452"/>
      <c r="V522" s="452"/>
      <c r="W522" s="452"/>
      <c r="X522" s="452"/>
      <c r="Y522" s="452"/>
      <c r="Z522" s="452"/>
      <c r="AA522" s="452"/>
    </row>
    <row r="523" spans="1:27" ht="15" customHeight="1" x14ac:dyDescent="0.45">
      <c r="A523" s="441" t="s">
        <v>1652</v>
      </c>
      <c r="B523" s="447" t="s">
        <v>1429</v>
      </c>
      <c r="C523" s="441"/>
      <c r="S523" s="452"/>
      <c r="T523" s="452"/>
      <c r="U523" s="452"/>
      <c r="V523" s="452"/>
      <c r="W523" s="452"/>
      <c r="X523" s="452"/>
      <c r="Y523" s="452"/>
      <c r="Z523" s="452"/>
      <c r="AA523" s="452"/>
    </row>
    <row r="524" spans="1:27" ht="15" customHeight="1" x14ac:dyDescent="0.45">
      <c r="A524" s="441" t="s">
        <v>1653</v>
      </c>
      <c r="B524" s="447">
        <v>1500</v>
      </c>
      <c r="C524" s="447"/>
      <c r="S524" s="452"/>
      <c r="T524" s="452"/>
      <c r="U524" s="452"/>
      <c r="V524" s="452"/>
      <c r="W524" s="452"/>
      <c r="X524" s="452"/>
      <c r="Y524" s="452"/>
      <c r="Z524" s="452"/>
      <c r="AA524" s="452"/>
    </row>
    <row r="525" spans="1:27" ht="15" customHeight="1" x14ac:dyDescent="0.45">
      <c r="A525" s="441" t="s">
        <v>1654</v>
      </c>
      <c r="B525" s="441" t="s">
        <v>1430</v>
      </c>
      <c r="C525" s="441"/>
      <c r="S525" s="452"/>
      <c r="T525" s="452"/>
      <c r="U525" s="452"/>
      <c r="V525" s="452"/>
      <c r="W525" s="452"/>
      <c r="X525" s="452"/>
      <c r="Y525" s="452"/>
      <c r="Z525" s="452"/>
      <c r="AA525" s="452"/>
    </row>
    <row r="526" spans="1:27" ht="15" customHeight="1" x14ac:dyDescent="0.45">
      <c r="A526" s="441" t="s">
        <v>1655</v>
      </c>
      <c r="B526" s="441">
        <v>3000</v>
      </c>
      <c r="C526" s="441"/>
      <c r="S526" s="452"/>
      <c r="T526" s="452"/>
      <c r="U526" s="452"/>
      <c r="V526" s="452"/>
      <c r="W526" s="452"/>
      <c r="X526" s="452"/>
      <c r="Y526" s="452"/>
      <c r="Z526" s="452"/>
      <c r="AA526" s="452"/>
    </row>
    <row r="527" spans="1:27" ht="15" customHeight="1" x14ac:dyDescent="0.45">
      <c r="A527" s="441" t="s">
        <v>1656</v>
      </c>
      <c r="B527" s="441" t="s">
        <v>1431</v>
      </c>
      <c r="C527" s="441"/>
      <c r="S527" s="452"/>
      <c r="T527" s="452"/>
      <c r="U527" s="452"/>
      <c r="V527" s="452"/>
      <c r="W527" s="452"/>
      <c r="X527" s="452"/>
      <c r="Y527" s="452"/>
      <c r="Z527" s="452"/>
      <c r="AA527" s="452"/>
    </row>
    <row r="528" spans="1:27" ht="15" customHeight="1" x14ac:dyDescent="0.45">
      <c r="A528" s="441" t="s">
        <v>1657</v>
      </c>
      <c r="B528" s="441" t="s">
        <v>902</v>
      </c>
      <c r="C528" s="441"/>
      <c r="S528" s="452"/>
      <c r="T528" s="452"/>
      <c r="U528" s="452"/>
      <c r="V528" s="452"/>
      <c r="W528" s="452"/>
      <c r="X528" s="452"/>
      <c r="Y528" s="452"/>
      <c r="Z528" s="452"/>
      <c r="AA528" s="452"/>
    </row>
    <row r="529" spans="1:27" ht="15" customHeight="1" x14ac:dyDescent="0.45">
      <c r="A529" s="441" t="s">
        <v>1658</v>
      </c>
      <c r="B529" s="441" t="s">
        <v>25</v>
      </c>
      <c r="C529" s="441" t="s">
        <v>2079</v>
      </c>
      <c r="S529" s="452"/>
      <c r="T529" s="452"/>
      <c r="U529" s="452"/>
      <c r="V529" s="452"/>
      <c r="W529" s="452"/>
      <c r="X529" s="452"/>
      <c r="Y529" s="452"/>
      <c r="Z529" s="452"/>
      <c r="AA529" s="452"/>
    </row>
    <row r="530" spans="1:27" ht="15" customHeight="1" x14ac:dyDescent="0.45">
      <c r="A530" s="441" t="s">
        <v>1659</v>
      </c>
      <c r="B530" s="441" t="s">
        <v>21</v>
      </c>
      <c r="C530" s="441" t="s">
        <v>912</v>
      </c>
      <c r="S530" s="452"/>
      <c r="T530" s="452"/>
      <c r="U530" s="452"/>
      <c r="V530" s="452"/>
      <c r="W530" s="452"/>
      <c r="X530" s="452"/>
      <c r="Y530" s="452"/>
      <c r="Z530" s="452"/>
      <c r="AA530" s="452"/>
    </row>
    <row r="531" spans="1:27" ht="15" customHeight="1" x14ac:dyDescent="0.45">
      <c r="A531" s="441" t="s">
        <v>1660</v>
      </c>
      <c r="B531" s="441" t="s">
        <v>28</v>
      </c>
      <c r="C531" s="441" t="s">
        <v>2079</v>
      </c>
      <c r="D531" s="439" t="s">
        <v>2078</v>
      </c>
      <c r="S531" s="452"/>
      <c r="T531" s="452"/>
      <c r="U531" s="452"/>
      <c r="V531" s="452"/>
      <c r="W531" s="452"/>
      <c r="X531" s="452"/>
      <c r="Y531" s="452"/>
      <c r="Z531" s="452"/>
      <c r="AA531" s="452"/>
    </row>
    <row r="532" spans="1:27" ht="15" customHeight="1" x14ac:dyDescent="0.45">
      <c r="A532" s="441" t="s">
        <v>1661</v>
      </c>
      <c r="B532" s="447" t="s">
        <v>24</v>
      </c>
      <c r="C532" s="447" t="s">
        <v>2079</v>
      </c>
      <c r="D532" s="439" t="s">
        <v>2078</v>
      </c>
      <c r="S532" s="452"/>
      <c r="T532" s="452"/>
      <c r="U532" s="452"/>
      <c r="V532" s="452"/>
      <c r="W532" s="452"/>
      <c r="X532" s="452"/>
      <c r="Y532" s="452"/>
      <c r="Z532" s="452"/>
      <c r="AA532" s="452"/>
    </row>
    <row r="533" spans="1:27" ht="15" customHeight="1" x14ac:dyDescent="0.45">
      <c r="A533" s="441" t="s">
        <v>1662</v>
      </c>
      <c r="B533" s="441" t="s">
        <v>1432</v>
      </c>
      <c r="C533" s="441"/>
      <c r="S533" s="452"/>
      <c r="T533" s="452"/>
      <c r="U533" s="452"/>
      <c r="V533" s="452"/>
      <c r="W533" s="452"/>
      <c r="X533" s="452"/>
      <c r="Y533" s="452"/>
      <c r="Z533" s="452"/>
      <c r="AA533" s="452"/>
    </row>
    <row r="534" spans="1:27" ht="15" customHeight="1" x14ac:dyDescent="0.45">
      <c r="A534" s="441" t="s">
        <v>1663</v>
      </c>
      <c r="B534" s="441" t="s">
        <v>1433</v>
      </c>
      <c r="C534" s="441"/>
      <c r="S534" s="452"/>
      <c r="T534" s="452"/>
      <c r="U534" s="452"/>
      <c r="V534" s="452"/>
      <c r="W534" s="452"/>
      <c r="X534" s="452"/>
      <c r="Y534" s="452"/>
      <c r="Z534" s="452"/>
      <c r="AA534" s="452"/>
    </row>
    <row r="535" spans="1:27" ht="15" customHeight="1" x14ac:dyDescent="0.45">
      <c r="A535" s="441" t="s">
        <v>1664</v>
      </c>
      <c r="B535" s="441" t="s">
        <v>1434</v>
      </c>
      <c r="C535" s="441"/>
      <c r="S535" s="452"/>
      <c r="T535" s="452"/>
      <c r="U535" s="452"/>
      <c r="V535" s="452"/>
      <c r="W535" s="452"/>
      <c r="X535" s="452"/>
      <c r="Y535" s="452"/>
      <c r="Z535" s="452"/>
      <c r="AA535" s="452"/>
    </row>
    <row r="536" spans="1:27" ht="15" customHeight="1" x14ac:dyDescent="0.45">
      <c r="A536" s="441" t="s">
        <v>1665</v>
      </c>
      <c r="B536" s="441" t="s">
        <v>1435</v>
      </c>
      <c r="C536" s="441"/>
      <c r="D536" s="439" t="s">
        <v>912</v>
      </c>
      <c r="S536" s="452"/>
      <c r="T536" s="452"/>
      <c r="U536" s="452"/>
      <c r="V536" s="452"/>
      <c r="W536" s="452"/>
      <c r="X536" s="452"/>
      <c r="Y536" s="452"/>
      <c r="Z536" s="452"/>
      <c r="AA536" s="452"/>
    </row>
    <row r="537" spans="1:27" ht="15" customHeight="1" x14ac:dyDescent="0.45">
      <c r="A537" s="441" t="s">
        <v>1666</v>
      </c>
      <c r="B537" s="441" t="s">
        <v>1436</v>
      </c>
      <c r="C537" s="441"/>
      <c r="S537" s="452"/>
      <c r="T537" s="452"/>
      <c r="U537" s="452"/>
      <c r="V537" s="452"/>
      <c r="W537" s="452"/>
      <c r="X537" s="452"/>
      <c r="Y537" s="452"/>
      <c r="Z537" s="452"/>
      <c r="AA537" s="452"/>
    </row>
    <row r="538" spans="1:27" ht="15" customHeight="1" x14ac:dyDescent="0.45">
      <c r="A538" s="441" t="s">
        <v>1667</v>
      </c>
      <c r="B538" s="441" t="s">
        <v>1437</v>
      </c>
      <c r="C538" s="441"/>
      <c r="S538" s="452"/>
      <c r="T538" s="452"/>
      <c r="U538" s="452"/>
      <c r="V538" s="452"/>
      <c r="W538" s="452"/>
      <c r="X538" s="452"/>
      <c r="Y538" s="452"/>
      <c r="Z538" s="452"/>
      <c r="AA538" s="452"/>
    </row>
    <row r="539" spans="1:27" ht="15" customHeight="1" x14ac:dyDescent="0.45">
      <c r="A539" s="441" t="s">
        <v>1668</v>
      </c>
      <c r="B539" s="447" t="s">
        <v>1438</v>
      </c>
      <c r="C539" s="447"/>
      <c r="S539" s="452"/>
      <c r="T539" s="452"/>
      <c r="U539" s="452"/>
      <c r="V539" s="452"/>
      <c r="W539" s="452"/>
      <c r="X539" s="452"/>
      <c r="Y539" s="452"/>
      <c r="Z539" s="452"/>
      <c r="AA539" s="452"/>
    </row>
    <row r="540" spans="1:27" ht="15" customHeight="1" x14ac:dyDescent="0.45">
      <c r="A540" s="441" t="s">
        <v>1669</v>
      </c>
      <c r="B540" s="441" t="s">
        <v>1439</v>
      </c>
      <c r="C540" s="441"/>
      <c r="S540" s="452"/>
      <c r="T540" s="452"/>
      <c r="U540" s="452"/>
      <c r="V540" s="452"/>
      <c r="W540" s="452"/>
      <c r="X540" s="452"/>
      <c r="Y540" s="452"/>
      <c r="Z540" s="452"/>
      <c r="AA540" s="452"/>
    </row>
    <row r="541" spans="1:27" ht="15" customHeight="1" x14ac:dyDescent="0.45">
      <c r="A541" s="441"/>
      <c r="B541" s="441" t="s">
        <v>1424</v>
      </c>
      <c r="C541" s="441" t="s">
        <v>112</v>
      </c>
      <c r="S541" s="452"/>
      <c r="T541" s="452"/>
      <c r="U541" s="452"/>
      <c r="V541" s="452"/>
      <c r="W541" s="452"/>
      <c r="X541" s="452"/>
      <c r="Y541" s="452"/>
      <c r="Z541" s="452"/>
      <c r="AA541" s="452"/>
    </row>
    <row r="542" spans="1:27" ht="15" customHeight="1" x14ac:dyDescent="0.45">
      <c r="A542" s="441"/>
      <c r="B542" s="441" t="s">
        <v>1425</v>
      </c>
      <c r="C542" s="441" t="s">
        <v>636</v>
      </c>
      <c r="S542" s="452"/>
      <c r="T542" s="452"/>
      <c r="U542" s="452"/>
      <c r="V542" s="452"/>
      <c r="W542" s="452"/>
      <c r="X542" s="452"/>
      <c r="Y542" s="452"/>
      <c r="Z542" s="452"/>
      <c r="AA542" s="452"/>
    </row>
    <row r="543" spans="1:27" ht="15" customHeight="1" x14ac:dyDescent="0.45">
      <c r="A543" s="441"/>
      <c r="B543" s="441" t="s">
        <v>1426</v>
      </c>
      <c r="C543" s="441" t="s">
        <v>4</v>
      </c>
      <c r="S543" s="452"/>
      <c r="T543" s="452"/>
      <c r="U543" s="452"/>
      <c r="V543" s="452"/>
      <c r="W543" s="452"/>
      <c r="X543" s="452"/>
      <c r="Y543" s="452"/>
      <c r="Z543" s="452"/>
      <c r="AA543" s="452"/>
    </row>
    <row r="544" spans="1:27" ht="15" customHeight="1" x14ac:dyDescent="0.45">
      <c r="A544" s="441"/>
      <c r="B544" s="441" t="s">
        <v>901</v>
      </c>
      <c r="C544" s="441">
        <v>3</v>
      </c>
      <c r="D544" s="439">
        <v>33</v>
      </c>
      <c r="S544" s="452"/>
      <c r="T544" s="452"/>
      <c r="U544" s="452"/>
      <c r="V544" s="452"/>
      <c r="W544" s="452"/>
      <c r="X544" s="452"/>
      <c r="Y544" s="452"/>
      <c r="Z544" s="452"/>
      <c r="AA544" s="452"/>
    </row>
    <row r="545" spans="1:27" ht="15" customHeight="1" x14ac:dyDescent="0.45">
      <c r="A545" s="441" t="s">
        <v>1739</v>
      </c>
      <c r="B545" s="441" t="s">
        <v>1427</v>
      </c>
      <c r="C545" s="441" t="s">
        <v>2080</v>
      </c>
      <c r="D545" s="439" t="s">
        <v>2081</v>
      </c>
      <c r="S545" s="452"/>
      <c r="T545" s="452"/>
      <c r="U545" s="452"/>
      <c r="V545" s="452"/>
      <c r="W545" s="452"/>
      <c r="X545" s="452"/>
      <c r="Y545" s="452"/>
      <c r="Z545" s="452"/>
      <c r="AA545" s="452"/>
    </row>
    <row r="546" spans="1:27" ht="15" customHeight="1" x14ac:dyDescent="0.45">
      <c r="A546" s="441" t="s">
        <v>1740</v>
      </c>
      <c r="B546" s="447" t="s">
        <v>1428</v>
      </c>
      <c r="C546" s="447" t="s">
        <v>2082</v>
      </c>
      <c r="D546" s="439" t="s">
        <v>2083</v>
      </c>
      <c r="S546" s="452"/>
      <c r="T546" s="452"/>
      <c r="U546" s="452"/>
      <c r="V546" s="452"/>
      <c r="W546" s="452"/>
      <c r="X546" s="452"/>
      <c r="Y546" s="452"/>
      <c r="Z546" s="452"/>
      <c r="AA546" s="452"/>
    </row>
    <row r="547" spans="1:27" ht="15" customHeight="1" x14ac:dyDescent="0.45">
      <c r="A547" s="441" t="s">
        <v>1741</v>
      </c>
      <c r="B547" s="447">
        <v>200</v>
      </c>
      <c r="C547" s="447" t="s">
        <v>2084</v>
      </c>
      <c r="D547" s="439" t="s">
        <v>2085</v>
      </c>
      <c r="S547" s="452"/>
      <c r="T547" s="452"/>
      <c r="U547" s="452"/>
      <c r="V547" s="452"/>
      <c r="W547" s="452"/>
      <c r="X547" s="452"/>
      <c r="Y547" s="452"/>
      <c r="Z547" s="452"/>
      <c r="AA547" s="452"/>
    </row>
    <row r="548" spans="1:27" ht="15" customHeight="1" x14ac:dyDescent="0.45">
      <c r="A548" s="441" t="s">
        <v>1742</v>
      </c>
      <c r="B548" s="441">
        <v>400</v>
      </c>
      <c r="C548" s="441"/>
      <c r="S548" s="452"/>
      <c r="T548" s="452"/>
      <c r="U548" s="452"/>
      <c r="V548" s="452"/>
      <c r="W548" s="452"/>
      <c r="X548" s="452"/>
      <c r="Y548" s="452"/>
      <c r="Z548" s="452"/>
      <c r="AA548" s="452"/>
    </row>
    <row r="549" spans="1:27" ht="15" customHeight="1" x14ac:dyDescent="0.45">
      <c r="A549" s="441" t="s">
        <v>1743</v>
      </c>
      <c r="B549" s="441">
        <v>800</v>
      </c>
      <c r="C549" s="441" t="s">
        <v>2081</v>
      </c>
      <c r="D549" s="439" t="s">
        <v>2082</v>
      </c>
      <c r="S549" s="452"/>
      <c r="T549" s="452"/>
      <c r="U549" s="452"/>
      <c r="V549" s="452"/>
      <c r="W549" s="452"/>
      <c r="X549" s="452"/>
      <c r="Y549" s="452"/>
      <c r="Z549" s="452"/>
      <c r="AA549" s="452"/>
    </row>
    <row r="550" spans="1:27" ht="15" customHeight="1" x14ac:dyDescent="0.45">
      <c r="A550" s="441" t="s">
        <v>1744</v>
      </c>
      <c r="B550" s="441" t="s">
        <v>1429</v>
      </c>
      <c r="C550" s="447" t="s">
        <v>2086</v>
      </c>
      <c r="D550" s="439" t="s">
        <v>2085</v>
      </c>
      <c r="S550" s="452"/>
      <c r="T550" s="452"/>
      <c r="U550" s="452"/>
      <c r="V550" s="452"/>
      <c r="W550" s="452"/>
      <c r="X550" s="452"/>
      <c r="Y550" s="452"/>
      <c r="Z550" s="452"/>
      <c r="AA550" s="452"/>
    </row>
    <row r="551" spans="1:27" ht="15" customHeight="1" x14ac:dyDescent="0.45">
      <c r="A551" s="441" t="s">
        <v>1745</v>
      </c>
      <c r="B551" s="441">
        <v>1500</v>
      </c>
      <c r="C551" s="447" t="s">
        <v>2087</v>
      </c>
      <c r="D551" s="439" t="s">
        <v>2088</v>
      </c>
      <c r="S551" s="452"/>
      <c r="T551" s="452"/>
      <c r="U551" s="452"/>
      <c r="V551" s="452"/>
      <c r="W551" s="452"/>
      <c r="X551" s="452"/>
      <c r="Y551" s="452"/>
      <c r="Z551" s="452"/>
      <c r="AA551" s="452"/>
    </row>
    <row r="552" spans="1:27" ht="15" customHeight="1" x14ac:dyDescent="0.45">
      <c r="A552" s="441" t="s">
        <v>1746</v>
      </c>
      <c r="B552" s="441" t="s">
        <v>1430</v>
      </c>
      <c r="C552" s="441" t="s">
        <v>2083</v>
      </c>
      <c r="D552" s="439" t="s">
        <v>2086</v>
      </c>
      <c r="S552" s="452"/>
      <c r="T552" s="452"/>
      <c r="U552" s="452"/>
      <c r="V552" s="452"/>
      <c r="W552" s="452"/>
      <c r="X552" s="452"/>
      <c r="Y552" s="452"/>
      <c r="Z552" s="452"/>
      <c r="AA552" s="452"/>
    </row>
    <row r="553" spans="1:27" ht="15" customHeight="1" x14ac:dyDescent="0.45">
      <c r="A553" s="441" t="s">
        <v>1747</v>
      </c>
      <c r="B553" s="441">
        <v>3000</v>
      </c>
      <c r="C553" s="447"/>
      <c r="S553" s="452"/>
      <c r="T553" s="452"/>
      <c r="U553" s="452"/>
      <c r="V553" s="452"/>
      <c r="W553" s="452"/>
      <c r="X553" s="452"/>
      <c r="Y553" s="452"/>
      <c r="Z553" s="452"/>
      <c r="AA553" s="452"/>
    </row>
    <row r="554" spans="1:27" ht="15" customHeight="1" x14ac:dyDescent="0.45">
      <c r="A554" s="441" t="s">
        <v>1748</v>
      </c>
      <c r="B554" s="441" t="s">
        <v>1431</v>
      </c>
      <c r="C554" s="441"/>
      <c r="S554" s="452"/>
      <c r="T554" s="452"/>
      <c r="U554" s="452"/>
      <c r="V554" s="452"/>
      <c r="W554" s="452"/>
      <c r="X554" s="452"/>
      <c r="Y554" s="452"/>
      <c r="Z554" s="452"/>
      <c r="AA554" s="452"/>
    </row>
    <row r="555" spans="1:27" ht="15" customHeight="1" x14ac:dyDescent="0.45">
      <c r="A555" s="441" t="s">
        <v>1749</v>
      </c>
      <c r="B555" s="441" t="s">
        <v>902</v>
      </c>
      <c r="C555" s="441"/>
      <c r="S555" s="452"/>
      <c r="T555" s="452"/>
      <c r="U555" s="452"/>
      <c r="V555" s="452"/>
      <c r="W555" s="452"/>
      <c r="X555" s="452"/>
      <c r="Y555" s="452"/>
      <c r="Z555" s="452"/>
      <c r="AA555" s="452"/>
    </row>
    <row r="556" spans="1:27" ht="15" customHeight="1" x14ac:dyDescent="0.45">
      <c r="A556" s="441" t="s">
        <v>1750</v>
      </c>
      <c r="B556" s="441" t="s">
        <v>25</v>
      </c>
      <c r="C556" s="441"/>
      <c r="S556" s="452"/>
      <c r="T556" s="452"/>
      <c r="U556" s="452"/>
      <c r="V556" s="452"/>
      <c r="W556" s="452"/>
      <c r="X556" s="452"/>
      <c r="Y556" s="452"/>
      <c r="Z556" s="452"/>
      <c r="AA556" s="452"/>
    </row>
    <row r="557" spans="1:27" ht="15" customHeight="1" x14ac:dyDescent="0.45">
      <c r="A557" s="441" t="s">
        <v>1751</v>
      </c>
      <c r="B557" s="447" t="s">
        <v>21</v>
      </c>
      <c r="C557" s="447"/>
      <c r="S557" s="452"/>
      <c r="T557" s="452"/>
      <c r="U557" s="452"/>
      <c r="V557" s="452"/>
      <c r="W557" s="452"/>
      <c r="X557" s="452"/>
      <c r="Y557" s="452"/>
      <c r="Z557" s="452"/>
      <c r="AA557" s="452"/>
    </row>
    <row r="558" spans="1:27" ht="15" customHeight="1" x14ac:dyDescent="0.45">
      <c r="A558" s="441" t="s">
        <v>1752</v>
      </c>
      <c r="B558" s="441" t="s">
        <v>28</v>
      </c>
      <c r="C558" s="441" t="s">
        <v>2089</v>
      </c>
      <c r="D558" s="439" t="s">
        <v>2090</v>
      </c>
      <c r="S558" s="452"/>
      <c r="T558" s="452"/>
      <c r="U558" s="452"/>
      <c r="V558" s="452"/>
      <c r="W558" s="452"/>
      <c r="X558" s="452"/>
      <c r="Y558" s="452"/>
      <c r="Z558" s="452"/>
      <c r="AA558" s="452"/>
    </row>
    <row r="559" spans="1:27" ht="15" customHeight="1" x14ac:dyDescent="0.45">
      <c r="A559" s="441" t="s">
        <v>1753</v>
      </c>
      <c r="B559" s="441" t="s">
        <v>24</v>
      </c>
      <c r="C559" s="447" t="s">
        <v>2089</v>
      </c>
      <c r="D559" s="439" t="s">
        <v>2090</v>
      </c>
      <c r="S559" s="452"/>
      <c r="T559" s="452"/>
      <c r="U559" s="452"/>
      <c r="V559" s="452"/>
      <c r="W559" s="452"/>
      <c r="X559" s="452"/>
      <c r="Y559" s="452"/>
      <c r="Z559" s="452"/>
      <c r="AA559" s="452"/>
    </row>
    <row r="560" spans="1:27" ht="15" customHeight="1" x14ac:dyDescent="0.45">
      <c r="A560" s="441" t="s">
        <v>1754</v>
      </c>
      <c r="B560" s="441" t="s">
        <v>1432</v>
      </c>
      <c r="C560" s="441" t="s">
        <v>2080</v>
      </c>
      <c r="D560" s="439" t="s">
        <v>2090</v>
      </c>
      <c r="S560" s="452"/>
      <c r="T560" s="452"/>
      <c r="U560" s="452"/>
      <c r="V560" s="452"/>
      <c r="W560" s="452"/>
      <c r="X560" s="452"/>
      <c r="Y560" s="452"/>
      <c r="Z560" s="452"/>
      <c r="AA560" s="452"/>
    </row>
    <row r="561" spans="1:27" ht="15" customHeight="1" x14ac:dyDescent="0.45">
      <c r="A561" s="441" t="s">
        <v>1755</v>
      </c>
      <c r="B561" s="441" t="s">
        <v>1433</v>
      </c>
      <c r="C561" s="447"/>
      <c r="S561" s="452"/>
      <c r="T561" s="452"/>
      <c r="U561" s="452"/>
      <c r="V561" s="452"/>
      <c r="W561" s="452"/>
      <c r="X561" s="452"/>
      <c r="Y561" s="452"/>
      <c r="Z561" s="452"/>
      <c r="AA561" s="452"/>
    </row>
    <row r="562" spans="1:27" ht="15" customHeight="1" x14ac:dyDescent="0.45">
      <c r="A562" s="441" t="s">
        <v>1756</v>
      </c>
      <c r="B562" s="441" t="s">
        <v>1434</v>
      </c>
      <c r="C562" s="441" t="s">
        <v>2089</v>
      </c>
      <c r="D562" s="439" t="s">
        <v>2083</v>
      </c>
      <c r="S562" s="452"/>
      <c r="T562" s="452"/>
      <c r="U562" s="452"/>
      <c r="V562" s="452"/>
      <c r="W562" s="452"/>
      <c r="X562" s="452"/>
      <c r="Y562" s="452"/>
      <c r="Z562" s="452"/>
      <c r="AA562" s="452"/>
    </row>
    <row r="563" spans="1:27" ht="15" customHeight="1" x14ac:dyDescent="0.45">
      <c r="A563" s="441" t="s">
        <v>1757</v>
      </c>
      <c r="B563" s="441" t="s">
        <v>1435</v>
      </c>
      <c r="C563" s="447"/>
      <c r="S563" s="452"/>
      <c r="T563" s="452"/>
      <c r="U563" s="452"/>
      <c r="V563" s="452"/>
      <c r="W563" s="452"/>
      <c r="X563" s="452"/>
      <c r="Y563" s="452"/>
      <c r="Z563" s="452"/>
      <c r="AA563" s="452"/>
    </row>
    <row r="564" spans="1:27" ht="15" customHeight="1" x14ac:dyDescent="0.45">
      <c r="A564" s="441" t="s">
        <v>1758</v>
      </c>
      <c r="B564" s="447" t="s">
        <v>1436</v>
      </c>
      <c r="C564" s="447" t="s">
        <v>2083</v>
      </c>
      <c r="D564" s="439" t="s">
        <v>2080</v>
      </c>
      <c r="S564" s="452"/>
      <c r="T564" s="452"/>
      <c r="U564" s="452"/>
      <c r="V564" s="452"/>
      <c r="W564" s="452"/>
      <c r="X564" s="452"/>
      <c r="Y564" s="452"/>
      <c r="Z564" s="452"/>
      <c r="AA564" s="452"/>
    </row>
    <row r="565" spans="1:27" ht="15" customHeight="1" x14ac:dyDescent="0.45">
      <c r="A565" s="441" t="s">
        <v>1759</v>
      </c>
      <c r="B565" s="441" t="s">
        <v>1437</v>
      </c>
      <c r="C565" s="441" t="s">
        <v>2086</v>
      </c>
      <c r="D565" s="439" t="s">
        <v>2084</v>
      </c>
      <c r="S565" s="452"/>
      <c r="T565" s="452"/>
      <c r="U565" s="452"/>
      <c r="V565" s="452"/>
      <c r="W565" s="452"/>
      <c r="X565" s="452"/>
      <c r="Y565" s="452"/>
      <c r="Z565" s="452"/>
      <c r="AA565" s="452"/>
    </row>
    <row r="566" spans="1:27" ht="15" customHeight="1" x14ac:dyDescent="0.45">
      <c r="A566" s="441" t="s">
        <v>1760</v>
      </c>
      <c r="B566" s="441" t="s">
        <v>1438</v>
      </c>
      <c r="C566" s="441"/>
      <c r="S566" s="452"/>
      <c r="T566" s="452"/>
      <c r="U566" s="452"/>
      <c r="V566" s="452"/>
      <c r="W566" s="452"/>
      <c r="X566" s="452"/>
      <c r="Y566" s="452"/>
      <c r="Z566" s="452"/>
      <c r="AA566" s="452"/>
    </row>
    <row r="567" spans="1:27" ht="15" customHeight="1" x14ac:dyDescent="0.45">
      <c r="A567" s="441" t="s">
        <v>1761</v>
      </c>
      <c r="B567" s="441" t="s">
        <v>1439</v>
      </c>
      <c r="C567" s="441"/>
      <c r="S567" s="452"/>
      <c r="T567" s="452"/>
      <c r="U567" s="452"/>
      <c r="V567" s="452"/>
      <c r="W567" s="452"/>
      <c r="X567" s="452"/>
      <c r="Y567" s="452"/>
      <c r="Z567" s="452"/>
      <c r="AA567" s="452"/>
    </row>
    <row r="568" spans="1:27" ht="15" customHeight="1" x14ac:dyDescent="0.45">
      <c r="A568" s="441"/>
      <c r="B568" s="441" t="s">
        <v>1424</v>
      </c>
      <c r="C568" s="441" t="s">
        <v>100</v>
      </c>
      <c r="S568" s="452"/>
      <c r="T568" s="452"/>
      <c r="U568" s="452"/>
      <c r="V568" s="452"/>
      <c r="W568" s="452"/>
      <c r="X568" s="452"/>
      <c r="Y568" s="452"/>
      <c r="Z568" s="452"/>
      <c r="AA568" s="452"/>
    </row>
    <row r="569" spans="1:27" ht="15" customHeight="1" x14ac:dyDescent="0.45">
      <c r="A569" s="441"/>
      <c r="B569" s="441" t="s">
        <v>1425</v>
      </c>
      <c r="C569" s="441" t="s">
        <v>793</v>
      </c>
      <c r="S569" s="452"/>
      <c r="T569" s="452"/>
      <c r="U569" s="452"/>
      <c r="V569" s="452"/>
      <c r="W569" s="452"/>
      <c r="X569" s="435"/>
    </row>
    <row r="570" spans="1:27" ht="15" customHeight="1" x14ac:dyDescent="0.45">
      <c r="A570" s="441"/>
      <c r="B570" s="441" t="s">
        <v>1426</v>
      </c>
      <c r="C570" s="441" t="s">
        <v>4</v>
      </c>
      <c r="S570" s="452"/>
      <c r="T570" s="452"/>
      <c r="U570" s="452"/>
      <c r="V570" s="452"/>
      <c r="W570" s="452"/>
      <c r="X570" s="435"/>
    </row>
    <row r="571" spans="1:27" ht="15" customHeight="1" x14ac:dyDescent="0.45">
      <c r="A571" s="441"/>
      <c r="B571" s="447" t="s">
        <v>901</v>
      </c>
      <c r="C571" s="447">
        <v>2</v>
      </c>
      <c r="D571" s="439">
        <v>22</v>
      </c>
      <c r="S571" s="452"/>
      <c r="T571" s="452"/>
      <c r="U571" s="452"/>
      <c r="V571" s="452"/>
      <c r="W571" s="452"/>
      <c r="X571" s="435"/>
    </row>
    <row r="572" spans="1:27" ht="15" customHeight="1" x14ac:dyDescent="0.45">
      <c r="A572" s="441" t="s">
        <v>1693</v>
      </c>
      <c r="B572" s="441" t="s">
        <v>1427</v>
      </c>
      <c r="C572" s="441" t="s">
        <v>2091</v>
      </c>
      <c r="D572" s="439" t="s">
        <v>2092</v>
      </c>
      <c r="S572" s="452"/>
      <c r="T572" s="452"/>
      <c r="U572" s="452"/>
      <c r="V572" s="452"/>
      <c r="W572" s="452"/>
      <c r="X572" s="435"/>
    </row>
    <row r="573" spans="1:27" ht="15" customHeight="1" x14ac:dyDescent="0.45">
      <c r="A573" s="441" t="s">
        <v>1694</v>
      </c>
      <c r="B573" s="441" t="s">
        <v>1428</v>
      </c>
      <c r="C573" s="441" t="s">
        <v>2093</v>
      </c>
      <c r="D573" s="439" t="s">
        <v>2094</v>
      </c>
      <c r="S573" s="452"/>
      <c r="T573" s="452"/>
      <c r="U573" s="452"/>
      <c r="V573" s="452"/>
      <c r="W573" s="452"/>
      <c r="X573" s="435"/>
    </row>
    <row r="574" spans="1:27" ht="15" customHeight="1" x14ac:dyDescent="0.45">
      <c r="A574" s="441" t="s">
        <v>1695</v>
      </c>
      <c r="B574" s="441">
        <v>200</v>
      </c>
      <c r="C574" s="447" t="s">
        <v>2095</v>
      </c>
      <c r="D574" s="439" t="s">
        <v>2091</v>
      </c>
      <c r="S574" s="452"/>
      <c r="T574" s="452"/>
      <c r="U574" s="452"/>
      <c r="V574" s="452"/>
      <c r="W574" s="452"/>
      <c r="X574" s="435"/>
    </row>
    <row r="575" spans="1:27" ht="15" customHeight="1" x14ac:dyDescent="0.45">
      <c r="A575" s="441" t="s">
        <v>1696</v>
      </c>
      <c r="B575" s="441">
        <v>400</v>
      </c>
      <c r="C575" s="441"/>
      <c r="S575" s="452"/>
      <c r="T575" s="452"/>
      <c r="U575" s="452"/>
      <c r="V575" s="452"/>
      <c r="W575" s="452"/>
      <c r="X575" s="435"/>
    </row>
    <row r="576" spans="1:27" ht="15" customHeight="1" x14ac:dyDescent="0.45">
      <c r="A576" s="441" t="s">
        <v>1697</v>
      </c>
      <c r="B576" s="441">
        <v>800</v>
      </c>
      <c r="C576" s="441" t="s">
        <v>2096</v>
      </c>
      <c r="D576" s="439" t="s">
        <v>2093</v>
      </c>
      <c r="S576" s="452"/>
      <c r="T576" s="452"/>
      <c r="U576" s="452"/>
      <c r="V576" s="452"/>
      <c r="W576" s="452"/>
      <c r="X576" s="435"/>
    </row>
    <row r="577" spans="1:24" ht="15" customHeight="1" x14ac:dyDescent="0.45">
      <c r="A577" s="441" t="s">
        <v>1698</v>
      </c>
      <c r="B577" s="447" t="s">
        <v>1429</v>
      </c>
      <c r="C577" s="447" t="s">
        <v>912</v>
      </c>
      <c r="S577" s="452"/>
      <c r="T577" s="452"/>
      <c r="U577" s="452"/>
      <c r="V577" s="452"/>
      <c r="W577" s="452"/>
      <c r="X577" s="435"/>
    </row>
    <row r="578" spans="1:24" ht="15" customHeight="1" x14ac:dyDescent="0.45">
      <c r="A578" s="441" t="s">
        <v>1699</v>
      </c>
      <c r="B578" s="441">
        <v>1500</v>
      </c>
      <c r="C578" s="441"/>
      <c r="S578" s="452"/>
      <c r="T578" s="452"/>
      <c r="U578" s="452"/>
      <c r="V578" s="452"/>
      <c r="W578" s="452"/>
      <c r="X578" s="435"/>
    </row>
    <row r="579" spans="1:24" ht="15" customHeight="1" x14ac:dyDescent="0.45">
      <c r="A579" s="441" t="s">
        <v>1700</v>
      </c>
      <c r="B579" s="441" t="s">
        <v>1430</v>
      </c>
      <c r="C579" s="441" t="s">
        <v>2097</v>
      </c>
      <c r="D579" s="439" t="s">
        <v>2095</v>
      </c>
      <c r="S579" s="452"/>
      <c r="T579" s="452"/>
      <c r="U579" s="452"/>
      <c r="V579" s="452"/>
      <c r="W579" s="452"/>
      <c r="X579" s="435"/>
    </row>
    <row r="580" spans="1:24" ht="15" customHeight="1" x14ac:dyDescent="0.45">
      <c r="A580" s="441" t="s">
        <v>1701</v>
      </c>
      <c r="B580" s="441">
        <v>3000</v>
      </c>
      <c r="C580" s="447"/>
      <c r="S580" s="452"/>
      <c r="T580" s="452"/>
      <c r="U580" s="452"/>
      <c r="V580" s="452"/>
      <c r="W580" s="452"/>
      <c r="X580" s="435"/>
    </row>
    <row r="581" spans="1:24" ht="15" customHeight="1" x14ac:dyDescent="0.45">
      <c r="A581" s="441" t="s">
        <v>1702</v>
      </c>
      <c r="B581" s="441" t="s">
        <v>1431</v>
      </c>
      <c r="C581" s="441"/>
      <c r="S581" s="452"/>
      <c r="T581" s="452"/>
      <c r="U581" s="452"/>
      <c r="V581" s="452"/>
      <c r="W581" s="452"/>
      <c r="X581" s="435"/>
    </row>
    <row r="582" spans="1:24" ht="15" customHeight="1" x14ac:dyDescent="0.45">
      <c r="A582" s="441" t="s">
        <v>1703</v>
      </c>
      <c r="B582" s="447" t="s">
        <v>902</v>
      </c>
      <c r="C582" s="447"/>
      <c r="S582" s="452"/>
      <c r="T582" s="452"/>
      <c r="U582" s="452"/>
      <c r="V582" s="452"/>
      <c r="W582" s="452"/>
      <c r="X582" s="435"/>
    </row>
    <row r="583" spans="1:24" ht="15" customHeight="1" x14ac:dyDescent="0.45">
      <c r="A583" s="441" t="s">
        <v>1704</v>
      </c>
      <c r="B583" s="441" t="s">
        <v>25</v>
      </c>
      <c r="C583" s="441"/>
      <c r="S583" s="452"/>
      <c r="T583" s="452"/>
      <c r="U583" s="452"/>
      <c r="V583" s="452"/>
      <c r="W583" s="452"/>
      <c r="X583" s="435"/>
    </row>
    <row r="584" spans="1:24" ht="15" customHeight="1" x14ac:dyDescent="0.45">
      <c r="A584" s="441" t="s">
        <v>1705</v>
      </c>
      <c r="B584" s="441" t="s">
        <v>21</v>
      </c>
      <c r="C584" s="441"/>
      <c r="S584" s="452"/>
      <c r="T584" s="452"/>
      <c r="U584" s="452"/>
      <c r="V584" s="452"/>
      <c r="W584" s="452"/>
      <c r="X584" s="435"/>
    </row>
    <row r="585" spans="1:24" ht="15" customHeight="1" x14ac:dyDescent="0.45">
      <c r="A585" s="441" t="s">
        <v>1706</v>
      </c>
      <c r="B585" s="441" t="s">
        <v>28</v>
      </c>
      <c r="C585" s="441" t="s">
        <v>2092</v>
      </c>
      <c r="D585" s="439" t="s">
        <v>2094</v>
      </c>
      <c r="S585" s="452"/>
      <c r="T585" s="452"/>
      <c r="U585" s="452"/>
      <c r="V585" s="452"/>
      <c r="W585" s="452"/>
      <c r="X585" s="435"/>
    </row>
    <row r="586" spans="1:24" ht="15" customHeight="1" x14ac:dyDescent="0.45">
      <c r="A586" s="441" t="s">
        <v>1707</v>
      </c>
      <c r="B586" s="441" t="s">
        <v>24</v>
      </c>
      <c r="C586" s="441" t="s">
        <v>2093</v>
      </c>
      <c r="D586" s="439" t="s">
        <v>2096</v>
      </c>
      <c r="S586" s="452"/>
      <c r="T586" s="452"/>
      <c r="U586" s="452"/>
      <c r="V586" s="452"/>
      <c r="W586" s="452"/>
      <c r="X586" s="435"/>
    </row>
    <row r="587" spans="1:24" ht="15" customHeight="1" x14ac:dyDescent="0.45">
      <c r="A587" s="441" t="s">
        <v>1708</v>
      </c>
      <c r="B587" s="441" t="s">
        <v>1432</v>
      </c>
      <c r="C587" s="441" t="s">
        <v>2097</v>
      </c>
      <c r="D587" s="439" t="s">
        <v>2095</v>
      </c>
      <c r="S587" s="452"/>
      <c r="T587" s="452"/>
      <c r="U587" s="452"/>
      <c r="V587" s="452"/>
      <c r="W587" s="452"/>
      <c r="X587" s="435"/>
    </row>
    <row r="588" spans="1:24" ht="15" customHeight="1" x14ac:dyDescent="0.45">
      <c r="A588" s="441" t="s">
        <v>1709</v>
      </c>
      <c r="B588" s="441" t="s">
        <v>1433</v>
      </c>
      <c r="C588" s="441"/>
      <c r="S588" s="452"/>
      <c r="T588" s="452"/>
      <c r="U588" s="452"/>
      <c r="V588" s="452"/>
      <c r="W588" s="452"/>
      <c r="X588" s="435"/>
    </row>
    <row r="589" spans="1:24" ht="15" customHeight="1" x14ac:dyDescent="0.45">
      <c r="A589" s="441" t="s">
        <v>1710</v>
      </c>
      <c r="B589" s="447" t="s">
        <v>1434</v>
      </c>
      <c r="C589" s="447" t="s">
        <v>2092</v>
      </c>
      <c r="D589" s="439" t="s">
        <v>2091</v>
      </c>
      <c r="S589" s="452"/>
      <c r="T589" s="452"/>
      <c r="U589" s="452"/>
      <c r="V589" s="452"/>
      <c r="W589" s="452"/>
      <c r="X589" s="435"/>
    </row>
    <row r="590" spans="1:24" ht="15" customHeight="1" x14ac:dyDescent="0.45">
      <c r="A590" s="441" t="s">
        <v>1711</v>
      </c>
      <c r="B590" s="441" t="s">
        <v>1435</v>
      </c>
      <c r="C590" s="441"/>
      <c r="S590" s="452"/>
      <c r="T590" s="452"/>
      <c r="U590" s="452"/>
      <c r="V590" s="452"/>
      <c r="W590" s="452"/>
      <c r="X590" s="435"/>
    </row>
    <row r="591" spans="1:24" ht="15" customHeight="1" x14ac:dyDescent="0.45">
      <c r="A591" s="441" t="s">
        <v>1712</v>
      </c>
      <c r="B591" s="441" t="s">
        <v>1436</v>
      </c>
      <c r="C591" s="441" t="s">
        <v>2095</v>
      </c>
      <c r="D591" s="439" t="s">
        <v>2094</v>
      </c>
      <c r="S591" s="452"/>
      <c r="T591" s="452"/>
      <c r="U591" s="452"/>
      <c r="V591" s="452"/>
      <c r="W591" s="452"/>
      <c r="X591" s="435"/>
    </row>
    <row r="592" spans="1:24" ht="15" customHeight="1" x14ac:dyDescent="0.45">
      <c r="A592" s="441" t="s">
        <v>1713</v>
      </c>
      <c r="B592" s="441" t="s">
        <v>1437</v>
      </c>
      <c r="C592" s="441" t="s">
        <v>2092</v>
      </c>
      <c r="D592" s="439" t="s">
        <v>2096</v>
      </c>
      <c r="S592" s="452"/>
      <c r="T592" s="452"/>
      <c r="U592" s="452"/>
      <c r="V592" s="452"/>
      <c r="W592" s="452"/>
      <c r="X592" s="435"/>
    </row>
    <row r="593" spans="1:24" ht="15" customHeight="1" x14ac:dyDescent="0.45">
      <c r="A593" s="441" t="s">
        <v>1714</v>
      </c>
      <c r="B593" s="441" t="s">
        <v>1438</v>
      </c>
      <c r="C593" s="441"/>
      <c r="S593" s="452"/>
      <c r="T593" s="452"/>
      <c r="U593" s="452"/>
      <c r="V593" s="452"/>
      <c r="W593" s="452"/>
      <c r="X593" s="435"/>
    </row>
    <row r="594" spans="1:24" ht="15" customHeight="1" x14ac:dyDescent="0.45">
      <c r="A594" s="441" t="s">
        <v>1715</v>
      </c>
      <c r="B594" s="441" t="s">
        <v>1439</v>
      </c>
      <c r="C594" s="441"/>
      <c r="S594" s="452"/>
      <c r="T594" s="452"/>
      <c r="U594" s="452"/>
      <c r="V594" s="452"/>
      <c r="W594" s="452"/>
      <c r="X594" s="435"/>
    </row>
    <row r="595" spans="1:24" ht="15" customHeight="1" x14ac:dyDescent="0.45">
      <c r="A595" s="441"/>
      <c r="B595" s="441" t="s">
        <v>1424</v>
      </c>
      <c r="C595" s="441" t="s">
        <v>98</v>
      </c>
      <c r="S595" s="452"/>
      <c r="T595" s="452"/>
      <c r="U595" s="452"/>
      <c r="V595" s="452"/>
      <c r="W595" s="452"/>
      <c r="X595" s="435"/>
    </row>
    <row r="596" spans="1:24" ht="15" customHeight="1" x14ac:dyDescent="0.45">
      <c r="A596" s="441"/>
      <c r="B596" s="447" t="s">
        <v>1425</v>
      </c>
      <c r="C596" s="447" t="s">
        <v>615</v>
      </c>
      <c r="S596" s="452"/>
      <c r="T596" s="452"/>
      <c r="U596" s="452"/>
      <c r="V596" s="452"/>
      <c r="W596" s="452"/>
      <c r="X596" s="435"/>
    </row>
    <row r="597" spans="1:24" ht="15" customHeight="1" x14ac:dyDescent="0.45">
      <c r="A597" s="441"/>
      <c r="B597" s="441" t="s">
        <v>1426</v>
      </c>
      <c r="C597" s="441" t="s">
        <v>4</v>
      </c>
      <c r="S597" s="452"/>
      <c r="T597" s="452"/>
      <c r="U597" s="452"/>
      <c r="V597" s="452"/>
      <c r="W597" s="452"/>
      <c r="X597" s="435"/>
    </row>
    <row r="598" spans="1:24" ht="15" customHeight="1" x14ac:dyDescent="0.45">
      <c r="A598" s="441"/>
      <c r="B598" s="441" t="s">
        <v>901</v>
      </c>
      <c r="C598" s="441">
        <v>1</v>
      </c>
      <c r="D598" s="439">
        <v>11</v>
      </c>
      <c r="S598" s="452"/>
      <c r="T598" s="452"/>
      <c r="U598" s="452"/>
      <c r="V598" s="452"/>
      <c r="W598" s="452"/>
      <c r="X598" s="435"/>
    </row>
    <row r="599" spans="1:24" ht="15" customHeight="1" x14ac:dyDescent="0.45">
      <c r="A599" s="441" t="s">
        <v>1716</v>
      </c>
      <c r="B599" s="441" t="s">
        <v>1427</v>
      </c>
      <c r="C599" s="441" t="s">
        <v>2098</v>
      </c>
      <c r="D599" s="439" t="s">
        <v>2099</v>
      </c>
      <c r="S599" s="452"/>
      <c r="T599" s="452"/>
      <c r="U599" s="452"/>
      <c r="V599" s="452"/>
      <c r="W599" s="452"/>
      <c r="X599" s="435"/>
    </row>
    <row r="600" spans="1:24" ht="15" customHeight="1" x14ac:dyDescent="0.45">
      <c r="A600" s="441" t="s">
        <v>1717</v>
      </c>
      <c r="B600" s="441" t="s">
        <v>1428</v>
      </c>
      <c r="C600" s="441" t="s">
        <v>2100</v>
      </c>
      <c r="D600" s="439" t="s">
        <v>2101</v>
      </c>
      <c r="S600" s="452"/>
      <c r="T600" s="452"/>
      <c r="U600" s="452"/>
      <c r="V600" s="452"/>
      <c r="W600" s="452"/>
      <c r="X600" s="435"/>
    </row>
    <row r="601" spans="1:24" ht="15" customHeight="1" x14ac:dyDescent="0.45">
      <c r="A601" s="441" t="s">
        <v>1718</v>
      </c>
      <c r="B601" s="441">
        <v>200</v>
      </c>
      <c r="C601" s="441" t="s">
        <v>2102</v>
      </c>
      <c r="D601" s="439" t="s">
        <v>2103</v>
      </c>
      <c r="S601" s="452"/>
      <c r="T601" s="452"/>
      <c r="U601" s="452"/>
      <c r="V601" s="452"/>
      <c r="W601" s="452"/>
      <c r="X601" s="435"/>
    </row>
    <row r="602" spans="1:24" ht="15" customHeight="1" x14ac:dyDescent="0.45">
      <c r="A602" s="441" t="s">
        <v>1719</v>
      </c>
      <c r="B602" s="441">
        <v>400</v>
      </c>
      <c r="C602" s="441"/>
      <c r="S602" s="452"/>
      <c r="T602" s="452"/>
      <c r="U602" s="452"/>
      <c r="V602" s="452"/>
      <c r="W602" s="452"/>
      <c r="X602" s="435"/>
    </row>
    <row r="603" spans="1:24" ht="15" customHeight="1" x14ac:dyDescent="0.45">
      <c r="A603" s="441" t="s">
        <v>1720</v>
      </c>
      <c r="B603" s="441">
        <v>800</v>
      </c>
      <c r="C603" s="441" t="s">
        <v>2104</v>
      </c>
      <c r="D603" s="439" t="s">
        <v>2099</v>
      </c>
      <c r="S603" s="452"/>
      <c r="T603" s="452"/>
      <c r="U603" s="452"/>
      <c r="V603" s="452"/>
      <c r="W603" s="452"/>
      <c r="X603" s="435"/>
    </row>
    <row r="604" spans="1:24" ht="15" customHeight="1" x14ac:dyDescent="0.45">
      <c r="A604" s="441" t="s">
        <v>1721</v>
      </c>
      <c r="B604" s="441" t="s">
        <v>1429</v>
      </c>
      <c r="C604" s="441"/>
      <c r="S604" s="452"/>
      <c r="T604" s="452"/>
      <c r="U604" s="452"/>
      <c r="V604" s="452"/>
      <c r="W604" s="452"/>
      <c r="X604" s="435"/>
    </row>
    <row r="605" spans="1:24" ht="15" customHeight="1" x14ac:dyDescent="0.45">
      <c r="A605" s="441" t="s">
        <v>1722</v>
      </c>
      <c r="B605" s="441">
        <v>1500</v>
      </c>
      <c r="C605" s="441" t="s">
        <v>2102</v>
      </c>
      <c r="D605" s="439" t="s">
        <v>2100</v>
      </c>
      <c r="S605" s="452"/>
      <c r="T605" s="452"/>
      <c r="U605" s="452"/>
      <c r="V605" s="452"/>
      <c r="W605" s="452"/>
      <c r="X605" s="435"/>
    </row>
    <row r="606" spans="1:24" ht="15" customHeight="1" x14ac:dyDescent="0.45">
      <c r="A606" s="441" t="s">
        <v>1723</v>
      </c>
      <c r="B606" s="441" t="s">
        <v>1430</v>
      </c>
      <c r="C606" s="441" t="s">
        <v>2104</v>
      </c>
      <c r="D606" s="439" t="s">
        <v>2105</v>
      </c>
      <c r="S606" s="452"/>
      <c r="T606" s="452"/>
      <c r="U606" s="452"/>
      <c r="V606" s="452"/>
      <c r="W606" s="452"/>
      <c r="X606" s="435"/>
    </row>
    <row r="607" spans="1:24" ht="15" customHeight="1" x14ac:dyDescent="0.45">
      <c r="A607" s="441" t="s">
        <v>1724</v>
      </c>
      <c r="B607" s="441">
        <v>3000</v>
      </c>
      <c r="C607" s="441"/>
      <c r="S607" s="452"/>
      <c r="T607" s="452"/>
      <c r="U607" s="452"/>
      <c r="V607" s="452"/>
      <c r="W607" s="452"/>
      <c r="X607" s="435"/>
    </row>
    <row r="608" spans="1:24" ht="15" customHeight="1" x14ac:dyDescent="0.45">
      <c r="A608" s="441" t="s">
        <v>1725</v>
      </c>
      <c r="B608" s="441" t="s">
        <v>1431</v>
      </c>
      <c r="C608" s="441"/>
      <c r="S608" s="452"/>
      <c r="T608" s="452"/>
      <c r="U608" s="452"/>
      <c r="V608" s="452"/>
      <c r="W608" s="452"/>
      <c r="X608" s="435"/>
    </row>
    <row r="609" spans="1:24" ht="15" customHeight="1" x14ac:dyDescent="0.45">
      <c r="A609" s="441" t="s">
        <v>1726</v>
      </c>
      <c r="B609" s="441" t="s">
        <v>902</v>
      </c>
      <c r="C609" s="441"/>
      <c r="S609" s="452"/>
      <c r="T609" s="452"/>
      <c r="U609" s="452"/>
      <c r="V609" s="452"/>
      <c r="W609" s="452"/>
      <c r="X609" s="435"/>
    </row>
    <row r="610" spans="1:24" ht="15" customHeight="1" x14ac:dyDescent="0.45">
      <c r="A610" s="441" t="s">
        <v>1727</v>
      </c>
      <c r="B610" s="441" t="s">
        <v>25</v>
      </c>
      <c r="C610" s="441"/>
      <c r="S610" s="452"/>
      <c r="T610" s="452"/>
      <c r="U610" s="452"/>
      <c r="V610" s="452"/>
      <c r="W610" s="452"/>
      <c r="X610" s="435"/>
    </row>
    <row r="611" spans="1:24" ht="15" customHeight="1" x14ac:dyDescent="0.45">
      <c r="A611" s="441" t="s">
        <v>1728</v>
      </c>
      <c r="B611" s="441" t="s">
        <v>21</v>
      </c>
      <c r="C611" s="441"/>
      <c r="S611" s="452"/>
      <c r="T611" s="452"/>
      <c r="U611" s="452"/>
      <c r="V611" s="452"/>
      <c r="W611" s="452"/>
      <c r="X611" s="435"/>
    </row>
    <row r="612" spans="1:24" ht="15" customHeight="1" x14ac:dyDescent="0.45">
      <c r="A612" s="441" t="s">
        <v>1729</v>
      </c>
      <c r="B612" s="441" t="s">
        <v>28</v>
      </c>
      <c r="C612" s="441" t="s">
        <v>2106</v>
      </c>
      <c r="D612" s="439" t="s">
        <v>2105</v>
      </c>
      <c r="S612" s="452"/>
      <c r="T612" s="452"/>
      <c r="U612" s="452"/>
      <c r="V612" s="452"/>
      <c r="W612" s="452"/>
      <c r="X612" s="435"/>
    </row>
    <row r="613" spans="1:24" ht="15" customHeight="1" x14ac:dyDescent="0.45">
      <c r="A613" s="441" t="s">
        <v>1730</v>
      </c>
      <c r="B613" s="441" t="s">
        <v>24</v>
      </c>
      <c r="C613" s="441" t="s">
        <v>2106</v>
      </c>
      <c r="D613" s="439" t="s">
        <v>2105</v>
      </c>
      <c r="S613" s="452"/>
      <c r="T613" s="452"/>
      <c r="U613" s="452"/>
      <c r="V613" s="452"/>
      <c r="W613" s="452"/>
      <c r="X613" s="435"/>
    </row>
    <row r="614" spans="1:24" ht="15" customHeight="1" x14ac:dyDescent="0.45">
      <c r="A614" s="441" t="s">
        <v>1731</v>
      </c>
      <c r="B614" s="441" t="s">
        <v>1432</v>
      </c>
      <c r="C614" s="441" t="s">
        <v>2106</v>
      </c>
      <c r="D614" s="439" t="s">
        <v>2098</v>
      </c>
      <c r="S614" s="452"/>
      <c r="T614" s="452"/>
      <c r="U614" s="452"/>
      <c r="V614" s="452"/>
      <c r="W614" s="452"/>
      <c r="X614" s="435"/>
    </row>
    <row r="615" spans="1:24" ht="15" customHeight="1" x14ac:dyDescent="0.45">
      <c r="A615" s="441" t="s">
        <v>1732</v>
      </c>
      <c r="B615" s="441" t="s">
        <v>1433</v>
      </c>
      <c r="C615" s="441"/>
      <c r="S615" s="452"/>
      <c r="T615" s="452"/>
      <c r="U615" s="452"/>
      <c r="V615" s="452"/>
      <c r="W615" s="452"/>
      <c r="X615" s="435"/>
    </row>
    <row r="616" spans="1:24" ht="15" customHeight="1" x14ac:dyDescent="0.45">
      <c r="A616" s="441" t="s">
        <v>1733</v>
      </c>
      <c r="B616" s="441" t="s">
        <v>1434</v>
      </c>
      <c r="C616" s="441" t="s">
        <v>2098</v>
      </c>
      <c r="D616" s="439" t="s">
        <v>2104</v>
      </c>
      <c r="S616" s="452"/>
      <c r="T616" s="452"/>
      <c r="U616" s="452"/>
      <c r="V616" s="452"/>
      <c r="W616" s="452"/>
      <c r="X616" s="435"/>
    </row>
    <row r="617" spans="1:24" ht="15" customHeight="1" x14ac:dyDescent="0.45">
      <c r="A617" s="441" t="s">
        <v>1734</v>
      </c>
      <c r="B617" s="441" t="s">
        <v>1435</v>
      </c>
      <c r="C617" s="447"/>
      <c r="S617" s="452"/>
      <c r="T617" s="452"/>
      <c r="U617" s="452"/>
      <c r="V617" s="452"/>
      <c r="W617" s="452"/>
      <c r="X617" s="435"/>
    </row>
    <row r="618" spans="1:24" ht="15" customHeight="1" x14ac:dyDescent="0.45">
      <c r="A618" s="441" t="s">
        <v>1735</v>
      </c>
      <c r="B618" s="441" t="s">
        <v>1436</v>
      </c>
      <c r="C618" s="441" t="s">
        <v>2101</v>
      </c>
      <c r="D618" s="439" t="s">
        <v>2102</v>
      </c>
      <c r="S618" s="452"/>
      <c r="T618" s="452"/>
      <c r="U618" s="452"/>
      <c r="V618" s="452"/>
      <c r="W618" s="452"/>
      <c r="X618" s="435"/>
    </row>
    <row r="619" spans="1:24" ht="15" customHeight="1" x14ac:dyDescent="0.45">
      <c r="A619" s="441" t="s">
        <v>1736</v>
      </c>
      <c r="B619" s="441" t="s">
        <v>1437</v>
      </c>
      <c r="C619" s="441" t="s">
        <v>2099</v>
      </c>
      <c r="D619" s="439" t="s">
        <v>2103</v>
      </c>
      <c r="S619" s="452"/>
      <c r="T619" s="452"/>
      <c r="U619" s="452"/>
      <c r="V619" s="452"/>
      <c r="W619" s="452"/>
      <c r="X619" s="435"/>
    </row>
    <row r="620" spans="1:24" ht="15" customHeight="1" x14ac:dyDescent="0.45">
      <c r="A620" s="441" t="s">
        <v>1737</v>
      </c>
      <c r="B620" s="441" t="s">
        <v>1438</v>
      </c>
      <c r="C620" s="441"/>
      <c r="S620" s="452"/>
      <c r="T620" s="452"/>
      <c r="U620" s="452"/>
      <c r="V620" s="452"/>
      <c r="W620" s="452"/>
      <c r="X620" s="435"/>
    </row>
    <row r="621" spans="1:24" ht="15" customHeight="1" x14ac:dyDescent="0.45">
      <c r="A621" s="441" t="s">
        <v>1738</v>
      </c>
      <c r="B621" s="441" t="s">
        <v>1439</v>
      </c>
      <c r="C621" s="441"/>
      <c r="S621" s="452"/>
      <c r="T621" s="452"/>
      <c r="U621" s="452"/>
      <c r="V621" s="452"/>
      <c r="W621" s="452"/>
      <c r="X621" s="435"/>
    </row>
    <row r="622" spans="1:24" ht="15" customHeight="1" x14ac:dyDescent="0.45">
      <c r="A622" s="441"/>
      <c r="B622" s="441" t="s">
        <v>1424</v>
      </c>
      <c r="C622" s="441" t="s">
        <v>98</v>
      </c>
      <c r="S622" s="452"/>
      <c r="T622" s="452"/>
      <c r="U622" s="452"/>
      <c r="V622" s="452"/>
      <c r="W622" s="452"/>
      <c r="X622" s="435"/>
    </row>
    <row r="623" spans="1:24" ht="15" customHeight="1" x14ac:dyDescent="0.45">
      <c r="A623" s="441"/>
      <c r="B623" s="441" t="s">
        <v>1425</v>
      </c>
      <c r="C623" s="441" t="s">
        <v>615</v>
      </c>
      <c r="S623" s="452"/>
      <c r="T623" s="452"/>
      <c r="U623" s="452"/>
      <c r="V623" s="452"/>
      <c r="W623" s="452"/>
      <c r="X623" s="435"/>
    </row>
    <row r="624" spans="1:24" ht="15" customHeight="1" x14ac:dyDescent="0.45">
      <c r="A624" s="441"/>
      <c r="B624" s="441" t="s">
        <v>1426</v>
      </c>
      <c r="C624" s="441" t="s">
        <v>4</v>
      </c>
      <c r="S624" s="452"/>
      <c r="T624" s="452"/>
      <c r="U624" s="452"/>
      <c r="V624" s="452"/>
      <c r="W624" s="452"/>
      <c r="X624" s="435"/>
    </row>
    <row r="625" spans="1:24" ht="15" customHeight="1" x14ac:dyDescent="0.45">
      <c r="A625" s="441"/>
      <c r="B625" s="441" t="s">
        <v>901</v>
      </c>
      <c r="C625" s="441">
        <v>1</v>
      </c>
      <c r="D625" s="439">
        <v>11</v>
      </c>
      <c r="S625" s="452"/>
      <c r="T625" s="452"/>
      <c r="U625" s="452"/>
      <c r="V625" s="452"/>
      <c r="W625" s="452"/>
      <c r="X625" s="435"/>
    </row>
    <row r="626" spans="1:24" ht="15" customHeight="1" x14ac:dyDescent="0.45">
      <c r="A626" s="441" t="s">
        <v>1716</v>
      </c>
      <c r="B626" s="441" t="s">
        <v>1427</v>
      </c>
      <c r="C626" s="441" t="s">
        <v>2098</v>
      </c>
      <c r="D626" s="439" t="s">
        <v>2099</v>
      </c>
      <c r="S626" s="452"/>
      <c r="T626" s="452"/>
      <c r="U626" s="452"/>
      <c r="V626" s="452"/>
      <c r="W626" s="452"/>
      <c r="X626" s="435"/>
    </row>
    <row r="627" spans="1:24" ht="15" customHeight="1" x14ac:dyDescent="0.45">
      <c r="A627" s="441" t="s">
        <v>1717</v>
      </c>
      <c r="B627" s="441" t="s">
        <v>1428</v>
      </c>
      <c r="C627" s="447" t="s">
        <v>2100</v>
      </c>
      <c r="D627" s="439" t="s">
        <v>2101</v>
      </c>
      <c r="S627" s="452"/>
      <c r="T627" s="452"/>
      <c r="U627" s="452"/>
      <c r="V627" s="452"/>
      <c r="W627" s="452"/>
      <c r="X627" s="435"/>
    </row>
    <row r="628" spans="1:24" ht="15" customHeight="1" x14ac:dyDescent="0.45">
      <c r="A628" s="441" t="s">
        <v>1718</v>
      </c>
      <c r="B628" s="447">
        <v>200</v>
      </c>
      <c r="C628" s="447" t="s">
        <v>2102</v>
      </c>
      <c r="D628" s="439" t="s">
        <v>2103</v>
      </c>
      <c r="S628" s="452"/>
      <c r="T628" s="452"/>
      <c r="U628" s="452"/>
      <c r="V628" s="452"/>
      <c r="W628" s="452"/>
      <c r="X628" s="435"/>
    </row>
    <row r="629" spans="1:24" ht="15" customHeight="1" x14ac:dyDescent="0.45">
      <c r="A629" s="441" t="s">
        <v>1719</v>
      </c>
      <c r="B629" s="447">
        <v>400</v>
      </c>
      <c r="C629" s="441"/>
      <c r="S629" s="452"/>
      <c r="T629" s="452"/>
      <c r="U629" s="452"/>
      <c r="V629" s="452"/>
      <c r="W629" s="452"/>
      <c r="X629" s="435"/>
    </row>
    <row r="630" spans="1:24" ht="15" customHeight="1" x14ac:dyDescent="0.45">
      <c r="A630" s="441" t="s">
        <v>1720</v>
      </c>
      <c r="B630" s="441">
        <v>800</v>
      </c>
      <c r="C630" s="441" t="s">
        <v>2104</v>
      </c>
      <c r="D630" s="439" t="s">
        <v>2099</v>
      </c>
      <c r="S630" s="452"/>
      <c r="T630" s="452"/>
      <c r="U630" s="452"/>
      <c r="V630" s="452"/>
      <c r="W630" s="452"/>
      <c r="X630" s="435"/>
    </row>
    <row r="631" spans="1:24" ht="15" customHeight="1" x14ac:dyDescent="0.45">
      <c r="A631" s="441" t="s">
        <v>1721</v>
      </c>
      <c r="B631" s="441" t="s">
        <v>1429</v>
      </c>
      <c r="C631" s="441"/>
      <c r="S631" s="452"/>
      <c r="T631" s="452"/>
      <c r="U631" s="452"/>
      <c r="V631" s="452"/>
      <c r="W631" s="452"/>
      <c r="X631" s="435"/>
    </row>
    <row r="632" spans="1:24" ht="15" customHeight="1" x14ac:dyDescent="0.45">
      <c r="A632" s="441" t="s">
        <v>1722</v>
      </c>
      <c r="B632" s="447">
        <v>1500</v>
      </c>
      <c r="C632" s="447" t="s">
        <v>2102</v>
      </c>
      <c r="D632" s="439" t="s">
        <v>2100</v>
      </c>
      <c r="S632" s="452"/>
      <c r="T632" s="452"/>
      <c r="U632" s="452"/>
      <c r="V632" s="452"/>
      <c r="W632" s="452"/>
      <c r="X632" s="435"/>
    </row>
    <row r="633" spans="1:24" ht="15" customHeight="1" x14ac:dyDescent="0.45">
      <c r="A633" s="441" t="s">
        <v>1723</v>
      </c>
      <c r="B633" s="441" t="s">
        <v>1430</v>
      </c>
      <c r="C633" s="441" t="s">
        <v>2104</v>
      </c>
      <c r="D633" s="439" t="s">
        <v>2105</v>
      </c>
      <c r="S633" s="452"/>
      <c r="T633" s="452"/>
      <c r="U633" s="452"/>
      <c r="V633" s="452"/>
      <c r="W633" s="452"/>
      <c r="X633" s="435"/>
    </row>
    <row r="634" spans="1:24" ht="15" customHeight="1" x14ac:dyDescent="0.45">
      <c r="A634" s="441" t="s">
        <v>1724</v>
      </c>
      <c r="B634" s="441">
        <v>3000</v>
      </c>
      <c r="C634" s="441"/>
      <c r="S634" s="452"/>
      <c r="T634" s="452"/>
      <c r="U634" s="452"/>
      <c r="V634" s="452"/>
      <c r="W634" s="452"/>
      <c r="X634" s="435"/>
    </row>
    <row r="635" spans="1:24" ht="15" customHeight="1" x14ac:dyDescent="0.45">
      <c r="A635" s="441" t="s">
        <v>1725</v>
      </c>
      <c r="B635" s="441" t="s">
        <v>1431</v>
      </c>
      <c r="C635" s="441"/>
      <c r="S635" s="452"/>
      <c r="T635" s="452"/>
      <c r="U635" s="452"/>
      <c r="V635" s="452"/>
      <c r="W635" s="452"/>
      <c r="X635" s="435"/>
    </row>
    <row r="636" spans="1:24" ht="15" customHeight="1" x14ac:dyDescent="0.45">
      <c r="A636" s="441" t="s">
        <v>1726</v>
      </c>
      <c r="B636" s="441" t="s">
        <v>902</v>
      </c>
      <c r="C636" s="441"/>
      <c r="S636" s="452"/>
      <c r="T636" s="452"/>
      <c r="U636" s="452"/>
      <c r="V636" s="452"/>
      <c r="W636" s="452"/>
      <c r="X636" s="435"/>
    </row>
    <row r="637" spans="1:24" ht="15" customHeight="1" x14ac:dyDescent="0.45">
      <c r="A637" s="441" t="s">
        <v>1727</v>
      </c>
      <c r="B637" s="441" t="s">
        <v>25</v>
      </c>
      <c r="C637" s="441"/>
      <c r="S637" s="452"/>
      <c r="T637" s="452"/>
      <c r="U637" s="452"/>
      <c r="V637" s="452"/>
      <c r="W637" s="452"/>
      <c r="X637" s="435"/>
    </row>
    <row r="638" spans="1:24" ht="15" customHeight="1" x14ac:dyDescent="0.45">
      <c r="A638" s="441" t="s">
        <v>1728</v>
      </c>
      <c r="B638" s="441" t="s">
        <v>21</v>
      </c>
      <c r="C638" s="441"/>
      <c r="S638" s="452"/>
      <c r="T638" s="452"/>
      <c r="U638" s="452"/>
      <c r="V638" s="452"/>
      <c r="W638" s="452"/>
      <c r="X638" s="435"/>
    </row>
    <row r="639" spans="1:24" ht="15" customHeight="1" x14ac:dyDescent="0.45">
      <c r="A639" s="441" t="s">
        <v>1729</v>
      </c>
      <c r="B639" s="441" t="s">
        <v>28</v>
      </c>
      <c r="C639" s="441" t="s">
        <v>2106</v>
      </c>
      <c r="D639" s="439" t="s">
        <v>2105</v>
      </c>
      <c r="S639" s="452"/>
      <c r="T639" s="452"/>
      <c r="U639" s="452"/>
      <c r="V639" s="452"/>
      <c r="W639" s="452"/>
      <c r="X639" s="435"/>
    </row>
    <row r="640" spans="1:24" ht="15" customHeight="1" x14ac:dyDescent="0.45">
      <c r="A640" s="441" t="s">
        <v>1730</v>
      </c>
      <c r="B640" s="441" t="s">
        <v>24</v>
      </c>
      <c r="C640" s="441" t="s">
        <v>2106</v>
      </c>
      <c r="D640" s="439" t="s">
        <v>2105</v>
      </c>
      <c r="S640" s="452"/>
      <c r="T640" s="452"/>
      <c r="U640" s="452"/>
      <c r="V640" s="452"/>
      <c r="W640" s="452"/>
      <c r="X640" s="435"/>
    </row>
    <row r="641" spans="1:24" ht="15" customHeight="1" x14ac:dyDescent="0.45">
      <c r="A641" s="441" t="s">
        <v>1731</v>
      </c>
      <c r="B641" s="441" t="s">
        <v>1432</v>
      </c>
      <c r="C641" s="441" t="s">
        <v>2106</v>
      </c>
      <c r="D641" s="439" t="s">
        <v>2098</v>
      </c>
      <c r="S641" s="452"/>
      <c r="T641" s="452"/>
      <c r="U641" s="452"/>
      <c r="V641" s="452"/>
      <c r="W641" s="452"/>
      <c r="X641" s="435"/>
    </row>
    <row r="642" spans="1:24" ht="15" customHeight="1" x14ac:dyDescent="0.45">
      <c r="A642" s="441" t="s">
        <v>1732</v>
      </c>
      <c r="B642" s="441" t="s">
        <v>1433</v>
      </c>
      <c r="C642" s="441"/>
      <c r="S642" s="452"/>
      <c r="T642" s="452"/>
      <c r="U642" s="452"/>
      <c r="V642" s="452"/>
      <c r="W642" s="452"/>
      <c r="X642" s="435"/>
    </row>
    <row r="643" spans="1:24" ht="15" customHeight="1" x14ac:dyDescent="0.45">
      <c r="A643" s="441" t="s">
        <v>1733</v>
      </c>
      <c r="B643" s="441" t="s">
        <v>1434</v>
      </c>
      <c r="C643" s="441" t="s">
        <v>2098</v>
      </c>
      <c r="D643" s="439" t="s">
        <v>2104</v>
      </c>
      <c r="S643" s="452"/>
      <c r="T643" s="452"/>
      <c r="U643" s="452"/>
      <c r="V643" s="452"/>
      <c r="W643" s="452"/>
      <c r="X643" s="435"/>
    </row>
    <row r="644" spans="1:24" ht="15" customHeight="1" x14ac:dyDescent="0.45">
      <c r="A644" s="441" t="s">
        <v>1734</v>
      </c>
      <c r="B644" s="441" t="s">
        <v>1435</v>
      </c>
      <c r="C644" s="447"/>
      <c r="S644" s="452"/>
      <c r="T644" s="452"/>
      <c r="U644" s="452"/>
      <c r="V644" s="452"/>
      <c r="W644" s="452"/>
      <c r="X644" s="435"/>
    </row>
    <row r="645" spans="1:24" ht="15" customHeight="1" x14ac:dyDescent="0.45">
      <c r="A645" s="441" t="s">
        <v>1735</v>
      </c>
      <c r="B645" s="441" t="s">
        <v>1436</v>
      </c>
      <c r="C645" s="441" t="s">
        <v>2101</v>
      </c>
      <c r="D645" s="439" t="s">
        <v>2102</v>
      </c>
      <c r="S645" s="452"/>
      <c r="T645" s="452"/>
      <c r="U645" s="452"/>
      <c r="V645" s="452"/>
      <c r="W645" s="452"/>
      <c r="X645" s="435"/>
    </row>
    <row r="646" spans="1:24" ht="15" customHeight="1" x14ac:dyDescent="0.45">
      <c r="A646" s="441" t="s">
        <v>1736</v>
      </c>
      <c r="B646" s="441" t="s">
        <v>1437</v>
      </c>
      <c r="C646" s="441" t="s">
        <v>2099</v>
      </c>
      <c r="D646" s="439" t="s">
        <v>2103</v>
      </c>
      <c r="S646" s="452"/>
      <c r="T646" s="452"/>
      <c r="U646" s="452"/>
      <c r="V646" s="452"/>
      <c r="W646" s="452"/>
      <c r="X646" s="435"/>
    </row>
    <row r="647" spans="1:24" ht="15" customHeight="1" x14ac:dyDescent="0.45">
      <c r="A647" s="441" t="s">
        <v>1737</v>
      </c>
      <c r="B647" s="441" t="s">
        <v>1438</v>
      </c>
      <c r="C647" s="441"/>
      <c r="S647" s="452"/>
      <c r="T647" s="452"/>
      <c r="U647" s="452"/>
      <c r="V647" s="452"/>
      <c r="W647" s="452"/>
      <c r="X647" s="435"/>
    </row>
    <row r="648" spans="1:24" ht="15" customHeight="1" x14ac:dyDescent="0.45">
      <c r="A648" s="441" t="s">
        <v>1738</v>
      </c>
      <c r="B648" s="441" t="s">
        <v>1439</v>
      </c>
      <c r="C648" s="441"/>
      <c r="S648" s="452"/>
      <c r="T648" s="452"/>
      <c r="U648" s="452"/>
      <c r="V648" s="452"/>
      <c r="W648" s="452"/>
      <c r="X648" s="435"/>
    </row>
    <row r="649" spans="1:24" ht="15" customHeight="1" x14ac:dyDescent="0.45">
      <c r="A649" s="441"/>
      <c r="B649" s="441" t="s">
        <v>1424</v>
      </c>
      <c r="C649" s="441" t="s">
        <v>100</v>
      </c>
      <c r="S649" s="452"/>
      <c r="T649" s="452"/>
      <c r="U649" s="452"/>
      <c r="V649" s="452"/>
      <c r="W649" s="452"/>
      <c r="X649" s="435"/>
    </row>
    <row r="650" spans="1:24" ht="15" customHeight="1" x14ac:dyDescent="0.45">
      <c r="A650" s="441"/>
      <c r="B650" s="441" t="s">
        <v>1425</v>
      </c>
      <c r="C650" s="441" t="s">
        <v>793</v>
      </c>
      <c r="S650" s="452"/>
      <c r="T650" s="452"/>
      <c r="U650" s="452"/>
      <c r="V650" s="452"/>
      <c r="W650" s="452"/>
      <c r="X650" s="435"/>
    </row>
    <row r="651" spans="1:24" ht="15" customHeight="1" x14ac:dyDescent="0.45">
      <c r="A651" s="441"/>
      <c r="B651" s="441" t="s">
        <v>1426</v>
      </c>
      <c r="C651" s="441" t="s">
        <v>4</v>
      </c>
      <c r="S651" s="452"/>
      <c r="T651" s="452"/>
      <c r="U651" s="452"/>
      <c r="V651" s="452"/>
      <c r="W651" s="452"/>
      <c r="X651" s="435"/>
    </row>
    <row r="652" spans="1:24" ht="15" customHeight="1" x14ac:dyDescent="0.45">
      <c r="A652" s="441"/>
      <c r="B652" s="441" t="s">
        <v>901</v>
      </c>
      <c r="C652" s="441">
        <v>2</v>
      </c>
      <c r="D652" s="439">
        <v>22</v>
      </c>
      <c r="S652" s="452"/>
      <c r="T652" s="452"/>
      <c r="U652" s="452"/>
      <c r="V652" s="452"/>
      <c r="W652" s="452"/>
      <c r="X652" s="435"/>
    </row>
    <row r="653" spans="1:24" ht="15" customHeight="1" x14ac:dyDescent="0.45">
      <c r="A653" s="441" t="s">
        <v>1693</v>
      </c>
      <c r="B653" s="441" t="s">
        <v>1427</v>
      </c>
      <c r="C653" s="441" t="s">
        <v>2091</v>
      </c>
      <c r="D653" s="439" t="s">
        <v>2092</v>
      </c>
      <c r="S653" s="452"/>
      <c r="T653" s="452"/>
      <c r="U653" s="452"/>
      <c r="V653" s="452"/>
      <c r="W653" s="452"/>
      <c r="X653" s="435"/>
    </row>
    <row r="654" spans="1:24" ht="15" customHeight="1" x14ac:dyDescent="0.45">
      <c r="A654" s="441" t="s">
        <v>1694</v>
      </c>
      <c r="B654" s="441" t="s">
        <v>1428</v>
      </c>
      <c r="C654" s="447" t="s">
        <v>2093</v>
      </c>
      <c r="D654" s="439" t="s">
        <v>2094</v>
      </c>
      <c r="S654" s="452"/>
      <c r="T654" s="452"/>
      <c r="U654" s="452"/>
      <c r="V654" s="452"/>
      <c r="W654" s="452"/>
      <c r="X654" s="435"/>
    </row>
    <row r="655" spans="1:24" ht="15" customHeight="1" x14ac:dyDescent="0.45">
      <c r="A655" s="441" t="s">
        <v>1695</v>
      </c>
      <c r="B655" s="447">
        <v>200</v>
      </c>
      <c r="C655" s="447" t="s">
        <v>2095</v>
      </c>
      <c r="D655" s="439" t="s">
        <v>2091</v>
      </c>
      <c r="S655" s="452"/>
      <c r="T655" s="452"/>
      <c r="U655" s="452"/>
      <c r="V655" s="452"/>
      <c r="W655" s="452"/>
      <c r="X655" s="435"/>
    </row>
    <row r="656" spans="1:24" ht="15" customHeight="1" x14ac:dyDescent="0.45">
      <c r="A656" s="441" t="s">
        <v>1696</v>
      </c>
      <c r="B656" s="441">
        <v>400</v>
      </c>
      <c r="C656" s="441"/>
      <c r="S656" s="452"/>
      <c r="T656" s="452"/>
      <c r="U656" s="452"/>
      <c r="V656" s="452"/>
      <c r="W656" s="452"/>
      <c r="X656" s="435"/>
    </row>
    <row r="657" spans="1:24" ht="15" customHeight="1" x14ac:dyDescent="0.45">
      <c r="A657" s="441" t="s">
        <v>1697</v>
      </c>
      <c r="B657" s="441">
        <v>800</v>
      </c>
      <c r="C657" s="441" t="s">
        <v>2096</v>
      </c>
      <c r="D657" s="439" t="s">
        <v>2093</v>
      </c>
      <c r="S657" s="452"/>
      <c r="T657" s="452"/>
      <c r="U657" s="452"/>
      <c r="V657" s="452"/>
      <c r="W657" s="452"/>
      <c r="X657" s="435"/>
    </row>
    <row r="658" spans="1:24" ht="15" customHeight="1" x14ac:dyDescent="0.45">
      <c r="A658" s="441" t="s">
        <v>1698</v>
      </c>
      <c r="B658" s="441" t="s">
        <v>1429</v>
      </c>
      <c r="C658" s="441" t="s">
        <v>912</v>
      </c>
      <c r="S658" s="452"/>
      <c r="T658" s="452"/>
      <c r="U658" s="452"/>
      <c r="V658" s="452"/>
      <c r="W658" s="452"/>
      <c r="X658" s="435"/>
    </row>
    <row r="659" spans="1:24" ht="15" customHeight="1" x14ac:dyDescent="0.45">
      <c r="A659" s="441" t="s">
        <v>1699</v>
      </c>
      <c r="B659" s="441">
        <v>1500</v>
      </c>
      <c r="C659" s="441"/>
      <c r="S659" s="452"/>
      <c r="T659" s="452"/>
      <c r="U659" s="452"/>
      <c r="V659" s="452"/>
      <c r="W659" s="452"/>
      <c r="X659" s="435"/>
    </row>
    <row r="660" spans="1:24" ht="15" customHeight="1" x14ac:dyDescent="0.45">
      <c r="A660" s="441" t="s">
        <v>1700</v>
      </c>
      <c r="B660" s="447" t="s">
        <v>1430</v>
      </c>
      <c r="C660" s="447" t="s">
        <v>2097</v>
      </c>
      <c r="D660" s="439" t="s">
        <v>2095</v>
      </c>
      <c r="S660" s="452"/>
      <c r="T660" s="452"/>
      <c r="U660" s="452"/>
      <c r="V660" s="452"/>
      <c r="W660" s="452"/>
      <c r="X660" s="435"/>
    </row>
    <row r="661" spans="1:24" ht="15" customHeight="1" x14ac:dyDescent="0.45">
      <c r="A661" s="441" t="s">
        <v>1701</v>
      </c>
      <c r="B661" s="441">
        <v>3000</v>
      </c>
      <c r="C661" s="447"/>
      <c r="S661" s="452"/>
      <c r="T661" s="452"/>
      <c r="U661" s="452"/>
      <c r="V661" s="452"/>
      <c r="W661" s="452"/>
      <c r="X661" s="435"/>
    </row>
    <row r="662" spans="1:24" ht="15" customHeight="1" x14ac:dyDescent="0.45">
      <c r="A662" s="441" t="s">
        <v>1702</v>
      </c>
      <c r="B662" s="441" t="s">
        <v>1431</v>
      </c>
      <c r="C662" s="441"/>
      <c r="S662" s="452"/>
      <c r="T662" s="452"/>
      <c r="U662" s="452"/>
      <c r="V662" s="452"/>
      <c r="W662" s="452"/>
      <c r="X662" s="435"/>
    </row>
    <row r="663" spans="1:24" ht="15" customHeight="1" x14ac:dyDescent="0.45">
      <c r="A663" s="441" t="s">
        <v>1703</v>
      </c>
      <c r="B663" s="441" t="s">
        <v>902</v>
      </c>
      <c r="C663" s="441"/>
      <c r="S663" s="452"/>
      <c r="T663" s="452"/>
      <c r="U663" s="452"/>
      <c r="V663" s="452"/>
      <c r="W663" s="452"/>
      <c r="X663" s="435"/>
    </row>
    <row r="664" spans="1:24" ht="15" customHeight="1" x14ac:dyDescent="0.45">
      <c r="A664" s="441" t="s">
        <v>1704</v>
      </c>
      <c r="B664" s="441" t="s">
        <v>25</v>
      </c>
      <c r="C664" s="441"/>
      <c r="S664" s="452"/>
      <c r="T664" s="452"/>
      <c r="U664" s="452"/>
      <c r="V664" s="452"/>
      <c r="W664" s="452"/>
      <c r="X664" s="435"/>
    </row>
    <row r="665" spans="1:24" ht="15" customHeight="1" x14ac:dyDescent="0.45">
      <c r="A665" s="441" t="s">
        <v>1705</v>
      </c>
      <c r="B665" s="441" t="s">
        <v>21</v>
      </c>
      <c r="C665" s="441"/>
      <c r="S665" s="452"/>
      <c r="T665" s="452"/>
      <c r="U665" s="452"/>
      <c r="V665" s="452"/>
      <c r="W665" s="452"/>
      <c r="X665" s="435"/>
    </row>
    <row r="666" spans="1:24" ht="15" customHeight="1" x14ac:dyDescent="0.45">
      <c r="A666" s="441" t="s">
        <v>1706</v>
      </c>
      <c r="B666" s="441" t="s">
        <v>28</v>
      </c>
      <c r="C666" s="441" t="s">
        <v>2092</v>
      </c>
      <c r="D666" s="439" t="s">
        <v>2094</v>
      </c>
      <c r="S666" s="452"/>
      <c r="T666" s="452"/>
      <c r="U666" s="452"/>
      <c r="V666" s="452"/>
      <c r="W666" s="452"/>
      <c r="X666" s="435"/>
    </row>
    <row r="667" spans="1:24" ht="15" customHeight="1" x14ac:dyDescent="0.45">
      <c r="A667" s="441" t="s">
        <v>1707</v>
      </c>
      <c r="B667" s="441" t="s">
        <v>24</v>
      </c>
      <c r="C667" s="447" t="s">
        <v>2093</v>
      </c>
      <c r="D667" s="439" t="s">
        <v>2096</v>
      </c>
      <c r="S667" s="452"/>
      <c r="T667" s="452"/>
      <c r="U667" s="452"/>
      <c r="V667" s="452"/>
      <c r="W667" s="452"/>
      <c r="X667" s="435"/>
    </row>
    <row r="668" spans="1:24" ht="15" customHeight="1" x14ac:dyDescent="0.45">
      <c r="A668" s="441" t="s">
        <v>1708</v>
      </c>
      <c r="B668" s="441" t="s">
        <v>1432</v>
      </c>
      <c r="C668" s="441" t="s">
        <v>2097</v>
      </c>
      <c r="D668" s="439" t="s">
        <v>2095</v>
      </c>
      <c r="S668" s="452"/>
      <c r="T668" s="452"/>
      <c r="U668" s="452"/>
      <c r="V668" s="452"/>
      <c r="W668" s="452"/>
      <c r="X668" s="435"/>
    </row>
    <row r="669" spans="1:24" ht="15" customHeight="1" x14ac:dyDescent="0.45">
      <c r="A669" s="441" t="s">
        <v>1709</v>
      </c>
      <c r="B669" s="441" t="s">
        <v>1433</v>
      </c>
      <c r="C669" s="441"/>
      <c r="S669" s="452"/>
      <c r="T669" s="452"/>
      <c r="U669" s="452"/>
      <c r="V669" s="452"/>
      <c r="W669" s="452"/>
      <c r="X669" s="435"/>
    </row>
    <row r="670" spans="1:24" ht="15" customHeight="1" x14ac:dyDescent="0.45">
      <c r="A670" s="441" t="s">
        <v>1710</v>
      </c>
      <c r="B670" s="441" t="s">
        <v>1434</v>
      </c>
      <c r="C670" s="441" t="s">
        <v>2092</v>
      </c>
      <c r="D670" s="439" t="s">
        <v>2091</v>
      </c>
      <c r="S670" s="452"/>
      <c r="T670" s="452"/>
      <c r="U670" s="452"/>
      <c r="V670" s="452"/>
      <c r="W670" s="452"/>
      <c r="X670" s="435"/>
    </row>
    <row r="671" spans="1:24" ht="15" customHeight="1" x14ac:dyDescent="0.45">
      <c r="A671" s="441" t="s">
        <v>1711</v>
      </c>
      <c r="B671" s="441" t="s">
        <v>1435</v>
      </c>
      <c r="C671" s="441"/>
      <c r="S671" s="452"/>
      <c r="T671" s="452"/>
      <c r="U671" s="452"/>
      <c r="V671" s="452"/>
      <c r="W671" s="452"/>
      <c r="X671" s="435"/>
    </row>
    <row r="672" spans="1:24" ht="15" customHeight="1" x14ac:dyDescent="0.45">
      <c r="A672" s="441" t="s">
        <v>1712</v>
      </c>
      <c r="B672" s="441" t="s">
        <v>1436</v>
      </c>
      <c r="C672" s="441" t="s">
        <v>2095</v>
      </c>
      <c r="D672" s="439" t="s">
        <v>2094</v>
      </c>
      <c r="S672" s="452"/>
      <c r="T672" s="452"/>
      <c r="U672" s="452"/>
      <c r="V672" s="452"/>
      <c r="W672" s="452"/>
      <c r="X672" s="435"/>
    </row>
    <row r="673" spans="1:24" ht="15" customHeight="1" x14ac:dyDescent="0.45">
      <c r="A673" s="441" t="s">
        <v>1713</v>
      </c>
      <c r="B673" s="441" t="s">
        <v>1437</v>
      </c>
      <c r="C673" s="441" t="s">
        <v>2092</v>
      </c>
      <c r="D673" s="439" t="s">
        <v>2096</v>
      </c>
      <c r="S673" s="452"/>
      <c r="T673" s="452"/>
      <c r="U673" s="452"/>
      <c r="V673" s="452"/>
      <c r="W673" s="452"/>
      <c r="X673" s="435"/>
    </row>
    <row r="674" spans="1:24" ht="15" customHeight="1" x14ac:dyDescent="0.45">
      <c r="A674" s="441" t="s">
        <v>1714</v>
      </c>
      <c r="B674" s="441" t="s">
        <v>1438</v>
      </c>
      <c r="C674" s="441"/>
      <c r="S674" s="452"/>
      <c r="T674" s="452"/>
      <c r="U674" s="452"/>
      <c r="V674" s="452"/>
      <c r="W674" s="452"/>
      <c r="X674" s="435"/>
    </row>
    <row r="675" spans="1:24" ht="15" customHeight="1" x14ac:dyDescent="0.45">
      <c r="A675" s="441" t="s">
        <v>1715</v>
      </c>
      <c r="B675" s="441" t="s">
        <v>1439</v>
      </c>
      <c r="C675" s="441"/>
      <c r="S675" s="452"/>
      <c r="T675" s="452"/>
      <c r="U675" s="452"/>
      <c r="V675" s="452"/>
      <c r="W675" s="452"/>
      <c r="X675" s="435"/>
    </row>
    <row r="676" spans="1:24" ht="15" customHeight="1" x14ac:dyDescent="0.45">
      <c r="A676" s="441"/>
      <c r="B676" s="441" t="s">
        <v>1424</v>
      </c>
      <c r="C676" s="441" t="s">
        <v>112</v>
      </c>
      <c r="S676" s="452"/>
      <c r="T676" s="452"/>
      <c r="U676" s="452"/>
      <c r="V676" s="452"/>
      <c r="W676" s="452"/>
      <c r="X676" s="435"/>
    </row>
    <row r="677" spans="1:24" ht="15" customHeight="1" x14ac:dyDescent="0.45">
      <c r="A677" s="441"/>
      <c r="B677" s="441" t="s">
        <v>1425</v>
      </c>
      <c r="C677" s="441" t="s">
        <v>636</v>
      </c>
      <c r="S677" s="452"/>
      <c r="T677" s="452"/>
      <c r="U677" s="452"/>
      <c r="V677" s="452"/>
      <c r="W677" s="452"/>
      <c r="X677" s="435"/>
    </row>
    <row r="678" spans="1:24" ht="15" customHeight="1" x14ac:dyDescent="0.45">
      <c r="A678" s="441"/>
      <c r="B678" s="441" t="s">
        <v>1426</v>
      </c>
      <c r="C678" s="441" t="s">
        <v>4</v>
      </c>
      <c r="S678" s="452"/>
      <c r="T678" s="452"/>
      <c r="U678" s="452"/>
      <c r="V678" s="452"/>
      <c r="W678" s="452"/>
      <c r="X678" s="435"/>
    </row>
    <row r="679" spans="1:24" ht="15" customHeight="1" x14ac:dyDescent="0.45">
      <c r="A679" s="441"/>
      <c r="B679" s="441" t="s">
        <v>901</v>
      </c>
      <c r="C679" s="441">
        <v>3</v>
      </c>
      <c r="D679" s="439">
        <v>33</v>
      </c>
      <c r="S679" s="452"/>
      <c r="T679" s="452"/>
      <c r="U679" s="452"/>
      <c r="V679" s="452"/>
      <c r="W679" s="452"/>
      <c r="X679" s="435"/>
    </row>
    <row r="680" spans="1:24" ht="15" customHeight="1" x14ac:dyDescent="0.45">
      <c r="A680" s="441" t="s">
        <v>1739</v>
      </c>
      <c r="B680" s="441" t="s">
        <v>1427</v>
      </c>
      <c r="C680" s="441" t="s">
        <v>2080</v>
      </c>
      <c r="D680" s="439" t="s">
        <v>2081</v>
      </c>
      <c r="S680" s="452"/>
      <c r="T680" s="452"/>
      <c r="U680" s="452"/>
      <c r="V680" s="452"/>
      <c r="W680" s="452"/>
      <c r="X680" s="435"/>
    </row>
    <row r="681" spans="1:24" ht="15" customHeight="1" x14ac:dyDescent="0.45">
      <c r="A681" s="441" t="s">
        <v>1740</v>
      </c>
      <c r="B681" s="441" t="s">
        <v>1428</v>
      </c>
      <c r="C681" s="441" t="s">
        <v>2082</v>
      </c>
      <c r="D681" s="439" t="s">
        <v>2083</v>
      </c>
      <c r="S681" s="452"/>
      <c r="T681" s="452"/>
      <c r="U681" s="452"/>
      <c r="V681" s="452"/>
      <c r="W681" s="452"/>
      <c r="X681" s="435"/>
    </row>
    <row r="682" spans="1:24" ht="15" customHeight="1" x14ac:dyDescent="0.45">
      <c r="A682" s="441" t="s">
        <v>1741</v>
      </c>
      <c r="B682" s="447">
        <v>200</v>
      </c>
      <c r="C682" s="447" t="s">
        <v>2084</v>
      </c>
      <c r="D682" s="439" t="s">
        <v>2085</v>
      </c>
      <c r="S682" s="452"/>
      <c r="T682" s="452"/>
      <c r="U682" s="452"/>
      <c r="V682" s="452"/>
      <c r="W682" s="452"/>
      <c r="X682" s="435"/>
    </row>
    <row r="683" spans="1:24" ht="15" customHeight="1" x14ac:dyDescent="0.45">
      <c r="A683" s="441" t="s">
        <v>1742</v>
      </c>
      <c r="B683" s="441">
        <v>400</v>
      </c>
      <c r="C683" s="441"/>
      <c r="S683" s="452"/>
      <c r="T683" s="452"/>
      <c r="U683" s="452"/>
      <c r="V683" s="452"/>
      <c r="W683" s="452"/>
      <c r="X683" s="435"/>
    </row>
    <row r="684" spans="1:24" ht="15" customHeight="1" x14ac:dyDescent="0.45">
      <c r="A684" s="441" t="s">
        <v>1743</v>
      </c>
      <c r="B684" s="441">
        <v>800</v>
      </c>
      <c r="C684" s="441" t="s">
        <v>2081</v>
      </c>
      <c r="D684" s="439" t="s">
        <v>2082</v>
      </c>
      <c r="S684" s="452"/>
      <c r="T684" s="452"/>
      <c r="U684" s="452"/>
      <c r="V684" s="452"/>
      <c r="W684" s="452"/>
      <c r="X684" s="435"/>
    </row>
    <row r="685" spans="1:24" ht="15" customHeight="1" x14ac:dyDescent="0.45">
      <c r="A685" s="441" t="s">
        <v>1744</v>
      </c>
      <c r="B685" s="441" t="s">
        <v>1429</v>
      </c>
      <c r="C685" s="441" t="s">
        <v>2086</v>
      </c>
      <c r="D685" s="439" t="s">
        <v>2085</v>
      </c>
      <c r="S685" s="452"/>
      <c r="T685" s="452"/>
      <c r="U685" s="452"/>
      <c r="V685" s="452"/>
      <c r="W685" s="452"/>
      <c r="X685" s="435"/>
    </row>
    <row r="686" spans="1:24" ht="15" customHeight="1" x14ac:dyDescent="0.45">
      <c r="A686" s="441" t="s">
        <v>1745</v>
      </c>
      <c r="B686" s="441">
        <v>1500</v>
      </c>
      <c r="C686" s="447" t="s">
        <v>2087</v>
      </c>
      <c r="D686" s="439" t="s">
        <v>2088</v>
      </c>
      <c r="S686" s="452"/>
      <c r="T686" s="452"/>
      <c r="U686" s="452"/>
      <c r="V686" s="452"/>
      <c r="W686" s="452"/>
      <c r="X686" s="435"/>
    </row>
    <row r="687" spans="1:24" ht="15" customHeight="1" x14ac:dyDescent="0.45">
      <c r="A687" s="441" t="s">
        <v>1746</v>
      </c>
      <c r="B687" s="441" t="s">
        <v>1430</v>
      </c>
      <c r="C687" s="447" t="s">
        <v>2083</v>
      </c>
      <c r="D687" s="439" t="s">
        <v>2086</v>
      </c>
      <c r="S687" s="452"/>
      <c r="T687" s="452"/>
      <c r="U687" s="452"/>
      <c r="V687" s="452"/>
      <c r="W687" s="452"/>
      <c r="X687" s="435"/>
    </row>
    <row r="688" spans="1:24" ht="15" customHeight="1" x14ac:dyDescent="0.45">
      <c r="A688" s="441" t="s">
        <v>1747</v>
      </c>
      <c r="B688" s="441">
        <v>3000</v>
      </c>
      <c r="C688" s="447"/>
      <c r="S688" s="452"/>
      <c r="T688" s="452"/>
      <c r="U688" s="452"/>
      <c r="V688" s="452"/>
      <c r="W688" s="452"/>
      <c r="X688" s="435"/>
    </row>
    <row r="689" spans="1:24" ht="15" customHeight="1" x14ac:dyDescent="0.45">
      <c r="A689" s="441" t="s">
        <v>1748</v>
      </c>
      <c r="B689" s="441" t="s">
        <v>1431</v>
      </c>
      <c r="C689" s="441"/>
      <c r="S689" s="452"/>
      <c r="T689" s="452"/>
      <c r="U689" s="452"/>
      <c r="V689" s="452"/>
      <c r="W689" s="452"/>
      <c r="X689" s="435"/>
    </row>
    <row r="690" spans="1:24" ht="15" customHeight="1" x14ac:dyDescent="0.45">
      <c r="A690" s="441" t="s">
        <v>1749</v>
      </c>
      <c r="B690" s="441" t="s">
        <v>902</v>
      </c>
      <c r="C690" s="441"/>
      <c r="S690" s="452"/>
      <c r="T690" s="452"/>
      <c r="U690" s="452"/>
      <c r="V690" s="452"/>
      <c r="W690" s="452"/>
      <c r="X690" s="435"/>
    </row>
    <row r="691" spans="1:24" ht="15" customHeight="1" x14ac:dyDescent="0.45">
      <c r="A691" s="441" t="s">
        <v>1750</v>
      </c>
      <c r="B691" s="441" t="s">
        <v>25</v>
      </c>
      <c r="C691" s="441"/>
      <c r="S691" s="452"/>
      <c r="T691" s="452"/>
      <c r="U691" s="452"/>
      <c r="V691" s="452"/>
      <c r="W691" s="452"/>
      <c r="X691" s="435"/>
    </row>
    <row r="692" spans="1:24" ht="15" customHeight="1" x14ac:dyDescent="0.45">
      <c r="A692" s="441" t="s">
        <v>1751</v>
      </c>
      <c r="B692" s="441" t="s">
        <v>21</v>
      </c>
      <c r="C692" s="441"/>
      <c r="S692" s="452"/>
      <c r="T692" s="452"/>
      <c r="U692" s="452"/>
      <c r="V692" s="452"/>
      <c r="W692" s="452"/>
      <c r="X692" s="435"/>
    </row>
    <row r="693" spans="1:24" ht="15" customHeight="1" x14ac:dyDescent="0.45">
      <c r="A693" s="441" t="s">
        <v>1752</v>
      </c>
      <c r="B693" s="441" t="s">
        <v>28</v>
      </c>
      <c r="C693" s="441" t="s">
        <v>2089</v>
      </c>
      <c r="D693" s="439" t="s">
        <v>2090</v>
      </c>
      <c r="S693" s="452"/>
      <c r="T693" s="452"/>
      <c r="U693" s="452"/>
      <c r="V693" s="452"/>
      <c r="W693" s="452"/>
      <c r="X693" s="435"/>
    </row>
    <row r="694" spans="1:24" ht="15" customHeight="1" x14ac:dyDescent="0.45">
      <c r="A694" s="441" t="s">
        <v>1753</v>
      </c>
      <c r="B694" s="441" t="s">
        <v>24</v>
      </c>
      <c r="C694" s="441" t="s">
        <v>2089</v>
      </c>
      <c r="D694" s="439" t="s">
        <v>2090</v>
      </c>
      <c r="S694" s="452"/>
      <c r="T694" s="452"/>
      <c r="U694" s="452"/>
      <c r="V694" s="452"/>
      <c r="W694" s="452"/>
      <c r="X694" s="435"/>
    </row>
    <row r="695" spans="1:24" ht="15" customHeight="1" x14ac:dyDescent="0.45">
      <c r="A695" s="441" t="s">
        <v>1754</v>
      </c>
      <c r="B695" s="441" t="s">
        <v>1432</v>
      </c>
      <c r="C695" s="441" t="s">
        <v>2080</v>
      </c>
      <c r="D695" s="439" t="s">
        <v>2090</v>
      </c>
      <c r="S695" s="452"/>
      <c r="T695" s="452"/>
      <c r="U695" s="452"/>
      <c r="V695" s="452"/>
      <c r="W695" s="452"/>
      <c r="X695" s="435"/>
    </row>
    <row r="696" spans="1:24" ht="15" customHeight="1" x14ac:dyDescent="0.45">
      <c r="A696" s="441" t="s">
        <v>1755</v>
      </c>
      <c r="B696" s="441" t="s">
        <v>1433</v>
      </c>
      <c r="C696" s="441"/>
      <c r="S696" s="452"/>
      <c r="T696" s="452"/>
      <c r="U696" s="452"/>
      <c r="V696" s="452"/>
      <c r="W696" s="452"/>
      <c r="X696" s="435"/>
    </row>
    <row r="697" spans="1:24" ht="15" customHeight="1" x14ac:dyDescent="0.45">
      <c r="A697" s="441" t="s">
        <v>1756</v>
      </c>
      <c r="B697" s="441" t="s">
        <v>1434</v>
      </c>
      <c r="C697" s="441" t="s">
        <v>2089</v>
      </c>
      <c r="D697" s="439" t="s">
        <v>2083</v>
      </c>
      <c r="S697" s="452"/>
      <c r="T697" s="452"/>
      <c r="U697" s="452"/>
      <c r="V697" s="452"/>
      <c r="W697" s="452"/>
      <c r="X697" s="435"/>
    </row>
    <row r="698" spans="1:24" ht="15" customHeight="1" x14ac:dyDescent="0.45">
      <c r="A698" s="441" t="s">
        <v>1757</v>
      </c>
      <c r="B698" s="441" t="s">
        <v>1435</v>
      </c>
      <c r="C698" s="441"/>
      <c r="S698" s="452"/>
      <c r="T698" s="452"/>
      <c r="U698" s="452"/>
      <c r="V698" s="452"/>
      <c r="W698" s="452"/>
      <c r="X698" s="435"/>
    </row>
    <row r="699" spans="1:24" ht="15" customHeight="1" x14ac:dyDescent="0.45">
      <c r="A699" s="441" t="s">
        <v>1758</v>
      </c>
      <c r="B699" s="441" t="s">
        <v>1436</v>
      </c>
      <c r="C699" s="441" t="s">
        <v>2083</v>
      </c>
      <c r="D699" s="439" t="s">
        <v>2080</v>
      </c>
      <c r="S699" s="452"/>
      <c r="T699" s="452"/>
      <c r="U699" s="452"/>
      <c r="V699" s="452"/>
      <c r="W699" s="452"/>
      <c r="X699" s="435"/>
    </row>
    <row r="700" spans="1:24" ht="15" customHeight="1" x14ac:dyDescent="0.45">
      <c r="A700" s="441" t="s">
        <v>1759</v>
      </c>
      <c r="B700" s="441" t="s">
        <v>1437</v>
      </c>
      <c r="C700" s="441" t="s">
        <v>2086</v>
      </c>
      <c r="D700" s="439" t="s">
        <v>2084</v>
      </c>
      <c r="S700" s="452"/>
      <c r="T700" s="452"/>
      <c r="U700" s="452"/>
      <c r="V700" s="452"/>
      <c r="W700" s="452"/>
      <c r="X700" s="435"/>
    </row>
    <row r="701" spans="1:24" ht="15" customHeight="1" x14ac:dyDescent="0.45">
      <c r="A701" s="441" t="s">
        <v>1760</v>
      </c>
      <c r="B701" s="441" t="s">
        <v>1438</v>
      </c>
      <c r="C701" s="441"/>
      <c r="S701" s="452"/>
      <c r="T701" s="452"/>
      <c r="U701" s="452"/>
      <c r="V701" s="452"/>
      <c r="W701" s="452"/>
      <c r="X701" s="435"/>
    </row>
    <row r="702" spans="1:24" ht="15" customHeight="1" x14ac:dyDescent="0.45">
      <c r="A702" s="441" t="s">
        <v>1761</v>
      </c>
      <c r="B702" s="441" t="s">
        <v>1439</v>
      </c>
      <c r="C702" s="441"/>
      <c r="S702" s="452"/>
      <c r="T702" s="452"/>
      <c r="U702" s="452"/>
      <c r="V702" s="452"/>
      <c r="W702" s="452"/>
      <c r="X702" s="435"/>
    </row>
    <row r="703" spans="1:24" ht="15" customHeight="1" x14ac:dyDescent="0.45">
      <c r="A703" s="441"/>
      <c r="B703" s="441" t="s">
        <v>1424</v>
      </c>
      <c r="C703" s="441" t="s">
        <v>594</v>
      </c>
      <c r="S703" s="452"/>
      <c r="T703" s="452"/>
      <c r="U703" s="452"/>
      <c r="V703" s="452"/>
      <c r="W703" s="452"/>
      <c r="X703" s="435"/>
    </row>
    <row r="704" spans="1:24" ht="15" customHeight="1" x14ac:dyDescent="0.45">
      <c r="A704" s="441"/>
      <c r="B704" s="441" t="s">
        <v>1425</v>
      </c>
      <c r="C704" s="441" t="s">
        <v>617</v>
      </c>
      <c r="S704" s="452"/>
      <c r="T704" s="452"/>
      <c r="U704" s="452"/>
      <c r="V704" s="452"/>
      <c r="W704" s="452"/>
      <c r="X704" s="435"/>
    </row>
    <row r="705" spans="1:24" ht="15" customHeight="1" x14ac:dyDescent="0.45">
      <c r="A705" s="441"/>
      <c r="B705" s="441" t="s">
        <v>1426</v>
      </c>
      <c r="C705" s="441" t="s">
        <v>4</v>
      </c>
      <c r="S705" s="452"/>
      <c r="T705" s="452"/>
      <c r="U705" s="452"/>
      <c r="V705" s="452"/>
      <c r="W705" s="452"/>
      <c r="X705" s="435"/>
    </row>
    <row r="706" spans="1:24" ht="15" customHeight="1" x14ac:dyDescent="0.45">
      <c r="A706" s="441"/>
      <c r="B706" s="441" t="s">
        <v>901</v>
      </c>
      <c r="C706" s="441">
        <v>4</v>
      </c>
      <c r="D706" s="439">
        <v>44</v>
      </c>
      <c r="S706" s="452"/>
      <c r="T706" s="452"/>
      <c r="U706" s="452"/>
      <c r="V706" s="452"/>
      <c r="W706" s="452"/>
      <c r="X706" s="435"/>
    </row>
    <row r="707" spans="1:24" ht="15" customHeight="1" x14ac:dyDescent="0.45">
      <c r="A707" s="441" t="s">
        <v>1670</v>
      </c>
      <c r="B707" s="441" t="s">
        <v>1427</v>
      </c>
      <c r="C707" s="441" t="s">
        <v>2107</v>
      </c>
      <c r="D707" s="439" t="s">
        <v>2108</v>
      </c>
      <c r="S707" s="452"/>
      <c r="T707" s="452"/>
      <c r="U707" s="452"/>
      <c r="V707" s="452"/>
      <c r="W707" s="452"/>
      <c r="X707" s="435"/>
    </row>
    <row r="708" spans="1:24" ht="15" customHeight="1" x14ac:dyDescent="0.45">
      <c r="A708" s="441" t="s">
        <v>1671</v>
      </c>
      <c r="B708" s="441" t="s">
        <v>1428</v>
      </c>
      <c r="C708" s="441" t="s">
        <v>2110</v>
      </c>
      <c r="D708" s="439" t="s">
        <v>912</v>
      </c>
      <c r="S708" s="452"/>
      <c r="T708" s="452"/>
      <c r="U708" s="452"/>
      <c r="V708" s="452"/>
      <c r="W708" s="452"/>
      <c r="X708" s="435"/>
    </row>
    <row r="709" spans="1:24" ht="15" customHeight="1" x14ac:dyDescent="0.45">
      <c r="A709" s="441" t="s">
        <v>1672</v>
      </c>
      <c r="B709" s="441">
        <v>200</v>
      </c>
      <c r="C709" s="441" t="s">
        <v>2108</v>
      </c>
      <c r="D709" s="439" t="s">
        <v>2111</v>
      </c>
      <c r="S709" s="452"/>
      <c r="T709" s="452"/>
      <c r="U709" s="452"/>
      <c r="V709" s="452"/>
      <c r="W709" s="452"/>
      <c r="X709" s="435"/>
    </row>
    <row r="710" spans="1:24" ht="15" customHeight="1" x14ac:dyDescent="0.45">
      <c r="A710" s="441" t="s">
        <v>1673</v>
      </c>
      <c r="B710" s="441">
        <v>400</v>
      </c>
      <c r="C710" s="441"/>
      <c r="S710" s="452"/>
      <c r="T710" s="452"/>
      <c r="U710" s="452"/>
      <c r="V710" s="452"/>
      <c r="W710" s="452"/>
      <c r="X710" s="435"/>
    </row>
    <row r="711" spans="1:24" ht="15" customHeight="1" x14ac:dyDescent="0.45">
      <c r="A711" s="441" t="s">
        <v>1674</v>
      </c>
      <c r="B711" s="441">
        <v>800</v>
      </c>
      <c r="C711" s="441" t="s">
        <v>2109</v>
      </c>
      <c r="D711" s="439" t="s">
        <v>912</v>
      </c>
      <c r="S711" s="452"/>
      <c r="T711" s="452"/>
      <c r="U711" s="452"/>
      <c r="V711" s="452"/>
      <c r="W711" s="452"/>
      <c r="X711" s="435"/>
    </row>
    <row r="712" spans="1:24" ht="15" customHeight="1" x14ac:dyDescent="0.45">
      <c r="A712" s="441" t="s">
        <v>1675</v>
      </c>
      <c r="B712" s="441" t="s">
        <v>1429</v>
      </c>
      <c r="C712" s="447" t="s">
        <v>912</v>
      </c>
      <c r="D712" s="439" t="s">
        <v>912</v>
      </c>
      <c r="S712" s="452"/>
      <c r="T712" s="452"/>
      <c r="U712" s="452"/>
      <c r="V712" s="452"/>
      <c r="W712" s="452"/>
      <c r="X712" s="435"/>
    </row>
    <row r="713" spans="1:24" ht="15" customHeight="1" x14ac:dyDescent="0.45">
      <c r="A713" s="441" t="s">
        <v>1676</v>
      </c>
      <c r="B713" s="441">
        <v>1500</v>
      </c>
      <c r="C713" s="441" t="s">
        <v>2112</v>
      </c>
      <c r="D713" s="439" t="s">
        <v>912</v>
      </c>
      <c r="S713" s="452"/>
      <c r="T713" s="452"/>
      <c r="U713" s="452"/>
      <c r="V713" s="452"/>
      <c r="W713" s="452"/>
      <c r="X713" s="435"/>
    </row>
    <row r="714" spans="1:24" ht="15" customHeight="1" x14ac:dyDescent="0.45">
      <c r="A714" s="441" t="s">
        <v>1677</v>
      </c>
      <c r="B714" s="441" t="s">
        <v>1430</v>
      </c>
      <c r="C714" s="441" t="s">
        <v>2111</v>
      </c>
      <c r="D714" s="439" t="s">
        <v>912</v>
      </c>
      <c r="S714" s="452"/>
      <c r="T714" s="452"/>
      <c r="U714" s="452"/>
      <c r="V714" s="452"/>
      <c r="W714" s="452"/>
      <c r="X714" s="435"/>
    </row>
    <row r="715" spans="1:24" ht="15" customHeight="1" x14ac:dyDescent="0.45">
      <c r="A715" s="441" t="s">
        <v>1678</v>
      </c>
      <c r="B715" s="441">
        <v>3000</v>
      </c>
      <c r="C715" s="441"/>
      <c r="S715" s="452"/>
      <c r="T715" s="452"/>
      <c r="U715" s="452"/>
      <c r="V715" s="452"/>
      <c r="W715" s="452"/>
      <c r="X715" s="435"/>
    </row>
    <row r="716" spans="1:24" ht="15" customHeight="1" x14ac:dyDescent="0.45">
      <c r="A716" s="441" t="s">
        <v>1679</v>
      </c>
      <c r="B716" s="441" t="s">
        <v>1431</v>
      </c>
      <c r="C716" s="441"/>
      <c r="S716" s="452"/>
      <c r="T716" s="452"/>
      <c r="U716" s="452"/>
      <c r="V716" s="452"/>
      <c r="W716" s="452"/>
    </row>
    <row r="717" spans="1:24" ht="15" customHeight="1" x14ac:dyDescent="0.45">
      <c r="A717" s="441" t="s">
        <v>1680</v>
      </c>
      <c r="B717" s="441" t="s">
        <v>902</v>
      </c>
      <c r="C717" s="441"/>
      <c r="S717" s="452"/>
      <c r="T717" s="452"/>
      <c r="U717" s="452"/>
      <c r="V717" s="452"/>
      <c r="W717" s="452"/>
    </row>
    <row r="718" spans="1:24" ht="15" customHeight="1" x14ac:dyDescent="0.45">
      <c r="A718" s="441" t="s">
        <v>1681</v>
      </c>
      <c r="B718" s="441" t="s">
        <v>25</v>
      </c>
      <c r="C718" s="441"/>
      <c r="S718" s="452"/>
      <c r="T718" s="452"/>
      <c r="U718" s="452"/>
      <c r="V718" s="452"/>
      <c r="W718" s="452"/>
    </row>
    <row r="719" spans="1:24" ht="15" customHeight="1" x14ac:dyDescent="0.45">
      <c r="A719" s="441" t="s">
        <v>1682</v>
      </c>
      <c r="B719" s="441" t="s">
        <v>21</v>
      </c>
      <c r="C719" s="441"/>
      <c r="S719" s="452"/>
      <c r="T719" s="452"/>
      <c r="U719" s="452"/>
      <c r="V719" s="452"/>
      <c r="W719" s="452"/>
    </row>
    <row r="720" spans="1:24" ht="15" customHeight="1" x14ac:dyDescent="0.45">
      <c r="A720" s="441" t="s">
        <v>1683</v>
      </c>
      <c r="B720" s="441" t="s">
        <v>28</v>
      </c>
      <c r="C720" s="441" t="s">
        <v>912</v>
      </c>
      <c r="D720" s="439" t="s">
        <v>912</v>
      </c>
      <c r="S720" s="452"/>
      <c r="T720" s="452"/>
      <c r="U720" s="452"/>
      <c r="V720" s="452"/>
      <c r="W720" s="452"/>
    </row>
    <row r="721" spans="1:23" ht="15" customHeight="1" x14ac:dyDescent="0.45">
      <c r="A721" s="441" t="s">
        <v>1684</v>
      </c>
      <c r="B721" s="441" t="s">
        <v>24</v>
      </c>
      <c r="C721" s="441" t="s">
        <v>2111</v>
      </c>
      <c r="D721" s="439" t="s">
        <v>912</v>
      </c>
      <c r="S721" s="452"/>
      <c r="T721" s="452"/>
      <c r="U721" s="452"/>
      <c r="V721" s="452"/>
      <c r="W721" s="452"/>
    </row>
    <row r="722" spans="1:23" ht="15" customHeight="1" x14ac:dyDescent="0.45">
      <c r="A722" s="441" t="s">
        <v>1685</v>
      </c>
      <c r="B722" s="441" t="s">
        <v>1432</v>
      </c>
      <c r="C722" s="441" t="s">
        <v>2107</v>
      </c>
      <c r="D722" s="439" t="s">
        <v>2108</v>
      </c>
      <c r="S722" s="452"/>
      <c r="T722" s="452"/>
      <c r="U722" s="452"/>
      <c r="V722" s="452"/>
      <c r="W722" s="452"/>
    </row>
    <row r="723" spans="1:23" ht="15" customHeight="1" x14ac:dyDescent="0.45">
      <c r="A723" s="441" t="s">
        <v>1686</v>
      </c>
      <c r="B723" s="441" t="s">
        <v>1433</v>
      </c>
      <c r="C723" s="441"/>
      <c r="S723" s="452"/>
      <c r="T723" s="452"/>
      <c r="U723" s="452"/>
      <c r="V723" s="452"/>
      <c r="W723" s="452"/>
    </row>
    <row r="724" spans="1:23" ht="15" customHeight="1" x14ac:dyDescent="0.45">
      <c r="A724" s="441" t="s">
        <v>1687</v>
      </c>
      <c r="B724" s="441" t="s">
        <v>1434</v>
      </c>
      <c r="C724" s="441" t="s">
        <v>912</v>
      </c>
      <c r="D724" s="439" t="s">
        <v>912</v>
      </c>
      <c r="S724" s="452"/>
      <c r="T724" s="452"/>
      <c r="U724" s="452"/>
      <c r="V724" s="452"/>
      <c r="W724" s="452"/>
    </row>
    <row r="725" spans="1:23" ht="15" customHeight="1" x14ac:dyDescent="0.45">
      <c r="A725" s="441" t="s">
        <v>1688</v>
      </c>
      <c r="B725" s="441" t="s">
        <v>1435</v>
      </c>
      <c r="C725" s="441"/>
      <c r="S725" s="452"/>
      <c r="T725" s="452"/>
      <c r="U725" s="452"/>
      <c r="V725" s="452"/>
      <c r="W725" s="452"/>
    </row>
    <row r="726" spans="1:23" ht="15" customHeight="1" x14ac:dyDescent="0.45">
      <c r="A726" s="441" t="s">
        <v>1689</v>
      </c>
      <c r="B726" s="441" t="s">
        <v>1436</v>
      </c>
      <c r="C726" s="441" t="s">
        <v>2109</v>
      </c>
      <c r="D726" s="439" t="s">
        <v>2111</v>
      </c>
      <c r="S726" s="452"/>
      <c r="T726" s="452"/>
      <c r="U726" s="452"/>
      <c r="V726" s="452"/>
      <c r="W726" s="452"/>
    </row>
    <row r="727" spans="1:23" ht="15" customHeight="1" x14ac:dyDescent="0.45">
      <c r="A727" s="441" t="s">
        <v>1690</v>
      </c>
      <c r="B727" s="441" t="s">
        <v>1437</v>
      </c>
      <c r="C727" s="441" t="s">
        <v>2108</v>
      </c>
      <c r="D727" s="439" t="s">
        <v>2107</v>
      </c>
      <c r="S727" s="452"/>
      <c r="T727" s="452"/>
      <c r="U727" s="452"/>
      <c r="V727" s="452"/>
      <c r="W727" s="452"/>
    </row>
    <row r="728" spans="1:23" ht="15" customHeight="1" x14ac:dyDescent="0.45">
      <c r="A728" s="441" t="s">
        <v>1691</v>
      </c>
      <c r="B728" s="441" t="s">
        <v>1438</v>
      </c>
      <c r="C728" s="441"/>
      <c r="S728" s="452"/>
      <c r="T728" s="452"/>
      <c r="U728" s="452"/>
      <c r="V728" s="452"/>
      <c r="W728" s="452"/>
    </row>
    <row r="729" spans="1:23" ht="15" customHeight="1" x14ac:dyDescent="0.45">
      <c r="A729" s="441" t="s">
        <v>1692</v>
      </c>
      <c r="B729" s="441" t="s">
        <v>1439</v>
      </c>
      <c r="C729" s="441"/>
      <c r="S729" s="452"/>
      <c r="T729" s="452"/>
      <c r="U729" s="452"/>
      <c r="V729" s="452"/>
      <c r="W729" s="452"/>
    </row>
    <row r="730" spans="1:23" ht="15" customHeight="1" x14ac:dyDescent="0.45">
      <c r="A730" s="441"/>
      <c r="B730" s="441" t="s">
        <v>1424</v>
      </c>
      <c r="C730" s="441" t="s">
        <v>594</v>
      </c>
      <c r="S730" s="452"/>
      <c r="T730" s="452"/>
      <c r="U730" s="452"/>
      <c r="V730" s="452"/>
      <c r="W730" s="452"/>
    </row>
    <row r="731" spans="1:23" ht="15" customHeight="1" x14ac:dyDescent="0.45">
      <c r="A731" s="441"/>
      <c r="B731" s="441" t="s">
        <v>1425</v>
      </c>
      <c r="C731" s="441" t="s">
        <v>617</v>
      </c>
      <c r="S731" s="452"/>
      <c r="T731" s="452"/>
      <c r="U731" s="452"/>
      <c r="V731" s="452"/>
      <c r="W731" s="452"/>
    </row>
    <row r="732" spans="1:23" ht="15" customHeight="1" x14ac:dyDescent="0.45">
      <c r="A732" s="441"/>
      <c r="B732" s="441" t="s">
        <v>1426</v>
      </c>
      <c r="C732" s="441" t="s">
        <v>4</v>
      </c>
      <c r="S732" s="452"/>
      <c r="T732" s="452"/>
      <c r="U732" s="452"/>
      <c r="V732" s="452"/>
      <c r="W732" s="452"/>
    </row>
    <row r="733" spans="1:23" ht="15" customHeight="1" x14ac:dyDescent="0.45">
      <c r="A733" s="441"/>
      <c r="B733" s="441" t="s">
        <v>901</v>
      </c>
      <c r="C733" s="441">
        <v>4</v>
      </c>
      <c r="D733" s="439">
        <v>44</v>
      </c>
      <c r="S733" s="452"/>
      <c r="T733" s="452"/>
      <c r="U733" s="452"/>
      <c r="V733" s="452"/>
      <c r="W733" s="452"/>
    </row>
    <row r="734" spans="1:23" ht="15" customHeight="1" x14ac:dyDescent="0.45">
      <c r="A734" s="441" t="s">
        <v>1670</v>
      </c>
      <c r="B734" s="441" t="s">
        <v>1427</v>
      </c>
      <c r="C734" s="441" t="s">
        <v>2107</v>
      </c>
      <c r="D734" s="439" t="s">
        <v>2108</v>
      </c>
      <c r="S734" s="452"/>
      <c r="T734" s="452"/>
      <c r="U734" s="452"/>
      <c r="V734" s="452"/>
      <c r="W734" s="452"/>
    </row>
    <row r="735" spans="1:23" ht="15" customHeight="1" x14ac:dyDescent="0.45">
      <c r="A735" s="441" t="s">
        <v>1671</v>
      </c>
      <c r="B735" s="441" t="s">
        <v>1428</v>
      </c>
      <c r="C735" s="441" t="s">
        <v>2110</v>
      </c>
      <c r="D735" s="439" t="s">
        <v>912</v>
      </c>
      <c r="S735" s="452"/>
      <c r="T735" s="452"/>
      <c r="U735" s="452"/>
      <c r="V735" s="452"/>
      <c r="W735" s="452"/>
    </row>
    <row r="736" spans="1:23" ht="15" customHeight="1" x14ac:dyDescent="0.45">
      <c r="A736" s="441" t="s">
        <v>1672</v>
      </c>
      <c r="B736" s="447">
        <v>200</v>
      </c>
      <c r="C736" s="447" t="s">
        <v>2108</v>
      </c>
      <c r="D736" s="439" t="s">
        <v>2111</v>
      </c>
      <c r="S736" s="452"/>
      <c r="T736" s="452"/>
      <c r="U736" s="452"/>
      <c r="V736" s="452"/>
      <c r="W736" s="452"/>
    </row>
    <row r="737" spans="1:23" ht="15" customHeight="1" x14ac:dyDescent="0.45">
      <c r="A737" s="441" t="s">
        <v>1673</v>
      </c>
      <c r="B737" s="441">
        <v>400</v>
      </c>
      <c r="C737" s="441"/>
      <c r="S737" s="452"/>
      <c r="T737" s="452"/>
      <c r="U737" s="452"/>
      <c r="V737" s="452"/>
      <c r="W737" s="452"/>
    </row>
    <row r="738" spans="1:23" ht="15" customHeight="1" x14ac:dyDescent="0.45">
      <c r="A738" s="441" t="s">
        <v>1674</v>
      </c>
      <c r="B738" s="441">
        <v>800</v>
      </c>
      <c r="C738" s="441" t="s">
        <v>2109</v>
      </c>
      <c r="D738" s="439" t="s">
        <v>912</v>
      </c>
      <c r="S738" s="452"/>
      <c r="T738" s="452"/>
      <c r="U738" s="452"/>
      <c r="V738" s="452"/>
      <c r="W738" s="452"/>
    </row>
    <row r="739" spans="1:23" ht="15" customHeight="1" x14ac:dyDescent="0.45">
      <c r="A739" s="441" t="s">
        <v>1675</v>
      </c>
      <c r="B739" s="441" t="s">
        <v>1429</v>
      </c>
      <c r="C739" s="441" t="s">
        <v>912</v>
      </c>
      <c r="D739" s="439" t="s">
        <v>912</v>
      </c>
      <c r="S739" s="452"/>
      <c r="T739" s="452"/>
      <c r="U739" s="452"/>
      <c r="V739" s="452"/>
      <c r="W739" s="452"/>
    </row>
    <row r="740" spans="1:23" ht="15" customHeight="1" x14ac:dyDescent="0.45">
      <c r="A740" s="441" t="s">
        <v>1676</v>
      </c>
      <c r="B740" s="441">
        <v>1500</v>
      </c>
      <c r="C740" s="441" t="s">
        <v>2112</v>
      </c>
      <c r="D740" s="439" t="s">
        <v>912</v>
      </c>
      <c r="S740" s="452"/>
      <c r="T740" s="452"/>
      <c r="U740" s="452"/>
      <c r="V740" s="452"/>
      <c r="W740" s="452"/>
    </row>
    <row r="741" spans="1:23" ht="15" customHeight="1" x14ac:dyDescent="0.45">
      <c r="A741" s="441" t="s">
        <v>1677</v>
      </c>
      <c r="B741" s="441" t="s">
        <v>1430</v>
      </c>
      <c r="C741" s="441" t="s">
        <v>2111</v>
      </c>
      <c r="D741" s="439" t="s">
        <v>912</v>
      </c>
      <c r="S741" s="452"/>
      <c r="T741" s="452"/>
      <c r="U741" s="452"/>
      <c r="V741" s="452"/>
      <c r="W741" s="452"/>
    </row>
    <row r="742" spans="1:23" ht="15" customHeight="1" x14ac:dyDescent="0.45">
      <c r="A742" s="441" t="s">
        <v>1678</v>
      </c>
      <c r="B742" s="441">
        <v>3000</v>
      </c>
      <c r="C742" s="447"/>
      <c r="S742" s="452"/>
      <c r="T742" s="452"/>
      <c r="U742" s="452"/>
      <c r="V742" s="452"/>
      <c r="W742" s="452"/>
    </row>
    <row r="743" spans="1:23" ht="15" customHeight="1" x14ac:dyDescent="0.45">
      <c r="A743" s="441" t="s">
        <v>1679</v>
      </c>
      <c r="B743" s="441" t="s">
        <v>1431</v>
      </c>
      <c r="C743" s="441"/>
      <c r="S743" s="452"/>
      <c r="T743" s="452"/>
      <c r="U743" s="452"/>
      <c r="V743" s="452"/>
      <c r="W743" s="452"/>
    </row>
    <row r="744" spans="1:23" ht="15" customHeight="1" x14ac:dyDescent="0.45">
      <c r="A744" s="441" t="s">
        <v>1680</v>
      </c>
      <c r="B744" s="441" t="s">
        <v>902</v>
      </c>
      <c r="C744" s="441"/>
      <c r="S744" s="452"/>
      <c r="T744" s="452"/>
      <c r="U744" s="452"/>
      <c r="V744" s="452"/>
      <c r="W744" s="452"/>
    </row>
    <row r="745" spans="1:23" ht="15" customHeight="1" x14ac:dyDescent="0.45">
      <c r="A745" s="441" t="s">
        <v>1681</v>
      </c>
      <c r="B745" s="441" t="s">
        <v>25</v>
      </c>
      <c r="C745" s="441"/>
      <c r="S745" s="452"/>
      <c r="T745" s="452"/>
      <c r="U745" s="452"/>
      <c r="V745" s="452"/>
      <c r="W745" s="452"/>
    </row>
    <row r="746" spans="1:23" ht="15" customHeight="1" x14ac:dyDescent="0.45">
      <c r="A746" s="441" t="s">
        <v>1682</v>
      </c>
      <c r="B746" s="441" t="s">
        <v>21</v>
      </c>
      <c r="C746" s="441"/>
      <c r="S746" s="452"/>
      <c r="T746" s="452"/>
      <c r="U746" s="452"/>
      <c r="V746" s="452"/>
      <c r="W746" s="452"/>
    </row>
    <row r="747" spans="1:23" ht="15" customHeight="1" x14ac:dyDescent="0.45">
      <c r="A747" s="441" t="s">
        <v>1683</v>
      </c>
      <c r="B747" s="441" t="s">
        <v>28</v>
      </c>
      <c r="C747" s="441" t="s">
        <v>912</v>
      </c>
      <c r="D747" s="439" t="s">
        <v>912</v>
      </c>
      <c r="S747" s="452"/>
      <c r="T747" s="452"/>
      <c r="U747" s="452"/>
      <c r="V747" s="452"/>
      <c r="W747" s="452"/>
    </row>
    <row r="748" spans="1:23" ht="15" customHeight="1" x14ac:dyDescent="0.45">
      <c r="A748" s="441" t="s">
        <v>1684</v>
      </c>
      <c r="B748" s="441" t="s">
        <v>24</v>
      </c>
      <c r="C748" s="441" t="s">
        <v>2111</v>
      </c>
      <c r="D748" s="439" t="s">
        <v>912</v>
      </c>
      <c r="S748" s="452"/>
      <c r="T748" s="452"/>
      <c r="U748" s="452"/>
      <c r="V748" s="452"/>
      <c r="W748" s="452"/>
    </row>
    <row r="749" spans="1:23" ht="15" customHeight="1" x14ac:dyDescent="0.45">
      <c r="A749" s="441" t="s">
        <v>1685</v>
      </c>
      <c r="B749" s="441" t="s">
        <v>1432</v>
      </c>
      <c r="C749" s="441" t="s">
        <v>2107</v>
      </c>
      <c r="D749" s="439" t="s">
        <v>2108</v>
      </c>
      <c r="S749" s="452"/>
      <c r="T749" s="452"/>
      <c r="U749" s="452"/>
      <c r="V749" s="452"/>
      <c r="W749" s="452"/>
    </row>
    <row r="750" spans="1:23" ht="15" customHeight="1" x14ac:dyDescent="0.45">
      <c r="A750" s="441" t="s">
        <v>1686</v>
      </c>
      <c r="B750" s="441" t="s">
        <v>1433</v>
      </c>
      <c r="C750" s="441"/>
      <c r="S750" s="452"/>
      <c r="T750" s="452"/>
      <c r="U750" s="452"/>
      <c r="V750" s="452"/>
      <c r="W750" s="452"/>
    </row>
    <row r="751" spans="1:23" ht="15" customHeight="1" x14ac:dyDescent="0.45">
      <c r="A751" s="441" t="s">
        <v>1687</v>
      </c>
      <c r="B751" s="441" t="s">
        <v>1434</v>
      </c>
      <c r="C751" s="441" t="s">
        <v>912</v>
      </c>
      <c r="D751" s="439" t="s">
        <v>912</v>
      </c>
      <c r="S751" s="452"/>
      <c r="T751" s="452"/>
      <c r="U751" s="452"/>
      <c r="V751" s="452"/>
      <c r="W751" s="452"/>
    </row>
    <row r="752" spans="1:23" ht="15" customHeight="1" x14ac:dyDescent="0.45">
      <c r="A752" s="441" t="s">
        <v>1688</v>
      </c>
      <c r="B752" s="441" t="s">
        <v>1435</v>
      </c>
      <c r="C752" s="441"/>
      <c r="S752" s="452"/>
      <c r="T752" s="452"/>
      <c r="U752" s="452"/>
      <c r="V752" s="452"/>
      <c r="W752" s="452"/>
    </row>
    <row r="753" spans="1:23" ht="15" customHeight="1" x14ac:dyDescent="0.45">
      <c r="A753" s="441" t="s">
        <v>1689</v>
      </c>
      <c r="B753" s="441" t="s">
        <v>1436</v>
      </c>
      <c r="C753" s="441" t="s">
        <v>2109</v>
      </c>
      <c r="D753" s="439" t="s">
        <v>2111</v>
      </c>
      <c r="S753" s="452"/>
      <c r="T753" s="452"/>
      <c r="U753" s="452"/>
      <c r="V753" s="452"/>
      <c r="W753" s="452"/>
    </row>
    <row r="754" spans="1:23" ht="15" customHeight="1" x14ac:dyDescent="0.45">
      <c r="A754" s="441" t="s">
        <v>1690</v>
      </c>
      <c r="B754" s="441" t="s">
        <v>1437</v>
      </c>
      <c r="C754" s="441" t="s">
        <v>2108</v>
      </c>
      <c r="D754" s="439" t="s">
        <v>2107</v>
      </c>
      <c r="S754" s="452"/>
      <c r="T754" s="452"/>
      <c r="U754" s="452"/>
      <c r="V754" s="452"/>
      <c r="W754" s="452"/>
    </row>
    <row r="755" spans="1:23" ht="15" customHeight="1" x14ac:dyDescent="0.45">
      <c r="A755" s="441" t="s">
        <v>1691</v>
      </c>
      <c r="B755" s="441" t="s">
        <v>1438</v>
      </c>
      <c r="C755" s="441"/>
      <c r="S755" s="452"/>
      <c r="T755" s="452"/>
      <c r="U755" s="452"/>
      <c r="V755" s="452"/>
      <c r="W755" s="452"/>
    </row>
    <row r="756" spans="1:23" ht="15" customHeight="1" x14ac:dyDescent="0.45">
      <c r="A756" s="441" t="s">
        <v>1692</v>
      </c>
      <c r="B756" s="441" t="s">
        <v>1439</v>
      </c>
      <c r="C756" s="441"/>
      <c r="S756" s="452"/>
      <c r="T756" s="452"/>
      <c r="U756" s="452"/>
      <c r="V756" s="452"/>
      <c r="W756" s="452"/>
    </row>
    <row r="757" spans="1:23" ht="15" customHeight="1" x14ac:dyDescent="0.45">
      <c r="A757" s="441"/>
      <c r="B757" s="441" t="s">
        <v>1424</v>
      </c>
      <c r="C757" s="441" t="s">
        <v>115</v>
      </c>
      <c r="S757" s="452"/>
      <c r="T757" s="452"/>
      <c r="U757" s="452"/>
      <c r="V757" s="452"/>
      <c r="W757" s="452"/>
    </row>
    <row r="758" spans="1:23" ht="15" customHeight="1" x14ac:dyDescent="0.45">
      <c r="A758" s="441"/>
      <c r="B758" s="441" t="s">
        <v>1425</v>
      </c>
      <c r="C758" s="441" t="s">
        <v>643</v>
      </c>
      <c r="S758" s="452"/>
      <c r="T758" s="452"/>
      <c r="U758" s="452"/>
      <c r="V758" s="452"/>
      <c r="W758" s="452"/>
    </row>
    <row r="759" spans="1:23" ht="15" customHeight="1" x14ac:dyDescent="0.45">
      <c r="A759" s="441"/>
      <c r="B759" s="441" t="s">
        <v>1426</v>
      </c>
      <c r="C759" s="441" t="s">
        <v>4</v>
      </c>
      <c r="S759" s="452"/>
      <c r="T759" s="452"/>
      <c r="U759" s="452"/>
      <c r="V759" s="452"/>
      <c r="W759" s="452"/>
    </row>
    <row r="760" spans="1:23" ht="15" customHeight="1" x14ac:dyDescent="0.45">
      <c r="A760" s="441"/>
      <c r="B760" s="441" t="s">
        <v>901</v>
      </c>
      <c r="C760" s="441">
        <v>5</v>
      </c>
      <c r="D760" s="439">
        <v>55</v>
      </c>
      <c r="S760" s="452"/>
      <c r="T760" s="452"/>
      <c r="U760" s="452"/>
      <c r="V760" s="452"/>
      <c r="W760" s="452"/>
    </row>
    <row r="761" spans="1:23" ht="15" customHeight="1" x14ac:dyDescent="0.45">
      <c r="A761" s="441" t="s">
        <v>1762</v>
      </c>
      <c r="B761" s="441" t="s">
        <v>1427</v>
      </c>
      <c r="C761" s="441" t="s">
        <v>2113</v>
      </c>
      <c r="D761" s="439" t="s">
        <v>2114</v>
      </c>
      <c r="S761" s="452"/>
      <c r="T761" s="452"/>
      <c r="U761" s="452"/>
      <c r="V761" s="452"/>
      <c r="W761" s="452"/>
    </row>
    <row r="762" spans="1:23" ht="15" customHeight="1" x14ac:dyDescent="0.45">
      <c r="A762" s="441" t="s">
        <v>1763</v>
      </c>
      <c r="B762" s="441" t="s">
        <v>1428</v>
      </c>
      <c r="C762" s="441"/>
      <c r="S762" s="452"/>
      <c r="T762" s="452"/>
      <c r="U762" s="452"/>
      <c r="V762" s="452"/>
      <c r="W762" s="452"/>
    </row>
    <row r="763" spans="1:23" ht="15" customHeight="1" x14ac:dyDescent="0.45">
      <c r="A763" s="441" t="s">
        <v>1764</v>
      </c>
      <c r="B763" s="441">
        <v>200</v>
      </c>
      <c r="C763" s="441" t="s">
        <v>2115</v>
      </c>
      <c r="D763" s="439" t="s">
        <v>2116</v>
      </c>
      <c r="S763" s="452"/>
      <c r="T763" s="452"/>
      <c r="U763" s="452"/>
      <c r="V763" s="452"/>
      <c r="W763" s="452"/>
    </row>
    <row r="764" spans="1:23" ht="15" customHeight="1" x14ac:dyDescent="0.45">
      <c r="A764" s="441" t="s">
        <v>1765</v>
      </c>
      <c r="B764" s="441">
        <v>400</v>
      </c>
      <c r="C764" s="441"/>
      <c r="S764" s="452"/>
      <c r="T764" s="452"/>
      <c r="U764" s="452"/>
      <c r="V764" s="452"/>
      <c r="W764" s="452"/>
    </row>
    <row r="765" spans="1:23" ht="15" customHeight="1" x14ac:dyDescent="0.45">
      <c r="A765" s="441" t="s">
        <v>1766</v>
      </c>
      <c r="B765" s="441">
        <v>800</v>
      </c>
      <c r="C765" s="441" t="s">
        <v>2114</v>
      </c>
      <c r="S765" s="452"/>
      <c r="T765" s="452"/>
      <c r="U765" s="452"/>
      <c r="V765" s="452"/>
      <c r="W765" s="452"/>
    </row>
    <row r="766" spans="1:23" ht="15" customHeight="1" x14ac:dyDescent="0.45">
      <c r="A766" s="441" t="s">
        <v>1767</v>
      </c>
      <c r="B766" s="441" t="s">
        <v>1429</v>
      </c>
      <c r="C766" s="441"/>
      <c r="S766" s="452"/>
      <c r="T766" s="452"/>
      <c r="U766" s="452"/>
      <c r="V766" s="452"/>
      <c r="W766" s="452"/>
    </row>
    <row r="767" spans="1:23" ht="15" customHeight="1" x14ac:dyDescent="0.45">
      <c r="A767" s="441" t="s">
        <v>1768</v>
      </c>
      <c r="B767" s="447">
        <v>1500</v>
      </c>
      <c r="C767" s="441" t="s">
        <v>2117</v>
      </c>
      <c r="S767" s="452"/>
      <c r="T767" s="452"/>
      <c r="U767" s="452"/>
      <c r="V767" s="452"/>
      <c r="W767" s="452"/>
    </row>
    <row r="768" spans="1:23" ht="15" customHeight="1" x14ac:dyDescent="0.45">
      <c r="A768" s="441" t="s">
        <v>1769</v>
      </c>
      <c r="B768" s="441" t="s">
        <v>1430</v>
      </c>
      <c r="C768" s="447"/>
      <c r="S768" s="452"/>
      <c r="T768" s="452"/>
      <c r="U768" s="452"/>
      <c r="V768" s="452"/>
      <c r="W768" s="452"/>
    </row>
    <row r="769" spans="1:23" ht="15" customHeight="1" x14ac:dyDescent="0.45">
      <c r="A769" s="441" t="s">
        <v>1770</v>
      </c>
      <c r="B769" s="441">
        <v>3000</v>
      </c>
      <c r="C769" s="441"/>
      <c r="S769" s="452"/>
      <c r="T769" s="452"/>
      <c r="U769" s="452"/>
      <c r="V769" s="452"/>
      <c r="W769" s="452"/>
    </row>
    <row r="770" spans="1:23" ht="15" customHeight="1" x14ac:dyDescent="0.45">
      <c r="A770" s="441" t="s">
        <v>1771</v>
      </c>
      <c r="B770" s="441" t="s">
        <v>1431</v>
      </c>
      <c r="C770" s="441"/>
      <c r="S770" s="452"/>
      <c r="T770" s="452"/>
      <c r="U770" s="452"/>
      <c r="V770" s="452"/>
      <c r="W770" s="452"/>
    </row>
    <row r="771" spans="1:23" ht="15" customHeight="1" x14ac:dyDescent="0.45">
      <c r="A771" s="441" t="s">
        <v>1772</v>
      </c>
      <c r="B771" s="441" t="s">
        <v>902</v>
      </c>
      <c r="C771" s="441"/>
      <c r="S771" s="452"/>
      <c r="T771" s="452"/>
      <c r="U771" s="452"/>
      <c r="V771" s="452"/>
      <c r="W771" s="452"/>
    </row>
    <row r="772" spans="1:23" ht="15" customHeight="1" x14ac:dyDescent="0.45">
      <c r="A772" s="441" t="s">
        <v>1773</v>
      </c>
      <c r="B772" s="441" t="s">
        <v>25</v>
      </c>
      <c r="C772" s="441"/>
      <c r="S772" s="452"/>
      <c r="T772" s="452"/>
      <c r="U772" s="452"/>
      <c r="V772" s="452"/>
      <c r="W772" s="452"/>
    </row>
    <row r="773" spans="1:23" ht="15" customHeight="1" x14ac:dyDescent="0.45">
      <c r="A773" s="441" t="s">
        <v>1774</v>
      </c>
      <c r="B773" s="441" t="s">
        <v>21</v>
      </c>
      <c r="C773" s="441"/>
      <c r="S773" s="452"/>
      <c r="T773" s="452"/>
      <c r="U773" s="452"/>
      <c r="V773" s="452"/>
      <c r="W773" s="452"/>
    </row>
    <row r="774" spans="1:23" ht="15" customHeight="1" x14ac:dyDescent="0.45">
      <c r="A774" s="441" t="s">
        <v>1775</v>
      </c>
      <c r="B774" s="441" t="s">
        <v>28</v>
      </c>
      <c r="C774" s="441"/>
      <c r="S774" s="452"/>
      <c r="T774" s="452"/>
      <c r="U774" s="452"/>
      <c r="V774" s="452"/>
      <c r="W774" s="452"/>
    </row>
    <row r="775" spans="1:23" ht="15" customHeight="1" x14ac:dyDescent="0.45">
      <c r="A775" s="441" t="s">
        <v>1776</v>
      </c>
      <c r="B775" s="441" t="s">
        <v>24</v>
      </c>
      <c r="C775" s="441" t="s">
        <v>2116</v>
      </c>
      <c r="D775" s="439" t="s">
        <v>2117</v>
      </c>
      <c r="S775" s="452"/>
      <c r="T775" s="452"/>
      <c r="U775" s="452"/>
      <c r="V775" s="452"/>
      <c r="W775" s="452"/>
    </row>
    <row r="776" spans="1:23" ht="15" customHeight="1" x14ac:dyDescent="0.45">
      <c r="A776" s="441" t="s">
        <v>1777</v>
      </c>
      <c r="B776" s="441" t="s">
        <v>1432</v>
      </c>
      <c r="C776" s="441" t="s">
        <v>2113</v>
      </c>
      <c r="D776" s="439" t="s">
        <v>2116</v>
      </c>
      <c r="S776" s="452"/>
      <c r="T776" s="452"/>
      <c r="U776" s="452"/>
      <c r="V776" s="452"/>
      <c r="W776" s="452"/>
    </row>
    <row r="777" spans="1:23" ht="15" customHeight="1" x14ac:dyDescent="0.45">
      <c r="A777" s="441" t="s">
        <v>1778</v>
      </c>
      <c r="B777" s="441" t="s">
        <v>1433</v>
      </c>
      <c r="C777" s="441"/>
      <c r="S777" s="452"/>
      <c r="T777" s="452"/>
      <c r="U777" s="452"/>
      <c r="V777" s="452"/>
      <c r="W777" s="452"/>
    </row>
    <row r="778" spans="1:23" ht="15" customHeight="1" x14ac:dyDescent="0.45">
      <c r="A778" s="441" t="s">
        <v>1779</v>
      </c>
      <c r="B778" s="441" t="s">
        <v>1434</v>
      </c>
      <c r="C778" s="441" t="s">
        <v>912</v>
      </c>
      <c r="S778" s="452"/>
      <c r="T778" s="452"/>
      <c r="U778" s="452"/>
      <c r="V778" s="452"/>
      <c r="W778" s="452"/>
    </row>
    <row r="779" spans="1:23" ht="15" customHeight="1" x14ac:dyDescent="0.45">
      <c r="A779" s="441" t="s">
        <v>1780</v>
      </c>
      <c r="B779" s="441" t="s">
        <v>1435</v>
      </c>
      <c r="C779" s="441"/>
      <c r="S779" s="452"/>
      <c r="T779" s="452"/>
      <c r="U779" s="452"/>
      <c r="V779" s="452"/>
      <c r="W779" s="452"/>
    </row>
    <row r="780" spans="1:23" ht="15" customHeight="1" x14ac:dyDescent="0.45">
      <c r="A780" s="441" t="s">
        <v>1781</v>
      </c>
      <c r="B780" s="441" t="s">
        <v>1436</v>
      </c>
      <c r="C780" s="441"/>
      <c r="S780" s="452"/>
      <c r="T780" s="452"/>
      <c r="U780" s="452"/>
      <c r="V780" s="452"/>
      <c r="W780" s="452"/>
    </row>
    <row r="781" spans="1:23" ht="15" customHeight="1" x14ac:dyDescent="0.45">
      <c r="A781" s="441" t="s">
        <v>1782</v>
      </c>
      <c r="B781" s="441" t="s">
        <v>1437</v>
      </c>
      <c r="C781" s="441"/>
      <c r="S781" s="452"/>
      <c r="T781" s="452"/>
      <c r="U781" s="452"/>
      <c r="V781" s="452"/>
      <c r="W781" s="452"/>
    </row>
    <row r="782" spans="1:23" ht="15" customHeight="1" x14ac:dyDescent="0.45">
      <c r="A782" s="441" t="s">
        <v>1783</v>
      </c>
      <c r="B782" s="441" t="s">
        <v>1438</v>
      </c>
      <c r="C782" s="441"/>
      <c r="S782" s="452"/>
      <c r="T782" s="452"/>
      <c r="U782" s="452"/>
      <c r="V782" s="452"/>
      <c r="W782" s="452"/>
    </row>
    <row r="783" spans="1:23" ht="15" customHeight="1" x14ac:dyDescent="0.45">
      <c r="A783" s="441" t="s">
        <v>1784</v>
      </c>
      <c r="B783" s="441" t="s">
        <v>1439</v>
      </c>
      <c r="C783" s="441"/>
      <c r="S783" s="452"/>
      <c r="T783" s="452"/>
      <c r="U783" s="452"/>
      <c r="V783" s="452"/>
      <c r="W783" s="452"/>
    </row>
    <row r="784" spans="1:23" ht="15" customHeight="1" x14ac:dyDescent="0.45">
      <c r="A784" s="441"/>
      <c r="B784" s="441" t="s">
        <v>1424</v>
      </c>
      <c r="C784" s="441" t="s">
        <v>115</v>
      </c>
      <c r="S784" s="452"/>
      <c r="T784" s="452"/>
      <c r="U784" s="452"/>
      <c r="V784" s="452"/>
      <c r="W784" s="452"/>
    </row>
    <row r="785" spans="1:23" ht="15" customHeight="1" x14ac:dyDescent="0.45">
      <c r="A785" s="441"/>
      <c r="B785" s="441" t="s">
        <v>1425</v>
      </c>
      <c r="C785" s="441" t="s">
        <v>643</v>
      </c>
      <c r="S785" s="452"/>
      <c r="T785" s="452"/>
      <c r="U785" s="452"/>
      <c r="V785" s="452"/>
      <c r="W785" s="452"/>
    </row>
    <row r="786" spans="1:23" ht="15" customHeight="1" x14ac:dyDescent="0.45">
      <c r="A786" s="441"/>
      <c r="B786" s="441" t="s">
        <v>1426</v>
      </c>
      <c r="C786" s="441" t="s">
        <v>4</v>
      </c>
      <c r="S786" s="452"/>
      <c r="T786" s="452"/>
      <c r="U786" s="452"/>
      <c r="V786" s="452"/>
      <c r="W786" s="452"/>
    </row>
    <row r="787" spans="1:23" ht="15" customHeight="1" x14ac:dyDescent="0.45">
      <c r="A787" s="441"/>
      <c r="B787" s="441" t="s">
        <v>901</v>
      </c>
      <c r="C787" s="441">
        <v>5</v>
      </c>
      <c r="D787" s="439">
        <v>55</v>
      </c>
      <c r="S787" s="452"/>
      <c r="T787" s="452"/>
      <c r="U787" s="452"/>
      <c r="V787" s="452"/>
      <c r="W787" s="452"/>
    </row>
    <row r="788" spans="1:23" ht="15" customHeight="1" x14ac:dyDescent="0.45">
      <c r="A788" s="441" t="s">
        <v>1762</v>
      </c>
      <c r="B788" s="441" t="s">
        <v>1427</v>
      </c>
      <c r="C788" s="441" t="s">
        <v>2113</v>
      </c>
      <c r="D788" s="439" t="s">
        <v>2114</v>
      </c>
      <c r="S788" s="452"/>
      <c r="T788" s="452"/>
      <c r="U788" s="452"/>
      <c r="V788" s="452"/>
      <c r="W788" s="452"/>
    </row>
    <row r="789" spans="1:23" ht="15" customHeight="1" x14ac:dyDescent="0.45">
      <c r="A789" s="441" t="s">
        <v>1763</v>
      </c>
      <c r="B789" s="441" t="s">
        <v>1428</v>
      </c>
      <c r="C789" s="441"/>
      <c r="S789" s="452"/>
      <c r="T789" s="452"/>
      <c r="U789" s="452"/>
      <c r="V789" s="452"/>
      <c r="W789" s="452"/>
    </row>
    <row r="790" spans="1:23" ht="15" customHeight="1" x14ac:dyDescent="0.45">
      <c r="A790" s="441" t="s">
        <v>1764</v>
      </c>
      <c r="B790" s="441">
        <v>200</v>
      </c>
      <c r="C790" s="441" t="s">
        <v>2115</v>
      </c>
      <c r="D790" s="439" t="s">
        <v>2116</v>
      </c>
      <c r="S790" s="452"/>
      <c r="T790" s="452"/>
      <c r="U790" s="452"/>
      <c r="V790" s="452"/>
      <c r="W790" s="452"/>
    </row>
    <row r="791" spans="1:23" ht="15" customHeight="1" x14ac:dyDescent="0.45">
      <c r="A791" s="441" t="s">
        <v>1765</v>
      </c>
      <c r="B791" s="441">
        <v>400</v>
      </c>
      <c r="C791" s="441"/>
      <c r="S791" s="452"/>
      <c r="T791" s="452"/>
      <c r="U791" s="452"/>
      <c r="V791" s="452"/>
      <c r="W791" s="452"/>
    </row>
    <row r="792" spans="1:23" ht="15" customHeight="1" x14ac:dyDescent="0.45">
      <c r="A792" s="441" t="s">
        <v>1766</v>
      </c>
      <c r="B792" s="441">
        <v>800</v>
      </c>
      <c r="C792" s="441" t="s">
        <v>2114</v>
      </c>
      <c r="S792" s="452"/>
      <c r="T792" s="452"/>
      <c r="U792" s="452"/>
      <c r="V792" s="452"/>
      <c r="W792" s="452"/>
    </row>
    <row r="793" spans="1:23" ht="15" customHeight="1" x14ac:dyDescent="0.45">
      <c r="A793" s="441" t="s">
        <v>1767</v>
      </c>
      <c r="B793" s="441" t="s">
        <v>1429</v>
      </c>
      <c r="C793" s="441"/>
      <c r="S793" s="452"/>
      <c r="T793" s="452"/>
      <c r="U793" s="452"/>
      <c r="V793" s="452"/>
      <c r="W793" s="452"/>
    </row>
    <row r="794" spans="1:23" ht="15" customHeight="1" x14ac:dyDescent="0.45">
      <c r="A794" s="441" t="s">
        <v>1768</v>
      </c>
      <c r="B794" s="441">
        <v>1500</v>
      </c>
      <c r="C794" s="441" t="s">
        <v>2117</v>
      </c>
      <c r="S794" s="452"/>
      <c r="T794" s="452"/>
      <c r="U794" s="452"/>
      <c r="V794" s="452"/>
      <c r="W794" s="452"/>
    </row>
    <row r="795" spans="1:23" ht="15" customHeight="1" x14ac:dyDescent="0.45">
      <c r="A795" s="441" t="s">
        <v>1769</v>
      </c>
      <c r="B795" s="441" t="s">
        <v>1430</v>
      </c>
      <c r="C795" s="441"/>
      <c r="S795" s="452"/>
      <c r="T795" s="452"/>
      <c r="U795" s="452"/>
      <c r="V795" s="452"/>
      <c r="W795" s="452"/>
    </row>
    <row r="796" spans="1:23" ht="15" customHeight="1" x14ac:dyDescent="0.45">
      <c r="A796" s="441" t="s">
        <v>1770</v>
      </c>
      <c r="B796" s="441">
        <v>3000</v>
      </c>
      <c r="C796" s="441"/>
      <c r="S796" s="452"/>
      <c r="T796" s="452"/>
      <c r="U796" s="452"/>
      <c r="V796" s="452"/>
      <c r="W796" s="452"/>
    </row>
    <row r="797" spans="1:23" ht="15" customHeight="1" x14ac:dyDescent="0.45">
      <c r="A797" s="441" t="s">
        <v>1771</v>
      </c>
      <c r="B797" s="441" t="s">
        <v>1431</v>
      </c>
      <c r="C797" s="441"/>
      <c r="S797" s="452"/>
      <c r="T797" s="452"/>
      <c r="U797" s="452"/>
      <c r="V797" s="452"/>
      <c r="W797" s="452"/>
    </row>
    <row r="798" spans="1:23" ht="15" customHeight="1" x14ac:dyDescent="0.45">
      <c r="A798" s="441" t="s">
        <v>1772</v>
      </c>
      <c r="B798" s="441" t="s">
        <v>902</v>
      </c>
      <c r="C798" s="441"/>
      <c r="S798" s="452"/>
      <c r="T798" s="452"/>
      <c r="U798" s="452"/>
      <c r="V798" s="452"/>
      <c r="W798" s="452"/>
    </row>
    <row r="799" spans="1:23" ht="15" customHeight="1" x14ac:dyDescent="0.45">
      <c r="A799" s="441" t="s">
        <v>1773</v>
      </c>
      <c r="B799" s="441" t="s">
        <v>25</v>
      </c>
      <c r="C799" s="441"/>
      <c r="S799" s="452"/>
      <c r="T799" s="452"/>
      <c r="U799" s="452"/>
      <c r="V799" s="452"/>
      <c r="W799" s="452"/>
    </row>
    <row r="800" spans="1:23" ht="15" customHeight="1" x14ac:dyDescent="0.45">
      <c r="A800" s="441" t="s">
        <v>1774</v>
      </c>
      <c r="B800" s="441" t="s">
        <v>21</v>
      </c>
      <c r="C800" s="441"/>
      <c r="S800" s="452"/>
      <c r="T800" s="452"/>
      <c r="U800" s="452"/>
      <c r="V800" s="452"/>
      <c r="W800" s="452"/>
    </row>
    <row r="801" spans="1:23" ht="15" customHeight="1" x14ac:dyDescent="0.45">
      <c r="A801" s="441" t="s">
        <v>1775</v>
      </c>
      <c r="B801" s="441" t="s">
        <v>28</v>
      </c>
      <c r="C801" s="441"/>
      <c r="S801" s="452"/>
      <c r="T801" s="452"/>
      <c r="U801" s="452"/>
      <c r="V801" s="452"/>
      <c r="W801" s="452"/>
    </row>
    <row r="802" spans="1:23" ht="15" customHeight="1" x14ac:dyDescent="0.45">
      <c r="A802" s="441" t="s">
        <v>1776</v>
      </c>
      <c r="B802" s="441" t="s">
        <v>24</v>
      </c>
      <c r="C802" s="441" t="s">
        <v>2116</v>
      </c>
      <c r="D802" s="439" t="s">
        <v>2117</v>
      </c>
      <c r="S802" s="452"/>
      <c r="T802" s="452"/>
      <c r="U802" s="452"/>
      <c r="V802" s="452"/>
      <c r="W802" s="452"/>
    </row>
    <row r="803" spans="1:23" ht="15" customHeight="1" x14ac:dyDescent="0.45">
      <c r="A803" s="441" t="s">
        <v>1777</v>
      </c>
      <c r="B803" s="441" t="s">
        <v>1432</v>
      </c>
      <c r="C803" s="441" t="s">
        <v>2113</v>
      </c>
      <c r="D803" s="439" t="s">
        <v>2116</v>
      </c>
      <c r="S803" s="452"/>
      <c r="T803" s="452"/>
      <c r="U803" s="452"/>
      <c r="V803" s="452"/>
      <c r="W803" s="452"/>
    </row>
    <row r="804" spans="1:23" ht="15" customHeight="1" x14ac:dyDescent="0.45">
      <c r="A804" s="441" t="s">
        <v>1778</v>
      </c>
      <c r="B804" s="441" t="s">
        <v>1433</v>
      </c>
      <c r="C804" s="441"/>
      <c r="S804" s="452"/>
      <c r="T804" s="452"/>
      <c r="U804" s="452"/>
      <c r="V804" s="452"/>
      <c r="W804" s="452"/>
    </row>
    <row r="805" spans="1:23" ht="15" customHeight="1" x14ac:dyDescent="0.45">
      <c r="A805" s="441" t="s">
        <v>1779</v>
      </c>
      <c r="B805" s="441" t="s">
        <v>1434</v>
      </c>
      <c r="C805" s="441" t="s">
        <v>912</v>
      </c>
      <c r="S805" s="452"/>
      <c r="T805" s="452"/>
      <c r="U805" s="452"/>
      <c r="V805" s="452"/>
      <c r="W805" s="452"/>
    </row>
    <row r="806" spans="1:23" ht="15" customHeight="1" x14ac:dyDescent="0.45">
      <c r="A806" s="441" t="s">
        <v>1780</v>
      </c>
      <c r="B806" s="441" t="s">
        <v>1435</v>
      </c>
      <c r="C806" s="441"/>
      <c r="S806" s="452"/>
      <c r="T806" s="452"/>
      <c r="U806" s="452"/>
      <c r="V806" s="452"/>
      <c r="W806" s="452"/>
    </row>
    <row r="807" spans="1:23" ht="15" customHeight="1" x14ac:dyDescent="0.45">
      <c r="A807" s="441" t="s">
        <v>1781</v>
      </c>
      <c r="B807" s="441" t="s">
        <v>1436</v>
      </c>
      <c r="C807" s="441"/>
      <c r="S807" s="452"/>
      <c r="T807" s="452"/>
      <c r="U807" s="452"/>
      <c r="V807" s="452"/>
      <c r="W807" s="452"/>
    </row>
    <row r="808" spans="1:23" ht="15" customHeight="1" x14ac:dyDescent="0.45">
      <c r="A808" s="441" t="s">
        <v>1782</v>
      </c>
      <c r="B808" s="441" t="s">
        <v>1437</v>
      </c>
      <c r="C808" s="441"/>
      <c r="S808" s="452"/>
      <c r="T808" s="452"/>
      <c r="U808" s="452"/>
      <c r="V808" s="452"/>
      <c r="W808" s="452"/>
    </row>
    <row r="809" spans="1:23" ht="15" customHeight="1" x14ac:dyDescent="0.45">
      <c r="A809" s="441" t="s">
        <v>1783</v>
      </c>
      <c r="B809" s="441" t="s">
        <v>1438</v>
      </c>
      <c r="C809" s="441"/>
      <c r="S809" s="452"/>
      <c r="T809" s="452"/>
      <c r="U809" s="452"/>
      <c r="V809" s="452"/>
      <c r="W809" s="452"/>
    </row>
    <row r="810" spans="1:23" ht="15" customHeight="1" x14ac:dyDescent="0.45">
      <c r="A810" s="441" t="s">
        <v>1784</v>
      </c>
      <c r="B810" s="441" t="s">
        <v>1439</v>
      </c>
      <c r="C810" s="441"/>
      <c r="S810" s="452"/>
      <c r="T810" s="452"/>
      <c r="U810" s="452"/>
      <c r="V810" s="452"/>
      <c r="W810" s="452"/>
    </row>
    <row r="811" spans="1:23" ht="15" customHeight="1" x14ac:dyDescent="0.45">
      <c r="A811" s="441"/>
      <c r="B811" s="441" t="s">
        <v>1424</v>
      </c>
      <c r="C811" s="441" t="s">
        <v>112</v>
      </c>
      <c r="S811" s="452"/>
      <c r="T811" s="452"/>
      <c r="U811" s="452"/>
      <c r="V811" s="452"/>
      <c r="W811" s="452"/>
    </row>
    <row r="812" spans="1:23" ht="15" customHeight="1" x14ac:dyDescent="0.45">
      <c r="A812" s="441"/>
      <c r="B812" s="441" t="s">
        <v>1425</v>
      </c>
      <c r="C812" s="441" t="s">
        <v>636</v>
      </c>
      <c r="S812" s="452"/>
      <c r="T812" s="452"/>
      <c r="U812" s="452"/>
      <c r="V812" s="452"/>
      <c r="W812" s="452"/>
    </row>
    <row r="813" spans="1:23" ht="15" customHeight="1" x14ac:dyDescent="0.45">
      <c r="A813" s="441"/>
      <c r="B813" s="441" t="s">
        <v>1426</v>
      </c>
      <c r="C813" s="441" t="s">
        <v>6</v>
      </c>
      <c r="S813" s="452"/>
      <c r="T813" s="452"/>
      <c r="U813" s="452"/>
      <c r="V813" s="452"/>
      <c r="W813" s="452"/>
    </row>
    <row r="814" spans="1:23" ht="15" customHeight="1" x14ac:dyDescent="0.45">
      <c r="A814" s="441"/>
      <c r="B814" s="441" t="s">
        <v>901</v>
      </c>
      <c r="C814" s="441">
        <v>3</v>
      </c>
      <c r="D814" s="439">
        <v>33</v>
      </c>
      <c r="S814" s="452"/>
      <c r="T814" s="452"/>
      <c r="U814" s="452"/>
      <c r="V814" s="452"/>
      <c r="W814" s="452"/>
    </row>
    <row r="815" spans="1:23" ht="15" customHeight="1" x14ac:dyDescent="0.45">
      <c r="A815" s="441" t="s">
        <v>1854</v>
      </c>
      <c r="B815" s="441" t="s">
        <v>1427</v>
      </c>
      <c r="C815" s="441" t="s">
        <v>2118</v>
      </c>
      <c r="D815" s="439" t="s">
        <v>2119</v>
      </c>
      <c r="S815" s="452"/>
      <c r="T815" s="452"/>
      <c r="U815" s="452"/>
      <c r="V815" s="452"/>
      <c r="W815" s="452"/>
    </row>
    <row r="816" spans="1:23" ht="15" customHeight="1" x14ac:dyDescent="0.45">
      <c r="A816" s="441" t="s">
        <v>1855</v>
      </c>
      <c r="B816" s="441" t="s">
        <v>1428</v>
      </c>
      <c r="C816" s="447" t="s">
        <v>2120</v>
      </c>
      <c r="D816" s="439" t="s">
        <v>2121</v>
      </c>
      <c r="S816" s="452"/>
      <c r="T816" s="452"/>
      <c r="U816" s="452"/>
      <c r="V816" s="452"/>
      <c r="W816" s="452"/>
    </row>
    <row r="817" spans="1:23" ht="15" customHeight="1" x14ac:dyDescent="0.45">
      <c r="A817" s="441" t="s">
        <v>1856</v>
      </c>
      <c r="B817" s="441">
        <v>200</v>
      </c>
      <c r="C817" s="441" t="s">
        <v>2122</v>
      </c>
      <c r="D817" s="439" t="s">
        <v>2120</v>
      </c>
      <c r="S817" s="452"/>
      <c r="T817" s="452"/>
      <c r="U817" s="452"/>
      <c r="V817" s="452"/>
      <c r="W817" s="452"/>
    </row>
    <row r="818" spans="1:23" ht="15" customHeight="1" x14ac:dyDescent="0.45">
      <c r="A818" s="441" t="s">
        <v>1857</v>
      </c>
      <c r="B818" s="441">
        <v>400</v>
      </c>
      <c r="C818" s="441"/>
      <c r="S818" s="452"/>
      <c r="T818" s="452"/>
      <c r="U818" s="452"/>
      <c r="V818" s="452"/>
      <c r="W818" s="452"/>
    </row>
    <row r="819" spans="1:23" ht="15" customHeight="1" x14ac:dyDescent="0.45">
      <c r="A819" s="441" t="s">
        <v>1858</v>
      </c>
      <c r="B819" s="441">
        <v>800</v>
      </c>
      <c r="C819" s="441" t="s">
        <v>2123</v>
      </c>
      <c r="D819" s="439" t="s">
        <v>2124</v>
      </c>
      <c r="S819" s="452"/>
      <c r="T819" s="452"/>
      <c r="U819" s="452"/>
      <c r="V819" s="452"/>
      <c r="W819" s="452"/>
    </row>
    <row r="820" spans="1:23" ht="15" customHeight="1" x14ac:dyDescent="0.45">
      <c r="A820" s="441" t="s">
        <v>1859</v>
      </c>
      <c r="B820" s="447" t="s">
        <v>1429</v>
      </c>
      <c r="C820" s="447" t="s">
        <v>912</v>
      </c>
      <c r="D820" s="439" t="s">
        <v>912</v>
      </c>
      <c r="S820" s="452"/>
      <c r="T820" s="452"/>
      <c r="U820" s="452"/>
      <c r="V820" s="452"/>
      <c r="W820" s="452"/>
    </row>
    <row r="821" spans="1:23" ht="15" customHeight="1" x14ac:dyDescent="0.45">
      <c r="A821" s="441" t="s">
        <v>1860</v>
      </c>
      <c r="B821" s="441">
        <v>1500</v>
      </c>
      <c r="C821" s="441" t="s">
        <v>2125</v>
      </c>
      <c r="D821" s="439" t="s">
        <v>2121</v>
      </c>
      <c r="S821" s="452"/>
      <c r="T821" s="452"/>
      <c r="U821" s="452"/>
      <c r="V821" s="452"/>
      <c r="W821" s="452"/>
    </row>
    <row r="822" spans="1:23" ht="15" customHeight="1" x14ac:dyDescent="0.45">
      <c r="A822" s="441" t="s">
        <v>1861</v>
      </c>
      <c r="B822" s="441" t="s">
        <v>1430</v>
      </c>
      <c r="C822" s="441" t="s">
        <v>2119</v>
      </c>
      <c r="D822" s="439" t="s">
        <v>2124</v>
      </c>
      <c r="S822" s="452"/>
      <c r="T822" s="452"/>
      <c r="U822" s="452"/>
      <c r="V822" s="452"/>
      <c r="W822" s="452"/>
    </row>
    <row r="823" spans="1:23" ht="15" customHeight="1" x14ac:dyDescent="0.45">
      <c r="A823" s="441" t="s">
        <v>1862</v>
      </c>
      <c r="B823" s="441">
        <v>3000</v>
      </c>
      <c r="C823" s="447"/>
      <c r="S823" s="452"/>
      <c r="T823" s="452"/>
      <c r="U823" s="452"/>
      <c r="V823" s="452"/>
      <c r="W823" s="452"/>
    </row>
    <row r="824" spans="1:23" ht="15" customHeight="1" x14ac:dyDescent="0.45">
      <c r="A824" s="441" t="s">
        <v>1863</v>
      </c>
      <c r="B824" s="441" t="s">
        <v>1431</v>
      </c>
      <c r="C824" s="441"/>
      <c r="S824" s="452"/>
      <c r="T824" s="452"/>
      <c r="U824" s="452"/>
      <c r="V824" s="452"/>
      <c r="W824" s="452"/>
    </row>
    <row r="825" spans="1:23" ht="15" customHeight="1" x14ac:dyDescent="0.45">
      <c r="A825" s="441" t="s">
        <v>1864</v>
      </c>
      <c r="B825" s="441" t="s">
        <v>902</v>
      </c>
      <c r="C825" s="441"/>
      <c r="S825" s="452"/>
      <c r="T825" s="452"/>
      <c r="U825" s="452"/>
      <c r="V825" s="452"/>
      <c r="W825" s="452"/>
    </row>
    <row r="826" spans="1:23" ht="15" customHeight="1" x14ac:dyDescent="0.45">
      <c r="A826" s="441" t="s">
        <v>1865</v>
      </c>
      <c r="B826" s="441" t="s">
        <v>25</v>
      </c>
      <c r="C826" s="441"/>
      <c r="S826" s="452"/>
      <c r="T826" s="452"/>
      <c r="U826" s="452"/>
      <c r="V826" s="452"/>
      <c r="W826" s="452"/>
    </row>
    <row r="827" spans="1:23" ht="15" customHeight="1" x14ac:dyDescent="0.45">
      <c r="A827" s="441" t="s">
        <v>1866</v>
      </c>
      <c r="B827" s="441" t="s">
        <v>21</v>
      </c>
      <c r="C827" s="441"/>
      <c r="S827" s="452"/>
      <c r="T827" s="452"/>
      <c r="U827" s="452"/>
      <c r="V827" s="452"/>
      <c r="W827" s="452"/>
    </row>
    <row r="828" spans="1:23" ht="15" customHeight="1" x14ac:dyDescent="0.45">
      <c r="A828" s="441" t="s">
        <v>1867</v>
      </c>
      <c r="B828" s="441" t="s">
        <v>28</v>
      </c>
      <c r="C828" s="441" t="s">
        <v>2126</v>
      </c>
      <c r="D828" s="439" t="s">
        <v>2127</v>
      </c>
      <c r="S828" s="452"/>
      <c r="T828" s="452"/>
      <c r="U828" s="452"/>
      <c r="V828" s="452"/>
      <c r="W828" s="452"/>
    </row>
    <row r="829" spans="1:23" ht="15" customHeight="1" x14ac:dyDescent="0.45">
      <c r="A829" s="441" t="s">
        <v>1868</v>
      </c>
      <c r="B829" s="441" t="s">
        <v>24</v>
      </c>
      <c r="C829" s="441" t="s">
        <v>2128</v>
      </c>
      <c r="D829" s="439" t="s">
        <v>2127</v>
      </c>
      <c r="S829" s="452"/>
      <c r="T829" s="452"/>
      <c r="U829" s="452"/>
      <c r="V829" s="452"/>
      <c r="W829" s="452"/>
    </row>
    <row r="830" spans="1:23" ht="15" customHeight="1" x14ac:dyDescent="0.45">
      <c r="A830" s="441" t="s">
        <v>1869</v>
      </c>
      <c r="B830" s="441" t="s">
        <v>1432</v>
      </c>
      <c r="C830" s="441" t="s">
        <v>2122</v>
      </c>
      <c r="D830" s="439" t="s">
        <v>2118</v>
      </c>
      <c r="S830" s="452"/>
      <c r="T830" s="452"/>
      <c r="U830" s="452"/>
      <c r="V830" s="452"/>
      <c r="W830" s="452"/>
    </row>
    <row r="831" spans="1:23" ht="15" customHeight="1" x14ac:dyDescent="0.45">
      <c r="A831" s="441" t="s">
        <v>1870</v>
      </c>
      <c r="B831" s="441" t="s">
        <v>1433</v>
      </c>
      <c r="C831" s="441"/>
      <c r="S831" s="452"/>
      <c r="T831" s="452"/>
      <c r="U831" s="452"/>
      <c r="V831" s="452"/>
      <c r="W831" s="452"/>
    </row>
    <row r="832" spans="1:23" ht="15" customHeight="1" x14ac:dyDescent="0.45">
      <c r="A832" s="441" t="s">
        <v>1871</v>
      </c>
      <c r="B832" s="441" t="s">
        <v>1434</v>
      </c>
      <c r="C832" s="441" t="s">
        <v>2120</v>
      </c>
      <c r="D832" s="439" t="s">
        <v>2124</v>
      </c>
      <c r="S832" s="452"/>
      <c r="T832" s="452"/>
      <c r="U832" s="452"/>
      <c r="V832" s="452"/>
      <c r="W832" s="452"/>
    </row>
    <row r="833" spans="1:23" ht="15" customHeight="1" x14ac:dyDescent="0.45">
      <c r="A833" s="441" t="s">
        <v>1872</v>
      </c>
      <c r="B833" s="441" t="s">
        <v>1435</v>
      </c>
      <c r="C833" s="441"/>
      <c r="S833" s="452"/>
      <c r="T833" s="452"/>
      <c r="U833" s="452"/>
      <c r="V833" s="452"/>
      <c r="W833" s="452"/>
    </row>
    <row r="834" spans="1:23" ht="15" customHeight="1" x14ac:dyDescent="0.45">
      <c r="A834" s="441" t="s">
        <v>1873</v>
      </c>
      <c r="B834" s="441" t="s">
        <v>1436</v>
      </c>
      <c r="C834" s="441" t="s">
        <v>2120</v>
      </c>
      <c r="D834" s="439" t="s">
        <v>2118</v>
      </c>
      <c r="S834" s="452"/>
      <c r="T834" s="452"/>
      <c r="U834" s="452"/>
      <c r="V834" s="452"/>
      <c r="W834" s="452"/>
    </row>
    <row r="835" spans="1:23" ht="15" customHeight="1" x14ac:dyDescent="0.45">
      <c r="A835" s="441" t="s">
        <v>1874</v>
      </c>
      <c r="B835" s="441" t="s">
        <v>1437</v>
      </c>
      <c r="C835" s="441" t="s">
        <v>2119</v>
      </c>
      <c r="D835" s="439" t="s">
        <v>2122</v>
      </c>
      <c r="S835" s="452"/>
      <c r="T835" s="452"/>
      <c r="U835" s="452"/>
      <c r="V835" s="452"/>
      <c r="W835" s="452"/>
    </row>
    <row r="836" spans="1:23" ht="15" customHeight="1" x14ac:dyDescent="0.45">
      <c r="A836" s="441" t="s">
        <v>1875</v>
      </c>
      <c r="B836" s="441" t="s">
        <v>1438</v>
      </c>
      <c r="C836" s="441"/>
      <c r="S836" s="452"/>
      <c r="T836" s="452"/>
      <c r="U836" s="452"/>
      <c r="V836" s="452"/>
      <c r="W836" s="452"/>
    </row>
    <row r="837" spans="1:23" ht="15" customHeight="1" x14ac:dyDescent="0.45">
      <c r="A837" s="441" t="s">
        <v>1876</v>
      </c>
      <c r="B837" s="441" t="s">
        <v>1439</v>
      </c>
      <c r="C837" s="441"/>
      <c r="S837" s="452"/>
      <c r="T837" s="452"/>
      <c r="U837" s="452"/>
      <c r="V837" s="452"/>
      <c r="W837" s="452"/>
    </row>
    <row r="838" spans="1:23" ht="15" customHeight="1" x14ac:dyDescent="0.45">
      <c r="A838" s="441"/>
      <c r="B838" s="441" t="s">
        <v>1424</v>
      </c>
      <c r="C838" s="441" t="s">
        <v>98</v>
      </c>
      <c r="S838" s="452"/>
      <c r="T838" s="452"/>
      <c r="U838" s="452"/>
      <c r="V838" s="452"/>
      <c r="W838" s="452"/>
    </row>
    <row r="839" spans="1:23" ht="15" customHeight="1" x14ac:dyDescent="0.45">
      <c r="A839" s="441"/>
      <c r="B839" s="441" t="s">
        <v>1425</v>
      </c>
      <c r="C839" s="441" t="s">
        <v>615</v>
      </c>
      <c r="S839" s="452"/>
      <c r="T839" s="452"/>
      <c r="U839" s="452"/>
      <c r="V839" s="452"/>
      <c r="W839" s="452"/>
    </row>
    <row r="840" spans="1:23" ht="15" customHeight="1" x14ac:dyDescent="0.45">
      <c r="A840" s="441"/>
      <c r="B840" s="441" t="s">
        <v>1426</v>
      </c>
      <c r="C840" s="441" t="s">
        <v>6</v>
      </c>
      <c r="S840" s="452"/>
      <c r="T840" s="452"/>
      <c r="U840" s="452"/>
      <c r="V840" s="452"/>
      <c r="W840" s="452"/>
    </row>
    <row r="841" spans="1:23" ht="15" customHeight="1" x14ac:dyDescent="0.45">
      <c r="A841" s="441"/>
      <c r="B841" s="441" t="s">
        <v>901</v>
      </c>
      <c r="C841" s="441">
        <v>1</v>
      </c>
      <c r="D841" s="439">
        <v>11</v>
      </c>
      <c r="S841" s="452"/>
      <c r="T841" s="452"/>
      <c r="U841" s="452"/>
      <c r="V841" s="452"/>
      <c r="W841" s="452"/>
    </row>
    <row r="842" spans="1:23" ht="15" customHeight="1" x14ac:dyDescent="0.45">
      <c r="A842" s="441" t="s">
        <v>1808</v>
      </c>
      <c r="B842" s="441" t="s">
        <v>1427</v>
      </c>
      <c r="C842" s="441" t="s">
        <v>2129</v>
      </c>
      <c r="D842" s="439" t="s">
        <v>2130</v>
      </c>
      <c r="S842" s="452"/>
      <c r="T842" s="452"/>
      <c r="U842" s="452"/>
      <c r="V842" s="452"/>
      <c r="W842" s="452"/>
    </row>
    <row r="843" spans="1:23" ht="15" customHeight="1" x14ac:dyDescent="0.45">
      <c r="A843" s="441" t="s">
        <v>1809</v>
      </c>
      <c r="B843" s="441" t="s">
        <v>1428</v>
      </c>
      <c r="C843" s="441"/>
      <c r="S843" s="452"/>
      <c r="T843" s="452"/>
      <c r="U843" s="452"/>
      <c r="V843" s="452"/>
      <c r="W843" s="452"/>
    </row>
    <row r="844" spans="1:23" ht="15" customHeight="1" x14ac:dyDescent="0.45">
      <c r="A844" s="441" t="s">
        <v>1810</v>
      </c>
      <c r="B844" s="447">
        <v>200</v>
      </c>
      <c r="C844" s="447" t="s">
        <v>2129</v>
      </c>
      <c r="D844" s="439" t="s">
        <v>2131</v>
      </c>
      <c r="S844" s="452"/>
      <c r="T844" s="452"/>
      <c r="U844" s="452"/>
      <c r="V844" s="452"/>
      <c r="W844" s="452"/>
    </row>
    <row r="845" spans="1:23" ht="15" customHeight="1" x14ac:dyDescent="0.45">
      <c r="A845" s="441" t="s">
        <v>1811</v>
      </c>
      <c r="B845" s="441">
        <v>400</v>
      </c>
      <c r="C845" s="447"/>
      <c r="S845" s="452"/>
      <c r="T845" s="452"/>
      <c r="U845" s="452"/>
      <c r="V845" s="452"/>
      <c r="W845" s="452"/>
    </row>
    <row r="846" spans="1:23" ht="15" customHeight="1" x14ac:dyDescent="0.45">
      <c r="A846" s="441" t="s">
        <v>1812</v>
      </c>
      <c r="B846" s="441">
        <v>800</v>
      </c>
      <c r="C846" s="441" t="s">
        <v>2131</v>
      </c>
      <c r="D846" s="439" t="s">
        <v>2132</v>
      </c>
      <c r="S846" s="452"/>
      <c r="T846" s="452"/>
      <c r="U846" s="452"/>
      <c r="V846" s="452"/>
      <c r="W846" s="452"/>
    </row>
    <row r="847" spans="1:23" ht="15" customHeight="1" x14ac:dyDescent="0.45">
      <c r="A847" s="441" t="s">
        <v>1813</v>
      </c>
      <c r="B847" s="441" t="s">
        <v>1429</v>
      </c>
      <c r="C847" s="447"/>
      <c r="S847" s="452"/>
      <c r="T847" s="452"/>
      <c r="U847" s="452"/>
      <c r="V847" s="452"/>
      <c r="W847" s="452"/>
    </row>
    <row r="848" spans="1:23" ht="15" customHeight="1" x14ac:dyDescent="0.45">
      <c r="A848" s="441" t="s">
        <v>1814</v>
      </c>
      <c r="B848" s="447">
        <v>1500</v>
      </c>
      <c r="C848" s="447"/>
      <c r="S848" s="452"/>
      <c r="T848" s="452"/>
      <c r="U848" s="452"/>
      <c r="V848" s="452"/>
      <c r="W848" s="452"/>
    </row>
    <row r="849" spans="1:23" ht="15" customHeight="1" x14ac:dyDescent="0.45">
      <c r="A849" s="441" t="s">
        <v>1815</v>
      </c>
      <c r="B849" s="441" t="s">
        <v>1430</v>
      </c>
      <c r="C849" s="447"/>
      <c r="S849" s="452"/>
      <c r="T849" s="452"/>
      <c r="U849" s="452"/>
      <c r="V849" s="452"/>
      <c r="W849" s="452"/>
    </row>
    <row r="850" spans="1:23" ht="15" customHeight="1" x14ac:dyDescent="0.45">
      <c r="A850" s="441" t="s">
        <v>1816</v>
      </c>
      <c r="B850" s="447">
        <v>3000</v>
      </c>
      <c r="C850" s="441"/>
      <c r="S850" s="452"/>
      <c r="T850" s="452"/>
      <c r="U850" s="452"/>
      <c r="V850" s="452"/>
      <c r="W850" s="452"/>
    </row>
    <row r="851" spans="1:23" ht="15" customHeight="1" x14ac:dyDescent="0.45">
      <c r="A851" s="441" t="s">
        <v>1817</v>
      </c>
      <c r="B851" s="441" t="s">
        <v>1431</v>
      </c>
      <c r="C851" s="441"/>
      <c r="S851" s="452"/>
      <c r="T851" s="452"/>
      <c r="U851" s="452"/>
      <c r="V851" s="452"/>
      <c r="W851" s="452"/>
    </row>
    <row r="852" spans="1:23" ht="15" customHeight="1" x14ac:dyDescent="0.45">
      <c r="A852" s="441" t="s">
        <v>1818</v>
      </c>
      <c r="B852" s="441" t="s">
        <v>902</v>
      </c>
      <c r="C852" s="441"/>
      <c r="S852" s="452"/>
      <c r="T852" s="452"/>
      <c r="U852" s="452"/>
      <c r="V852" s="452"/>
      <c r="W852" s="452"/>
    </row>
    <row r="853" spans="1:23" ht="15" customHeight="1" x14ac:dyDescent="0.45">
      <c r="A853" s="441" t="s">
        <v>1819</v>
      </c>
      <c r="B853" s="441" t="s">
        <v>25</v>
      </c>
      <c r="C853" s="441"/>
      <c r="S853" s="452"/>
      <c r="T853" s="452"/>
      <c r="U853" s="452"/>
      <c r="V853" s="452"/>
      <c r="W853" s="452"/>
    </row>
    <row r="854" spans="1:23" ht="15" customHeight="1" x14ac:dyDescent="0.45">
      <c r="A854" s="441" t="s">
        <v>1820</v>
      </c>
      <c r="B854" s="441" t="s">
        <v>21</v>
      </c>
      <c r="C854" s="441"/>
      <c r="S854" s="452"/>
      <c r="T854" s="452"/>
      <c r="U854" s="452"/>
      <c r="V854" s="452"/>
      <c r="W854" s="452"/>
    </row>
    <row r="855" spans="1:23" ht="15" customHeight="1" x14ac:dyDescent="0.45">
      <c r="A855" s="441" t="s">
        <v>1821</v>
      </c>
      <c r="B855" s="441" t="s">
        <v>28</v>
      </c>
      <c r="C855" s="441" t="s">
        <v>2132</v>
      </c>
      <c r="S855" s="452"/>
      <c r="T855" s="452"/>
      <c r="U855" s="452"/>
      <c r="V855" s="452"/>
      <c r="W855" s="452"/>
    </row>
    <row r="856" spans="1:23" ht="15" customHeight="1" x14ac:dyDescent="0.45">
      <c r="A856" s="441" t="s">
        <v>1822</v>
      </c>
      <c r="B856" s="441" t="s">
        <v>24</v>
      </c>
      <c r="C856" s="441" t="s">
        <v>2132</v>
      </c>
      <c r="D856" s="439" t="s">
        <v>2130</v>
      </c>
      <c r="S856" s="452"/>
      <c r="T856" s="452"/>
      <c r="U856" s="452"/>
      <c r="V856" s="452"/>
      <c r="W856" s="452"/>
    </row>
    <row r="857" spans="1:23" ht="15" customHeight="1" x14ac:dyDescent="0.45">
      <c r="A857" s="441" t="s">
        <v>1823</v>
      </c>
      <c r="B857" s="441" t="s">
        <v>1432</v>
      </c>
      <c r="C857" s="441" t="s">
        <v>2129</v>
      </c>
      <c r="D857" s="439" t="s">
        <v>2130</v>
      </c>
      <c r="S857" s="452"/>
      <c r="T857" s="452"/>
      <c r="U857" s="452"/>
      <c r="V857" s="452"/>
      <c r="W857" s="452"/>
    </row>
    <row r="858" spans="1:23" ht="15" customHeight="1" x14ac:dyDescent="0.45">
      <c r="A858" s="441" t="s">
        <v>1824</v>
      </c>
      <c r="B858" s="441" t="s">
        <v>1433</v>
      </c>
      <c r="C858" s="441"/>
      <c r="S858" s="452"/>
      <c r="T858" s="452"/>
      <c r="U858" s="452"/>
      <c r="V858" s="452"/>
      <c r="W858" s="452"/>
    </row>
    <row r="859" spans="1:23" ht="15" customHeight="1" x14ac:dyDescent="0.45">
      <c r="A859" s="441" t="s">
        <v>1825</v>
      </c>
      <c r="B859" s="441" t="s">
        <v>1434</v>
      </c>
      <c r="C859" s="441" t="s">
        <v>2131</v>
      </c>
      <c r="S859" s="452"/>
      <c r="T859" s="452"/>
      <c r="U859" s="452"/>
      <c r="V859" s="452"/>
      <c r="W859" s="452"/>
    </row>
    <row r="860" spans="1:23" ht="15" customHeight="1" x14ac:dyDescent="0.45">
      <c r="A860" s="441" t="s">
        <v>1826</v>
      </c>
      <c r="B860" s="441" t="s">
        <v>1435</v>
      </c>
      <c r="C860" s="447"/>
      <c r="S860" s="452"/>
      <c r="T860" s="452"/>
      <c r="U860" s="452"/>
      <c r="V860" s="452"/>
      <c r="W860" s="452"/>
    </row>
    <row r="861" spans="1:23" ht="15" customHeight="1" x14ac:dyDescent="0.45">
      <c r="A861" s="441" t="s">
        <v>1827</v>
      </c>
      <c r="B861" s="441" t="s">
        <v>1436</v>
      </c>
      <c r="C861" s="441" t="s">
        <v>2130</v>
      </c>
      <c r="D861" s="439" t="s">
        <v>2132</v>
      </c>
      <c r="S861" s="452"/>
      <c r="T861" s="452"/>
      <c r="U861" s="452"/>
      <c r="V861" s="452"/>
      <c r="W861" s="452"/>
    </row>
    <row r="862" spans="1:23" ht="15" customHeight="1" x14ac:dyDescent="0.45">
      <c r="A862" s="441" t="s">
        <v>1828</v>
      </c>
      <c r="B862" s="441" t="s">
        <v>1437</v>
      </c>
      <c r="C862" s="441" t="s">
        <v>2131</v>
      </c>
      <c r="D862" s="439" t="s">
        <v>2129</v>
      </c>
      <c r="S862" s="452"/>
      <c r="T862" s="452"/>
      <c r="U862" s="452"/>
      <c r="V862" s="452"/>
      <c r="W862" s="452"/>
    </row>
    <row r="863" spans="1:23" ht="15" customHeight="1" x14ac:dyDescent="0.45">
      <c r="A863" s="441" t="s">
        <v>1829</v>
      </c>
      <c r="B863" s="447" t="s">
        <v>1438</v>
      </c>
      <c r="C863" s="441"/>
      <c r="S863" s="452"/>
      <c r="T863" s="452"/>
      <c r="U863" s="452"/>
      <c r="V863" s="452"/>
      <c r="W863" s="452"/>
    </row>
    <row r="864" spans="1:23" ht="15" customHeight="1" x14ac:dyDescent="0.45">
      <c r="A864" s="441" t="s">
        <v>1830</v>
      </c>
      <c r="B864" s="441" t="s">
        <v>1439</v>
      </c>
      <c r="C864" s="441"/>
      <c r="S864" s="452"/>
      <c r="T864" s="452"/>
      <c r="U864" s="452"/>
      <c r="V864" s="452"/>
      <c r="W864" s="452"/>
    </row>
    <row r="865" spans="1:23" ht="15" customHeight="1" x14ac:dyDescent="0.45">
      <c r="A865" s="441"/>
      <c r="B865" s="441" t="s">
        <v>1424</v>
      </c>
      <c r="C865" s="441" t="s">
        <v>100</v>
      </c>
      <c r="S865" s="452"/>
      <c r="T865" s="452"/>
      <c r="U865" s="452"/>
      <c r="V865" s="452"/>
      <c r="W865" s="452"/>
    </row>
    <row r="866" spans="1:23" ht="15" customHeight="1" x14ac:dyDescent="0.45">
      <c r="B866" s="438" t="s">
        <v>1425</v>
      </c>
      <c r="C866" s="438" t="s">
        <v>793</v>
      </c>
      <c r="S866" s="452"/>
      <c r="T866" s="452"/>
      <c r="U866" s="452"/>
      <c r="V866" s="452"/>
      <c r="W866" s="452"/>
    </row>
    <row r="867" spans="1:23" ht="15" customHeight="1" x14ac:dyDescent="0.45">
      <c r="B867" s="438" t="s">
        <v>1426</v>
      </c>
      <c r="C867" s="438" t="s">
        <v>6</v>
      </c>
      <c r="S867" s="452"/>
      <c r="T867" s="452"/>
      <c r="U867" s="452"/>
      <c r="V867" s="452"/>
      <c r="W867" s="452"/>
    </row>
    <row r="868" spans="1:23" ht="15" customHeight="1" x14ac:dyDescent="0.45">
      <c r="B868" s="438" t="s">
        <v>901</v>
      </c>
      <c r="C868" s="438">
        <v>2</v>
      </c>
      <c r="D868" s="439">
        <v>22</v>
      </c>
      <c r="S868" s="452"/>
      <c r="T868" s="452"/>
      <c r="U868" s="452"/>
      <c r="V868" s="452"/>
      <c r="W868" s="452"/>
    </row>
    <row r="869" spans="1:23" ht="15" customHeight="1" x14ac:dyDescent="0.45">
      <c r="A869" s="438" t="s">
        <v>1831</v>
      </c>
      <c r="B869" s="438" t="s">
        <v>1427</v>
      </c>
      <c r="C869" s="438" t="s">
        <v>2133</v>
      </c>
      <c r="D869" s="439" t="s">
        <v>2134</v>
      </c>
      <c r="S869" s="452"/>
      <c r="T869" s="452"/>
      <c r="U869" s="452"/>
      <c r="V869" s="452"/>
      <c r="W869" s="452"/>
    </row>
    <row r="870" spans="1:23" ht="15" customHeight="1" x14ac:dyDescent="0.45">
      <c r="A870" s="438" t="s">
        <v>1832</v>
      </c>
      <c r="B870" s="438" t="s">
        <v>1428</v>
      </c>
      <c r="C870" s="438" t="s">
        <v>2135</v>
      </c>
      <c r="D870" s="439" t="s">
        <v>2136</v>
      </c>
      <c r="S870" s="452"/>
      <c r="T870" s="452"/>
      <c r="U870" s="452"/>
      <c r="V870" s="452"/>
      <c r="W870" s="452"/>
    </row>
    <row r="871" spans="1:23" ht="15" customHeight="1" x14ac:dyDescent="0.45">
      <c r="A871" s="438" t="s">
        <v>1833</v>
      </c>
      <c r="B871" s="438">
        <v>200</v>
      </c>
      <c r="C871" s="438" t="s">
        <v>2135</v>
      </c>
      <c r="D871" s="439" t="s">
        <v>2137</v>
      </c>
      <c r="S871" s="452"/>
      <c r="T871" s="452"/>
      <c r="U871" s="452"/>
      <c r="V871" s="452"/>
      <c r="W871" s="452"/>
    </row>
    <row r="872" spans="1:23" ht="15" customHeight="1" x14ac:dyDescent="0.45">
      <c r="A872" s="438" t="s">
        <v>1834</v>
      </c>
      <c r="B872" s="438">
        <v>400</v>
      </c>
      <c r="S872" s="452"/>
      <c r="T872" s="452"/>
      <c r="U872" s="452"/>
      <c r="V872" s="452"/>
      <c r="W872" s="452"/>
    </row>
    <row r="873" spans="1:23" ht="15" customHeight="1" x14ac:dyDescent="0.45">
      <c r="A873" s="438" t="s">
        <v>1835</v>
      </c>
      <c r="B873" s="438">
        <v>800</v>
      </c>
      <c r="C873" s="438" t="s">
        <v>2138</v>
      </c>
      <c r="D873" s="439" t="s">
        <v>2139</v>
      </c>
      <c r="S873" s="452"/>
      <c r="T873" s="452"/>
      <c r="U873" s="452"/>
      <c r="V873" s="452"/>
      <c r="W873" s="452"/>
    </row>
    <row r="874" spans="1:23" ht="15" customHeight="1" x14ac:dyDescent="0.45">
      <c r="A874" s="438" t="s">
        <v>1836</v>
      </c>
      <c r="B874" s="438" t="s">
        <v>1429</v>
      </c>
      <c r="C874" s="438" t="s">
        <v>912</v>
      </c>
      <c r="S874" s="452"/>
      <c r="T874" s="452"/>
      <c r="U874" s="452"/>
      <c r="V874" s="452"/>
      <c r="W874" s="452"/>
    </row>
    <row r="875" spans="1:23" ht="15" customHeight="1" x14ac:dyDescent="0.45">
      <c r="A875" s="438" t="s">
        <v>1837</v>
      </c>
      <c r="B875" s="438">
        <v>1500</v>
      </c>
      <c r="C875" s="438" t="s">
        <v>2140</v>
      </c>
      <c r="D875" s="439" t="s">
        <v>2141</v>
      </c>
      <c r="S875" s="452"/>
      <c r="T875" s="452"/>
      <c r="U875" s="452"/>
      <c r="V875" s="452"/>
      <c r="W875" s="452"/>
    </row>
    <row r="876" spans="1:23" ht="15" customHeight="1" x14ac:dyDescent="0.45">
      <c r="A876" s="438" t="s">
        <v>1838</v>
      </c>
      <c r="B876" s="438" t="s">
        <v>1430</v>
      </c>
      <c r="C876" s="438" t="s">
        <v>2137</v>
      </c>
      <c r="D876" s="439" t="s">
        <v>2133</v>
      </c>
      <c r="S876" s="452"/>
      <c r="T876" s="452"/>
      <c r="U876" s="452"/>
      <c r="V876" s="452"/>
      <c r="W876" s="452"/>
    </row>
    <row r="877" spans="1:23" ht="15" customHeight="1" x14ac:dyDescent="0.45">
      <c r="A877" s="438" t="s">
        <v>1839</v>
      </c>
      <c r="B877" s="438">
        <v>3000</v>
      </c>
      <c r="S877" s="452"/>
      <c r="T877" s="452"/>
      <c r="U877" s="452"/>
      <c r="V877" s="452"/>
      <c r="W877" s="452"/>
    </row>
    <row r="878" spans="1:23" ht="15" customHeight="1" x14ac:dyDescent="0.45">
      <c r="A878" s="438" t="s">
        <v>1840</v>
      </c>
      <c r="B878" s="438" t="s">
        <v>1431</v>
      </c>
      <c r="S878" s="452"/>
      <c r="T878" s="452"/>
      <c r="U878" s="452"/>
      <c r="V878" s="452"/>
      <c r="W878" s="452"/>
    </row>
    <row r="879" spans="1:23" ht="15" customHeight="1" x14ac:dyDescent="0.45">
      <c r="A879" s="438" t="s">
        <v>1841</v>
      </c>
      <c r="B879" s="438" t="s">
        <v>902</v>
      </c>
      <c r="S879" s="452"/>
      <c r="T879" s="452"/>
      <c r="U879" s="452"/>
      <c r="V879" s="452"/>
      <c r="W879" s="452"/>
    </row>
    <row r="880" spans="1:23" ht="15" customHeight="1" x14ac:dyDescent="0.45">
      <c r="A880" s="438" t="s">
        <v>1842</v>
      </c>
      <c r="B880" s="438" t="s">
        <v>25</v>
      </c>
      <c r="S880" s="452"/>
      <c r="T880" s="452"/>
      <c r="U880" s="452"/>
      <c r="V880" s="452"/>
      <c r="W880" s="452"/>
    </row>
    <row r="881" spans="1:23" ht="15" customHeight="1" x14ac:dyDescent="0.45">
      <c r="A881" s="438" t="s">
        <v>1843</v>
      </c>
      <c r="B881" s="438" t="s">
        <v>21</v>
      </c>
      <c r="S881" s="452"/>
      <c r="T881" s="452"/>
      <c r="U881" s="452"/>
      <c r="V881" s="452"/>
      <c r="W881" s="452"/>
    </row>
    <row r="882" spans="1:23" ht="15" customHeight="1" x14ac:dyDescent="0.45">
      <c r="A882" s="438" t="s">
        <v>1844</v>
      </c>
      <c r="B882" s="438" t="s">
        <v>28</v>
      </c>
      <c r="C882" s="438" t="s">
        <v>2142</v>
      </c>
      <c r="D882" s="439" t="s">
        <v>2136</v>
      </c>
      <c r="S882" s="452"/>
      <c r="T882" s="452"/>
      <c r="U882" s="452"/>
      <c r="V882" s="452"/>
      <c r="W882" s="452"/>
    </row>
    <row r="883" spans="1:23" ht="15" customHeight="1" x14ac:dyDescent="0.45">
      <c r="A883" s="438" t="s">
        <v>1845</v>
      </c>
      <c r="B883" s="438" t="s">
        <v>24</v>
      </c>
      <c r="C883" s="438" t="s">
        <v>2142</v>
      </c>
      <c r="D883" s="439" t="s">
        <v>2136</v>
      </c>
      <c r="S883" s="452"/>
      <c r="T883" s="452"/>
      <c r="U883" s="452"/>
      <c r="V883" s="452"/>
      <c r="W883" s="452"/>
    </row>
    <row r="884" spans="1:23" ht="15" customHeight="1" x14ac:dyDescent="0.45">
      <c r="A884" s="438" t="s">
        <v>1846</v>
      </c>
      <c r="B884" s="438" t="s">
        <v>1432</v>
      </c>
      <c r="C884" s="438" t="s">
        <v>2134</v>
      </c>
      <c r="D884" s="439" t="s">
        <v>2133</v>
      </c>
      <c r="S884" s="452"/>
      <c r="T884" s="452"/>
      <c r="U884" s="452"/>
      <c r="V884" s="452"/>
      <c r="W884" s="452"/>
    </row>
    <row r="885" spans="1:23" ht="15" customHeight="1" x14ac:dyDescent="0.45">
      <c r="A885" s="438" t="s">
        <v>1847</v>
      </c>
      <c r="B885" s="438" t="s">
        <v>1433</v>
      </c>
      <c r="S885" s="452"/>
      <c r="T885" s="452"/>
      <c r="U885" s="452"/>
      <c r="V885" s="452"/>
      <c r="W885" s="452"/>
    </row>
    <row r="886" spans="1:23" ht="15" customHeight="1" x14ac:dyDescent="0.45">
      <c r="A886" s="438" t="s">
        <v>1848</v>
      </c>
      <c r="B886" s="438" t="s">
        <v>1434</v>
      </c>
      <c r="C886" s="438" t="s">
        <v>2137</v>
      </c>
      <c r="D886" s="439" t="s">
        <v>2136</v>
      </c>
      <c r="S886" s="452"/>
      <c r="T886" s="452"/>
      <c r="U886" s="452"/>
      <c r="V886" s="452"/>
      <c r="W886" s="452"/>
    </row>
    <row r="887" spans="1:23" ht="15" customHeight="1" x14ac:dyDescent="0.45">
      <c r="A887" s="438" t="s">
        <v>1849</v>
      </c>
      <c r="B887" s="438" t="s">
        <v>1435</v>
      </c>
      <c r="S887" s="452"/>
      <c r="T887" s="452"/>
      <c r="U887" s="452"/>
      <c r="V887" s="452"/>
      <c r="W887" s="452"/>
    </row>
    <row r="888" spans="1:23" ht="15" customHeight="1" x14ac:dyDescent="0.45">
      <c r="A888" s="438" t="s">
        <v>1850</v>
      </c>
      <c r="B888" s="438" t="s">
        <v>1436</v>
      </c>
      <c r="C888" s="438" t="s">
        <v>2133</v>
      </c>
      <c r="D888" s="439" t="s">
        <v>2135</v>
      </c>
      <c r="S888" s="452"/>
      <c r="T888" s="452"/>
      <c r="U888" s="452"/>
      <c r="V888" s="452"/>
      <c r="W888" s="452"/>
    </row>
    <row r="889" spans="1:23" ht="15" customHeight="1" x14ac:dyDescent="0.45">
      <c r="A889" s="438" t="s">
        <v>1851</v>
      </c>
      <c r="B889" s="438" t="s">
        <v>1437</v>
      </c>
      <c r="C889" s="438" t="s">
        <v>2137</v>
      </c>
      <c r="D889" s="439" t="s">
        <v>2134</v>
      </c>
      <c r="S889" s="452"/>
      <c r="T889" s="452"/>
      <c r="U889" s="452"/>
      <c r="V889" s="452"/>
      <c r="W889" s="452"/>
    </row>
    <row r="890" spans="1:23" ht="15" customHeight="1" x14ac:dyDescent="0.45">
      <c r="A890" s="438" t="s">
        <v>1852</v>
      </c>
      <c r="B890" s="438" t="s">
        <v>1438</v>
      </c>
      <c r="S890" s="452"/>
      <c r="T890" s="452"/>
      <c r="U890" s="452"/>
      <c r="V890" s="452"/>
      <c r="W890" s="452"/>
    </row>
    <row r="891" spans="1:23" ht="15" customHeight="1" x14ac:dyDescent="0.45">
      <c r="A891" s="438" t="s">
        <v>1853</v>
      </c>
      <c r="B891" s="438" t="s">
        <v>1439</v>
      </c>
      <c r="S891" s="452"/>
      <c r="T891" s="452"/>
      <c r="U891" s="452"/>
      <c r="V891" s="452"/>
      <c r="W891" s="452"/>
    </row>
    <row r="892" spans="1:23" ht="15" customHeight="1" x14ac:dyDescent="0.45">
      <c r="B892" s="438" t="s">
        <v>1424</v>
      </c>
      <c r="C892" s="438" t="s">
        <v>100</v>
      </c>
      <c r="S892" s="452"/>
      <c r="T892" s="452"/>
      <c r="U892" s="452"/>
      <c r="V892" s="452"/>
      <c r="W892" s="452"/>
    </row>
    <row r="893" spans="1:23" ht="15" customHeight="1" x14ac:dyDescent="0.45">
      <c r="B893" s="438" t="s">
        <v>1425</v>
      </c>
      <c r="C893" s="438" t="s">
        <v>793</v>
      </c>
      <c r="S893" s="452"/>
      <c r="T893" s="452"/>
      <c r="U893" s="452"/>
      <c r="V893" s="452"/>
      <c r="W893" s="452"/>
    </row>
    <row r="894" spans="1:23" ht="15" customHeight="1" x14ac:dyDescent="0.45">
      <c r="B894" s="438" t="s">
        <v>1426</v>
      </c>
      <c r="C894" s="438" t="s">
        <v>6</v>
      </c>
      <c r="S894" s="452"/>
      <c r="T894" s="452"/>
      <c r="U894" s="452"/>
      <c r="V894" s="452"/>
      <c r="W894" s="452"/>
    </row>
    <row r="895" spans="1:23" ht="15" customHeight="1" x14ac:dyDescent="0.45">
      <c r="B895" s="438" t="s">
        <v>901</v>
      </c>
      <c r="C895" s="438">
        <v>2</v>
      </c>
      <c r="D895" s="439">
        <v>22</v>
      </c>
      <c r="S895" s="452"/>
      <c r="T895" s="452"/>
      <c r="U895" s="452"/>
      <c r="V895" s="452"/>
      <c r="W895" s="452"/>
    </row>
    <row r="896" spans="1:23" ht="15" customHeight="1" x14ac:dyDescent="0.45">
      <c r="A896" s="438" t="s">
        <v>1831</v>
      </c>
      <c r="B896" s="438" t="s">
        <v>1427</v>
      </c>
      <c r="C896" s="438" t="s">
        <v>2133</v>
      </c>
      <c r="D896" s="439" t="s">
        <v>2134</v>
      </c>
      <c r="S896" s="452"/>
      <c r="T896" s="452"/>
      <c r="U896" s="452"/>
      <c r="V896" s="452"/>
      <c r="W896" s="452"/>
    </row>
    <row r="897" spans="1:23" ht="15" customHeight="1" x14ac:dyDescent="0.45">
      <c r="A897" s="438" t="s">
        <v>1832</v>
      </c>
      <c r="B897" s="438" t="s">
        <v>1428</v>
      </c>
      <c r="C897" s="438" t="s">
        <v>2135</v>
      </c>
      <c r="D897" s="439" t="s">
        <v>2136</v>
      </c>
      <c r="S897" s="452"/>
      <c r="T897" s="452"/>
      <c r="U897" s="452"/>
      <c r="V897" s="452"/>
      <c r="W897" s="452"/>
    </row>
    <row r="898" spans="1:23" ht="15" customHeight="1" x14ac:dyDescent="0.45">
      <c r="A898" s="438" t="s">
        <v>1833</v>
      </c>
      <c r="B898" s="438">
        <v>200</v>
      </c>
      <c r="C898" s="438" t="s">
        <v>2135</v>
      </c>
      <c r="D898" s="439" t="s">
        <v>2137</v>
      </c>
      <c r="S898" s="452"/>
      <c r="T898" s="452"/>
      <c r="U898" s="452"/>
      <c r="V898" s="452"/>
      <c r="W898" s="452"/>
    </row>
    <row r="899" spans="1:23" ht="15" customHeight="1" x14ac:dyDescent="0.45">
      <c r="A899" s="438" t="s">
        <v>1834</v>
      </c>
      <c r="B899" s="438">
        <v>400</v>
      </c>
      <c r="S899" s="452"/>
      <c r="T899" s="452"/>
      <c r="U899" s="452"/>
      <c r="V899" s="452"/>
      <c r="W899" s="452"/>
    </row>
    <row r="900" spans="1:23" ht="15" customHeight="1" x14ac:dyDescent="0.45">
      <c r="A900" s="438" t="s">
        <v>1835</v>
      </c>
      <c r="B900" s="438">
        <v>800</v>
      </c>
      <c r="C900" s="438" t="s">
        <v>2138</v>
      </c>
      <c r="D900" s="439" t="s">
        <v>2139</v>
      </c>
      <c r="S900" s="452"/>
      <c r="T900" s="452"/>
      <c r="U900" s="452"/>
      <c r="V900" s="452"/>
      <c r="W900" s="452"/>
    </row>
    <row r="901" spans="1:23" ht="15" customHeight="1" x14ac:dyDescent="0.45">
      <c r="A901" s="438" t="s">
        <v>1836</v>
      </c>
      <c r="B901" s="438" t="s">
        <v>1429</v>
      </c>
      <c r="C901" s="438" t="s">
        <v>912</v>
      </c>
      <c r="S901" s="452"/>
      <c r="T901" s="452"/>
      <c r="U901" s="452"/>
      <c r="V901" s="452"/>
      <c r="W901" s="452"/>
    </row>
    <row r="902" spans="1:23" ht="15" customHeight="1" x14ac:dyDescent="0.45">
      <c r="A902" s="438" t="s">
        <v>1837</v>
      </c>
      <c r="B902" s="438">
        <v>1500</v>
      </c>
      <c r="C902" s="438" t="s">
        <v>2140</v>
      </c>
      <c r="D902" s="439" t="s">
        <v>2141</v>
      </c>
      <c r="S902" s="452"/>
      <c r="T902" s="452"/>
      <c r="U902" s="452"/>
      <c r="V902" s="452"/>
      <c r="W902" s="452"/>
    </row>
    <row r="903" spans="1:23" ht="15" customHeight="1" x14ac:dyDescent="0.45">
      <c r="A903" s="438" t="s">
        <v>1838</v>
      </c>
      <c r="B903" s="438" t="s">
        <v>1430</v>
      </c>
      <c r="C903" s="438" t="s">
        <v>2137</v>
      </c>
      <c r="D903" s="439" t="s">
        <v>2133</v>
      </c>
      <c r="S903" s="452"/>
      <c r="T903" s="452"/>
      <c r="U903" s="452"/>
      <c r="V903" s="452"/>
      <c r="W903" s="452"/>
    </row>
    <row r="904" spans="1:23" ht="15" customHeight="1" x14ac:dyDescent="0.45">
      <c r="A904" s="438" t="s">
        <v>1839</v>
      </c>
      <c r="B904" s="438">
        <v>3000</v>
      </c>
      <c r="S904" s="452"/>
      <c r="T904" s="452"/>
      <c r="U904" s="452"/>
      <c r="V904" s="452"/>
      <c r="W904" s="452"/>
    </row>
    <row r="905" spans="1:23" ht="15" customHeight="1" x14ac:dyDescent="0.45">
      <c r="A905" s="438" t="s">
        <v>1840</v>
      </c>
      <c r="B905" s="438" t="s">
        <v>1431</v>
      </c>
      <c r="S905" s="452"/>
      <c r="T905" s="452"/>
      <c r="U905" s="452"/>
      <c r="V905" s="452"/>
      <c r="W905" s="452"/>
    </row>
    <row r="906" spans="1:23" ht="15" customHeight="1" x14ac:dyDescent="0.45">
      <c r="A906" s="438" t="s">
        <v>1841</v>
      </c>
      <c r="B906" s="438" t="s">
        <v>902</v>
      </c>
      <c r="S906" s="452"/>
      <c r="T906" s="452"/>
      <c r="U906" s="452"/>
      <c r="V906" s="452"/>
      <c r="W906" s="452"/>
    </row>
    <row r="907" spans="1:23" ht="15" customHeight="1" x14ac:dyDescent="0.45">
      <c r="A907" s="438" t="s">
        <v>1842</v>
      </c>
      <c r="B907" s="438" t="s">
        <v>25</v>
      </c>
      <c r="S907" s="452"/>
      <c r="T907" s="452"/>
      <c r="U907" s="452"/>
      <c r="V907" s="452"/>
      <c r="W907" s="452"/>
    </row>
    <row r="908" spans="1:23" ht="15" customHeight="1" x14ac:dyDescent="0.45">
      <c r="A908" s="438" t="s">
        <v>1843</v>
      </c>
      <c r="B908" s="438" t="s">
        <v>21</v>
      </c>
      <c r="S908" s="452"/>
      <c r="T908" s="452"/>
      <c r="U908" s="452"/>
      <c r="V908" s="452"/>
      <c r="W908" s="452"/>
    </row>
    <row r="909" spans="1:23" ht="15" customHeight="1" x14ac:dyDescent="0.45">
      <c r="A909" s="438" t="s">
        <v>1844</v>
      </c>
      <c r="B909" s="438" t="s">
        <v>28</v>
      </c>
      <c r="C909" s="438" t="s">
        <v>2142</v>
      </c>
      <c r="D909" s="439" t="s">
        <v>2136</v>
      </c>
      <c r="S909" s="452"/>
      <c r="T909" s="452"/>
      <c r="U909" s="452"/>
      <c r="V909" s="452"/>
      <c r="W909" s="452"/>
    </row>
    <row r="910" spans="1:23" ht="15" customHeight="1" x14ac:dyDescent="0.45">
      <c r="A910" s="438" t="s">
        <v>1845</v>
      </c>
      <c r="B910" s="438" t="s">
        <v>24</v>
      </c>
      <c r="C910" s="438" t="s">
        <v>2142</v>
      </c>
      <c r="D910" s="439" t="s">
        <v>2136</v>
      </c>
      <c r="S910" s="452"/>
      <c r="T910" s="452"/>
      <c r="U910" s="452"/>
      <c r="V910" s="452"/>
      <c r="W910" s="452"/>
    </row>
    <row r="911" spans="1:23" ht="15" customHeight="1" x14ac:dyDescent="0.45">
      <c r="A911" s="438" t="s">
        <v>1846</v>
      </c>
      <c r="B911" s="438" t="s">
        <v>1432</v>
      </c>
      <c r="C911" s="438" t="s">
        <v>2134</v>
      </c>
      <c r="D911" s="439" t="s">
        <v>2133</v>
      </c>
      <c r="S911" s="452"/>
      <c r="T911" s="452"/>
      <c r="U911" s="452"/>
      <c r="V911" s="452"/>
      <c r="W911" s="452"/>
    </row>
    <row r="912" spans="1:23" ht="15" customHeight="1" x14ac:dyDescent="0.45">
      <c r="A912" s="438" t="s">
        <v>1847</v>
      </c>
      <c r="B912" s="438" t="s">
        <v>1433</v>
      </c>
      <c r="S912" s="452"/>
      <c r="T912" s="452"/>
      <c r="U912" s="452"/>
      <c r="V912" s="452"/>
      <c r="W912" s="452"/>
    </row>
    <row r="913" spans="1:23" ht="15" customHeight="1" x14ac:dyDescent="0.45">
      <c r="A913" s="438" t="s">
        <v>1848</v>
      </c>
      <c r="B913" s="438" t="s">
        <v>1434</v>
      </c>
      <c r="C913" s="438" t="s">
        <v>2137</v>
      </c>
      <c r="D913" s="439" t="s">
        <v>2136</v>
      </c>
      <c r="S913" s="452"/>
      <c r="T913" s="452"/>
      <c r="U913" s="452"/>
      <c r="V913" s="452"/>
      <c r="W913" s="452"/>
    </row>
    <row r="914" spans="1:23" ht="15" customHeight="1" x14ac:dyDescent="0.45">
      <c r="A914" s="438" t="s">
        <v>1849</v>
      </c>
      <c r="B914" s="438" t="s">
        <v>1435</v>
      </c>
      <c r="S914" s="452"/>
      <c r="T914" s="452"/>
      <c r="U914" s="452"/>
      <c r="V914" s="452"/>
      <c r="W914" s="452"/>
    </row>
    <row r="915" spans="1:23" ht="15" customHeight="1" x14ac:dyDescent="0.45">
      <c r="A915" s="438" t="s">
        <v>1850</v>
      </c>
      <c r="B915" s="438" t="s">
        <v>1436</v>
      </c>
      <c r="C915" s="438" t="s">
        <v>2133</v>
      </c>
      <c r="D915" s="439" t="s">
        <v>2135</v>
      </c>
      <c r="S915" s="452"/>
      <c r="T915" s="452"/>
      <c r="U915" s="452"/>
      <c r="V915" s="452"/>
      <c r="W915" s="452"/>
    </row>
    <row r="916" spans="1:23" ht="15" customHeight="1" x14ac:dyDescent="0.45">
      <c r="A916" s="438" t="s">
        <v>1851</v>
      </c>
      <c r="B916" s="438" t="s">
        <v>1437</v>
      </c>
      <c r="C916" s="438" t="s">
        <v>2137</v>
      </c>
      <c r="D916" s="439" t="s">
        <v>2134</v>
      </c>
      <c r="S916" s="452"/>
      <c r="T916" s="452"/>
      <c r="U916" s="452"/>
      <c r="V916" s="452"/>
      <c r="W916" s="452"/>
    </row>
    <row r="917" spans="1:23" ht="15" customHeight="1" x14ac:dyDescent="0.45">
      <c r="A917" s="438" t="s">
        <v>1852</v>
      </c>
      <c r="B917" s="438" t="s">
        <v>1438</v>
      </c>
      <c r="S917" s="452"/>
      <c r="T917" s="452"/>
      <c r="U917" s="452"/>
      <c r="V917" s="452"/>
      <c r="W917" s="452"/>
    </row>
    <row r="918" spans="1:23" ht="15" customHeight="1" x14ac:dyDescent="0.45">
      <c r="A918" s="438" t="s">
        <v>1853</v>
      </c>
      <c r="B918" s="438" t="s">
        <v>1439</v>
      </c>
      <c r="S918" s="452"/>
      <c r="T918" s="452"/>
      <c r="U918" s="452"/>
      <c r="V918" s="452"/>
      <c r="W918" s="452"/>
    </row>
    <row r="919" spans="1:23" ht="15" customHeight="1" x14ac:dyDescent="0.45">
      <c r="B919" s="438" t="s">
        <v>1424</v>
      </c>
      <c r="C919" s="438" t="s">
        <v>98</v>
      </c>
      <c r="S919" s="452"/>
      <c r="T919" s="452"/>
      <c r="U919" s="452"/>
      <c r="V919" s="452"/>
      <c r="W919" s="452"/>
    </row>
    <row r="920" spans="1:23" ht="15" customHeight="1" x14ac:dyDescent="0.45">
      <c r="B920" s="438" t="s">
        <v>1425</v>
      </c>
      <c r="C920" s="438" t="s">
        <v>615</v>
      </c>
      <c r="S920" s="452"/>
      <c r="T920" s="452"/>
      <c r="U920" s="452"/>
      <c r="V920" s="452"/>
      <c r="W920" s="452"/>
    </row>
    <row r="921" spans="1:23" ht="15" customHeight="1" x14ac:dyDescent="0.45">
      <c r="B921" s="438" t="s">
        <v>1426</v>
      </c>
      <c r="C921" s="438" t="s">
        <v>6</v>
      </c>
      <c r="S921" s="452"/>
      <c r="T921" s="452"/>
      <c r="U921" s="452"/>
      <c r="V921" s="452"/>
      <c r="W921" s="452"/>
    </row>
    <row r="922" spans="1:23" ht="15" customHeight="1" x14ac:dyDescent="0.45">
      <c r="B922" s="438" t="s">
        <v>901</v>
      </c>
      <c r="C922" s="438">
        <v>1</v>
      </c>
      <c r="D922" s="439">
        <v>11</v>
      </c>
      <c r="S922" s="452"/>
      <c r="T922" s="452"/>
      <c r="U922" s="452"/>
      <c r="V922" s="452"/>
      <c r="W922" s="452"/>
    </row>
    <row r="923" spans="1:23" ht="15" customHeight="1" x14ac:dyDescent="0.45">
      <c r="A923" s="438" t="s">
        <v>1808</v>
      </c>
      <c r="B923" s="438" t="s">
        <v>1427</v>
      </c>
      <c r="C923" s="438" t="s">
        <v>2129</v>
      </c>
      <c r="D923" s="439" t="s">
        <v>2130</v>
      </c>
      <c r="S923" s="452"/>
      <c r="T923" s="452"/>
      <c r="U923" s="452"/>
      <c r="V923" s="452"/>
      <c r="W923" s="452"/>
    </row>
    <row r="924" spans="1:23" ht="15" customHeight="1" x14ac:dyDescent="0.45">
      <c r="A924" s="438" t="s">
        <v>1809</v>
      </c>
      <c r="B924" s="438" t="s">
        <v>1428</v>
      </c>
      <c r="S924" s="452"/>
      <c r="T924" s="452"/>
      <c r="U924" s="452"/>
      <c r="V924" s="452"/>
      <c r="W924" s="452"/>
    </row>
    <row r="925" spans="1:23" ht="15" customHeight="1" x14ac:dyDescent="0.45">
      <c r="A925" s="438" t="s">
        <v>1810</v>
      </c>
      <c r="B925" s="438">
        <v>200</v>
      </c>
      <c r="C925" s="438" t="s">
        <v>2129</v>
      </c>
      <c r="D925" s="439" t="s">
        <v>2131</v>
      </c>
      <c r="S925" s="452"/>
      <c r="T925" s="452"/>
      <c r="U925" s="452"/>
      <c r="V925" s="452"/>
      <c r="W925" s="452"/>
    </row>
    <row r="926" spans="1:23" ht="15" customHeight="1" x14ac:dyDescent="0.45">
      <c r="A926" s="438" t="s">
        <v>1811</v>
      </c>
      <c r="B926" s="438">
        <v>400</v>
      </c>
      <c r="S926" s="452"/>
      <c r="T926" s="452"/>
      <c r="U926" s="452"/>
      <c r="V926" s="452"/>
      <c r="W926" s="452"/>
    </row>
    <row r="927" spans="1:23" ht="15" customHeight="1" x14ac:dyDescent="0.45">
      <c r="A927" s="438" t="s">
        <v>1812</v>
      </c>
      <c r="B927" s="438">
        <v>800</v>
      </c>
      <c r="C927" s="438" t="s">
        <v>2131</v>
      </c>
      <c r="D927" s="439" t="s">
        <v>2132</v>
      </c>
      <c r="S927" s="452"/>
      <c r="T927" s="452"/>
      <c r="U927" s="452"/>
      <c r="V927" s="452"/>
      <c r="W927" s="452"/>
    </row>
    <row r="928" spans="1:23" ht="15" customHeight="1" x14ac:dyDescent="0.45">
      <c r="A928" s="438" t="s">
        <v>1813</v>
      </c>
      <c r="B928" s="438" t="s">
        <v>1429</v>
      </c>
      <c r="S928" s="452"/>
      <c r="T928" s="452"/>
      <c r="U928" s="452"/>
      <c r="V928" s="452"/>
      <c r="W928" s="452"/>
    </row>
    <row r="929" spans="1:23" ht="15" customHeight="1" x14ac:dyDescent="0.45">
      <c r="A929" s="438" t="s">
        <v>1814</v>
      </c>
      <c r="B929" s="438">
        <v>1500</v>
      </c>
      <c r="S929" s="452"/>
      <c r="T929" s="452"/>
      <c r="U929" s="452"/>
      <c r="V929" s="452"/>
      <c r="W929" s="452"/>
    </row>
    <row r="930" spans="1:23" ht="15" customHeight="1" x14ac:dyDescent="0.45">
      <c r="A930" s="438" t="s">
        <v>1815</v>
      </c>
      <c r="B930" s="438" t="s">
        <v>1430</v>
      </c>
      <c r="S930" s="452"/>
      <c r="T930" s="452"/>
      <c r="U930" s="452"/>
      <c r="V930" s="452"/>
      <c r="W930" s="452"/>
    </row>
    <row r="931" spans="1:23" ht="15" customHeight="1" x14ac:dyDescent="0.45">
      <c r="A931" s="438" t="s">
        <v>1816</v>
      </c>
      <c r="B931" s="438">
        <v>3000</v>
      </c>
      <c r="S931" s="452"/>
      <c r="T931" s="452"/>
      <c r="U931" s="452"/>
      <c r="V931" s="452"/>
      <c r="W931" s="452"/>
    </row>
    <row r="932" spans="1:23" ht="15" customHeight="1" x14ac:dyDescent="0.45">
      <c r="A932" s="438" t="s">
        <v>1817</v>
      </c>
      <c r="B932" s="438" t="s">
        <v>1431</v>
      </c>
      <c r="S932" s="452"/>
      <c r="T932" s="452"/>
      <c r="U932" s="452"/>
      <c r="V932" s="452"/>
      <c r="W932" s="452"/>
    </row>
    <row r="933" spans="1:23" ht="15" customHeight="1" x14ac:dyDescent="0.45">
      <c r="A933" s="438" t="s">
        <v>1818</v>
      </c>
      <c r="B933" s="438" t="s">
        <v>902</v>
      </c>
      <c r="S933" s="452"/>
      <c r="T933" s="452"/>
      <c r="U933" s="452"/>
      <c r="V933" s="452"/>
      <c r="W933" s="452"/>
    </row>
    <row r="934" spans="1:23" ht="15" customHeight="1" x14ac:dyDescent="0.45">
      <c r="A934" s="438" t="s">
        <v>1819</v>
      </c>
      <c r="B934" s="438" t="s">
        <v>25</v>
      </c>
      <c r="S934" s="452"/>
      <c r="T934" s="452"/>
      <c r="U934" s="452"/>
      <c r="V934" s="452"/>
      <c r="W934" s="452"/>
    </row>
    <row r="935" spans="1:23" ht="15" customHeight="1" x14ac:dyDescent="0.45">
      <c r="A935" s="438" t="s">
        <v>1820</v>
      </c>
      <c r="B935" s="438" t="s">
        <v>21</v>
      </c>
      <c r="S935" s="452"/>
      <c r="T935" s="452"/>
      <c r="U935" s="452"/>
      <c r="V935" s="452"/>
      <c r="W935" s="452"/>
    </row>
    <row r="936" spans="1:23" ht="15" customHeight="1" x14ac:dyDescent="0.45">
      <c r="A936" s="438" t="s">
        <v>1821</v>
      </c>
      <c r="B936" s="438" t="s">
        <v>28</v>
      </c>
      <c r="C936" s="438" t="s">
        <v>2132</v>
      </c>
      <c r="S936" s="452"/>
      <c r="T936" s="452"/>
      <c r="U936" s="452"/>
      <c r="V936" s="452"/>
      <c r="W936" s="452"/>
    </row>
    <row r="937" spans="1:23" ht="15" customHeight="1" x14ac:dyDescent="0.45">
      <c r="A937" s="438" t="s">
        <v>1822</v>
      </c>
      <c r="B937" s="438" t="s">
        <v>24</v>
      </c>
      <c r="C937" s="438" t="s">
        <v>2132</v>
      </c>
      <c r="D937" s="439" t="s">
        <v>2130</v>
      </c>
      <c r="S937" s="452"/>
      <c r="T937" s="452"/>
      <c r="U937" s="452"/>
      <c r="V937" s="452"/>
      <c r="W937" s="452"/>
    </row>
    <row r="938" spans="1:23" ht="15" customHeight="1" x14ac:dyDescent="0.45">
      <c r="A938" s="438" t="s">
        <v>1823</v>
      </c>
      <c r="B938" s="438" t="s">
        <v>1432</v>
      </c>
      <c r="C938" s="438" t="s">
        <v>2129</v>
      </c>
      <c r="D938" s="439" t="s">
        <v>2130</v>
      </c>
      <c r="S938" s="452"/>
      <c r="T938" s="452"/>
      <c r="U938" s="452"/>
      <c r="V938" s="452"/>
      <c r="W938" s="452"/>
    </row>
    <row r="939" spans="1:23" ht="15" customHeight="1" x14ac:dyDescent="0.45">
      <c r="A939" s="438" t="s">
        <v>1824</v>
      </c>
      <c r="B939" s="438" t="s">
        <v>1433</v>
      </c>
      <c r="S939" s="452"/>
      <c r="T939" s="452"/>
      <c r="U939" s="452"/>
      <c r="V939" s="452"/>
      <c r="W939" s="452"/>
    </row>
    <row r="940" spans="1:23" ht="15" customHeight="1" x14ac:dyDescent="0.45">
      <c r="A940" s="438" t="s">
        <v>1825</v>
      </c>
      <c r="B940" s="438" t="s">
        <v>1434</v>
      </c>
      <c r="C940" s="438" t="s">
        <v>2131</v>
      </c>
      <c r="S940" s="452"/>
      <c r="T940" s="452"/>
      <c r="U940" s="452"/>
      <c r="V940" s="452"/>
      <c r="W940" s="452"/>
    </row>
    <row r="941" spans="1:23" ht="15" customHeight="1" x14ac:dyDescent="0.45">
      <c r="A941" s="438" t="s">
        <v>1826</v>
      </c>
      <c r="B941" s="438" t="s">
        <v>1435</v>
      </c>
      <c r="S941" s="452"/>
      <c r="T941" s="452"/>
      <c r="U941" s="452"/>
      <c r="V941" s="452"/>
      <c r="W941" s="452"/>
    </row>
    <row r="942" spans="1:23" ht="15" customHeight="1" x14ac:dyDescent="0.45">
      <c r="A942" s="438" t="s">
        <v>1827</v>
      </c>
      <c r="B942" s="438" t="s">
        <v>1436</v>
      </c>
      <c r="C942" s="438" t="s">
        <v>2130</v>
      </c>
      <c r="D942" s="439" t="s">
        <v>2132</v>
      </c>
      <c r="S942" s="452"/>
      <c r="T942" s="452"/>
      <c r="U942" s="452"/>
      <c r="V942" s="452"/>
      <c r="W942" s="452"/>
    </row>
    <row r="943" spans="1:23" ht="15" customHeight="1" x14ac:dyDescent="0.45">
      <c r="A943" s="438" t="s">
        <v>1828</v>
      </c>
      <c r="B943" s="438" t="s">
        <v>1437</v>
      </c>
      <c r="C943" s="438" t="s">
        <v>2131</v>
      </c>
      <c r="D943" s="439" t="s">
        <v>2129</v>
      </c>
      <c r="S943" s="452"/>
      <c r="T943" s="452"/>
      <c r="U943" s="452"/>
      <c r="V943" s="452"/>
      <c r="W943" s="452"/>
    </row>
    <row r="944" spans="1:23" ht="15" customHeight="1" x14ac:dyDescent="0.45">
      <c r="A944" s="438" t="s">
        <v>1829</v>
      </c>
      <c r="B944" s="438" t="s">
        <v>1438</v>
      </c>
      <c r="S944" s="452"/>
      <c r="T944" s="452"/>
      <c r="U944" s="452"/>
      <c r="V944" s="452"/>
      <c r="W944" s="452"/>
    </row>
    <row r="945" spans="1:23" ht="15" customHeight="1" x14ac:dyDescent="0.45">
      <c r="A945" s="438" t="s">
        <v>1830</v>
      </c>
      <c r="B945" s="438" t="s">
        <v>1439</v>
      </c>
      <c r="S945" s="452"/>
      <c r="T945" s="452"/>
      <c r="U945" s="452"/>
      <c r="V945" s="452"/>
      <c r="W945" s="452"/>
    </row>
    <row r="946" spans="1:23" ht="15" customHeight="1" x14ac:dyDescent="0.45">
      <c r="B946" s="438" t="s">
        <v>1424</v>
      </c>
      <c r="C946" s="438" t="s">
        <v>112</v>
      </c>
      <c r="S946" s="452"/>
      <c r="T946" s="452"/>
      <c r="U946" s="452"/>
      <c r="V946" s="452"/>
      <c r="W946" s="452"/>
    </row>
    <row r="947" spans="1:23" ht="15" customHeight="1" x14ac:dyDescent="0.45">
      <c r="B947" s="438" t="s">
        <v>1425</v>
      </c>
      <c r="C947" s="438" t="s">
        <v>636</v>
      </c>
      <c r="S947" s="452"/>
      <c r="T947" s="452"/>
      <c r="U947" s="452"/>
      <c r="V947" s="452"/>
      <c r="W947" s="452"/>
    </row>
    <row r="948" spans="1:23" ht="15" customHeight="1" x14ac:dyDescent="0.45">
      <c r="B948" s="438" t="s">
        <v>1426</v>
      </c>
      <c r="C948" s="438" t="s">
        <v>6</v>
      </c>
      <c r="S948" s="452"/>
      <c r="T948" s="452"/>
      <c r="U948" s="452"/>
      <c r="V948" s="452"/>
      <c r="W948" s="452"/>
    </row>
    <row r="949" spans="1:23" ht="15" customHeight="1" x14ac:dyDescent="0.45">
      <c r="B949" s="438" t="s">
        <v>901</v>
      </c>
      <c r="C949" s="438">
        <v>3</v>
      </c>
      <c r="D949" s="439">
        <v>33</v>
      </c>
      <c r="S949" s="452"/>
      <c r="T949" s="452"/>
      <c r="U949" s="452"/>
      <c r="V949" s="452"/>
      <c r="W949" s="452"/>
    </row>
    <row r="950" spans="1:23" ht="15" customHeight="1" x14ac:dyDescent="0.45">
      <c r="A950" s="438" t="s">
        <v>1854</v>
      </c>
      <c r="B950" s="438" t="s">
        <v>1427</v>
      </c>
      <c r="C950" s="438" t="s">
        <v>2118</v>
      </c>
      <c r="D950" s="439" t="s">
        <v>2119</v>
      </c>
      <c r="S950" s="452"/>
      <c r="T950" s="452"/>
      <c r="U950" s="452"/>
      <c r="V950" s="452"/>
      <c r="W950" s="452"/>
    </row>
    <row r="951" spans="1:23" ht="15" customHeight="1" x14ac:dyDescent="0.45">
      <c r="A951" s="438" t="s">
        <v>1855</v>
      </c>
      <c r="B951" s="438" t="s">
        <v>1428</v>
      </c>
      <c r="C951" s="438" t="s">
        <v>2120</v>
      </c>
      <c r="D951" s="439" t="s">
        <v>2121</v>
      </c>
      <c r="S951" s="452"/>
      <c r="T951" s="452"/>
      <c r="U951" s="452"/>
      <c r="V951" s="452"/>
      <c r="W951" s="452"/>
    </row>
    <row r="952" spans="1:23" ht="15" customHeight="1" x14ac:dyDescent="0.45">
      <c r="A952" s="438" t="s">
        <v>1856</v>
      </c>
      <c r="B952" s="438">
        <v>200</v>
      </c>
      <c r="C952" s="438" t="s">
        <v>2122</v>
      </c>
      <c r="D952" s="439" t="s">
        <v>2120</v>
      </c>
      <c r="S952" s="452"/>
      <c r="T952" s="452"/>
      <c r="U952" s="452"/>
      <c r="V952" s="452"/>
      <c r="W952" s="452"/>
    </row>
    <row r="953" spans="1:23" ht="15" customHeight="1" x14ac:dyDescent="0.45">
      <c r="A953" s="438" t="s">
        <v>1857</v>
      </c>
      <c r="B953" s="438">
        <v>400</v>
      </c>
      <c r="S953" s="452"/>
      <c r="T953" s="452"/>
      <c r="U953" s="452"/>
      <c r="V953" s="452"/>
      <c r="W953" s="452"/>
    </row>
    <row r="954" spans="1:23" ht="15" customHeight="1" x14ac:dyDescent="0.45">
      <c r="A954" s="438" t="s">
        <v>1858</v>
      </c>
      <c r="B954" s="438">
        <v>800</v>
      </c>
      <c r="C954" s="438" t="s">
        <v>2123</v>
      </c>
      <c r="D954" s="439" t="s">
        <v>2124</v>
      </c>
      <c r="S954" s="452"/>
      <c r="T954" s="452"/>
      <c r="U954" s="452"/>
      <c r="V954" s="452"/>
      <c r="W954" s="452"/>
    </row>
    <row r="955" spans="1:23" ht="15" customHeight="1" x14ac:dyDescent="0.45">
      <c r="A955" s="438" t="s">
        <v>1859</v>
      </c>
      <c r="B955" s="438" t="s">
        <v>1429</v>
      </c>
      <c r="C955" s="438" t="s">
        <v>912</v>
      </c>
      <c r="D955" s="439" t="s">
        <v>912</v>
      </c>
      <c r="S955" s="452"/>
      <c r="T955" s="452"/>
      <c r="U955" s="452"/>
      <c r="V955" s="452"/>
      <c r="W955" s="452"/>
    </row>
    <row r="956" spans="1:23" ht="15" customHeight="1" x14ac:dyDescent="0.45">
      <c r="A956" s="438" t="s">
        <v>1860</v>
      </c>
      <c r="B956" s="438">
        <v>1500</v>
      </c>
      <c r="C956" s="438" t="s">
        <v>2125</v>
      </c>
      <c r="D956" s="439" t="s">
        <v>2121</v>
      </c>
      <c r="S956" s="452"/>
      <c r="T956" s="452"/>
      <c r="U956" s="452"/>
      <c r="V956" s="452"/>
      <c r="W956" s="452"/>
    </row>
    <row r="957" spans="1:23" ht="15" customHeight="1" x14ac:dyDescent="0.45">
      <c r="A957" s="438" t="s">
        <v>1861</v>
      </c>
      <c r="B957" s="438" t="s">
        <v>1430</v>
      </c>
      <c r="C957" s="438" t="s">
        <v>2119</v>
      </c>
      <c r="D957" s="439" t="s">
        <v>2124</v>
      </c>
      <c r="S957" s="452"/>
      <c r="T957" s="452"/>
      <c r="U957" s="452"/>
      <c r="V957" s="452"/>
      <c r="W957" s="452"/>
    </row>
    <row r="958" spans="1:23" ht="15" customHeight="1" x14ac:dyDescent="0.45">
      <c r="A958" s="438" t="s">
        <v>1862</v>
      </c>
      <c r="B958" s="438">
        <v>3000</v>
      </c>
      <c r="S958" s="452"/>
      <c r="T958" s="452"/>
      <c r="U958" s="452"/>
      <c r="V958" s="452"/>
      <c r="W958" s="452"/>
    </row>
    <row r="959" spans="1:23" ht="15" customHeight="1" x14ac:dyDescent="0.45">
      <c r="A959" s="438" t="s">
        <v>1863</v>
      </c>
      <c r="B959" s="438" t="s">
        <v>1431</v>
      </c>
      <c r="S959" s="452"/>
      <c r="T959" s="452"/>
      <c r="U959" s="452"/>
      <c r="V959" s="452"/>
      <c r="W959" s="452"/>
    </row>
    <row r="960" spans="1:23" ht="15" customHeight="1" x14ac:dyDescent="0.45">
      <c r="A960" s="438" t="s">
        <v>1864</v>
      </c>
      <c r="B960" s="438" t="s">
        <v>902</v>
      </c>
      <c r="S960" s="452"/>
      <c r="T960" s="452"/>
      <c r="U960" s="452"/>
      <c r="V960" s="452"/>
      <c r="W960" s="452"/>
    </row>
    <row r="961" spans="1:23" ht="15" customHeight="1" x14ac:dyDescent="0.45">
      <c r="A961" s="438" t="s">
        <v>1865</v>
      </c>
      <c r="B961" s="438" t="s">
        <v>25</v>
      </c>
      <c r="S961" s="452"/>
      <c r="T961" s="452"/>
      <c r="U961" s="452"/>
      <c r="V961" s="452"/>
      <c r="W961" s="452"/>
    </row>
    <row r="962" spans="1:23" ht="15" customHeight="1" x14ac:dyDescent="0.45">
      <c r="A962" s="438" t="s">
        <v>1866</v>
      </c>
      <c r="B962" s="438" t="s">
        <v>21</v>
      </c>
      <c r="S962" s="452"/>
      <c r="T962" s="452"/>
      <c r="U962" s="452"/>
      <c r="V962" s="452"/>
      <c r="W962" s="452"/>
    </row>
    <row r="963" spans="1:23" ht="15" customHeight="1" x14ac:dyDescent="0.45">
      <c r="A963" s="438" t="s">
        <v>1867</v>
      </c>
      <c r="B963" s="438" t="s">
        <v>28</v>
      </c>
      <c r="C963" s="438" t="s">
        <v>2126</v>
      </c>
      <c r="D963" s="439" t="s">
        <v>2127</v>
      </c>
      <c r="S963" s="452"/>
      <c r="T963" s="452"/>
      <c r="U963" s="452"/>
      <c r="V963" s="452"/>
      <c r="W963" s="452"/>
    </row>
    <row r="964" spans="1:23" ht="15" customHeight="1" x14ac:dyDescent="0.45">
      <c r="A964" s="438" t="s">
        <v>1868</v>
      </c>
      <c r="B964" s="438" t="s">
        <v>24</v>
      </c>
      <c r="C964" s="438" t="s">
        <v>2128</v>
      </c>
      <c r="D964" s="439" t="s">
        <v>2127</v>
      </c>
      <c r="S964" s="452"/>
      <c r="T964" s="452"/>
      <c r="U964" s="452"/>
      <c r="V964" s="452"/>
      <c r="W964" s="452"/>
    </row>
    <row r="965" spans="1:23" ht="15" customHeight="1" x14ac:dyDescent="0.45">
      <c r="A965" s="438" t="s">
        <v>1869</v>
      </c>
      <c r="B965" s="438" t="s">
        <v>1432</v>
      </c>
      <c r="C965" s="438" t="s">
        <v>2122</v>
      </c>
      <c r="D965" s="439" t="s">
        <v>2118</v>
      </c>
      <c r="S965" s="452"/>
      <c r="T965" s="452"/>
      <c r="U965" s="452"/>
      <c r="V965" s="452"/>
      <c r="W965" s="452"/>
    </row>
    <row r="966" spans="1:23" ht="15" customHeight="1" x14ac:dyDescent="0.45">
      <c r="A966" s="438" t="s">
        <v>1870</v>
      </c>
      <c r="B966" s="438" t="s">
        <v>1433</v>
      </c>
      <c r="S966" s="452"/>
      <c r="T966" s="452"/>
      <c r="U966" s="452"/>
      <c r="V966" s="452"/>
      <c r="W966" s="452"/>
    </row>
    <row r="967" spans="1:23" ht="15" customHeight="1" x14ac:dyDescent="0.45">
      <c r="A967" s="438" t="s">
        <v>1871</v>
      </c>
      <c r="B967" s="438" t="s">
        <v>1434</v>
      </c>
      <c r="C967" s="438" t="s">
        <v>2120</v>
      </c>
      <c r="D967" s="439" t="s">
        <v>2124</v>
      </c>
      <c r="S967" s="452"/>
      <c r="T967" s="452"/>
      <c r="U967" s="452"/>
      <c r="V967" s="452"/>
      <c r="W967" s="452"/>
    </row>
    <row r="968" spans="1:23" ht="15" customHeight="1" x14ac:dyDescent="0.45">
      <c r="A968" s="438" t="s">
        <v>1872</v>
      </c>
      <c r="B968" s="438" t="s">
        <v>1435</v>
      </c>
      <c r="S968" s="452"/>
      <c r="T968" s="452"/>
      <c r="U968" s="452"/>
      <c r="V968" s="452"/>
      <c r="W968" s="452"/>
    </row>
    <row r="969" spans="1:23" ht="15" customHeight="1" x14ac:dyDescent="0.45">
      <c r="A969" s="438" t="s">
        <v>1873</v>
      </c>
      <c r="B969" s="438" t="s">
        <v>1436</v>
      </c>
      <c r="C969" s="438" t="s">
        <v>2120</v>
      </c>
      <c r="D969" s="439" t="s">
        <v>2118</v>
      </c>
      <c r="S969" s="452"/>
      <c r="T969" s="452"/>
      <c r="U969" s="452"/>
      <c r="V969" s="452"/>
      <c r="W969" s="452"/>
    </row>
    <row r="970" spans="1:23" ht="15" customHeight="1" x14ac:dyDescent="0.45">
      <c r="A970" s="438" t="s">
        <v>1874</v>
      </c>
      <c r="B970" s="438" t="s">
        <v>1437</v>
      </c>
      <c r="C970" s="438" t="s">
        <v>2119</v>
      </c>
      <c r="D970" s="439" t="s">
        <v>2122</v>
      </c>
      <c r="S970" s="452"/>
      <c r="T970" s="452"/>
      <c r="U970" s="452"/>
      <c r="V970" s="452"/>
      <c r="W970" s="452"/>
    </row>
    <row r="971" spans="1:23" ht="15" customHeight="1" x14ac:dyDescent="0.45">
      <c r="A971" s="438" t="s">
        <v>1875</v>
      </c>
      <c r="B971" s="438" t="s">
        <v>1438</v>
      </c>
      <c r="S971" s="452"/>
      <c r="T971" s="452"/>
      <c r="U971" s="452"/>
      <c r="V971" s="452"/>
      <c r="W971" s="452"/>
    </row>
    <row r="972" spans="1:23" ht="15" customHeight="1" x14ac:dyDescent="0.45">
      <c r="A972" s="438" t="s">
        <v>1876</v>
      </c>
      <c r="B972" s="438" t="s">
        <v>1439</v>
      </c>
      <c r="S972" s="452"/>
      <c r="T972" s="452"/>
      <c r="U972" s="452"/>
      <c r="V972" s="452"/>
      <c r="W972" s="452"/>
    </row>
    <row r="973" spans="1:23" ht="15" customHeight="1" x14ac:dyDescent="0.45">
      <c r="B973" s="438" t="s">
        <v>1424</v>
      </c>
      <c r="C973" s="438" t="s">
        <v>594</v>
      </c>
      <c r="S973" s="452"/>
      <c r="T973" s="452"/>
      <c r="U973" s="452"/>
      <c r="V973" s="452"/>
      <c r="W973" s="452"/>
    </row>
    <row r="974" spans="1:23" ht="15" customHeight="1" x14ac:dyDescent="0.45">
      <c r="B974" s="438" t="s">
        <v>1425</v>
      </c>
      <c r="C974" s="438" t="s">
        <v>617</v>
      </c>
      <c r="S974" s="452"/>
      <c r="T974" s="452"/>
      <c r="U974" s="452"/>
      <c r="V974" s="452"/>
      <c r="W974" s="452"/>
    </row>
    <row r="975" spans="1:23" ht="15" customHeight="1" x14ac:dyDescent="0.45">
      <c r="B975" s="438" t="s">
        <v>1426</v>
      </c>
      <c r="C975" s="438" t="s">
        <v>6</v>
      </c>
      <c r="S975" s="452"/>
      <c r="T975" s="452"/>
      <c r="U975" s="452"/>
      <c r="V975" s="452"/>
      <c r="W975" s="452"/>
    </row>
    <row r="976" spans="1:23" ht="15" customHeight="1" x14ac:dyDescent="0.45">
      <c r="B976" s="438" t="s">
        <v>901</v>
      </c>
      <c r="C976" s="438">
        <v>4</v>
      </c>
      <c r="D976" s="439">
        <v>44</v>
      </c>
      <c r="S976" s="452"/>
      <c r="T976" s="452"/>
      <c r="U976" s="452"/>
      <c r="V976" s="452"/>
      <c r="W976" s="452"/>
    </row>
    <row r="977" spans="1:23" ht="15" customHeight="1" x14ac:dyDescent="0.45">
      <c r="A977" s="438" t="s">
        <v>1785</v>
      </c>
      <c r="B977" s="438" t="s">
        <v>1427</v>
      </c>
      <c r="C977" s="438" t="s">
        <v>2143</v>
      </c>
      <c r="D977" s="439" t="s">
        <v>2144</v>
      </c>
      <c r="S977" s="452"/>
      <c r="T977" s="452"/>
      <c r="U977" s="452"/>
      <c r="V977" s="452"/>
      <c r="W977" s="452"/>
    </row>
    <row r="978" spans="1:23" ht="15" customHeight="1" x14ac:dyDescent="0.45">
      <c r="A978" s="438" t="s">
        <v>1786</v>
      </c>
      <c r="B978" s="438" t="s">
        <v>1428</v>
      </c>
      <c r="C978" s="438" t="s">
        <v>2195</v>
      </c>
      <c r="D978" s="439" t="s">
        <v>912</v>
      </c>
      <c r="S978" s="452"/>
      <c r="T978" s="452"/>
      <c r="U978" s="452"/>
      <c r="V978" s="452"/>
      <c r="W978" s="452"/>
    </row>
    <row r="979" spans="1:23" ht="15" customHeight="1" x14ac:dyDescent="0.45">
      <c r="A979" s="438" t="s">
        <v>1787</v>
      </c>
      <c r="B979" s="438">
        <v>200</v>
      </c>
      <c r="C979" s="438" t="s">
        <v>2143</v>
      </c>
      <c r="D979" s="439" t="s">
        <v>2144</v>
      </c>
      <c r="S979" s="452"/>
      <c r="T979" s="452"/>
      <c r="U979" s="452"/>
      <c r="V979" s="452"/>
      <c r="W979" s="452"/>
    </row>
    <row r="980" spans="1:23" ht="15" customHeight="1" x14ac:dyDescent="0.45">
      <c r="A980" s="438" t="s">
        <v>1788</v>
      </c>
      <c r="B980" s="438">
        <v>400</v>
      </c>
      <c r="S980" s="452"/>
      <c r="T980" s="452"/>
      <c r="U980" s="452"/>
      <c r="V980" s="452"/>
      <c r="W980" s="452"/>
    </row>
    <row r="981" spans="1:23" ht="15" customHeight="1" x14ac:dyDescent="0.45">
      <c r="A981" s="438" t="s">
        <v>1789</v>
      </c>
      <c r="B981" s="438">
        <v>800</v>
      </c>
      <c r="C981" s="438" t="s">
        <v>2146</v>
      </c>
      <c r="D981" s="439" t="s">
        <v>2147</v>
      </c>
      <c r="S981" s="452"/>
      <c r="T981" s="452"/>
      <c r="U981" s="452"/>
      <c r="V981" s="452"/>
      <c r="W981" s="452"/>
    </row>
    <row r="982" spans="1:23" ht="15" customHeight="1" x14ac:dyDescent="0.45">
      <c r="A982" s="438" t="s">
        <v>1790</v>
      </c>
      <c r="B982" s="438" t="s">
        <v>1429</v>
      </c>
      <c r="C982" s="438" t="s">
        <v>912</v>
      </c>
      <c r="D982" s="439" t="s">
        <v>912</v>
      </c>
      <c r="S982" s="452"/>
      <c r="T982" s="452"/>
      <c r="U982" s="452"/>
      <c r="V982" s="452"/>
      <c r="W982" s="452"/>
    </row>
    <row r="983" spans="1:23" ht="15" customHeight="1" x14ac:dyDescent="0.45">
      <c r="A983" s="438" t="s">
        <v>1791</v>
      </c>
      <c r="B983" s="438">
        <v>1500</v>
      </c>
      <c r="C983" s="438" t="s">
        <v>2148</v>
      </c>
      <c r="D983" s="439" t="s">
        <v>2149</v>
      </c>
      <c r="S983" s="452"/>
      <c r="T983" s="452"/>
      <c r="U983" s="452"/>
      <c r="V983" s="452"/>
      <c r="W983" s="452"/>
    </row>
    <row r="984" spans="1:23" ht="15" customHeight="1" x14ac:dyDescent="0.45">
      <c r="A984" s="438" t="s">
        <v>1792</v>
      </c>
      <c r="B984" s="438" t="s">
        <v>1430</v>
      </c>
      <c r="C984" s="438" t="s">
        <v>2195</v>
      </c>
      <c r="D984" s="439" t="s">
        <v>912</v>
      </c>
      <c r="S984" s="452"/>
      <c r="T984" s="452"/>
      <c r="U984" s="452"/>
      <c r="V984" s="452"/>
      <c r="W984" s="452"/>
    </row>
    <row r="985" spans="1:23" ht="15" customHeight="1" x14ac:dyDescent="0.45">
      <c r="A985" s="438" t="s">
        <v>1793</v>
      </c>
      <c r="B985" s="438">
        <v>3000</v>
      </c>
      <c r="S985" s="452"/>
      <c r="T985" s="452"/>
      <c r="U985" s="452"/>
      <c r="V985" s="452"/>
      <c r="W985" s="452"/>
    </row>
    <row r="986" spans="1:23" ht="15" customHeight="1" x14ac:dyDescent="0.45">
      <c r="A986" s="438" t="s">
        <v>1794</v>
      </c>
      <c r="B986" s="438" t="s">
        <v>1431</v>
      </c>
      <c r="S986" s="452"/>
      <c r="T986" s="452"/>
      <c r="U986" s="452"/>
      <c r="V986" s="452"/>
      <c r="W986" s="452"/>
    </row>
    <row r="987" spans="1:23" ht="15" customHeight="1" x14ac:dyDescent="0.45">
      <c r="A987" s="438" t="s">
        <v>1795</v>
      </c>
      <c r="B987" s="438" t="s">
        <v>902</v>
      </c>
      <c r="S987" s="452"/>
      <c r="T987" s="452"/>
      <c r="U987" s="452"/>
      <c r="V987" s="452"/>
      <c r="W987" s="452"/>
    </row>
    <row r="988" spans="1:23" ht="15" customHeight="1" x14ac:dyDescent="0.45">
      <c r="A988" s="438" t="s">
        <v>1796</v>
      </c>
      <c r="B988" s="438" t="s">
        <v>25</v>
      </c>
      <c r="S988" s="452"/>
      <c r="T988" s="452"/>
      <c r="U988" s="452"/>
      <c r="V988" s="452"/>
      <c r="W988" s="452"/>
    </row>
    <row r="989" spans="1:23" ht="15" customHeight="1" x14ac:dyDescent="0.45">
      <c r="A989" s="438" t="s">
        <v>1797</v>
      </c>
      <c r="B989" s="438" t="s">
        <v>21</v>
      </c>
      <c r="S989" s="452"/>
      <c r="T989" s="452"/>
      <c r="U989" s="452"/>
      <c r="V989" s="452"/>
      <c r="W989" s="452"/>
    </row>
    <row r="990" spans="1:23" ht="15" customHeight="1" x14ac:dyDescent="0.45">
      <c r="A990" s="438" t="s">
        <v>1798</v>
      </c>
      <c r="B990" s="438" t="s">
        <v>28</v>
      </c>
      <c r="C990" s="438" t="s">
        <v>2143</v>
      </c>
      <c r="D990" s="439" t="s">
        <v>912</v>
      </c>
      <c r="S990" s="452"/>
      <c r="T990" s="452"/>
      <c r="U990" s="452"/>
      <c r="V990" s="452"/>
      <c r="W990" s="452"/>
    </row>
    <row r="991" spans="1:23" ht="15" customHeight="1" x14ac:dyDescent="0.45">
      <c r="A991" s="438" t="s">
        <v>1799</v>
      </c>
      <c r="B991" s="438" t="s">
        <v>24</v>
      </c>
      <c r="C991" s="438" t="s">
        <v>2146</v>
      </c>
      <c r="D991" s="439" t="s">
        <v>912</v>
      </c>
      <c r="S991" s="452"/>
      <c r="T991" s="452"/>
      <c r="U991" s="452"/>
      <c r="V991" s="452"/>
      <c r="W991" s="452"/>
    </row>
    <row r="992" spans="1:23" ht="15" customHeight="1" x14ac:dyDescent="0.45">
      <c r="A992" s="438" t="s">
        <v>1800</v>
      </c>
      <c r="B992" s="438" t="s">
        <v>1432</v>
      </c>
      <c r="C992" s="438" t="s">
        <v>2195</v>
      </c>
      <c r="D992" s="439" t="s">
        <v>2147</v>
      </c>
      <c r="S992" s="452"/>
      <c r="T992" s="452"/>
      <c r="U992" s="452"/>
      <c r="V992" s="452"/>
      <c r="W992" s="452"/>
    </row>
    <row r="993" spans="1:23" ht="15" customHeight="1" x14ac:dyDescent="0.45">
      <c r="A993" s="438" t="s">
        <v>1801</v>
      </c>
      <c r="B993" s="438" t="s">
        <v>1433</v>
      </c>
      <c r="S993" s="452"/>
      <c r="T993" s="452"/>
      <c r="U993" s="452"/>
      <c r="V993" s="452"/>
      <c r="W993" s="452"/>
    </row>
    <row r="994" spans="1:23" ht="15" customHeight="1" x14ac:dyDescent="0.45">
      <c r="A994" s="438" t="s">
        <v>1802</v>
      </c>
      <c r="B994" s="438" t="s">
        <v>1434</v>
      </c>
      <c r="C994" s="438" t="s">
        <v>912</v>
      </c>
      <c r="D994" s="439" t="s">
        <v>912</v>
      </c>
      <c r="S994" s="452"/>
      <c r="T994" s="452"/>
      <c r="U994" s="452"/>
      <c r="V994" s="452"/>
      <c r="W994" s="452"/>
    </row>
    <row r="995" spans="1:23" ht="15" customHeight="1" x14ac:dyDescent="0.45">
      <c r="A995" s="438" t="s">
        <v>1803</v>
      </c>
      <c r="B995" s="438" t="s">
        <v>1435</v>
      </c>
      <c r="S995" s="452"/>
      <c r="T995" s="452"/>
      <c r="U995" s="452"/>
      <c r="V995" s="452"/>
      <c r="W995" s="452"/>
    </row>
    <row r="996" spans="1:23" ht="15" customHeight="1" x14ac:dyDescent="0.45">
      <c r="A996" s="438" t="s">
        <v>1804</v>
      </c>
      <c r="B996" s="438" t="s">
        <v>1436</v>
      </c>
      <c r="C996" s="438" t="s">
        <v>2148</v>
      </c>
      <c r="D996" s="439" t="s">
        <v>2149</v>
      </c>
      <c r="S996" s="452"/>
      <c r="T996" s="452"/>
      <c r="U996" s="452"/>
      <c r="V996" s="452"/>
      <c r="W996" s="452"/>
    </row>
    <row r="997" spans="1:23" ht="15" customHeight="1" x14ac:dyDescent="0.45">
      <c r="A997" s="438" t="s">
        <v>1805</v>
      </c>
      <c r="B997" s="438" t="s">
        <v>1437</v>
      </c>
      <c r="C997" s="438" t="s">
        <v>2144</v>
      </c>
      <c r="D997" s="439" t="s">
        <v>2143</v>
      </c>
      <c r="S997" s="452"/>
      <c r="T997" s="452"/>
      <c r="U997" s="452"/>
      <c r="V997" s="452"/>
      <c r="W997" s="452"/>
    </row>
    <row r="998" spans="1:23" ht="15" customHeight="1" x14ac:dyDescent="0.45">
      <c r="A998" s="438" t="s">
        <v>1806</v>
      </c>
      <c r="B998" s="438" t="s">
        <v>1438</v>
      </c>
      <c r="S998" s="452"/>
      <c r="T998" s="452"/>
      <c r="U998" s="452"/>
      <c r="V998" s="452"/>
      <c r="W998" s="452"/>
    </row>
    <row r="999" spans="1:23" ht="15" customHeight="1" x14ac:dyDescent="0.45">
      <c r="A999" s="438" t="s">
        <v>1807</v>
      </c>
      <c r="B999" s="438" t="s">
        <v>1439</v>
      </c>
      <c r="S999" s="452"/>
      <c r="T999" s="452"/>
      <c r="U999" s="452"/>
      <c r="V999" s="452"/>
      <c r="W999" s="452"/>
    </row>
    <row r="1000" spans="1:23" ht="15" customHeight="1" x14ac:dyDescent="0.45">
      <c r="B1000" s="438" t="s">
        <v>1424</v>
      </c>
      <c r="C1000" s="438" t="s">
        <v>594</v>
      </c>
      <c r="S1000" s="452"/>
      <c r="T1000" s="452"/>
      <c r="U1000" s="452"/>
      <c r="V1000" s="452"/>
      <c r="W1000" s="452"/>
    </row>
    <row r="1001" spans="1:23" ht="15" customHeight="1" x14ac:dyDescent="0.45">
      <c r="B1001" s="438" t="s">
        <v>1425</v>
      </c>
      <c r="C1001" s="438" t="s">
        <v>617</v>
      </c>
      <c r="S1001" s="452"/>
      <c r="T1001" s="452"/>
      <c r="U1001" s="452"/>
      <c r="V1001" s="452"/>
      <c r="W1001" s="452"/>
    </row>
    <row r="1002" spans="1:23" ht="15" customHeight="1" x14ac:dyDescent="0.45">
      <c r="B1002" s="438" t="s">
        <v>1426</v>
      </c>
      <c r="C1002" s="438" t="s">
        <v>6</v>
      </c>
      <c r="S1002" s="452"/>
      <c r="T1002" s="452"/>
      <c r="U1002" s="452"/>
      <c r="V1002" s="452"/>
      <c r="W1002" s="452"/>
    </row>
    <row r="1003" spans="1:23" ht="15" customHeight="1" x14ac:dyDescent="0.45">
      <c r="B1003" s="438" t="s">
        <v>901</v>
      </c>
      <c r="C1003" s="438">
        <v>4</v>
      </c>
      <c r="D1003" s="439">
        <v>44</v>
      </c>
      <c r="S1003" s="452"/>
      <c r="T1003" s="452"/>
      <c r="U1003" s="452"/>
      <c r="V1003" s="452"/>
      <c r="W1003" s="452"/>
    </row>
    <row r="1004" spans="1:23" ht="15" customHeight="1" x14ac:dyDescent="0.45">
      <c r="A1004" s="438" t="s">
        <v>1785</v>
      </c>
      <c r="B1004" s="438" t="s">
        <v>1427</v>
      </c>
      <c r="C1004" s="438" t="s">
        <v>2143</v>
      </c>
      <c r="D1004" s="439" t="s">
        <v>2144</v>
      </c>
      <c r="S1004" s="452"/>
      <c r="T1004" s="452"/>
      <c r="U1004" s="452"/>
      <c r="V1004" s="452"/>
      <c r="W1004" s="452"/>
    </row>
    <row r="1005" spans="1:23" ht="15" customHeight="1" x14ac:dyDescent="0.45">
      <c r="A1005" s="438" t="s">
        <v>1786</v>
      </c>
      <c r="B1005" s="438" t="s">
        <v>1428</v>
      </c>
      <c r="C1005" s="438" t="s">
        <v>2195</v>
      </c>
      <c r="D1005" s="439" t="s">
        <v>912</v>
      </c>
      <c r="S1005" s="452"/>
      <c r="T1005" s="452"/>
      <c r="U1005" s="452"/>
      <c r="V1005" s="452"/>
      <c r="W1005" s="452"/>
    </row>
    <row r="1006" spans="1:23" ht="15" customHeight="1" x14ac:dyDescent="0.45">
      <c r="A1006" s="438" t="s">
        <v>1787</v>
      </c>
      <c r="B1006" s="438">
        <v>200</v>
      </c>
      <c r="C1006" s="438" t="s">
        <v>2143</v>
      </c>
      <c r="D1006" s="439" t="s">
        <v>2144</v>
      </c>
      <c r="S1006" s="452"/>
      <c r="T1006" s="452"/>
      <c r="U1006" s="452"/>
      <c r="V1006" s="452"/>
      <c r="W1006" s="452"/>
    </row>
    <row r="1007" spans="1:23" ht="15" customHeight="1" x14ac:dyDescent="0.45">
      <c r="A1007" s="438" t="s">
        <v>1788</v>
      </c>
      <c r="B1007" s="438">
        <v>400</v>
      </c>
      <c r="S1007" s="452"/>
      <c r="T1007" s="452"/>
      <c r="U1007" s="452"/>
      <c r="V1007" s="452"/>
      <c r="W1007" s="452"/>
    </row>
    <row r="1008" spans="1:23" ht="15" customHeight="1" x14ac:dyDescent="0.45">
      <c r="A1008" s="438" t="s">
        <v>1789</v>
      </c>
      <c r="B1008" s="438">
        <v>800</v>
      </c>
      <c r="C1008" s="438" t="s">
        <v>2146</v>
      </c>
      <c r="D1008" s="439" t="s">
        <v>2147</v>
      </c>
      <c r="S1008" s="452"/>
      <c r="T1008" s="452"/>
      <c r="U1008" s="452"/>
      <c r="V1008" s="452"/>
      <c r="W1008" s="452"/>
    </row>
    <row r="1009" spans="1:23" ht="15" customHeight="1" x14ac:dyDescent="0.45">
      <c r="A1009" s="438" t="s">
        <v>1790</v>
      </c>
      <c r="B1009" s="438" t="s">
        <v>1429</v>
      </c>
      <c r="C1009" s="438" t="s">
        <v>912</v>
      </c>
      <c r="D1009" s="439" t="s">
        <v>912</v>
      </c>
      <c r="S1009" s="452"/>
      <c r="T1009" s="452"/>
      <c r="U1009" s="452"/>
      <c r="V1009" s="452"/>
      <c r="W1009" s="452"/>
    </row>
    <row r="1010" spans="1:23" ht="15" customHeight="1" x14ac:dyDescent="0.45">
      <c r="A1010" s="438" t="s">
        <v>1791</v>
      </c>
      <c r="B1010" s="438">
        <v>1500</v>
      </c>
      <c r="C1010" s="438" t="s">
        <v>2148</v>
      </c>
      <c r="D1010" s="439" t="s">
        <v>2149</v>
      </c>
      <c r="S1010" s="452"/>
      <c r="T1010" s="452"/>
      <c r="U1010" s="452"/>
      <c r="V1010" s="452"/>
      <c r="W1010" s="452"/>
    </row>
    <row r="1011" spans="1:23" ht="15" customHeight="1" x14ac:dyDescent="0.45">
      <c r="A1011" s="438" t="s">
        <v>1792</v>
      </c>
      <c r="B1011" s="438" t="s">
        <v>1430</v>
      </c>
      <c r="C1011" s="438" t="s">
        <v>2195</v>
      </c>
      <c r="D1011" s="439" t="s">
        <v>912</v>
      </c>
      <c r="S1011" s="452"/>
      <c r="T1011" s="452"/>
      <c r="U1011" s="452"/>
      <c r="V1011" s="452"/>
      <c r="W1011" s="452"/>
    </row>
    <row r="1012" spans="1:23" ht="15" customHeight="1" x14ac:dyDescent="0.45">
      <c r="A1012" s="438" t="s">
        <v>1793</v>
      </c>
      <c r="B1012" s="438">
        <v>3000</v>
      </c>
      <c r="S1012" s="452"/>
      <c r="T1012" s="452"/>
      <c r="U1012" s="452"/>
      <c r="V1012" s="452"/>
      <c r="W1012" s="452"/>
    </row>
    <row r="1013" spans="1:23" ht="15" customHeight="1" x14ac:dyDescent="0.45">
      <c r="A1013" s="438" t="s">
        <v>1794</v>
      </c>
      <c r="B1013" s="438" t="s">
        <v>1431</v>
      </c>
      <c r="S1013" s="452"/>
      <c r="T1013" s="452"/>
      <c r="U1013" s="452"/>
      <c r="V1013" s="452"/>
      <c r="W1013" s="452"/>
    </row>
    <row r="1014" spans="1:23" ht="15" customHeight="1" x14ac:dyDescent="0.45">
      <c r="A1014" s="438" t="s">
        <v>1795</v>
      </c>
      <c r="B1014" s="438" t="s">
        <v>902</v>
      </c>
      <c r="S1014" s="452"/>
      <c r="T1014" s="452"/>
      <c r="U1014" s="452"/>
      <c r="V1014" s="452"/>
      <c r="W1014" s="452"/>
    </row>
    <row r="1015" spans="1:23" ht="15" customHeight="1" x14ac:dyDescent="0.45">
      <c r="A1015" s="438" t="s">
        <v>1796</v>
      </c>
      <c r="B1015" s="438" t="s">
        <v>25</v>
      </c>
      <c r="S1015" s="452"/>
      <c r="T1015" s="452"/>
      <c r="U1015" s="452"/>
      <c r="V1015" s="452"/>
      <c r="W1015" s="452"/>
    </row>
    <row r="1016" spans="1:23" ht="15" customHeight="1" x14ac:dyDescent="0.45">
      <c r="A1016" s="438" t="s">
        <v>1797</v>
      </c>
      <c r="B1016" s="438" t="s">
        <v>21</v>
      </c>
      <c r="S1016" s="452"/>
      <c r="T1016" s="452"/>
      <c r="U1016" s="452"/>
      <c r="V1016" s="452"/>
      <c r="W1016" s="452"/>
    </row>
    <row r="1017" spans="1:23" ht="15" customHeight="1" x14ac:dyDescent="0.45">
      <c r="A1017" s="438" t="s">
        <v>1798</v>
      </c>
      <c r="B1017" s="438" t="s">
        <v>28</v>
      </c>
      <c r="C1017" s="438" t="s">
        <v>2143</v>
      </c>
      <c r="D1017" s="439" t="s">
        <v>912</v>
      </c>
      <c r="S1017" s="452"/>
      <c r="T1017" s="452"/>
      <c r="U1017" s="452"/>
      <c r="V1017" s="452"/>
      <c r="W1017" s="452"/>
    </row>
    <row r="1018" spans="1:23" ht="15" customHeight="1" x14ac:dyDescent="0.45">
      <c r="A1018" s="438" t="s">
        <v>1799</v>
      </c>
      <c r="B1018" s="438" t="s">
        <v>24</v>
      </c>
      <c r="C1018" s="438" t="s">
        <v>2146</v>
      </c>
      <c r="D1018" s="439" t="s">
        <v>912</v>
      </c>
      <c r="S1018" s="452"/>
      <c r="T1018" s="452"/>
      <c r="U1018" s="452"/>
      <c r="V1018" s="452"/>
      <c r="W1018" s="452"/>
    </row>
    <row r="1019" spans="1:23" ht="15" customHeight="1" x14ac:dyDescent="0.45">
      <c r="A1019" s="438" t="s">
        <v>1800</v>
      </c>
      <c r="B1019" s="438" t="s">
        <v>1432</v>
      </c>
      <c r="C1019" s="438" t="s">
        <v>2195</v>
      </c>
      <c r="D1019" s="439" t="s">
        <v>2147</v>
      </c>
      <c r="S1019" s="452"/>
      <c r="T1019" s="452"/>
      <c r="U1019" s="452"/>
      <c r="V1019" s="452"/>
      <c r="W1019" s="452"/>
    </row>
    <row r="1020" spans="1:23" ht="15" customHeight="1" x14ac:dyDescent="0.45">
      <c r="A1020" s="438" t="s">
        <v>1801</v>
      </c>
      <c r="B1020" s="438" t="s">
        <v>1433</v>
      </c>
      <c r="S1020" s="452"/>
      <c r="T1020" s="452"/>
      <c r="U1020" s="452"/>
      <c r="V1020" s="452"/>
      <c r="W1020" s="452"/>
    </row>
    <row r="1021" spans="1:23" ht="15" customHeight="1" x14ac:dyDescent="0.45">
      <c r="A1021" s="438" t="s">
        <v>1802</v>
      </c>
      <c r="B1021" s="438" t="s">
        <v>1434</v>
      </c>
      <c r="C1021" s="438" t="s">
        <v>912</v>
      </c>
      <c r="D1021" s="439" t="s">
        <v>912</v>
      </c>
      <c r="S1021" s="452"/>
      <c r="T1021" s="452"/>
      <c r="U1021" s="452"/>
      <c r="V1021" s="452"/>
      <c r="W1021" s="452"/>
    </row>
    <row r="1022" spans="1:23" ht="15" customHeight="1" x14ac:dyDescent="0.45">
      <c r="A1022" s="438" t="s">
        <v>1803</v>
      </c>
      <c r="B1022" s="438" t="s">
        <v>1435</v>
      </c>
      <c r="S1022" s="452"/>
      <c r="T1022" s="452"/>
      <c r="U1022" s="452"/>
      <c r="V1022" s="452"/>
      <c r="W1022" s="452"/>
    </row>
    <row r="1023" spans="1:23" ht="15" customHeight="1" x14ac:dyDescent="0.45">
      <c r="A1023" s="438" t="s">
        <v>1804</v>
      </c>
      <c r="B1023" s="438" t="s">
        <v>1436</v>
      </c>
      <c r="C1023" s="438" t="s">
        <v>2148</v>
      </c>
      <c r="D1023" s="439" t="s">
        <v>2149</v>
      </c>
      <c r="S1023" s="452"/>
      <c r="T1023" s="452"/>
      <c r="U1023" s="452"/>
      <c r="V1023" s="452"/>
      <c r="W1023" s="452"/>
    </row>
    <row r="1024" spans="1:23" ht="15" customHeight="1" x14ac:dyDescent="0.45">
      <c r="A1024" s="438" t="s">
        <v>1805</v>
      </c>
      <c r="B1024" s="438" t="s">
        <v>1437</v>
      </c>
      <c r="C1024" s="438" t="s">
        <v>2144</v>
      </c>
      <c r="D1024" s="439" t="s">
        <v>2143</v>
      </c>
      <c r="S1024" s="452"/>
      <c r="T1024" s="452"/>
      <c r="U1024" s="452"/>
      <c r="V1024" s="452"/>
      <c r="W1024" s="452"/>
    </row>
    <row r="1025" spans="1:23" ht="15" customHeight="1" x14ac:dyDescent="0.45">
      <c r="A1025" s="438" t="s">
        <v>1806</v>
      </c>
      <c r="B1025" s="438" t="s">
        <v>1438</v>
      </c>
      <c r="S1025" s="452"/>
      <c r="T1025" s="452"/>
      <c r="U1025" s="452"/>
      <c r="V1025" s="452"/>
      <c r="W1025" s="452"/>
    </row>
    <row r="1026" spans="1:23" ht="15" customHeight="1" x14ac:dyDescent="0.45">
      <c r="A1026" s="438" t="s">
        <v>1807</v>
      </c>
      <c r="B1026" s="438" t="s">
        <v>1439</v>
      </c>
      <c r="S1026" s="452"/>
      <c r="T1026" s="452"/>
      <c r="U1026" s="452"/>
      <c r="V1026" s="452"/>
      <c r="W1026" s="452"/>
    </row>
    <row r="1027" spans="1:23" ht="15" customHeight="1" x14ac:dyDescent="0.45">
      <c r="B1027" s="438" t="s">
        <v>1424</v>
      </c>
      <c r="C1027" s="438" t="s">
        <v>115</v>
      </c>
      <c r="S1027" s="452"/>
      <c r="T1027" s="452"/>
      <c r="U1027" s="452"/>
      <c r="V1027" s="452"/>
      <c r="W1027" s="452"/>
    </row>
    <row r="1028" spans="1:23" ht="15" customHeight="1" x14ac:dyDescent="0.45">
      <c r="B1028" s="438" t="s">
        <v>1425</v>
      </c>
      <c r="C1028" s="438" t="s">
        <v>643</v>
      </c>
      <c r="S1028" s="452"/>
      <c r="T1028" s="452"/>
      <c r="U1028" s="452"/>
      <c r="V1028" s="452"/>
      <c r="W1028" s="452"/>
    </row>
    <row r="1029" spans="1:23" ht="15" customHeight="1" x14ac:dyDescent="0.45">
      <c r="B1029" s="438" t="s">
        <v>1426</v>
      </c>
      <c r="C1029" s="438" t="s">
        <v>6</v>
      </c>
      <c r="S1029" s="452"/>
      <c r="T1029" s="452"/>
      <c r="U1029" s="452"/>
      <c r="V1029" s="452"/>
      <c r="W1029" s="452"/>
    </row>
    <row r="1030" spans="1:23" ht="15" customHeight="1" x14ac:dyDescent="0.45">
      <c r="B1030" s="438" t="s">
        <v>901</v>
      </c>
      <c r="C1030" s="438">
        <v>5</v>
      </c>
      <c r="D1030" s="439">
        <v>55</v>
      </c>
      <c r="S1030" s="452"/>
      <c r="T1030" s="452"/>
      <c r="U1030" s="452"/>
      <c r="V1030" s="452"/>
      <c r="W1030" s="452"/>
    </row>
    <row r="1031" spans="1:23" ht="15" customHeight="1" x14ac:dyDescent="0.45">
      <c r="A1031" s="438" t="s">
        <v>1877</v>
      </c>
      <c r="B1031" s="438" t="s">
        <v>1427</v>
      </c>
      <c r="C1031" s="438" t="s">
        <v>2151</v>
      </c>
      <c r="D1031" s="439" t="s">
        <v>912</v>
      </c>
      <c r="S1031" s="452"/>
      <c r="T1031" s="452"/>
      <c r="U1031" s="452"/>
      <c r="V1031" s="452"/>
      <c r="W1031" s="452"/>
    </row>
    <row r="1032" spans="1:23" ht="15" customHeight="1" x14ac:dyDescent="0.45">
      <c r="A1032" s="438" t="s">
        <v>1878</v>
      </c>
      <c r="B1032" s="438" t="s">
        <v>1428</v>
      </c>
      <c r="S1032" s="452"/>
      <c r="T1032" s="452"/>
      <c r="U1032" s="452"/>
      <c r="V1032" s="452"/>
      <c r="W1032" s="452"/>
    </row>
    <row r="1033" spans="1:23" ht="15" customHeight="1" x14ac:dyDescent="0.45">
      <c r="A1033" s="438" t="s">
        <v>1879</v>
      </c>
      <c r="B1033" s="438">
        <v>200</v>
      </c>
      <c r="C1033" s="438" t="s">
        <v>2151</v>
      </c>
      <c r="D1033" s="439" t="s">
        <v>912</v>
      </c>
      <c r="S1033" s="452"/>
      <c r="T1033" s="452"/>
      <c r="U1033" s="452"/>
      <c r="V1033" s="452"/>
      <c r="W1033" s="452"/>
    </row>
    <row r="1034" spans="1:23" ht="15" customHeight="1" x14ac:dyDescent="0.45">
      <c r="A1034" s="438" t="s">
        <v>1880</v>
      </c>
      <c r="B1034" s="438">
        <v>400</v>
      </c>
      <c r="S1034" s="452"/>
      <c r="T1034" s="452"/>
      <c r="U1034" s="452"/>
      <c r="V1034" s="452"/>
      <c r="W1034" s="452"/>
    </row>
    <row r="1035" spans="1:23" ht="15" customHeight="1" x14ac:dyDescent="0.45">
      <c r="A1035" s="438" t="s">
        <v>1881</v>
      </c>
      <c r="B1035" s="438">
        <v>800</v>
      </c>
      <c r="C1035" s="438" t="s">
        <v>912</v>
      </c>
      <c r="S1035" s="452"/>
      <c r="T1035" s="452"/>
      <c r="U1035" s="452"/>
      <c r="V1035" s="452"/>
      <c r="W1035" s="452"/>
    </row>
    <row r="1036" spans="1:23" ht="15" customHeight="1" x14ac:dyDescent="0.45">
      <c r="A1036" s="438" t="s">
        <v>1882</v>
      </c>
      <c r="B1036" s="438" t="s">
        <v>1429</v>
      </c>
      <c r="S1036" s="452"/>
      <c r="T1036" s="452"/>
      <c r="U1036" s="452"/>
      <c r="V1036" s="452"/>
      <c r="W1036" s="452"/>
    </row>
    <row r="1037" spans="1:23" ht="15" customHeight="1" x14ac:dyDescent="0.45">
      <c r="A1037" s="438" t="s">
        <v>1883</v>
      </c>
      <c r="B1037" s="438">
        <v>1500</v>
      </c>
      <c r="C1037" s="438" t="s">
        <v>2152</v>
      </c>
      <c r="S1037" s="452"/>
      <c r="T1037" s="452"/>
      <c r="U1037" s="452"/>
      <c r="V1037" s="452"/>
      <c r="W1037" s="452"/>
    </row>
    <row r="1038" spans="1:23" ht="15" customHeight="1" x14ac:dyDescent="0.45">
      <c r="A1038" s="438" t="s">
        <v>1884</v>
      </c>
      <c r="B1038" s="438" t="s">
        <v>1430</v>
      </c>
      <c r="S1038" s="452"/>
      <c r="T1038" s="452"/>
      <c r="U1038" s="452"/>
      <c r="V1038" s="452"/>
      <c r="W1038" s="452"/>
    </row>
    <row r="1039" spans="1:23" ht="15" customHeight="1" x14ac:dyDescent="0.45">
      <c r="A1039" s="438" t="s">
        <v>1885</v>
      </c>
      <c r="B1039" s="438">
        <v>3000</v>
      </c>
      <c r="S1039" s="452"/>
      <c r="T1039" s="452"/>
      <c r="U1039" s="452"/>
      <c r="V1039" s="452"/>
      <c r="W1039" s="452"/>
    </row>
    <row r="1040" spans="1:23" ht="15" customHeight="1" x14ac:dyDescent="0.45">
      <c r="A1040" s="438" t="s">
        <v>1886</v>
      </c>
      <c r="B1040" s="438" t="s">
        <v>1431</v>
      </c>
      <c r="S1040" s="452"/>
      <c r="T1040" s="452"/>
      <c r="U1040" s="452"/>
      <c r="V1040" s="452"/>
      <c r="W1040" s="452"/>
    </row>
    <row r="1041" spans="1:23" ht="15" customHeight="1" x14ac:dyDescent="0.45">
      <c r="A1041" s="438" t="s">
        <v>1887</v>
      </c>
      <c r="B1041" s="438" t="s">
        <v>902</v>
      </c>
      <c r="S1041" s="452"/>
      <c r="T1041" s="452"/>
      <c r="U1041" s="452"/>
      <c r="V1041" s="452"/>
      <c r="W1041" s="452"/>
    </row>
    <row r="1042" spans="1:23" ht="15" customHeight="1" x14ac:dyDescent="0.45">
      <c r="A1042" s="438" t="s">
        <v>1888</v>
      </c>
      <c r="B1042" s="438" t="s">
        <v>25</v>
      </c>
      <c r="S1042" s="452"/>
      <c r="T1042" s="452"/>
      <c r="U1042" s="452"/>
      <c r="V1042" s="452"/>
      <c r="W1042" s="452"/>
    </row>
    <row r="1043" spans="1:23" ht="15" customHeight="1" x14ac:dyDescent="0.45">
      <c r="A1043" s="438" t="s">
        <v>1889</v>
      </c>
      <c r="B1043" s="438" t="s">
        <v>21</v>
      </c>
      <c r="S1043" s="452"/>
      <c r="T1043" s="452"/>
      <c r="U1043" s="452"/>
      <c r="V1043" s="452"/>
      <c r="W1043" s="452"/>
    </row>
    <row r="1044" spans="1:23" ht="15" customHeight="1" x14ac:dyDescent="0.45">
      <c r="A1044" s="438" t="s">
        <v>1890</v>
      </c>
      <c r="B1044" s="438" t="s">
        <v>28</v>
      </c>
      <c r="C1044" s="438" t="s">
        <v>2153</v>
      </c>
      <c r="D1044" s="439" t="s">
        <v>2154</v>
      </c>
      <c r="S1044" s="452"/>
      <c r="T1044" s="452"/>
      <c r="U1044" s="452"/>
      <c r="V1044" s="452"/>
      <c r="W1044" s="452"/>
    </row>
    <row r="1045" spans="1:23" ht="15" customHeight="1" x14ac:dyDescent="0.45">
      <c r="A1045" s="438" t="s">
        <v>1891</v>
      </c>
      <c r="B1045" s="438" t="s">
        <v>24</v>
      </c>
      <c r="C1045" s="438" t="s">
        <v>2153</v>
      </c>
      <c r="D1045" s="439" t="s">
        <v>2154</v>
      </c>
      <c r="S1045" s="452"/>
      <c r="T1045" s="452"/>
      <c r="U1045" s="452"/>
      <c r="V1045" s="452"/>
      <c r="W1045" s="452"/>
    </row>
    <row r="1046" spans="1:23" ht="15" customHeight="1" x14ac:dyDescent="0.45">
      <c r="A1046" s="438" t="s">
        <v>1892</v>
      </c>
      <c r="B1046" s="438" t="s">
        <v>1432</v>
      </c>
      <c r="C1046" s="438" t="s">
        <v>2151</v>
      </c>
      <c r="D1046" s="439" t="s">
        <v>912</v>
      </c>
      <c r="S1046" s="452"/>
      <c r="T1046" s="452"/>
      <c r="U1046" s="452"/>
      <c r="V1046" s="452"/>
      <c r="W1046" s="452"/>
    </row>
    <row r="1047" spans="1:23" ht="15" customHeight="1" x14ac:dyDescent="0.45">
      <c r="A1047" s="438" t="s">
        <v>1893</v>
      </c>
      <c r="B1047" s="438" t="s">
        <v>1433</v>
      </c>
      <c r="S1047" s="452"/>
      <c r="T1047" s="452"/>
      <c r="U1047" s="452"/>
      <c r="V1047" s="452"/>
      <c r="W1047" s="452"/>
    </row>
    <row r="1048" spans="1:23" ht="15" customHeight="1" x14ac:dyDescent="0.45">
      <c r="A1048" s="438" t="s">
        <v>1894</v>
      </c>
      <c r="B1048" s="438" t="s">
        <v>1434</v>
      </c>
      <c r="C1048" s="438" t="s">
        <v>2152</v>
      </c>
      <c r="D1048" s="439" t="s">
        <v>912</v>
      </c>
      <c r="S1048" s="452"/>
      <c r="T1048" s="452"/>
      <c r="U1048" s="452"/>
      <c r="V1048" s="452"/>
      <c r="W1048" s="452"/>
    </row>
    <row r="1049" spans="1:23" ht="15" customHeight="1" x14ac:dyDescent="0.45">
      <c r="A1049" s="438" t="s">
        <v>1895</v>
      </c>
      <c r="B1049" s="438" t="s">
        <v>1435</v>
      </c>
      <c r="S1049" s="452"/>
      <c r="T1049" s="452"/>
      <c r="U1049" s="452"/>
      <c r="V1049" s="452"/>
      <c r="W1049" s="452"/>
    </row>
    <row r="1050" spans="1:23" ht="15" customHeight="1" x14ac:dyDescent="0.45">
      <c r="A1050" s="438" t="s">
        <v>1896</v>
      </c>
      <c r="B1050" s="438" t="s">
        <v>1436</v>
      </c>
      <c r="C1050" s="438" t="s">
        <v>912</v>
      </c>
      <c r="D1050" s="439" t="s">
        <v>912</v>
      </c>
      <c r="S1050" s="452"/>
      <c r="T1050" s="452"/>
      <c r="U1050" s="452"/>
      <c r="V1050" s="452"/>
      <c r="W1050" s="452"/>
    </row>
    <row r="1051" spans="1:23" ht="15" customHeight="1" x14ac:dyDescent="0.45">
      <c r="A1051" s="438" t="s">
        <v>1897</v>
      </c>
      <c r="B1051" s="438" t="s">
        <v>1437</v>
      </c>
      <c r="C1051" s="438" t="s">
        <v>912</v>
      </c>
      <c r="D1051" s="439" t="s">
        <v>912</v>
      </c>
      <c r="S1051" s="452"/>
      <c r="T1051" s="452"/>
      <c r="U1051" s="452"/>
      <c r="V1051" s="452"/>
      <c r="W1051" s="452"/>
    </row>
    <row r="1052" spans="1:23" ht="15" customHeight="1" x14ac:dyDescent="0.45">
      <c r="A1052" s="438" t="s">
        <v>1898</v>
      </c>
      <c r="B1052" s="438" t="s">
        <v>1438</v>
      </c>
      <c r="S1052" s="452"/>
      <c r="T1052" s="452"/>
      <c r="U1052" s="452"/>
      <c r="V1052" s="452"/>
      <c r="W1052" s="452"/>
    </row>
    <row r="1053" spans="1:23" ht="15" customHeight="1" x14ac:dyDescent="0.45">
      <c r="A1053" s="438" t="s">
        <v>1899</v>
      </c>
      <c r="B1053" s="438" t="s">
        <v>1439</v>
      </c>
      <c r="S1053" s="452"/>
      <c r="T1053" s="452"/>
      <c r="U1053" s="452"/>
      <c r="V1053" s="452"/>
      <c r="W1053" s="452"/>
    </row>
    <row r="1054" spans="1:23" ht="15" customHeight="1" x14ac:dyDescent="0.45">
      <c r="B1054" s="438" t="s">
        <v>1424</v>
      </c>
      <c r="C1054" s="438" t="s">
        <v>115</v>
      </c>
      <c r="S1054" s="452"/>
      <c r="T1054" s="452"/>
      <c r="U1054" s="452"/>
      <c r="V1054" s="452"/>
      <c r="W1054" s="452"/>
    </row>
    <row r="1055" spans="1:23" ht="15" customHeight="1" x14ac:dyDescent="0.45">
      <c r="B1055" s="438" t="s">
        <v>1425</v>
      </c>
      <c r="C1055" s="438" t="s">
        <v>643</v>
      </c>
      <c r="S1055" s="452"/>
      <c r="T1055" s="452"/>
      <c r="U1055" s="452"/>
      <c r="V1055" s="452"/>
      <c r="W1055" s="452"/>
    </row>
    <row r="1056" spans="1:23" ht="15" customHeight="1" x14ac:dyDescent="0.45">
      <c r="B1056" s="438" t="s">
        <v>1426</v>
      </c>
      <c r="C1056" s="438" t="s">
        <v>6</v>
      </c>
      <c r="S1056" s="452"/>
      <c r="T1056" s="452"/>
      <c r="U1056" s="452"/>
      <c r="V1056" s="452"/>
      <c r="W1056" s="452"/>
    </row>
    <row r="1057" spans="1:23" ht="15" customHeight="1" x14ac:dyDescent="0.45">
      <c r="B1057" s="438" t="s">
        <v>901</v>
      </c>
      <c r="C1057" s="438">
        <v>5</v>
      </c>
      <c r="D1057" s="439">
        <v>55</v>
      </c>
      <c r="S1057" s="452"/>
      <c r="T1057" s="452"/>
      <c r="U1057" s="452"/>
      <c r="V1057" s="452"/>
      <c r="W1057" s="452"/>
    </row>
    <row r="1058" spans="1:23" ht="15" customHeight="1" x14ac:dyDescent="0.45">
      <c r="A1058" s="438" t="s">
        <v>1877</v>
      </c>
      <c r="B1058" s="438" t="s">
        <v>1427</v>
      </c>
      <c r="C1058" s="438" t="s">
        <v>2151</v>
      </c>
      <c r="D1058" s="439" t="s">
        <v>912</v>
      </c>
      <c r="S1058" s="452"/>
      <c r="T1058" s="452"/>
      <c r="U1058" s="452"/>
      <c r="V1058" s="452"/>
      <c r="W1058" s="452"/>
    </row>
    <row r="1059" spans="1:23" ht="15" customHeight="1" x14ac:dyDescent="0.45">
      <c r="A1059" s="438" t="s">
        <v>1878</v>
      </c>
      <c r="B1059" s="438" t="s">
        <v>1428</v>
      </c>
      <c r="S1059" s="452"/>
      <c r="T1059" s="452"/>
      <c r="U1059" s="452"/>
      <c r="V1059" s="452"/>
      <c r="W1059" s="452"/>
    </row>
    <row r="1060" spans="1:23" ht="15" customHeight="1" x14ac:dyDescent="0.45">
      <c r="A1060" s="438" t="s">
        <v>1879</v>
      </c>
      <c r="B1060" s="438">
        <v>200</v>
      </c>
      <c r="C1060" s="438" t="s">
        <v>2151</v>
      </c>
      <c r="D1060" s="439" t="s">
        <v>912</v>
      </c>
      <c r="S1060" s="452"/>
      <c r="T1060" s="452"/>
      <c r="U1060" s="452"/>
      <c r="V1060" s="452"/>
      <c r="W1060" s="452"/>
    </row>
    <row r="1061" spans="1:23" ht="15" customHeight="1" x14ac:dyDescent="0.45">
      <c r="A1061" s="438" t="s">
        <v>1880</v>
      </c>
      <c r="B1061" s="438">
        <v>400</v>
      </c>
      <c r="S1061" s="452"/>
      <c r="T1061" s="452"/>
      <c r="U1061" s="452"/>
      <c r="V1061" s="452"/>
      <c r="W1061" s="452"/>
    </row>
    <row r="1062" spans="1:23" ht="15" customHeight="1" x14ac:dyDescent="0.45">
      <c r="A1062" s="438" t="s">
        <v>1881</v>
      </c>
      <c r="B1062" s="438">
        <v>800</v>
      </c>
      <c r="C1062" s="438" t="s">
        <v>912</v>
      </c>
      <c r="S1062" s="452"/>
      <c r="T1062" s="452"/>
      <c r="U1062" s="452"/>
      <c r="V1062" s="452"/>
      <c r="W1062" s="452"/>
    </row>
    <row r="1063" spans="1:23" ht="15" customHeight="1" x14ac:dyDescent="0.45">
      <c r="A1063" s="438" t="s">
        <v>1882</v>
      </c>
      <c r="B1063" s="438" t="s">
        <v>1429</v>
      </c>
      <c r="S1063" s="452"/>
      <c r="T1063" s="452"/>
      <c r="U1063" s="452"/>
      <c r="V1063" s="452"/>
      <c r="W1063" s="452"/>
    </row>
    <row r="1064" spans="1:23" ht="15" customHeight="1" x14ac:dyDescent="0.45">
      <c r="A1064" s="438" t="s">
        <v>1883</v>
      </c>
      <c r="B1064" s="438">
        <v>1500</v>
      </c>
      <c r="C1064" s="438" t="s">
        <v>2152</v>
      </c>
      <c r="S1064" s="452"/>
      <c r="T1064" s="452"/>
      <c r="U1064" s="452"/>
      <c r="V1064" s="452"/>
      <c r="W1064" s="452"/>
    </row>
    <row r="1065" spans="1:23" ht="15" customHeight="1" x14ac:dyDescent="0.45">
      <c r="A1065" s="438" t="s">
        <v>1884</v>
      </c>
      <c r="B1065" s="438" t="s">
        <v>1430</v>
      </c>
      <c r="S1065" s="452"/>
      <c r="T1065" s="452"/>
      <c r="U1065" s="452"/>
      <c r="V1065" s="452"/>
      <c r="W1065" s="452"/>
    </row>
    <row r="1066" spans="1:23" ht="15" customHeight="1" x14ac:dyDescent="0.45">
      <c r="A1066" s="438" t="s">
        <v>1885</v>
      </c>
      <c r="B1066" s="438">
        <v>3000</v>
      </c>
      <c r="S1066" s="452"/>
      <c r="T1066" s="452"/>
      <c r="U1066" s="452"/>
      <c r="V1066" s="452"/>
      <c r="W1066" s="452"/>
    </row>
    <row r="1067" spans="1:23" ht="15" customHeight="1" x14ac:dyDescent="0.45">
      <c r="A1067" s="438" t="s">
        <v>1886</v>
      </c>
      <c r="B1067" s="438" t="s">
        <v>1431</v>
      </c>
      <c r="S1067" s="452"/>
      <c r="T1067" s="452"/>
      <c r="U1067" s="452"/>
      <c r="V1067" s="452"/>
      <c r="W1067" s="452"/>
    </row>
    <row r="1068" spans="1:23" ht="15" customHeight="1" x14ac:dyDescent="0.45">
      <c r="A1068" s="438" t="s">
        <v>1887</v>
      </c>
      <c r="B1068" s="438" t="s">
        <v>902</v>
      </c>
      <c r="S1068" s="452"/>
      <c r="T1068" s="452"/>
      <c r="U1068" s="452"/>
      <c r="V1068" s="452"/>
      <c r="W1068" s="452"/>
    </row>
    <row r="1069" spans="1:23" ht="15" customHeight="1" x14ac:dyDescent="0.45">
      <c r="A1069" s="438" t="s">
        <v>1888</v>
      </c>
      <c r="B1069" s="438" t="s">
        <v>25</v>
      </c>
      <c r="S1069" s="452"/>
      <c r="T1069" s="452"/>
      <c r="U1069" s="452"/>
      <c r="V1069" s="452"/>
      <c r="W1069" s="452"/>
    </row>
    <row r="1070" spans="1:23" ht="15" customHeight="1" x14ac:dyDescent="0.45">
      <c r="A1070" s="438" t="s">
        <v>1889</v>
      </c>
      <c r="B1070" s="438" t="s">
        <v>21</v>
      </c>
      <c r="S1070" s="452"/>
      <c r="T1070" s="452"/>
      <c r="U1070" s="452"/>
      <c r="V1070" s="452"/>
      <c r="W1070" s="452"/>
    </row>
    <row r="1071" spans="1:23" ht="15" customHeight="1" x14ac:dyDescent="0.45">
      <c r="A1071" s="438" t="s">
        <v>1890</v>
      </c>
      <c r="B1071" s="438" t="s">
        <v>28</v>
      </c>
      <c r="C1071" s="438" t="s">
        <v>2153</v>
      </c>
      <c r="D1071" s="439" t="s">
        <v>2154</v>
      </c>
      <c r="S1071" s="452"/>
      <c r="T1071" s="452"/>
      <c r="U1071" s="452"/>
      <c r="V1071" s="452"/>
      <c r="W1071" s="452"/>
    </row>
    <row r="1072" spans="1:23" ht="15" customHeight="1" x14ac:dyDescent="0.45">
      <c r="A1072" s="438" t="s">
        <v>1891</v>
      </c>
      <c r="B1072" s="438" t="s">
        <v>24</v>
      </c>
      <c r="C1072" s="438" t="s">
        <v>2153</v>
      </c>
      <c r="D1072" s="439" t="s">
        <v>2154</v>
      </c>
      <c r="S1072" s="452"/>
      <c r="T1072" s="452"/>
      <c r="U1072" s="452"/>
      <c r="V1072" s="452"/>
      <c r="W1072" s="452"/>
    </row>
    <row r="1073" spans="1:23" ht="15" customHeight="1" x14ac:dyDescent="0.45">
      <c r="A1073" s="438" t="s">
        <v>1892</v>
      </c>
      <c r="B1073" s="438" t="s">
        <v>1432</v>
      </c>
      <c r="C1073" s="438" t="s">
        <v>2151</v>
      </c>
      <c r="D1073" s="439" t="s">
        <v>912</v>
      </c>
      <c r="S1073" s="452"/>
      <c r="T1073" s="452"/>
      <c r="U1073" s="452"/>
      <c r="V1073" s="452"/>
      <c r="W1073" s="452"/>
    </row>
    <row r="1074" spans="1:23" ht="15" customHeight="1" x14ac:dyDescent="0.45">
      <c r="A1074" s="438" t="s">
        <v>1893</v>
      </c>
      <c r="B1074" s="438" t="s">
        <v>1433</v>
      </c>
      <c r="S1074" s="452"/>
      <c r="T1074" s="452"/>
      <c r="U1074" s="452"/>
      <c r="V1074" s="452"/>
      <c r="W1074" s="452"/>
    </row>
    <row r="1075" spans="1:23" ht="15" customHeight="1" x14ac:dyDescent="0.45">
      <c r="A1075" s="438" t="s">
        <v>1894</v>
      </c>
      <c r="B1075" s="438" t="s">
        <v>1434</v>
      </c>
      <c r="C1075" s="438" t="s">
        <v>2152</v>
      </c>
      <c r="D1075" s="439" t="s">
        <v>912</v>
      </c>
      <c r="S1075" s="452"/>
      <c r="T1075" s="452"/>
      <c r="U1075" s="452"/>
      <c r="V1075" s="452"/>
      <c r="W1075" s="452"/>
    </row>
    <row r="1076" spans="1:23" ht="15" customHeight="1" x14ac:dyDescent="0.45">
      <c r="A1076" s="438" t="s">
        <v>1895</v>
      </c>
      <c r="B1076" s="438" t="s">
        <v>1435</v>
      </c>
      <c r="S1076" s="452"/>
      <c r="T1076" s="452"/>
      <c r="U1076" s="452"/>
      <c r="V1076" s="452"/>
      <c r="W1076" s="452"/>
    </row>
    <row r="1077" spans="1:23" ht="15" customHeight="1" x14ac:dyDescent="0.45">
      <c r="A1077" s="438" t="s">
        <v>1896</v>
      </c>
      <c r="B1077" s="438" t="s">
        <v>1436</v>
      </c>
      <c r="C1077" s="438" t="s">
        <v>912</v>
      </c>
      <c r="D1077" s="439" t="s">
        <v>912</v>
      </c>
      <c r="S1077" s="452"/>
      <c r="T1077" s="452"/>
      <c r="U1077" s="452"/>
      <c r="V1077" s="452"/>
      <c r="W1077" s="452"/>
    </row>
    <row r="1078" spans="1:23" ht="15" customHeight="1" x14ac:dyDescent="0.45">
      <c r="A1078" s="438" t="s">
        <v>1897</v>
      </c>
      <c r="B1078" s="438" t="s">
        <v>1437</v>
      </c>
      <c r="C1078" s="438" t="s">
        <v>912</v>
      </c>
      <c r="D1078" s="439" t="s">
        <v>912</v>
      </c>
      <c r="S1078" s="452"/>
      <c r="T1078" s="452"/>
      <c r="U1078" s="452"/>
      <c r="V1078" s="452"/>
      <c r="W1078" s="452"/>
    </row>
    <row r="1079" spans="1:23" ht="15" customHeight="1" x14ac:dyDescent="0.45">
      <c r="A1079" s="438" t="s">
        <v>1898</v>
      </c>
      <c r="B1079" s="438" t="s">
        <v>1438</v>
      </c>
      <c r="S1079" s="452"/>
      <c r="T1079" s="452"/>
      <c r="U1079" s="452"/>
      <c r="V1079" s="452"/>
      <c r="W1079" s="452"/>
    </row>
    <row r="1080" spans="1:23" ht="15" customHeight="1" x14ac:dyDescent="0.45">
      <c r="A1080" s="438" t="s">
        <v>1899</v>
      </c>
      <c r="B1080" s="438" t="s">
        <v>1439</v>
      </c>
      <c r="S1080" s="452"/>
      <c r="T1080" s="452"/>
      <c r="U1080" s="452"/>
      <c r="V1080" s="452"/>
      <c r="W1080" s="452"/>
    </row>
    <row r="1081" spans="1:23" ht="15" customHeight="1" x14ac:dyDescent="0.45">
      <c r="S1081" s="452"/>
      <c r="T1081" s="452"/>
      <c r="U1081" s="452"/>
      <c r="V1081" s="452"/>
      <c r="W1081" s="452"/>
    </row>
    <row r="1082" spans="1:23" ht="15" customHeight="1" x14ac:dyDescent="0.45">
      <c r="S1082" s="452"/>
      <c r="T1082" s="452"/>
      <c r="U1082" s="452"/>
      <c r="V1082" s="452"/>
      <c r="W1082" s="452"/>
    </row>
    <row r="1083" spans="1:23" ht="15" customHeight="1" x14ac:dyDescent="0.45">
      <c r="S1083" s="452"/>
      <c r="T1083" s="452"/>
      <c r="U1083" s="452"/>
      <c r="V1083" s="452"/>
      <c r="W1083" s="452"/>
    </row>
    <row r="1084" spans="1:23" ht="15" customHeight="1" x14ac:dyDescent="0.45">
      <c r="D1084" s="439">
        <v>55</v>
      </c>
      <c r="S1084" s="452"/>
      <c r="T1084" s="452"/>
      <c r="U1084" s="452"/>
      <c r="V1084" s="452"/>
      <c r="W1084" s="452"/>
    </row>
    <row r="1085" spans="1:23" ht="15" customHeight="1" x14ac:dyDescent="0.45">
      <c r="D1085" s="439" t="s">
        <v>1976</v>
      </c>
      <c r="S1085" s="452"/>
      <c r="T1085" s="452"/>
      <c r="U1085" s="452"/>
      <c r="V1085" s="452"/>
      <c r="W1085" s="452"/>
    </row>
    <row r="1086" spans="1:23" ht="15" customHeight="1" x14ac:dyDescent="0.45">
      <c r="S1086" s="452"/>
      <c r="T1086" s="452"/>
      <c r="U1086" s="452"/>
      <c r="V1086" s="452"/>
      <c r="W1086" s="452"/>
    </row>
    <row r="1087" spans="1:23" ht="15" customHeight="1" x14ac:dyDescent="0.45">
      <c r="D1087" s="439" t="s">
        <v>1976</v>
      </c>
      <c r="S1087" s="452"/>
      <c r="T1087" s="452"/>
      <c r="U1087" s="452"/>
      <c r="V1087" s="452"/>
      <c r="W1087" s="452"/>
    </row>
    <row r="1088" spans="1:23" ht="15" customHeight="1" x14ac:dyDescent="0.45">
      <c r="S1088" s="452"/>
      <c r="T1088" s="452"/>
      <c r="U1088" s="452"/>
      <c r="V1088" s="452"/>
      <c r="W1088" s="452"/>
    </row>
    <row r="1089" spans="4:23" ht="15" customHeight="1" x14ac:dyDescent="0.45">
      <c r="D1089" s="439" t="s">
        <v>1979</v>
      </c>
      <c r="S1089" s="452"/>
      <c r="T1089" s="452"/>
      <c r="U1089" s="452"/>
      <c r="V1089" s="452"/>
      <c r="W1089" s="452"/>
    </row>
    <row r="1090" spans="4:23" ht="15" customHeight="1" x14ac:dyDescent="0.45">
      <c r="D1090" s="439" t="s">
        <v>912</v>
      </c>
      <c r="S1090" s="452"/>
      <c r="T1090" s="452"/>
      <c r="U1090" s="452"/>
      <c r="V1090" s="452"/>
      <c r="W1090" s="452"/>
    </row>
    <row r="1091" spans="4:23" ht="15" customHeight="1" x14ac:dyDescent="0.45">
      <c r="D1091" s="439" t="s">
        <v>1980</v>
      </c>
      <c r="S1091" s="452"/>
      <c r="T1091" s="452"/>
      <c r="U1091" s="452"/>
      <c r="V1091" s="452"/>
      <c r="W1091" s="452"/>
    </row>
    <row r="1092" spans="4:23" ht="15" customHeight="1" x14ac:dyDescent="0.45">
      <c r="S1092" s="452"/>
      <c r="T1092" s="452"/>
      <c r="U1092" s="452"/>
      <c r="V1092" s="452"/>
      <c r="W1092" s="452"/>
    </row>
    <row r="1093" spans="4:23" ht="15" customHeight="1" x14ac:dyDescent="0.45">
      <c r="S1093" s="452"/>
      <c r="T1093" s="452"/>
      <c r="U1093" s="452"/>
      <c r="V1093" s="452"/>
      <c r="W1093" s="452"/>
    </row>
    <row r="1094" spans="4:23" ht="15" customHeight="1" x14ac:dyDescent="0.45">
      <c r="S1094" s="452"/>
      <c r="T1094" s="452"/>
      <c r="U1094" s="452"/>
      <c r="V1094" s="452"/>
      <c r="W1094" s="452"/>
    </row>
    <row r="1095" spans="4:23" ht="15" customHeight="1" x14ac:dyDescent="0.45">
      <c r="S1095" s="452"/>
      <c r="T1095" s="452"/>
      <c r="U1095" s="452"/>
      <c r="V1095" s="452"/>
      <c r="W1095" s="452"/>
    </row>
    <row r="1096" spans="4:23" ht="15" customHeight="1" x14ac:dyDescent="0.45">
      <c r="S1096" s="452"/>
      <c r="T1096" s="452"/>
      <c r="U1096" s="452"/>
      <c r="V1096" s="452"/>
      <c r="W1096" s="452"/>
    </row>
    <row r="1097" spans="4:23" ht="15" customHeight="1" x14ac:dyDescent="0.45">
      <c r="S1097" s="452"/>
      <c r="T1097" s="452"/>
      <c r="U1097" s="452"/>
      <c r="V1097" s="452"/>
      <c r="W1097" s="452"/>
    </row>
    <row r="1098" spans="4:23" ht="15" customHeight="1" x14ac:dyDescent="0.45">
      <c r="D1098" s="439" t="s">
        <v>1977</v>
      </c>
      <c r="S1098" s="452"/>
      <c r="T1098" s="452"/>
      <c r="U1098" s="452"/>
      <c r="V1098" s="452"/>
      <c r="W1098" s="452"/>
    </row>
    <row r="1099" spans="4:23" ht="15" customHeight="1" x14ac:dyDescent="0.45">
      <c r="D1099" s="439" t="s">
        <v>1980</v>
      </c>
      <c r="S1099" s="452"/>
      <c r="T1099" s="452"/>
      <c r="U1099" s="452"/>
      <c r="V1099" s="452"/>
      <c r="W1099" s="452"/>
    </row>
    <row r="1100" spans="4:23" ht="15" customHeight="1" x14ac:dyDescent="0.45">
      <c r="D1100" s="439" t="s">
        <v>1981</v>
      </c>
      <c r="S1100" s="452"/>
      <c r="T1100" s="452"/>
      <c r="U1100" s="452"/>
      <c r="V1100" s="452"/>
      <c r="W1100" s="452"/>
    </row>
    <row r="1101" spans="4:23" ht="15" customHeight="1" x14ac:dyDescent="0.45">
      <c r="S1101" s="452"/>
      <c r="T1101" s="452"/>
      <c r="U1101" s="452"/>
      <c r="V1101" s="452"/>
      <c r="W1101" s="452"/>
    </row>
    <row r="1102" spans="4:23" ht="15" customHeight="1" x14ac:dyDescent="0.45">
      <c r="S1102" s="452"/>
      <c r="T1102" s="452"/>
      <c r="U1102" s="452"/>
      <c r="V1102" s="452"/>
      <c r="W1102" s="452"/>
    </row>
    <row r="1103" spans="4:23" ht="15" customHeight="1" x14ac:dyDescent="0.45">
      <c r="S1103" s="452"/>
      <c r="T1103" s="452"/>
      <c r="U1103" s="452"/>
      <c r="V1103" s="452"/>
      <c r="W1103" s="452"/>
    </row>
    <row r="1104" spans="4:23" ht="15" customHeight="1" x14ac:dyDescent="0.45">
      <c r="D1104" s="439" t="s">
        <v>1978</v>
      </c>
      <c r="S1104" s="452"/>
      <c r="T1104" s="452"/>
      <c r="U1104" s="452"/>
      <c r="V1104" s="452"/>
      <c r="W1104" s="452"/>
    </row>
    <row r="1105" spans="4:23" ht="15" customHeight="1" x14ac:dyDescent="0.45">
      <c r="D1105" s="439" t="s">
        <v>1975</v>
      </c>
      <c r="S1105" s="452"/>
      <c r="T1105" s="452"/>
      <c r="U1105" s="452"/>
      <c r="V1105" s="452"/>
      <c r="W1105" s="452"/>
    </row>
    <row r="1106" spans="4:23" ht="15" customHeight="1" x14ac:dyDescent="0.45">
      <c r="S1106" s="452"/>
      <c r="T1106" s="452"/>
      <c r="U1106" s="452"/>
      <c r="V1106" s="452"/>
      <c r="W1106" s="452"/>
    </row>
    <row r="1107" spans="4:23" ht="15" customHeight="1" x14ac:dyDescent="0.45">
      <c r="S1107" s="452"/>
      <c r="T1107" s="452"/>
      <c r="U1107" s="452"/>
      <c r="V1107" s="452"/>
      <c r="W1107" s="452"/>
    </row>
    <row r="1108" spans="4:23" ht="15" customHeight="1" x14ac:dyDescent="0.45">
      <c r="S1108" s="452"/>
      <c r="T1108" s="452"/>
      <c r="U1108" s="452"/>
      <c r="V1108" s="452"/>
      <c r="W1108" s="452"/>
    </row>
    <row r="1109" spans="4:23" ht="15" customHeight="1" x14ac:dyDescent="0.45">
      <c r="S1109" s="452"/>
      <c r="T1109" s="452"/>
      <c r="U1109" s="452"/>
      <c r="V1109" s="452"/>
      <c r="W1109" s="452"/>
    </row>
    <row r="1110" spans="4:23" ht="15" customHeight="1" x14ac:dyDescent="0.45">
      <c r="S1110" s="452"/>
      <c r="T1110" s="452"/>
      <c r="U1110" s="452"/>
      <c r="V1110" s="452"/>
      <c r="W1110" s="452"/>
    </row>
    <row r="1111" spans="4:23" ht="15" customHeight="1" x14ac:dyDescent="0.45">
      <c r="D1111" s="439">
        <v>66</v>
      </c>
      <c r="S1111" s="452"/>
      <c r="T1111" s="452"/>
      <c r="U1111" s="452"/>
      <c r="V1111" s="452"/>
      <c r="W1111" s="452"/>
    </row>
    <row r="1112" spans="4:23" ht="15" customHeight="1" x14ac:dyDescent="0.45">
      <c r="D1112" s="439" t="s">
        <v>1983</v>
      </c>
      <c r="S1112" s="452"/>
      <c r="T1112" s="452"/>
      <c r="U1112" s="452"/>
      <c r="V1112" s="452"/>
      <c r="W1112" s="452"/>
    </row>
    <row r="1113" spans="4:23" ht="15" customHeight="1" x14ac:dyDescent="0.45">
      <c r="S1113" s="452"/>
      <c r="T1113" s="452"/>
      <c r="U1113" s="452"/>
      <c r="V1113" s="452"/>
      <c r="W1113" s="452"/>
    </row>
    <row r="1114" spans="4:23" ht="15" customHeight="1" x14ac:dyDescent="0.45">
      <c r="D1114" s="439" t="s">
        <v>1984</v>
      </c>
      <c r="S1114" s="452"/>
      <c r="T1114" s="452"/>
      <c r="U1114" s="452"/>
      <c r="V1114" s="452"/>
      <c r="W1114" s="452"/>
    </row>
    <row r="1115" spans="4:23" ht="15" customHeight="1" x14ac:dyDescent="0.45">
      <c r="S1115" s="452"/>
      <c r="T1115" s="452"/>
      <c r="U1115" s="452"/>
      <c r="V1115" s="452"/>
      <c r="W1115" s="452"/>
    </row>
    <row r="1116" spans="4:23" ht="15" customHeight="1" x14ac:dyDescent="0.45">
      <c r="D1116" s="439" t="s">
        <v>1985</v>
      </c>
      <c r="S1116" s="452"/>
      <c r="T1116" s="452"/>
      <c r="U1116" s="452"/>
      <c r="V1116" s="452"/>
      <c r="W1116" s="452"/>
    </row>
    <row r="1117" spans="4:23" ht="15" customHeight="1" x14ac:dyDescent="0.45">
      <c r="D1117" s="439" t="s">
        <v>1987</v>
      </c>
      <c r="S1117" s="452"/>
      <c r="T1117" s="452"/>
      <c r="U1117" s="452"/>
      <c r="V1117" s="452"/>
      <c r="W1117" s="452"/>
    </row>
    <row r="1118" spans="4:23" ht="15" customHeight="1" x14ac:dyDescent="0.45">
      <c r="D1118" s="439" t="s">
        <v>1988</v>
      </c>
      <c r="S1118" s="452"/>
      <c r="T1118" s="452"/>
      <c r="U1118" s="452"/>
      <c r="V1118" s="452"/>
      <c r="W1118" s="452"/>
    </row>
    <row r="1119" spans="4:23" ht="15" customHeight="1" x14ac:dyDescent="0.45">
      <c r="S1119" s="452"/>
      <c r="T1119" s="452"/>
      <c r="U1119" s="452"/>
      <c r="V1119" s="452"/>
      <c r="W1119" s="452"/>
    </row>
    <row r="1120" spans="4:23" ht="15" customHeight="1" x14ac:dyDescent="0.45">
      <c r="S1120" s="452"/>
      <c r="T1120" s="452"/>
      <c r="U1120" s="452"/>
      <c r="V1120" s="452"/>
      <c r="W1120" s="452"/>
    </row>
    <row r="1121" spans="4:23" ht="15" customHeight="1" x14ac:dyDescent="0.45">
      <c r="S1121" s="452"/>
      <c r="T1121" s="452"/>
      <c r="U1121" s="452"/>
      <c r="V1121" s="452"/>
      <c r="W1121" s="452"/>
    </row>
    <row r="1122" spans="4:23" ht="15" customHeight="1" x14ac:dyDescent="0.45">
      <c r="S1122" s="452"/>
      <c r="T1122" s="452"/>
      <c r="U1122" s="452"/>
      <c r="V1122" s="452"/>
      <c r="W1122" s="452"/>
    </row>
    <row r="1123" spans="4:23" ht="15" customHeight="1" x14ac:dyDescent="0.45">
      <c r="S1123" s="452"/>
      <c r="T1123" s="452"/>
      <c r="U1123" s="452"/>
      <c r="V1123" s="452"/>
      <c r="W1123" s="452"/>
    </row>
    <row r="1124" spans="4:23" ht="15" customHeight="1" x14ac:dyDescent="0.45">
      <c r="S1124" s="452"/>
      <c r="T1124" s="452"/>
      <c r="U1124" s="452"/>
      <c r="V1124" s="452"/>
      <c r="W1124" s="452"/>
    </row>
    <row r="1125" spans="4:23" ht="15" customHeight="1" x14ac:dyDescent="0.45">
      <c r="D1125" s="439" t="s">
        <v>1988</v>
      </c>
      <c r="S1125" s="452"/>
      <c r="T1125" s="452"/>
      <c r="U1125" s="452"/>
      <c r="V1125" s="452"/>
      <c r="W1125" s="452"/>
    </row>
    <row r="1126" spans="4:23" ht="15" customHeight="1" x14ac:dyDescent="0.45">
      <c r="D1126" s="439" t="s">
        <v>1986</v>
      </c>
      <c r="S1126" s="452"/>
      <c r="T1126" s="452"/>
      <c r="U1126" s="452"/>
      <c r="V1126" s="452"/>
      <c r="W1126" s="452"/>
    </row>
    <row r="1127" spans="4:23" ht="15" customHeight="1" x14ac:dyDescent="0.45">
      <c r="D1127" s="439" t="s">
        <v>1990</v>
      </c>
      <c r="S1127" s="452"/>
      <c r="T1127" s="452"/>
      <c r="U1127" s="452"/>
      <c r="V1127" s="452"/>
      <c r="W1127" s="452"/>
    </row>
    <row r="1128" spans="4:23" ht="15" customHeight="1" x14ac:dyDescent="0.45">
      <c r="S1128" s="452"/>
      <c r="T1128" s="452"/>
      <c r="U1128" s="452"/>
      <c r="V1128" s="452"/>
      <c r="W1128" s="452"/>
    </row>
    <row r="1129" spans="4:23" ht="15" customHeight="1" x14ac:dyDescent="0.45">
      <c r="D1129" s="439" t="s">
        <v>1989</v>
      </c>
      <c r="S1129" s="452"/>
      <c r="T1129" s="452"/>
      <c r="U1129" s="452"/>
      <c r="V1129" s="452"/>
      <c r="W1129" s="452"/>
    </row>
    <row r="1130" spans="4:23" ht="15" customHeight="1" x14ac:dyDescent="0.45">
      <c r="S1130" s="452"/>
      <c r="T1130" s="452"/>
      <c r="U1130" s="452"/>
      <c r="V1130" s="452"/>
      <c r="W1130" s="452"/>
    </row>
    <row r="1131" spans="4:23" ht="15" customHeight="1" x14ac:dyDescent="0.45">
      <c r="D1131" s="439" t="s">
        <v>1983</v>
      </c>
      <c r="S1131" s="452"/>
      <c r="T1131" s="452"/>
      <c r="U1131" s="452"/>
      <c r="V1131" s="452"/>
      <c r="W1131" s="452"/>
    </row>
    <row r="1132" spans="4:23" ht="15" customHeight="1" x14ac:dyDescent="0.45">
      <c r="D1132" s="439" t="s">
        <v>1982</v>
      </c>
      <c r="S1132" s="452"/>
      <c r="T1132" s="452"/>
      <c r="U1132" s="452"/>
      <c r="V1132" s="452"/>
      <c r="W1132" s="452"/>
    </row>
    <row r="1133" spans="4:23" ht="15" customHeight="1" x14ac:dyDescent="0.45">
      <c r="S1133" s="452"/>
      <c r="T1133" s="452"/>
      <c r="U1133" s="452"/>
      <c r="V1133" s="452"/>
      <c r="W1133" s="452"/>
    </row>
    <row r="1134" spans="4:23" ht="15" customHeight="1" x14ac:dyDescent="0.45">
      <c r="S1134" s="452"/>
      <c r="T1134" s="452"/>
      <c r="U1134" s="452"/>
      <c r="V1134" s="452"/>
      <c r="W1134" s="452"/>
    </row>
    <row r="1135" spans="4:23" ht="15" customHeight="1" x14ac:dyDescent="0.45">
      <c r="S1135" s="452"/>
      <c r="T1135" s="452"/>
      <c r="U1135" s="452"/>
      <c r="V1135" s="452"/>
      <c r="W1135" s="452"/>
    </row>
    <row r="1136" spans="4:23" ht="15" customHeight="1" x14ac:dyDescent="0.45">
      <c r="S1136" s="452"/>
      <c r="T1136" s="452"/>
      <c r="U1136" s="452"/>
      <c r="V1136" s="452"/>
      <c r="W1136" s="452"/>
    </row>
    <row r="1137" spans="4:23" ht="15" customHeight="1" x14ac:dyDescent="0.45">
      <c r="S1137" s="452"/>
      <c r="T1137" s="452"/>
      <c r="U1137" s="452"/>
      <c r="V1137" s="452"/>
      <c r="W1137" s="452"/>
    </row>
    <row r="1138" spans="4:23" ht="15" customHeight="1" x14ac:dyDescent="0.45">
      <c r="D1138" s="439">
        <v>22</v>
      </c>
      <c r="S1138" s="452"/>
      <c r="T1138" s="452"/>
      <c r="U1138" s="452"/>
      <c r="V1138" s="452"/>
      <c r="W1138" s="452"/>
    </row>
    <row r="1139" spans="4:23" ht="15" customHeight="1" x14ac:dyDescent="0.45">
      <c r="D1139" s="439" t="s">
        <v>1971</v>
      </c>
      <c r="S1139" s="452"/>
      <c r="T1139" s="452"/>
      <c r="U1139" s="452"/>
      <c r="V1139" s="452"/>
      <c r="W1139" s="452"/>
    </row>
    <row r="1140" spans="4:23" ht="15" customHeight="1" x14ac:dyDescent="0.45">
      <c r="S1140" s="452"/>
      <c r="T1140" s="452"/>
      <c r="U1140" s="452"/>
      <c r="V1140" s="452"/>
      <c r="W1140" s="452"/>
    </row>
    <row r="1141" spans="4:23" ht="15" customHeight="1" x14ac:dyDescent="0.45">
      <c r="D1141" s="439" t="s">
        <v>1972</v>
      </c>
      <c r="S1141" s="452"/>
      <c r="T1141" s="452"/>
      <c r="U1141" s="452"/>
      <c r="V1141" s="452"/>
      <c r="W1141" s="452"/>
    </row>
    <row r="1142" spans="4:23" ht="15" customHeight="1" x14ac:dyDescent="0.45">
      <c r="S1142" s="452"/>
      <c r="T1142" s="452"/>
      <c r="U1142" s="452"/>
      <c r="V1142" s="452"/>
      <c r="W1142" s="452"/>
    </row>
    <row r="1143" spans="4:23" ht="15" customHeight="1" x14ac:dyDescent="0.45">
      <c r="D1143" s="439" t="s">
        <v>1971</v>
      </c>
      <c r="S1143" s="452"/>
      <c r="T1143" s="452"/>
      <c r="U1143" s="452"/>
      <c r="V1143" s="452"/>
      <c r="W1143" s="452"/>
    </row>
    <row r="1144" spans="4:23" ht="15" customHeight="1" x14ac:dyDescent="0.45">
      <c r="S1144" s="452"/>
      <c r="T1144" s="452"/>
      <c r="U1144" s="452"/>
      <c r="V1144" s="452"/>
      <c r="W1144" s="452"/>
    </row>
    <row r="1145" spans="4:23" ht="15" customHeight="1" x14ac:dyDescent="0.45">
      <c r="D1145" s="439" t="s">
        <v>1973</v>
      </c>
      <c r="S1145" s="452"/>
      <c r="T1145" s="452"/>
      <c r="U1145" s="452"/>
      <c r="V1145" s="452"/>
      <c r="W1145" s="452"/>
    </row>
    <row r="1146" spans="4:23" ht="15" customHeight="1" x14ac:dyDescent="0.45">
      <c r="D1146" s="439" t="s">
        <v>1972</v>
      </c>
      <c r="S1146" s="452"/>
      <c r="T1146" s="452"/>
      <c r="U1146" s="452"/>
      <c r="V1146" s="452"/>
      <c r="W1146" s="452"/>
    </row>
    <row r="1147" spans="4:23" ht="15" customHeight="1" x14ac:dyDescent="0.45">
      <c r="S1147" s="452"/>
      <c r="T1147" s="452"/>
      <c r="U1147" s="452"/>
      <c r="V1147" s="452"/>
      <c r="W1147" s="452"/>
    </row>
    <row r="1148" spans="4:23" ht="15" customHeight="1" x14ac:dyDescent="0.45">
      <c r="S1148" s="452"/>
      <c r="T1148" s="452"/>
      <c r="U1148" s="452"/>
      <c r="V1148" s="452"/>
      <c r="W1148" s="452"/>
    </row>
    <row r="1149" spans="4:23" ht="15" customHeight="1" x14ac:dyDescent="0.45">
      <c r="S1149" s="452"/>
      <c r="T1149" s="452"/>
      <c r="U1149" s="452"/>
      <c r="V1149" s="452"/>
      <c r="W1149" s="452"/>
    </row>
    <row r="1150" spans="4:23" ht="15" customHeight="1" x14ac:dyDescent="0.45">
      <c r="S1150" s="452"/>
      <c r="T1150" s="452"/>
      <c r="U1150" s="452"/>
      <c r="V1150" s="452"/>
      <c r="W1150" s="452"/>
    </row>
    <row r="1151" spans="4:23" ht="15" customHeight="1" x14ac:dyDescent="0.45">
      <c r="S1151" s="452"/>
      <c r="T1151" s="452"/>
      <c r="U1151" s="452"/>
      <c r="V1151" s="452"/>
      <c r="W1151" s="452"/>
    </row>
    <row r="1152" spans="4:23" ht="15" customHeight="1" x14ac:dyDescent="0.45">
      <c r="S1152" s="452"/>
      <c r="T1152" s="452"/>
      <c r="U1152" s="452"/>
      <c r="V1152" s="452"/>
      <c r="W1152" s="452"/>
    </row>
    <row r="1153" spans="4:23" ht="15" customHeight="1" x14ac:dyDescent="0.45">
      <c r="S1153" s="452"/>
      <c r="T1153" s="452"/>
      <c r="U1153" s="452"/>
      <c r="V1153" s="452"/>
      <c r="W1153" s="452"/>
    </row>
    <row r="1154" spans="4:23" ht="15" customHeight="1" x14ac:dyDescent="0.45">
      <c r="D1154" s="439" t="s">
        <v>1973</v>
      </c>
      <c r="S1154" s="452"/>
      <c r="T1154" s="452"/>
      <c r="U1154" s="452"/>
      <c r="V1154" s="452"/>
      <c r="W1154" s="452"/>
    </row>
    <row r="1155" spans="4:23" ht="15" customHeight="1" x14ac:dyDescent="0.45">
      <c r="S1155" s="452"/>
      <c r="T1155" s="452"/>
      <c r="U1155" s="452"/>
      <c r="V1155" s="452"/>
      <c r="W1155" s="452"/>
    </row>
    <row r="1156" spans="4:23" ht="15" customHeight="1" x14ac:dyDescent="0.45">
      <c r="S1156" s="452"/>
      <c r="T1156" s="452"/>
      <c r="U1156" s="452"/>
      <c r="V1156" s="452"/>
      <c r="W1156" s="452"/>
    </row>
    <row r="1157" spans="4:23" ht="15" customHeight="1" x14ac:dyDescent="0.45">
      <c r="S1157" s="452"/>
      <c r="T1157" s="452"/>
      <c r="U1157" s="452"/>
      <c r="V1157" s="452"/>
      <c r="W1157" s="452"/>
    </row>
    <row r="1158" spans="4:23" ht="15" customHeight="1" x14ac:dyDescent="0.45">
      <c r="D1158" s="439" t="s">
        <v>1972</v>
      </c>
      <c r="S1158" s="452"/>
      <c r="T1158" s="452"/>
      <c r="U1158" s="452"/>
      <c r="V1158" s="452"/>
      <c r="W1158" s="452"/>
    </row>
    <row r="1159" spans="4:23" ht="15" customHeight="1" x14ac:dyDescent="0.45">
      <c r="D1159" s="439" t="s">
        <v>1970</v>
      </c>
      <c r="S1159" s="452"/>
      <c r="T1159" s="452"/>
      <c r="U1159" s="452"/>
      <c r="V1159" s="452"/>
      <c r="W1159" s="452"/>
    </row>
    <row r="1160" spans="4:23" ht="15" customHeight="1" x14ac:dyDescent="0.45">
      <c r="S1160" s="452"/>
      <c r="T1160" s="452"/>
      <c r="U1160" s="452"/>
      <c r="V1160" s="452"/>
      <c r="W1160" s="452"/>
    </row>
    <row r="1161" spans="4:23" ht="15" customHeight="1" x14ac:dyDescent="0.45">
      <c r="S1161" s="452"/>
      <c r="T1161" s="452"/>
      <c r="U1161" s="452"/>
      <c r="V1161" s="452"/>
      <c r="W1161" s="452"/>
    </row>
    <row r="1162" spans="4:23" ht="15" customHeight="1" x14ac:dyDescent="0.45">
      <c r="S1162" s="452"/>
      <c r="T1162" s="452"/>
      <c r="U1162" s="452"/>
      <c r="V1162" s="452"/>
      <c r="W1162" s="452"/>
    </row>
    <row r="1163" spans="4:23" ht="15" customHeight="1" x14ac:dyDescent="0.45">
      <c r="S1163" s="452"/>
      <c r="T1163" s="452"/>
      <c r="U1163" s="452"/>
      <c r="V1163" s="452"/>
      <c r="W1163" s="452"/>
    </row>
    <row r="1164" spans="4:23" ht="15" customHeight="1" x14ac:dyDescent="0.45">
      <c r="S1164" s="452"/>
      <c r="T1164" s="452"/>
      <c r="U1164" s="452"/>
      <c r="V1164" s="452"/>
      <c r="W1164" s="452"/>
    </row>
    <row r="1165" spans="4:23" ht="15" customHeight="1" x14ac:dyDescent="0.45">
      <c r="D1165" s="439">
        <v>44</v>
      </c>
      <c r="S1165" s="452"/>
      <c r="T1165" s="452"/>
      <c r="U1165" s="452"/>
      <c r="V1165" s="452"/>
      <c r="W1165" s="452"/>
    </row>
    <row r="1166" spans="4:23" ht="15" customHeight="1" x14ac:dyDescent="0.45">
      <c r="D1166" s="439" t="s">
        <v>1974</v>
      </c>
      <c r="S1166" s="452"/>
      <c r="T1166" s="452"/>
      <c r="U1166" s="452"/>
      <c r="V1166" s="452"/>
      <c r="W1166" s="452"/>
    </row>
    <row r="1167" spans="4:23" ht="15" customHeight="1" x14ac:dyDescent="0.45">
      <c r="S1167" s="452"/>
      <c r="T1167" s="452"/>
      <c r="U1167" s="452"/>
      <c r="V1167" s="452"/>
      <c r="W1167" s="452"/>
    </row>
    <row r="1168" spans="4:23" ht="15" customHeight="1" x14ac:dyDescent="0.45">
      <c r="S1168" s="452"/>
      <c r="T1168" s="452"/>
      <c r="U1168" s="452"/>
      <c r="V1168" s="452"/>
      <c r="W1168" s="452"/>
    </row>
    <row r="1169" spans="19:23" ht="15" customHeight="1" x14ac:dyDescent="0.45">
      <c r="S1169" s="452"/>
      <c r="T1169" s="452"/>
      <c r="U1169" s="452"/>
      <c r="V1169" s="452"/>
      <c r="W1169" s="452"/>
    </row>
    <row r="1170" spans="19:23" ht="15" customHeight="1" x14ac:dyDescent="0.45">
      <c r="S1170" s="452"/>
      <c r="T1170" s="452"/>
      <c r="U1170" s="452"/>
      <c r="V1170" s="452"/>
      <c r="W1170" s="452"/>
    </row>
    <row r="1171" spans="19:23" ht="15" customHeight="1" x14ac:dyDescent="0.45">
      <c r="S1171" s="452"/>
      <c r="T1171" s="452"/>
      <c r="U1171" s="452"/>
      <c r="V1171" s="452"/>
      <c r="W1171" s="452"/>
    </row>
    <row r="1172" spans="19:23" ht="15" customHeight="1" x14ac:dyDescent="0.45">
      <c r="S1172" s="452"/>
      <c r="T1172" s="452"/>
      <c r="U1172" s="452"/>
      <c r="V1172" s="452"/>
      <c r="W1172" s="452"/>
    </row>
    <row r="1173" spans="19:23" ht="15" customHeight="1" x14ac:dyDescent="0.45">
      <c r="S1173" s="452"/>
      <c r="T1173" s="452"/>
      <c r="U1173" s="452"/>
      <c r="V1173" s="452"/>
      <c r="W1173" s="452"/>
    </row>
    <row r="1174" spans="19:23" ht="15" customHeight="1" x14ac:dyDescent="0.45">
      <c r="S1174" s="452"/>
      <c r="T1174" s="452"/>
      <c r="U1174" s="452"/>
      <c r="V1174" s="452"/>
      <c r="W1174" s="452"/>
    </row>
    <row r="1175" spans="19:23" ht="15" customHeight="1" x14ac:dyDescent="0.45">
      <c r="S1175" s="452"/>
      <c r="T1175" s="452"/>
      <c r="U1175" s="452"/>
      <c r="V1175" s="452"/>
      <c r="W1175" s="452"/>
    </row>
    <row r="1176" spans="19:23" ht="15" customHeight="1" x14ac:dyDescent="0.45">
      <c r="S1176" s="452"/>
      <c r="T1176" s="452"/>
      <c r="U1176" s="452"/>
      <c r="V1176" s="452"/>
      <c r="W1176" s="452"/>
    </row>
    <row r="1177" spans="19:23" ht="15" customHeight="1" x14ac:dyDescent="0.45">
      <c r="S1177" s="452"/>
      <c r="T1177" s="452"/>
      <c r="U1177" s="452"/>
      <c r="V1177" s="452"/>
      <c r="W1177" s="452"/>
    </row>
    <row r="1178" spans="19:23" ht="15" customHeight="1" x14ac:dyDescent="0.45">
      <c r="S1178" s="452"/>
      <c r="T1178" s="452"/>
      <c r="U1178" s="452"/>
      <c r="V1178" s="452"/>
      <c r="W1178" s="452"/>
    </row>
    <row r="1179" spans="19:23" ht="15" customHeight="1" x14ac:dyDescent="0.45">
      <c r="S1179" s="452"/>
      <c r="T1179" s="452"/>
      <c r="U1179" s="452"/>
      <c r="V1179" s="452"/>
      <c r="W1179" s="452"/>
    </row>
    <row r="1180" spans="19:23" ht="15" customHeight="1" x14ac:dyDescent="0.45">
      <c r="S1180" s="452"/>
      <c r="T1180" s="452"/>
      <c r="U1180" s="452"/>
      <c r="V1180" s="452"/>
      <c r="W1180" s="452"/>
    </row>
    <row r="1181" spans="19:23" ht="15" customHeight="1" x14ac:dyDescent="0.45">
      <c r="S1181" s="452"/>
      <c r="T1181" s="452"/>
      <c r="U1181" s="452"/>
      <c r="V1181" s="452"/>
      <c r="W1181" s="452"/>
    </row>
    <row r="1182" spans="19:23" ht="15" customHeight="1" x14ac:dyDescent="0.45">
      <c r="S1182" s="452"/>
      <c r="T1182" s="452"/>
      <c r="U1182" s="452"/>
      <c r="V1182" s="452"/>
      <c r="W1182" s="452"/>
    </row>
    <row r="1183" spans="19:23" ht="15" customHeight="1" x14ac:dyDescent="0.45">
      <c r="S1183" s="452"/>
      <c r="T1183" s="452"/>
      <c r="U1183" s="452"/>
      <c r="V1183" s="452"/>
      <c r="W1183" s="452"/>
    </row>
    <row r="1184" spans="19:23" ht="15" customHeight="1" x14ac:dyDescent="0.45">
      <c r="S1184" s="452"/>
      <c r="T1184" s="452"/>
      <c r="U1184" s="452"/>
      <c r="V1184" s="452"/>
      <c r="W1184" s="452"/>
    </row>
    <row r="1185" spans="4:23" ht="15" customHeight="1" x14ac:dyDescent="0.45">
      <c r="S1185" s="452"/>
      <c r="T1185" s="452"/>
      <c r="U1185" s="452"/>
      <c r="V1185" s="452"/>
      <c r="W1185" s="452"/>
    </row>
    <row r="1186" spans="4:23" ht="15" customHeight="1" x14ac:dyDescent="0.45">
      <c r="S1186" s="452"/>
      <c r="T1186" s="452"/>
      <c r="U1186" s="452"/>
      <c r="V1186" s="452"/>
      <c r="W1186" s="452"/>
    </row>
    <row r="1187" spans="4:23" ht="15" customHeight="1" x14ac:dyDescent="0.45">
      <c r="S1187" s="452"/>
      <c r="T1187" s="452"/>
      <c r="U1187" s="452"/>
      <c r="V1187" s="452"/>
      <c r="W1187" s="452"/>
    </row>
    <row r="1188" spans="4:23" ht="15" customHeight="1" x14ac:dyDescent="0.45">
      <c r="S1188" s="452"/>
      <c r="T1188" s="452"/>
      <c r="U1188" s="452"/>
      <c r="V1188" s="452"/>
      <c r="W1188" s="452"/>
    </row>
    <row r="1189" spans="4:23" ht="15" customHeight="1" x14ac:dyDescent="0.45">
      <c r="S1189" s="452"/>
      <c r="T1189" s="452"/>
      <c r="U1189" s="452"/>
      <c r="V1189" s="452"/>
      <c r="W1189" s="452"/>
    </row>
    <row r="1190" spans="4:23" ht="15" customHeight="1" x14ac:dyDescent="0.45">
      <c r="S1190" s="452"/>
      <c r="T1190" s="452"/>
      <c r="U1190" s="452"/>
      <c r="V1190" s="452"/>
      <c r="W1190" s="452"/>
    </row>
    <row r="1191" spans="4:23" ht="15" customHeight="1" x14ac:dyDescent="0.45">
      <c r="S1191" s="452"/>
      <c r="T1191" s="452"/>
      <c r="U1191" s="452"/>
      <c r="V1191" s="452"/>
      <c r="W1191" s="452"/>
    </row>
    <row r="1192" spans="4:23" ht="15" customHeight="1" x14ac:dyDescent="0.45">
      <c r="D1192" s="439">
        <v>11</v>
      </c>
      <c r="S1192" s="452"/>
      <c r="T1192" s="452"/>
      <c r="U1192" s="452"/>
      <c r="V1192" s="452"/>
      <c r="W1192" s="452"/>
    </row>
    <row r="1193" spans="4:23" ht="15" customHeight="1" x14ac:dyDescent="0.45">
      <c r="S1193" s="452"/>
      <c r="T1193" s="452"/>
      <c r="U1193" s="452"/>
      <c r="V1193" s="452"/>
      <c r="W1193" s="452"/>
    </row>
    <row r="1194" spans="4:23" ht="15" customHeight="1" x14ac:dyDescent="0.45">
      <c r="S1194" s="452"/>
      <c r="T1194" s="452"/>
      <c r="U1194" s="452"/>
      <c r="V1194" s="452"/>
      <c r="W1194" s="452"/>
    </row>
    <row r="1195" spans="4:23" ht="15" customHeight="1" x14ac:dyDescent="0.45">
      <c r="S1195" s="452"/>
      <c r="T1195" s="452"/>
      <c r="U1195" s="452"/>
      <c r="V1195" s="452"/>
      <c r="W1195" s="452"/>
    </row>
    <row r="1196" spans="4:23" ht="15" customHeight="1" x14ac:dyDescent="0.45">
      <c r="S1196" s="452"/>
      <c r="T1196" s="452"/>
      <c r="U1196" s="452"/>
      <c r="V1196" s="452"/>
      <c r="W1196" s="452"/>
    </row>
    <row r="1197" spans="4:23" ht="15" customHeight="1" x14ac:dyDescent="0.45">
      <c r="S1197" s="452"/>
      <c r="T1197" s="452"/>
      <c r="U1197" s="452"/>
      <c r="V1197" s="452"/>
      <c r="W1197" s="452"/>
    </row>
    <row r="1198" spans="4:23" ht="15" customHeight="1" x14ac:dyDescent="0.45">
      <c r="S1198" s="452"/>
      <c r="T1198" s="452"/>
      <c r="U1198" s="452"/>
      <c r="V1198" s="452"/>
      <c r="W1198" s="452"/>
    </row>
    <row r="1199" spans="4:23" ht="15" customHeight="1" x14ac:dyDescent="0.45">
      <c r="S1199" s="452"/>
      <c r="T1199" s="452"/>
      <c r="U1199" s="452"/>
      <c r="V1199" s="452"/>
      <c r="W1199" s="452"/>
    </row>
    <row r="1200" spans="4:23" ht="15" customHeight="1" x14ac:dyDescent="0.45">
      <c r="S1200" s="452"/>
      <c r="T1200" s="452"/>
      <c r="U1200" s="452"/>
      <c r="V1200" s="452"/>
      <c r="W1200" s="452"/>
    </row>
    <row r="1201" spans="19:23" ht="15" customHeight="1" x14ac:dyDescent="0.45">
      <c r="S1201" s="452"/>
      <c r="T1201" s="452"/>
      <c r="U1201" s="452"/>
      <c r="V1201" s="452"/>
      <c r="W1201" s="452"/>
    </row>
    <row r="1202" spans="19:23" ht="15" customHeight="1" x14ac:dyDescent="0.45">
      <c r="S1202" s="452"/>
      <c r="T1202" s="452"/>
      <c r="U1202" s="452"/>
      <c r="V1202" s="452"/>
      <c r="W1202" s="452"/>
    </row>
    <row r="1203" spans="19:23" ht="15" customHeight="1" x14ac:dyDescent="0.45">
      <c r="S1203" s="452"/>
      <c r="T1203" s="452"/>
      <c r="U1203" s="452"/>
      <c r="V1203" s="452"/>
      <c r="W1203" s="452"/>
    </row>
    <row r="1204" spans="19:23" ht="15" customHeight="1" x14ac:dyDescent="0.45">
      <c r="S1204" s="452"/>
      <c r="T1204" s="452"/>
      <c r="U1204" s="452"/>
      <c r="V1204" s="452"/>
      <c r="W1204" s="452"/>
    </row>
    <row r="1205" spans="19:23" ht="15" customHeight="1" x14ac:dyDescent="0.45">
      <c r="S1205" s="452"/>
      <c r="T1205" s="452"/>
      <c r="U1205" s="452"/>
      <c r="V1205" s="452"/>
      <c r="W1205" s="452"/>
    </row>
    <row r="1206" spans="19:23" ht="15" customHeight="1" x14ac:dyDescent="0.45">
      <c r="S1206" s="452"/>
      <c r="T1206" s="452"/>
      <c r="U1206" s="452"/>
      <c r="V1206" s="452"/>
      <c r="W1206" s="452"/>
    </row>
    <row r="1207" spans="19:23" ht="15" customHeight="1" x14ac:dyDescent="0.45">
      <c r="S1207" s="452"/>
      <c r="T1207" s="452"/>
      <c r="U1207" s="452"/>
      <c r="V1207" s="452"/>
      <c r="W1207" s="452"/>
    </row>
    <row r="1208" spans="19:23" ht="15" customHeight="1" x14ac:dyDescent="0.45">
      <c r="S1208" s="452"/>
      <c r="T1208" s="452"/>
      <c r="U1208" s="452"/>
      <c r="V1208" s="452"/>
      <c r="W1208" s="452"/>
    </row>
    <row r="1209" spans="19:23" ht="15" customHeight="1" x14ac:dyDescent="0.45">
      <c r="S1209" s="452"/>
      <c r="T1209" s="452"/>
      <c r="U1209" s="452"/>
      <c r="V1209" s="452"/>
      <c r="W1209" s="452"/>
    </row>
    <row r="1210" spans="19:23" ht="15" customHeight="1" x14ac:dyDescent="0.45">
      <c r="S1210" s="452"/>
      <c r="T1210" s="452"/>
      <c r="U1210" s="452"/>
      <c r="V1210" s="452"/>
      <c r="W1210" s="452"/>
    </row>
    <row r="1211" spans="19:23" ht="15" customHeight="1" x14ac:dyDescent="0.45">
      <c r="S1211" s="452"/>
      <c r="T1211" s="452"/>
      <c r="U1211" s="452"/>
      <c r="V1211" s="452"/>
      <c r="W1211" s="452"/>
    </row>
    <row r="1212" spans="19:23" ht="15" customHeight="1" x14ac:dyDescent="0.45">
      <c r="S1212" s="452"/>
      <c r="T1212" s="452"/>
      <c r="U1212" s="452"/>
      <c r="V1212" s="452"/>
      <c r="W1212" s="452"/>
    </row>
    <row r="1213" spans="19:23" ht="15" customHeight="1" x14ac:dyDescent="0.45">
      <c r="S1213" s="452"/>
      <c r="T1213" s="452"/>
      <c r="U1213" s="452"/>
      <c r="V1213" s="452"/>
      <c r="W1213" s="452"/>
    </row>
    <row r="1214" spans="19:23" ht="15" customHeight="1" x14ac:dyDescent="0.45">
      <c r="S1214" s="452"/>
      <c r="T1214" s="452"/>
      <c r="U1214" s="452"/>
      <c r="V1214" s="452"/>
      <c r="W1214" s="452"/>
    </row>
    <row r="1215" spans="19:23" ht="15" customHeight="1" x14ac:dyDescent="0.45">
      <c r="S1215" s="452"/>
      <c r="T1215" s="452"/>
      <c r="U1215" s="452"/>
      <c r="V1215" s="452"/>
      <c r="W1215" s="452"/>
    </row>
    <row r="1216" spans="19:23" ht="15" customHeight="1" x14ac:dyDescent="0.45">
      <c r="S1216" s="452"/>
      <c r="T1216" s="452"/>
      <c r="U1216" s="452"/>
      <c r="V1216" s="452"/>
      <c r="W1216" s="452"/>
    </row>
    <row r="1217" spans="4:23" ht="15" customHeight="1" x14ac:dyDescent="0.45">
      <c r="S1217" s="452"/>
      <c r="T1217" s="452"/>
      <c r="U1217" s="452"/>
      <c r="V1217" s="452"/>
      <c r="W1217" s="452"/>
    </row>
    <row r="1218" spans="4:23" ht="15" customHeight="1" x14ac:dyDescent="0.45">
      <c r="S1218" s="452"/>
      <c r="T1218" s="452"/>
      <c r="U1218" s="452"/>
      <c r="V1218" s="452"/>
      <c r="W1218" s="452"/>
    </row>
    <row r="1219" spans="4:23" ht="15" customHeight="1" x14ac:dyDescent="0.45">
      <c r="D1219" s="439">
        <v>22</v>
      </c>
      <c r="S1219" s="452"/>
      <c r="T1219" s="452"/>
      <c r="U1219" s="452"/>
      <c r="V1219" s="452"/>
      <c r="W1219" s="452"/>
    </row>
    <row r="1220" spans="4:23" ht="15" customHeight="1" x14ac:dyDescent="0.45">
      <c r="D1220" s="439" t="s">
        <v>1964</v>
      </c>
      <c r="S1220" s="452"/>
      <c r="T1220" s="452"/>
      <c r="U1220" s="452"/>
      <c r="V1220" s="452"/>
      <c r="W1220" s="452"/>
    </row>
    <row r="1221" spans="4:23" ht="15" customHeight="1" x14ac:dyDescent="0.45">
      <c r="D1221" s="439" t="s">
        <v>1965</v>
      </c>
      <c r="S1221" s="452"/>
      <c r="T1221" s="452"/>
      <c r="U1221" s="452"/>
      <c r="V1221" s="452"/>
      <c r="W1221" s="452"/>
    </row>
    <row r="1222" spans="4:23" ht="15" customHeight="1" x14ac:dyDescent="0.45">
      <c r="D1222" s="439" t="s">
        <v>1964</v>
      </c>
      <c r="S1222" s="452"/>
      <c r="T1222" s="452"/>
      <c r="U1222" s="452"/>
      <c r="V1222" s="452"/>
      <c r="W1222" s="452"/>
    </row>
    <row r="1223" spans="4:23" ht="15" customHeight="1" x14ac:dyDescent="0.45">
      <c r="S1223" s="452"/>
      <c r="T1223" s="452"/>
      <c r="U1223" s="452"/>
      <c r="V1223" s="452"/>
      <c r="W1223" s="452"/>
    </row>
    <row r="1224" spans="4:23" ht="15" customHeight="1" x14ac:dyDescent="0.45">
      <c r="D1224" s="439" t="s">
        <v>1966</v>
      </c>
      <c r="S1224" s="452"/>
      <c r="T1224" s="452"/>
      <c r="U1224" s="452"/>
      <c r="V1224" s="452"/>
      <c r="W1224" s="452"/>
    </row>
    <row r="1225" spans="4:23" ht="15" customHeight="1" x14ac:dyDescent="0.45">
      <c r="S1225" s="452"/>
      <c r="T1225" s="452"/>
      <c r="U1225" s="452"/>
      <c r="V1225" s="452"/>
      <c r="W1225" s="452"/>
    </row>
    <row r="1226" spans="4:23" ht="15" customHeight="1" x14ac:dyDescent="0.45">
      <c r="D1226" s="439" t="s">
        <v>1967</v>
      </c>
      <c r="S1226" s="452"/>
      <c r="T1226" s="452"/>
      <c r="U1226" s="452"/>
      <c r="V1226" s="452"/>
      <c r="W1226" s="452"/>
    </row>
    <row r="1227" spans="4:23" ht="15" customHeight="1" x14ac:dyDescent="0.45">
      <c r="S1227" s="452"/>
      <c r="T1227" s="452"/>
      <c r="U1227" s="452"/>
      <c r="V1227" s="452"/>
      <c r="W1227" s="452"/>
    </row>
    <row r="1228" spans="4:23" ht="15" customHeight="1" x14ac:dyDescent="0.45">
      <c r="S1228" s="452"/>
      <c r="T1228" s="452"/>
      <c r="U1228" s="452"/>
      <c r="V1228" s="452"/>
      <c r="W1228" s="452"/>
    </row>
    <row r="1229" spans="4:23" ht="15" customHeight="1" x14ac:dyDescent="0.45">
      <c r="S1229" s="452"/>
      <c r="T1229" s="452"/>
      <c r="U1229" s="452"/>
      <c r="V1229" s="452"/>
      <c r="W1229" s="452"/>
    </row>
    <row r="1230" spans="4:23" ht="15" customHeight="1" x14ac:dyDescent="0.45">
      <c r="S1230" s="452"/>
      <c r="T1230" s="452"/>
      <c r="U1230" s="452"/>
      <c r="V1230" s="452"/>
      <c r="W1230" s="452"/>
    </row>
    <row r="1231" spans="4:23" ht="15" customHeight="1" x14ac:dyDescent="0.45">
      <c r="S1231" s="452"/>
      <c r="T1231" s="452"/>
      <c r="U1231" s="452"/>
      <c r="V1231" s="452"/>
      <c r="W1231" s="452"/>
    </row>
    <row r="1232" spans="4:23" ht="15" customHeight="1" x14ac:dyDescent="0.45">
      <c r="S1232" s="452"/>
      <c r="T1232" s="452"/>
      <c r="U1232" s="452"/>
      <c r="V1232" s="452"/>
      <c r="W1232" s="452"/>
    </row>
    <row r="1233" spans="4:23" ht="15" customHeight="1" x14ac:dyDescent="0.45">
      <c r="S1233" s="452"/>
      <c r="T1233" s="452"/>
      <c r="U1233" s="452"/>
      <c r="V1233" s="452"/>
      <c r="W1233" s="452"/>
    </row>
    <row r="1234" spans="4:23" ht="15" customHeight="1" x14ac:dyDescent="0.45">
      <c r="D1234" s="439" t="s">
        <v>1968</v>
      </c>
      <c r="S1234" s="452"/>
      <c r="T1234" s="452"/>
      <c r="U1234" s="452"/>
      <c r="V1234" s="452"/>
      <c r="W1234" s="452"/>
    </row>
    <row r="1235" spans="4:23" ht="15" customHeight="1" x14ac:dyDescent="0.45">
      <c r="D1235" s="439" t="s">
        <v>1969</v>
      </c>
      <c r="S1235" s="452"/>
      <c r="T1235" s="452"/>
      <c r="U1235" s="452"/>
      <c r="V1235" s="452"/>
      <c r="W1235" s="452"/>
    </row>
    <row r="1236" spans="4:23" ht="15" customHeight="1" x14ac:dyDescent="0.45">
      <c r="S1236" s="452"/>
      <c r="T1236" s="452"/>
      <c r="U1236" s="452"/>
      <c r="V1236" s="452"/>
      <c r="W1236" s="452"/>
    </row>
    <row r="1237" spans="4:23" ht="15" customHeight="1" x14ac:dyDescent="0.45">
      <c r="S1237" s="452"/>
      <c r="T1237" s="452"/>
      <c r="U1237" s="452"/>
      <c r="V1237" s="452"/>
      <c r="W1237" s="452"/>
    </row>
    <row r="1238" spans="4:23" ht="15" customHeight="1" x14ac:dyDescent="0.45">
      <c r="S1238" s="452"/>
      <c r="T1238" s="452"/>
      <c r="U1238" s="452"/>
      <c r="V1238" s="452"/>
      <c r="W1238" s="452"/>
    </row>
    <row r="1239" spans="4:23" ht="15" customHeight="1" x14ac:dyDescent="0.45">
      <c r="D1239" s="439" t="s">
        <v>1964</v>
      </c>
      <c r="S1239" s="452"/>
      <c r="T1239" s="452"/>
      <c r="U1239" s="452"/>
      <c r="V1239" s="452"/>
      <c r="W1239" s="452"/>
    </row>
    <row r="1240" spans="4:23" ht="15" customHeight="1" x14ac:dyDescent="0.45">
      <c r="D1240" s="439" t="s">
        <v>1965</v>
      </c>
      <c r="S1240" s="452"/>
      <c r="T1240" s="452"/>
      <c r="U1240" s="452"/>
      <c r="V1240" s="452"/>
      <c r="W1240" s="452"/>
    </row>
    <row r="1241" spans="4:23" ht="15" customHeight="1" x14ac:dyDescent="0.45">
      <c r="S1241" s="452"/>
      <c r="T1241" s="452"/>
      <c r="U1241" s="452"/>
      <c r="V1241" s="452"/>
      <c r="W1241" s="452"/>
    </row>
    <row r="1242" spans="4:23" ht="15" customHeight="1" x14ac:dyDescent="0.45">
      <c r="S1242" s="452"/>
      <c r="T1242" s="452"/>
      <c r="U1242" s="452"/>
      <c r="V1242" s="452"/>
      <c r="W1242" s="452"/>
    </row>
    <row r="1243" spans="4:23" ht="15" customHeight="1" x14ac:dyDescent="0.45">
      <c r="S1243" s="452"/>
      <c r="T1243" s="452"/>
      <c r="U1243" s="452"/>
      <c r="V1243" s="452"/>
      <c r="W1243" s="452"/>
    </row>
    <row r="1244" spans="4:23" ht="15" customHeight="1" x14ac:dyDescent="0.45">
      <c r="S1244" s="452"/>
      <c r="T1244" s="452"/>
      <c r="U1244" s="452"/>
      <c r="V1244" s="452"/>
      <c r="W1244" s="452"/>
    </row>
    <row r="1245" spans="4:23" ht="15" customHeight="1" x14ac:dyDescent="0.45">
      <c r="S1245" s="452"/>
      <c r="T1245" s="452"/>
      <c r="U1245" s="452"/>
      <c r="V1245" s="452"/>
      <c r="W1245" s="452"/>
    </row>
    <row r="1246" spans="4:23" ht="15" customHeight="1" x14ac:dyDescent="0.45">
      <c r="D1246" s="439">
        <v>33</v>
      </c>
      <c r="S1246" s="452"/>
      <c r="T1246" s="452"/>
      <c r="U1246" s="452"/>
      <c r="V1246" s="452"/>
      <c r="W1246" s="452"/>
    </row>
    <row r="1247" spans="4:23" ht="15" customHeight="1" x14ac:dyDescent="0.45">
      <c r="D1247" s="439" t="s">
        <v>1924</v>
      </c>
      <c r="S1247" s="452"/>
      <c r="T1247" s="452"/>
      <c r="U1247" s="452"/>
      <c r="V1247" s="452"/>
      <c r="W1247" s="452"/>
    </row>
    <row r="1248" spans="4:23" ht="15" customHeight="1" x14ac:dyDescent="0.45">
      <c r="D1248" s="439" t="s">
        <v>1926</v>
      </c>
      <c r="S1248" s="452"/>
      <c r="T1248" s="452"/>
      <c r="U1248" s="452"/>
      <c r="V1248" s="452"/>
      <c r="W1248" s="452"/>
    </row>
    <row r="1249" spans="4:23" ht="15" customHeight="1" x14ac:dyDescent="0.45">
      <c r="D1249" s="439" t="s">
        <v>1927</v>
      </c>
      <c r="S1249" s="452"/>
      <c r="T1249" s="452"/>
      <c r="U1249" s="452"/>
      <c r="V1249" s="452"/>
      <c r="W1249" s="452"/>
    </row>
    <row r="1250" spans="4:23" ht="15" customHeight="1" x14ac:dyDescent="0.45">
      <c r="S1250" s="452"/>
      <c r="T1250" s="452"/>
      <c r="U1250" s="452"/>
      <c r="V1250" s="452"/>
      <c r="W1250" s="452"/>
    </row>
    <row r="1251" spans="4:23" ht="15" customHeight="1" x14ac:dyDescent="0.45">
      <c r="D1251" s="439" t="s">
        <v>1928</v>
      </c>
      <c r="S1251" s="452"/>
      <c r="T1251" s="452"/>
      <c r="U1251" s="452"/>
      <c r="V1251" s="452"/>
      <c r="W1251" s="452"/>
    </row>
    <row r="1252" spans="4:23" ht="15" customHeight="1" x14ac:dyDescent="0.45">
      <c r="D1252" s="439" t="s">
        <v>1929</v>
      </c>
      <c r="S1252" s="452"/>
      <c r="T1252" s="452"/>
      <c r="U1252" s="452"/>
      <c r="V1252" s="452"/>
      <c r="W1252" s="452"/>
    </row>
    <row r="1253" spans="4:23" ht="15" customHeight="1" x14ac:dyDescent="0.45">
      <c r="D1253" s="439" t="s">
        <v>1930</v>
      </c>
      <c r="S1253" s="452"/>
      <c r="T1253" s="452"/>
      <c r="U1253" s="452"/>
      <c r="V1253" s="452"/>
      <c r="W1253" s="452"/>
    </row>
    <row r="1254" spans="4:23" ht="15" customHeight="1" x14ac:dyDescent="0.45">
      <c r="D1254" s="439" t="s">
        <v>1931</v>
      </c>
      <c r="S1254" s="452"/>
      <c r="T1254" s="452"/>
      <c r="U1254" s="452"/>
      <c r="V1254" s="452"/>
      <c r="W1254" s="452"/>
    </row>
    <row r="1255" spans="4:23" ht="15" customHeight="1" x14ac:dyDescent="0.45">
      <c r="S1255" s="452"/>
      <c r="T1255" s="452"/>
      <c r="U1255" s="452"/>
      <c r="V1255" s="452"/>
      <c r="W1255" s="452"/>
    </row>
    <row r="1256" spans="4:23" ht="15" customHeight="1" x14ac:dyDescent="0.45">
      <c r="S1256" s="452"/>
      <c r="T1256" s="452"/>
      <c r="U1256" s="452"/>
      <c r="V1256" s="452"/>
      <c r="W1256" s="452"/>
    </row>
    <row r="1257" spans="4:23" ht="15" customHeight="1" x14ac:dyDescent="0.45">
      <c r="S1257" s="452"/>
      <c r="T1257" s="452"/>
      <c r="U1257" s="452"/>
      <c r="V1257" s="452"/>
      <c r="W1257" s="452"/>
    </row>
    <row r="1258" spans="4:23" ht="15" customHeight="1" x14ac:dyDescent="0.45">
      <c r="S1258" s="452"/>
      <c r="T1258" s="452"/>
      <c r="U1258" s="452"/>
      <c r="V1258" s="452"/>
      <c r="W1258" s="452"/>
    </row>
    <row r="1259" spans="4:23" ht="15" customHeight="1" x14ac:dyDescent="0.45">
      <c r="S1259" s="452"/>
      <c r="T1259" s="452"/>
      <c r="U1259" s="452"/>
      <c r="V1259" s="452"/>
      <c r="W1259" s="452"/>
    </row>
    <row r="1260" spans="4:23" ht="15" customHeight="1" x14ac:dyDescent="0.45">
      <c r="D1260" s="439" t="s">
        <v>1932</v>
      </c>
      <c r="S1260" s="452"/>
      <c r="T1260" s="452"/>
      <c r="U1260" s="452"/>
      <c r="V1260" s="452"/>
      <c r="W1260" s="452"/>
    </row>
    <row r="1261" spans="4:23" ht="15" customHeight="1" x14ac:dyDescent="0.45">
      <c r="D1261" s="439" t="s">
        <v>1932</v>
      </c>
      <c r="S1261" s="452"/>
      <c r="T1261" s="452"/>
      <c r="U1261" s="452"/>
      <c r="V1261" s="452"/>
      <c r="W1261" s="452"/>
    </row>
    <row r="1262" spans="4:23" ht="15" customHeight="1" x14ac:dyDescent="0.45">
      <c r="D1262" s="439" t="s">
        <v>1925</v>
      </c>
      <c r="S1262" s="452"/>
      <c r="T1262" s="452"/>
      <c r="U1262" s="452"/>
      <c r="V1262" s="452"/>
      <c r="W1262" s="452"/>
    </row>
    <row r="1263" spans="4:23" ht="15" customHeight="1" x14ac:dyDescent="0.45">
      <c r="S1263" s="452"/>
      <c r="T1263" s="452"/>
      <c r="U1263" s="452"/>
      <c r="V1263" s="452"/>
      <c r="W1263" s="452"/>
    </row>
    <row r="1264" spans="4:23" ht="15" customHeight="1" x14ac:dyDescent="0.45">
      <c r="D1264" s="439" t="s">
        <v>1926</v>
      </c>
      <c r="S1264" s="452"/>
      <c r="T1264" s="452"/>
      <c r="U1264" s="452"/>
      <c r="V1264" s="452"/>
      <c r="W1264" s="452"/>
    </row>
    <row r="1265" spans="4:23" ht="15" customHeight="1" x14ac:dyDescent="0.45">
      <c r="S1265" s="452"/>
      <c r="T1265" s="452"/>
      <c r="U1265" s="452"/>
      <c r="V1265" s="452"/>
      <c r="W1265" s="452"/>
    </row>
    <row r="1266" spans="4:23" ht="15" customHeight="1" x14ac:dyDescent="0.45">
      <c r="D1266" s="439" t="s">
        <v>1924</v>
      </c>
      <c r="S1266" s="452"/>
      <c r="T1266" s="452"/>
      <c r="U1266" s="452"/>
      <c r="V1266" s="452"/>
      <c r="W1266" s="452"/>
    </row>
    <row r="1267" spans="4:23" ht="15" customHeight="1" x14ac:dyDescent="0.45">
      <c r="D1267" s="439" t="s">
        <v>1923</v>
      </c>
      <c r="S1267" s="452"/>
      <c r="T1267" s="452"/>
      <c r="U1267" s="452"/>
      <c r="V1267" s="452"/>
      <c r="W1267" s="452"/>
    </row>
    <row r="1268" spans="4:23" ht="15" customHeight="1" x14ac:dyDescent="0.45">
      <c r="S1268" s="452"/>
      <c r="T1268" s="452"/>
      <c r="U1268" s="452"/>
      <c r="V1268" s="452"/>
      <c r="W1268" s="452"/>
    </row>
    <row r="1269" spans="4:23" ht="15" customHeight="1" x14ac:dyDescent="0.45">
      <c r="S1269" s="452"/>
      <c r="T1269" s="452"/>
      <c r="U1269" s="452"/>
      <c r="V1269" s="452"/>
      <c r="W1269" s="452"/>
    </row>
    <row r="1270" spans="4:23" ht="15" customHeight="1" x14ac:dyDescent="0.45">
      <c r="S1270" s="452"/>
      <c r="T1270" s="452"/>
      <c r="U1270" s="452"/>
      <c r="V1270" s="452"/>
      <c r="W1270" s="452"/>
    </row>
    <row r="1271" spans="4:23" ht="15" customHeight="1" x14ac:dyDescent="0.45">
      <c r="S1271" s="452"/>
      <c r="T1271" s="452"/>
      <c r="U1271" s="452"/>
      <c r="V1271" s="452"/>
      <c r="W1271" s="452"/>
    </row>
    <row r="1272" spans="4:23" ht="15" customHeight="1" x14ac:dyDescent="0.45">
      <c r="S1272" s="452"/>
      <c r="T1272" s="452"/>
      <c r="U1272" s="452"/>
      <c r="V1272" s="452"/>
      <c r="W1272" s="452"/>
    </row>
    <row r="1273" spans="4:23" ht="15" customHeight="1" x14ac:dyDescent="0.45">
      <c r="D1273" s="439">
        <v>33</v>
      </c>
      <c r="S1273" s="452"/>
      <c r="T1273" s="452"/>
      <c r="U1273" s="452"/>
      <c r="V1273" s="452"/>
      <c r="W1273" s="452"/>
    </row>
    <row r="1274" spans="4:23" ht="15" customHeight="1" x14ac:dyDescent="0.45">
      <c r="D1274" s="439" t="s">
        <v>1924</v>
      </c>
      <c r="S1274" s="452"/>
      <c r="T1274" s="452"/>
      <c r="U1274" s="452"/>
      <c r="V1274" s="452"/>
      <c r="W1274" s="452"/>
    </row>
    <row r="1275" spans="4:23" ht="15" customHeight="1" x14ac:dyDescent="0.45">
      <c r="D1275" s="439" t="s">
        <v>1926</v>
      </c>
      <c r="S1275" s="452"/>
      <c r="T1275" s="452"/>
      <c r="U1275" s="452"/>
      <c r="V1275" s="452"/>
      <c r="W1275" s="452"/>
    </row>
    <row r="1276" spans="4:23" ht="15" customHeight="1" x14ac:dyDescent="0.45">
      <c r="D1276" s="439" t="s">
        <v>1927</v>
      </c>
      <c r="S1276" s="452"/>
      <c r="T1276" s="452"/>
      <c r="U1276" s="452"/>
      <c r="V1276" s="452"/>
      <c r="W1276" s="452"/>
    </row>
    <row r="1277" spans="4:23" ht="15" customHeight="1" x14ac:dyDescent="0.45">
      <c r="S1277" s="452"/>
      <c r="T1277" s="452"/>
      <c r="U1277" s="452"/>
      <c r="V1277" s="452"/>
      <c r="W1277" s="452"/>
    </row>
    <row r="1278" spans="4:23" ht="15" customHeight="1" x14ac:dyDescent="0.45">
      <c r="D1278" s="439" t="s">
        <v>1928</v>
      </c>
      <c r="S1278" s="452"/>
      <c r="T1278" s="452"/>
      <c r="U1278" s="452"/>
      <c r="V1278" s="452"/>
      <c r="W1278" s="452"/>
    </row>
    <row r="1279" spans="4:23" ht="15" customHeight="1" x14ac:dyDescent="0.45">
      <c r="D1279" s="439" t="s">
        <v>1929</v>
      </c>
      <c r="S1279" s="452"/>
      <c r="T1279" s="452"/>
      <c r="U1279" s="452"/>
      <c r="V1279" s="452"/>
      <c r="W1279" s="452"/>
    </row>
    <row r="1280" spans="4:23" ht="15" customHeight="1" x14ac:dyDescent="0.45">
      <c r="D1280" s="439" t="s">
        <v>1930</v>
      </c>
      <c r="S1280" s="452"/>
      <c r="T1280" s="452"/>
      <c r="U1280" s="452"/>
      <c r="V1280" s="452"/>
      <c r="W1280" s="452"/>
    </row>
    <row r="1281" spans="4:23" ht="15" customHeight="1" x14ac:dyDescent="0.45">
      <c r="D1281" s="439" t="s">
        <v>1931</v>
      </c>
      <c r="S1281" s="452"/>
      <c r="T1281" s="452"/>
      <c r="U1281" s="452"/>
      <c r="V1281" s="452"/>
      <c r="W1281" s="452"/>
    </row>
    <row r="1282" spans="4:23" ht="15" customHeight="1" x14ac:dyDescent="0.45">
      <c r="S1282" s="452"/>
      <c r="T1282" s="452"/>
      <c r="U1282" s="452"/>
      <c r="V1282" s="452"/>
      <c r="W1282" s="452"/>
    </row>
    <row r="1283" spans="4:23" ht="15" customHeight="1" x14ac:dyDescent="0.45">
      <c r="S1283" s="452"/>
      <c r="T1283" s="452"/>
      <c r="U1283" s="452"/>
      <c r="V1283" s="452"/>
      <c r="W1283" s="452"/>
    </row>
    <row r="1284" spans="4:23" ht="15" customHeight="1" x14ac:dyDescent="0.45">
      <c r="S1284" s="452"/>
      <c r="T1284" s="452"/>
      <c r="U1284" s="452"/>
      <c r="V1284" s="452"/>
      <c r="W1284" s="452"/>
    </row>
    <row r="1285" spans="4:23" ht="15" customHeight="1" x14ac:dyDescent="0.45">
      <c r="S1285" s="452"/>
      <c r="T1285" s="452"/>
      <c r="U1285" s="452"/>
      <c r="V1285" s="452"/>
      <c r="W1285" s="452"/>
    </row>
    <row r="1286" spans="4:23" ht="15" customHeight="1" x14ac:dyDescent="0.45">
      <c r="S1286" s="452"/>
      <c r="T1286" s="452"/>
      <c r="U1286" s="452"/>
      <c r="V1286" s="452"/>
      <c r="W1286" s="452"/>
    </row>
    <row r="1287" spans="4:23" ht="15" customHeight="1" x14ac:dyDescent="0.45">
      <c r="D1287" s="439" t="s">
        <v>1932</v>
      </c>
      <c r="S1287" s="452"/>
      <c r="T1287" s="452"/>
      <c r="U1287" s="452"/>
      <c r="V1287" s="452"/>
      <c r="W1287" s="452"/>
    </row>
    <row r="1288" spans="4:23" ht="15" customHeight="1" x14ac:dyDescent="0.45">
      <c r="D1288" s="439" t="s">
        <v>1932</v>
      </c>
      <c r="S1288" s="452"/>
      <c r="T1288" s="452"/>
      <c r="U1288" s="452"/>
      <c r="V1288" s="452"/>
      <c r="W1288" s="452"/>
    </row>
    <row r="1289" spans="4:23" ht="15" customHeight="1" x14ac:dyDescent="0.45">
      <c r="D1289" s="439" t="s">
        <v>1925</v>
      </c>
      <c r="S1289" s="452"/>
      <c r="T1289" s="452"/>
      <c r="U1289" s="452"/>
      <c r="V1289" s="452"/>
      <c r="W1289" s="452"/>
    </row>
    <row r="1290" spans="4:23" ht="15" customHeight="1" x14ac:dyDescent="0.45">
      <c r="S1290" s="452"/>
      <c r="T1290" s="452"/>
      <c r="U1290" s="452"/>
      <c r="V1290" s="452"/>
      <c r="W1290" s="452"/>
    </row>
    <row r="1291" spans="4:23" ht="15" customHeight="1" x14ac:dyDescent="0.45">
      <c r="D1291" s="439" t="s">
        <v>1926</v>
      </c>
      <c r="S1291" s="452"/>
      <c r="T1291" s="452"/>
      <c r="U1291" s="452"/>
      <c r="V1291" s="452"/>
      <c r="W1291" s="452"/>
    </row>
    <row r="1292" spans="4:23" ht="15" customHeight="1" x14ac:dyDescent="0.45">
      <c r="S1292" s="452"/>
      <c r="T1292" s="452"/>
      <c r="U1292" s="452"/>
      <c r="V1292" s="452"/>
      <c r="W1292" s="452"/>
    </row>
    <row r="1293" spans="4:23" ht="15" customHeight="1" x14ac:dyDescent="0.45">
      <c r="D1293" s="439" t="s">
        <v>1924</v>
      </c>
      <c r="S1293" s="452"/>
      <c r="T1293" s="452"/>
      <c r="U1293" s="452"/>
      <c r="V1293" s="452"/>
      <c r="W1293" s="452"/>
    </row>
    <row r="1294" spans="4:23" ht="15" customHeight="1" x14ac:dyDescent="0.45">
      <c r="D1294" s="439" t="s">
        <v>1923</v>
      </c>
      <c r="S1294" s="452"/>
      <c r="T1294" s="452"/>
      <c r="U1294" s="452"/>
      <c r="V1294" s="452"/>
      <c r="W1294" s="452"/>
    </row>
    <row r="1295" spans="4:23" ht="15" customHeight="1" x14ac:dyDescent="0.45">
      <c r="S1295" s="452"/>
      <c r="T1295" s="452"/>
      <c r="U1295" s="452"/>
      <c r="V1295" s="452"/>
      <c r="W1295" s="452"/>
    </row>
    <row r="1296" spans="4:23" ht="15" customHeight="1" x14ac:dyDescent="0.45">
      <c r="S1296" s="452"/>
      <c r="T1296" s="452"/>
      <c r="U1296" s="452"/>
      <c r="V1296" s="452"/>
      <c r="W1296" s="452"/>
    </row>
    <row r="1297" spans="4:23" ht="15" customHeight="1" x14ac:dyDescent="0.45">
      <c r="S1297" s="452"/>
      <c r="T1297" s="452"/>
      <c r="U1297" s="452"/>
      <c r="V1297" s="452"/>
      <c r="W1297" s="452"/>
    </row>
    <row r="1298" spans="4:23" ht="15" customHeight="1" x14ac:dyDescent="0.45">
      <c r="S1298" s="452"/>
      <c r="T1298" s="452"/>
      <c r="U1298" s="452"/>
      <c r="V1298" s="452"/>
      <c r="W1298" s="452"/>
    </row>
    <row r="1299" spans="4:23" ht="15" customHeight="1" x14ac:dyDescent="0.45">
      <c r="S1299" s="452"/>
      <c r="T1299" s="452"/>
      <c r="U1299" s="452"/>
      <c r="V1299" s="452"/>
      <c r="W1299" s="452"/>
    </row>
    <row r="1300" spans="4:23" ht="15" customHeight="1" x14ac:dyDescent="0.45">
      <c r="D1300" s="439">
        <v>44</v>
      </c>
      <c r="S1300" s="452"/>
      <c r="T1300" s="452"/>
      <c r="U1300" s="452"/>
      <c r="V1300" s="452"/>
      <c r="W1300" s="452"/>
    </row>
    <row r="1301" spans="4:23" ht="15" customHeight="1" x14ac:dyDescent="0.45">
      <c r="D1301" s="439" t="s">
        <v>1948</v>
      </c>
      <c r="S1301" s="452"/>
      <c r="T1301" s="452"/>
      <c r="U1301" s="452"/>
      <c r="V1301" s="452"/>
      <c r="W1301" s="452"/>
    </row>
    <row r="1302" spans="4:23" ht="15" customHeight="1" x14ac:dyDescent="0.45">
      <c r="D1302" s="439" t="s">
        <v>1949</v>
      </c>
      <c r="S1302" s="452"/>
      <c r="T1302" s="452"/>
      <c r="U1302" s="452"/>
      <c r="V1302" s="452"/>
      <c r="W1302" s="452"/>
    </row>
    <row r="1303" spans="4:23" ht="15" customHeight="1" x14ac:dyDescent="0.45">
      <c r="D1303" s="439" t="s">
        <v>1948</v>
      </c>
      <c r="S1303" s="452"/>
      <c r="T1303" s="452"/>
      <c r="U1303" s="452"/>
      <c r="V1303" s="452"/>
      <c r="W1303" s="452"/>
    </row>
    <row r="1304" spans="4:23" ht="15" customHeight="1" x14ac:dyDescent="0.45">
      <c r="S1304" s="452"/>
      <c r="T1304" s="452"/>
      <c r="U1304" s="452"/>
      <c r="V1304" s="452"/>
      <c r="W1304" s="452"/>
    </row>
    <row r="1305" spans="4:23" ht="15" customHeight="1" x14ac:dyDescent="0.45">
      <c r="S1305" s="452"/>
      <c r="T1305" s="452"/>
      <c r="U1305" s="452"/>
      <c r="V1305" s="452"/>
      <c r="W1305" s="452"/>
    </row>
    <row r="1306" spans="4:23" ht="15" customHeight="1" x14ac:dyDescent="0.45">
      <c r="D1306" s="439" t="s">
        <v>1950</v>
      </c>
      <c r="S1306" s="452"/>
      <c r="T1306" s="452"/>
      <c r="U1306" s="452"/>
      <c r="V1306" s="452"/>
      <c r="W1306" s="452"/>
    </row>
    <row r="1307" spans="4:23" ht="15" customHeight="1" x14ac:dyDescent="0.45">
      <c r="D1307" s="439" t="s">
        <v>1951</v>
      </c>
      <c r="S1307" s="452"/>
      <c r="T1307" s="452"/>
      <c r="U1307" s="452"/>
      <c r="V1307" s="452"/>
      <c r="W1307" s="452"/>
    </row>
    <row r="1308" spans="4:23" ht="15" customHeight="1" x14ac:dyDescent="0.45">
      <c r="S1308" s="452"/>
      <c r="T1308" s="452"/>
      <c r="U1308" s="452"/>
      <c r="V1308" s="452"/>
      <c r="W1308" s="452"/>
    </row>
    <row r="1309" spans="4:23" ht="15" customHeight="1" x14ac:dyDescent="0.45">
      <c r="S1309" s="452"/>
      <c r="T1309" s="452"/>
      <c r="U1309" s="452"/>
      <c r="V1309" s="452"/>
      <c r="W1309" s="452"/>
    </row>
    <row r="1310" spans="4:23" ht="15" customHeight="1" x14ac:dyDescent="0.45">
      <c r="S1310" s="452"/>
      <c r="T1310" s="452"/>
      <c r="U1310" s="452"/>
      <c r="V1310" s="452"/>
      <c r="W1310" s="452"/>
    </row>
    <row r="1311" spans="4:23" ht="15" customHeight="1" x14ac:dyDescent="0.45">
      <c r="S1311" s="452"/>
      <c r="T1311" s="452"/>
      <c r="U1311" s="452"/>
      <c r="V1311" s="452"/>
      <c r="W1311" s="452"/>
    </row>
    <row r="1312" spans="4:23" ht="15" customHeight="1" x14ac:dyDescent="0.45">
      <c r="S1312" s="452"/>
      <c r="T1312" s="452"/>
      <c r="U1312" s="452"/>
      <c r="V1312" s="452"/>
      <c r="W1312" s="452"/>
    </row>
    <row r="1313" spans="4:23" ht="15" customHeight="1" x14ac:dyDescent="0.45">
      <c r="S1313" s="452"/>
      <c r="T1313" s="452"/>
      <c r="U1313" s="452"/>
      <c r="V1313" s="452"/>
      <c r="W1313" s="452"/>
    </row>
    <row r="1314" spans="4:23" ht="15" customHeight="1" x14ac:dyDescent="0.45">
      <c r="D1314" s="439" t="s">
        <v>1952</v>
      </c>
      <c r="S1314" s="452"/>
      <c r="T1314" s="452"/>
      <c r="U1314" s="452"/>
      <c r="V1314" s="452"/>
      <c r="W1314" s="452"/>
    </row>
    <row r="1315" spans="4:23" ht="15" customHeight="1" x14ac:dyDescent="0.45">
      <c r="D1315" s="439" t="s">
        <v>1952</v>
      </c>
      <c r="S1315" s="452"/>
      <c r="T1315" s="452"/>
      <c r="U1315" s="452"/>
      <c r="V1315" s="452"/>
      <c r="W1315" s="452"/>
    </row>
    <row r="1316" spans="4:23" ht="15" customHeight="1" x14ac:dyDescent="0.45">
      <c r="D1316" s="439" t="s">
        <v>1953</v>
      </c>
      <c r="S1316" s="452"/>
      <c r="T1316" s="452"/>
      <c r="U1316" s="452"/>
      <c r="V1316" s="452"/>
      <c r="W1316" s="452"/>
    </row>
    <row r="1317" spans="4:23" ht="15" customHeight="1" x14ac:dyDescent="0.45">
      <c r="S1317" s="452"/>
      <c r="T1317" s="452"/>
      <c r="U1317" s="452"/>
      <c r="V1317" s="452"/>
      <c r="W1317" s="452"/>
    </row>
    <row r="1318" spans="4:23" ht="15" customHeight="1" x14ac:dyDescent="0.45">
      <c r="D1318" s="439" t="s">
        <v>1948</v>
      </c>
      <c r="S1318" s="452"/>
      <c r="T1318" s="452"/>
      <c r="U1318" s="452"/>
      <c r="V1318" s="452"/>
      <c r="W1318" s="452"/>
    </row>
    <row r="1319" spans="4:23" ht="15" customHeight="1" x14ac:dyDescent="0.45">
      <c r="S1319" s="452"/>
      <c r="T1319" s="452"/>
      <c r="U1319" s="452"/>
      <c r="V1319" s="452"/>
      <c r="W1319" s="452"/>
    </row>
    <row r="1320" spans="4:23" ht="15" customHeight="1" x14ac:dyDescent="0.45">
      <c r="D1320" s="439" t="s">
        <v>1948</v>
      </c>
      <c r="S1320" s="452"/>
      <c r="T1320" s="452"/>
      <c r="U1320" s="452"/>
      <c r="V1320" s="452"/>
      <c r="W1320" s="452"/>
    </row>
    <row r="1321" spans="4:23" ht="15" customHeight="1" x14ac:dyDescent="0.45">
      <c r="D1321" s="439" t="s">
        <v>1947</v>
      </c>
      <c r="S1321" s="452"/>
      <c r="T1321" s="452"/>
      <c r="U1321" s="452"/>
      <c r="V1321" s="452"/>
      <c r="W1321" s="452"/>
    </row>
    <row r="1322" spans="4:23" ht="15" customHeight="1" x14ac:dyDescent="0.45">
      <c r="S1322" s="452"/>
      <c r="T1322" s="452"/>
      <c r="U1322" s="452"/>
      <c r="V1322" s="452"/>
      <c r="W1322" s="452"/>
    </row>
    <row r="1323" spans="4:23" ht="15" customHeight="1" x14ac:dyDescent="0.45">
      <c r="S1323" s="452"/>
      <c r="T1323" s="452"/>
      <c r="U1323" s="452"/>
      <c r="V1323" s="452"/>
      <c r="W1323" s="452"/>
    </row>
    <row r="1324" spans="4:23" ht="15" customHeight="1" x14ac:dyDescent="0.45">
      <c r="S1324" s="452"/>
      <c r="T1324" s="452"/>
      <c r="U1324" s="452"/>
      <c r="V1324" s="452"/>
      <c r="W1324" s="452"/>
    </row>
    <row r="1325" spans="4:23" ht="15" customHeight="1" x14ac:dyDescent="0.45">
      <c r="S1325" s="452"/>
      <c r="T1325" s="452"/>
      <c r="U1325" s="452"/>
      <c r="V1325" s="452"/>
      <c r="W1325" s="452"/>
    </row>
    <row r="1326" spans="4:23" ht="15" customHeight="1" x14ac:dyDescent="0.45">
      <c r="S1326" s="452"/>
      <c r="T1326" s="452"/>
      <c r="U1326" s="452"/>
      <c r="V1326" s="452"/>
      <c r="W1326" s="452"/>
    </row>
    <row r="1327" spans="4:23" ht="15" customHeight="1" x14ac:dyDescent="0.45">
      <c r="D1327" s="439">
        <v>44</v>
      </c>
      <c r="S1327" s="452"/>
      <c r="T1327" s="452"/>
      <c r="U1327" s="452"/>
      <c r="V1327" s="452"/>
      <c r="W1327" s="452"/>
    </row>
    <row r="1328" spans="4:23" ht="15" customHeight="1" x14ac:dyDescent="0.45">
      <c r="D1328" s="439" t="s">
        <v>1948</v>
      </c>
      <c r="S1328" s="452"/>
      <c r="T1328" s="452"/>
      <c r="U1328" s="452"/>
      <c r="V1328" s="452"/>
      <c r="W1328" s="452"/>
    </row>
    <row r="1329" spans="4:23" ht="15" customHeight="1" x14ac:dyDescent="0.45">
      <c r="D1329" s="439" t="s">
        <v>1949</v>
      </c>
      <c r="S1329" s="452"/>
      <c r="T1329" s="452"/>
      <c r="U1329" s="452"/>
      <c r="V1329" s="452"/>
      <c r="W1329" s="452"/>
    </row>
    <row r="1330" spans="4:23" ht="15" customHeight="1" x14ac:dyDescent="0.45">
      <c r="D1330" s="439" t="s">
        <v>1948</v>
      </c>
      <c r="S1330" s="452"/>
      <c r="T1330" s="452"/>
      <c r="U1330" s="452"/>
      <c r="V1330" s="452"/>
      <c r="W1330" s="452"/>
    </row>
    <row r="1331" spans="4:23" ht="15" customHeight="1" x14ac:dyDescent="0.45">
      <c r="S1331" s="452"/>
      <c r="T1331" s="452"/>
      <c r="U1331" s="452"/>
      <c r="V1331" s="452"/>
      <c r="W1331" s="452"/>
    </row>
    <row r="1332" spans="4:23" ht="15" customHeight="1" x14ac:dyDescent="0.45">
      <c r="S1332" s="452"/>
      <c r="T1332" s="452"/>
      <c r="U1332" s="452"/>
      <c r="V1332" s="452"/>
      <c r="W1332" s="452"/>
    </row>
    <row r="1333" spans="4:23" ht="15" customHeight="1" x14ac:dyDescent="0.45">
      <c r="D1333" s="439" t="s">
        <v>1950</v>
      </c>
      <c r="S1333" s="452"/>
      <c r="T1333" s="452"/>
      <c r="U1333" s="452"/>
      <c r="V1333" s="452"/>
      <c r="W1333" s="452"/>
    </row>
    <row r="1334" spans="4:23" ht="15" customHeight="1" x14ac:dyDescent="0.45">
      <c r="D1334" s="439" t="s">
        <v>1951</v>
      </c>
      <c r="S1334" s="452"/>
      <c r="T1334" s="452"/>
      <c r="U1334" s="452"/>
      <c r="V1334" s="452"/>
      <c r="W1334" s="452"/>
    </row>
    <row r="1335" spans="4:23" ht="15" customHeight="1" x14ac:dyDescent="0.45">
      <c r="S1335" s="452"/>
      <c r="T1335" s="452"/>
      <c r="U1335" s="452"/>
      <c r="V1335" s="452"/>
      <c r="W1335" s="452"/>
    </row>
    <row r="1336" spans="4:23" ht="15" customHeight="1" x14ac:dyDescent="0.45">
      <c r="S1336" s="452"/>
      <c r="T1336" s="452"/>
      <c r="U1336" s="452"/>
      <c r="V1336" s="452"/>
      <c r="W1336" s="452"/>
    </row>
    <row r="1337" spans="4:23" ht="15" customHeight="1" x14ac:dyDescent="0.45">
      <c r="S1337" s="452"/>
      <c r="T1337" s="452"/>
      <c r="U1337" s="452"/>
      <c r="V1337" s="452"/>
      <c r="W1337" s="452"/>
    </row>
    <row r="1338" spans="4:23" ht="15" customHeight="1" x14ac:dyDescent="0.45">
      <c r="S1338" s="452"/>
      <c r="T1338" s="452"/>
      <c r="U1338" s="452"/>
      <c r="V1338" s="452"/>
      <c r="W1338" s="452"/>
    </row>
    <row r="1339" spans="4:23" ht="15" customHeight="1" x14ac:dyDescent="0.45">
      <c r="S1339" s="452"/>
      <c r="T1339" s="452"/>
      <c r="U1339" s="452"/>
      <c r="V1339" s="452"/>
      <c r="W1339" s="452"/>
    </row>
    <row r="1340" spans="4:23" ht="15" customHeight="1" x14ac:dyDescent="0.45">
      <c r="S1340" s="452"/>
      <c r="T1340" s="452"/>
      <c r="U1340" s="452"/>
      <c r="V1340" s="452"/>
      <c r="W1340" s="452"/>
    </row>
    <row r="1341" spans="4:23" ht="15" customHeight="1" x14ac:dyDescent="0.45">
      <c r="D1341" s="439" t="s">
        <v>1952</v>
      </c>
      <c r="S1341" s="452"/>
      <c r="T1341" s="452"/>
      <c r="U1341" s="452"/>
      <c r="V1341" s="452"/>
      <c r="W1341" s="452"/>
    </row>
    <row r="1342" spans="4:23" ht="15" customHeight="1" x14ac:dyDescent="0.45">
      <c r="D1342" s="439" t="s">
        <v>1952</v>
      </c>
      <c r="S1342" s="452"/>
      <c r="T1342" s="452"/>
      <c r="U1342" s="452"/>
      <c r="V1342" s="452"/>
      <c r="W1342" s="452"/>
    </row>
    <row r="1343" spans="4:23" ht="15" customHeight="1" x14ac:dyDescent="0.45">
      <c r="D1343" s="439" t="s">
        <v>1953</v>
      </c>
      <c r="S1343" s="452"/>
      <c r="T1343" s="452"/>
      <c r="U1343" s="452"/>
      <c r="V1343" s="452"/>
      <c r="W1343" s="452"/>
    </row>
    <row r="1344" spans="4:23" ht="15" customHeight="1" x14ac:dyDescent="0.45">
      <c r="S1344" s="452"/>
      <c r="T1344" s="452"/>
      <c r="U1344" s="452"/>
      <c r="V1344" s="452"/>
      <c r="W1344" s="452"/>
    </row>
    <row r="1345" spans="4:23" ht="15" customHeight="1" x14ac:dyDescent="0.45">
      <c r="D1345" s="439" t="s">
        <v>1948</v>
      </c>
      <c r="S1345" s="452"/>
      <c r="T1345" s="452"/>
      <c r="U1345" s="452"/>
      <c r="V1345" s="452"/>
      <c r="W1345" s="452"/>
    </row>
    <row r="1346" spans="4:23" ht="15" customHeight="1" x14ac:dyDescent="0.45">
      <c r="S1346" s="452"/>
      <c r="T1346" s="452"/>
      <c r="U1346" s="452"/>
      <c r="V1346" s="452"/>
      <c r="W1346" s="452"/>
    </row>
    <row r="1347" spans="4:23" ht="15" customHeight="1" x14ac:dyDescent="0.45">
      <c r="D1347" s="439" t="s">
        <v>1948</v>
      </c>
      <c r="S1347" s="452"/>
      <c r="T1347" s="452"/>
      <c r="U1347" s="452"/>
      <c r="V1347" s="452"/>
      <c r="W1347" s="452"/>
    </row>
    <row r="1348" spans="4:23" ht="15" customHeight="1" x14ac:dyDescent="0.45">
      <c r="D1348" s="439" t="s">
        <v>1947</v>
      </c>
      <c r="S1348" s="452"/>
      <c r="T1348" s="452"/>
      <c r="U1348" s="452"/>
      <c r="V1348" s="452"/>
      <c r="W1348" s="452"/>
    </row>
    <row r="1349" spans="4:23" ht="15" customHeight="1" x14ac:dyDescent="0.45">
      <c r="S1349" s="452"/>
      <c r="T1349" s="452"/>
      <c r="U1349" s="452"/>
      <c r="V1349" s="452"/>
      <c r="W1349" s="452"/>
    </row>
    <row r="1350" spans="4:23" ht="15" customHeight="1" x14ac:dyDescent="0.45">
      <c r="S1350" s="452"/>
      <c r="T1350" s="452"/>
      <c r="U1350" s="452"/>
      <c r="V1350" s="452"/>
      <c r="W1350" s="452"/>
    </row>
    <row r="1351" spans="4:23" ht="15" customHeight="1" x14ac:dyDescent="0.45">
      <c r="S1351" s="452"/>
      <c r="T1351" s="452"/>
      <c r="U1351" s="452"/>
      <c r="V1351" s="452"/>
      <c r="W1351" s="452"/>
    </row>
    <row r="1352" spans="4:23" ht="15" customHeight="1" x14ac:dyDescent="0.45">
      <c r="S1352" s="452"/>
      <c r="T1352" s="452"/>
      <c r="U1352" s="452"/>
      <c r="V1352" s="452"/>
      <c r="W1352" s="452"/>
    </row>
    <row r="1353" spans="4:23" ht="15" customHeight="1" x14ac:dyDescent="0.45">
      <c r="S1353" s="452"/>
      <c r="T1353" s="452"/>
      <c r="U1353" s="452"/>
      <c r="V1353" s="452"/>
      <c r="W1353" s="452"/>
    </row>
    <row r="1354" spans="4:23" ht="15" customHeight="1" x14ac:dyDescent="0.45">
      <c r="D1354" s="439">
        <v>55</v>
      </c>
      <c r="S1354" s="452"/>
      <c r="T1354" s="452"/>
      <c r="U1354" s="452"/>
      <c r="V1354" s="452"/>
      <c r="W1354" s="452"/>
    </row>
    <row r="1355" spans="4:23" ht="15" customHeight="1" x14ac:dyDescent="0.45">
      <c r="D1355" s="439" t="s">
        <v>1934</v>
      </c>
      <c r="S1355" s="452"/>
      <c r="T1355" s="452"/>
      <c r="U1355" s="452"/>
      <c r="V1355" s="452"/>
      <c r="W1355" s="452"/>
    </row>
    <row r="1356" spans="4:23" ht="15" customHeight="1" x14ac:dyDescent="0.45">
      <c r="S1356" s="452"/>
      <c r="T1356" s="452"/>
      <c r="U1356" s="452"/>
      <c r="V1356" s="452"/>
      <c r="W1356" s="452"/>
    </row>
    <row r="1357" spans="4:23" ht="15" customHeight="1" x14ac:dyDescent="0.45">
      <c r="D1357" s="439" t="s">
        <v>1935</v>
      </c>
      <c r="S1357" s="452"/>
      <c r="T1357" s="452"/>
      <c r="U1357" s="452"/>
      <c r="V1357" s="452"/>
      <c r="W1357" s="452"/>
    </row>
    <row r="1358" spans="4:23" ht="15" customHeight="1" x14ac:dyDescent="0.45">
      <c r="S1358" s="452"/>
      <c r="T1358" s="452"/>
      <c r="U1358" s="452"/>
      <c r="V1358" s="452"/>
      <c r="W1358" s="452"/>
    </row>
    <row r="1359" spans="4:23" ht="15" customHeight="1" x14ac:dyDescent="0.45">
      <c r="D1359" s="439" t="s">
        <v>1935</v>
      </c>
      <c r="S1359" s="452"/>
      <c r="T1359" s="452"/>
      <c r="U1359" s="452"/>
      <c r="V1359" s="452"/>
      <c r="W1359" s="452"/>
    </row>
    <row r="1360" spans="4:23" ht="15" customHeight="1" x14ac:dyDescent="0.45">
      <c r="S1360" s="452"/>
      <c r="T1360" s="452"/>
      <c r="U1360" s="452"/>
      <c r="V1360" s="452"/>
      <c r="W1360" s="452"/>
    </row>
    <row r="1361" spans="4:23" ht="15" customHeight="1" x14ac:dyDescent="0.45">
      <c r="D1361" s="439" t="s">
        <v>1937</v>
      </c>
      <c r="S1361" s="452"/>
      <c r="T1361" s="452"/>
      <c r="U1361" s="452"/>
      <c r="V1361" s="452"/>
      <c r="W1361" s="452"/>
    </row>
    <row r="1362" spans="4:23" ht="15" customHeight="1" x14ac:dyDescent="0.45">
      <c r="S1362" s="452"/>
      <c r="T1362" s="452"/>
      <c r="U1362" s="452"/>
      <c r="V1362" s="452"/>
      <c r="W1362" s="452"/>
    </row>
    <row r="1363" spans="4:23" ht="15" customHeight="1" x14ac:dyDescent="0.45">
      <c r="S1363" s="452"/>
      <c r="T1363" s="452"/>
      <c r="U1363" s="452"/>
      <c r="V1363" s="452"/>
      <c r="W1363" s="452"/>
    </row>
    <row r="1364" spans="4:23" ht="15" customHeight="1" x14ac:dyDescent="0.45">
      <c r="S1364" s="452"/>
      <c r="T1364" s="452"/>
      <c r="U1364" s="452"/>
      <c r="V1364" s="452"/>
      <c r="W1364" s="452"/>
    </row>
    <row r="1365" spans="4:23" ht="15" customHeight="1" x14ac:dyDescent="0.45">
      <c r="S1365" s="452"/>
      <c r="T1365" s="452"/>
      <c r="U1365" s="452"/>
      <c r="V1365" s="452"/>
      <c r="W1365" s="452"/>
    </row>
    <row r="1366" spans="4:23" ht="15" customHeight="1" x14ac:dyDescent="0.45">
      <c r="S1366" s="452"/>
      <c r="T1366" s="452"/>
      <c r="U1366" s="452"/>
      <c r="V1366" s="452"/>
      <c r="W1366" s="452"/>
    </row>
    <row r="1367" spans="4:23" ht="15" customHeight="1" x14ac:dyDescent="0.45">
      <c r="S1367" s="452"/>
      <c r="T1367" s="452"/>
      <c r="U1367" s="452"/>
      <c r="V1367" s="452"/>
      <c r="W1367" s="452"/>
    </row>
    <row r="1368" spans="4:23" ht="15" customHeight="1" x14ac:dyDescent="0.45">
      <c r="D1368" s="439" t="s">
        <v>1936</v>
      </c>
      <c r="S1368" s="452"/>
      <c r="T1368" s="452"/>
      <c r="U1368" s="452"/>
      <c r="V1368" s="452"/>
      <c r="W1368" s="452"/>
    </row>
    <row r="1369" spans="4:23" ht="15" customHeight="1" x14ac:dyDescent="0.45">
      <c r="S1369" s="452"/>
      <c r="T1369" s="452"/>
      <c r="U1369" s="452"/>
      <c r="V1369" s="452"/>
      <c r="W1369" s="452"/>
    </row>
    <row r="1370" spans="4:23" ht="15" customHeight="1" x14ac:dyDescent="0.45">
      <c r="S1370" s="452"/>
      <c r="T1370" s="452"/>
      <c r="U1370" s="452"/>
      <c r="V1370" s="452"/>
      <c r="W1370" s="452"/>
    </row>
    <row r="1371" spans="4:23" ht="15" customHeight="1" x14ac:dyDescent="0.45">
      <c r="S1371" s="452"/>
      <c r="T1371" s="452"/>
      <c r="U1371" s="452"/>
      <c r="V1371" s="452"/>
      <c r="W1371" s="452"/>
    </row>
    <row r="1372" spans="4:23" ht="15" customHeight="1" x14ac:dyDescent="0.45">
      <c r="D1372" s="439" t="s">
        <v>1936</v>
      </c>
      <c r="S1372" s="452"/>
      <c r="T1372" s="452"/>
      <c r="U1372" s="452"/>
      <c r="V1372" s="452"/>
      <c r="W1372" s="452"/>
    </row>
    <row r="1373" spans="4:23" ht="15" customHeight="1" x14ac:dyDescent="0.45">
      <c r="S1373" s="452"/>
      <c r="T1373" s="452"/>
      <c r="U1373" s="452"/>
      <c r="V1373" s="452"/>
      <c r="W1373" s="452"/>
    </row>
    <row r="1374" spans="4:23" ht="15" customHeight="1" x14ac:dyDescent="0.45">
      <c r="D1374" s="439" t="s">
        <v>1936</v>
      </c>
      <c r="S1374" s="452"/>
      <c r="T1374" s="452"/>
      <c r="U1374" s="452"/>
      <c r="V1374" s="452"/>
      <c r="W1374" s="452"/>
    </row>
    <row r="1375" spans="4:23" ht="15" customHeight="1" x14ac:dyDescent="0.45">
      <c r="D1375" s="439" t="s">
        <v>1933</v>
      </c>
      <c r="S1375" s="452"/>
      <c r="T1375" s="452"/>
      <c r="U1375" s="452"/>
      <c r="V1375" s="452"/>
      <c r="W1375" s="452"/>
    </row>
    <row r="1376" spans="4:23" ht="15" customHeight="1" x14ac:dyDescent="0.45">
      <c r="S1376" s="452"/>
      <c r="T1376" s="452"/>
      <c r="U1376" s="452"/>
      <c r="V1376" s="452"/>
      <c r="W1376" s="452"/>
    </row>
    <row r="1377" spans="4:23" ht="15" customHeight="1" x14ac:dyDescent="0.45">
      <c r="S1377" s="452"/>
      <c r="T1377" s="452"/>
      <c r="U1377" s="452"/>
      <c r="V1377" s="452"/>
      <c r="W1377" s="452"/>
    </row>
    <row r="1378" spans="4:23" ht="15" customHeight="1" x14ac:dyDescent="0.45">
      <c r="S1378" s="452"/>
      <c r="T1378" s="452"/>
      <c r="U1378" s="452"/>
      <c r="V1378" s="452"/>
      <c r="W1378" s="452"/>
    </row>
    <row r="1379" spans="4:23" ht="15" customHeight="1" x14ac:dyDescent="0.45">
      <c r="S1379" s="452"/>
      <c r="T1379" s="452"/>
      <c r="U1379" s="452"/>
      <c r="V1379" s="452"/>
      <c r="W1379" s="452"/>
    </row>
    <row r="1380" spans="4:23" ht="15" customHeight="1" x14ac:dyDescent="0.45">
      <c r="S1380" s="452"/>
      <c r="T1380" s="452"/>
      <c r="U1380" s="452"/>
      <c r="V1380" s="452"/>
      <c r="W1380" s="452"/>
    </row>
    <row r="1381" spans="4:23" ht="15" customHeight="1" x14ac:dyDescent="0.45">
      <c r="D1381" s="439">
        <v>66</v>
      </c>
      <c r="S1381" s="452"/>
      <c r="T1381" s="452"/>
      <c r="U1381" s="452"/>
      <c r="V1381" s="452"/>
      <c r="W1381" s="452"/>
    </row>
    <row r="1382" spans="4:23" ht="15" customHeight="1" x14ac:dyDescent="0.45">
      <c r="D1382" s="439" t="s">
        <v>1958</v>
      </c>
      <c r="S1382" s="452"/>
      <c r="T1382" s="452"/>
      <c r="U1382" s="452"/>
      <c r="V1382" s="452"/>
      <c r="W1382" s="452"/>
    </row>
    <row r="1383" spans="4:23" ht="15" customHeight="1" x14ac:dyDescent="0.45">
      <c r="D1383" s="439" t="s">
        <v>912</v>
      </c>
      <c r="S1383" s="452"/>
      <c r="T1383" s="452"/>
      <c r="U1383" s="452"/>
      <c r="V1383" s="452"/>
      <c r="W1383" s="452"/>
    </row>
    <row r="1384" spans="4:23" ht="15" customHeight="1" x14ac:dyDescent="0.45">
      <c r="D1384" s="439" t="s">
        <v>1959</v>
      </c>
      <c r="S1384" s="452"/>
      <c r="T1384" s="452"/>
      <c r="U1384" s="452"/>
      <c r="V1384" s="452"/>
      <c r="W1384" s="452"/>
    </row>
    <row r="1385" spans="4:23" ht="15" customHeight="1" x14ac:dyDescent="0.45">
      <c r="S1385" s="452"/>
      <c r="T1385" s="452"/>
      <c r="U1385" s="452"/>
      <c r="V1385" s="452"/>
      <c r="W1385" s="452"/>
    </row>
    <row r="1386" spans="4:23" ht="15" customHeight="1" x14ac:dyDescent="0.45">
      <c r="D1386" s="439" t="s">
        <v>1962</v>
      </c>
      <c r="S1386" s="452"/>
      <c r="T1386" s="452"/>
      <c r="U1386" s="452"/>
      <c r="V1386" s="452"/>
      <c r="W1386" s="452"/>
    </row>
    <row r="1387" spans="4:23" ht="15" customHeight="1" x14ac:dyDescent="0.45">
      <c r="S1387" s="452"/>
      <c r="T1387" s="452"/>
      <c r="U1387" s="452"/>
      <c r="V1387" s="452"/>
      <c r="W1387" s="452"/>
    </row>
    <row r="1388" spans="4:23" ht="15" customHeight="1" x14ac:dyDescent="0.45">
      <c r="D1388" s="439" t="s">
        <v>1960</v>
      </c>
      <c r="S1388" s="452"/>
      <c r="T1388" s="452"/>
      <c r="U1388" s="452"/>
      <c r="V1388" s="452"/>
      <c r="W1388" s="452"/>
    </row>
    <row r="1389" spans="4:23" ht="15" customHeight="1" x14ac:dyDescent="0.45">
      <c r="D1389" s="439" t="s">
        <v>1962</v>
      </c>
      <c r="S1389" s="452"/>
      <c r="T1389" s="452"/>
      <c r="U1389" s="452"/>
      <c r="V1389" s="452"/>
      <c r="W1389" s="452"/>
    </row>
    <row r="1390" spans="4:23" ht="15" customHeight="1" x14ac:dyDescent="0.45">
      <c r="S1390" s="452"/>
      <c r="T1390" s="452"/>
      <c r="U1390" s="452"/>
      <c r="V1390" s="452"/>
      <c r="W1390" s="452"/>
    </row>
    <row r="1391" spans="4:23" ht="15" customHeight="1" x14ac:dyDescent="0.45">
      <c r="S1391" s="452"/>
      <c r="T1391" s="452"/>
      <c r="U1391" s="452"/>
      <c r="V1391" s="452"/>
      <c r="W1391" s="452"/>
    </row>
    <row r="1392" spans="4:23" ht="15" customHeight="1" x14ac:dyDescent="0.45">
      <c r="S1392" s="452"/>
      <c r="T1392" s="452"/>
      <c r="U1392" s="452"/>
      <c r="V1392" s="452"/>
      <c r="W1392" s="452"/>
    </row>
    <row r="1393" spans="4:23" ht="15" customHeight="1" x14ac:dyDescent="0.45">
      <c r="S1393" s="452"/>
      <c r="T1393" s="452"/>
      <c r="U1393" s="452"/>
      <c r="V1393" s="452"/>
      <c r="W1393" s="452"/>
    </row>
    <row r="1394" spans="4:23" ht="15" customHeight="1" x14ac:dyDescent="0.45">
      <c r="S1394" s="452"/>
      <c r="T1394" s="452"/>
      <c r="U1394" s="452"/>
      <c r="V1394" s="452"/>
      <c r="W1394" s="452"/>
    </row>
    <row r="1395" spans="4:23" ht="15" customHeight="1" x14ac:dyDescent="0.45">
      <c r="D1395" s="439" t="s">
        <v>1957</v>
      </c>
      <c r="S1395" s="452"/>
      <c r="T1395" s="452"/>
      <c r="U1395" s="452"/>
      <c r="V1395" s="452"/>
      <c r="W1395" s="452"/>
    </row>
    <row r="1396" spans="4:23" ht="15" customHeight="1" x14ac:dyDescent="0.45">
      <c r="D1396" s="439" t="s">
        <v>1957</v>
      </c>
      <c r="S1396" s="452"/>
      <c r="T1396" s="452"/>
      <c r="U1396" s="452"/>
      <c r="V1396" s="452"/>
      <c r="W1396" s="452"/>
    </row>
    <row r="1397" spans="4:23" ht="15" customHeight="1" x14ac:dyDescent="0.45">
      <c r="D1397" s="439" t="s">
        <v>1959</v>
      </c>
      <c r="S1397" s="452"/>
      <c r="T1397" s="452"/>
      <c r="U1397" s="452"/>
      <c r="V1397" s="452"/>
      <c r="W1397" s="452"/>
    </row>
    <row r="1398" spans="4:23" ht="15" customHeight="1" x14ac:dyDescent="0.45">
      <c r="S1398" s="452"/>
      <c r="T1398" s="452"/>
      <c r="U1398" s="452"/>
      <c r="V1398" s="452"/>
      <c r="W1398" s="452"/>
    </row>
    <row r="1399" spans="4:23" ht="15" customHeight="1" x14ac:dyDescent="0.45">
      <c r="D1399" s="439" t="s">
        <v>1962</v>
      </c>
      <c r="S1399" s="452"/>
      <c r="T1399" s="452"/>
      <c r="U1399" s="452"/>
      <c r="V1399" s="452"/>
      <c r="W1399" s="452"/>
    </row>
    <row r="1400" spans="4:23" ht="15" customHeight="1" x14ac:dyDescent="0.45">
      <c r="S1400" s="452"/>
      <c r="T1400" s="452"/>
      <c r="U1400" s="452"/>
      <c r="V1400" s="452"/>
      <c r="W1400" s="452"/>
    </row>
    <row r="1401" spans="4:23" ht="15" customHeight="1" x14ac:dyDescent="0.45">
      <c r="D1401" s="439" t="s">
        <v>1962</v>
      </c>
      <c r="S1401" s="452"/>
      <c r="T1401" s="452"/>
      <c r="U1401" s="452"/>
      <c r="V1401" s="452"/>
      <c r="W1401" s="452"/>
    </row>
    <row r="1402" spans="4:23" ht="15" customHeight="1" x14ac:dyDescent="0.45">
      <c r="D1402" s="439" t="s">
        <v>1961</v>
      </c>
      <c r="S1402" s="452"/>
      <c r="T1402" s="452"/>
      <c r="U1402" s="452"/>
      <c r="V1402" s="452"/>
      <c r="W1402" s="452"/>
    </row>
    <row r="1403" spans="4:23" ht="15" customHeight="1" x14ac:dyDescent="0.45">
      <c r="S1403" s="452"/>
      <c r="T1403" s="452"/>
      <c r="U1403" s="452"/>
      <c r="V1403" s="452"/>
      <c r="W1403" s="452"/>
    </row>
    <row r="1404" spans="4:23" ht="15" customHeight="1" x14ac:dyDescent="0.45">
      <c r="S1404" s="452"/>
      <c r="T1404" s="452"/>
      <c r="U1404" s="452"/>
      <c r="V1404" s="452"/>
      <c r="W1404" s="452"/>
    </row>
    <row r="1405" spans="4:23" ht="15" customHeight="1" x14ac:dyDescent="0.45">
      <c r="S1405" s="452"/>
      <c r="T1405" s="452"/>
      <c r="U1405" s="452"/>
      <c r="V1405" s="452"/>
      <c r="W1405" s="452"/>
    </row>
    <row r="1406" spans="4:23" ht="15" customHeight="1" x14ac:dyDescent="0.45">
      <c r="S1406" s="452"/>
      <c r="T1406" s="452"/>
      <c r="U1406" s="452"/>
      <c r="V1406" s="452"/>
      <c r="W1406" s="452"/>
    </row>
    <row r="1407" spans="4:23" ht="15" customHeight="1" x14ac:dyDescent="0.45">
      <c r="S1407" s="452"/>
      <c r="T1407" s="452"/>
      <c r="U1407" s="452"/>
      <c r="V1407" s="452"/>
      <c r="W1407" s="452"/>
    </row>
    <row r="1408" spans="4:23" ht="15" customHeight="1" x14ac:dyDescent="0.45">
      <c r="D1408" s="439">
        <v>77</v>
      </c>
      <c r="S1408" s="452"/>
      <c r="T1408" s="452"/>
      <c r="U1408" s="452"/>
      <c r="V1408" s="452"/>
      <c r="W1408" s="452"/>
    </row>
    <row r="1409" spans="4:23" ht="15" customHeight="1" x14ac:dyDescent="0.45">
      <c r="D1409" s="439" t="s">
        <v>1954</v>
      </c>
      <c r="S1409" s="452"/>
      <c r="T1409" s="452"/>
      <c r="U1409" s="452"/>
      <c r="V1409" s="452"/>
      <c r="W1409" s="452"/>
    </row>
    <row r="1410" spans="4:23" ht="15" customHeight="1" x14ac:dyDescent="0.45">
      <c r="S1410" s="452"/>
      <c r="T1410" s="452"/>
      <c r="U1410" s="452"/>
      <c r="V1410" s="452"/>
      <c r="W1410" s="452"/>
    </row>
    <row r="1411" spans="4:23" ht="15" customHeight="1" x14ac:dyDescent="0.45">
      <c r="D1411" s="439" t="s">
        <v>1938</v>
      </c>
      <c r="S1411" s="452"/>
      <c r="T1411" s="452"/>
      <c r="U1411" s="452"/>
      <c r="V1411" s="452"/>
      <c r="W1411" s="452"/>
    </row>
    <row r="1412" spans="4:23" ht="15" customHeight="1" x14ac:dyDescent="0.45">
      <c r="S1412" s="452"/>
      <c r="T1412" s="452"/>
      <c r="U1412" s="452"/>
      <c r="V1412" s="452"/>
      <c r="W1412" s="452"/>
    </row>
    <row r="1413" spans="4:23" ht="15" customHeight="1" x14ac:dyDescent="0.45">
      <c r="D1413" s="439" t="s">
        <v>1939</v>
      </c>
      <c r="S1413" s="452"/>
      <c r="T1413" s="452"/>
      <c r="U1413" s="452"/>
      <c r="V1413" s="452"/>
      <c r="W1413" s="452"/>
    </row>
    <row r="1414" spans="4:23" ht="15" customHeight="1" x14ac:dyDescent="0.45">
      <c r="S1414" s="452"/>
      <c r="T1414" s="452"/>
      <c r="U1414" s="452"/>
      <c r="V1414" s="452"/>
      <c r="W1414" s="452"/>
    </row>
    <row r="1415" spans="4:23" ht="15" customHeight="1" x14ac:dyDescent="0.45">
      <c r="D1415" s="439" t="s">
        <v>1940</v>
      </c>
      <c r="S1415" s="452"/>
      <c r="T1415" s="452"/>
      <c r="U1415" s="452"/>
      <c r="V1415" s="452"/>
      <c r="W1415" s="452"/>
    </row>
    <row r="1416" spans="4:23" ht="15" customHeight="1" x14ac:dyDescent="0.45">
      <c r="D1416" s="439" t="s">
        <v>1955</v>
      </c>
      <c r="S1416" s="452"/>
      <c r="T1416" s="452"/>
      <c r="U1416" s="452"/>
      <c r="V1416" s="452"/>
      <c r="W1416" s="452"/>
    </row>
    <row r="1417" spans="4:23" ht="15" customHeight="1" x14ac:dyDescent="0.45">
      <c r="S1417" s="452"/>
      <c r="T1417" s="452"/>
      <c r="U1417" s="452"/>
      <c r="V1417" s="452"/>
      <c r="W1417" s="452"/>
    </row>
    <row r="1418" spans="4:23" ht="15" customHeight="1" x14ac:dyDescent="0.45">
      <c r="S1418" s="452"/>
      <c r="T1418" s="452"/>
      <c r="U1418" s="452"/>
      <c r="V1418" s="452"/>
      <c r="W1418" s="452"/>
    </row>
    <row r="1419" spans="4:23" ht="15" customHeight="1" x14ac:dyDescent="0.45">
      <c r="S1419" s="452"/>
      <c r="T1419" s="452"/>
      <c r="U1419" s="452"/>
      <c r="V1419" s="452"/>
      <c r="W1419" s="452"/>
    </row>
    <row r="1420" spans="4:23" ht="15" customHeight="1" x14ac:dyDescent="0.45">
      <c r="S1420" s="452"/>
      <c r="T1420" s="452"/>
      <c r="U1420" s="452"/>
      <c r="V1420" s="452"/>
      <c r="W1420" s="452"/>
    </row>
    <row r="1421" spans="4:23" ht="15" customHeight="1" x14ac:dyDescent="0.45">
      <c r="S1421" s="452"/>
      <c r="T1421" s="452"/>
      <c r="U1421" s="452"/>
      <c r="V1421" s="452"/>
      <c r="W1421" s="452"/>
    </row>
    <row r="1422" spans="4:23" ht="15" customHeight="1" x14ac:dyDescent="0.45">
      <c r="D1422" s="439" t="s">
        <v>1941</v>
      </c>
      <c r="S1422" s="452"/>
      <c r="T1422" s="452"/>
      <c r="U1422" s="452"/>
      <c r="V1422" s="452"/>
      <c r="W1422" s="452"/>
    </row>
    <row r="1423" spans="4:23" ht="15" customHeight="1" x14ac:dyDescent="0.45">
      <c r="S1423" s="452"/>
      <c r="T1423" s="452"/>
      <c r="U1423" s="452"/>
      <c r="V1423" s="452"/>
      <c r="W1423" s="452"/>
    </row>
    <row r="1424" spans="4:23" ht="15" customHeight="1" x14ac:dyDescent="0.45">
      <c r="D1424" s="439" t="s">
        <v>1956</v>
      </c>
      <c r="S1424" s="452"/>
      <c r="T1424" s="452"/>
      <c r="U1424" s="452"/>
      <c r="V1424" s="452"/>
      <c r="W1424" s="452"/>
    </row>
    <row r="1425" spans="4:23" ht="15" customHeight="1" x14ac:dyDescent="0.45">
      <c r="S1425" s="452"/>
      <c r="T1425" s="452"/>
      <c r="U1425" s="452"/>
      <c r="V1425" s="452"/>
      <c r="W1425" s="452"/>
    </row>
    <row r="1426" spans="4:23" ht="15" customHeight="1" x14ac:dyDescent="0.45">
      <c r="D1426" s="439" t="s">
        <v>1941</v>
      </c>
      <c r="S1426" s="452"/>
      <c r="T1426" s="452"/>
      <c r="U1426" s="452"/>
      <c r="V1426" s="452"/>
      <c r="W1426" s="452"/>
    </row>
    <row r="1427" spans="4:23" ht="15" customHeight="1" x14ac:dyDescent="0.45">
      <c r="S1427" s="452"/>
      <c r="T1427" s="452"/>
      <c r="U1427" s="452"/>
      <c r="V1427" s="452"/>
      <c r="W1427" s="452"/>
    </row>
    <row r="1428" spans="4:23" ht="15" customHeight="1" x14ac:dyDescent="0.45">
      <c r="D1428" s="439" t="s">
        <v>1938</v>
      </c>
      <c r="S1428" s="452"/>
      <c r="T1428" s="452"/>
      <c r="U1428" s="452"/>
      <c r="V1428" s="452"/>
      <c r="W1428" s="452"/>
    </row>
    <row r="1429" spans="4:23" ht="15" customHeight="1" x14ac:dyDescent="0.45">
      <c r="D1429" s="439" t="s">
        <v>1954</v>
      </c>
      <c r="S1429" s="452"/>
      <c r="T1429" s="452"/>
      <c r="U1429" s="452"/>
      <c r="V1429" s="452"/>
      <c r="W1429" s="452"/>
    </row>
    <row r="1430" spans="4:23" ht="15" customHeight="1" x14ac:dyDescent="0.45">
      <c r="S1430" s="452"/>
      <c r="T1430" s="452"/>
      <c r="U1430" s="452"/>
      <c r="V1430" s="452"/>
      <c r="W1430" s="452"/>
    </row>
    <row r="1431" spans="4:23" ht="15" customHeight="1" x14ac:dyDescent="0.45">
      <c r="S1431" s="452"/>
      <c r="T1431" s="452"/>
      <c r="U1431" s="452"/>
      <c r="V1431" s="452"/>
      <c r="W1431" s="452"/>
    </row>
    <row r="1432" spans="4:23" ht="15" customHeight="1" x14ac:dyDescent="0.45">
      <c r="S1432" s="452"/>
      <c r="T1432" s="452"/>
      <c r="U1432" s="452"/>
      <c r="V1432" s="452"/>
      <c r="W1432" s="452"/>
    </row>
    <row r="1433" spans="4:23" ht="15" customHeight="1" x14ac:dyDescent="0.45">
      <c r="S1433" s="452"/>
      <c r="T1433" s="452"/>
      <c r="U1433" s="452"/>
      <c r="V1433" s="452"/>
      <c r="W1433" s="452"/>
    </row>
    <row r="1434" spans="4:23" ht="15" customHeight="1" x14ac:dyDescent="0.45">
      <c r="S1434" s="452"/>
      <c r="T1434" s="452"/>
      <c r="U1434" s="452"/>
      <c r="V1434" s="452"/>
      <c r="W1434" s="452"/>
    </row>
    <row r="1435" spans="4:23" ht="15" customHeight="1" x14ac:dyDescent="0.45">
      <c r="D1435" s="439">
        <v>77</v>
      </c>
      <c r="S1435" s="452"/>
      <c r="T1435" s="452"/>
      <c r="U1435" s="452"/>
      <c r="V1435" s="452"/>
      <c r="W1435" s="452"/>
    </row>
    <row r="1436" spans="4:23" ht="15" customHeight="1" x14ac:dyDescent="0.45">
      <c r="D1436" s="439" t="s">
        <v>1954</v>
      </c>
      <c r="S1436" s="452"/>
      <c r="T1436" s="452"/>
      <c r="U1436" s="452"/>
      <c r="V1436" s="452"/>
      <c r="W1436" s="452"/>
    </row>
    <row r="1437" spans="4:23" ht="15" customHeight="1" x14ac:dyDescent="0.45">
      <c r="S1437" s="452"/>
      <c r="T1437" s="452"/>
      <c r="U1437" s="452"/>
      <c r="V1437" s="452"/>
      <c r="W1437" s="452"/>
    </row>
    <row r="1438" spans="4:23" ht="15" customHeight="1" x14ac:dyDescent="0.45">
      <c r="D1438" s="439" t="s">
        <v>1938</v>
      </c>
      <c r="S1438" s="452"/>
      <c r="T1438" s="452"/>
      <c r="U1438" s="452"/>
      <c r="V1438" s="452"/>
      <c r="W1438" s="452"/>
    </row>
    <row r="1439" spans="4:23" ht="15" customHeight="1" x14ac:dyDescent="0.45">
      <c r="S1439" s="452"/>
      <c r="T1439" s="452"/>
      <c r="U1439" s="452"/>
      <c r="V1439" s="452"/>
      <c r="W1439" s="452"/>
    </row>
    <row r="1440" spans="4:23" ht="15" customHeight="1" x14ac:dyDescent="0.45">
      <c r="D1440" s="439" t="s">
        <v>1939</v>
      </c>
      <c r="S1440" s="452"/>
      <c r="T1440" s="452"/>
      <c r="U1440" s="452"/>
      <c r="V1440" s="452"/>
      <c r="W1440" s="452"/>
    </row>
    <row r="1441" spans="4:23" ht="15" customHeight="1" x14ac:dyDescent="0.45">
      <c r="S1441" s="452"/>
      <c r="T1441" s="452"/>
      <c r="U1441" s="452"/>
      <c r="V1441" s="452"/>
      <c r="W1441" s="452"/>
    </row>
    <row r="1442" spans="4:23" ht="15" customHeight="1" x14ac:dyDescent="0.45">
      <c r="D1442" s="439" t="s">
        <v>1940</v>
      </c>
      <c r="S1442" s="452"/>
      <c r="T1442" s="452"/>
      <c r="U1442" s="452"/>
      <c r="V1442" s="452"/>
      <c r="W1442" s="452"/>
    </row>
    <row r="1443" spans="4:23" ht="15" customHeight="1" x14ac:dyDescent="0.45">
      <c r="D1443" s="439" t="s">
        <v>1955</v>
      </c>
      <c r="S1443" s="452"/>
      <c r="T1443" s="452"/>
      <c r="U1443" s="452"/>
      <c r="V1443" s="452"/>
      <c r="W1443" s="452"/>
    </row>
    <row r="1444" spans="4:23" ht="15" customHeight="1" x14ac:dyDescent="0.45">
      <c r="S1444" s="452"/>
      <c r="T1444" s="452"/>
      <c r="U1444" s="452"/>
      <c r="V1444" s="452"/>
      <c r="W1444" s="452"/>
    </row>
    <row r="1445" spans="4:23" ht="15" customHeight="1" x14ac:dyDescent="0.45">
      <c r="S1445" s="452"/>
      <c r="T1445" s="452"/>
      <c r="U1445" s="452"/>
      <c r="V1445" s="452"/>
      <c r="W1445" s="452"/>
    </row>
    <row r="1446" spans="4:23" ht="15" customHeight="1" x14ac:dyDescent="0.45">
      <c r="S1446" s="452"/>
      <c r="T1446" s="452"/>
      <c r="U1446" s="452"/>
      <c r="V1446" s="452"/>
      <c r="W1446" s="452"/>
    </row>
    <row r="1447" spans="4:23" ht="15" customHeight="1" x14ac:dyDescent="0.45">
      <c r="S1447" s="452"/>
      <c r="T1447" s="452"/>
      <c r="U1447" s="452"/>
      <c r="V1447" s="452"/>
      <c r="W1447" s="452"/>
    </row>
    <row r="1448" spans="4:23" ht="15" customHeight="1" x14ac:dyDescent="0.45">
      <c r="S1448" s="452"/>
      <c r="T1448" s="452"/>
      <c r="U1448" s="452"/>
      <c r="V1448" s="452"/>
      <c r="W1448" s="452"/>
    </row>
    <row r="1449" spans="4:23" ht="15" customHeight="1" x14ac:dyDescent="0.45">
      <c r="D1449" s="439" t="s">
        <v>1941</v>
      </c>
      <c r="S1449" s="452"/>
      <c r="T1449" s="452"/>
      <c r="U1449" s="452"/>
      <c r="V1449" s="452"/>
      <c r="W1449" s="452"/>
    </row>
    <row r="1450" spans="4:23" ht="15" customHeight="1" x14ac:dyDescent="0.45">
      <c r="S1450" s="452"/>
      <c r="T1450" s="452"/>
      <c r="U1450" s="452"/>
      <c r="V1450" s="452"/>
      <c r="W1450" s="452"/>
    </row>
    <row r="1451" spans="4:23" ht="15" customHeight="1" x14ac:dyDescent="0.45">
      <c r="D1451" s="439" t="s">
        <v>1956</v>
      </c>
      <c r="S1451" s="452"/>
      <c r="T1451" s="452"/>
      <c r="U1451" s="452"/>
      <c r="V1451" s="452"/>
      <c r="W1451" s="452"/>
    </row>
    <row r="1452" spans="4:23" ht="15" customHeight="1" x14ac:dyDescent="0.45">
      <c r="S1452" s="452"/>
      <c r="T1452" s="452"/>
      <c r="U1452" s="452"/>
      <c r="V1452" s="452"/>
      <c r="W1452" s="452"/>
    </row>
    <row r="1453" spans="4:23" ht="15" customHeight="1" x14ac:dyDescent="0.45">
      <c r="D1453" s="439" t="s">
        <v>1941</v>
      </c>
      <c r="S1453" s="452"/>
      <c r="T1453" s="452"/>
      <c r="U1453" s="452"/>
      <c r="V1453" s="452"/>
      <c r="W1453" s="452"/>
    </row>
    <row r="1454" spans="4:23" ht="15" customHeight="1" x14ac:dyDescent="0.45">
      <c r="S1454" s="452"/>
      <c r="T1454" s="452"/>
      <c r="U1454" s="452"/>
      <c r="V1454" s="452"/>
      <c r="W1454" s="452"/>
    </row>
    <row r="1455" spans="4:23" ht="15" customHeight="1" x14ac:dyDescent="0.45">
      <c r="D1455" s="439" t="s">
        <v>1938</v>
      </c>
      <c r="S1455" s="452"/>
      <c r="T1455" s="452"/>
      <c r="U1455" s="452"/>
      <c r="V1455" s="452"/>
      <c r="W1455" s="452"/>
    </row>
    <row r="1456" spans="4:23" ht="15" customHeight="1" x14ac:dyDescent="0.45">
      <c r="D1456" s="439" t="s">
        <v>1954</v>
      </c>
      <c r="S1456" s="452"/>
      <c r="T1456" s="452"/>
      <c r="U1456" s="452"/>
      <c r="V1456" s="452"/>
      <c r="W1456" s="452"/>
    </row>
    <row r="1457" spans="4:23" ht="15" customHeight="1" x14ac:dyDescent="0.45">
      <c r="S1457" s="452"/>
      <c r="T1457" s="452"/>
      <c r="U1457" s="452"/>
      <c r="V1457" s="452"/>
      <c r="W1457" s="452"/>
    </row>
    <row r="1458" spans="4:23" ht="15" customHeight="1" x14ac:dyDescent="0.45">
      <c r="S1458" s="452"/>
      <c r="T1458" s="452"/>
      <c r="U1458" s="452"/>
      <c r="V1458" s="452"/>
      <c r="W1458" s="452"/>
    </row>
    <row r="1459" spans="4:23" ht="15" customHeight="1" x14ac:dyDescent="0.45">
      <c r="S1459" s="452"/>
      <c r="T1459" s="452"/>
      <c r="U1459" s="452"/>
      <c r="V1459" s="452"/>
      <c r="W1459" s="452"/>
    </row>
    <row r="1460" spans="4:23" ht="15" customHeight="1" x14ac:dyDescent="0.45">
      <c r="S1460" s="452"/>
      <c r="T1460" s="452"/>
      <c r="U1460" s="452"/>
      <c r="V1460" s="452"/>
      <c r="W1460" s="452"/>
    </row>
    <row r="1461" spans="4:23" ht="15" customHeight="1" x14ac:dyDescent="0.45">
      <c r="S1461" s="452"/>
      <c r="T1461" s="452"/>
      <c r="U1461" s="452"/>
      <c r="V1461" s="452"/>
      <c r="W1461" s="452"/>
    </row>
    <row r="1462" spans="4:23" ht="15" customHeight="1" x14ac:dyDescent="0.45">
      <c r="D1462" s="439">
        <v>55</v>
      </c>
      <c r="S1462" s="452"/>
      <c r="T1462" s="452"/>
      <c r="U1462" s="452"/>
      <c r="V1462" s="452"/>
      <c r="W1462" s="452"/>
    </row>
    <row r="1463" spans="4:23" ht="15" customHeight="1" x14ac:dyDescent="0.45">
      <c r="D1463" s="439" t="s">
        <v>1934</v>
      </c>
      <c r="S1463" s="452"/>
      <c r="T1463" s="452"/>
      <c r="U1463" s="452"/>
      <c r="V1463" s="452"/>
      <c r="W1463" s="452"/>
    </row>
    <row r="1464" spans="4:23" ht="15" customHeight="1" x14ac:dyDescent="0.45">
      <c r="S1464" s="452"/>
      <c r="T1464" s="452"/>
      <c r="U1464" s="452"/>
      <c r="V1464" s="452"/>
      <c r="W1464" s="452"/>
    </row>
    <row r="1465" spans="4:23" ht="15" customHeight="1" x14ac:dyDescent="0.45">
      <c r="D1465" s="439" t="s">
        <v>1935</v>
      </c>
      <c r="S1465" s="452"/>
      <c r="T1465" s="452"/>
      <c r="U1465" s="452"/>
      <c r="V1465" s="452"/>
      <c r="W1465" s="452"/>
    </row>
    <row r="1466" spans="4:23" ht="15" customHeight="1" x14ac:dyDescent="0.45">
      <c r="S1466" s="452"/>
      <c r="T1466" s="452"/>
      <c r="U1466" s="452"/>
      <c r="V1466" s="452"/>
      <c r="W1466" s="452"/>
    </row>
    <row r="1467" spans="4:23" ht="15" customHeight="1" x14ac:dyDescent="0.45">
      <c r="D1467" s="439" t="s">
        <v>1935</v>
      </c>
      <c r="S1467" s="452"/>
      <c r="T1467" s="452"/>
      <c r="U1467" s="452"/>
      <c r="V1467" s="452"/>
      <c r="W1467" s="452"/>
    </row>
    <row r="1468" spans="4:23" ht="15" customHeight="1" x14ac:dyDescent="0.45">
      <c r="S1468" s="452"/>
      <c r="T1468" s="452"/>
      <c r="U1468" s="452"/>
      <c r="V1468" s="452"/>
      <c r="W1468" s="452"/>
    </row>
    <row r="1469" spans="4:23" ht="15" customHeight="1" x14ac:dyDescent="0.45">
      <c r="D1469" s="439" t="s">
        <v>1937</v>
      </c>
      <c r="S1469" s="452"/>
      <c r="T1469" s="452"/>
      <c r="U1469" s="452"/>
      <c r="V1469" s="452"/>
      <c r="W1469" s="452"/>
    </row>
    <row r="1470" spans="4:23" ht="15" customHeight="1" x14ac:dyDescent="0.45">
      <c r="S1470" s="452"/>
      <c r="T1470" s="452"/>
      <c r="U1470" s="452"/>
      <c r="V1470" s="452"/>
      <c r="W1470" s="452"/>
    </row>
    <row r="1471" spans="4:23" ht="15" customHeight="1" x14ac:dyDescent="0.45">
      <c r="S1471" s="452"/>
      <c r="T1471" s="452"/>
      <c r="U1471" s="452"/>
      <c r="V1471" s="452"/>
      <c r="W1471" s="452"/>
    </row>
    <row r="1472" spans="4:23" ht="15" customHeight="1" x14ac:dyDescent="0.45">
      <c r="S1472" s="452"/>
      <c r="T1472" s="452"/>
      <c r="U1472" s="452"/>
      <c r="V1472" s="452"/>
      <c r="W1472" s="452"/>
    </row>
    <row r="1473" spans="4:23" ht="15" customHeight="1" x14ac:dyDescent="0.45">
      <c r="S1473" s="452"/>
      <c r="T1473" s="452"/>
      <c r="U1473" s="452"/>
      <c r="V1473" s="452"/>
      <c r="W1473" s="452"/>
    </row>
    <row r="1474" spans="4:23" ht="15" customHeight="1" x14ac:dyDescent="0.45">
      <c r="S1474" s="452"/>
      <c r="T1474" s="452"/>
      <c r="U1474" s="452"/>
      <c r="V1474" s="452"/>
      <c r="W1474" s="452"/>
    </row>
    <row r="1475" spans="4:23" ht="15" customHeight="1" x14ac:dyDescent="0.45">
      <c r="S1475" s="452"/>
      <c r="T1475" s="452"/>
      <c r="U1475" s="452"/>
      <c r="V1475" s="452"/>
      <c r="W1475" s="452"/>
    </row>
    <row r="1476" spans="4:23" ht="15" customHeight="1" x14ac:dyDescent="0.45">
      <c r="D1476" s="439" t="s">
        <v>1936</v>
      </c>
      <c r="S1476" s="452"/>
      <c r="T1476" s="452"/>
      <c r="U1476" s="452"/>
      <c r="V1476" s="452"/>
      <c r="W1476" s="452"/>
    </row>
    <row r="1477" spans="4:23" ht="15" customHeight="1" x14ac:dyDescent="0.45">
      <c r="S1477" s="452"/>
      <c r="T1477" s="452"/>
      <c r="U1477" s="452"/>
      <c r="V1477" s="452"/>
      <c r="W1477" s="452"/>
    </row>
    <row r="1478" spans="4:23" ht="15" customHeight="1" x14ac:dyDescent="0.45">
      <c r="S1478" s="452"/>
      <c r="T1478" s="452"/>
      <c r="U1478" s="452"/>
      <c r="V1478" s="452"/>
      <c r="W1478" s="452"/>
    </row>
    <row r="1479" spans="4:23" ht="15" customHeight="1" x14ac:dyDescent="0.45">
      <c r="S1479" s="452"/>
      <c r="T1479" s="452"/>
      <c r="U1479" s="452"/>
      <c r="V1479" s="452"/>
      <c r="W1479" s="452"/>
    </row>
    <row r="1480" spans="4:23" ht="15" customHeight="1" x14ac:dyDescent="0.45">
      <c r="D1480" s="439" t="s">
        <v>1936</v>
      </c>
      <c r="S1480" s="452"/>
      <c r="T1480" s="452"/>
      <c r="U1480" s="452"/>
      <c r="V1480" s="452"/>
      <c r="W1480" s="452"/>
    </row>
    <row r="1481" spans="4:23" ht="15" customHeight="1" x14ac:dyDescent="0.45">
      <c r="S1481" s="452"/>
      <c r="T1481" s="452"/>
      <c r="U1481" s="452"/>
      <c r="V1481" s="452"/>
      <c r="W1481" s="452"/>
    </row>
    <row r="1482" spans="4:23" ht="15" customHeight="1" x14ac:dyDescent="0.45">
      <c r="D1482" s="439" t="s">
        <v>1936</v>
      </c>
      <c r="S1482" s="452"/>
      <c r="T1482" s="452"/>
      <c r="U1482" s="452"/>
      <c r="V1482" s="452"/>
      <c r="W1482" s="452"/>
    </row>
    <row r="1483" spans="4:23" ht="15" customHeight="1" x14ac:dyDescent="0.45">
      <c r="D1483" s="439" t="s">
        <v>1933</v>
      </c>
      <c r="S1483" s="452"/>
      <c r="T1483" s="452"/>
      <c r="U1483" s="452"/>
      <c r="V1483" s="452"/>
      <c r="W1483" s="452"/>
    </row>
    <row r="1484" spans="4:23" ht="15" customHeight="1" x14ac:dyDescent="0.45">
      <c r="S1484" s="452"/>
      <c r="T1484" s="452"/>
      <c r="U1484" s="452"/>
      <c r="V1484" s="452"/>
      <c r="W1484" s="452"/>
    </row>
    <row r="1485" spans="4:23" ht="15" customHeight="1" x14ac:dyDescent="0.45">
      <c r="S1485" s="452"/>
      <c r="T1485" s="452"/>
      <c r="U1485" s="452"/>
      <c r="V1485" s="452"/>
      <c r="W1485" s="452"/>
    </row>
    <row r="1486" spans="4:23" ht="15" customHeight="1" x14ac:dyDescent="0.45">
      <c r="S1486" s="452"/>
      <c r="T1486" s="452"/>
      <c r="U1486" s="452"/>
      <c r="V1486" s="452"/>
      <c r="W1486" s="452"/>
    </row>
    <row r="1487" spans="4:23" ht="15" customHeight="1" x14ac:dyDescent="0.45">
      <c r="S1487" s="452"/>
      <c r="T1487" s="452"/>
      <c r="U1487" s="452"/>
      <c r="V1487" s="452"/>
      <c r="W1487" s="452"/>
    </row>
    <row r="1488" spans="4:23" ht="15" customHeight="1" x14ac:dyDescent="0.45">
      <c r="S1488" s="452"/>
      <c r="T1488" s="452"/>
      <c r="U1488" s="452"/>
      <c r="V1488" s="452"/>
      <c r="W1488" s="452"/>
    </row>
    <row r="1489" spans="4:23" ht="15" customHeight="1" x14ac:dyDescent="0.45">
      <c r="D1489" s="439">
        <v>66</v>
      </c>
      <c r="S1489" s="452"/>
      <c r="T1489" s="452"/>
      <c r="U1489" s="452"/>
      <c r="V1489" s="452"/>
      <c r="W1489" s="452"/>
    </row>
    <row r="1490" spans="4:23" ht="15" customHeight="1" x14ac:dyDescent="0.45">
      <c r="D1490" s="439" t="s">
        <v>1958</v>
      </c>
      <c r="S1490" s="452"/>
      <c r="T1490" s="452"/>
      <c r="U1490" s="452"/>
      <c r="V1490" s="452"/>
      <c r="W1490" s="452"/>
    </row>
    <row r="1491" spans="4:23" ht="15" customHeight="1" x14ac:dyDescent="0.45">
      <c r="D1491" s="439" t="s">
        <v>912</v>
      </c>
      <c r="S1491" s="452"/>
      <c r="T1491" s="452"/>
      <c r="U1491" s="452"/>
      <c r="V1491" s="452"/>
      <c r="W1491" s="452"/>
    </row>
    <row r="1492" spans="4:23" ht="15" customHeight="1" x14ac:dyDescent="0.45">
      <c r="D1492" s="439" t="s">
        <v>1959</v>
      </c>
      <c r="S1492" s="452"/>
      <c r="T1492" s="452"/>
      <c r="U1492" s="452"/>
      <c r="V1492" s="452"/>
      <c r="W1492" s="452"/>
    </row>
    <row r="1493" spans="4:23" ht="15" customHeight="1" x14ac:dyDescent="0.45">
      <c r="S1493" s="452"/>
      <c r="T1493" s="452"/>
      <c r="U1493" s="452"/>
      <c r="V1493" s="452"/>
      <c r="W1493" s="452"/>
    </row>
    <row r="1494" spans="4:23" ht="15" customHeight="1" x14ac:dyDescent="0.45">
      <c r="D1494" s="439" t="s">
        <v>1962</v>
      </c>
      <c r="S1494" s="452"/>
      <c r="T1494" s="452"/>
      <c r="U1494" s="452"/>
      <c r="V1494" s="452"/>
      <c r="W1494" s="452"/>
    </row>
    <row r="1495" spans="4:23" ht="15" customHeight="1" x14ac:dyDescent="0.45">
      <c r="S1495" s="452"/>
      <c r="T1495" s="452"/>
      <c r="U1495" s="452"/>
      <c r="V1495" s="452"/>
      <c r="W1495" s="452"/>
    </row>
    <row r="1496" spans="4:23" ht="15" customHeight="1" x14ac:dyDescent="0.45">
      <c r="D1496" s="439" t="s">
        <v>1960</v>
      </c>
      <c r="S1496" s="452"/>
      <c r="T1496" s="452"/>
      <c r="U1496" s="452"/>
      <c r="V1496" s="452"/>
      <c r="W1496" s="452"/>
    </row>
    <row r="1497" spans="4:23" ht="15" customHeight="1" x14ac:dyDescent="0.45">
      <c r="D1497" s="439" t="s">
        <v>1962</v>
      </c>
      <c r="S1497" s="452"/>
      <c r="T1497" s="452"/>
      <c r="U1497" s="452"/>
      <c r="V1497" s="452"/>
      <c r="W1497" s="452"/>
    </row>
    <row r="1498" spans="4:23" ht="15" customHeight="1" x14ac:dyDescent="0.45">
      <c r="S1498" s="452"/>
      <c r="T1498" s="452"/>
      <c r="U1498" s="452"/>
      <c r="V1498" s="452"/>
      <c r="W1498" s="452"/>
    </row>
    <row r="1499" spans="4:23" ht="15" customHeight="1" x14ac:dyDescent="0.45">
      <c r="S1499" s="452"/>
      <c r="T1499" s="452"/>
      <c r="U1499" s="452"/>
      <c r="V1499" s="452"/>
      <c r="W1499" s="452"/>
    </row>
    <row r="1500" spans="4:23" ht="15" customHeight="1" x14ac:dyDescent="0.45">
      <c r="S1500" s="452"/>
      <c r="T1500" s="452"/>
      <c r="U1500" s="452"/>
      <c r="V1500" s="452"/>
      <c r="W1500" s="452"/>
    </row>
    <row r="1501" spans="4:23" ht="15" customHeight="1" x14ac:dyDescent="0.45">
      <c r="S1501" s="452"/>
      <c r="T1501" s="452"/>
      <c r="U1501" s="452"/>
      <c r="V1501" s="452"/>
      <c r="W1501" s="452"/>
    </row>
    <row r="1502" spans="4:23" ht="15" customHeight="1" x14ac:dyDescent="0.45">
      <c r="S1502" s="452"/>
      <c r="T1502" s="452"/>
      <c r="U1502" s="452"/>
      <c r="V1502" s="452"/>
      <c r="W1502" s="452"/>
    </row>
    <row r="1503" spans="4:23" ht="15" customHeight="1" x14ac:dyDescent="0.45">
      <c r="D1503" s="439" t="s">
        <v>1957</v>
      </c>
      <c r="S1503" s="452"/>
      <c r="T1503" s="452"/>
      <c r="U1503" s="452"/>
      <c r="V1503" s="452"/>
      <c r="W1503" s="452"/>
    </row>
    <row r="1504" spans="4:23" ht="15" customHeight="1" x14ac:dyDescent="0.45">
      <c r="D1504" s="439" t="s">
        <v>1957</v>
      </c>
      <c r="S1504" s="452"/>
      <c r="T1504" s="452"/>
      <c r="U1504" s="452"/>
      <c r="V1504" s="452"/>
      <c r="W1504" s="452"/>
    </row>
    <row r="1505" spans="4:23" ht="15" customHeight="1" x14ac:dyDescent="0.45">
      <c r="D1505" s="439" t="s">
        <v>1959</v>
      </c>
      <c r="S1505" s="452"/>
      <c r="T1505" s="452"/>
      <c r="U1505" s="452"/>
      <c r="V1505" s="452"/>
      <c r="W1505" s="452"/>
    </row>
    <row r="1506" spans="4:23" ht="15" customHeight="1" x14ac:dyDescent="0.45">
      <c r="S1506" s="452"/>
      <c r="T1506" s="452"/>
      <c r="U1506" s="452"/>
      <c r="V1506" s="452"/>
      <c r="W1506" s="452"/>
    </row>
    <row r="1507" spans="4:23" ht="15" customHeight="1" x14ac:dyDescent="0.45">
      <c r="D1507" s="439" t="s">
        <v>1962</v>
      </c>
      <c r="S1507" s="452"/>
      <c r="T1507" s="452"/>
      <c r="U1507" s="452"/>
      <c r="V1507" s="452"/>
      <c r="W1507" s="452"/>
    </row>
    <row r="1508" spans="4:23" ht="15" customHeight="1" x14ac:dyDescent="0.45">
      <c r="S1508" s="452"/>
      <c r="T1508" s="452"/>
      <c r="U1508" s="452"/>
      <c r="V1508" s="452"/>
      <c r="W1508" s="452"/>
    </row>
    <row r="1509" spans="4:23" ht="15" customHeight="1" x14ac:dyDescent="0.45">
      <c r="D1509" s="439" t="s">
        <v>1962</v>
      </c>
      <c r="S1509" s="452"/>
      <c r="T1509" s="452"/>
      <c r="U1509" s="452"/>
      <c r="V1509" s="452"/>
      <c r="W1509" s="452"/>
    </row>
    <row r="1510" spans="4:23" ht="15" customHeight="1" x14ac:dyDescent="0.45">
      <c r="D1510" s="439" t="s">
        <v>1961</v>
      </c>
      <c r="S1510" s="452"/>
      <c r="T1510" s="452"/>
      <c r="U1510" s="452"/>
      <c r="V1510" s="452"/>
      <c r="W1510" s="452"/>
    </row>
    <row r="1511" spans="4:23" ht="15" customHeight="1" x14ac:dyDescent="0.45">
      <c r="S1511" s="452"/>
      <c r="T1511" s="452"/>
      <c r="U1511" s="452"/>
      <c r="V1511" s="452"/>
      <c r="W1511" s="452"/>
    </row>
    <row r="1512" spans="4:23" ht="15" customHeight="1" x14ac:dyDescent="0.45">
      <c r="S1512" s="452"/>
      <c r="T1512" s="452"/>
      <c r="U1512" s="452"/>
      <c r="V1512" s="452"/>
      <c r="W1512" s="452"/>
    </row>
    <row r="1513" spans="4:23" ht="15" customHeight="1" x14ac:dyDescent="0.45">
      <c r="S1513" s="452"/>
      <c r="T1513" s="452"/>
      <c r="U1513" s="452"/>
      <c r="V1513" s="452"/>
      <c r="W1513" s="452"/>
    </row>
    <row r="1514" spans="4:23" ht="15" customHeight="1" x14ac:dyDescent="0.45">
      <c r="S1514" s="452"/>
      <c r="T1514" s="452"/>
      <c r="U1514" s="452"/>
      <c r="V1514" s="452"/>
      <c r="W1514" s="452"/>
    </row>
    <row r="1515" spans="4:23" ht="15" customHeight="1" x14ac:dyDescent="0.45">
      <c r="S1515" s="452"/>
      <c r="T1515" s="452"/>
      <c r="U1515" s="452"/>
      <c r="V1515" s="452"/>
      <c r="W1515" s="452"/>
    </row>
    <row r="1516" spans="4:23" ht="15" customHeight="1" x14ac:dyDescent="0.45">
      <c r="S1516" s="452"/>
      <c r="T1516" s="452"/>
      <c r="U1516" s="452"/>
      <c r="V1516" s="452"/>
      <c r="W1516" s="452"/>
    </row>
    <row r="1517" spans="4:23" ht="15" customHeight="1" x14ac:dyDescent="0.45">
      <c r="S1517" s="452"/>
      <c r="T1517" s="452"/>
      <c r="U1517" s="452"/>
      <c r="V1517" s="452"/>
      <c r="W1517" s="452"/>
    </row>
    <row r="1518" spans="4:23" ht="15" customHeight="1" x14ac:dyDescent="0.45">
      <c r="S1518" s="452"/>
      <c r="T1518" s="452"/>
      <c r="U1518" s="452"/>
      <c r="V1518" s="452"/>
      <c r="W1518" s="452"/>
    </row>
    <row r="1519" spans="4:23" ht="15" customHeight="1" x14ac:dyDescent="0.45">
      <c r="S1519" s="452"/>
      <c r="T1519" s="452"/>
      <c r="U1519" s="452"/>
      <c r="V1519" s="452"/>
      <c r="W1519" s="452"/>
    </row>
    <row r="1520" spans="4:23" ht="15" customHeight="1" x14ac:dyDescent="0.45">
      <c r="S1520" s="452"/>
      <c r="T1520" s="452"/>
      <c r="U1520" s="452"/>
      <c r="V1520" s="452"/>
      <c r="W1520" s="452"/>
    </row>
    <row r="1521" spans="19:23" ht="15" customHeight="1" x14ac:dyDescent="0.45">
      <c r="S1521" s="452"/>
      <c r="T1521" s="452"/>
      <c r="U1521" s="452"/>
      <c r="V1521" s="452"/>
      <c r="W1521" s="452"/>
    </row>
    <row r="1522" spans="19:23" ht="15" customHeight="1" x14ac:dyDescent="0.45">
      <c r="S1522" s="452"/>
      <c r="T1522" s="452"/>
      <c r="U1522" s="452"/>
      <c r="V1522" s="452"/>
      <c r="W1522" s="452"/>
    </row>
    <row r="1523" spans="19:23" ht="15" customHeight="1" x14ac:dyDescent="0.45">
      <c r="S1523" s="452"/>
      <c r="T1523" s="452"/>
      <c r="U1523" s="452"/>
      <c r="V1523" s="452"/>
      <c r="W1523" s="452"/>
    </row>
    <row r="1524" spans="19:23" ht="15" customHeight="1" x14ac:dyDescent="0.45">
      <c r="S1524" s="452"/>
      <c r="T1524" s="452"/>
      <c r="U1524" s="452"/>
      <c r="V1524" s="452"/>
      <c r="W1524" s="452"/>
    </row>
    <row r="1525" spans="19:23" ht="15" customHeight="1" x14ac:dyDescent="0.45">
      <c r="S1525" s="452"/>
      <c r="T1525" s="452"/>
      <c r="U1525" s="452"/>
      <c r="V1525" s="452"/>
      <c r="W1525" s="452"/>
    </row>
    <row r="1526" spans="19:23" ht="15" customHeight="1" x14ac:dyDescent="0.45">
      <c r="S1526" s="452"/>
      <c r="T1526" s="452"/>
      <c r="U1526" s="452"/>
      <c r="V1526" s="452"/>
      <c r="W1526" s="452"/>
    </row>
    <row r="1527" spans="19:23" ht="15" customHeight="1" x14ac:dyDescent="0.45">
      <c r="S1527" s="452"/>
      <c r="T1527" s="452"/>
      <c r="U1527" s="452"/>
      <c r="V1527" s="452"/>
      <c r="W1527" s="452"/>
    </row>
    <row r="1528" spans="19:23" ht="15" customHeight="1" x14ac:dyDescent="0.45">
      <c r="S1528" s="452"/>
      <c r="T1528" s="452"/>
      <c r="U1528" s="452"/>
      <c r="V1528" s="452"/>
      <c r="W1528" s="452"/>
    </row>
    <row r="1529" spans="19:23" ht="15" customHeight="1" x14ac:dyDescent="0.45">
      <c r="S1529" s="452"/>
      <c r="T1529" s="452"/>
      <c r="U1529" s="452"/>
      <c r="V1529" s="452"/>
      <c r="W1529" s="452"/>
    </row>
    <row r="1530" spans="19:23" ht="15" customHeight="1" x14ac:dyDescent="0.45">
      <c r="S1530" s="452"/>
      <c r="T1530" s="452"/>
      <c r="U1530" s="452"/>
      <c r="V1530" s="452"/>
      <c r="W1530" s="452"/>
    </row>
    <row r="1531" spans="19:23" ht="15" customHeight="1" x14ac:dyDescent="0.45">
      <c r="S1531" s="452"/>
      <c r="T1531" s="452"/>
      <c r="U1531" s="452"/>
      <c r="V1531" s="452"/>
      <c r="W1531" s="452"/>
    </row>
    <row r="1532" spans="19:23" ht="15" customHeight="1" x14ac:dyDescent="0.45">
      <c r="S1532" s="452"/>
      <c r="T1532" s="452"/>
      <c r="U1532" s="452"/>
      <c r="V1532" s="452"/>
      <c r="W1532" s="452"/>
    </row>
    <row r="1533" spans="19:23" ht="15" customHeight="1" x14ac:dyDescent="0.45">
      <c r="S1533" s="452"/>
      <c r="T1533" s="452"/>
      <c r="U1533" s="452"/>
      <c r="V1533" s="452"/>
      <c r="W1533" s="452"/>
    </row>
    <row r="1534" spans="19:23" ht="15" customHeight="1" x14ac:dyDescent="0.45">
      <c r="S1534" s="452"/>
      <c r="T1534" s="452"/>
      <c r="U1534" s="452"/>
      <c r="V1534" s="452"/>
      <c r="W1534" s="452"/>
    </row>
    <row r="1535" spans="19:23" ht="15" customHeight="1" x14ac:dyDescent="0.45">
      <c r="S1535" s="452"/>
      <c r="T1535" s="452"/>
      <c r="U1535" s="452"/>
      <c r="V1535" s="452"/>
      <c r="W1535" s="452"/>
    </row>
    <row r="1536" spans="19:23" ht="15" customHeight="1" x14ac:dyDescent="0.45">
      <c r="S1536" s="452"/>
      <c r="T1536" s="452"/>
      <c r="U1536" s="452"/>
      <c r="V1536" s="452"/>
      <c r="W1536" s="452"/>
    </row>
    <row r="1537" spans="19:23" ht="15" customHeight="1" x14ac:dyDescent="0.45">
      <c r="S1537" s="452"/>
      <c r="T1537" s="452"/>
      <c r="U1537" s="452"/>
      <c r="V1537" s="452"/>
      <c r="W1537" s="452"/>
    </row>
    <row r="1538" spans="19:23" ht="15" customHeight="1" x14ac:dyDescent="0.45">
      <c r="S1538" s="452"/>
      <c r="T1538" s="452"/>
      <c r="U1538" s="452"/>
      <c r="V1538" s="452"/>
      <c r="W1538" s="452"/>
    </row>
    <row r="1539" spans="19:23" ht="15" customHeight="1" x14ac:dyDescent="0.45">
      <c r="S1539" s="452"/>
      <c r="T1539" s="452"/>
      <c r="U1539" s="452"/>
      <c r="V1539" s="452"/>
      <c r="W1539" s="452"/>
    </row>
    <row r="1540" spans="19:23" ht="15" customHeight="1" x14ac:dyDescent="0.45">
      <c r="S1540" s="452"/>
      <c r="T1540" s="452"/>
      <c r="U1540" s="452"/>
      <c r="V1540" s="452"/>
      <c r="W1540" s="452"/>
    </row>
    <row r="1541" spans="19:23" ht="15" customHeight="1" x14ac:dyDescent="0.45">
      <c r="S1541" s="452"/>
      <c r="T1541" s="452"/>
      <c r="U1541" s="452"/>
      <c r="V1541" s="452"/>
      <c r="W1541" s="452"/>
    </row>
    <row r="1542" spans="19:23" ht="15" customHeight="1" x14ac:dyDescent="0.45">
      <c r="S1542" s="452"/>
      <c r="T1542" s="452"/>
      <c r="U1542" s="452"/>
      <c r="V1542" s="452"/>
      <c r="W1542" s="452"/>
    </row>
    <row r="1543" spans="19:23" ht="15" customHeight="1" x14ac:dyDescent="0.45">
      <c r="S1543" s="452"/>
      <c r="T1543" s="452"/>
      <c r="U1543" s="452"/>
      <c r="V1543" s="452"/>
      <c r="W1543" s="452"/>
    </row>
    <row r="1544" spans="19:23" ht="15" customHeight="1" x14ac:dyDescent="0.45">
      <c r="S1544" s="452"/>
      <c r="T1544" s="452"/>
      <c r="U1544" s="452"/>
      <c r="V1544" s="452"/>
      <c r="W1544" s="452"/>
    </row>
    <row r="1545" spans="19:23" ht="15" customHeight="1" x14ac:dyDescent="0.45">
      <c r="S1545" s="452"/>
      <c r="T1545" s="452"/>
      <c r="U1545" s="452"/>
      <c r="V1545" s="452"/>
      <c r="W1545" s="452"/>
    </row>
    <row r="1546" spans="19:23" ht="15" customHeight="1" x14ac:dyDescent="0.45">
      <c r="S1546" s="452"/>
      <c r="T1546" s="452"/>
      <c r="U1546" s="452"/>
      <c r="V1546" s="452"/>
      <c r="W1546" s="452"/>
    </row>
    <row r="1547" spans="19:23" ht="15" customHeight="1" x14ac:dyDescent="0.45">
      <c r="S1547" s="452"/>
      <c r="T1547" s="452"/>
      <c r="U1547" s="452"/>
      <c r="V1547" s="452"/>
      <c r="W1547" s="452"/>
    </row>
    <row r="1548" spans="19:23" ht="15" customHeight="1" x14ac:dyDescent="0.45">
      <c r="S1548" s="452"/>
      <c r="T1548" s="452"/>
      <c r="U1548" s="452"/>
      <c r="V1548" s="452"/>
      <c r="W1548" s="452"/>
    </row>
    <row r="1549" spans="19:23" ht="15" customHeight="1" x14ac:dyDescent="0.45">
      <c r="S1549" s="452"/>
      <c r="T1549" s="452"/>
      <c r="U1549" s="452"/>
      <c r="V1549" s="452"/>
      <c r="W1549" s="452"/>
    </row>
    <row r="1550" spans="19:23" ht="15" customHeight="1" x14ac:dyDescent="0.45">
      <c r="S1550" s="452"/>
      <c r="T1550" s="452"/>
      <c r="U1550" s="452"/>
      <c r="V1550" s="452"/>
      <c r="W1550" s="452"/>
    </row>
    <row r="1551" spans="19:23" ht="15" customHeight="1" x14ac:dyDescent="0.45">
      <c r="S1551" s="452"/>
      <c r="T1551" s="452"/>
      <c r="U1551" s="452"/>
      <c r="V1551" s="452"/>
      <c r="W1551" s="452"/>
    </row>
    <row r="1552" spans="19:23" ht="15" customHeight="1" x14ac:dyDescent="0.45">
      <c r="S1552" s="452"/>
      <c r="T1552" s="452"/>
      <c r="U1552" s="452"/>
      <c r="V1552" s="452"/>
      <c r="W1552" s="452"/>
    </row>
    <row r="1553" spans="19:23" ht="15" customHeight="1" x14ac:dyDescent="0.45">
      <c r="S1553" s="452"/>
      <c r="T1553" s="452"/>
      <c r="U1553" s="452"/>
      <c r="V1553" s="452"/>
      <c r="W1553" s="452"/>
    </row>
    <row r="1554" spans="19:23" ht="15" customHeight="1" x14ac:dyDescent="0.45">
      <c r="S1554" s="452"/>
      <c r="T1554" s="452"/>
      <c r="U1554" s="452"/>
      <c r="V1554" s="452"/>
      <c r="W1554" s="452"/>
    </row>
    <row r="1555" spans="19:23" ht="15" customHeight="1" x14ac:dyDescent="0.45">
      <c r="S1555" s="452"/>
      <c r="T1555" s="452"/>
      <c r="U1555" s="452"/>
      <c r="V1555" s="452"/>
      <c r="W1555" s="452"/>
    </row>
    <row r="1556" spans="19:23" ht="15" customHeight="1" x14ac:dyDescent="0.45">
      <c r="S1556" s="452"/>
      <c r="T1556" s="452"/>
      <c r="U1556" s="452"/>
      <c r="V1556" s="452"/>
      <c r="W1556" s="452"/>
    </row>
    <row r="1557" spans="19:23" ht="15" customHeight="1" x14ac:dyDescent="0.45">
      <c r="S1557" s="452"/>
      <c r="T1557" s="452"/>
      <c r="U1557" s="452"/>
      <c r="V1557" s="452"/>
      <c r="W1557" s="452"/>
    </row>
    <row r="1558" spans="19:23" ht="15" customHeight="1" x14ac:dyDescent="0.45">
      <c r="S1558" s="452"/>
      <c r="T1558" s="452"/>
      <c r="U1558" s="452"/>
      <c r="V1558" s="452"/>
      <c r="W1558" s="452"/>
    </row>
    <row r="1559" spans="19:23" ht="15" customHeight="1" x14ac:dyDescent="0.45">
      <c r="S1559" s="452"/>
      <c r="T1559" s="452"/>
      <c r="U1559" s="452"/>
      <c r="V1559" s="452"/>
      <c r="W1559" s="452"/>
    </row>
    <row r="1560" spans="19:23" ht="15" customHeight="1" x14ac:dyDescent="0.45">
      <c r="S1560" s="452"/>
      <c r="T1560" s="452"/>
      <c r="U1560" s="452"/>
      <c r="V1560" s="452"/>
      <c r="W1560" s="452"/>
    </row>
    <row r="1561" spans="19:23" ht="15" customHeight="1" x14ac:dyDescent="0.45">
      <c r="S1561" s="452"/>
      <c r="T1561" s="452"/>
      <c r="U1561" s="452"/>
      <c r="V1561" s="452"/>
      <c r="W1561" s="452"/>
    </row>
    <row r="1562" spans="19:23" ht="15" customHeight="1" x14ac:dyDescent="0.45">
      <c r="S1562" s="452"/>
      <c r="T1562" s="452"/>
      <c r="U1562" s="452"/>
      <c r="V1562" s="452"/>
      <c r="W1562" s="452"/>
    </row>
    <row r="1563" spans="19:23" ht="15" customHeight="1" x14ac:dyDescent="0.45">
      <c r="S1563" s="452"/>
      <c r="T1563" s="452"/>
      <c r="U1563" s="452"/>
      <c r="V1563" s="452"/>
      <c r="W1563" s="452"/>
    </row>
    <row r="1564" spans="19:23" ht="15" customHeight="1" x14ac:dyDescent="0.45">
      <c r="S1564" s="452"/>
      <c r="T1564" s="452"/>
      <c r="U1564" s="452"/>
      <c r="V1564" s="452"/>
      <c r="W1564" s="452"/>
    </row>
    <row r="1565" spans="19:23" ht="15" customHeight="1" x14ac:dyDescent="0.45">
      <c r="S1565" s="452"/>
      <c r="T1565" s="452"/>
      <c r="U1565" s="452"/>
      <c r="V1565" s="452"/>
      <c r="W1565" s="452"/>
    </row>
    <row r="1566" spans="19:23" ht="15" customHeight="1" x14ac:dyDescent="0.45">
      <c r="S1566" s="452"/>
      <c r="T1566" s="452"/>
      <c r="U1566" s="452"/>
      <c r="V1566" s="452"/>
      <c r="W1566" s="452"/>
    </row>
    <row r="1567" spans="19:23" ht="15" customHeight="1" x14ac:dyDescent="0.45">
      <c r="S1567" s="452"/>
      <c r="T1567" s="452"/>
      <c r="U1567" s="452"/>
      <c r="V1567" s="452"/>
      <c r="W1567" s="452"/>
    </row>
    <row r="1568" spans="19:23" ht="15" customHeight="1" x14ac:dyDescent="0.45">
      <c r="S1568" s="452"/>
      <c r="T1568" s="452"/>
      <c r="U1568" s="452"/>
      <c r="V1568" s="452"/>
      <c r="W1568" s="452"/>
    </row>
    <row r="1569" spans="19:23" ht="15" customHeight="1" x14ac:dyDescent="0.45">
      <c r="S1569" s="452"/>
      <c r="T1569" s="452"/>
      <c r="U1569" s="452"/>
      <c r="V1569" s="452"/>
      <c r="W1569" s="452"/>
    </row>
    <row r="1570" spans="19:23" ht="15" customHeight="1" x14ac:dyDescent="0.45">
      <c r="S1570" s="452"/>
      <c r="T1570" s="452"/>
      <c r="U1570" s="452"/>
      <c r="V1570" s="452"/>
      <c r="W1570" s="452"/>
    </row>
    <row r="1571" spans="19:23" ht="15" customHeight="1" x14ac:dyDescent="0.45">
      <c r="S1571" s="452"/>
      <c r="T1571" s="452"/>
      <c r="U1571" s="452"/>
      <c r="V1571" s="452"/>
      <c r="W1571" s="452"/>
    </row>
    <row r="1572" spans="19:23" ht="15" customHeight="1" x14ac:dyDescent="0.45">
      <c r="S1572" s="452"/>
      <c r="T1572" s="452"/>
      <c r="U1572" s="452"/>
      <c r="V1572" s="452"/>
      <c r="W1572" s="452"/>
    </row>
    <row r="1573" spans="19:23" ht="15" customHeight="1" x14ac:dyDescent="0.45">
      <c r="S1573" s="452"/>
      <c r="T1573" s="452"/>
      <c r="U1573" s="452"/>
      <c r="V1573" s="452"/>
      <c r="W1573" s="452"/>
    </row>
    <row r="1574" spans="19:23" ht="15" customHeight="1" x14ac:dyDescent="0.45">
      <c r="S1574" s="452"/>
      <c r="T1574" s="452"/>
      <c r="U1574" s="452"/>
      <c r="V1574" s="452"/>
      <c r="W1574" s="452"/>
    </row>
    <row r="1575" spans="19:23" ht="15" customHeight="1" x14ac:dyDescent="0.45">
      <c r="S1575" s="452"/>
      <c r="T1575" s="452"/>
      <c r="U1575" s="452"/>
      <c r="V1575" s="452"/>
      <c r="W1575" s="452"/>
    </row>
    <row r="1576" spans="19:23" ht="15" customHeight="1" x14ac:dyDescent="0.45">
      <c r="S1576" s="452"/>
      <c r="T1576" s="452"/>
      <c r="U1576" s="452"/>
      <c r="V1576" s="452"/>
      <c r="W1576" s="452"/>
    </row>
    <row r="1577" spans="19:23" ht="15" customHeight="1" x14ac:dyDescent="0.45">
      <c r="S1577" s="452"/>
      <c r="T1577" s="452"/>
      <c r="U1577" s="452"/>
      <c r="V1577" s="452"/>
      <c r="W1577" s="452"/>
    </row>
    <row r="1578" spans="19:23" ht="15" customHeight="1" x14ac:dyDescent="0.45">
      <c r="S1578" s="452"/>
      <c r="T1578" s="452"/>
      <c r="U1578" s="452"/>
      <c r="V1578" s="452"/>
      <c r="W1578" s="452"/>
    </row>
    <row r="1579" spans="19:23" ht="15" customHeight="1" x14ac:dyDescent="0.45">
      <c r="S1579" s="452"/>
      <c r="T1579" s="452"/>
      <c r="U1579" s="452"/>
      <c r="V1579" s="452"/>
      <c r="W1579" s="452"/>
    </row>
    <row r="1580" spans="19:23" ht="15" customHeight="1" x14ac:dyDescent="0.45">
      <c r="S1580" s="452"/>
      <c r="T1580" s="452"/>
      <c r="U1580" s="452"/>
      <c r="V1580" s="452"/>
      <c r="W1580" s="452"/>
    </row>
    <row r="1581" spans="19:23" ht="15" customHeight="1" x14ac:dyDescent="0.45">
      <c r="S1581" s="452"/>
      <c r="T1581" s="452"/>
      <c r="U1581" s="452"/>
      <c r="V1581" s="452"/>
      <c r="W1581" s="452"/>
    </row>
    <row r="1582" spans="19:23" ht="15" customHeight="1" x14ac:dyDescent="0.45">
      <c r="S1582" s="452"/>
      <c r="T1582" s="452"/>
      <c r="U1582" s="452"/>
      <c r="V1582" s="452"/>
      <c r="W1582" s="452"/>
    </row>
    <row r="1583" spans="19:23" ht="15" customHeight="1" x14ac:dyDescent="0.45">
      <c r="S1583" s="452"/>
      <c r="T1583" s="452"/>
      <c r="U1583" s="452"/>
      <c r="V1583" s="452"/>
      <c r="W1583" s="452"/>
    </row>
    <row r="1584" spans="19:23" ht="15" customHeight="1" x14ac:dyDescent="0.45">
      <c r="S1584" s="452"/>
      <c r="T1584" s="452"/>
      <c r="U1584" s="452"/>
      <c r="V1584" s="452"/>
      <c r="W1584" s="452"/>
    </row>
    <row r="1585" spans="19:23" ht="15" customHeight="1" x14ac:dyDescent="0.45">
      <c r="S1585" s="452"/>
      <c r="T1585" s="452"/>
      <c r="U1585" s="452"/>
      <c r="V1585" s="452"/>
      <c r="W1585" s="452"/>
    </row>
    <row r="1586" spans="19:23" ht="15" customHeight="1" x14ac:dyDescent="0.45">
      <c r="S1586" s="452"/>
      <c r="T1586" s="452"/>
      <c r="U1586" s="452"/>
      <c r="V1586" s="452"/>
      <c r="W1586" s="452"/>
    </row>
    <row r="1587" spans="19:23" ht="15" customHeight="1" x14ac:dyDescent="0.45">
      <c r="S1587" s="452"/>
      <c r="T1587" s="452"/>
      <c r="U1587" s="452"/>
      <c r="V1587" s="452"/>
      <c r="W1587" s="452"/>
    </row>
    <row r="1588" spans="19:23" ht="15" customHeight="1" x14ac:dyDescent="0.45">
      <c r="S1588" s="452"/>
      <c r="T1588" s="452"/>
      <c r="U1588" s="452"/>
      <c r="V1588" s="452"/>
      <c r="W1588" s="452"/>
    </row>
    <row r="1589" spans="19:23" ht="15" customHeight="1" x14ac:dyDescent="0.45">
      <c r="S1589" s="452"/>
      <c r="T1589" s="452"/>
      <c r="U1589" s="452"/>
      <c r="V1589" s="452"/>
      <c r="W1589" s="452"/>
    </row>
    <row r="1590" spans="19:23" ht="15" customHeight="1" x14ac:dyDescent="0.45">
      <c r="S1590" s="452"/>
      <c r="T1590" s="452"/>
      <c r="U1590" s="452"/>
      <c r="V1590" s="452"/>
      <c r="W1590" s="452"/>
    </row>
    <row r="1591" spans="19:23" ht="15" customHeight="1" x14ac:dyDescent="0.45">
      <c r="S1591" s="452"/>
      <c r="T1591" s="452"/>
      <c r="U1591" s="452"/>
      <c r="V1591" s="452"/>
      <c r="W1591" s="452"/>
    </row>
    <row r="1592" spans="19:23" ht="15" customHeight="1" x14ac:dyDescent="0.45">
      <c r="S1592" s="452"/>
      <c r="T1592" s="452"/>
      <c r="U1592" s="452"/>
      <c r="V1592" s="452"/>
      <c r="W1592" s="452"/>
    </row>
    <row r="1593" spans="19:23" ht="15" customHeight="1" x14ac:dyDescent="0.45">
      <c r="S1593" s="452"/>
      <c r="T1593" s="452"/>
      <c r="U1593" s="452"/>
      <c r="V1593" s="452"/>
      <c r="W1593" s="452"/>
    </row>
    <row r="1594" spans="19:23" ht="15" customHeight="1" x14ac:dyDescent="0.45">
      <c r="S1594" s="452"/>
      <c r="T1594" s="452"/>
      <c r="U1594" s="452"/>
      <c r="V1594" s="452"/>
      <c r="W1594" s="452"/>
    </row>
    <row r="1595" spans="19:23" ht="15" customHeight="1" x14ac:dyDescent="0.45">
      <c r="S1595" s="452"/>
      <c r="T1595" s="452"/>
      <c r="U1595" s="452"/>
      <c r="V1595" s="452"/>
      <c r="W1595" s="452"/>
    </row>
    <row r="1596" spans="19:23" ht="15" customHeight="1" x14ac:dyDescent="0.45">
      <c r="S1596" s="452"/>
      <c r="T1596" s="452"/>
      <c r="U1596" s="452"/>
      <c r="V1596" s="452"/>
      <c r="W1596" s="452"/>
    </row>
    <row r="1597" spans="19:23" ht="15" customHeight="1" x14ac:dyDescent="0.45">
      <c r="S1597" s="452"/>
      <c r="T1597" s="452"/>
      <c r="U1597" s="452"/>
      <c r="V1597" s="452"/>
      <c r="W1597" s="452"/>
    </row>
    <row r="1598" spans="19:23" ht="15" customHeight="1" x14ac:dyDescent="0.45">
      <c r="S1598" s="452"/>
      <c r="T1598" s="452"/>
      <c r="U1598" s="452"/>
      <c r="V1598" s="452"/>
      <c r="W1598" s="452"/>
    </row>
    <row r="1599" spans="19:23" ht="15" customHeight="1" x14ac:dyDescent="0.45">
      <c r="S1599" s="452"/>
      <c r="T1599" s="452"/>
      <c r="U1599" s="452"/>
      <c r="V1599" s="452"/>
      <c r="W1599" s="452"/>
    </row>
    <row r="1600" spans="19:23" ht="15" customHeight="1" x14ac:dyDescent="0.45">
      <c r="S1600" s="452"/>
      <c r="T1600" s="452"/>
      <c r="U1600" s="452"/>
      <c r="V1600" s="452"/>
      <c r="W1600" s="452"/>
    </row>
    <row r="1601" spans="19:23" ht="15" customHeight="1" x14ac:dyDescent="0.45">
      <c r="S1601" s="452"/>
      <c r="T1601" s="452"/>
      <c r="U1601" s="452"/>
      <c r="V1601" s="452"/>
      <c r="W1601" s="452"/>
    </row>
    <row r="1602" spans="19:23" ht="15" customHeight="1" x14ac:dyDescent="0.45">
      <c r="S1602" s="452"/>
      <c r="T1602" s="452"/>
      <c r="U1602" s="452"/>
      <c r="V1602" s="452"/>
      <c r="W1602" s="452"/>
    </row>
    <row r="1603" spans="19:23" ht="15" customHeight="1" x14ac:dyDescent="0.45">
      <c r="S1603" s="452"/>
      <c r="T1603" s="452"/>
      <c r="U1603" s="452"/>
      <c r="V1603" s="452"/>
      <c r="W1603" s="452"/>
    </row>
    <row r="1604" spans="19:23" ht="15" customHeight="1" x14ac:dyDescent="0.45">
      <c r="S1604" s="452"/>
      <c r="T1604" s="452"/>
      <c r="U1604" s="452"/>
      <c r="V1604" s="452"/>
      <c r="W1604" s="452"/>
    </row>
    <row r="1605" spans="19:23" ht="15" customHeight="1" x14ac:dyDescent="0.45">
      <c r="S1605" s="452"/>
      <c r="T1605" s="452"/>
      <c r="U1605" s="452"/>
      <c r="V1605" s="452"/>
      <c r="W1605" s="452"/>
    </row>
    <row r="1606" spans="19:23" ht="15" customHeight="1" x14ac:dyDescent="0.45">
      <c r="S1606" s="452"/>
      <c r="T1606" s="452"/>
      <c r="U1606" s="452"/>
      <c r="V1606" s="452"/>
      <c r="W1606" s="452"/>
    </row>
    <row r="1607" spans="19:23" ht="15" customHeight="1" x14ac:dyDescent="0.45">
      <c r="S1607" s="452"/>
      <c r="T1607" s="452"/>
      <c r="U1607" s="452"/>
      <c r="V1607" s="452"/>
      <c r="W1607" s="452"/>
    </row>
    <row r="1608" spans="19:23" ht="15" customHeight="1" x14ac:dyDescent="0.45">
      <c r="S1608" s="452"/>
      <c r="T1608" s="452"/>
      <c r="U1608" s="452"/>
      <c r="V1608" s="452"/>
      <c r="W1608" s="452"/>
    </row>
    <row r="1609" spans="19:23" ht="15" customHeight="1" x14ac:dyDescent="0.45">
      <c r="S1609" s="452"/>
      <c r="T1609" s="452"/>
      <c r="U1609" s="452"/>
      <c r="V1609" s="452"/>
      <c r="W1609" s="452"/>
    </row>
    <row r="1610" spans="19:23" ht="15" customHeight="1" x14ac:dyDescent="0.45">
      <c r="S1610" s="452"/>
      <c r="T1610" s="452"/>
      <c r="U1610" s="452"/>
      <c r="V1610" s="452"/>
      <c r="W1610" s="452"/>
    </row>
    <row r="1611" spans="19:23" ht="15" customHeight="1" x14ac:dyDescent="0.45">
      <c r="S1611" s="452"/>
      <c r="T1611" s="452"/>
      <c r="U1611" s="452"/>
      <c r="V1611" s="452"/>
      <c r="W1611" s="452"/>
    </row>
    <row r="1612" spans="19:23" ht="15" customHeight="1" x14ac:dyDescent="0.45">
      <c r="S1612" s="452"/>
      <c r="T1612" s="452"/>
      <c r="U1612" s="452"/>
      <c r="V1612" s="452"/>
      <c r="W1612" s="452"/>
    </row>
    <row r="1613" spans="19:23" ht="15" customHeight="1" x14ac:dyDescent="0.45">
      <c r="S1613" s="452"/>
      <c r="T1613" s="452"/>
      <c r="U1613" s="452"/>
      <c r="V1613" s="452"/>
      <c r="W1613" s="452"/>
    </row>
    <row r="1614" spans="19:23" ht="15" customHeight="1" x14ac:dyDescent="0.45">
      <c r="S1614" s="452"/>
      <c r="T1614" s="452"/>
      <c r="U1614" s="452"/>
      <c r="V1614" s="452"/>
      <c r="W1614" s="452"/>
    </row>
    <row r="1615" spans="19:23" ht="15" customHeight="1" x14ac:dyDescent="0.45">
      <c r="S1615" s="452"/>
      <c r="T1615" s="452"/>
      <c r="U1615" s="452"/>
      <c r="V1615" s="452"/>
      <c r="W1615" s="452"/>
    </row>
    <row r="1616" spans="19:23" ht="15" customHeight="1" x14ac:dyDescent="0.45">
      <c r="S1616" s="452"/>
      <c r="T1616" s="452"/>
      <c r="U1616" s="452"/>
      <c r="V1616" s="452"/>
      <c r="W1616" s="452"/>
    </row>
    <row r="1617" spans="19:23" ht="15" customHeight="1" x14ac:dyDescent="0.45">
      <c r="S1617" s="452"/>
      <c r="T1617" s="452"/>
      <c r="U1617" s="452"/>
      <c r="V1617" s="452"/>
      <c r="W1617" s="452"/>
    </row>
    <row r="1618" spans="19:23" ht="15" customHeight="1" x14ac:dyDescent="0.45">
      <c r="S1618" s="452"/>
      <c r="T1618" s="452"/>
      <c r="U1618" s="452"/>
      <c r="V1618" s="452"/>
      <c r="W1618" s="452"/>
    </row>
    <row r="1619" spans="19:23" ht="15" customHeight="1" x14ac:dyDescent="0.45">
      <c r="S1619" s="452"/>
      <c r="T1619" s="452"/>
      <c r="U1619" s="452"/>
      <c r="V1619" s="452"/>
      <c r="W1619" s="452"/>
    </row>
    <row r="1620" spans="19:23" ht="15" customHeight="1" x14ac:dyDescent="0.45">
      <c r="S1620" s="452"/>
      <c r="T1620" s="452"/>
      <c r="U1620" s="452"/>
      <c r="V1620" s="452"/>
      <c r="W1620" s="452"/>
    </row>
    <row r="1621" spans="19:23" ht="15" customHeight="1" x14ac:dyDescent="0.45">
      <c r="S1621" s="452"/>
      <c r="T1621" s="452"/>
      <c r="U1621" s="452"/>
      <c r="V1621" s="452"/>
      <c r="W1621" s="452"/>
    </row>
    <row r="1622" spans="19:23" ht="15" customHeight="1" x14ac:dyDescent="0.45">
      <c r="S1622" s="452"/>
      <c r="T1622" s="452"/>
      <c r="U1622" s="452"/>
      <c r="V1622" s="452"/>
      <c r="W1622" s="452"/>
    </row>
    <row r="1623" spans="19:23" ht="15" customHeight="1" x14ac:dyDescent="0.45">
      <c r="S1623" s="452"/>
      <c r="T1623" s="452"/>
      <c r="U1623" s="452"/>
      <c r="V1623" s="452"/>
      <c r="W1623" s="452"/>
    </row>
    <row r="1624" spans="19:23" ht="15" customHeight="1" x14ac:dyDescent="0.45">
      <c r="S1624" s="452"/>
      <c r="T1624" s="452"/>
      <c r="U1624" s="452"/>
      <c r="V1624" s="452"/>
      <c r="W1624" s="452"/>
    </row>
    <row r="1625" spans="19:23" ht="15" customHeight="1" x14ac:dyDescent="0.45">
      <c r="S1625" s="452"/>
      <c r="T1625" s="452"/>
      <c r="U1625" s="452"/>
      <c r="V1625" s="452"/>
      <c r="W1625" s="452"/>
    </row>
    <row r="1626" spans="19:23" ht="15" customHeight="1" x14ac:dyDescent="0.45">
      <c r="S1626" s="452"/>
      <c r="T1626" s="452"/>
      <c r="U1626" s="452"/>
      <c r="V1626" s="452"/>
      <c r="W1626" s="452"/>
    </row>
    <row r="1627" spans="19:23" ht="15" customHeight="1" x14ac:dyDescent="0.45">
      <c r="S1627" s="452"/>
      <c r="T1627" s="452"/>
      <c r="U1627" s="452"/>
      <c r="V1627" s="452"/>
      <c r="W1627" s="452"/>
    </row>
    <row r="1628" spans="19:23" ht="15" customHeight="1" x14ac:dyDescent="0.45">
      <c r="S1628" s="452"/>
      <c r="T1628" s="452"/>
      <c r="U1628" s="452"/>
      <c r="V1628" s="452"/>
      <c r="W1628" s="452"/>
    </row>
    <row r="1629" spans="19:23" ht="15" customHeight="1" x14ac:dyDescent="0.45">
      <c r="S1629" s="452"/>
      <c r="T1629" s="452"/>
      <c r="U1629" s="452"/>
      <c r="V1629" s="452"/>
      <c r="W1629" s="452"/>
    </row>
    <row r="1630" spans="19:23" ht="15" customHeight="1" x14ac:dyDescent="0.45">
      <c r="S1630" s="452"/>
      <c r="T1630" s="452"/>
      <c r="U1630" s="452"/>
      <c r="V1630" s="452"/>
      <c r="W1630" s="452"/>
    </row>
    <row r="1631" spans="19:23" ht="15" customHeight="1" x14ac:dyDescent="0.45">
      <c r="S1631" s="452"/>
      <c r="T1631" s="452"/>
      <c r="U1631" s="452"/>
      <c r="V1631" s="452"/>
      <c r="W1631" s="452"/>
    </row>
    <row r="1632" spans="19:23" ht="15" customHeight="1" x14ac:dyDescent="0.45">
      <c r="S1632" s="452"/>
      <c r="T1632" s="452"/>
      <c r="U1632" s="452"/>
      <c r="V1632" s="452"/>
      <c r="W1632" s="452"/>
    </row>
    <row r="1633" spans="19:23" ht="15" customHeight="1" x14ac:dyDescent="0.45">
      <c r="S1633" s="452"/>
      <c r="T1633" s="452"/>
      <c r="U1633" s="452"/>
      <c r="V1633" s="452"/>
      <c r="W1633" s="452"/>
    </row>
    <row r="1634" spans="19:23" ht="15" customHeight="1" x14ac:dyDescent="0.45">
      <c r="S1634" s="452"/>
      <c r="T1634" s="452"/>
      <c r="U1634" s="452"/>
      <c r="V1634" s="452"/>
      <c r="W1634" s="452"/>
    </row>
    <row r="1635" spans="19:23" ht="15" customHeight="1" x14ac:dyDescent="0.45">
      <c r="S1635" s="452"/>
      <c r="T1635" s="452"/>
      <c r="U1635" s="452"/>
      <c r="V1635" s="452"/>
      <c r="W1635" s="452"/>
    </row>
    <row r="1636" spans="19:23" ht="15" customHeight="1" x14ac:dyDescent="0.45">
      <c r="S1636" s="452"/>
      <c r="T1636" s="452"/>
      <c r="U1636" s="452"/>
      <c r="V1636" s="452"/>
      <c r="W1636" s="452"/>
    </row>
    <row r="1637" spans="19:23" ht="15" customHeight="1" x14ac:dyDescent="0.45">
      <c r="S1637" s="452"/>
      <c r="T1637" s="452"/>
      <c r="U1637" s="452"/>
      <c r="V1637" s="452"/>
      <c r="W1637" s="452"/>
    </row>
    <row r="1638" spans="19:23" ht="15" customHeight="1" x14ac:dyDescent="0.45">
      <c r="S1638" s="452"/>
      <c r="T1638" s="452"/>
      <c r="U1638" s="452"/>
      <c r="V1638" s="452"/>
      <c r="W1638" s="452"/>
    </row>
    <row r="1639" spans="19:23" ht="15" customHeight="1" x14ac:dyDescent="0.45">
      <c r="S1639" s="452"/>
      <c r="T1639" s="452"/>
      <c r="U1639" s="452"/>
      <c r="V1639" s="452"/>
      <c r="W1639" s="452"/>
    </row>
    <row r="1640" spans="19:23" ht="15" customHeight="1" x14ac:dyDescent="0.45">
      <c r="S1640" s="452"/>
      <c r="T1640" s="452"/>
      <c r="U1640" s="452"/>
      <c r="V1640" s="452"/>
      <c r="W1640" s="452"/>
    </row>
    <row r="1641" spans="19:23" ht="15" customHeight="1" x14ac:dyDescent="0.45">
      <c r="S1641" s="452"/>
      <c r="T1641" s="452"/>
      <c r="U1641" s="452"/>
      <c r="V1641" s="452"/>
      <c r="W1641" s="452"/>
    </row>
    <row r="1642" spans="19:23" ht="15" customHeight="1" x14ac:dyDescent="0.45">
      <c r="S1642" s="452"/>
      <c r="T1642" s="452"/>
      <c r="U1642" s="452"/>
      <c r="V1642" s="452"/>
      <c r="W1642" s="452"/>
    </row>
    <row r="1643" spans="19:23" ht="15" customHeight="1" x14ac:dyDescent="0.45">
      <c r="S1643" s="452"/>
      <c r="T1643" s="452"/>
      <c r="U1643" s="452"/>
      <c r="V1643" s="452"/>
      <c r="W1643" s="452"/>
    </row>
    <row r="1644" spans="19:23" ht="15" customHeight="1" x14ac:dyDescent="0.45">
      <c r="S1644" s="452"/>
      <c r="T1644" s="452"/>
      <c r="U1644" s="452"/>
      <c r="V1644" s="452"/>
      <c r="W1644" s="452"/>
    </row>
    <row r="1645" spans="19:23" ht="15" customHeight="1" x14ac:dyDescent="0.45">
      <c r="S1645" s="452"/>
      <c r="T1645" s="452"/>
      <c r="U1645" s="452"/>
      <c r="V1645" s="452"/>
      <c r="W1645" s="452"/>
    </row>
    <row r="1646" spans="19:23" ht="15" customHeight="1" x14ac:dyDescent="0.45">
      <c r="S1646" s="452"/>
      <c r="T1646" s="452"/>
      <c r="U1646" s="452"/>
      <c r="V1646" s="452"/>
      <c r="W1646" s="452"/>
    </row>
    <row r="1647" spans="19:23" ht="15" customHeight="1" x14ac:dyDescent="0.45">
      <c r="S1647" s="452"/>
      <c r="T1647" s="452"/>
      <c r="U1647" s="452"/>
      <c r="V1647" s="452"/>
      <c r="W1647" s="452"/>
    </row>
    <row r="1648" spans="19:23" ht="15" customHeight="1" x14ac:dyDescent="0.45">
      <c r="S1648" s="452"/>
      <c r="T1648" s="452"/>
      <c r="U1648" s="452"/>
      <c r="V1648" s="452"/>
      <c r="W1648" s="452"/>
    </row>
    <row r="1649" spans="19:23" ht="15" customHeight="1" x14ac:dyDescent="0.45">
      <c r="S1649" s="452"/>
      <c r="T1649" s="452"/>
      <c r="U1649" s="452"/>
      <c r="V1649" s="452"/>
      <c r="W1649" s="452"/>
    </row>
    <row r="1650" spans="19:23" ht="15" customHeight="1" x14ac:dyDescent="0.45">
      <c r="S1650" s="452"/>
      <c r="T1650" s="452"/>
      <c r="U1650" s="452"/>
      <c r="V1650" s="452"/>
      <c r="W1650" s="452"/>
    </row>
    <row r="1651" spans="19:23" ht="15" customHeight="1" x14ac:dyDescent="0.45">
      <c r="S1651" s="452"/>
      <c r="T1651" s="452"/>
      <c r="U1651" s="452"/>
      <c r="V1651" s="452"/>
      <c r="W1651" s="452"/>
    </row>
    <row r="1652" spans="19:23" ht="15" customHeight="1" x14ac:dyDescent="0.45">
      <c r="S1652" s="452"/>
      <c r="T1652" s="452"/>
      <c r="U1652" s="452"/>
      <c r="V1652" s="452"/>
      <c r="W1652" s="452"/>
    </row>
    <row r="1653" spans="19:23" ht="15" customHeight="1" x14ac:dyDescent="0.45">
      <c r="S1653" s="452"/>
      <c r="T1653" s="452"/>
      <c r="U1653" s="452"/>
      <c r="V1653" s="452"/>
      <c r="W1653" s="452"/>
    </row>
    <row r="1654" spans="19:23" ht="15" customHeight="1" x14ac:dyDescent="0.45">
      <c r="S1654" s="452"/>
      <c r="T1654" s="452"/>
      <c r="U1654" s="452"/>
      <c r="V1654" s="452"/>
      <c r="W1654" s="452"/>
    </row>
    <row r="1655" spans="19:23" ht="15" customHeight="1" x14ac:dyDescent="0.45">
      <c r="S1655" s="452"/>
      <c r="T1655" s="452"/>
      <c r="U1655" s="452"/>
      <c r="V1655" s="452"/>
      <c r="W1655" s="452"/>
    </row>
    <row r="1656" spans="19:23" ht="15" customHeight="1" x14ac:dyDescent="0.45">
      <c r="S1656" s="452"/>
      <c r="T1656" s="452"/>
      <c r="U1656" s="452"/>
      <c r="V1656" s="452"/>
      <c r="W1656" s="452"/>
    </row>
    <row r="1657" spans="19:23" ht="15" customHeight="1" x14ac:dyDescent="0.45">
      <c r="S1657" s="452"/>
      <c r="T1657" s="452"/>
      <c r="U1657" s="452"/>
      <c r="V1657" s="452"/>
      <c r="W1657" s="452"/>
    </row>
    <row r="1658" spans="19:23" ht="15" customHeight="1" x14ac:dyDescent="0.45">
      <c r="S1658" s="452"/>
      <c r="T1658" s="452"/>
      <c r="U1658" s="452"/>
      <c r="V1658" s="452"/>
      <c r="W1658" s="452"/>
    </row>
    <row r="1659" spans="19:23" ht="15" customHeight="1" x14ac:dyDescent="0.45">
      <c r="S1659" s="452"/>
      <c r="T1659" s="452"/>
      <c r="U1659" s="452"/>
      <c r="V1659" s="452"/>
      <c r="W1659" s="452"/>
    </row>
    <row r="1660" spans="19:23" ht="15" customHeight="1" x14ac:dyDescent="0.45">
      <c r="S1660" s="452"/>
      <c r="T1660" s="452"/>
      <c r="U1660" s="452"/>
      <c r="V1660" s="452"/>
      <c r="W1660" s="452"/>
    </row>
    <row r="1661" spans="19:23" ht="15" customHeight="1" x14ac:dyDescent="0.45">
      <c r="S1661" s="452"/>
      <c r="T1661" s="452"/>
      <c r="U1661" s="452"/>
      <c r="V1661" s="452"/>
      <c r="W1661" s="452"/>
    </row>
    <row r="1662" spans="19:23" ht="15" customHeight="1" x14ac:dyDescent="0.45">
      <c r="S1662" s="452"/>
      <c r="T1662" s="452"/>
      <c r="U1662" s="452"/>
      <c r="V1662" s="452"/>
      <c r="W1662" s="452"/>
    </row>
    <row r="1663" spans="19:23" ht="15" customHeight="1" x14ac:dyDescent="0.45">
      <c r="S1663" s="452"/>
      <c r="T1663" s="452"/>
      <c r="U1663" s="452"/>
      <c r="V1663" s="452"/>
      <c r="W1663" s="452"/>
    </row>
    <row r="1664" spans="19:23" ht="15" customHeight="1" x14ac:dyDescent="0.45">
      <c r="S1664" s="452"/>
      <c r="T1664" s="452"/>
      <c r="U1664" s="452"/>
      <c r="V1664" s="452"/>
      <c r="W1664" s="452"/>
    </row>
    <row r="1665" spans="19:23" ht="15" customHeight="1" x14ac:dyDescent="0.45">
      <c r="S1665" s="452"/>
      <c r="T1665" s="452"/>
      <c r="U1665" s="452"/>
      <c r="V1665" s="452"/>
      <c r="W1665" s="452"/>
    </row>
    <row r="1666" spans="19:23" ht="15" customHeight="1" x14ac:dyDescent="0.45">
      <c r="S1666" s="452"/>
      <c r="T1666" s="452"/>
      <c r="U1666" s="452"/>
      <c r="V1666" s="452"/>
      <c r="W1666" s="452"/>
    </row>
    <row r="1667" spans="19:23" ht="15" customHeight="1" x14ac:dyDescent="0.45">
      <c r="S1667" s="452"/>
      <c r="T1667" s="452"/>
      <c r="U1667" s="452"/>
      <c r="V1667" s="452"/>
      <c r="W1667" s="452"/>
    </row>
    <row r="1668" spans="19:23" ht="15" customHeight="1" x14ac:dyDescent="0.45">
      <c r="S1668" s="452"/>
      <c r="T1668" s="452"/>
      <c r="U1668" s="452"/>
      <c r="V1668" s="452"/>
      <c r="W1668" s="452"/>
    </row>
    <row r="1669" spans="19:23" ht="15" customHeight="1" x14ac:dyDescent="0.45">
      <c r="S1669" s="452"/>
      <c r="T1669" s="452"/>
      <c r="U1669" s="452"/>
      <c r="V1669" s="452"/>
      <c r="W1669" s="452"/>
    </row>
    <row r="1670" spans="19:23" ht="15" customHeight="1" x14ac:dyDescent="0.45">
      <c r="S1670" s="452"/>
      <c r="T1670" s="452"/>
      <c r="U1670" s="452"/>
      <c r="V1670" s="452"/>
      <c r="W1670" s="452"/>
    </row>
    <row r="1671" spans="19:23" ht="15" customHeight="1" x14ac:dyDescent="0.45">
      <c r="S1671" s="452"/>
      <c r="T1671" s="452"/>
      <c r="U1671" s="452"/>
      <c r="V1671" s="452"/>
      <c r="W1671" s="452"/>
    </row>
    <row r="1672" spans="19:23" ht="15" customHeight="1" x14ac:dyDescent="0.45">
      <c r="S1672" s="452"/>
      <c r="T1672" s="452"/>
      <c r="U1672" s="452"/>
      <c r="V1672" s="452"/>
      <c r="W1672" s="452"/>
    </row>
    <row r="1673" spans="19:23" ht="15" customHeight="1" x14ac:dyDescent="0.45">
      <c r="S1673" s="452"/>
      <c r="T1673" s="452"/>
      <c r="U1673" s="452"/>
      <c r="V1673" s="452"/>
      <c r="W1673" s="452"/>
    </row>
    <row r="1674" spans="19:23" ht="15" customHeight="1" x14ac:dyDescent="0.45">
      <c r="S1674" s="452"/>
      <c r="T1674" s="452"/>
      <c r="U1674" s="452"/>
      <c r="V1674" s="452"/>
      <c r="W1674" s="452"/>
    </row>
    <row r="1675" spans="19:23" ht="15" customHeight="1" x14ac:dyDescent="0.45">
      <c r="S1675" s="452"/>
      <c r="T1675" s="452"/>
      <c r="U1675" s="452"/>
      <c r="V1675" s="452"/>
      <c r="W1675" s="452"/>
    </row>
    <row r="1676" spans="19:23" ht="15" customHeight="1" x14ac:dyDescent="0.45">
      <c r="S1676" s="452"/>
      <c r="T1676" s="452"/>
      <c r="U1676" s="452"/>
      <c r="V1676" s="452"/>
      <c r="W1676" s="452"/>
    </row>
    <row r="1677" spans="19:23" ht="15" customHeight="1" x14ac:dyDescent="0.45">
      <c r="S1677" s="452"/>
      <c r="T1677" s="452"/>
      <c r="U1677" s="452"/>
      <c r="V1677" s="452"/>
      <c r="W1677" s="452"/>
    </row>
    <row r="1678" spans="19:23" ht="15" customHeight="1" x14ac:dyDescent="0.45">
      <c r="S1678" s="452"/>
      <c r="T1678" s="452"/>
      <c r="U1678" s="452"/>
      <c r="V1678" s="452"/>
      <c r="W1678" s="452"/>
    </row>
    <row r="1679" spans="19:23" ht="15" customHeight="1" x14ac:dyDescent="0.45">
      <c r="S1679" s="452"/>
      <c r="T1679" s="452"/>
      <c r="U1679" s="452"/>
      <c r="V1679" s="452"/>
      <c r="W1679" s="452"/>
    </row>
    <row r="1680" spans="19:23" ht="15" customHeight="1" x14ac:dyDescent="0.45">
      <c r="S1680" s="452"/>
      <c r="T1680" s="452"/>
      <c r="U1680" s="452"/>
      <c r="V1680" s="452"/>
      <c r="W1680" s="452"/>
    </row>
    <row r="1681" spans="19:23" ht="15" customHeight="1" x14ac:dyDescent="0.45">
      <c r="S1681" s="452"/>
      <c r="T1681" s="452"/>
      <c r="U1681" s="452"/>
      <c r="V1681" s="452"/>
      <c r="W1681" s="452"/>
    </row>
    <row r="1682" spans="19:23" ht="15" customHeight="1" x14ac:dyDescent="0.45">
      <c r="S1682" s="452"/>
      <c r="T1682" s="452"/>
      <c r="U1682" s="452"/>
      <c r="V1682" s="452"/>
      <c r="W1682" s="452"/>
    </row>
    <row r="1683" spans="19:23" ht="15" customHeight="1" x14ac:dyDescent="0.45">
      <c r="S1683" s="452"/>
      <c r="T1683" s="452"/>
      <c r="U1683" s="452"/>
      <c r="V1683" s="452"/>
      <c r="W1683" s="452"/>
    </row>
    <row r="1684" spans="19:23" ht="15" customHeight="1" x14ac:dyDescent="0.45">
      <c r="S1684" s="452"/>
      <c r="T1684" s="452"/>
      <c r="U1684" s="452"/>
      <c r="V1684" s="452"/>
      <c r="W1684" s="452"/>
    </row>
    <row r="1685" spans="19:23" ht="15" customHeight="1" x14ac:dyDescent="0.45">
      <c r="S1685" s="452"/>
      <c r="T1685" s="452"/>
      <c r="U1685" s="452"/>
      <c r="V1685" s="452"/>
      <c r="W1685" s="452"/>
    </row>
    <row r="1686" spans="19:23" ht="15" customHeight="1" x14ac:dyDescent="0.45">
      <c r="S1686" s="452"/>
      <c r="T1686" s="452"/>
      <c r="U1686" s="452"/>
      <c r="V1686" s="452"/>
      <c r="W1686" s="452"/>
    </row>
    <row r="1687" spans="19:23" ht="15" customHeight="1" x14ac:dyDescent="0.45">
      <c r="S1687" s="452"/>
      <c r="T1687" s="452"/>
      <c r="U1687" s="452"/>
      <c r="V1687" s="452"/>
      <c r="W1687" s="452"/>
    </row>
    <row r="1688" spans="19:23" ht="15" customHeight="1" x14ac:dyDescent="0.45">
      <c r="S1688" s="452"/>
      <c r="T1688" s="452"/>
      <c r="U1688" s="452"/>
      <c r="V1688" s="452"/>
      <c r="W1688" s="452"/>
    </row>
    <row r="1689" spans="19:23" ht="15" customHeight="1" x14ac:dyDescent="0.45">
      <c r="S1689" s="452"/>
      <c r="T1689" s="452"/>
      <c r="U1689" s="452"/>
      <c r="V1689" s="452"/>
      <c r="W1689" s="452"/>
    </row>
    <row r="1690" spans="19:23" ht="15" customHeight="1" x14ac:dyDescent="0.45">
      <c r="S1690" s="452"/>
      <c r="T1690" s="452"/>
      <c r="U1690" s="452"/>
      <c r="V1690" s="452"/>
      <c r="W1690" s="452"/>
    </row>
    <row r="1691" spans="19:23" ht="15" customHeight="1" x14ac:dyDescent="0.45">
      <c r="S1691" s="452"/>
      <c r="T1691" s="452"/>
      <c r="U1691" s="452"/>
      <c r="V1691" s="452"/>
      <c r="W1691" s="452"/>
    </row>
    <row r="1692" spans="19:23" ht="15" customHeight="1" x14ac:dyDescent="0.45">
      <c r="S1692" s="452"/>
      <c r="T1692" s="452"/>
      <c r="U1692" s="452"/>
      <c r="V1692" s="452"/>
      <c r="W1692" s="452"/>
    </row>
    <row r="1693" spans="19:23" ht="15" customHeight="1" x14ac:dyDescent="0.45">
      <c r="S1693" s="452"/>
      <c r="T1693" s="452"/>
      <c r="U1693" s="452"/>
      <c r="V1693" s="452"/>
      <c r="W1693" s="452"/>
    </row>
    <row r="1694" spans="19:23" ht="15" customHeight="1" x14ac:dyDescent="0.45">
      <c r="S1694" s="452"/>
      <c r="T1694" s="452"/>
      <c r="U1694" s="452"/>
      <c r="V1694" s="452"/>
      <c r="W1694" s="452"/>
    </row>
    <row r="1695" spans="19:23" ht="15" customHeight="1" x14ac:dyDescent="0.45">
      <c r="S1695" s="452"/>
      <c r="T1695" s="452"/>
      <c r="U1695" s="452"/>
      <c r="V1695" s="452"/>
      <c r="W1695" s="452"/>
    </row>
    <row r="1696" spans="19:23" ht="15" customHeight="1" x14ac:dyDescent="0.45">
      <c r="S1696" s="452"/>
      <c r="T1696" s="452"/>
      <c r="U1696" s="452"/>
      <c r="V1696" s="452"/>
      <c r="W1696" s="452"/>
    </row>
    <row r="1697" spans="19:23" ht="15" customHeight="1" x14ac:dyDescent="0.45">
      <c r="S1697" s="452"/>
      <c r="T1697" s="452"/>
      <c r="U1697" s="452"/>
      <c r="V1697" s="452"/>
      <c r="W1697" s="452"/>
    </row>
    <row r="1698" spans="19:23" ht="15" customHeight="1" x14ac:dyDescent="0.45">
      <c r="S1698" s="452"/>
      <c r="T1698" s="452"/>
      <c r="U1698" s="452"/>
      <c r="V1698" s="452"/>
      <c r="W1698" s="452"/>
    </row>
    <row r="1699" spans="19:23" ht="15" customHeight="1" x14ac:dyDescent="0.45">
      <c r="S1699" s="452"/>
      <c r="T1699" s="452"/>
      <c r="U1699" s="452"/>
      <c r="V1699" s="452"/>
      <c r="W1699" s="452"/>
    </row>
    <row r="1700" spans="19:23" ht="15" customHeight="1" x14ac:dyDescent="0.45">
      <c r="S1700" s="452"/>
      <c r="T1700" s="452"/>
      <c r="U1700" s="452"/>
      <c r="V1700" s="452"/>
      <c r="W1700" s="452"/>
    </row>
    <row r="1701" spans="19:23" ht="15" customHeight="1" x14ac:dyDescent="0.45">
      <c r="S1701" s="452"/>
      <c r="T1701" s="452"/>
      <c r="U1701" s="452"/>
      <c r="V1701" s="452"/>
      <c r="W1701" s="452"/>
    </row>
    <row r="1702" spans="19:23" ht="15" customHeight="1" x14ac:dyDescent="0.45">
      <c r="S1702" s="452"/>
      <c r="T1702" s="452"/>
      <c r="U1702" s="452"/>
      <c r="V1702" s="452"/>
      <c r="W1702" s="452"/>
    </row>
    <row r="1703" spans="19:23" ht="15" customHeight="1" x14ac:dyDescent="0.45">
      <c r="S1703" s="452"/>
      <c r="T1703" s="452"/>
      <c r="U1703" s="452"/>
      <c r="V1703" s="452"/>
      <c r="W1703" s="452"/>
    </row>
    <row r="1704" spans="19:23" ht="15" customHeight="1" x14ac:dyDescent="0.45">
      <c r="S1704" s="452"/>
      <c r="T1704" s="452"/>
      <c r="U1704" s="452"/>
      <c r="V1704" s="452"/>
      <c r="W1704" s="452"/>
    </row>
    <row r="1705" spans="19:23" ht="15" customHeight="1" x14ac:dyDescent="0.45">
      <c r="S1705" s="452"/>
      <c r="T1705" s="452"/>
      <c r="U1705" s="452"/>
      <c r="V1705" s="452"/>
      <c r="W1705" s="452"/>
    </row>
    <row r="1706" spans="19:23" ht="15" customHeight="1" x14ac:dyDescent="0.45">
      <c r="S1706" s="452"/>
      <c r="T1706" s="452"/>
      <c r="U1706" s="452"/>
      <c r="V1706" s="452"/>
      <c r="W1706" s="452"/>
    </row>
    <row r="1707" spans="19:23" ht="15" customHeight="1" x14ac:dyDescent="0.45">
      <c r="S1707" s="452"/>
      <c r="T1707" s="452"/>
      <c r="U1707" s="452"/>
      <c r="V1707" s="452"/>
      <c r="W1707" s="452"/>
    </row>
    <row r="1708" spans="19:23" ht="15" customHeight="1" x14ac:dyDescent="0.45">
      <c r="S1708" s="452"/>
      <c r="T1708" s="452"/>
      <c r="U1708" s="452"/>
      <c r="V1708" s="452"/>
      <c r="W1708" s="452"/>
    </row>
    <row r="1709" spans="19:23" ht="15" customHeight="1" x14ac:dyDescent="0.45">
      <c r="S1709" s="452"/>
      <c r="T1709" s="452"/>
      <c r="U1709" s="452"/>
      <c r="V1709" s="452"/>
      <c r="W1709" s="452"/>
    </row>
    <row r="1710" spans="19:23" ht="15" customHeight="1" x14ac:dyDescent="0.45">
      <c r="S1710" s="452"/>
      <c r="T1710" s="452"/>
      <c r="U1710" s="452"/>
      <c r="V1710" s="452"/>
      <c r="W1710" s="452"/>
    </row>
    <row r="1711" spans="19:23" ht="15" customHeight="1" x14ac:dyDescent="0.45">
      <c r="S1711" s="452"/>
      <c r="T1711" s="452"/>
      <c r="U1711" s="452"/>
      <c r="V1711" s="452"/>
      <c r="W1711" s="452"/>
    </row>
    <row r="1712" spans="19:23" ht="15" customHeight="1" x14ac:dyDescent="0.45">
      <c r="S1712" s="452"/>
      <c r="T1712" s="452"/>
      <c r="U1712" s="452"/>
      <c r="V1712" s="452"/>
      <c r="W1712" s="452"/>
    </row>
    <row r="1713" spans="19:23" ht="15" customHeight="1" x14ac:dyDescent="0.45">
      <c r="S1713" s="452"/>
      <c r="T1713" s="452"/>
      <c r="U1713" s="452"/>
      <c r="V1713" s="452"/>
      <c r="W1713" s="452"/>
    </row>
    <row r="1714" spans="19:23" ht="15" customHeight="1" x14ac:dyDescent="0.45">
      <c r="S1714" s="452"/>
      <c r="T1714" s="452"/>
      <c r="U1714" s="452"/>
      <c r="V1714" s="452"/>
      <c r="W1714" s="452"/>
    </row>
    <row r="1715" spans="19:23" ht="15" customHeight="1" x14ac:dyDescent="0.45">
      <c r="S1715" s="452"/>
      <c r="T1715" s="452"/>
      <c r="U1715" s="452"/>
      <c r="V1715" s="452"/>
      <c r="W1715" s="452"/>
    </row>
    <row r="1716" spans="19:23" ht="15" customHeight="1" x14ac:dyDescent="0.45">
      <c r="S1716" s="452"/>
      <c r="T1716" s="452"/>
      <c r="U1716" s="452"/>
      <c r="V1716" s="452"/>
      <c r="W1716" s="452"/>
    </row>
    <row r="1717" spans="19:23" ht="15" customHeight="1" x14ac:dyDescent="0.45">
      <c r="S1717" s="452"/>
      <c r="T1717" s="452"/>
      <c r="U1717" s="452"/>
      <c r="V1717" s="452"/>
      <c r="W1717" s="452"/>
    </row>
    <row r="1718" spans="19:23" ht="15" customHeight="1" x14ac:dyDescent="0.45">
      <c r="S1718" s="452"/>
      <c r="T1718" s="452"/>
      <c r="U1718" s="452"/>
      <c r="V1718" s="452"/>
      <c r="W1718" s="452"/>
    </row>
    <row r="1719" spans="19:23" ht="15" customHeight="1" x14ac:dyDescent="0.45">
      <c r="S1719" s="452"/>
      <c r="T1719" s="452"/>
      <c r="U1719" s="452"/>
      <c r="V1719" s="452"/>
      <c r="W1719" s="452"/>
    </row>
    <row r="1720" spans="19:23" ht="15" customHeight="1" x14ac:dyDescent="0.45">
      <c r="S1720" s="452"/>
      <c r="T1720" s="452"/>
      <c r="U1720" s="452"/>
      <c r="V1720" s="452"/>
      <c r="W1720" s="452"/>
    </row>
    <row r="1721" spans="19:23" ht="15" customHeight="1" x14ac:dyDescent="0.45">
      <c r="S1721" s="452"/>
      <c r="T1721" s="452"/>
      <c r="U1721" s="452"/>
      <c r="V1721" s="452"/>
      <c r="W1721" s="452"/>
    </row>
    <row r="1722" spans="19:23" ht="15" customHeight="1" x14ac:dyDescent="0.45">
      <c r="S1722" s="452"/>
      <c r="T1722" s="452"/>
      <c r="U1722" s="452"/>
      <c r="V1722" s="452"/>
      <c r="W1722" s="452"/>
    </row>
    <row r="1723" spans="19:23" ht="15" customHeight="1" x14ac:dyDescent="0.45">
      <c r="S1723" s="452"/>
      <c r="T1723" s="452"/>
      <c r="U1723" s="452"/>
      <c r="V1723" s="452"/>
      <c r="W1723" s="452"/>
    </row>
    <row r="1724" spans="19:23" ht="15" customHeight="1" x14ac:dyDescent="0.45">
      <c r="S1724" s="452"/>
      <c r="T1724" s="452"/>
      <c r="U1724" s="452"/>
      <c r="V1724" s="452"/>
      <c r="W1724" s="452"/>
    </row>
    <row r="1725" spans="19:23" ht="15" customHeight="1" x14ac:dyDescent="0.45">
      <c r="S1725" s="452"/>
      <c r="T1725" s="452"/>
      <c r="U1725" s="452"/>
      <c r="V1725" s="452"/>
      <c r="W1725" s="452"/>
    </row>
    <row r="1726" spans="19:23" ht="15" customHeight="1" x14ac:dyDescent="0.45">
      <c r="S1726" s="452"/>
      <c r="T1726" s="452"/>
      <c r="U1726" s="452"/>
      <c r="V1726" s="452"/>
      <c r="W1726" s="452"/>
    </row>
    <row r="1727" spans="19:23" ht="15" customHeight="1" x14ac:dyDescent="0.45">
      <c r="S1727" s="452"/>
      <c r="T1727" s="452"/>
      <c r="U1727" s="452"/>
      <c r="V1727" s="452"/>
      <c r="W1727" s="452"/>
    </row>
    <row r="1728" spans="19:23" ht="15" customHeight="1" x14ac:dyDescent="0.45">
      <c r="S1728" s="452"/>
      <c r="T1728" s="452"/>
      <c r="U1728" s="452"/>
      <c r="V1728" s="452"/>
      <c r="W1728" s="452"/>
    </row>
    <row r="1729" spans="19:23" ht="15" customHeight="1" x14ac:dyDescent="0.45">
      <c r="S1729" s="452"/>
      <c r="T1729" s="452"/>
      <c r="U1729" s="452"/>
      <c r="V1729" s="452"/>
      <c r="W1729" s="452"/>
    </row>
    <row r="1730" spans="19:23" ht="15" customHeight="1" x14ac:dyDescent="0.45">
      <c r="S1730" s="452"/>
      <c r="T1730" s="452"/>
      <c r="U1730" s="452"/>
      <c r="V1730" s="452"/>
      <c r="W1730" s="452"/>
    </row>
    <row r="1731" spans="19:23" ht="15" customHeight="1" x14ac:dyDescent="0.45">
      <c r="S1731" s="452"/>
      <c r="T1731" s="452"/>
      <c r="U1731" s="452"/>
      <c r="V1731" s="452"/>
      <c r="W1731" s="452"/>
    </row>
    <row r="1732" spans="19:23" ht="15" customHeight="1" x14ac:dyDescent="0.45">
      <c r="S1732" s="452"/>
      <c r="T1732" s="452"/>
      <c r="U1732" s="452"/>
      <c r="V1732" s="452"/>
      <c r="W1732" s="452"/>
    </row>
    <row r="1733" spans="19:23" ht="15" customHeight="1" x14ac:dyDescent="0.45">
      <c r="S1733" s="452"/>
      <c r="T1733" s="452"/>
      <c r="U1733" s="452"/>
      <c r="V1733" s="452"/>
      <c r="W1733" s="452"/>
    </row>
    <row r="1734" spans="19:23" ht="15" customHeight="1" x14ac:dyDescent="0.45">
      <c r="S1734" s="452"/>
      <c r="T1734" s="452"/>
      <c r="U1734" s="452"/>
      <c r="V1734" s="452"/>
      <c r="W1734" s="452"/>
    </row>
    <row r="1735" spans="19:23" ht="15" customHeight="1" x14ac:dyDescent="0.45">
      <c r="S1735" s="452"/>
      <c r="T1735" s="452"/>
      <c r="U1735" s="452"/>
      <c r="V1735" s="452"/>
      <c r="W1735" s="452"/>
    </row>
    <row r="1736" spans="19:23" ht="15" customHeight="1" x14ac:dyDescent="0.45">
      <c r="S1736" s="452"/>
      <c r="T1736" s="452"/>
      <c r="U1736" s="452"/>
      <c r="V1736" s="452"/>
      <c r="W1736" s="452"/>
    </row>
    <row r="1737" spans="19:23" ht="15" customHeight="1" x14ac:dyDescent="0.45">
      <c r="S1737" s="452"/>
      <c r="T1737" s="452"/>
      <c r="U1737" s="452"/>
      <c r="V1737" s="452"/>
      <c r="W1737" s="452"/>
    </row>
    <row r="1738" spans="19:23" ht="15" customHeight="1" x14ac:dyDescent="0.45">
      <c r="S1738" s="452"/>
      <c r="T1738" s="452"/>
      <c r="U1738" s="452"/>
      <c r="V1738" s="452"/>
      <c r="W1738" s="452"/>
    </row>
    <row r="1739" spans="19:23" ht="15" customHeight="1" x14ac:dyDescent="0.45">
      <c r="S1739" s="452"/>
      <c r="T1739" s="452"/>
      <c r="U1739" s="452"/>
      <c r="V1739" s="452"/>
      <c r="W1739" s="452"/>
    </row>
    <row r="1740" spans="19:23" ht="15" customHeight="1" x14ac:dyDescent="0.45">
      <c r="S1740" s="452"/>
      <c r="T1740" s="452"/>
      <c r="U1740" s="452"/>
      <c r="V1740" s="452"/>
      <c r="W1740" s="452"/>
    </row>
    <row r="1741" spans="19:23" ht="15" customHeight="1" x14ac:dyDescent="0.45">
      <c r="S1741" s="452"/>
      <c r="T1741" s="452"/>
      <c r="U1741" s="452"/>
      <c r="V1741" s="452"/>
      <c r="W1741" s="452"/>
    </row>
    <row r="1742" spans="19:23" ht="15" customHeight="1" x14ac:dyDescent="0.45">
      <c r="S1742" s="452"/>
      <c r="T1742" s="452"/>
      <c r="U1742" s="452"/>
      <c r="V1742" s="452"/>
      <c r="W1742" s="452"/>
    </row>
    <row r="1743" spans="19:23" ht="15" customHeight="1" x14ac:dyDescent="0.45">
      <c r="S1743" s="452"/>
      <c r="T1743" s="452"/>
      <c r="U1743" s="452"/>
      <c r="V1743" s="452"/>
      <c r="W1743" s="452"/>
    </row>
    <row r="1744" spans="19:23" ht="15" customHeight="1" x14ac:dyDescent="0.45">
      <c r="S1744" s="452"/>
      <c r="T1744" s="452"/>
      <c r="U1744" s="452"/>
      <c r="V1744" s="452"/>
      <c r="W1744" s="452"/>
    </row>
    <row r="1745" spans="19:23" ht="15" customHeight="1" x14ac:dyDescent="0.45">
      <c r="S1745" s="452"/>
      <c r="T1745" s="452"/>
      <c r="U1745" s="452"/>
      <c r="V1745" s="452"/>
      <c r="W1745" s="452"/>
    </row>
    <row r="1746" spans="19:23" ht="15" customHeight="1" x14ac:dyDescent="0.45">
      <c r="S1746" s="452"/>
      <c r="T1746" s="452"/>
      <c r="U1746" s="452"/>
      <c r="V1746" s="452"/>
      <c r="W1746" s="452"/>
    </row>
    <row r="1747" spans="19:23" ht="15" customHeight="1" x14ac:dyDescent="0.45">
      <c r="S1747" s="452"/>
      <c r="T1747" s="452"/>
      <c r="U1747" s="452"/>
      <c r="V1747" s="452"/>
      <c r="W1747" s="452"/>
    </row>
    <row r="1748" spans="19:23" ht="15" customHeight="1" x14ac:dyDescent="0.45">
      <c r="S1748" s="452"/>
      <c r="T1748" s="452"/>
      <c r="U1748" s="452"/>
      <c r="V1748" s="452"/>
      <c r="W1748" s="452"/>
    </row>
    <row r="1749" spans="19:23" ht="15" customHeight="1" x14ac:dyDescent="0.45">
      <c r="S1749" s="452"/>
      <c r="T1749" s="452"/>
      <c r="U1749" s="452"/>
      <c r="V1749" s="452"/>
      <c r="W1749" s="452"/>
    </row>
    <row r="1750" spans="19:23" ht="15" customHeight="1" x14ac:dyDescent="0.45">
      <c r="S1750" s="452"/>
      <c r="T1750" s="452"/>
      <c r="U1750" s="452"/>
      <c r="V1750" s="452"/>
      <c r="W1750" s="452"/>
    </row>
    <row r="1751" spans="19:23" ht="15" customHeight="1" x14ac:dyDescent="0.45">
      <c r="S1751" s="452"/>
      <c r="T1751" s="452"/>
      <c r="U1751" s="452"/>
      <c r="V1751" s="452"/>
      <c r="W1751" s="452"/>
    </row>
    <row r="1752" spans="19:23" ht="15" customHeight="1" x14ac:dyDescent="0.45">
      <c r="S1752" s="452"/>
      <c r="T1752" s="452"/>
      <c r="U1752" s="452"/>
      <c r="V1752" s="452"/>
      <c r="W1752" s="452"/>
    </row>
    <row r="1753" spans="19:23" ht="15" customHeight="1" x14ac:dyDescent="0.45">
      <c r="S1753" s="452"/>
      <c r="T1753" s="452"/>
      <c r="U1753" s="452"/>
      <c r="V1753" s="452"/>
      <c r="W1753" s="452"/>
    </row>
    <row r="1754" spans="19:23" ht="15" customHeight="1" x14ac:dyDescent="0.45">
      <c r="S1754" s="452"/>
      <c r="T1754" s="452"/>
      <c r="U1754" s="452"/>
      <c r="V1754" s="452"/>
      <c r="W1754" s="452"/>
    </row>
    <row r="1755" spans="19:23" ht="15" customHeight="1" x14ac:dyDescent="0.45">
      <c r="S1755" s="452"/>
      <c r="T1755" s="452"/>
      <c r="U1755" s="452"/>
      <c r="V1755" s="452"/>
      <c r="W1755" s="452"/>
    </row>
    <row r="1756" spans="19:23" ht="15" customHeight="1" x14ac:dyDescent="0.45">
      <c r="S1756" s="452"/>
      <c r="T1756" s="452"/>
      <c r="U1756" s="452"/>
      <c r="V1756" s="452"/>
      <c r="W1756" s="452"/>
    </row>
    <row r="1757" spans="19:23" ht="15" customHeight="1" x14ac:dyDescent="0.45">
      <c r="S1757" s="452"/>
      <c r="T1757" s="452"/>
      <c r="U1757" s="452"/>
      <c r="V1757" s="452"/>
      <c r="W1757" s="452"/>
    </row>
    <row r="1758" spans="19:23" ht="15" customHeight="1" x14ac:dyDescent="0.45">
      <c r="S1758" s="452"/>
      <c r="T1758" s="452"/>
      <c r="U1758" s="452"/>
      <c r="V1758" s="452"/>
      <c r="W1758" s="452"/>
    </row>
    <row r="1759" spans="19:23" ht="15" customHeight="1" x14ac:dyDescent="0.45">
      <c r="S1759" s="452"/>
      <c r="T1759" s="452"/>
      <c r="U1759" s="452"/>
      <c r="V1759" s="452"/>
      <c r="W1759" s="452"/>
    </row>
    <row r="1760" spans="19:23" ht="15" customHeight="1" x14ac:dyDescent="0.45">
      <c r="S1760" s="452"/>
      <c r="T1760" s="452"/>
      <c r="U1760" s="452"/>
      <c r="V1760" s="452"/>
      <c r="W1760" s="452"/>
    </row>
    <row r="1761" spans="19:23" ht="15" customHeight="1" x14ac:dyDescent="0.45">
      <c r="S1761" s="452"/>
      <c r="T1761" s="452"/>
      <c r="U1761" s="452"/>
      <c r="V1761" s="452"/>
      <c r="W1761" s="452"/>
    </row>
    <row r="1762" spans="19:23" ht="15" customHeight="1" x14ac:dyDescent="0.45">
      <c r="S1762" s="452"/>
      <c r="T1762" s="452"/>
      <c r="U1762" s="452"/>
      <c r="V1762" s="452"/>
      <c r="W1762" s="452"/>
    </row>
    <row r="1763" spans="19:23" ht="15" customHeight="1" x14ac:dyDescent="0.45">
      <c r="S1763" s="452"/>
      <c r="T1763" s="452"/>
      <c r="U1763" s="452"/>
      <c r="V1763" s="452"/>
      <c r="W1763" s="452"/>
    </row>
    <row r="1764" spans="19:23" ht="15" customHeight="1" x14ac:dyDescent="0.45">
      <c r="S1764" s="452"/>
      <c r="T1764" s="452"/>
      <c r="U1764" s="452"/>
      <c r="V1764" s="452"/>
      <c r="W1764" s="452"/>
    </row>
    <row r="1765" spans="19:23" ht="15" customHeight="1" x14ac:dyDescent="0.45">
      <c r="S1765" s="452"/>
      <c r="T1765" s="452"/>
      <c r="U1765" s="452"/>
      <c r="V1765" s="452"/>
      <c r="W1765" s="452"/>
    </row>
    <row r="1766" spans="19:23" ht="15" customHeight="1" x14ac:dyDescent="0.45">
      <c r="S1766" s="452"/>
      <c r="T1766" s="452"/>
      <c r="U1766" s="452"/>
      <c r="V1766" s="452"/>
      <c r="W1766" s="452"/>
    </row>
    <row r="1767" spans="19:23" ht="15" customHeight="1" x14ac:dyDescent="0.45">
      <c r="S1767" s="452"/>
      <c r="T1767" s="452"/>
      <c r="U1767" s="452"/>
      <c r="V1767" s="452"/>
      <c r="W1767" s="452"/>
    </row>
    <row r="1768" spans="19:23" ht="15" customHeight="1" x14ac:dyDescent="0.45">
      <c r="S1768" s="452"/>
      <c r="T1768" s="452"/>
      <c r="U1768" s="452"/>
      <c r="V1768" s="452"/>
      <c r="W1768" s="452"/>
    </row>
    <row r="1769" spans="19:23" ht="15" customHeight="1" x14ac:dyDescent="0.45">
      <c r="S1769" s="452"/>
      <c r="T1769" s="452"/>
      <c r="U1769" s="452"/>
      <c r="V1769" s="452"/>
      <c r="W1769" s="452"/>
    </row>
    <row r="1770" spans="19:23" ht="15" customHeight="1" x14ac:dyDescent="0.45">
      <c r="S1770" s="452"/>
      <c r="T1770" s="452"/>
      <c r="U1770" s="452"/>
      <c r="V1770" s="452"/>
      <c r="W1770" s="452"/>
    </row>
    <row r="1771" spans="19:23" ht="15" customHeight="1" x14ac:dyDescent="0.45">
      <c r="S1771" s="452"/>
      <c r="T1771" s="452"/>
      <c r="U1771" s="452"/>
      <c r="V1771" s="452"/>
      <c r="W1771" s="452"/>
    </row>
    <row r="1772" spans="19:23" ht="15" customHeight="1" x14ac:dyDescent="0.45">
      <c r="S1772" s="452"/>
      <c r="T1772" s="452"/>
      <c r="U1772" s="452"/>
      <c r="V1772" s="452"/>
      <c r="W1772" s="452"/>
    </row>
    <row r="1773" spans="19:23" ht="15" customHeight="1" x14ac:dyDescent="0.45">
      <c r="S1773" s="452"/>
      <c r="T1773" s="452"/>
      <c r="U1773" s="452"/>
      <c r="V1773" s="452"/>
      <c r="W1773" s="452"/>
    </row>
    <row r="1774" spans="19:23" ht="15" customHeight="1" x14ac:dyDescent="0.45">
      <c r="S1774" s="452"/>
      <c r="T1774" s="452"/>
      <c r="U1774" s="452"/>
      <c r="V1774" s="452"/>
      <c r="W1774" s="452"/>
    </row>
    <row r="1775" spans="19:23" ht="15" customHeight="1" x14ac:dyDescent="0.45">
      <c r="S1775" s="452"/>
      <c r="T1775" s="452"/>
      <c r="U1775" s="452"/>
      <c r="V1775" s="452"/>
      <c r="W1775" s="452"/>
    </row>
    <row r="1776" spans="19:23" ht="15" customHeight="1" x14ac:dyDescent="0.45">
      <c r="S1776" s="452"/>
      <c r="T1776" s="452"/>
      <c r="U1776" s="452"/>
      <c r="V1776" s="452"/>
      <c r="W1776" s="452"/>
    </row>
    <row r="1777" spans="19:23" ht="15" customHeight="1" x14ac:dyDescent="0.45">
      <c r="S1777" s="452"/>
      <c r="T1777" s="452"/>
      <c r="U1777" s="452"/>
      <c r="V1777" s="452"/>
      <c r="W1777" s="452"/>
    </row>
    <row r="1778" spans="19:23" ht="15" customHeight="1" x14ac:dyDescent="0.45">
      <c r="S1778" s="452"/>
      <c r="T1778" s="452"/>
      <c r="U1778" s="452"/>
      <c r="V1778" s="452"/>
      <c r="W1778" s="452"/>
    </row>
    <row r="1779" spans="19:23" ht="15" customHeight="1" x14ac:dyDescent="0.45">
      <c r="S1779" s="452"/>
      <c r="T1779" s="452"/>
      <c r="U1779" s="452"/>
      <c r="V1779" s="452"/>
      <c r="W1779" s="452"/>
    </row>
    <row r="1780" spans="19:23" ht="15" customHeight="1" x14ac:dyDescent="0.45">
      <c r="S1780" s="452"/>
      <c r="T1780" s="452"/>
      <c r="U1780" s="452"/>
      <c r="V1780" s="452"/>
      <c r="W1780" s="452"/>
    </row>
    <row r="1781" spans="19:23" ht="15" customHeight="1" x14ac:dyDescent="0.45">
      <c r="S1781" s="452"/>
      <c r="T1781" s="452"/>
      <c r="U1781" s="452"/>
      <c r="V1781" s="452"/>
      <c r="W1781" s="452"/>
    </row>
    <row r="1782" spans="19:23" ht="15" customHeight="1" x14ac:dyDescent="0.45">
      <c r="S1782" s="452"/>
      <c r="T1782" s="452"/>
      <c r="U1782" s="452"/>
      <c r="V1782" s="452"/>
      <c r="W1782" s="452"/>
    </row>
    <row r="1783" spans="19:23" ht="15" customHeight="1" x14ac:dyDescent="0.45">
      <c r="S1783" s="452"/>
      <c r="T1783" s="452"/>
      <c r="U1783" s="452"/>
      <c r="V1783" s="452"/>
      <c r="W1783" s="452"/>
    </row>
    <row r="1784" spans="19:23" ht="15" customHeight="1" x14ac:dyDescent="0.45">
      <c r="S1784" s="452"/>
      <c r="T1784" s="452"/>
      <c r="U1784" s="452"/>
      <c r="V1784" s="452"/>
      <c r="W1784" s="452"/>
    </row>
    <row r="1785" spans="19:23" ht="15" customHeight="1" x14ac:dyDescent="0.45">
      <c r="S1785" s="452"/>
      <c r="T1785" s="452"/>
      <c r="U1785" s="452"/>
      <c r="V1785" s="452"/>
      <c r="W1785" s="452"/>
    </row>
    <row r="1786" spans="19:23" ht="15" customHeight="1" x14ac:dyDescent="0.45">
      <c r="S1786" s="452"/>
      <c r="T1786" s="452"/>
      <c r="U1786" s="452"/>
      <c r="V1786" s="452"/>
      <c r="W1786" s="452"/>
    </row>
    <row r="1787" spans="19:23" ht="15" customHeight="1" x14ac:dyDescent="0.45">
      <c r="S1787" s="452"/>
      <c r="T1787" s="452"/>
      <c r="U1787" s="452"/>
      <c r="V1787" s="452"/>
      <c r="W1787" s="452"/>
    </row>
    <row r="1788" spans="19:23" ht="15" customHeight="1" x14ac:dyDescent="0.45">
      <c r="S1788" s="452"/>
      <c r="T1788" s="452"/>
      <c r="U1788" s="452"/>
      <c r="V1788" s="452"/>
      <c r="W1788" s="452"/>
    </row>
    <row r="1789" spans="19:23" ht="15" customHeight="1" x14ac:dyDescent="0.45">
      <c r="S1789" s="452"/>
      <c r="T1789" s="452"/>
      <c r="U1789" s="452"/>
      <c r="V1789" s="452"/>
      <c r="W1789" s="452"/>
    </row>
    <row r="1790" spans="19:23" ht="15" customHeight="1" x14ac:dyDescent="0.45">
      <c r="S1790" s="452"/>
      <c r="T1790" s="452"/>
      <c r="U1790" s="452"/>
      <c r="V1790" s="452"/>
      <c r="W1790" s="452"/>
    </row>
    <row r="1791" spans="19:23" ht="15" customHeight="1" x14ac:dyDescent="0.45">
      <c r="S1791" s="452"/>
      <c r="T1791" s="452"/>
      <c r="U1791" s="452"/>
      <c r="V1791" s="452"/>
      <c r="W1791" s="452"/>
    </row>
    <row r="1792" spans="19:23" ht="15" customHeight="1" x14ac:dyDescent="0.45">
      <c r="S1792" s="452"/>
      <c r="T1792" s="452"/>
      <c r="U1792" s="452"/>
      <c r="V1792" s="452"/>
      <c r="W1792" s="452"/>
    </row>
    <row r="1793" spans="19:23" ht="15" customHeight="1" x14ac:dyDescent="0.45">
      <c r="S1793" s="452"/>
      <c r="T1793" s="452"/>
      <c r="U1793" s="452"/>
      <c r="V1793" s="452"/>
      <c r="W1793" s="452"/>
    </row>
    <row r="1794" spans="19:23" ht="15" customHeight="1" x14ac:dyDescent="0.45">
      <c r="S1794" s="452"/>
      <c r="T1794" s="452"/>
      <c r="U1794" s="452"/>
      <c r="V1794" s="452"/>
      <c r="W1794" s="452"/>
    </row>
    <row r="1795" spans="19:23" ht="15" customHeight="1" x14ac:dyDescent="0.45">
      <c r="S1795" s="452"/>
      <c r="T1795" s="452"/>
      <c r="U1795" s="452"/>
      <c r="V1795" s="452"/>
      <c r="W1795" s="452"/>
    </row>
    <row r="1796" spans="19:23" ht="15" customHeight="1" x14ac:dyDescent="0.45">
      <c r="S1796" s="452"/>
      <c r="T1796" s="452"/>
      <c r="U1796" s="452"/>
      <c r="V1796" s="452"/>
      <c r="W1796" s="452"/>
    </row>
    <row r="1797" spans="19:23" ht="15" customHeight="1" x14ac:dyDescent="0.45">
      <c r="S1797" s="452"/>
      <c r="T1797" s="452"/>
      <c r="U1797" s="452"/>
      <c r="V1797" s="452"/>
      <c r="W1797" s="452"/>
    </row>
    <row r="1798" spans="19:23" ht="15" customHeight="1" x14ac:dyDescent="0.45">
      <c r="S1798" s="452"/>
      <c r="T1798" s="452"/>
      <c r="U1798" s="452"/>
      <c r="V1798" s="452"/>
      <c r="W1798" s="452"/>
    </row>
    <row r="1799" spans="19:23" ht="15" customHeight="1" x14ac:dyDescent="0.45">
      <c r="S1799" s="452"/>
      <c r="T1799" s="452"/>
      <c r="U1799" s="452"/>
      <c r="V1799" s="452"/>
      <c r="W1799" s="452"/>
    </row>
    <row r="1800" spans="19:23" ht="15" customHeight="1" x14ac:dyDescent="0.45">
      <c r="S1800" s="452"/>
      <c r="T1800" s="452"/>
      <c r="U1800" s="452"/>
      <c r="V1800" s="452"/>
      <c r="W1800" s="452"/>
    </row>
    <row r="1801" spans="19:23" ht="15" customHeight="1" x14ac:dyDescent="0.45">
      <c r="S1801" s="452"/>
      <c r="T1801" s="452"/>
      <c r="U1801" s="452"/>
      <c r="V1801" s="452"/>
      <c r="W1801" s="452"/>
    </row>
    <row r="1802" spans="19:23" ht="15" customHeight="1" x14ac:dyDescent="0.45">
      <c r="S1802" s="452"/>
      <c r="T1802" s="452"/>
      <c r="U1802" s="452"/>
      <c r="V1802" s="452"/>
      <c r="W1802" s="452"/>
    </row>
    <row r="1803" spans="19:23" ht="15" customHeight="1" x14ac:dyDescent="0.45">
      <c r="S1803" s="452"/>
      <c r="T1803" s="452"/>
      <c r="U1803" s="452"/>
      <c r="V1803" s="452"/>
      <c r="W1803" s="452"/>
    </row>
    <row r="1804" spans="19:23" ht="15" customHeight="1" x14ac:dyDescent="0.45">
      <c r="S1804" s="452"/>
      <c r="T1804" s="452"/>
      <c r="U1804" s="452"/>
      <c r="V1804" s="452"/>
      <c r="W1804" s="452"/>
    </row>
    <row r="1805" spans="19:23" ht="15" customHeight="1" x14ac:dyDescent="0.45">
      <c r="S1805" s="452"/>
      <c r="T1805" s="452"/>
      <c r="U1805" s="452"/>
      <c r="V1805" s="452"/>
      <c r="W1805" s="452"/>
    </row>
    <row r="1806" spans="19:23" ht="15" customHeight="1" x14ac:dyDescent="0.45">
      <c r="S1806" s="452"/>
      <c r="T1806" s="452"/>
      <c r="U1806" s="452"/>
      <c r="V1806" s="452"/>
      <c r="W1806" s="452"/>
    </row>
    <row r="1807" spans="19:23" ht="15" customHeight="1" x14ac:dyDescent="0.45">
      <c r="S1807" s="452"/>
      <c r="T1807" s="452"/>
      <c r="U1807" s="452"/>
      <c r="V1807" s="452"/>
      <c r="W1807" s="452"/>
    </row>
    <row r="1808" spans="19:23" ht="15" customHeight="1" x14ac:dyDescent="0.45">
      <c r="S1808" s="452"/>
      <c r="T1808" s="452"/>
      <c r="U1808" s="452"/>
      <c r="V1808" s="452"/>
      <c r="W1808" s="452"/>
    </row>
    <row r="1809" spans="19:23" ht="15" customHeight="1" x14ac:dyDescent="0.45">
      <c r="S1809" s="452"/>
      <c r="T1809" s="452"/>
      <c r="U1809" s="452"/>
      <c r="V1809" s="452"/>
      <c r="W1809" s="452"/>
    </row>
    <row r="1810" spans="19:23" ht="15" customHeight="1" x14ac:dyDescent="0.45">
      <c r="S1810" s="452"/>
      <c r="T1810" s="452"/>
      <c r="U1810" s="452"/>
      <c r="V1810" s="452"/>
      <c r="W1810" s="452"/>
    </row>
    <row r="1811" spans="19:23" ht="15" customHeight="1" x14ac:dyDescent="0.45">
      <c r="S1811" s="452"/>
      <c r="T1811" s="452"/>
      <c r="U1811" s="452"/>
      <c r="V1811" s="452"/>
      <c r="W1811" s="452"/>
    </row>
    <row r="1812" spans="19:23" ht="15" customHeight="1" x14ac:dyDescent="0.45">
      <c r="S1812" s="452"/>
      <c r="T1812" s="452"/>
      <c r="U1812" s="452"/>
      <c r="V1812" s="452"/>
      <c r="W1812" s="452"/>
    </row>
    <row r="1813" spans="19:23" ht="15" customHeight="1" x14ac:dyDescent="0.45">
      <c r="S1813" s="452"/>
      <c r="T1813" s="452"/>
      <c r="U1813" s="452"/>
      <c r="V1813" s="452"/>
      <c r="W1813" s="452"/>
    </row>
    <row r="1814" spans="19:23" ht="15" customHeight="1" x14ac:dyDescent="0.45">
      <c r="S1814" s="452"/>
      <c r="T1814" s="452"/>
      <c r="U1814" s="452"/>
      <c r="V1814" s="452"/>
      <c r="W1814" s="452"/>
    </row>
    <row r="1815" spans="19:23" ht="15" customHeight="1" x14ac:dyDescent="0.45">
      <c r="S1815" s="452"/>
      <c r="T1815" s="452"/>
      <c r="U1815" s="452"/>
      <c r="V1815" s="452"/>
      <c r="W1815" s="452"/>
    </row>
    <row r="1816" spans="19:23" ht="15" customHeight="1" x14ac:dyDescent="0.45">
      <c r="S1816" s="452"/>
      <c r="T1816" s="452"/>
      <c r="U1816" s="452"/>
      <c r="V1816" s="452"/>
      <c r="W1816" s="452"/>
    </row>
    <row r="1817" spans="19:23" ht="15" customHeight="1" x14ac:dyDescent="0.45">
      <c r="S1817" s="452"/>
      <c r="T1817" s="452"/>
      <c r="U1817" s="452"/>
      <c r="V1817" s="452"/>
      <c r="W1817" s="452"/>
    </row>
    <row r="1818" spans="19:23" ht="15" customHeight="1" x14ac:dyDescent="0.45">
      <c r="S1818" s="452"/>
      <c r="T1818" s="452"/>
      <c r="U1818" s="452"/>
      <c r="V1818" s="452"/>
      <c r="W1818" s="452"/>
    </row>
    <row r="1819" spans="19:23" ht="15" customHeight="1" x14ac:dyDescent="0.45">
      <c r="S1819" s="452"/>
      <c r="T1819" s="452"/>
      <c r="U1819" s="452"/>
      <c r="V1819" s="452"/>
      <c r="W1819" s="452"/>
    </row>
    <row r="1820" spans="19:23" ht="15" customHeight="1" x14ac:dyDescent="0.45">
      <c r="S1820" s="452"/>
      <c r="T1820" s="452"/>
      <c r="U1820" s="452"/>
      <c r="V1820" s="452"/>
      <c r="W1820" s="452"/>
    </row>
    <row r="1821" spans="19:23" ht="15" customHeight="1" x14ac:dyDescent="0.45">
      <c r="S1821" s="452"/>
      <c r="T1821" s="452"/>
      <c r="U1821" s="452"/>
      <c r="V1821" s="452"/>
      <c r="W1821" s="452"/>
    </row>
    <row r="1822" spans="19:23" ht="15" customHeight="1" x14ac:dyDescent="0.45">
      <c r="S1822" s="452"/>
      <c r="T1822" s="452"/>
      <c r="U1822" s="452"/>
      <c r="V1822" s="452"/>
      <c r="W1822" s="452"/>
    </row>
    <row r="1823" spans="19:23" ht="15" customHeight="1" x14ac:dyDescent="0.45">
      <c r="S1823" s="452"/>
      <c r="T1823" s="452"/>
      <c r="U1823" s="452"/>
      <c r="V1823" s="452"/>
      <c r="W1823" s="452"/>
    </row>
    <row r="1824" spans="19:23" ht="15" customHeight="1" x14ac:dyDescent="0.45">
      <c r="S1824" s="452"/>
      <c r="T1824" s="452"/>
      <c r="U1824" s="452"/>
      <c r="V1824" s="452"/>
      <c r="W1824" s="452"/>
    </row>
    <row r="1825" spans="19:23" ht="15" customHeight="1" x14ac:dyDescent="0.45">
      <c r="S1825" s="452"/>
      <c r="T1825" s="452"/>
      <c r="U1825" s="452"/>
      <c r="V1825" s="452"/>
      <c r="W1825" s="452"/>
    </row>
    <row r="1826" spans="19:23" ht="15" customHeight="1" x14ac:dyDescent="0.45">
      <c r="S1826" s="452"/>
      <c r="T1826" s="452"/>
      <c r="U1826" s="452"/>
      <c r="V1826" s="452"/>
      <c r="W1826" s="452"/>
    </row>
    <row r="1827" spans="19:23" ht="15" customHeight="1" x14ac:dyDescent="0.45">
      <c r="S1827" s="452"/>
      <c r="T1827" s="452"/>
      <c r="U1827" s="452"/>
      <c r="V1827" s="452"/>
      <c r="W1827" s="452"/>
    </row>
    <row r="1828" spans="19:23" ht="15" customHeight="1" x14ac:dyDescent="0.45">
      <c r="S1828" s="452"/>
      <c r="T1828" s="452"/>
      <c r="U1828" s="452"/>
      <c r="V1828" s="452"/>
      <c r="W1828" s="452"/>
    </row>
    <row r="1829" spans="19:23" ht="15" customHeight="1" x14ac:dyDescent="0.45">
      <c r="S1829" s="452"/>
      <c r="T1829" s="452"/>
      <c r="U1829" s="452"/>
      <c r="V1829" s="452"/>
      <c r="W1829" s="452"/>
    </row>
    <row r="1830" spans="19:23" ht="15" customHeight="1" x14ac:dyDescent="0.45">
      <c r="S1830" s="452"/>
      <c r="T1830" s="452"/>
      <c r="U1830" s="452"/>
      <c r="V1830" s="452"/>
      <c r="W1830" s="452"/>
    </row>
    <row r="1831" spans="19:23" ht="15" customHeight="1" x14ac:dyDescent="0.45">
      <c r="S1831" s="452"/>
      <c r="T1831" s="452"/>
      <c r="U1831" s="452"/>
      <c r="V1831" s="452"/>
      <c r="W1831" s="452"/>
    </row>
    <row r="1832" spans="19:23" ht="15" customHeight="1" x14ac:dyDescent="0.45">
      <c r="S1832" s="452"/>
      <c r="T1832" s="452"/>
      <c r="U1832" s="452"/>
      <c r="V1832" s="452"/>
      <c r="W1832" s="452"/>
    </row>
    <row r="1833" spans="19:23" ht="15" customHeight="1" x14ac:dyDescent="0.45">
      <c r="S1833" s="452"/>
      <c r="T1833" s="452"/>
      <c r="U1833" s="452"/>
      <c r="V1833" s="452"/>
      <c r="W1833" s="452"/>
    </row>
    <row r="1834" spans="19:23" ht="15" customHeight="1" x14ac:dyDescent="0.45">
      <c r="S1834" s="452"/>
      <c r="T1834" s="452"/>
      <c r="U1834" s="452"/>
      <c r="V1834" s="452"/>
      <c r="W1834" s="452"/>
    </row>
    <row r="1835" spans="19:23" ht="15" customHeight="1" x14ac:dyDescent="0.45">
      <c r="S1835" s="452"/>
      <c r="T1835" s="452"/>
      <c r="U1835" s="452"/>
      <c r="V1835" s="452"/>
      <c r="W1835" s="452"/>
    </row>
    <row r="1836" spans="19:23" ht="15" customHeight="1" x14ac:dyDescent="0.45">
      <c r="S1836" s="452"/>
      <c r="T1836" s="452"/>
      <c r="U1836" s="452"/>
      <c r="V1836" s="452"/>
      <c r="W1836" s="452"/>
    </row>
    <row r="1837" spans="19:23" ht="15" customHeight="1" x14ac:dyDescent="0.45">
      <c r="S1837" s="452"/>
      <c r="T1837" s="452"/>
      <c r="U1837" s="452"/>
      <c r="V1837" s="452"/>
      <c r="W1837" s="452"/>
    </row>
    <row r="1838" spans="19:23" ht="15" customHeight="1" x14ac:dyDescent="0.45">
      <c r="S1838" s="452"/>
      <c r="T1838" s="452"/>
      <c r="U1838" s="452"/>
      <c r="V1838" s="452"/>
      <c r="W1838" s="452"/>
    </row>
    <row r="1839" spans="19:23" ht="15" customHeight="1" x14ac:dyDescent="0.45">
      <c r="S1839" s="452"/>
      <c r="T1839" s="452"/>
      <c r="U1839" s="452"/>
      <c r="V1839" s="452"/>
      <c r="W1839" s="452"/>
    </row>
    <row r="1840" spans="19:23" ht="15" customHeight="1" x14ac:dyDescent="0.45">
      <c r="S1840" s="452"/>
      <c r="T1840" s="452"/>
      <c r="U1840" s="452"/>
      <c r="V1840" s="452"/>
      <c r="W1840" s="452"/>
    </row>
    <row r="1841" spans="19:23" ht="15" customHeight="1" x14ac:dyDescent="0.45">
      <c r="S1841" s="452"/>
      <c r="T1841" s="452"/>
      <c r="U1841" s="452"/>
      <c r="V1841" s="452"/>
      <c r="W1841" s="452"/>
    </row>
    <row r="1842" spans="19:23" ht="15" customHeight="1" x14ac:dyDescent="0.45">
      <c r="S1842" s="452"/>
      <c r="T1842" s="452"/>
      <c r="U1842" s="452"/>
      <c r="V1842" s="452"/>
      <c r="W1842" s="452"/>
    </row>
    <row r="1843" spans="19:23" ht="15" customHeight="1" x14ac:dyDescent="0.45">
      <c r="S1843" s="452"/>
      <c r="T1843" s="452"/>
      <c r="U1843" s="452"/>
      <c r="V1843" s="452"/>
      <c r="W1843" s="452"/>
    </row>
    <row r="1844" spans="19:23" ht="15" customHeight="1" x14ac:dyDescent="0.45">
      <c r="S1844" s="452"/>
      <c r="T1844" s="452"/>
      <c r="U1844" s="452"/>
      <c r="V1844" s="452"/>
      <c r="W1844" s="452"/>
    </row>
    <row r="1845" spans="19:23" ht="15" customHeight="1" x14ac:dyDescent="0.45">
      <c r="S1845" s="452"/>
      <c r="T1845" s="452"/>
      <c r="U1845" s="452"/>
      <c r="V1845" s="452"/>
      <c r="W1845" s="452"/>
    </row>
    <row r="1846" spans="19:23" ht="15" customHeight="1" x14ac:dyDescent="0.45">
      <c r="S1846" s="452"/>
      <c r="T1846" s="452"/>
      <c r="U1846" s="452"/>
      <c r="V1846" s="452"/>
      <c r="W1846" s="452"/>
    </row>
    <row r="1847" spans="19:23" ht="15" customHeight="1" x14ac:dyDescent="0.45">
      <c r="S1847" s="452"/>
      <c r="T1847" s="452"/>
      <c r="U1847" s="452"/>
      <c r="V1847" s="452"/>
      <c r="W1847" s="452"/>
    </row>
    <row r="1848" spans="19:23" ht="15" customHeight="1" x14ac:dyDescent="0.45">
      <c r="S1848" s="452"/>
      <c r="T1848" s="452"/>
      <c r="U1848" s="452"/>
      <c r="V1848" s="452"/>
      <c r="W1848" s="452"/>
    </row>
    <row r="1849" spans="19:23" ht="15" customHeight="1" x14ac:dyDescent="0.45">
      <c r="S1849" s="452"/>
      <c r="T1849" s="452"/>
      <c r="U1849" s="452"/>
      <c r="V1849" s="452"/>
      <c r="W1849" s="452"/>
    </row>
    <row r="1850" spans="19:23" ht="15" customHeight="1" x14ac:dyDescent="0.45">
      <c r="S1850" s="452"/>
      <c r="T1850" s="452"/>
      <c r="U1850" s="452"/>
      <c r="V1850" s="452"/>
      <c r="W1850" s="452"/>
    </row>
    <row r="1851" spans="19:23" ht="15" customHeight="1" x14ac:dyDescent="0.45">
      <c r="S1851" s="452"/>
      <c r="T1851" s="452"/>
      <c r="U1851" s="452"/>
      <c r="V1851" s="452"/>
      <c r="W1851" s="452"/>
    </row>
    <row r="1852" spans="19:23" ht="15" customHeight="1" x14ac:dyDescent="0.45">
      <c r="S1852" s="452"/>
      <c r="T1852" s="452"/>
      <c r="U1852" s="452"/>
      <c r="V1852" s="452"/>
      <c r="W1852" s="452"/>
    </row>
    <row r="1853" spans="19:23" ht="15" customHeight="1" x14ac:dyDescent="0.45">
      <c r="S1853" s="452"/>
      <c r="T1853" s="452"/>
      <c r="U1853" s="452"/>
      <c r="V1853" s="452"/>
      <c r="W1853" s="452"/>
    </row>
    <row r="1854" spans="19:23" ht="15" customHeight="1" x14ac:dyDescent="0.45">
      <c r="S1854" s="452"/>
      <c r="T1854" s="452"/>
      <c r="U1854" s="452"/>
      <c r="V1854" s="452"/>
      <c r="W1854" s="452"/>
    </row>
    <row r="1855" spans="19:23" ht="15" customHeight="1" x14ac:dyDescent="0.45">
      <c r="S1855" s="452"/>
      <c r="T1855" s="452"/>
      <c r="U1855" s="452"/>
      <c r="V1855" s="452"/>
      <c r="W1855" s="452"/>
    </row>
    <row r="1856" spans="19:23" ht="15" customHeight="1" x14ac:dyDescent="0.45">
      <c r="S1856" s="452"/>
      <c r="T1856" s="452"/>
      <c r="U1856" s="452"/>
      <c r="V1856" s="452"/>
      <c r="W1856" s="452"/>
    </row>
    <row r="1857" spans="19:23" ht="15" customHeight="1" x14ac:dyDescent="0.45">
      <c r="S1857" s="452"/>
      <c r="T1857" s="452"/>
      <c r="U1857" s="452"/>
      <c r="V1857" s="452"/>
      <c r="W1857" s="452"/>
    </row>
    <row r="1858" spans="19:23" ht="15" customHeight="1" x14ac:dyDescent="0.45">
      <c r="S1858" s="452"/>
      <c r="T1858" s="452"/>
      <c r="U1858" s="452"/>
      <c r="V1858" s="452"/>
      <c r="W1858" s="452"/>
    </row>
    <row r="1859" spans="19:23" ht="15" customHeight="1" x14ac:dyDescent="0.45">
      <c r="S1859" s="452"/>
      <c r="T1859" s="452"/>
      <c r="U1859" s="452"/>
      <c r="V1859" s="452"/>
      <c r="W1859" s="452"/>
    </row>
    <row r="1860" spans="19:23" ht="15" customHeight="1" x14ac:dyDescent="0.45">
      <c r="S1860" s="452"/>
      <c r="T1860" s="452"/>
      <c r="U1860" s="452"/>
      <c r="V1860" s="452"/>
      <c r="W1860" s="452"/>
    </row>
    <row r="1861" spans="19:23" ht="15" customHeight="1" x14ac:dyDescent="0.45">
      <c r="S1861" s="452"/>
      <c r="T1861" s="452"/>
      <c r="U1861" s="452"/>
      <c r="V1861" s="452"/>
      <c r="W1861" s="452"/>
    </row>
    <row r="1862" spans="19:23" ht="15" customHeight="1" x14ac:dyDescent="0.45">
      <c r="S1862" s="452"/>
      <c r="T1862" s="452"/>
      <c r="U1862" s="452"/>
      <c r="V1862" s="452"/>
      <c r="W1862" s="452"/>
    </row>
    <row r="1863" spans="19:23" ht="15" customHeight="1" x14ac:dyDescent="0.45">
      <c r="S1863" s="452"/>
      <c r="T1863" s="452"/>
      <c r="U1863" s="452"/>
      <c r="V1863" s="452"/>
      <c r="W1863" s="452"/>
    </row>
    <row r="1864" spans="19:23" ht="15" customHeight="1" x14ac:dyDescent="0.45">
      <c r="S1864" s="452"/>
      <c r="T1864" s="452"/>
      <c r="U1864" s="452"/>
      <c r="V1864" s="452"/>
      <c r="W1864" s="452"/>
    </row>
    <row r="1865" spans="19:23" ht="15" customHeight="1" x14ac:dyDescent="0.45">
      <c r="S1865" s="452"/>
      <c r="T1865" s="452"/>
      <c r="U1865" s="452"/>
      <c r="V1865" s="452"/>
      <c r="W1865" s="452"/>
    </row>
    <row r="1866" spans="19:23" ht="15" customHeight="1" x14ac:dyDescent="0.45">
      <c r="S1866" s="452"/>
      <c r="T1866" s="452"/>
      <c r="U1866" s="452"/>
      <c r="V1866" s="452"/>
      <c r="W1866" s="452"/>
    </row>
    <row r="1867" spans="19:23" ht="15" customHeight="1" x14ac:dyDescent="0.45">
      <c r="S1867" s="452"/>
      <c r="T1867" s="452"/>
      <c r="U1867" s="452"/>
      <c r="V1867" s="452"/>
      <c r="W1867" s="452"/>
    </row>
    <row r="1868" spans="19:23" ht="15" customHeight="1" x14ac:dyDescent="0.45">
      <c r="S1868" s="452"/>
      <c r="T1868" s="452"/>
      <c r="U1868" s="452"/>
      <c r="V1868" s="452"/>
      <c r="W1868" s="452"/>
    </row>
    <row r="1869" spans="19:23" ht="15" customHeight="1" x14ac:dyDescent="0.45">
      <c r="S1869" s="452"/>
      <c r="T1869" s="452"/>
      <c r="U1869" s="452"/>
      <c r="V1869" s="452"/>
      <c r="W1869" s="452"/>
    </row>
    <row r="1870" spans="19:23" ht="15" customHeight="1" x14ac:dyDescent="0.45">
      <c r="S1870" s="452"/>
      <c r="T1870" s="452"/>
      <c r="U1870" s="452"/>
      <c r="V1870" s="452"/>
      <c r="W1870" s="452"/>
    </row>
    <row r="1871" spans="19:23" ht="15" customHeight="1" x14ac:dyDescent="0.45">
      <c r="S1871" s="452"/>
      <c r="T1871" s="452"/>
      <c r="U1871" s="452"/>
      <c r="V1871" s="452"/>
      <c r="W1871" s="452"/>
    </row>
    <row r="1872" spans="19:23" ht="15" customHeight="1" x14ac:dyDescent="0.45">
      <c r="S1872" s="452"/>
      <c r="T1872" s="452"/>
      <c r="U1872" s="452"/>
      <c r="V1872" s="452"/>
      <c r="W1872" s="452"/>
    </row>
    <row r="1873" spans="19:23" ht="15" customHeight="1" x14ac:dyDescent="0.45">
      <c r="S1873" s="452"/>
      <c r="T1873" s="452"/>
      <c r="U1873" s="452"/>
      <c r="V1873" s="452"/>
      <c r="W1873" s="452"/>
    </row>
    <row r="1874" spans="19:23" ht="15" customHeight="1" x14ac:dyDescent="0.45">
      <c r="S1874" s="452"/>
      <c r="T1874" s="452"/>
      <c r="U1874" s="452"/>
      <c r="V1874" s="452"/>
      <c r="W1874" s="452"/>
    </row>
    <row r="1875" spans="19:23" ht="15" customHeight="1" x14ac:dyDescent="0.45">
      <c r="S1875" s="452"/>
      <c r="T1875" s="452"/>
      <c r="U1875" s="452"/>
      <c r="V1875" s="452"/>
      <c r="W1875" s="452"/>
    </row>
    <row r="1876" spans="19:23" ht="15" customHeight="1" x14ac:dyDescent="0.45">
      <c r="S1876" s="452"/>
      <c r="T1876" s="452"/>
      <c r="U1876" s="452"/>
      <c r="V1876" s="452"/>
      <c r="W1876" s="452"/>
    </row>
    <row r="1877" spans="19:23" ht="15" customHeight="1" x14ac:dyDescent="0.45">
      <c r="S1877" s="452"/>
      <c r="T1877" s="452"/>
      <c r="U1877" s="452"/>
      <c r="V1877" s="452"/>
      <c r="W1877" s="452"/>
    </row>
    <row r="1878" spans="19:23" ht="15" customHeight="1" x14ac:dyDescent="0.45">
      <c r="S1878" s="452"/>
      <c r="T1878" s="452"/>
      <c r="U1878" s="452"/>
      <c r="V1878" s="452"/>
      <c r="W1878" s="452"/>
    </row>
    <row r="1879" spans="19:23" ht="15" customHeight="1" x14ac:dyDescent="0.45">
      <c r="S1879" s="452"/>
      <c r="T1879" s="452"/>
      <c r="U1879" s="452"/>
      <c r="V1879" s="452"/>
      <c r="W1879" s="452"/>
    </row>
    <row r="1880" spans="19:23" ht="15" customHeight="1" x14ac:dyDescent="0.45">
      <c r="S1880" s="452"/>
      <c r="T1880" s="452"/>
      <c r="U1880" s="452"/>
      <c r="V1880" s="452"/>
      <c r="W1880" s="452"/>
    </row>
    <row r="1881" spans="19:23" ht="15" customHeight="1" x14ac:dyDescent="0.45">
      <c r="S1881" s="452"/>
      <c r="T1881" s="452"/>
      <c r="U1881" s="452"/>
      <c r="V1881" s="452"/>
      <c r="W1881" s="452"/>
    </row>
    <row r="1882" spans="19:23" ht="15" customHeight="1" x14ac:dyDescent="0.45">
      <c r="S1882" s="452"/>
      <c r="T1882" s="452"/>
      <c r="U1882" s="452"/>
      <c r="V1882" s="452"/>
      <c r="W1882" s="452"/>
    </row>
    <row r="1883" spans="19:23" ht="15" customHeight="1" x14ac:dyDescent="0.45">
      <c r="S1883" s="452"/>
      <c r="T1883" s="452"/>
      <c r="U1883" s="452"/>
      <c r="V1883" s="452"/>
      <c r="W1883" s="452"/>
    </row>
    <row r="1884" spans="19:23" ht="15" customHeight="1" x14ac:dyDescent="0.45">
      <c r="S1884" s="452"/>
      <c r="T1884" s="452"/>
      <c r="U1884" s="452"/>
      <c r="V1884" s="452"/>
      <c r="W1884" s="452"/>
    </row>
    <row r="1885" spans="19:23" ht="15" customHeight="1" x14ac:dyDescent="0.45">
      <c r="S1885" s="452"/>
      <c r="T1885" s="452"/>
      <c r="U1885" s="452"/>
      <c r="V1885" s="452"/>
      <c r="W1885" s="452"/>
    </row>
    <row r="1886" spans="19:23" ht="15" customHeight="1" x14ac:dyDescent="0.45">
      <c r="S1886" s="452"/>
      <c r="T1886" s="452"/>
      <c r="U1886" s="452"/>
      <c r="V1886" s="452"/>
      <c r="W1886" s="452"/>
    </row>
    <row r="1887" spans="19:23" ht="15" customHeight="1" x14ac:dyDescent="0.45">
      <c r="S1887" s="452"/>
      <c r="T1887" s="452"/>
      <c r="U1887" s="452"/>
      <c r="V1887" s="452"/>
      <c r="W1887" s="452"/>
    </row>
    <row r="1888" spans="19:23" ht="15" customHeight="1" x14ac:dyDescent="0.45">
      <c r="S1888" s="452"/>
      <c r="T1888" s="452"/>
      <c r="U1888" s="452"/>
      <c r="V1888" s="452"/>
      <c r="W1888" s="452"/>
    </row>
    <row r="1889" spans="19:23" ht="15" customHeight="1" x14ac:dyDescent="0.45">
      <c r="S1889" s="452"/>
      <c r="T1889" s="452"/>
      <c r="U1889" s="452"/>
      <c r="V1889" s="452"/>
      <c r="W1889" s="452"/>
    </row>
    <row r="1890" spans="19:23" ht="15" customHeight="1" x14ac:dyDescent="0.45">
      <c r="S1890" s="452"/>
      <c r="T1890" s="452"/>
      <c r="U1890" s="452"/>
      <c r="V1890" s="452"/>
      <c r="W1890" s="452"/>
    </row>
    <row r="1891" spans="19:23" ht="15" customHeight="1" x14ac:dyDescent="0.45">
      <c r="S1891" s="452"/>
      <c r="T1891" s="452"/>
      <c r="U1891" s="452"/>
      <c r="V1891" s="452"/>
      <c r="W1891" s="452"/>
    </row>
    <row r="1892" spans="19:23" ht="15" customHeight="1" x14ac:dyDescent="0.45">
      <c r="S1892" s="452"/>
      <c r="T1892" s="452"/>
      <c r="U1892" s="452"/>
      <c r="V1892" s="452"/>
      <c r="W1892" s="452"/>
    </row>
    <row r="1893" spans="19:23" ht="15" customHeight="1" x14ac:dyDescent="0.45">
      <c r="S1893" s="452"/>
      <c r="T1893" s="452"/>
      <c r="U1893" s="452"/>
      <c r="V1893" s="452"/>
      <c r="W1893" s="452"/>
    </row>
    <row r="1894" spans="19:23" ht="15" customHeight="1" x14ac:dyDescent="0.45">
      <c r="S1894" s="452"/>
      <c r="T1894" s="452"/>
      <c r="U1894" s="452"/>
      <c r="V1894" s="452"/>
      <c r="W1894" s="452"/>
    </row>
    <row r="1895" spans="19:23" ht="15" customHeight="1" x14ac:dyDescent="0.45">
      <c r="S1895" s="452"/>
      <c r="T1895" s="452"/>
      <c r="U1895" s="452"/>
      <c r="V1895" s="452"/>
      <c r="W1895" s="452"/>
    </row>
    <row r="1896" spans="19:23" ht="15" customHeight="1" x14ac:dyDescent="0.45">
      <c r="S1896" s="452"/>
      <c r="T1896" s="452"/>
      <c r="U1896" s="452"/>
      <c r="V1896" s="452"/>
      <c r="W1896" s="452"/>
    </row>
    <row r="1897" spans="19:23" ht="15" customHeight="1" x14ac:dyDescent="0.45">
      <c r="S1897" s="452"/>
      <c r="T1897" s="452"/>
      <c r="U1897" s="452"/>
      <c r="V1897" s="452"/>
      <c r="W1897" s="452"/>
    </row>
    <row r="1898" spans="19:23" ht="15" customHeight="1" x14ac:dyDescent="0.45">
      <c r="S1898" s="452"/>
      <c r="T1898" s="452"/>
      <c r="U1898" s="452"/>
      <c r="V1898" s="452"/>
      <c r="W1898" s="452"/>
    </row>
    <row r="1899" spans="19:23" ht="15" customHeight="1" x14ac:dyDescent="0.45">
      <c r="S1899" s="452"/>
      <c r="T1899" s="452"/>
      <c r="U1899" s="452"/>
      <c r="V1899" s="452"/>
      <c r="W1899" s="452"/>
    </row>
    <row r="1900" spans="19:23" ht="15" customHeight="1" x14ac:dyDescent="0.45">
      <c r="S1900" s="452"/>
      <c r="T1900" s="452"/>
      <c r="U1900" s="452"/>
      <c r="V1900" s="452"/>
      <c r="W1900" s="452"/>
    </row>
    <row r="1901" spans="19:23" ht="15" customHeight="1" x14ac:dyDescent="0.45">
      <c r="S1901" s="452"/>
      <c r="T1901" s="452"/>
      <c r="U1901" s="452"/>
      <c r="V1901" s="452"/>
      <c r="W1901" s="452"/>
    </row>
    <row r="1902" spans="19:23" ht="15" customHeight="1" x14ac:dyDescent="0.45">
      <c r="S1902" s="452"/>
      <c r="T1902" s="452"/>
      <c r="U1902" s="452"/>
      <c r="V1902" s="452"/>
      <c r="W1902" s="452"/>
    </row>
    <row r="1903" spans="19:23" ht="15" customHeight="1" x14ac:dyDescent="0.45">
      <c r="S1903" s="452"/>
      <c r="T1903" s="452"/>
      <c r="U1903" s="452"/>
      <c r="V1903" s="452"/>
      <c r="W1903" s="452"/>
    </row>
    <row r="1904" spans="19:23" ht="15" customHeight="1" x14ac:dyDescent="0.45">
      <c r="S1904" s="452"/>
      <c r="T1904" s="452"/>
      <c r="U1904" s="452"/>
      <c r="V1904" s="452"/>
      <c r="W1904" s="452"/>
    </row>
    <row r="1905" spans="19:23" ht="15" customHeight="1" x14ac:dyDescent="0.45">
      <c r="S1905" s="452"/>
      <c r="T1905" s="452"/>
      <c r="U1905" s="452"/>
      <c r="V1905" s="452"/>
      <c r="W1905" s="452"/>
    </row>
    <row r="1906" spans="19:23" ht="15" customHeight="1" x14ac:dyDescent="0.45">
      <c r="S1906" s="452"/>
      <c r="T1906" s="452"/>
      <c r="U1906" s="452"/>
      <c r="V1906" s="452"/>
      <c r="W1906" s="452"/>
    </row>
    <row r="1907" spans="19:23" ht="15" customHeight="1" x14ac:dyDescent="0.45">
      <c r="S1907" s="452"/>
      <c r="T1907" s="452"/>
      <c r="U1907" s="452"/>
      <c r="V1907" s="452"/>
      <c r="W1907" s="452"/>
    </row>
    <row r="1908" spans="19:23" ht="15" customHeight="1" x14ac:dyDescent="0.45">
      <c r="S1908" s="452"/>
      <c r="T1908" s="452"/>
      <c r="U1908" s="452"/>
      <c r="V1908" s="452"/>
      <c r="W1908" s="452"/>
    </row>
    <row r="1909" spans="19:23" ht="15" customHeight="1" x14ac:dyDescent="0.45">
      <c r="S1909" s="452"/>
      <c r="T1909" s="452"/>
      <c r="U1909" s="452"/>
      <c r="V1909" s="452"/>
      <c r="W1909" s="452"/>
    </row>
    <row r="1910" spans="19:23" ht="15" customHeight="1" x14ac:dyDescent="0.45">
      <c r="S1910" s="452"/>
      <c r="T1910" s="452"/>
      <c r="U1910" s="452"/>
      <c r="V1910" s="452"/>
      <c r="W1910" s="452"/>
    </row>
    <row r="1911" spans="19:23" ht="15" customHeight="1" x14ac:dyDescent="0.45">
      <c r="S1911" s="452"/>
      <c r="T1911" s="452"/>
      <c r="U1911" s="452"/>
      <c r="V1911" s="452"/>
      <c r="W1911" s="452"/>
    </row>
    <row r="1912" spans="19:23" ht="15" customHeight="1" x14ac:dyDescent="0.45">
      <c r="S1912" s="452"/>
      <c r="T1912" s="452"/>
      <c r="U1912" s="452"/>
      <c r="V1912" s="452"/>
      <c r="W1912" s="452"/>
    </row>
    <row r="1913" spans="19:23" ht="15" customHeight="1" x14ac:dyDescent="0.45">
      <c r="S1913" s="452"/>
      <c r="T1913" s="452"/>
      <c r="U1913" s="452"/>
      <c r="V1913" s="452"/>
      <c r="W1913" s="452"/>
    </row>
    <row r="1914" spans="19:23" ht="15" customHeight="1" x14ac:dyDescent="0.45">
      <c r="S1914" s="452"/>
      <c r="T1914" s="452"/>
      <c r="U1914" s="452"/>
      <c r="V1914" s="452"/>
      <c r="W1914" s="452"/>
    </row>
    <row r="1915" spans="19:23" ht="15" customHeight="1" x14ac:dyDescent="0.45">
      <c r="S1915" s="452"/>
      <c r="T1915" s="452"/>
      <c r="U1915" s="452"/>
      <c r="V1915" s="452"/>
      <c r="W1915" s="452"/>
    </row>
    <row r="1916" spans="19:23" ht="15" customHeight="1" x14ac:dyDescent="0.45">
      <c r="S1916" s="452"/>
      <c r="T1916" s="452"/>
      <c r="U1916" s="452"/>
      <c r="V1916" s="452"/>
      <c r="W1916" s="452"/>
    </row>
    <row r="1917" spans="19:23" ht="15" customHeight="1" x14ac:dyDescent="0.45">
      <c r="S1917" s="452"/>
      <c r="T1917" s="452"/>
      <c r="U1917" s="452"/>
      <c r="V1917" s="452"/>
      <c r="W1917" s="452"/>
    </row>
    <row r="1918" spans="19:23" ht="15" customHeight="1" x14ac:dyDescent="0.45">
      <c r="S1918" s="452"/>
      <c r="T1918" s="452"/>
      <c r="U1918" s="452"/>
      <c r="V1918" s="452"/>
      <c r="W1918" s="452"/>
    </row>
    <row r="1919" spans="19:23" ht="15" customHeight="1" x14ac:dyDescent="0.45">
      <c r="S1919" s="452"/>
      <c r="T1919" s="452"/>
      <c r="U1919" s="452"/>
      <c r="V1919" s="452"/>
      <c r="W1919" s="452"/>
    </row>
    <row r="1920" spans="19:23" ht="15" customHeight="1" x14ac:dyDescent="0.45">
      <c r="S1920" s="452"/>
      <c r="T1920" s="452"/>
      <c r="U1920" s="452"/>
      <c r="V1920" s="452"/>
      <c r="W1920" s="452"/>
    </row>
    <row r="1921" spans="19:23" ht="15" customHeight="1" x14ac:dyDescent="0.45">
      <c r="S1921" s="452"/>
      <c r="T1921" s="452"/>
      <c r="U1921" s="452"/>
      <c r="V1921" s="452"/>
      <c r="W1921" s="452"/>
    </row>
    <row r="1922" spans="19:23" ht="15" customHeight="1" x14ac:dyDescent="0.45">
      <c r="S1922" s="452"/>
      <c r="T1922" s="452"/>
      <c r="U1922" s="452"/>
      <c r="V1922" s="452"/>
      <c r="W1922" s="452"/>
    </row>
    <row r="1923" spans="19:23" ht="15" customHeight="1" x14ac:dyDescent="0.45">
      <c r="S1923" s="452"/>
      <c r="T1923" s="452"/>
      <c r="U1923" s="452"/>
      <c r="V1923" s="452"/>
      <c r="W1923" s="452"/>
    </row>
    <row r="1924" spans="19:23" ht="15" customHeight="1" x14ac:dyDescent="0.45">
      <c r="S1924" s="452"/>
      <c r="T1924" s="452"/>
      <c r="U1924" s="452"/>
      <c r="V1924" s="452"/>
      <c r="W1924" s="452"/>
    </row>
    <row r="1925" spans="19:23" ht="15" customHeight="1" x14ac:dyDescent="0.45">
      <c r="S1925" s="452"/>
      <c r="T1925" s="452"/>
      <c r="U1925" s="452"/>
      <c r="V1925" s="452"/>
      <c r="W1925" s="452"/>
    </row>
    <row r="1926" spans="19:23" ht="15" customHeight="1" x14ac:dyDescent="0.45">
      <c r="S1926" s="452"/>
      <c r="T1926" s="452"/>
      <c r="U1926" s="452"/>
      <c r="V1926" s="452"/>
      <c r="W1926" s="452"/>
    </row>
    <row r="1927" spans="19:23" ht="15" customHeight="1" x14ac:dyDescent="0.45">
      <c r="S1927" s="452"/>
      <c r="T1927" s="452"/>
      <c r="U1927" s="452"/>
      <c r="V1927" s="452"/>
      <c r="W1927" s="452"/>
    </row>
    <row r="1928" spans="19:23" ht="15" customHeight="1" x14ac:dyDescent="0.45">
      <c r="S1928" s="452"/>
      <c r="T1928" s="452"/>
      <c r="U1928" s="452"/>
      <c r="V1928" s="452"/>
      <c r="W1928" s="452"/>
    </row>
    <row r="1929" spans="19:23" ht="15" customHeight="1" x14ac:dyDescent="0.45">
      <c r="S1929" s="452"/>
      <c r="T1929" s="452"/>
      <c r="U1929" s="452"/>
      <c r="V1929" s="452"/>
      <c r="W1929" s="452"/>
    </row>
    <row r="1930" spans="19:23" ht="15" customHeight="1" x14ac:dyDescent="0.45">
      <c r="S1930" s="452"/>
      <c r="T1930" s="452"/>
      <c r="U1930" s="452"/>
      <c r="V1930" s="452"/>
      <c r="W1930" s="452"/>
    </row>
    <row r="1931" spans="19:23" ht="15" customHeight="1" x14ac:dyDescent="0.45">
      <c r="S1931" s="452"/>
      <c r="T1931" s="452"/>
      <c r="U1931" s="452"/>
      <c r="V1931" s="452"/>
      <c r="W1931" s="452"/>
    </row>
    <row r="1932" spans="19:23" ht="15" customHeight="1" x14ac:dyDescent="0.45">
      <c r="S1932" s="452"/>
      <c r="T1932" s="452"/>
      <c r="U1932" s="452"/>
      <c r="V1932" s="452"/>
      <c r="W1932" s="452"/>
    </row>
    <row r="1933" spans="19:23" ht="15" customHeight="1" x14ac:dyDescent="0.45">
      <c r="S1933" s="452"/>
      <c r="T1933" s="452"/>
      <c r="U1933" s="452"/>
      <c r="V1933" s="452"/>
      <c r="W1933" s="452"/>
    </row>
    <row r="1934" spans="19:23" ht="15" customHeight="1" x14ac:dyDescent="0.45">
      <c r="S1934" s="452"/>
      <c r="T1934" s="452"/>
      <c r="U1934" s="452"/>
      <c r="V1934" s="452"/>
      <c r="W1934" s="452"/>
    </row>
    <row r="1935" spans="19:23" ht="15" customHeight="1" x14ac:dyDescent="0.45">
      <c r="S1935" s="452"/>
      <c r="T1935" s="452"/>
      <c r="U1935" s="452"/>
      <c r="V1935" s="452"/>
      <c r="W1935" s="452"/>
    </row>
    <row r="1936" spans="19:23" ht="15" customHeight="1" x14ac:dyDescent="0.45">
      <c r="S1936" s="452"/>
      <c r="T1936" s="452"/>
      <c r="U1936" s="452"/>
      <c r="V1936" s="452"/>
      <c r="W1936" s="452"/>
    </row>
    <row r="1937" spans="19:23" ht="15" customHeight="1" x14ac:dyDescent="0.45">
      <c r="S1937" s="452"/>
      <c r="T1937" s="452"/>
      <c r="U1937" s="452"/>
      <c r="V1937" s="452"/>
      <c r="W1937" s="452"/>
    </row>
    <row r="1938" spans="19:23" ht="15" customHeight="1" x14ac:dyDescent="0.45">
      <c r="S1938" s="452"/>
      <c r="T1938" s="452"/>
      <c r="U1938" s="452"/>
      <c r="V1938" s="452"/>
      <c r="W1938" s="452"/>
    </row>
    <row r="1939" spans="19:23" ht="15" customHeight="1" x14ac:dyDescent="0.45">
      <c r="S1939" s="452"/>
      <c r="T1939" s="452"/>
      <c r="U1939" s="452"/>
      <c r="V1939" s="452"/>
      <c r="W1939" s="452"/>
    </row>
    <row r="1940" spans="19:23" ht="15" customHeight="1" x14ac:dyDescent="0.45">
      <c r="S1940" s="452"/>
      <c r="T1940" s="452"/>
      <c r="U1940" s="452"/>
      <c r="V1940" s="452"/>
      <c r="W1940" s="452"/>
    </row>
    <row r="1941" spans="19:23" ht="15" customHeight="1" x14ac:dyDescent="0.45">
      <c r="S1941" s="452"/>
      <c r="T1941" s="452"/>
      <c r="U1941" s="452"/>
      <c r="V1941" s="452"/>
      <c r="W1941" s="452"/>
    </row>
    <row r="1942" spans="19:23" ht="15" customHeight="1" x14ac:dyDescent="0.45">
      <c r="S1942" s="452"/>
      <c r="T1942" s="452"/>
      <c r="U1942" s="452"/>
      <c r="V1942" s="452"/>
      <c r="W1942" s="452"/>
    </row>
    <row r="1943" spans="19:23" ht="15" customHeight="1" x14ac:dyDescent="0.45">
      <c r="S1943" s="452"/>
      <c r="T1943" s="452"/>
      <c r="U1943" s="452"/>
      <c r="V1943" s="452"/>
      <c r="W1943" s="452"/>
    </row>
    <row r="1944" spans="19:23" ht="15" customHeight="1" x14ac:dyDescent="0.45">
      <c r="S1944" s="452"/>
      <c r="T1944" s="452"/>
      <c r="U1944" s="452"/>
      <c r="V1944" s="452"/>
      <c r="W1944" s="452"/>
    </row>
    <row r="1945" spans="19:23" ht="15" customHeight="1" x14ac:dyDescent="0.45">
      <c r="S1945" s="452"/>
      <c r="T1945" s="452"/>
      <c r="U1945" s="452"/>
      <c r="V1945" s="452"/>
      <c r="W1945" s="452"/>
    </row>
    <row r="1946" spans="19:23" ht="15" customHeight="1" x14ac:dyDescent="0.45">
      <c r="S1946" s="452"/>
      <c r="T1946" s="452"/>
      <c r="U1946" s="452"/>
      <c r="V1946" s="452"/>
      <c r="W1946" s="452"/>
    </row>
    <row r="1947" spans="19:23" ht="15" customHeight="1" x14ac:dyDescent="0.45">
      <c r="S1947" s="452"/>
      <c r="T1947" s="452"/>
      <c r="U1947" s="452"/>
      <c r="V1947" s="452"/>
      <c r="W1947" s="452"/>
    </row>
    <row r="1948" spans="19:23" ht="15" customHeight="1" x14ac:dyDescent="0.45">
      <c r="S1948" s="452"/>
      <c r="T1948" s="452"/>
      <c r="U1948" s="452"/>
      <c r="V1948" s="452"/>
      <c r="W1948" s="452"/>
    </row>
    <row r="1949" spans="19:23" ht="15" customHeight="1" x14ac:dyDescent="0.45">
      <c r="S1949" s="452"/>
      <c r="T1949" s="452"/>
      <c r="U1949" s="452"/>
      <c r="V1949" s="452"/>
      <c r="W1949" s="452"/>
    </row>
    <row r="1950" spans="19:23" ht="15" customHeight="1" x14ac:dyDescent="0.45">
      <c r="S1950" s="452"/>
      <c r="T1950" s="452"/>
      <c r="U1950" s="452"/>
      <c r="V1950" s="452"/>
      <c r="W1950" s="452"/>
    </row>
    <row r="1951" spans="19:23" ht="15" customHeight="1" x14ac:dyDescent="0.45">
      <c r="S1951" s="452"/>
      <c r="T1951" s="452"/>
      <c r="U1951" s="452"/>
      <c r="V1951" s="452"/>
      <c r="W1951" s="452"/>
    </row>
    <row r="1952" spans="19:23" ht="15" customHeight="1" x14ac:dyDescent="0.45">
      <c r="S1952" s="452"/>
      <c r="T1952" s="452"/>
      <c r="U1952" s="452"/>
      <c r="V1952" s="452"/>
      <c r="W1952" s="452"/>
    </row>
    <row r="1953" spans="19:23" ht="15" customHeight="1" x14ac:dyDescent="0.45">
      <c r="S1953" s="452"/>
      <c r="T1953" s="452"/>
      <c r="U1953" s="452"/>
      <c r="V1953" s="452"/>
      <c r="W1953" s="452"/>
    </row>
    <row r="1954" spans="19:23" ht="15" customHeight="1" x14ac:dyDescent="0.45">
      <c r="S1954" s="452"/>
      <c r="T1954" s="452"/>
      <c r="U1954" s="452"/>
      <c r="V1954" s="452"/>
      <c r="W1954" s="452"/>
    </row>
    <row r="1955" spans="19:23" ht="15" customHeight="1" x14ac:dyDescent="0.45">
      <c r="S1955" s="452"/>
      <c r="T1955" s="452"/>
      <c r="U1955" s="452"/>
      <c r="V1955" s="452"/>
      <c r="W1955" s="452"/>
    </row>
    <row r="1956" spans="19:23" ht="15" customHeight="1" x14ac:dyDescent="0.45">
      <c r="S1956" s="452"/>
      <c r="T1956" s="452"/>
      <c r="U1956" s="452"/>
      <c r="V1956" s="452"/>
      <c r="W1956" s="452"/>
    </row>
    <row r="1957" spans="19:23" ht="15" customHeight="1" x14ac:dyDescent="0.45">
      <c r="S1957" s="452"/>
      <c r="T1957" s="452"/>
      <c r="U1957" s="452"/>
      <c r="V1957" s="452"/>
      <c r="W1957" s="452"/>
    </row>
    <row r="1958" spans="19:23" ht="15" customHeight="1" x14ac:dyDescent="0.45">
      <c r="S1958" s="452"/>
      <c r="T1958" s="452"/>
      <c r="U1958" s="452"/>
      <c r="V1958" s="452"/>
      <c r="W1958" s="452"/>
    </row>
    <row r="1959" spans="19:23" ht="15" customHeight="1" x14ac:dyDescent="0.45">
      <c r="S1959" s="452"/>
      <c r="T1959" s="452"/>
      <c r="U1959" s="452"/>
      <c r="V1959" s="452"/>
      <c r="W1959" s="452"/>
    </row>
    <row r="1960" spans="19:23" ht="15" customHeight="1" x14ac:dyDescent="0.45">
      <c r="S1960" s="452"/>
      <c r="T1960" s="452"/>
      <c r="U1960" s="452"/>
      <c r="V1960" s="452"/>
      <c r="W1960" s="452"/>
    </row>
    <row r="1961" spans="19:23" ht="15" customHeight="1" x14ac:dyDescent="0.45">
      <c r="S1961" s="452"/>
      <c r="T1961" s="452"/>
      <c r="U1961" s="452"/>
      <c r="V1961" s="452"/>
      <c r="W1961" s="452"/>
    </row>
    <row r="1962" spans="19:23" ht="15" customHeight="1" x14ac:dyDescent="0.45">
      <c r="S1962" s="452"/>
      <c r="T1962" s="452"/>
      <c r="U1962" s="452"/>
      <c r="V1962" s="452"/>
      <c r="W1962" s="452"/>
    </row>
    <row r="1963" spans="19:23" ht="15" customHeight="1" x14ac:dyDescent="0.45">
      <c r="S1963" s="452"/>
      <c r="T1963" s="452"/>
      <c r="U1963" s="452"/>
      <c r="V1963" s="452"/>
      <c r="W1963" s="452"/>
    </row>
    <row r="1964" spans="19:23" ht="15" customHeight="1" x14ac:dyDescent="0.45">
      <c r="S1964" s="452"/>
      <c r="T1964" s="452"/>
      <c r="U1964" s="452"/>
      <c r="V1964" s="452"/>
      <c r="W1964" s="452"/>
    </row>
    <row r="1965" spans="19:23" ht="15" customHeight="1" x14ac:dyDescent="0.45">
      <c r="S1965" s="452"/>
      <c r="T1965" s="452"/>
      <c r="U1965" s="452"/>
      <c r="V1965" s="452"/>
      <c r="W1965" s="452"/>
    </row>
    <row r="1966" spans="19:23" ht="15" customHeight="1" x14ac:dyDescent="0.45">
      <c r="S1966" s="452"/>
      <c r="T1966" s="452"/>
      <c r="U1966" s="452"/>
      <c r="V1966" s="452"/>
      <c r="W1966" s="452"/>
    </row>
    <row r="1967" spans="19:23" ht="15" customHeight="1" x14ac:dyDescent="0.45">
      <c r="S1967" s="452"/>
      <c r="T1967" s="452"/>
      <c r="U1967" s="452"/>
      <c r="V1967" s="452"/>
      <c r="W1967" s="452"/>
    </row>
    <row r="1968" spans="19:23" ht="15" customHeight="1" x14ac:dyDescent="0.45">
      <c r="S1968" s="452"/>
      <c r="T1968" s="452"/>
      <c r="U1968" s="452"/>
      <c r="V1968" s="452"/>
      <c r="W1968" s="452"/>
    </row>
    <row r="1969" spans="19:23" ht="15" customHeight="1" x14ac:dyDescent="0.45">
      <c r="S1969" s="452"/>
      <c r="T1969" s="452"/>
      <c r="U1969" s="452"/>
      <c r="V1969" s="452"/>
      <c r="W1969" s="452"/>
    </row>
    <row r="1970" spans="19:23" ht="15" customHeight="1" x14ac:dyDescent="0.45">
      <c r="S1970" s="452"/>
      <c r="T1970" s="452"/>
      <c r="U1970" s="452"/>
      <c r="V1970" s="452"/>
      <c r="W1970" s="452"/>
    </row>
    <row r="1971" spans="19:23" ht="15" customHeight="1" x14ac:dyDescent="0.45">
      <c r="S1971" s="452"/>
      <c r="T1971" s="452"/>
      <c r="U1971" s="452"/>
      <c r="V1971" s="452"/>
      <c r="W1971" s="452"/>
    </row>
    <row r="1972" spans="19:23" ht="15" customHeight="1" x14ac:dyDescent="0.45">
      <c r="S1972" s="452"/>
      <c r="T1972" s="452"/>
      <c r="U1972" s="452"/>
      <c r="V1972" s="452"/>
      <c r="W1972" s="452"/>
    </row>
    <row r="1973" spans="19:23" ht="15" customHeight="1" x14ac:dyDescent="0.45">
      <c r="S1973" s="452"/>
      <c r="T1973" s="452"/>
      <c r="U1973" s="452"/>
      <c r="V1973" s="452"/>
      <c r="W1973" s="452"/>
    </row>
    <row r="1974" spans="19:23" ht="15" customHeight="1" x14ac:dyDescent="0.45">
      <c r="S1974" s="452"/>
      <c r="T1974" s="452"/>
      <c r="U1974" s="452"/>
      <c r="V1974" s="452"/>
      <c r="W1974" s="452"/>
    </row>
    <row r="1975" spans="19:23" ht="15" customHeight="1" x14ac:dyDescent="0.45">
      <c r="S1975" s="452"/>
      <c r="T1975" s="452"/>
      <c r="U1975" s="452"/>
      <c r="V1975" s="452"/>
      <c r="W1975" s="452"/>
    </row>
    <row r="1976" spans="19:23" ht="15" customHeight="1" x14ac:dyDescent="0.45">
      <c r="S1976" s="452"/>
      <c r="T1976" s="452"/>
      <c r="U1976" s="452"/>
      <c r="V1976" s="452"/>
      <c r="W1976" s="452"/>
    </row>
    <row r="1977" spans="19:23" ht="15" customHeight="1" x14ac:dyDescent="0.45">
      <c r="S1977" s="452"/>
      <c r="T1977" s="452"/>
      <c r="U1977" s="452"/>
      <c r="V1977" s="452"/>
      <c r="W1977" s="452"/>
    </row>
    <row r="1978" spans="19:23" ht="15" customHeight="1" x14ac:dyDescent="0.45">
      <c r="S1978" s="452"/>
      <c r="T1978" s="452"/>
      <c r="U1978" s="452"/>
      <c r="V1978" s="452"/>
      <c r="W1978" s="452"/>
    </row>
    <row r="1979" spans="19:23" ht="15" customHeight="1" x14ac:dyDescent="0.45">
      <c r="S1979" s="452"/>
      <c r="T1979" s="452"/>
      <c r="U1979" s="452"/>
      <c r="V1979" s="452"/>
      <c r="W1979" s="452"/>
    </row>
    <row r="1980" spans="19:23" ht="15" customHeight="1" x14ac:dyDescent="0.45">
      <c r="S1980" s="452"/>
      <c r="T1980" s="452"/>
      <c r="U1980" s="452"/>
      <c r="V1980" s="452"/>
      <c r="W1980" s="452"/>
    </row>
    <row r="1981" spans="19:23" ht="15" customHeight="1" x14ac:dyDescent="0.45">
      <c r="S1981" s="452"/>
      <c r="T1981" s="452"/>
      <c r="U1981" s="452"/>
      <c r="V1981" s="452"/>
      <c r="W1981" s="452"/>
    </row>
    <row r="1982" spans="19:23" ht="15" customHeight="1" x14ac:dyDescent="0.45">
      <c r="S1982" s="452"/>
      <c r="T1982" s="452"/>
      <c r="U1982" s="452"/>
      <c r="V1982" s="452"/>
      <c r="W1982" s="452"/>
    </row>
    <row r="1983" spans="19:23" ht="15" customHeight="1" x14ac:dyDescent="0.45">
      <c r="S1983" s="452"/>
      <c r="T1983" s="452"/>
      <c r="U1983" s="452"/>
      <c r="V1983" s="452"/>
      <c r="W1983" s="452"/>
    </row>
    <row r="1984" spans="19:23" ht="15" customHeight="1" x14ac:dyDescent="0.45">
      <c r="S1984" s="452"/>
      <c r="T1984" s="452"/>
      <c r="U1984" s="452"/>
      <c r="V1984" s="452"/>
      <c r="W1984" s="452"/>
    </row>
    <row r="1985" spans="19:23" ht="15" customHeight="1" x14ac:dyDescent="0.45">
      <c r="S1985" s="452"/>
      <c r="T1985" s="452"/>
      <c r="U1985" s="452"/>
      <c r="V1985" s="452"/>
      <c r="W1985" s="452"/>
    </row>
    <row r="1986" spans="19:23" ht="15" customHeight="1" x14ac:dyDescent="0.45">
      <c r="S1986" s="452"/>
      <c r="T1986" s="452"/>
      <c r="U1986" s="452"/>
      <c r="V1986" s="452"/>
      <c r="W1986" s="452"/>
    </row>
    <row r="1987" spans="19:23" ht="15" customHeight="1" x14ac:dyDescent="0.45">
      <c r="S1987" s="452"/>
      <c r="T1987" s="452"/>
      <c r="U1987" s="452"/>
      <c r="V1987" s="452"/>
      <c r="W1987" s="452"/>
    </row>
    <row r="1988" spans="19:23" ht="15" customHeight="1" x14ac:dyDescent="0.45">
      <c r="S1988" s="452"/>
      <c r="T1988" s="452"/>
      <c r="U1988" s="452"/>
      <c r="V1988" s="452"/>
      <c r="W1988" s="452"/>
    </row>
    <row r="1989" spans="19:23" ht="15" customHeight="1" x14ac:dyDescent="0.45">
      <c r="S1989" s="452"/>
      <c r="T1989" s="452"/>
      <c r="U1989" s="452"/>
      <c r="V1989" s="452"/>
      <c r="W1989" s="452"/>
    </row>
    <row r="1990" spans="19:23" ht="15" customHeight="1" x14ac:dyDescent="0.45">
      <c r="S1990" s="452"/>
      <c r="T1990" s="452"/>
      <c r="U1990" s="452"/>
      <c r="V1990" s="452"/>
      <c r="W1990" s="452"/>
    </row>
    <row r="1991" spans="19:23" ht="15" customHeight="1" x14ac:dyDescent="0.45">
      <c r="S1991" s="452"/>
      <c r="T1991" s="452"/>
      <c r="U1991" s="452"/>
      <c r="V1991" s="452"/>
      <c r="W1991" s="452"/>
    </row>
    <row r="1992" spans="19:23" ht="15" customHeight="1" x14ac:dyDescent="0.45">
      <c r="S1992" s="452"/>
      <c r="T1992" s="452"/>
      <c r="U1992" s="452"/>
      <c r="V1992" s="452"/>
      <c r="W1992" s="452"/>
    </row>
    <row r="1993" spans="19:23" ht="15" customHeight="1" x14ac:dyDescent="0.45">
      <c r="S1993" s="452"/>
      <c r="T1993" s="452"/>
      <c r="U1993" s="452"/>
      <c r="V1993" s="452"/>
      <c r="W1993" s="452"/>
    </row>
    <row r="1994" spans="19:23" ht="15" customHeight="1" x14ac:dyDescent="0.45">
      <c r="S1994" s="452"/>
      <c r="T1994" s="452"/>
      <c r="U1994" s="452"/>
      <c r="V1994" s="452"/>
      <c r="W1994" s="452"/>
    </row>
    <row r="1995" spans="19:23" ht="15" customHeight="1" x14ac:dyDescent="0.45">
      <c r="S1995" s="452"/>
      <c r="T1995" s="452"/>
      <c r="U1995" s="452"/>
      <c r="V1995" s="452"/>
      <c r="W1995" s="452"/>
    </row>
    <row r="1996" spans="19:23" ht="15" customHeight="1" x14ac:dyDescent="0.45">
      <c r="S1996" s="452"/>
      <c r="T1996" s="452"/>
      <c r="U1996" s="452"/>
      <c r="V1996" s="452"/>
      <c r="W1996" s="452"/>
    </row>
    <row r="1997" spans="19:23" ht="15" customHeight="1" x14ac:dyDescent="0.45">
      <c r="S1997" s="452"/>
      <c r="T1997" s="452"/>
      <c r="U1997" s="452"/>
      <c r="V1997" s="452"/>
      <c r="W1997" s="452"/>
    </row>
    <row r="1998" spans="19:23" ht="15" customHeight="1" x14ac:dyDescent="0.45">
      <c r="S1998" s="452"/>
      <c r="T1998" s="452"/>
      <c r="U1998" s="452"/>
      <c r="V1998" s="452"/>
      <c r="W1998" s="452"/>
    </row>
    <row r="1999" spans="19:23" ht="15" customHeight="1" x14ac:dyDescent="0.45">
      <c r="S1999" s="452"/>
      <c r="T1999" s="452"/>
      <c r="U1999" s="452"/>
      <c r="V1999" s="452"/>
      <c r="W1999" s="452"/>
    </row>
    <row r="2000" spans="19:23" ht="15" customHeight="1" x14ac:dyDescent="0.45">
      <c r="S2000" s="452"/>
      <c r="T2000" s="452"/>
      <c r="U2000" s="452"/>
      <c r="V2000" s="452"/>
      <c r="W2000" s="452"/>
    </row>
    <row r="2001" spans="19:23" ht="15" customHeight="1" x14ac:dyDescent="0.45">
      <c r="S2001" s="452"/>
      <c r="T2001" s="452"/>
      <c r="U2001" s="452"/>
      <c r="V2001" s="452"/>
      <c r="W2001" s="452"/>
    </row>
    <row r="2002" spans="19:23" ht="15" customHeight="1" x14ac:dyDescent="0.45">
      <c r="S2002" s="452"/>
      <c r="T2002" s="452"/>
      <c r="U2002" s="452"/>
      <c r="V2002" s="452"/>
      <c r="W2002" s="452"/>
    </row>
    <row r="2003" spans="19:23" ht="15" customHeight="1" x14ac:dyDescent="0.45">
      <c r="S2003" s="452"/>
      <c r="T2003" s="452"/>
      <c r="U2003" s="452"/>
      <c r="V2003" s="452"/>
      <c r="W2003" s="452"/>
    </row>
    <row r="2004" spans="19:23" ht="15" customHeight="1" x14ac:dyDescent="0.45">
      <c r="S2004" s="452"/>
      <c r="T2004" s="452"/>
      <c r="U2004" s="452"/>
      <c r="V2004" s="452"/>
      <c r="W2004" s="452"/>
    </row>
    <row r="2005" spans="19:23" ht="15" customHeight="1" x14ac:dyDescent="0.45">
      <c r="S2005" s="452"/>
      <c r="T2005" s="452"/>
      <c r="U2005" s="452"/>
      <c r="V2005" s="452"/>
      <c r="W2005" s="452"/>
    </row>
    <row r="2006" spans="19:23" ht="15" customHeight="1" x14ac:dyDescent="0.45">
      <c r="S2006" s="452"/>
      <c r="T2006" s="452"/>
      <c r="U2006" s="452"/>
      <c r="V2006" s="452"/>
      <c r="W2006" s="452"/>
    </row>
    <row r="2007" spans="19:23" ht="15" customHeight="1" x14ac:dyDescent="0.45">
      <c r="S2007" s="452"/>
      <c r="T2007" s="452"/>
      <c r="U2007" s="452"/>
      <c r="V2007" s="452"/>
      <c r="W2007" s="452"/>
    </row>
    <row r="2008" spans="19:23" ht="15" customHeight="1" x14ac:dyDescent="0.45">
      <c r="S2008" s="452"/>
      <c r="T2008" s="452"/>
      <c r="U2008" s="452"/>
      <c r="V2008" s="452"/>
      <c r="W2008" s="452"/>
    </row>
    <row r="2009" spans="19:23" ht="15" customHeight="1" x14ac:dyDescent="0.45">
      <c r="S2009" s="452"/>
      <c r="T2009" s="452"/>
      <c r="U2009" s="452"/>
      <c r="V2009" s="452"/>
      <c r="W2009" s="452"/>
    </row>
    <row r="2010" spans="19:23" ht="15" customHeight="1" x14ac:dyDescent="0.45">
      <c r="S2010" s="452"/>
      <c r="T2010" s="452"/>
      <c r="U2010" s="452"/>
      <c r="V2010" s="452"/>
      <c r="W2010" s="452"/>
    </row>
    <row r="2011" spans="19:23" ht="15" customHeight="1" x14ac:dyDescent="0.45">
      <c r="S2011" s="452"/>
      <c r="T2011" s="452"/>
      <c r="U2011" s="452"/>
      <c r="V2011" s="452"/>
      <c r="W2011" s="452"/>
    </row>
    <row r="2012" spans="19:23" ht="15" customHeight="1" x14ac:dyDescent="0.45">
      <c r="S2012" s="452"/>
      <c r="T2012" s="452"/>
      <c r="U2012" s="452"/>
      <c r="V2012" s="452"/>
      <c r="W2012" s="452"/>
    </row>
    <row r="2013" spans="19:23" ht="15" customHeight="1" x14ac:dyDescent="0.45">
      <c r="S2013" s="452"/>
      <c r="T2013" s="452"/>
      <c r="U2013" s="452"/>
      <c r="V2013" s="452"/>
      <c r="W2013" s="452"/>
    </row>
    <row r="2014" spans="19:23" ht="15" customHeight="1" x14ac:dyDescent="0.45">
      <c r="S2014" s="452"/>
      <c r="T2014" s="452"/>
      <c r="U2014" s="452"/>
      <c r="V2014" s="452"/>
      <c r="W2014" s="452"/>
    </row>
    <row r="2015" spans="19:23" ht="15" customHeight="1" x14ac:dyDescent="0.45">
      <c r="S2015" s="452"/>
      <c r="T2015" s="452"/>
      <c r="U2015" s="452"/>
      <c r="V2015" s="452"/>
      <c r="W2015" s="452"/>
    </row>
    <row r="2016" spans="19:23" ht="15" customHeight="1" x14ac:dyDescent="0.45">
      <c r="S2016" s="452"/>
      <c r="T2016" s="452"/>
      <c r="U2016" s="452"/>
      <c r="V2016" s="452"/>
      <c r="W2016" s="452"/>
    </row>
    <row r="2017" spans="19:23" ht="15" customHeight="1" x14ac:dyDescent="0.45">
      <c r="S2017" s="452"/>
      <c r="T2017" s="452"/>
      <c r="U2017" s="452"/>
      <c r="V2017" s="452"/>
      <c r="W2017" s="452"/>
    </row>
    <row r="2018" spans="19:23" ht="15" customHeight="1" x14ac:dyDescent="0.45">
      <c r="S2018" s="452"/>
      <c r="T2018" s="452"/>
      <c r="U2018" s="452"/>
      <c r="V2018" s="452"/>
      <c r="W2018" s="452"/>
    </row>
    <row r="2019" spans="19:23" ht="15" customHeight="1" x14ac:dyDescent="0.45">
      <c r="S2019" s="452"/>
      <c r="T2019" s="452"/>
      <c r="U2019" s="452"/>
      <c r="V2019" s="452"/>
      <c r="W2019" s="452"/>
    </row>
    <row r="2020" spans="19:23" ht="15" customHeight="1" x14ac:dyDescent="0.45">
      <c r="S2020" s="452"/>
      <c r="T2020" s="452"/>
      <c r="U2020" s="452"/>
      <c r="V2020" s="452"/>
      <c r="W2020" s="452"/>
    </row>
    <row r="2021" spans="19:23" ht="15" customHeight="1" x14ac:dyDescent="0.45">
      <c r="S2021" s="452"/>
      <c r="T2021" s="452"/>
      <c r="U2021" s="452"/>
      <c r="V2021" s="452"/>
      <c r="W2021" s="452"/>
    </row>
    <row r="2022" spans="19:23" ht="15" customHeight="1" x14ac:dyDescent="0.45">
      <c r="S2022" s="452"/>
      <c r="T2022" s="452"/>
      <c r="U2022" s="452"/>
      <c r="V2022" s="452"/>
      <c r="W2022" s="452"/>
    </row>
    <row r="2023" spans="19:23" ht="15" customHeight="1" x14ac:dyDescent="0.45">
      <c r="S2023" s="452"/>
      <c r="T2023" s="452"/>
      <c r="U2023" s="452"/>
      <c r="V2023" s="452"/>
      <c r="W2023" s="452"/>
    </row>
    <row r="2024" spans="19:23" ht="15" customHeight="1" x14ac:dyDescent="0.45">
      <c r="S2024" s="452"/>
      <c r="T2024" s="452"/>
      <c r="U2024" s="452"/>
      <c r="V2024" s="452"/>
      <c r="W2024" s="452"/>
    </row>
    <row r="2025" spans="19:23" ht="15" customHeight="1" x14ac:dyDescent="0.45">
      <c r="S2025" s="452"/>
      <c r="T2025" s="452"/>
      <c r="U2025" s="452"/>
      <c r="V2025" s="452"/>
      <c r="W2025" s="452"/>
    </row>
    <row r="2026" spans="19:23" ht="15" customHeight="1" x14ac:dyDescent="0.45">
      <c r="S2026" s="452"/>
      <c r="T2026" s="452"/>
      <c r="U2026" s="452"/>
      <c r="V2026" s="452"/>
      <c r="W2026" s="452"/>
    </row>
    <row r="2027" spans="19:23" ht="15" customHeight="1" x14ac:dyDescent="0.45">
      <c r="S2027" s="452"/>
      <c r="T2027" s="452"/>
      <c r="U2027" s="452"/>
      <c r="V2027" s="452"/>
      <c r="W2027" s="452"/>
    </row>
    <row r="2028" spans="19:23" ht="15" customHeight="1" x14ac:dyDescent="0.45">
      <c r="S2028" s="452"/>
      <c r="T2028" s="452"/>
      <c r="U2028" s="452"/>
      <c r="V2028" s="452"/>
      <c r="W2028" s="452"/>
    </row>
    <row r="2029" spans="19:23" ht="15" customHeight="1" x14ac:dyDescent="0.45">
      <c r="S2029" s="452"/>
      <c r="T2029" s="452"/>
      <c r="U2029" s="452"/>
      <c r="V2029" s="452"/>
      <c r="W2029" s="452"/>
    </row>
    <row r="2030" spans="19:23" ht="15" customHeight="1" x14ac:dyDescent="0.45">
      <c r="S2030" s="452"/>
      <c r="T2030" s="452"/>
      <c r="U2030" s="452"/>
      <c r="V2030" s="452"/>
      <c r="W2030" s="452"/>
    </row>
    <row r="2031" spans="19:23" ht="15" customHeight="1" x14ac:dyDescent="0.45">
      <c r="S2031" s="452"/>
      <c r="T2031" s="452"/>
      <c r="U2031" s="452"/>
      <c r="V2031" s="452"/>
      <c r="W2031" s="452"/>
    </row>
    <row r="2032" spans="19:23" ht="15" customHeight="1" x14ac:dyDescent="0.45">
      <c r="S2032" s="452"/>
      <c r="T2032" s="452"/>
      <c r="U2032" s="452"/>
      <c r="V2032" s="452"/>
      <c r="W2032" s="452"/>
    </row>
    <row r="2033" spans="19:23" ht="15" customHeight="1" x14ac:dyDescent="0.45">
      <c r="S2033" s="452"/>
      <c r="T2033" s="452"/>
      <c r="U2033" s="452"/>
      <c r="V2033" s="452"/>
      <c r="W2033" s="452"/>
    </row>
    <row r="2034" spans="19:23" ht="15" customHeight="1" x14ac:dyDescent="0.45">
      <c r="S2034" s="452"/>
      <c r="T2034" s="452"/>
      <c r="U2034" s="452"/>
      <c r="V2034" s="452"/>
      <c r="W2034" s="452"/>
    </row>
    <row r="2035" spans="19:23" ht="15" customHeight="1" x14ac:dyDescent="0.45">
      <c r="S2035" s="452"/>
      <c r="T2035" s="452"/>
      <c r="U2035" s="452"/>
      <c r="V2035" s="452"/>
      <c r="W2035" s="452"/>
    </row>
    <row r="2036" spans="19:23" ht="15" customHeight="1" x14ac:dyDescent="0.45">
      <c r="S2036" s="452"/>
      <c r="T2036" s="452"/>
      <c r="U2036" s="452"/>
      <c r="V2036" s="452"/>
      <c r="W2036" s="452"/>
    </row>
    <row r="2037" spans="19:23" ht="15" customHeight="1" x14ac:dyDescent="0.45">
      <c r="S2037" s="452"/>
      <c r="T2037" s="452"/>
      <c r="U2037" s="452"/>
      <c r="V2037" s="452"/>
      <c r="W2037" s="452"/>
    </row>
    <row r="2038" spans="19:23" ht="15" customHeight="1" x14ac:dyDescent="0.45">
      <c r="S2038" s="452"/>
      <c r="T2038" s="452"/>
      <c r="U2038" s="452"/>
      <c r="V2038" s="452"/>
      <c r="W2038" s="452"/>
    </row>
    <row r="2039" spans="19:23" ht="15" customHeight="1" x14ac:dyDescent="0.45">
      <c r="S2039" s="452"/>
      <c r="T2039" s="452"/>
      <c r="U2039" s="452"/>
      <c r="V2039" s="452"/>
      <c r="W2039" s="452"/>
    </row>
    <row r="2040" spans="19:23" ht="15" customHeight="1" x14ac:dyDescent="0.45">
      <c r="S2040" s="452"/>
      <c r="T2040" s="452"/>
      <c r="U2040" s="452"/>
      <c r="V2040" s="452"/>
      <c r="W2040" s="452"/>
    </row>
    <row r="2041" spans="19:23" ht="15" customHeight="1" x14ac:dyDescent="0.45">
      <c r="S2041" s="452"/>
      <c r="T2041" s="452"/>
      <c r="U2041" s="452"/>
      <c r="V2041" s="452"/>
      <c r="W2041" s="452"/>
    </row>
    <row r="2042" spans="19:23" ht="15" customHeight="1" x14ac:dyDescent="0.45">
      <c r="S2042" s="452"/>
      <c r="T2042" s="452"/>
      <c r="U2042" s="452"/>
      <c r="V2042" s="452"/>
      <c r="W2042" s="452"/>
    </row>
    <row r="2043" spans="19:23" ht="15" customHeight="1" x14ac:dyDescent="0.45">
      <c r="S2043" s="452"/>
      <c r="T2043" s="452"/>
      <c r="U2043" s="452"/>
      <c r="V2043" s="452"/>
      <c r="W2043" s="452"/>
    </row>
    <row r="2044" spans="19:23" ht="15" customHeight="1" x14ac:dyDescent="0.45">
      <c r="S2044" s="452"/>
      <c r="T2044" s="452"/>
      <c r="U2044" s="452"/>
      <c r="V2044" s="452"/>
      <c r="W2044" s="452"/>
    </row>
    <row r="2045" spans="19:23" ht="15" customHeight="1" x14ac:dyDescent="0.45">
      <c r="S2045" s="452"/>
      <c r="T2045" s="452"/>
      <c r="U2045" s="452"/>
      <c r="V2045" s="452"/>
      <c r="W2045" s="452"/>
    </row>
    <row r="2046" spans="19:23" ht="15" customHeight="1" x14ac:dyDescent="0.45">
      <c r="S2046" s="452"/>
      <c r="T2046" s="452"/>
      <c r="U2046" s="452"/>
      <c r="V2046" s="452"/>
      <c r="W2046" s="452"/>
    </row>
    <row r="2047" spans="19:23" ht="15" customHeight="1" x14ac:dyDescent="0.45">
      <c r="S2047" s="452"/>
      <c r="T2047" s="452"/>
      <c r="U2047" s="452"/>
      <c r="V2047" s="452"/>
      <c r="W2047" s="452"/>
    </row>
    <row r="2048" spans="19:23" ht="15" customHeight="1" x14ac:dyDescent="0.45">
      <c r="S2048" s="452"/>
      <c r="T2048" s="452"/>
      <c r="U2048" s="452"/>
      <c r="V2048" s="452"/>
      <c r="W2048" s="452"/>
    </row>
    <row r="2049" spans="19:23" ht="15" customHeight="1" x14ac:dyDescent="0.45">
      <c r="S2049" s="452"/>
      <c r="T2049" s="452"/>
      <c r="U2049" s="452"/>
      <c r="V2049" s="452"/>
      <c r="W2049" s="452"/>
    </row>
    <row r="2050" spans="19:23" ht="15" customHeight="1" x14ac:dyDescent="0.45">
      <c r="S2050" s="452"/>
      <c r="T2050" s="452"/>
      <c r="U2050" s="452"/>
      <c r="V2050" s="452"/>
      <c r="W2050" s="452"/>
    </row>
    <row r="2051" spans="19:23" ht="15" customHeight="1" x14ac:dyDescent="0.45">
      <c r="S2051" s="452"/>
      <c r="T2051" s="452"/>
      <c r="U2051" s="452"/>
      <c r="V2051" s="452"/>
      <c r="W2051" s="452"/>
    </row>
    <row r="2052" spans="19:23" ht="15" customHeight="1" x14ac:dyDescent="0.45">
      <c r="S2052" s="452"/>
      <c r="T2052" s="452"/>
      <c r="U2052" s="452"/>
      <c r="V2052" s="452"/>
      <c r="W2052" s="452"/>
    </row>
    <row r="2053" spans="19:23" ht="15" customHeight="1" x14ac:dyDescent="0.45">
      <c r="S2053" s="452"/>
      <c r="T2053" s="452"/>
      <c r="U2053" s="452"/>
      <c r="V2053" s="452"/>
      <c r="W2053" s="452"/>
    </row>
    <row r="2054" spans="19:23" ht="15" customHeight="1" x14ac:dyDescent="0.45">
      <c r="S2054" s="452"/>
      <c r="T2054" s="452"/>
      <c r="U2054" s="452"/>
      <c r="V2054" s="452"/>
      <c r="W2054" s="452"/>
    </row>
    <row r="2055" spans="19:23" ht="15" customHeight="1" x14ac:dyDescent="0.45">
      <c r="S2055" s="452"/>
      <c r="T2055" s="452"/>
      <c r="U2055" s="452"/>
      <c r="V2055" s="452"/>
      <c r="W2055" s="452"/>
    </row>
    <row r="2056" spans="19:23" ht="15" customHeight="1" x14ac:dyDescent="0.45">
      <c r="S2056" s="452"/>
      <c r="T2056" s="452"/>
      <c r="U2056" s="452"/>
      <c r="V2056" s="452"/>
      <c r="W2056" s="452"/>
    </row>
    <row r="2057" spans="19:23" ht="15" customHeight="1" x14ac:dyDescent="0.45">
      <c r="S2057" s="452"/>
      <c r="T2057" s="452"/>
      <c r="U2057" s="452"/>
      <c r="V2057" s="452"/>
      <c r="W2057" s="452"/>
    </row>
    <row r="2058" spans="19:23" ht="15" customHeight="1" x14ac:dyDescent="0.45">
      <c r="S2058" s="452"/>
      <c r="T2058" s="452"/>
      <c r="U2058" s="452"/>
      <c r="V2058" s="452"/>
      <c r="W2058" s="452"/>
    </row>
    <row r="2059" spans="19:23" ht="15" customHeight="1" x14ac:dyDescent="0.45">
      <c r="S2059" s="452"/>
      <c r="T2059" s="452"/>
      <c r="U2059" s="452"/>
      <c r="V2059" s="452"/>
      <c r="W2059" s="452"/>
    </row>
    <row r="2060" spans="19:23" ht="15" customHeight="1" x14ac:dyDescent="0.45">
      <c r="S2060" s="452"/>
      <c r="T2060" s="452"/>
      <c r="U2060" s="452"/>
      <c r="V2060" s="452"/>
      <c r="W2060" s="452"/>
    </row>
    <row r="2061" spans="19:23" ht="15" customHeight="1" x14ac:dyDescent="0.45">
      <c r="S2061" s="452"/>
      <c r="T2061" s="452"/>
      <c r="U2061" s="452"/>
      <c r="V2061" s="452"/>
      <c r="W2061" s="452"/>
    </row>
    <row r="2062" spans="19:23" ht="15" customHeight="1" x14ac:dyDescent="0.45">
      <c r="S2062" s="452"/>
      <c r="T2062" s="452"/>
      <c r="U2062" s="452"/>
      <c r="V2062" s="452"/>
      <c r="W2062" s="452"/>
    </row>
    <row r="2063" spans="19:23" ht="15" customHeight="1" x14ac:dyDescent="0.45">
      <c r="S2063" s="452"/>
      <c r="T2063" s="452"/>
      <c r="U2063" s="452"/>
      <c r="V2063" s="452"/>
      <c r="W2063" s="452"/>
    </row>
    <row r="2064" spans="19:23" ht="15" customHeight="1" x14ac:dyDescent="0.45">
      <c r="S2064" s="452"/>
      <c r="T2064" s="452"/>
      <c r="U2064" s="452"/>
      <c r="V2064" s="452"/>
      <c r="W2064" s="452"/>
    </row>
    <row r="2065" spans="19:23" ht="15" customHeight="1" x14ac:dyDescent="0.45">
      <c r="S2065" s="452"/>
      <c r="T2065" s="452"/>
      <c r="U2065" s="452"/>
      <c r="V2065" s="452"/>
      <c r="W2065" s="452"/>
    </row>
    <row r="2066" spans="19:23" ht="15" customHeight="1" x14ac:dyDescent="0.45">
      <c r="S2066" s="452"/>
      <c r="T2066" s="452"/>
      <c r="U2066" s="452"/>
      <c r="V2066" s="452"/>
      <c r="W2066" s="452"/>
    </row>
    <row r="2067" spans="19:23" ht="15" customHeight="1" x14ac:dyDescent="0.45">
      <c r="S2067" s="452"/>
      <c r="T2067" s="452"/>
      <c r="U2067" s="452"/>
      <c r="V2067" s="452"/>
      <c r="W2067" s="452"/>
    </row>
    <row r="2068" spans="19:23" ht="15" customHeight="1" x14ac:dyDescent="0.45">
      <c r="S2068" s="452"/>
      <c r="T2068" s="452"/>
      <c r="U2068" s="452"/>
      <c r="V2068" s="452"/>
      <c r="W2068" s="452"/>
    </row>
    <row r="2069" spans="19:23" ht="15" customHeight="1" x14ac:dyDescent="0.45">
      <c r="S2069" s="452"/>
      <c r="T2069" s="452"/>
      <c r="U2069" s="452"/>
      <c r="V2069" s="452"/>
      <c r="W2069" s="452"/>
    </row>
    <row r="2070" spans="19:23" ht="15" customHeight="1" x14ac:dyDescent="0.45">
      <c r="S2070" s="452"/>
      <c r="T2070" s="452"/>
      <c r="U2070" s="452"/>
      <c r="V2070" s="452"/>
      <c r="W2070" s="452"/>
    </row>
    <row r="2071" spans="19:23" ht="15" customHeight="1" x14ac:dyDescent="0.45">
      <c r="S2071" s="452"/>
      <c r="T2071" s="452"/>
      <c r="U2071" s="452"/>
      <c r="V2071" s="452"/>
      <c r="W2071" s="452"/>
    </row>
    <row r="2072" spans="19:23" ht="15" customHeight="1" x14ac:dyDescent="0.45">
      <c r="S2072" s="452"/>
      <c r="T2072" s="452"/>
      <c r="U2072" s="452"/>
      <c r="V2072" s="452"/>
      <c r="W2072" s="452"/>
    </row>
    <row r="2073" spans="19:23" ht="15" customHeight="1" x14ac:dyDescent="0.45">
      <c r="S2073" s="452"/>
      <c r="T2073" s="452"/>
      <c r="U2073" s="452"/>
      <c r="V2073" s="452"/>
      <c r="W2073" s="452"/>
    </row>
    <row r="2074" spans="19:23" ht="15" customHeight="1" x14ac:dyDescent="0.45">
      <c r="S2074" s="452"/>
      <c r="T2074" s="452"/>
      <c r="U2074" s="452"/>
      <c r="V2074" s="452"/>
      <c r="W2074" s="452"/>
    </row>
    <row r="2075" spans="19:23" ht="15" customHeight="1" x14ac:dyDescent="0.45">
      <c r="S2075" s="452"/>
      <c r="T2075" s="452"/>
      <c r="U2075" s="452"/>
      <c r="V2075" s="452"/>
      <c r="W2075" s="452"/>
    </row>
    <row r="2076" spans="19:23" ht="15" customHeight="1" x14ac:dyDescent="0.45">
      <c r="S2076" s="452"/>
      <c r="T2076" s="452"/>
      <c r="U2076" s="452"/>
      <c r="V2076" s="452"/>
      <c r="W2076" s="452"/>
    </row>
    <row r="2077" spans="19:23" ht="15" customHeight="1" x14ac:dyDescent="0.45">
      <c r="S2077" s="452"/>
      <c r="T2077" s="452"/>
      <c r="U2077" s="452"/>
      <c r="V2077" s="452"/>
      <c r="W2077" s="452"/>
    </row>
    <row r="2078" spans="19:23" ht="15" customHeight="1" x14ac:dyDescent="0.45">
      <c r="S2078" s="452"/>
      <c r="T2078" s="452"/>
      <c r="U2078" s="452"/>
      <c r="V2078" s="452"/>
      <c r="W2078" s="452"/>
    </row>
    <row r="2079" spans="19:23" ht="15" customHeight="1" x14ac:dyDescent="0.45">
      <c r="S2079" s="452"/>
      <c r="T2079" s="452"/>
      <c r="U2079" s="452"/>
      <c r="V2079" s="452"/>
      <c r="W2079" s="452"/>
    </row>
    <row r="2080" spans="19:23" ht="15" customHeight="1" x14ac:dyDescent="0.45">
      <c r="S2080" s="452"/>
      <c r="T2080" s="452"/>
      <c r="U2080" s="452"/>
      <c r="V2080" s="452"/>
      <c r="W2080" s="452"/>
    </row>
    <row r="2081" spans="19:23" ht="15" customHeight="1" x14ac:dyDescent="0.45">
      <c r="S2081" s="452"/>
      <c r="T2081" s="452"/>
      <c r="U2081" s="452"/>
      <c r="V2081" s="452"/>
      <c r="W2081" s="452"/>
    </row>
    <row r="2082" spans="19:23" ht="15" customHeight="1" x14ac:dyDescent="0.45">
      <c r="S2082" s="452"/>
      <c r="T2082" s="452"/>
      <c r="U2082" s="452"/>
      <c r="V2082" s="452"/>
      <c r="W2082" s="452"/>
    </row>
    <row r="2083" spans="19:23" ht="15" customHeight="1" x14ac:dyDescent="0.45">
      <c r="S2083" s="452"/>
      <c r="T2083" s="452"/>
      <c r="U2083" s="452"/>
      <c r="V2083" s="452"/>
      <c r="W2083" s="452"/>
    </row>
    <row r="2084" spans="19:23" ht="15" customHeight="1" x14ac:dyDescent="0.45">
      <c r="S2084" s="452"/>
      <c r="T2084" s="452"/>
      <c r="U2084" s="452"/>
      <c r="V2084" s="452"/>
      <c r="W2084" s="452"/>
    </row>
    <row r="2085" spans="19:23" ht="15" customHeight="1" x14ac:dyDescent="0.45">
      <c r="S2085" s="452"/>
      <c r="T2085" s="452"/>
      <c r="U2085" s="452"/>
      <c r="V2085" s="452"/>
      <c r="W2085" s="452"/>
    </row>
    <row r="2086" spans="19:23" ht="15" customHeight="1" x14ac:dyDescent="0.45">
      <c r="S2086" s="452"/>
      <c r="T2086" s="452"/>
      <c r="U2086" s="452"/>
      <c r="V2086" s="452"/>
      <c r="W2086" s="452"/>
    </row>
    <row r="2087" spans="19:23" ht="15" customHeight="1" x14ac:dyDescent="0.45">
      <c r="S2087" s="452"/>
      <c r="T2087" s="452"/>
      <c r="U2087" s="452"/>
      <c r="V2087" s="452"/>
      <c r="W2087" s="452"/>
    </row>
    <row r="2088" spans="19:23" ht="15" customHeight="1" x14ac:dyDescent="0.45">
      <c r="S2088" s="452"/>
      <c r="T2088" s="452"/>
      <c r="U2088" s="452"/>
      <c r="V2088" s="452"/>
      <c r="W2088" s="452"/>
    </row>
    <row r="2089" spans="19:23" ht="15" customHeight="1" x14ac:dyDescent="0.45">
      <c r="S2089" s="452"/>
      <c r="T2089" s="452"/>
      <c r="U2089" s="452"/>
      <c r="V2089" s="452"/>
      <c r="W2089" s="452"/>
    </row>
    <row r="2090" spans="19:23" ht="15" customHeight="1" x14ac:dyDescent="0.45">
      <c r="S2090" s="452"/>
      <c r="T2090" s="452"/>
      <c r="U2090" s="452"/>
      <c r="V2090" s="452"/>
      <c r="W2090" s="452"/>
    </row>
    <row r="2091" spans="19:23" ht="15" customHeight="1" x14ac:dyDescent="0.45">
      <c r="S2091" s="452"/>
      <c r="T2091" s="452"/>
      <c r="U2091" s="452"/>
      <c r="V2091" s="452"/>
      <c r="W2091" s="452"/>
    </row>
    <row r="2092" spans="19:23" ht="15" customHeight="1" x14ac:dyDescent="0.45">
      <c r="S2092" s="452"/>
      <c r="T2092" s="452"/>
      <c r="U2092" s="452"/>
      <c r="V2092" s="452"/>
      <c r="W2092" s="452"/>
    </row>
    <row r="2093" spans="19:23" ht="15" customHeight="1" x14ac:dyDescent="0.45">
      <c r="S2093" s="452"/>
      <c r="T2093" s="452"/>
      <c r="U2093" s="452"/>
      <c r="V2093" s="452"/>
      <c r="W2093" s="452"/>
    </row>
    <row r="2094" spans="19:23" ht="15" customHeight="1" x14ac:dyDescent="0.45">
      <c r="S2094" s="452"/>
      <c r="T2094" s="452"/>
      <c r="U2094" s="452"/>
      <c r="V2094" s="452"/>
      <c r="W2094" s="452"/>
    </row>
    <row r="2095" spans="19:23" ht="15" customHeight="1" x14ac:dyDescent="0.45">
      <c r="S2095" s="452"/>
      <c r="T2095" s="452"/>
      <c r="U2095" s="452"/>
      <c r="V2095" s="452"/>
      <c r="W2095" s="452"/>
    </row>
    <row r="2096" spans="19:23" ht="15" customHeight="1" x14ac:dyDescent="0.45">
      <c r="S2096" s="452"/>
      <c r="T2096" s="452"/>
      <c r="U2096" s="452"/>
      <c r="V2096" s="452"/>
      <c r="W2096" s="452"/>
    </row>
    <row r="2097" spans="19:23" ht="15" customHeight="1" x14ac:dyDescent="0.45">
      <c r="S2097" s="452"/>
      <c r="T2097" s="452"/>
      <c r="U2097" s="452"/>
      <c r="V2097" s="452"/>
      <c r="W2097" s="452"/>
    </row>
    <row r="2098" spans="19:23" ht="15" customHeight="1" x14ac:dyDescent="0.45">
      <c r="S2098" s="452"/>
      <c r="T2098" s="452"/>
      <c r="U2098" s="452"/>
      <c r="V2098" s="452"/>
      <c r="W2098" s="452"/>
    </row>
    <row r="2099" spans="19:23" ht="15" customHeight="1" x14ac:dyDescent="0.45">
      <c r="S2099" s="452"/>
      <c r="T2099" s="452"/>
      <c r="U2099" s="452"/>
      <c r="V2099" s="452"/>
      <c r="W2099" s="452"/>
    </row>
    <row r="2100" spans="19:23" ht="15" customHeight="1" x14ac:dyDescent="0.45">
      <c r="S2100" s="452"/>
      <c r="T2100" s="452"/>
      <c r="U2100" s="452"/>
      <c r="V2100" s="452"/>
      <c r="W2100" s="452"/>
    </row>
    <row r="2101" spans="19:23" ht="15" customHeight="1" x14ac:dyDescent="0.45">
      <c r="S2101" s="452"/>
      <c r="T2101" s="452"/>
      <c r="U2101" s="452"/>
      <c r="V2101" s="452"/>
      <c r="W2101" s="452"/>
    </row>
    <row r="2102" spans="19:23" ht="15" customHeight="1" x14ac:dyDescent="0.45">
      <c r="S2102" s="452"/>
      <c r="T2102" s="452"/>
      <c r="U2102" s="452"/>
      <c r="V2102" s="452"/>
      <c r="W2102" s="452"/>
    </row>
    <row r="2103" spans="19:23" ht="15" customHeight="1" x14ac:dyDescent="0.45">
      <c r="S2103" s="452"/>
      <c r="T2103" s="452"/>
      <c r="U2103" s="452"/>
      <c r="V2103" s="452"/>
      <c r="W2103" s="452"/>
    </row>
    <row r="2104" spans="19:23" ht="15" customHeight="1" x14ac:dyDescent="0.45">
      <c r="S2104" s="452"/>
      <c r="T2104" s="452"/>
      <c r="U2104" s="452"/>
      <c r="V2104" s="452"/>
      <c r="W2104" s="452"/>
    </row>
    <row r="2105" spans="19:23" ht="15" customHeight="1" x14ac:dyDescent="0.45">
      <c r="S2105" s="452"/>
      <c r="T2105" s="452"/>
      <c r="U2105" s="452"/>
      <c r="V2105" s="452"/>
      <c r="W2105" s="452"/>
    </row>
    <row r="2106" spans="19:23" ht="15" customHeight="1" x14ac:dyDescent="0.45">
      <c r="S2106" s="452"/>
      <c r="T2106" s="452"/>
      <c r="U2106" s="452"/>
      <c r="V2106" s="452"/>
      <c r="W2106" s="452"/>
    </row>
    <row r="2107" spans="19:23" ht="15" customHeight="1" x14ac:dyDescent="0.45">
      <c r="S2107" s="452"/>
      <c r="T2107" s="452"/>
      <c r="U2107" s="452"/>
      <c r="V2107" s="452"/>
      <c r="W2107" s="452"/>
    </row>
    <row r="2108" spans="19:23" ht="15" customHeight="1" x14ac:dyDescent="0.45">
      <c r="S2108" s="452"/>
      <c r="T2108" s="452"/>
      <c r="U2108" s="452"/>
      <c r="V2108" s="452"/>
      <c r="W2108" s="452"/>
    </row>
    <row r="2109" spans="19:23" ht="15" customHeight="1" x14ac:dyDescent="0.45">
      <c r="S2109" s="452"/>
      <c r="T2109" s="452"/>
      <c r="U2109" s="452"/>
      <c r="V2109" s="452"/>
      <c r="W2109" s="452"/>
    </row>
    <row r="2110" spans="19:23" ht="15" customHeight="1" x14ac:dyDescent="0.45">
      <c r="S2110" s="452"/>
      <c r="T2110" s="452"/>
      <c r="U2110" s="452"/>
      <c r="V2110" s="452"/>
      <c r="W2110" s="452"/>
    </row>
    <row r="2111" spans="19:23" ht="15" customHeight="1" x14ac:dyDescent="0.45">
      <c r="S2111" s="452"/>
      <c r="T2111" s="452"/>
      <c r="U2111" s="452"/>
      <c r="V2111" s="452"/>
      <c r="W2111" s="452"/>
    </row>
    <row r="2112" spans="19:23" ht="15" customHeight="1" x14ac:dyDescent="0.45">
      <c r="S2112" s="452"/>
      <c r="T2112" s="452"/>
      <c r="U2112" s="452"/>
      <c r="V2112" s="452"/>
      <c r="W2112" s="452"/>
    </row>
    <row r="2113" spans="19:23" ht="15" customHeight="1" x14ac:dyDescent="0.45">
      <c r="S2113" s="452"/>
      <c r="T2113" s="452"/>
      <c r="U2113" s="452"/>
      <c r="V2113" s="452"/>
      <c r="W2113" s="452"/>
    </row>
    <row r="2114" spans="19:23" ht="15" customHeight="1" x14ac:dyDescent="0.45">
      <c r="S2114" s="452"/>
      <c r="T2114" s="452"/>
      <c r="U2114" s="452"/>
      <c r="V2114" s="452"/>
      <c r="W2114" s="452"/>
    </row>
    <row r="2115" spans="19:23" ht="15" customHeight="1" x14ac:dyDescent="0.45">
      <c r="S2115" s="452"/>
      <c r="T2115" s="452"/>
      <c r="U2115" s="452"/>
      <c r="V2115" s="452"/>
      <c r="W2115" s="452"/>
    </row>
    <row r="2116" spans="19:23" ht="15" customHeight="1" x14ac:dyDescent="0.45">
      <c r="S2116" s="452"/>
      <c r="T2116" s="452"/>
      <c r="U2116" s="452"/>
      <c r="V2116" s="452"/>
      <c r="W2116" s="452"/>
    </row>
    <row r="2117" spans="19:23" ht="15" customHeight="1" x14ac:dyDescent="0.45">
      <c r="S2117" s="452"/>
      <c r="T2117" s="452"/>
      <c r="U2117" s="452"/>
      <c r="V2117" s="452"/>
      <c r="W2117" s="452"/>
    </row>
    <row r="2118" spans="19:23" ht="15" customHeight="1" x14ac:dyDescent="0.45">
      <c r="S2118" s="452"/>
      <c r="T2118" s="452"/>
      <c r="U2118" s="452"/>
      <c r="V2118" s="452"/>
      <c r="W2118" s="452"/>
    </row>
    <row r="2119" spans="19:23" ht="15" customHeight="1" x14ac:dyDescent="0.45">
      <c r="S2119" s="452"/>
      <c r="T2119" s="452"/>
      <c r="U2119" s="452"/>
      <c r="V2119" s="452"/>
      <c r="W2119" s="452"/>
    </row>
    <row r="2120" spans="19:23" ht="15" customHeight="1" x14ac:dyDescent="0.45">
      <c r="S2120" s="452"/>
      <c r="T2120" s="452"/>
      <c r="U2120" s="452"/>
      <c r="V2120" s="452"/>
      <c r="W2120" s="452"/>
    </row>
    <row r="2121" spans="19:23" ht="15" customHeight="1" x14ac:dyDescent="0.45">
      <c r="S2121" s="452"/>
      <c r="T2121" s="452"/>
      <c r="U2121" s="452"/>
      <c r="V2121" s="452"/>
      <c r="W2121" s="452"/>
    </row>
    <row r="2122" spans="19:23" ht="15" customHeight="1" x14ac:dyDescent="0.45">
      <c r="S2122" s="452"/>
      <c r="T2122" s="452"/>
      <c r="U2122" s="452"/>
      <c r="V2122" s="452"/>
      <c r="W2122" s="452"/>
    </row>
    <row r="2123" spans="19:23" ht="15" customHeight="1" x14ac:dyDescent="0.45">
      <c r="S2123" s="452"/>
      <c r="T2123" s="452"/>
      <c r="U2123" s="452"/>
      <c r="V2123" s="452"/>
      <c r="W2123" s="452"/>
    </row>
    <row r="2124" spans="19:23" ht="15" customHeight="1" x14ac:dyDescent="0.45">
      <c r="S2124" s="452"/>
      <c r="T2124" s="452"/>
      <c r="U2124" s="452"/>
      <c r="V2124" s="452"/>
      <c r="W2124" s="452"/>
    </row>
    <row r="2125" spans="19:23" ht="15" customHeight="1" x14ac:dyDescent="0.45">
      <c r="S2125" s="452"/>
      <c r="T2125" s="452"/>
      <c r="U2125" s="452"/>
      <c r="V2125" s="452"/>
      <c r="W2125" s="452"/>
    </row>
    <row r="2126" spans="19:23" ht="15" customHeight="1" x14ac:dyDescent="0.45">
      <c r="S2126" s="452"/>
      <c r="T2126" s="452"/>
      <c r="U2126" s="452"/>
      <c r="V2126" s="452"/>
      <c r="W2126" s="452"/>
    </row>
    <row r="2127" spans="19:23" ht="15" customHeight="1" x14ac:dyDescent="0.45">
      <c r="S2127" s="452"/>
      <c r="T2127" s="452"/>
      <c r="U2127" s="452"/>
      <c r="V2127" s="452"/>
      <c r="W2127" s="452"/>
    </row>
    <row r="2128" spans="19:23" ht="15" customHeight="1" x14ac:dyDescent="0.45">
      <c r="S2128" s="452"/>
      <c r="T2128" s="452"/>
      <c r="U2128" s="452"/>
      <c r="V2128" s="452"/>
      <c r="W2128" s="452"/>
    </row>
    <row r="2129" spans="19:23" ht="15" customHeight="1" x14ac:dyDescent="0.45">
      <c r="S2129" s="452"/>
      <c r="T2129" s="452"/>
      <c r="U2129" s="452"/>
      <c r="V2129" s="452"/>
      <c r="W2129" s="452"/>
    </row>
    <row r="2130" spans="19:23" ht="15" customHeight="1" x14ac:dyDescent="0.45">
      <c r="S2130" s="452"/>
      <c r="T2130" s="452"/>
      <c r="U2130" s="452"/>
      <c r="V2130" s="452"/>
      <c r="W2130" s="452"/>
    </row>
    <row r="2131" spans="19:23" ht="15" customHeight="1" x14ac:dyDescent="0.45">
      <c r="S2131" s="452"/>
      <c r="T2131" s="452"/>
      <c r="U2131" s="452"/>
      <c r="V2131" s="452"/>
      <c r="W2131" s="452"/>
    </row>
    <row r="2132" spans="19:23" ht="15" customHeight="1" x14ac:dyDescent="0.45">
      <c r="S2132" s="452"/>
      <c r="T2132" s="452"/>
      <c r="U2132" s="452"/>
      <c r="V2132" s="452"/>
      <c r="W2132" s="452"/>
    </row>
    <row r="2133" spans="19:23" ht="15" customHeight="1" x14ac:dyDescent="0.45">
      <c r="S2133" s="452"/>
      <c r="T2133" s="452"/>
      <c r="U2133" s="452"/>
      <c r="V2133" s="452"/>
      <c r="W2133" s="452"/>
    </row>
    <row r="2134" spans="19:23" ht="15" customHeight="1" x14ac:dyDescent="0.45">
      <c r="S2134" s="452"/>
      <c r="T2134" s="452"/>
      <c r="U2134" s="452"/>
      <c r="V2134" s="452"/>
      <c r="W2134" s="452"/>
    </row>
    <row r="2135" spans="19:23" ht="15" customHeight="1" x14ac:dyDescent="0.45">
      <c r="S2135" s="452"/>
      <c r="T2135" s="452"/>
      <c r="U2135" s="452"/>
      <c r="V2135" s="452"/>
      <c r="W2135" s="452"/>
    </row>
    <row r="2136" spans="19:23" ht="15" customHeight="1" x14ac:dyDescent="0.45">
      <c r="S2136" s="452"/>
      <c r="T2136" s="452"/>
      <c r="U2136" s="452"/>
      <c r="V2136" s="452"/>
      <c r="W2136" s="452"/>
    </row>
    <row r="2137" spans="19:23" ht="15" customHeight="1" x14ac:dyDescent="0.45">
      <c r="S2137" s="452"/>
      <c r="T2137" s="452"/>
      <c r="U2137" s="452"/>
      <c r="V2137" s="452"/>
      <c r="W2137" s="452"/>
    </row>
    <row r="2138" spans="19:23" ht="15" customHeight="1" x14ac:dyDescent="0.45">
      <c r="S2138" s="452"/>
      <c r="T2138" s="452"/>
      <c r="U2138" s="452"/>
      <c r="V2138" s="452"/>
      <c r="W2138" s="452"/>
    </row>
    <row r="2139" spans="19:23" ht="15" customHeight="1" x14ac:dyDescent="0.45">
      <c r="S2139" s="452"/>
      <c r="T2139" s="452"/>
      <c r="U2139" s="452"/>
      <c r="V2139" s="452"/>
      <c r="W2139" s="452"/>
    </row>
    <row r="2140" spans="19:23" ht="15" customHeight="1" x14ac:dyDescent="0.45">
      <c r="S2140" s="452"/>
      <c r="T2140" s="452"/>
      <c r="U2140" s="452"/>
      <c r="V2140" s="452"/>
      <c r="W2140" s="452"/>
    </row>
    <row r="2141" spans="19:23" ht="15" customHeight="1" x14ac:dyDescent="0.45">
      <c r="S2141" s="452"/>
      <c r="T2141" s="452"/>
      <c r="U2141" s="452"/>
      <c r="V2141" s="452"/>
      <c r="W2141" s="452"/>
    </row>
    <row r="2142" spans="19:23" ht="15" customHeight="1" x14ac:dyDescent="0.45">
      <c r="S2142" s="452"/>
      <c r="T2142" s="452"/>
      <c r="U2142" s="452"/>
      <c r="V2142" s="452"/>
      <c r="W2142" s="452"/>
    </row>
    <row r="2143" spans="19:23" ht="15" customHeight="1" x14ac:dyDescent="0.45">
      <c r="S2143" s="452"/>
      <c r="T2143" s="452"/>
      <c r="U2143" s="452"/>
      <c r="V2143" s="452"/>
      <c r="W2143" s="452"/>
    </row>
    <row r="2144" spans="19:23" ht="15" customHeight="1" x14ac:dyDescent="0.45">
      <c r="S2144" s="452"/>
      <c r="T2144" s="452"/>
      <c r="U2144" s="452"/>
      <c r="V2144" s="452"/>
      <c r="W2144" s="452"/>
    </row>
    <row r="2145" spans="19:23" ht="15" customHeight="1" x14ac:dyDescent="0.45">
      <c r="S2145" s="452"/>
      <c r="T2145" s="452"/>
      <c r="U2145" s="452"/>
      <c r="V2145" s="452"/>
      <c r="W2145" s="452"/>
    </row>
    <row r="2146" spans="19:23" ht="15" customHeight="1" x14ac:dyDescent="0.45">
      <c r="S2146" s="452"/>
      <c r="T2146" s="452"/>
      <c r="U2146" s="452"/>
      <c r="V2146" s="452"/>
      <c r="W2146" s="452"/>
    </row>
    <row r="2147" spans="19:23" ht="15" customHeight="1" x14ac:dyDescent="0.45">
      <c r="S2147" s="452"/>
      <c r="T2147" s="452"/>
      <c r="U2147" s="452"/>
      <c r="V2147" s="452"/>
      <c r="W2147" s="452"/>
    </row>
    <row r="2148" spans="19:23" ht="15" customHeight="1" x14ac:dyDescent="0.45">
      <c r="S2148" s="452"/>
      <c r="T2148" s="452"/>
      <c r="U2148" s="452"/>
      <c r="V2148" s="452"/>
      <c r="W2148" s="452"/>
    </row>
    <row r="2149" spans="19:23" ht="15" customHeight="1" x14ac:dyDescent="0.45">
      <c r="S2149" s="452"/>
      <c r="T2149" s="452"/>
      <c r="U2149" s="452"/>
      <c r="V2149" s="452"/>
      <c r="W2149" s="452"/>
    </row>
    <row r="2150" spans="19:23" ht="15" customHeight="1" x14ac:dyDescent="0.45">
      <c r="S2150" s="452"/>
      <c r="T2150" s="452"/>
      <c r="U2150" s="452"/>
      <c r="V2150" s="452"/>
      <c r="W2150" s="452"/>
    </row>
    <row r="2151" spans="19:23" ht="15" customHeight="1" x14ac:dyDescent="0.45">
      <c r="S2151" s="452"/>
      <c r="T2151" s="452"/>
      <c r="U2151" s="452"/>
      <c r="V2151" s="452"/>
      <c r="W2151" s="452"/>
    </row>
    <row r="2152" spans="19:23" ht="15" customHeight="1" x14ac:dyDescent="0.45">
      <c r="S2152" s="452"/>
      <c r="T2152" s="452"/>
      <c r="U2152" s="452"/>
      <c r="V2152" s="452"/>
      <c r="W2152" s="452"/>
    </row>
    <row r="2153" spans="19:23" ht="15" customHeight="1" x14ac:dyDescent="0.45">
      <c r="S2153" s="452"/>
      <c r="T2153" s="452"/>
      <c r="U2153" s="452"/>
      <c r="V2153" s="452"/>
      <c r="W2153" s="452"/>
    </row>
    <row r="2154" spans="19:23" ht="15" customHeight="1" x14ac:dyDescent="0.45">
      <c r="S2154" s="452"/>
      <c r="T2154" s="452"/>
      <c r="U2154" s="452"/>
      <c r="V2154" s="452"/>
      <c r="W2154" s="452"/>
    </row>
    <row r="2155" spans="19:23" ht="15" customHeight="1" x14ac:dyDescent="0.45">
      <c r="S2155" s="452"/>
      <c r="T2155" s="452"/>
      <c r="U2155" s="452"/>
      <c r="V2155" s="452"/>
      <c r="W2155" s="452"/>
    </row>
    <row r="2156" spans="19:23" ht="15" customHeight="1" x14ac:dyDescent="0.45">
      <c r="S2156" s="452"/>
      <c r="T2156" s="452"/>
      <c r="U2156" s="452"/>
      <c r="V2156" s="452"/>
      <c r="W2156" s="452"/>
    </row>
    <row r="2157" spans="19:23" ht="15" customHeight="1" x14ac:dyDescent="0.45">
      <c r="S2157" s="452"/>
      <c r="T2157" s="452"/>
      <c r="U2157" s="452"/>
      <c r="V2157" s="452"/>
      <c r="W2157" s="452"/>
    </row>
    <row r="2158" spans="19:23" ht="15" customHeight="1" x14ac:dyDescent="0.45">
      <c r="S2158" s="452"/>
      <c r="T2158" s="452"/>
      <c r="U2158" s="452"/>
      <c r="V2158" s="452"/>
      <c r="W2158" s="452"/>
    </row>
    <row r="2159" spans="19:23" ht="15" customHeight="1" x14ac:dyDescent="0.45">
      <c r="S2159" s="452"/>
      <c r="T2159" s="452"/>
      <c r="U2159" s="452"/>
      <c r="V2159" s="452"/>
      <c r="W2159" s="452"/>
    </row>
    <row r="2160" spans="19:23" ht="15" customHeight="1" x14ac:dyDescent="0.45">
      <c r="S2160" s="452"/>
      <c r="T2160" s="452"/>
      <c r="U2160" s="452"/>
      <c r="V2160" s="452"/>
      <c r="W2160" s="452"/>
    </row>
    <row r="2161" spans="19:23" ht="15" customHeight="1" x14ac:dyDescent="0.45">
      <c r="S2161" s="452"/>
      <c r="T2161" s="452"/>
      <c r="U2161" s="452"/>
      <c r="V2161" s="452"/>
      <c r="W2161" s="452"/>
    </row>
    <row r="2162" spans="19:23" ht="15" customHeight="1" x14ac:dyDescent="0.45">
      <c r="S2162" s="452"/>
      <c r="T2162" s="452"/>
      <c r="U2162" s="452"/>
      <c r="V2162" s="452"/>
      <c r="W2162" s="452"/>
    </row>
    <row r="2163" spans="19:23" ht="15" customHeight="1" x14ac:dyDescent="0.45">
      <c r="S2163" s="452"/>
      <c r="T2163" s="452"/>
      <c r="U2163" s="452"/>
      <c r="V2163" s="452"/>
      <c r="W2163" s="452"/>
    </row>
    <row r="2164" spans="19:23" ht="15" customHeight="1" x14ac:dyDescent="0.45">
      <c r="S2164" s="452"/>
      <c r="T2164" s="452"/>
      <c r="U2164" s="452"/>
      <c r="V2164" s="452"/>
      <c r="W2164" s="452"/>
    </row>
    <row r="2165" spans="19:23" ht="15" customHeight="1" x14ac:dyDescent="0.45">
      <c r="S2165" s="452"/>
      <c r="T2165" s="452"/>
      <c r="U2165" s="452"/>
      <c r="V2165" s="452"/>
      <c r="W2165" s="452"/>
    </row>
    <row r="2166" spans="19:23" ht="15" customHeight="1" x14ac:dyDescent="0.45">
      <c r="S2166" s="452"/>
      <c r="T2166" s="452"/>
      <c r="U2166" s="452"/>
      <c r="V2166" s="452"/>
      <c r="W2166" s="452"/>
    </row>
    <row r="2167" spans="19:23" ht="15" customHeight="1" x14ac:dyDescent="0.45">
      <c r="S2167" s="452"/>
      <c r="T2167" s="452"/>
      <c r="U2167" s="452"/>
      <c r="V2167" s="452"/>
      <c r="W2167" s="452"/>
    </row>
    <row r="2168" spans="19:23" ht="15" customHeight="1" x14ac:dyDescent="0.45">
      <c r="S2168" s="452"/>
      <c r="T2168" s="452"/>
      <c r="U2168" s="452"/>
      <c r="V2168" s="452"/>
      <c r="W2168" s="452"/>
    </row>
    <row r="2169" spans="19:23" ht="15" customHeight="1" x14ac:dyDescent="0.45">
      <c r="S2169" s="452"/>
      <c r="T2169" s="452"/>
      <c r="U2169" s="452"/>
      <c r="V2169" s="452"/>
      <c r="W2169" s="452"/>
    </row>
    <row r="2170" spans="19:23" ht="15" customHeight="1" x14ac:dyDescent="0.45">
      <c r="S2170" s="452"/>
      <c r="T2170" s="452"/>
      <c r="U2170" s="452"/>
      <c r="V2170" s="452"/>
      <c r="W2170" s="452"/>
    </row>
    <row r="2171" spans="19:23" ht="15" customHeight="1" x14ac:dyDescent="0.45">
      <c r="S2171" s="452"/>
      <c r="T2171" s="452"/>
      <c r="U2171" s="452"/>
      <c r="V2171" s="452"/>
      <c r="W2171" s="452"/>
    </row>
    <row r="2172" spans="19:23" ht="15" customHeight="1" x14ac:dyDescent="0.45">
      <c r="S2172" s="452"/>
      <c r="T2172" s="452"/>
      <c r="U2172" s="452"/>
      <c r="V2172" s="452"/>
      <c r="W2172" s="452"/>
    </row>
    <row r="2173" spans="19:23" ht="15" customHeight="1" x14ac:dyDescent="0.45">
      <c r="S2173" s="452"/>
      <c r="T2173" s="452"/>
      <c r="U2173" s="452"/>
      <c r="V2173" s="452"/>
      <c r="W2173" s="452"/>
    </row>
    <row r="2174" spans="19:23" ht="15" customHeight="1" x14ac:dyDescent="0.45">
      <c r="S2174" s="452"/>
      <c r="T2174" s="452"/>
      <c r="U2174" s="452"/>
      <c r="V2174" s="452"/>
      <c r="W2174" s="452"/>
    </row>
    <row r="2175" spans="19:23" ht="15" customHeight="1" x14ac:dyDescent="0.45">
      <c r="S2175" s="452"/>
      <c r="T2175" s="452"/>
      <c r="U2175" s="452"/>
      <c r="V2175" s="452"/>
      <c r="W2175" s="452"/>
    </row>
    <row r="2176" spans="19:23" ht="15" customHeight="1" x14ac:dyDescent="0.45">
      <c r="S2176" s="452"/>
      <c r="T2176" s="452"/>
      <c r="U2176" s="452"/>
      <c r="V2176" s="452"/>
      <c r="W2176" s="452"/>
    </row>
    <row r="2177" spans="19:23" ht="15" customHeight="1" x14ac:dyDescent="0.45">
      <c r="S2177" s="452"/>
      <c r="T2177" s="452"/>
      <c r="U2177" s="452"/>
      <c r="V2177" s="452"/>
      <c r="W2177" s="452"/>
    </row>
    <row r="2178" spans="19:23" ht="15" customHeight="1" x14ac:dyDescent="0.45">
      <c r="S2178" s="452"/>
      <c r="T2178" s="452"/>
      <c r="U2178" s="452"/>
      <c r="V2178" s="452"/>
      <c r="W2178" s="452"/>
    </row>
    <row r="2179" spans="19:23" ht="15" customHeight="1" x14ac:dyDescent="0.45">
      <c r="S2179" s="452"/>
      <c r="T2179" s="452"/>
      <c r="U2179" s="452"/>
      <c r="V2179" s="452"/>
      <c r="W2179" s="452"/>
    </row>
    <row r="2180" spans="19:23" ht="15" customHeight="1" x14ac:dyDescent="0.45">
      <c r="S2180" s="452"/>
      <c r="T2180" s="452"/>
      <c r="U2180" s="452"/>
      <c r="V2180" s="452"/>
      <c r="W2180" s="452"/>
    </row>
    <row r="2181" spans="19:23" ht="15" customHeight="1" x14ac:dyDescent="0.45">
      <c r="S2181" s="452"/>
      <c r="T2181" s="452"/>
      <c r="U2181" s="452"/>
      <c r="V2181" s="452"/>
      <c r="W2181" s="452"/>
    </row>
    <row r="2182" spans="19:23" ht="15" customHeight="1" x14ac:dyDescent="0.45">
      <c r="S2182" s="452"/>
      <c r="T2182" s="452"/>
      <c r="U2182" s="452"/>
      <c r="V2182" s="452"/>
      <c r="W2182" s="452"/>
    </row>
    <row r="2183" spans="19:23" ht="15" customHeight="1" x14ac:dyDescent="0.45">
      <c r="S2183" s="452"/>
      <c r="T2183" s="452"/>
      <c r="U2183" s="452"/>
      <c r="V2183" s="452"/>
      <c r="W2183" s="452"/>
    </row>
    <row r="2184" spans="19:23" ht="15" customHeight="1" x14ac:dyDescent="0.45">
      <c r="S2184" s="452"/>
      <c r="T2184" s="452"/>
      <c r="U2184" s="452"/>
      <c r="V2184" s="452"/>
      <c r="W2184" s="452"/>
    </row>
    <row r="2185" spans="19:23" ht="15" customHeight="1" x14ac:dyDescent="0.45">
      <c r="S2185" s="452"/>
      <c r="T2185" s="452"/>
      <c r="U2185" s="452"/>
      <c r="V2185" s="452"/>
      <c r="W2185" s="452"/>
    </row>
    <row r="2186" spans="19:23" ht="15" customHeight="1" x14ac:dyDescent="0.45">
      <c r="S2186" s="452"/>
      <c r="T2186" s="452"/>
      <c r="U2186" s="452"/>
      <c r="V2186" s="452"/>
      <c r="W2186" s="452"/>
    </row>
    <row r="2187" spans="19:23" ht="15" customHeight="1" x14ac:dyDescent="0.45">
      <c r="S2187" s="452"/>
      <c r="T2187" s="452"/>
      <c r="U2187" s="452"/>
      <c r="V2187" s="452"/>
      <c r="W2187" s="452"/>
    </row>
    <row r="2188" spans="19:23" ht="15" customHeight="1" x14ac:dyDescent="0.45">
      <c r="S2188" s="452"/>
      <c r="T2188" s="452"/>
      <c r="U2188" s="452"/>
      <c r="V2188" s="452"/>
      <c r="W2188" s="452"/>
    </row>
    <row r="2189" spans="19:23" ht="15" customHeight="1" x14ac:dyDescent="0.45">
      <c r="S2189" s="452"/>
      <c r="T2189" s="452"/>
      <c r="U2189" s="452"/>
      <c r="V2189" s="452"/>
      <c r="W2189" s="452"/>
    </row>
    <row r="2190" spans="19:23" ht="15" customHeight="1" x14ac:dyDescent="0.45">
      <c r="S2190" s="452"/>
      <c r="T2190" s="452"/>
      <c r="U2190" s="452"/>
      <c r="V2190" s="452"/>
      <c r="W2190" s="452"/>
    </row>
    <row r="2191" spans="19:23" ht="15" customHeight="1" x14ac:dyDescent="0.45">
      <c r="S2191" s="452"/>
      <c r="T2191" s="452"/>
      <c r="U2191" s="452"/>
      <c r="V2191" s="452"/>
      <c r="W2191" s="452"/>
    </row>
    <row r="2192" spans="19:23" ht="15" customHeight="1" x14ac:dyDescent="0.45">
      <c r="S2192" s="452"/>
      <c r="T2192" s="452"/>
      <c r="U2192" s="452"/>
      <c r="V2192" s="452"/>
      <c r="W2192" s="452"/>
    </row>
    <row r="2193" spans="19:23" ht="15" customHeight="1" x14ac:dyDescent="0.45">
      <c r="S2193" s="452"/>
      <c r="T2193" s="452"/>
      <c r="U2193" s="452"/>
      <c r="V2193" s="452"/>
      <c r="W2193" s="452"/>
    </row>
    <row r="2194" spans="19:23" ht="15" customHeight="1" x14ac:dyDescent="0.45">
      <c r="S2194" s="452"/>
      <c r="T2194" s="452"/>
      <c r="U2194" s="452"/>
      <c r="V2194" s="452"/>
      <c r="W2194" s="452"/>
    </row>
    <row r="2195" spans="19:23" ht="15" customHeight="1" x14ac:dyDescent="0.45">
      <c r="S2195" s="452"/>
      <c r="T2195" s="452"/>
      <c r="U2195" s="452"/>
      <c r="V2195" s="452"/>
      <c r="W2195" s="452"/>
    </row>
    <row r="2196" spans="19:23" ht="15" customHeight="1" x14ac:dyDescent="0.45">
      <c r="S2196" s="452"/>
      <c r="T2196" s="452"/>
      <c r="U2196" s="452"/>
      <c r="V2196" s="452"/>
      <c r="W2196" s="452"/>
    </row>
    <row r="2197" spans="19:23" ht="15" customHeight="1" x14ac:dyDescent="0.45">
      <c r="S2197" s="452"/>
      <c r="T2197" s="452"/>
      <c r="U2197" s="452"/>
      <c r="V2197" s="452"/>
      <c r="W2197" s="452"/>
    </row>
    <row r="2198" spans="19:23" ht="15" customHeight="1" x14ac:dyDescent="0.45">
      <c r="S2198" s="452"/>
      <c r="T2198" s="452"/>
      <c r="U2198" s="452"/>
      <c r="V2198" s="452"/>
      <c r="W2198" s="452"/>
    </row>
    <row r="2199" spans="19:23" ht="15" customHeight="1" x14ac:dyDescent="0.45">
      <c r="S2199" s="452"/>
      <c r="T2199" s="452"/>
      <c r="U2199" s="452"/>
      <c r="V2199" s="452"/>
      <c r="W2199" s="452"/>
    </row>
    <row r="2200" spans="19:23" ht="15" customHeight="1" x14ac:dyDescent="0.45">
      <c r="S2200" s="452"/>
      <c r="T2200" s="452"/>
      <c r="U2200" s="452"/>
      <c r="V2200" s="452"/>
      <c r="W2200" s="452"/>
    </row>
    <row r="2201" spans="19:23" ht="15" customHeight="1" x14ac:dyDescent="0.45">
      <c r="S2201" s="452"/>
      <c r="T2201" s="452"/>
      <c r="U2201" s="452"/>
      <c r="V2201" s="452"/>
      <c r="W2201" s="452"/>
    </row>
    <row r="2202" spans="19:23" ht="15" customHeight="1" x14ac:dyDescent="0.45">
      <c r="S2202" s="452"/>
      <c r="T2202" s="452"/>
      <c r="U2202" s="452"/>
      <c r="V2202" s="452"/>
      <c r="W2202" s="452"/>
    </row>
    <row r="2203" spans="19:23" ht="15" customHeight="1" x14ac:dyDescent="0.45">
      <c r="S2203" s="452"/>
      <c r="T2203" s="452"/>
      <c r="U2203" s="452"/>
      <c r="V2203" s="452"/>
      <c r="W2203" s="452"/>
    </row>
    <row r="2204" spans="19:23" ht="15" customHeight="1" x14ac:dyDescent="0.45">
      <c r="S2204" s="452"/>
      <c r="T2204" s="452"/>
      <c r="U2204" s="452"/>
      <c r="V2204" s="452"/>
      <c r="W2204" s="452"/>
    </row>
    <row r="2205" spans="19:23" ht="15" customHeight="1" x14ac:dyDescent="0.45">
      <c r="S2205" s="452"/>
      <c r="T2205" s="452"/>
      <c r="U2205" s="452"/>
      <c r="V2205" s="452"/>
      <c r="W2205" s="452"/>
    </row>
    <row r="2206" spans="19:23" ht="15" customHeight="1" x14ac:dyDescent="0.45">
      <c r="S2206" s="452"/>
      <c r="T2206" s="452"/>
      <c r="U2206" s="452"/>
      <c r="V2206" s="452"/>
      <c r="W2206" s="452"/>
    </row>
    <row r="2207" spans="19:23" ht="15" customHeight="1" x14ac:dyDescent="0.45">
      <c r="S2207" s="452"/>
      <c r="T2207" s="452"/>
      <c r="U2207" s="452"/>
      <c r="V2207" s="452"/>
      <c r="W2207" s="452"/>
    </row>
    <row r="2208" spans="19:23" ht="15" customHeight="1" x14ac:dyDescent="0.45">
      <c r="S2208" s="452"/>
      <c r="T2208" s="452"/>
      <c r="U2208" s="452"/>
      <c r="V2208" s="452"/>
      <c r="W2208" s="452"/>
    </row>
    <row r="2209" spans="19:23" ht="15" customHeight="1" x14ac:dyDescent="0.45">
      <c r="S2209" s="452"/>
      <c r="T2209" s="452"/>
      <c r="U2209" s="452"/>
      <c r="V2209" s="452"/>
      <c r="W2209" s="452"/>
    </row>
    <row r="2210" spans="19:23" ht="15" customHeight="1" x14ac:dyDescent="0.45">
      <c r="S2210" s="452"/>
      <c r="T2210" s="452"/>
      <c r="U2210" s="452"/>
      <c r="V2210" s="452"/>
      <c r="W2210" s="452"/>
    </row>
    <row r="2211" spans="19:23" ht="15" customHeight="1" x14ac:dyDescent="0.45">
      <c r="S2211" s="452"/>
      <c r="T2211" s="452"/>
      <c r="U2211" s="452"/>
      <c r="V2211" s="452"/>
      <c r="W2211" s="452"/>
    </row>
    <row r="2212" spans="19:23" ht="15" customHeight="1" x14ac:dyDescent="0.45">
      <c r="S2212" s="452"/>
      <c r="T2212" s="452"/>
      <c r="U2212" s="452"/>
      <c r="V2212" s="452"/>
      <c r="W2212" s="452"/>
    </row>
    <row r="2213" spans="19:23" ht="15" customHeight="1" x14ac:dyDescent="0.45">
      <c r="S2213" s="452"/>
      <c r="T2213" s="452"/>
      <c r="U2213" s="452"/>
      <c r="V2213" s="452"/>
      <c r="W2213" s="452"/>
    </row>
    <row r="2214" spans="19:23" ht="15" customHeight="1" x14ac:dyDescent="0.45">
      <c r="S2214" s="452"/>
      <c r="T2214" s="452"/>
      <c r="U2214" s="452"/>
      <c r="V2214" s="452"/>
      <c r="W2214" s="452"/>
    </row>
    <row r="2215" spans="19:23" ht="15" customHeight="1" x14ac:dyDescent="0.45">
      <c r="S2215" s="452"/>
      <c r="T2215" s="452"/>
      <c r="U2215" s="452"/>
      <c r="V2215" s="452"/>
      <c r="W2215" s="452"/>
    </row>
    <row r="2216" spans="19:23" ht="15" customHeight="1" x14ac:dyDescent="0.45">
      <c r="S2216" s="452"/>
      <c r="T2216" s="452"/>
      <c r="U2216" s="452"/>
      <c r="V2216" s="452"/>
      <c r="W2216" s="452"/>
    </row>
    <row r="2217" spans="19:23" ht="15" customHeight="1" x14ac:dyDescent="0.45">
      <c r="S2217" s="452"/>
      <c r="T2217" s="452"/>
      <c r="U2217" s="452"/>
      <c r="V2217" s="452"/>
      <c r="W2217" s="452"/>
    </row>
    <row r="2218" spans="19:23" ht="15" customHeight="1" x14ac:dyDescent="0.45">
      <c r="S2218" s="452"/>
      <c r="T2218" s="452"/>
      <c r="U2218" s="452"/>
      <c r="V2218" s="452"/>
      <c r="W2218" s="452"/>
    </row>
    <row r="2219" spans="19:23" ht="15" customHeight="1" x14ac:dyDescent="0.45">
      <c r="S2219" s="452"/>
      <c r="T2219" s="452"/>
      <c r="U2219" s="452"/>
      <c r="V2219" s="452"/>
      <c r="W2219" s="452"/>
    </row>
    <row r="2220" spans="19:23" ht="15" customHeight="1" x14ac:dyDescent="0.45">
      <c r="S2220" s="452"/>
      <c r="T2220" s="452"/>
      <c r="U2220" s="452"/>
      <c r="V2220" s="452"/>
      <c r="W2220" s="452"/>
    </row>
    <row r="2221" spans="19:23" ht="15" customHeight="1" x14ac:dyDescent="0.45">
      <c r="S2221" s="452"/>
      <c r="T2221" s="452"/>
      <c r="U2221" s="452"/>
      <c r="V2221" s="452"/>
      <c r="W2221" s="452"/>
    </row>
    <row r="2222" spans="19:23" ht="15" customHeight="1" x14ac:dyDescent="0.45">
      <c r="S2222" s="452"/>
      <c r="T2222" s="452"/>
      <c r="U2222" s="452"/>
      <c r="V2222" s="452"/>
      <c r="W2222" s="452"/>
    </row>
    <row r="2223" spans="19:23" ht="15" customHeight="1" x14ac:dyDescent="0.45">
      <c r="S2223" s="452"/>
      <c r="T2223" s="452"/>
      <c r="U2223" s="452"/>
      <c r="V2223" s="452"/>
      <c r="W2223" s="452"/>
    </row>
    <row r="2224" spans="19:23" ht="15" customHeight="1" x14ac:dyDescent="0.45">
      <c r="S2224" s="452"/>
      <c r="T2224" s="452"/>
      <c r="U2224" s="452"/>
      <c r="V2224" s="452"/>
      <c r="W2224" s="452"/>
    </row>
    <row r="2225" spans="19:23" ht="15" customHeight="1" x14ac:dyDescent="0.45">
      <c r="S2225" s="452"/>
      <c r="T2225" s="452"/>
      <c r="U2225" s="452"/>
      <c r="V2225" s="452"/>
      <c r="W2225" s="452"/>
    </row>
    <row r="2226" spans="19:23" ht="15" customHeight="1" x14ac:dyDescent="0.45">
      <c r="S2226" s="452"/>
      <c r="T2226" s="452"/>
      <c r="U2226" s="452"/>
      <c r="V2226" s="452"/>
      <c r="W2226" s="452"/>
    </row>
    <row r="2227" spans="19:23" ht="15" customHeight="1" x14ac:dyDescent="0.45">
      <c r="S2227" s="452"/>
      <c r="T2227" s="452"/>
      <c r="U2227" s="452"/>
      <c r="V2227" s="452"/>
      <c r="W2227" s="452"/>
    </row>
    <row r="2228" spans="19:23" ht="15" customHeight="1" x14ac:dyDescent="0.45">
      <c r="S2228" s="452"/>
      <c r="T2228" s="452"/>
      <c r="U2228" s="452"/>
      <c r="V2228" s="452"/>
      <c r="W2228" s="452"/>
    </row>
    <row r="2229" spans="19:23" ht="15" customHeight="1" x14ac:dyDescent="0.45">
      <c r="S2229" s="452"/>
      <c r="T2229" s="452"/>
      <c r="U2229" s="452"/>
      <c r="V2229" s="452"/>
      <c r="W2229" s="452"/>
    </row>
    <row r="2230" spans="19:23" ht="15" customHeight="1" x14ac:dyDescent="0.45">
      <c r="S2230" s="452"/>
      <c r="T2230" s="452"/>
      <c r="U2230" s="452"/>
      <c r="V2230" s="452"/>
      <c r="W2230" s="452"/>
    </row>
    <row r="2231" spans="19:23" ht="15" customHeight="1" x14ac:dyDescent="0.45">
      <c r="S2231" s="452"/>
      <c r="T2231" s="452"/>
      <c r="U2231" s="452"/>
      <c r="V2231" s="452"/>
      <c r="W2231" s="452"/>
    </row>
    <row r="2232" spans="19:23" ht="15" customHeight="1" x14ac:dyDescent="0.45">
      <c r="S2232" s="452"/>
      <c r="T2232" s="452"/>
      <c r="U2232" s="452"/>
      <c r="V2232" s="452"/>
      <c r="W2232" s="452"/>
    </row>
    <row r="2233" spans="19:23" ht="15" customHeight="1" x14ac:dyDescent="0.45">
      <c r="S2233" s="452"/>
      <c r="T2233" s="452"/>
      <c r="U2233" s="452"/>
      <c r="V2233" s="452"/>
      <c r="W2233" s="452"/>
    </row>
    <row r="2234" spans="19:23" ht="15" customHeight="1" x14ac:dyDescent="0.45">
      <c r="S2234" s="452"/>
      <c r="T2234" s="452"/>
      <c r="U2234" s="452"/>
      <c r="V2234" s="452"/>
      <c r="W2234" s="452"/>
    </row>
    <row r="2235" spans="19:23" ht="15" customHeight="1" x14ac:dyDescent="0.45">
      <c r="S2235" s="452"/>
      <c r="T2235" s="452"/>
      <c r="U2235" s="452"/>
      <c r="V2235" s="452"/>
      <c r="W2235" s="452"/>
    </row>
    <row r="2236" spans="19:23" ht="15" customHeight="1" x14ac:dyDescent="0.45">
      <c r="S2236" s="452"/>
      <c r="T2236" s="452"/>
      <c r="U2236" s="452"/>
      <c r="V2236" s="452"/>
      <c r="W2236" s="452"/>
    </row>
    <row r="2237" spans="19:23" ht="15" customHeight="1" x14ac:dyDescent="0.45">
      <c r="S2237" s="452"/>
      <c r="T2237" s="452"/>
      <c r="U2237" s="452"/>
      <c r="V2237" s="452"/>
      <c r="W2237" s="452"/>
    </row>
    <row r="2238" spans="19:23" ht="15" customHeight="1" x14ac:dyDescent="0.45">
      <c r="S2238" s="452"/>
      <c r="T2238" s="452"/>
      <c r="U2238" s="452"/>
      <c r="V2238" s="452"/>
      <c r="W2238" s="452"/>
    </row>
    <row r="2239" spans="19:23" ht="15" customHeight="1" x14ac:dyDescent="0.45">
      <c r="S2239" s="452"/>
      <c r="T2239" s="452"/>
      <c r="U2239" s="452"/>
      <c r="V2239" s="452"/>
      <c r="W2239" s="452"/>
    </row>
    <row r="2240" spans="19:23" ht="15" customHeight="1" x14ac:dyDescent="0.45">
      <c r="S2240" s="452"/>
      <c r="T2240" s="452"/>
      <c r="U2240" s="452"/>
      <c r="V2240" s="452"/>
      <c r="W2240" s="452"/>
    </row>
    <row r="2241" spans="19:23" ht="15" customHeight="1" x14ac:dyDescent="0.45">
      <c r="S2241" s="452"/>
      <c r="T2241" s="452"/>
      <c r="U2241" s="452"/>
      <c r="V2241" s="452"/>
      <c r="W2241" s="452"/>
    </row>
    <row r="2242" spans="19:23" ht="15" customHeight="1" x14ac:dyDescent="0.45">
      <c r="S2242" s="452"/>
      <c r="T2242" s="452"/>
      <c r="U2242" s="452"/>
      <c r="V2242" s="452"/>
      <c r="W2242" s="452"/>
    </row>
    <row r="2243" spans="19:23" ht="15" customHeight="1" x14ac:dyDescent="0.45">
      <c r="S2243" s="452"/>
      <c r="T2243" s="452"/>
      <c r="U2243" s="452"/>
      <c r="V2243" s="452"/>
      <c r="W2243" s="452"/>
    </row>
    <row r="2244" spans="19:23" ht="15" customHeight="1" x14ac:dyDescent="0.45">
      <c r="S2244" s="452"/>
      <c r="T2244" s="452"/>
      <c r="U2244" s="452"/>
      <c r="V2244" s="452"/>
      <c r="W2244" s="452"/>
    </row>
    <row r="2245" spans="19:23" ht="15" customHeight="1" x14ac:dyDescent="0.45">
      <c r="S2245" s="452"/>
      <c r="T2245" s="452"/>
      <c r="U2245" s="452"/>
      <c r="V2245" s="452"/>
      <c r="W2245" s="452"/>
    </row>
    <row r="2246" spans="19:23" ht="15" customHeight="1" x14ac:dyDescent="0.45">
      <c r="S2246" s="452"/>
      <c r="T2246" s="452"/>
      <c r="U2246" s="452"/>
      <c r="V2246" s="452"/>
      <c r="W2246" s="452"/>
    </row>
    <row r="2247" spans="19:23" ht="15" customHeight="1" x14ac:dyDescent="0.45">
      <c r="S2247" s="452"/>
      <c r="T2247" s="452"/>
      <c r="U2247" s="452"/>
      <c r="V2247" s="452"/>
      <c r="W2247" s="452"/>
    </row>
    <row r="2248" spans="19:23" ht="15" customHeight="1" x14ac:dyDescent="0.45">
      <c r="S2248" s="452"/>
      <c r="T2248" s="452"/>
      <c r="U2248" s="452"/>
      <c r="V2248" s="452"/>
      <c r="W2248" s="452"/>
    </row>
    <row r="2249" spans="19:23" ht="15" customHeight="1" x14ac:dyDescent="0.45">
      <c r="S2249" s="452"/>
      <c r="T2249" s="452"/>
      <c r="U2249" s="452"/>
      <c r="V2249" s="452"/>
      <c r="W2249" s="452"/>
    </row>
    <row r="2250" spans="19:23" ht="15" customHeight="1" x14ac:dyDescent="0.45">
      <c r="S2250" s="452"/>
      <c r="T2250" s="452"/>
      <c r="U2250" s="452"/>
      <c r="V2250" s="452"/>
      <c r="W2250" s="452"/>
    </row>
    <row r="2251" spans="19:23" ht="15" customHeight="1" x14ac:dyDescent="0.45">
      <c r="S2251" s="452"/>
      <c r="T2251" s="452"/>
      <c r="U2251" s="452"/>
      <c r="V2251" s="452"/>
      <c r="W2251" s="452"/>
    </row>
    <row r="2252" spans="19:23" ht="15" customHeight="1" x14ac:dyDescent="0.45">
      <c r="S2252" s="452"/>
      <c r="T2252" s="452"/>
      <c r="U2252" s="452"/>
      <c r="V2252" s="452"/>
      <c r="W2252" s="452"/>
    </row>
    <row r="2253" spans="19:23" ht="15" customHeight="1" x14ac:dyDescent="0.45">
      <c r="S2253" s="452"/>
      <c r="T2253" s="452"/>
      <c r="U2253" s="452"/>
      <c r="V2253" s="452"/>
      <c r="W2253" s="452"/>
    </row>
    <row r="2254" spans="19:23" ht="15" customHeight="1" x14ac:dyDescent="0.45">
      <c r="S2254" s="452"/>
      <c r="T2254" s="452"/>
      <c r="U2254" s="452"/>
      <c r="V2254" s="452"/>
      <c r="W2254" s="452"/>
    </row>
    <row r="2255" spans="19:23" ht="15" customHeight="1" x14ac:dyDescent="0.45">
      <c r="S2255" s="452"/>
      <c r="T2255" s="452"/>
      <c r="U2255" s="452"/>
      <c r="V2255" s="452"/>
      <c r="W2255" s="452"/>
    </row>
    <row r="2256" spans="19:23" ht="15" customHeight="1" x14ac:dyDescent="0.45">
      <c r="S2256" s="452"/>
      <c r="T2256" s="452"/>
      <c r="U2256" s="452"/>
      <c r="V2256" s="452"/>
      <c r="W2256" s="452"/>
    </row>
    <row r="2257" spans="19:23" ht="15" customHeight="1" x14ac:dyDescent="0.45">
      <c r="S2257" s="452"/>
      <c r="T2257" s="452"/>
      <c r="U2257" s="452"/>
      <c r="V2257" s="452"/>
      <c r="W2257" s="452"/>
    </row>
    <row r="2258" spans="19:23" ht="15" customHeight="1" x14ac:dyDescent="0.45">
      <c r="S2258" s="452"/>
      <c r="T2258" s="452"/>
      <c r="U2258" s="452"/>
      <c r="V2258" s="452"/>
      <c r="W2258" s="452"/>
    </row>
    <row r="2259" spans="19:23" ht="15" customHeight="1" x14ac:dyDescent="0.45">
      <c r="S2259" s="452"/>
      <c r="T2259" s="452"/>
      <c r="U2259" s="452"/>
      <c r="V2259" s="452"/>
      <c r="W2259" s="452"/>
    </row>
    <row r="2260" spans="19:23" ht="15" customHeight="1" x14ac:dyDescent="0.45">
      <c r="S2260" s="452"/>
      <c r="T2260" s="452"/>
      <c r="U2260" s="452"/>
      <c r="V2260" s="452"/>
      <c r="W2260" s="452"/>
    </row>
    <row r="2261" spans="19:23" ht="15" customHeight="1" x14ac:dyDescent="0.45">
      <c r="S2261" s="452"/>
      <c r="T2261" s="452"/>
      <c r="U2261" s="452"/>
      <c r="V2261" s="452"/>
      <c r="W2261" s="452"/>
    </row>
    <row r="2262" spans="19:23" ht="15" customHeight="1" x14ac:dyDescent="0.45">
      <c r="S2262" s="452"/>
      <c r="T2262" s="452"/>
      <c r="U2262" s="452"/>
      <c r="V2262" s="452"/>
      <c r="W2262" s="452"/>
    </row>
    <row r="2263" spans="19:23" ht="15" customHeight="1" x14ac:dyDescent="0.45">
      <c r="S2263" s="452"/>
      <c r="T2263" s="452"/>
      <c r="U2263" s="452"/>
      <c r="V2263" s="452"/>
      <c r="W2263" s="452"/>
    </row>
    <row r="2264" spans="19:23" ht="15" customHeight="1" x14ac:dyDescent="0.45">
      <c r="S2264" s="452"/>
      <c r="T2264" s="452"/>
      <c r="U2264" s="452"/>
      <c r="V2264" s="452"/>
      <c r="W2264" s="452"/>
    </row>
    <row r="2265" spans="19:23" ht="15" customHeight="1" x14ac:dyDescent="0.45">
      <c r="S2265" s="452"/>
      <c r="T2265" s="452"/>
      <c r="U2265" s="452"/>
      <c r="V2265" s="452"/>
      <c r="W2265" s="452"/>
    </row>
    <row r="2266" spans="19:23" ht="15" customHeight="1" x14ac:dyDescent="0.45">
      <c r="S2266" s="452"/>
      <c r="T2266" s="452"/>
      <c r="U2266" s="452"/>
      <c r="V2266" s="452"/>
      <c r="W2266" s="452"/>
    </row>
    <row r="2267" spans="19:23" ht="15" customHeight="1" x14ac:dyDescent="0.45">
      <c r="S2267" s="452"/>
      <c r="T2267" s="452"/>
      <c r="U2267" s="452"/>
      <c r="V2267" s="452"/>
      <c r="W2267" s="452"/>
    </row>
    <row r="2268" spans="19:23" ht="15" customHeight="1" x14ac:dyDescent="0.45">
      <c r="S2268" s="452"/>
      <c r="T2268" s="452"/>
      <c r="U2268" s="452"/>
      <c r="V2268" s="452"/>
      <c r="W2268" s="452"/>
    </row>
    <row r="2269" spans="19:23" ht="15" customHeight="1" x14ac:dyDescent="0.45">
      <c r="S2269" s="452"/>
      <c r="T2269" s="452"/>
      <c r="U2269" s="452"/>
      <c r="V2269" s="452"/>
      <c r="W2269" s="452"/>
    </row>
    <row r="2270" spans="19:23" ht="15" customHeight="1" x14ac:dyDescent="0.45">
      <c r="S2270" s="452"/>
      <c r="T2270" s="452"/>
      <c r="U2270" s="452"/>
      <c r="V2270" s="452"/>
      <c r="W2270" s="452"/>
    </row>
    <row r="2271" spans="19:23" ht="15" customHeight="1" x14ac:dyDescent="0.45">
      <c r="S2271" s="452"/>
      <c r="T2271" s="452"/>
      <c r="U2271" s="452"/>
      <c r="V2271" s="452"/>
      <c r="W2271" s="452"/>
    </row>
    <row r="2272" spans="19:23" ht="15" customHeight="1" x14ac:dyDescent="0.45">
      <c r="S2272" s="452"/>
      <c r="T2272" s="452"/>
      <c r="U2272" s="452"/>
      <c r="V2272" s="452"/>
      <c r="W2272" s="452"/>
    </row>
    <row r="2273" spans="19:23" ht="15" customHeight="1" x14ac:dyDescent="0.45">
      <c r="S2273" s="452"/>
      <c r="T2273" s="452"/>
      <c r="U2273" s="452"/>
      <c r="V2273" s="452"/>
      <c r="W2273" s="452"/>
    </row>
    <row r="2274" spans="19:23" ht="15" customHeight="1" x14ac:dyDescent="0.45">
      <c r="S2274" s="452"/>
      <c r="T2274" s="452"/>
      <c r="U2274" s="452"/>
      <c r="V2274" s="452"/>
      <c r="W2274" s="452"/>
    </row>
    <row r="2275" spans="19:23" ht="15" customHeight="1" x14ac:dyDescent="0.45">
      <c r="S2275" s="452"/>
      <c r="T2275" s="452"/>
      <c r="U2275" s="452"/>
      <c r="V2275" s="452"/>
      <c r="W2275" s="452"/>
    </row>
    <row r="2276" spans="19:23" ht="15" customHeight="1" x14ac:dyDescent="0.45">
      <c r="S2276" s="452"/>
      <c r="T2276" s="452"/>
      <c r="U2276" s="452"/>
      <c r="V2276" s="452"/>
      <c r="W2276" s="452"/>
    </row>
    <row r="2277" spans="19:23" ht="15" customHeight="1" x14ac:dyDescent="0.45">
      <c r="S2277" s="452"/>
      <c r="T2277" s="452"/>
      <c r="U2277" s="452"/>
      <c r="V2277" s="452"/>
      <c r="W2277" s="452"/>
    </row>
    <row r="2278" spans="19:23" ht="15" customHeight="1" x14ac:dyDescent="0.45">
      <c r="S2278" s="452"/>
      <c r="T2278" s="452"/>
      <c r="U2278" s="452"/>
      <c r="V2278" s="452"/>
      <c r="W2278" s="452"/>
    </row>
    <row r="2279" spans="19:23" ht="15" customHeight="1" x14ac:dyDescent="0.45">
      <c r="S2279" s="452"/>
      <c r="T2279" s="452"/>
      <c r="U2279" s="452"/>
      <c r="V2279" s="452"/>
      <c r="W2279" s="452"/>
    </row>
    <row r="2280" spans="19:23" ht="15" customHeight="1" x14ac:dyDescent="0.45">
      <c r="S2280" s="452"/>
      <c r="T2280" s="452"/>
      <c r="U2280" s="452"/>
      <c r="V2280" s="452"/>
      <c r="W2280" s="452"/>
    </row>
    <row r="2281" spans="19:23" ht="15" customHeight="1" x14ac:dyDescent="0.45">
      <c r="S2281" s="452"/>
      <c r="T2281" s="452"/>
      <c r="U2281" s="452"/>
      <c r="V2281" s="452"/>
      <c r="W2281" s="452"/>
    </row>
    <row r="2282" spans="19:23" ht="15" customHeight="1" x14ac:dyDescent="0.45">
      <c r="S2282" s="452"/>
      <c r="T2282" s="452"/>
      <c r="U2282" s="452"/>
      <c r="V2282" s="452"/>
      <c r="W2282" s="452"/>
    </row>
    <row r="2283" spans="19:23" ht="15" customHeight="1" x14ac:dyDescent="0.45">
      <c r="S2283" s="452"/>
      <c r="T2283" s="452"/>
      <c r="U2283" s="452"/>
      <c r="V2283" s="452"/>
      <c r="W2283" s="452"/>
    </row>
    <row r="2284" spans="19:23" ht="15" customHeight="1" x14ac:dyDescent="0.45">
      <c r="S2284" s="452"/>
      <c r="T2284" s="452"/>
      <c r="U2284" s="452"/>
      <c r="V2284" s="452"/>
      <c r="W2284" s="452"/>
    </row>
    <row r="2285" spans="19:23" ht="15" customHeight="1" x14ac:dyDescent="0.45">
      <c r="S2285" s="452"/>
      <c r="T2285" s="452"/>
      <c r="U2285" s="452"/>
      <c r="V2285" s="452"/>
      <c r="W2285" s="452"/>
    </row>
    <row r="2286" spans="19:23" ht="15" customHeight="1" x14ac:dyDescent="0.45">
      <c r="S2286" s="452"/>
      <c r="T2286" s="452"/>
      <c r="U2286" s="452"/>
      <c r="V2286" s="452"/>
      <c r="W2286" s="452"/>
    </row>
    <row r="2287" spans="19:23" ht="15" customHeight="1" x14ac:dyDescent="0.45">
      <c r="S2287" s="452"/>
      <c r="T2287" s="452"/>
      <c r="U2287" s="452"/>
      <c r="V2287" s="452"/>
      <c r="W2287" s="452"/>
    </row>
    <row r="2288" spans="19:23" ht="15" customHeight="1" x14ac:dyDescent="0.45">
      <c r="S2288" s="452"/>
      <c r="T2288" s="452"/>
      <c r="U2288" s="452"/>
      <c r="V2288" s="452"/>
      <c r="W2288" s="452"/>
    </row>
    <row r="2289" spans="19:23" ht="15" customHeight="1" x14ac:dyDescent="0.45">
      <c r="S2289" s="452"/>
      <c r="T2289" s="452"/>
      <c r="U2289" s="452"/>
      <c r="V2289" s="452"/>
      <c r="W2289" s="452"/>
    </row>
    <row r="2290" spans="19:23" ht="15" customHeight="1" x14ac:dyDescent="0.45">
      <c r="S2290" s="452"/>
      <c r="T2290" s="452"/>
      <c r="U2290" s="452"/>
      <c r="V2290" s="452"/>
      <c r="W2290" s="452"/>
    </row>
    <row r="2291" spans="19:23" ht="15" customHeight="1" x14ac:dyDescent="0.45">
      <c r="S2291" s="452"/>
      <c r="T2291" s="452"/>
      <c r="U2291" s="452"/>
      <c r="V2291" s="452"/>
      <c r="W2291" s="452"/>
    </row>
    <row r="2292" spans="19:23" ht="15" customHeight="1" x14ac:dyDescent="0.45">
      <c r="S2292" s="452"/>
      <c r="T2292" s="452"/>
      <c r="U2292" s="452"/>
      <c r="V2292" s="452"/>
      <c r="W2292" s="452"/>
    </row>
    <row r="2293" spans="19:23" ht="15" customHeight="1" x14ac:dyDescent="0.45">
      <c r="S2293" s="452"/>
      <c r="T2293" s="452"/>
      <c r="U2293" s="452"/>
      <c r="V2293" s="452"/>
      <c r="W2293" s="452"/>
    </row>
    <row r="2294" spans="19:23" ht="15" customHeight="1" x14ac:dyDescent="0.45">
      <c r="S2294" s="452"/>
      <c r="T2294" s="452"/>
      <c r="U2294" s="452"/>
      <c r="V2294" s="452"/>
      <c r="W2294" s="452"/>
    </row>
    <row r="2295" spans="19:23" ht="15" customHeight="1" x14ac:dyDescent="0.45">
      <c r="S2295" s="452"/>
      <c r="T2295" s="452"/>
      <c r="U2295" s="452"/>
      <c r="V2295" s="452"/>
      <c r="W2295" s="452"/>
    </row>
    <row r="2296" spans="19:23" ht="15" customHeight="1" x14ac:dyDescent="0.45">
      <c r="S2296" s="452"/>
      <c r="T2296" s="452"/>
      <c r="U2296" s="452"/>
      <c r="V2296" s="452"/>
      <c r="W2296" s="452"/>
    </row>
    <row r="2297" spans="19:23" ht="15" customHeight="1" x14ac:dyDescent="0.45">
      <c r="S2297" s="452"/>
      <c r="T2297" s="452"/>
      <c r="U2297" s="452"/>
      <c r="V2297" s="452"/>
      <c r="W2297" s="452"/>
    </row>
    <row r="2298" spans="19:23" ht="15" customHeight="1" x14ac:dyDescent="0.45">
      <c r="S2298" s="452"/>
      <c r="T2298" s="452"/>
      <c r="U2298" s="452"/>
      <c r="V2298" s="452"/>
      <c r="W2298" s="452"/>
    </row>
    <row r="2299" spans="19:23" ht="15" customHeight="1" x14ac:dyDescent="0.45">
      <c r="S2299" s="452"/>
      <c r="T2299" s="452"/>
      <c r="U2299" s="452"/>
      <c r="V2299" s="452"/>
      <c r="W2299" s="452"/>
    </row>
    <row r="2300" spans="19:23" ht="15" customHeight="1" x14ac:dyDescent="0.45">
      <c r="S2300" s="452"/>
      <c r="T2300" s="452"/>
      <c r="U2300" s="452"/>
      <c r="V2300" s="452"/>
      <c r="W2300" s="452"/>
    </row>
    <row r="2301" spans="19:23" ht="15" customHeight="1" x14ac:dyDescent="0.45">
      <c r="S2301" s="452"/>
      <c r="T2301" s="452"/>
      <c r="U2301" s="452"/>
      <c r="V2301" s="452"/>
      <c r="W2301" s="452"/>
    </row>
    <row r="2302" spans="19:23" ht="15" customHeight="1" x14ac:dyDescent="0.45">
      <c r="S2302" s="452"/>
      <c r="T2302" s="452"/>
      <c r="U2302" s="452"/>
      <c r="V2302" s="452"/>
      <c r="W2302" s="452"/>
    </row>
    <row r="2303" spans="19:23" ht="15" customHeight="1" x14ac:dyDescent="0.45">
      <c r="S2303" s="452"/>
      <c r="T2303" s="452"/>
      <c r="U2303" s="452"/>
      <c r="V2303" s="452"/>
      <c r="W2303" s="452"/>
    </row>
    <row r="2304" spans="19:23" ht="15" customHeight="1" x14ac:dyDescent="0.45">
      <c r="S2304" s="452"/>
      <c r="T2304" s="452"/>
      <c r="U2304" s="452"/>
      <c r="V2304" s="452"/>
      <c r="W2304" s="452"/>
    </row>
    <row r="2305" spans="19:23" ht="15" customHeight="1" x14ac:dyDescent="0.45">
      <c r="S2305" s="452"/>
      <c r="T2305" s="452"/>
      <c r="U2305" s="452"/>
      <c r="V2305" s="452"/>
      <c r="W2305" s="452"/>
    </row>
    <row r="2306" spans="19:23" ht="15" customHeight="1" x14ac:dyDescent="0.45">
      <c r="S2306" s="452"/>
      <c r="T2306" s="452"/>
      <c r="U2306" s="452"/>
      <c r="V2306" s="452"/>
      <c r="W2306" s="452"/>
    </row>
    <row r="2307" spans="19:23" ht="15" customHeight="1" x14ac:dyDescent="0.45">
      <c r="S2307" s="452"/>
      <c r="T2307" s="452"/>
      <c r="U2307" s="452"/>
      <c r="V2307" s="452"/>
      <c r="W2307" s="452"/>
    </row>
    <row r="2308" spans="19:23" ht="15" customHeight="1" x14ac:dyDescent="0.45">
      <c r="S2308" s="452"/>
      <c r="T2308" s="452"/>
      <c r="U2308" s="452"/>
      <c r="V2308" s="452"/>
      <c r="W2308" s="452"/>
    </row>
    <row r="2309" spans="19:23" ht="15" customHeight="1" x14ac:dyDescent="0.45">
      <c r="S2309" s="452"/>
      <c r="T2309" s="452"/>
      <c r="U2309" s="452"/>
      <c r="V2309" s="452"/>
      <c r="W2309" s="452"/>
    </row>
    <row r="2310" spans="19:23" ht="15" customHeight="1" x14ac:dyDescent="0.45">
      <c r="S2310" s="452"/>
      <c r="T2310" s="452"/>
      <c r="U2310" s="452"/>
      <c r="V2310" s="452"/>
      <c r="W2310" s="452"/>
    </row>
    <row r="2311" spans="19:23" ht="15" customHeight="1" x14ac:dyDescent="0.45">
      <c r="S2311" s="452"/>
      <c r="T2311" s="452"/>
      <c r="U2311" s="452"/>
      <c r="V2311" s="452"/>
      <c r="W2311" s="452"/>
    </row>
    <row r="2312" spans="19:23" ht="15" customHeight="1" x14ac:dyDescent="0.45">
      <c r="S2312" s="452"/>
      <c r="T2312" s="452"/>
      <c r="U2312" s="452"/>
      <c r="V2312" s="452"/>
      <c r="W2312" s="452"/>
    </row>
    <row r="2313" spans="19:23" ht="15" customHeight="1" x14ac:dyDescent="0.45">
      <c r="S2313" s="452"/>
      <c r="T2313" s="452"/>
      <c r="U2313" s="452"/>
      <c r="V2313" s="452"/>
      <c r="W2313" s="452"/>
    </row>
    <row r="2314" spans="19:23" ht="15" customHeight="1" x14ac:dyDescent="0.45">
      <c r="S2314" s="452"/>
      <c r="T2314" s="452"/>
      <c r="U2314" s="452"/>
      <c r="V2314" s="452"/>
      <c r="W2314" s="452"/>
    </row>
    <row r="2315" spans="19:23" ht="15" customHeight="1" x14ac:dyDescent="0.45">
      <c r="S2315" s="452"/>
      <c r="T2315" s="452"/>
      <c r="U2315" s="452"/>
      <c r="V2315" s="452"/>
      <c r="W2315" s="452"/>
    </row>
    <row r="2316" spans="19:23" ht="15" customHeight="1" x14ac:dyDescent="0.45">
      <c r="S2316" s="452"/>
      <c r="T2316" s="452"/>
      <c r="U2316" s="452"/>
      <c r="V2316" s="452"/>
      <c r="W2316" s="452"/>
    </row>
    <row r="2317" spans="19:23" ht="15" customHeight="1" x14ac:dyDescent="0.45">
      <c r="S2317" s="452"/>
      <c r="T2317" s="452"/>
      <c r="U2317" s="452"/>
      <c r="V2317" s="452"/>
      <c r="W2317" s="452"/>
    </row>
    <row r="2318" spans="19:23" ht="15" customHeight="1" x14ac:dyDescent="0.45">
      <c r="S2318" s="452"/>
      <c r="T2318" s="452"/>
      <c r="U2318" s="452"/>
      <c r="V2318" s="452"/>
      <c r="W2318" s="452"/>
    </row>
    <row r="2319" spans="19:23" ht="15" customHeight="1" x14ac:dyDescent="0.45">
      <c r="S2319" s="452"/>
      <c r="T2319" s="452"/>
      <c r="U2319" s="452"/>
      <c r="V2319" s="452"/>
      <c r="W2319" s="452"/>
    </row>
    <row r="2320" spans="19:23" ht="15" customHeight="1" x14ac:dyDescent="0.45">
      <c r="S2320" s="452"/>
      <c r="T2320" s="452"/>
      <c r="U2320" s="452"/>
      <c r="V2320" s="452"/>
      <c r="W2320" s="452"/>
    </row>
    <row r="2321" spans="19:23" ht="15" customHeight="1" x14ac:dyDescent="0.45">
      <c r="S2321" s="452"/>
      <c r="T2321" s="452"/>
      <c r="U2321" s="452"/>
      <c r="V2321" s="452"/>
      <c r="W2321" s="452"/>
    </row>
    <row r="2322" spans="19:23" ht="15" customHeight="1" x14ac:dyDescent="0.45">
      <c r="S2322" s="452"/>
      <c r="T2322" s="452"/>
      <c r="U2322" s="452"/>
      <c r="V2322" s="452"/>
      <c r="W2322" s="452"/>
    </row>
    <row r="2323" spans="19:23" ht="15" customHeight="1" x14ac:dyDescent="0.45">
      <c r="S2323" s="452"/>
      <c r="T2323" s="452"/>
      <c r="U2323" s="452"/>
      <c r="V2323" s="452"/>
      <c r="W2323" s="452"/>
    </row>
    <row r="2324" spans="19:23" ht="15" customHeight="1" x14ac:dyDescent="0.45">
      <c r="S2324" s="452"/>
      <c r="T2324" s="452"/>
      <c r="U2324" s="452"/>
      <c r="V2324" s="452"/>
      <c r="W2324" s="452"/>
    </row>
    <row r="2325" spans="19:23" ht="15" customHeight="1" x14ac:dyDescent="0.45">
      <c r="S2325" s="452"/>
      <c r="T2325" s="452"/>
      <c r="U2325" s="452"/>
      <c r="V2325" s="452"/>
      <c r="W2325" s="452"/>
    </row>
    <row r="2326" spans="19:23" ht="15" customHeight="1" x14ac:dyDescent="0.45">
      <c r="S2326" s="452"/>
      <c r="T2326" s="452"/>
      <c r="U2326" s="452"/>
      <c r="V2326" s="452"/>
      <c r="W2326" s="452"/>
    </row>
    <row r="2327" spans="19:23" ht="15" customHeight="1" x14ac:dyDescent="0.45">
      <c r="S2327" s="452"/>
      <c r="T2327" s="452"/>
      <c r="U2327" s="452"/>
      <c r="V2327" s="452"/>
      <c r="W2327" s="452"/>
    </row>
    <row r="2328" spans="19:23" ht="15" customHeight="1" x14ac:dyDescent="0.45">
      <c r="S2328" s="452"/>
      <c r="T2328" s="452"/>
      <c r="U2328" s="452"/>
      <c r="V2328" s="452"/>
      <c r="W2328" s="452"/>
    </row>
    <row r="2329" spans="19:23" ht="15" customHeight="1" x14ac:dyDescent="0.45">
      <c r="S2329" s="452"/>
      <c r="T2329" s="452"/>
      <c r="U2329" s="452"/>
      <c r="V2329" s="452"/>
      <c r="W2329" s="452"/>
    </row>
    <row r="2330" spans="19:23" ht="15" customHeight="1" x14ac:dyDescent="0.45">
      <c r="S2330" s="452"/>
      <c r="T2330" s="452"/>
      <c r="U2330" s="452"/>
      <c r="V2330" s="452"/>
      <c r="W2330" s="452"/>
    </row>
    <row r="2331" spans="19:23" ht="15" customHeight="1" x14ac:dyDescent="0.45">
      <c r="S2331" s="452"/>
      <c r="T2331" s="452"/>
      <c r="U2331" s="452"/>
      <c r="V2331" s="452"/>
      <c r="W2331" s="452"/>
    </row>
    <row r="2332" spans="19:23" ht="15" customHeight="1" x14ac:dyDescent="0.45">
      <c r="S2332" s="452"/>
      <c r="T2332" s="452"/>
      <c r="U2332" s="452"/>
      <c r="V2332" s="452"/>
      <c r="W2332" s="452"/>
    </row>
    <row r="2333" spans="19:23" ht="15" customHeight="1" x14ac:dyDescent="0.45">
      <c r="S2333" s="452"/>
      <c r="T2333" s="452"/>
      <c r="U2333" s="452"/>
      <c r="V2333" s="452"/>
      <c r="W2333" s="452"/>
    </row>
    <row r="2334" spans="19:23" ht="15" customHeight="1" x14ac:dyDescent="0.45">
      <c r="S2334" s="452"/>
      <c r="T2334" s="452"/>
      <c r="U2334" s="452"/>
      <c r="V2334" s="452"/>
      <c r="W2334" s="452"/>
    </row>
    <row r="2335" spans="19:23" ht="15" customHeight="1" x14ac:dyDescent="0.45">
      <c r="S2335" s="452"/>
      <c r="T2335" s="452"/>
      <c r="U2335" s="452"/>
      <c r="V2335" s="452"/>
      <c r="W2335" s="452"/>
    </row>
    <row r="2336" spans="19:23" ht="15" customHeight="1" x14ac:dyDescent="0.45">
      <c r="S2336" s="452"/>
      <c r="T2336" s="452"/>
      <c r="U2336" s="452"/>
      <c r="V2336" s="452"/>
      <c r="W2336" s="452"/>
    </row>
    <row r="2337" spans="19:23" ht="15" customHeight="1" x14ac:dyDescent="0.45">
      <c r="S2337" s="452"/>
      <c r="T2337" s="452"/>
      <c r="U2337" s="452"/>
      <c r="V2337" s="452"/>
      <c r="W2337" s="452"/>
    </row>
    <row r="2338" spans="19:23" ht="15" customHeight="1" x14ac:dyDescent="0.45">
      <c r="S2338" s="452"/>
      <c r="T2338" s="452"/>
      <c r="U2338" s="452"/>
      <c r="V2338" s="452"/>
      <c r="W2338" s="452"/>
    </row>
    <row r="2339" spans="19:23" ht="15" customHeight="1" x14ac:dyDescent="0.45">
      <c r="S2339" s="452"/>
      <c r="T2339" s="452"/>
      <c r="U2339" s="452"/>
      <c r="V2339" s="452"/>
      <c r="W2339" s="452"/>
    </row>
    <row r="2340" spans="19:23" ht="15" customHeight="1" x14ac:dyDescent="0.45">
      <c r="S2340" s="452"/>
      <c r="T2340" s="452"/>
      <c r="U2340" s="452"/>
      <c r="V2340" s="452"/>
      <c r="W2340" s="452"/>
    </row>
    <row r="2341" spans="19:23" ht="15" customHeight="1" x14ac:dyDescent="0.45">
      <c r="S2341" s="452"/>
      <c r="T2341" s="452"/>
      <c r="U2341" s="452"/>
      <c r="V2341" s="452"/>
      <c r="W2341" s="452"/>
    </row>
    <row r="2342" spans="19:23" ht="15" customHeight="1" x14ac:dyDescent="0.45">
      <c r="S2342" s="452"/>
      <c r="T2342" s="452"/>
      <c r="U2342" s="452"/>
      <c r="V2342" s="452"/>
      <c r="W2342" s="452"/>
    </row>
    <row r="2343" spans="19:23" ht="15" customHeight="1" x14ac:dyDescent="0.45">
      <c r="S2343" s="452"/>
      <c r="T2343" s="452"/>
      <c r="U2343" s="452"/>
      <c r="V2343" s="452"/>
      <c r="W2343" s="452"/>
    </row>
    <row r="2344" spans="19:23" ht="15" customHeight="1" x14ac:dyDescent="0.45">
      <c r="S2344" s="452"/>
      <c r="T2344" s="452"/>
      <c r="U2344" s="452"/>
      <c r="V2344" s="452"/>
      <c r="W2344" s="452"/>
    </row>
    <row r="2345" spans="19:23" ht="15" customHeight="1" x14ac:dyDescent="0.45">
      <c r="S2345" s="452"/>
      <c r="T2345" s="452"/>
      <c r="U2345" s="452"/>
      <c r="V2345" s="452"/>
      <c r="W2345" s="452"/>
    </row>
    <row r="2346" spans="19:23" ht="15" customHeight="1" x14ac:dyDescent="0.45">
      <c r="S2346" s="452"/>
      <c r="T2346" s="452"/>
      <c r="U2346" s="452"/>
      <c r="V2346" s="452"/>
      <c r="W2346" s="452"/>
    </row>
    <row r="2347" spans="19:23" ht="15" customHeight="1" x14ac:dyDescent="0.45">
      <c r="S2347" s="452"/>
      <c r="T2347" s="452"/>
      <c r="U2347" s="452"/>
      <c r="V2347" s="452"/>
      <c r="W2347" s="452"/>
    </row>
    <row r="2348" spans="19:23" ht="15" customHeight="1" x14ac:dyDescent="0.45">
      <c r="S2348" s="452"/>
      <c r="T2348" s="452"/>
      <c r="U2348" s="452"/>
      <c r="V2348" s="452"/>
      <c r="W2348" s="452"/>
    </row>
    <row r="2349" spans="19:23" ht="15" customHeight="1" x14ac:dyDescent="0.45">
      <c r="S2349" s="452"/>
      <c r="T2349" s="452"/>
      <c r="U2349" s="452"/>
      <c r="V2349" s="452"/>
      <c r="W2349" s="452"/>
    </row>
    <row r="2350" spans="19:23" ht="15" customHeight="1" x14ac:dyDescent="0.45">
      <c r="S2350" s="452"/>
      <c r="T2350" s="452"/>
      <c r="U2350" s="452"/>
      <c r="V2350" s="452"/>
      <c r="W2350" s="452"/>
    </row>
    <row r="2351" spans="19:23" ht="15" customHeight="1" x14ac:dyDescent="0.45">
      <c r="S2351" s="452"/>
      <c r="T2351" s="452"/>
      <c r="U2351" s="452"/>
      <c r="V2351" s="452"/>
      <c r="W2351" s="452"/>
    </row>
    <row r="2352" spans="19:23" ht="15" customHeight="1" x14ac:dyDescent="0.45">
      <c r="S2352" s="452"/>
      <c r="T2352" s="452"/>
      <c r="U2352" s="452"/>
      <c r="V2352" s="452"/>
      <c r="W2352" s="452"/>
    </row>
    <row r="2353" spans="19:23" ht="15" customHeight="1" x14ac:dyDescent="0.45">
      <c r="S2353" s="452"/>
      <c r="T2353" s="452"/>
      <c r="U2353" s="452"/>
      <c r="V2353" s="452"/>
      <c r="W2353" s="452"/>
    </row>
    <row r="2354" spans="19:23" ht="15" customHeight="1" x14ac:dyDescent="0.45">
      <c r="S2354" s="452"/>
      <c r="T2354" s="452"/>
      <c r="U2354" s="452"/>
      <c r="V2354" s="452"/>
      <c r="W2354" s="452"/>
    </row>
    <row r="2355" spans="19:23" ht="15" customHeight="1" x14ac:dyDescent="0.45">
      <c r="S2355" s="452"/>
      <c r="T2355" s="452"/>
      <c r="U2355" s="452"/>
      <c r="V2355" s="452"/>
      <c r="W2355" s="452"/>
    </row>
    <row r="2356" spans="19:23" ht="15" customHeight="1" x14ac:dyDescent="0.45">
      <c r="S2356" s="452"/>
      <c r="T2356" s="452"/>
      <c r="U2356" s="452"/>
      <c r="V2356" s="452"/>
      <c r="W2356" s="452"/>
    </row>
    <row r="2357" spans="19:23" ht="15" customHeight="1" x14ac:dyDescent="0.45">
      <c r="S2357" s="452"/>
      <c r="T2357" s="452"/>
      <c r="U2357" s="452"/>
      <c r="V2357" s="452"/>
      <c r="W2357" s="452"/>
    </row>
    <row r="2358" spans="19:23" ht="15" customHeight="1" x14ac:dyDescent="0.45">
      <c r="S2358" s="452"/>
      <c r="T2358" s="452"/>
      <c r="U2358" s="452"/>
      <c r="V2358" s="452"/>
      <c r="W2358" s="452"/>
    </row>
    <row r="2359" spans="19:23" ht="15" customHeight="1" x14ac:dyDescent="0.45">
      <c r="S2359" s="452"/>
      <c r="T2359" s="452"/>
      <c r="U2359" s="452"/>
      <c r="V2359" s="452"/>
      <c r="W2359" s="452"/>
    </row>
    <row r="2360" spans="19:23" ht="15" customHeight="1" x14ac:dyDescent="0.45">
      <c r="S2360" s="452"/>
      <c r="T2360" s="452"/>
      <c r="U2360" s="452"/>
      <c r="V2360" s="452"/>
      <c r="W2360" s="452"/>
    </row>
    <row r="2361" spans="19:23" ht="15" customHeight="1" x14ac:dyDescent="0.45">
      <c r="S2361" s="452"/>
      <c r="T2361" s="452"/>
      <c r="U2361" s="452"/>
      <c r="V2361" s="452"/>
      <c r="W2361" s="452"/>
    </row>
    <row r="2362" spans="19:23" ht="15" customHeight="1" x14ac:dyDescent="0.45">
      <c r="S2362" s="452"/>
      <c r="T2362" s="452"/>
      <c r="U2362" s="452"/>
      <c r="V2362" s="452"/>
      <c r="W2362" s="452"/>
    </row>
    <row r="2363" spans="19:23" ht="15" customHeight="1" x14ac:dyDescent="0.45">
      <c r="S2363" s="452"/>
      <c r="T2363" s="452"/>
      <c r="U2363" s="452"/>
      <c r="V2363" s="452"/>
      <c r="W2363" s="452"/>
    </row>
    <row r="2364" spans="19:23" ht="15" customHeight="1" x14ac:dyDescent="0.45">
      <c r="S2364" s="452"/>
      <c r="T2364" s="452"/>
      <c r="U2364" s="452"/>
      <c r="V2364" s="452"/>
      <c r="W2364" s="452"/>
    </row>
    <row r="2365" spans="19:23" ht="15" customHeight="1" x14ac:dyDescent="0.45">
      <c r="S2365" s="452"/>
      <c r="T2365" s="452"/>
      <c r="U2365" s="452"/>
      <c r="V2365" s="452"/>
      <c r="W2365" s="452"/>
    </row>
    <row r="2366" spans="19:23" ht="15" customHeight="1" x14ac:dyDescent="0.45">
      <c r="S2366" s="452"/>
      <c r="T2366" s="452"/>
      <c r="U2366" s="452"/>
      <c r="V2366" s="452"/>
      <c r="W2366" s="452"/>
    </row>
    <row r="2367" spans="19:23" ht="15" customHeight="1" x14ac:dyDescent="0.45">
      <c r="S2367" s="452"/>
      <c r="T2367" s="452"/>
      <c r="U2367" s="452"/>
      <c r="V2367" s="452"/>
      <c r="W2367" s="452"/>
    </row>
    <row r="2368" spans="19:23" ht="15" customHeight="1" x14ac:dyDescent="0.45">
      <c r="S2368" s="452"/>
      <c r="T2368" s="452"/>
      <c r="U2368" s="452"/>
      <c r="V2368" s="452"/>
      <c r="W2368" s="452"/>
    </row>
    <row r="2369" spans="19:23" ht="15" customHeight="1" x14ac:dyDescent="0.45">
      <c r="S2369" s="452"/>
      <c r="T2369" s="452"/>
      <c r="U2369" s="452"/>
      <c r="V2369" s="452"/>
      <c r="W2369" s="452"/>
    </row>
    <row r="2370" spans="19:23" ht="15" customHeight="1" x14ac:dyDescent="0.45">
      <c r="S2370" s="452"/>
      <c r="T2370" s="452"/>
      <c r="U2370" s="452"/>
      <c r="V2370" s="452"/>
      <c r="W2370" s="452"/>
    </row>
    <row r="2371" spans="19:23" ht="15" customHeight="1" x14ac:dyDescent="0.45">
      <c r="S2371" s="452"/>
      <c r="T2371" s="452"/>
      <c r="U2371" s="452"/>
      <c r="V2371" s="452"/>
      <c r="W2371" s="452"/>
    </row>
    <row r="2372" spans="19:23" ht="15" customHeight="1" x14ac:dyDescent="0.45">
      <c r="S2372" s="452"/>
      <c r="T2372" s="452"/>
      <c r="U2372" s="452"/>
      <c r="V2372" s="452"/>
      <c r="W2372" s="452"/>
    </row>
    <row r="2373" spans="19:23" ht="15" customHeight="1" x14ac:dyDescent="0.45">
      <c r="S2373" s="452"/>
      <c r="T2373" s="452"/>
      <c r="U2373" s="452"/>
      <c r="V2373" s="452"/>
      <c r="W2373" s="452"/>
    </row>
    <row r="2374" spans="19:23" ht="15" customHeight="1" x14ac:dyDescent="0.45">
      <c r="S2374" s="452"/>
      <c r="T2374" s="452"/>
      <c r="U2374" s="452"/>
      <c r="V2374" s="452"/>
      <c r="W2374" s="452"/>
    </row>
    <row r="2375" spans="19:23" ht="15" customHeight="1" x14ac:dyDescent="0.45">
      <c r="S2375" s="452"/>
      <c r="T2375" s="452"/>
      <c r="U2375" s="452"/>
      <c r="V2375" s="452"/>
      <c r="W2375" s="452"/>
    </row>
    <row r="2376" spans="19:23" ht="15" customHeight="1" x14ac:dyDescent="0.45">
      <c r="S2376" s="452"/>
      <c r="T2376" s="452"/>
      <c r="U2376" s="452"/>
      <c r="V2376" s="452"/>
      <c r="W2376" s="452"/>
    </row>
    <row r="2377" spans="19:23" ht="15" customHeight="1" x14ac:dyDescent="0.45">
      <c r="S2377" s="452"/>
      <c r="T2377" s="452"/>
      <c r="U2377" s="452"/>
      <c r="V2377" s="452"/>
      <c r="W2377" s="452"/>
    </row>
    <row r="2378" spans="19:23" ht="15" customHeight="1" x14ac:dyDescent="0.45">
      <c r="S2378" s="452"/>
      <c r="T2378" s="452"/>
      <c r="U2378" s="452"/>
      <c r="V2378" s="452"/>
      <c r="W2378" s="452"/>
    </row>
    <row r="2379" spans="19:23" ht="15" customHeight="1" x14ac:dyDescent="0.45">
      <c r="S2379" s="452"/>
      <c r="T2379" s="452"/>
      <c r="U2379" s="452"/>
      <c r="V2379" s="452"/>
      <c r="W2379" s="452"/>
    </row>
    <row r="2380" spans="19:23" ht="15" customHeight="1" x14ac:dyDescent="0.45">
      <c r="S2380" s="452"/>
      <c r="T2380" s="452"/>
      <c r="U2380" s="452"/>
      <c r="V2380" s="452"/>
      <c r="W2380" s="452"/>
    </row>
    <row r="2381" spans="19:23" ht="15" customHeight="1" x14ac:dyDescent="0.45">
      <c r="S2381" s="452"/>
      <c r="T2381" s="452"/>
      <c r="U2381" s="452"/>
      <c r="V2381" s="452"/>
      <c r="W2381" s="452"/>
    </row>
    <row r="2382" spans="19:23" ht="15" customHeight="1" x14ac:dyDescent="0.45">
      <c r="S2382" s="452"/>
      <c r="T2382" s="452"/>
      <c r="U2382" s="452"/>
      <c r="V2382" s="452"/>
      <c r="W2382" s="452"/>
    </row>
    <row r="2383" spans="19:23" ht="15" customHeight="1" x14ac:dyDescent="0.45">
      <c r="S2383" s="452"/>
      <c r="T2383" s="452"/>
      <c r="U2383" s="452"/>
      <c r="V2383" s="452"/>
      <c r="W2383" s="452"/>
    </row>
    <row r="2384" spans="19:23" ht="15" customHeight="1" x14ac:dyDescent="0.45">
      <c r="S2384" s="452"/>
      <c r="T2384" s="452"/>
      <c r="U2384" s="452"/>
      <c r="V2384" s="452"/>
      <c r="W2384" s="452"/>
    </row>
    <row r="2385" spans="19:23" ht="15" customHeight="1" x14ac:dyDescent="0.45">
      <c r="S2385" s="452"/>
      <c r="T2385" s="452"/>
      <c r="U2385" s="452"/>
      <c r="V2385" s="452"/>
      <c r="W2385" s="452"/>
    </row>
    <row r="2386" spans="19:23" ht="15" customHeight="1" x14ac:dyDescent="0.45">
      <c r="S2386" s="452"/>
      <c r="T2386" s="452"/>
      <c r="U2386" s="452"/>
      <c r="V2386" s="452"/>
      <c r="W2386" s="452"/>
    </row>
    <row r="2387" spans="19:23" ht="15" customHeight="1" x14ac:dyDescent="0.45">
      <c r="S2387" s="452"/>
      <c r="T2387" s="452"/>
      <c r="U2387" s="452"/>
      <c r="V2387" s="452"/>
      <c r="W2387" s="452"/>
    </row>
    <row r="2388" spans="19:23" ht="15" customHeight="1" x14ac:dyDescent="0.45">
      <c r="S2388" s="452"/>
      <c r="T2388" s="452"/>
      <c r="U2388" s="452"/>
      <c r="V2388" s="452"/>
      <c r="W2388" s="452"/>
    </row>
    <row r="2389" spans="19:23" ht="15" customHeight="1" x14ac:dyDescent="0.45">
      <c r="S2389" s="452"/>
      <c r="T2389" s="452"/>
      <c r="U2389" s="452"/>
      <c r="V2389" s="452"/>
      <c r="W2389" s="452"/>
    </row>
    <row r="2390" spans="19:23" ht="15" customHeight="1" x14ac:dyDescent="0.45">
      <c r="S2390" s="452"/>
      <c r="T2390" s="452"/>
      <c r="U2390" s="452"/>
      <c r="V2390" s="452"/>
      <c r="W2390" s="452"/>
    </row>
    <row r="2391" spans="19:23" ht="15" customHeight="1" x14ac:dyDescent="0.45">
      <c r="S2391" s="452"/>
      <c r="T2391" s="452"/>
      <c r="U2391" s="452"/>
      <c r="V2391" s="452"/>
      <c r="W2391" s="452"/>
    </row>
    <row r="2392" spans="19:23" ht="15" customHeight="1" x14ac:dyDescent="0.45">
      <c r="S2392" s="452"/>
      <c r="T2392" s="452"/>
      <c r="U2392" s="452"/>
      <c r="V2392" s="452"/>
      <c r="W2392" s="452"/>
    </row>
    <row r="2393" spans="19:23" ht="15" customHeight="1" x14ac:dyDescent="0.45">
      <c r="S2393" s="452"/>
      <c r="T2393" s="452"/>
      <c r="U2393" s="452"/>
      <c r="V2393" s="452"/>
      <c r="W2393" s="452"/>
    </row>
    <row r="2394" spans="19:23" ht="15" customHeight="1" x14ac:dyDescent="0.45">
      <c r="S2394" s="452"/>
      <c r="T2394" s="452"/>
      <c r="U2394" s="452"/>
      <c r="V2394" s="452"/>
      <c r="W2394" s="452"/>
    </row>
    <row r="2395" spans="19:23" ht="15" customHeight="1" x14ac:dyDescent="0.45">
      <c r="S2395" s="452"/>
      <c r="T2395" s="452"/>
      <c r="U2395" s="452"/>
      <c r="V2395" s="452"/>
      <c r="W2395" s="452"/>
    </row>
    <row r="2396" spans="19:23" ht="15" customHeight="1" x14ac:dyDescent="0.45">
      <c r="S2396" s="452"/>
      <c r="T2396" s="452"/>
      <c r="U2396" s="452"/>
      <c r="V2396" s="452"/>
      <c r="W2396" s="452"/>
    </row>
    <row r="2397" spans="19:23" ht="15" customHeight="1" x14ac:dyDescent="0.45">
      <c r="S2397" s="452"/>
      <c r="T2397" s="452"/>
      <c r="U2397" s="452"/>
      <c r="V2397" s="452"/>
      <c r="W2397" s="452"/>
    </row>
    <row r="2398" spans="19:23" ht="15" customHeight="1" x14ac:dyDescent="0.45">
      <c r="S2398" s="452"/>
      <c r="T2398" s="452"/>
      <c r="U2398" s="452"/>
      <c r="V2398" s="452"/>
      <c r="W2398" s="452"/>
    </row>
    <row r="2399" spans="19:23" ht="15" customHeight="1" x14ac:dyDescent="0.45">
      <c r="S2399" s="452"/>
      <c r="T2399" s="452"/>
      <c r="U2399" s="452"/>
      <c r="V2399" s="452"/>
      <c r="W2399" s="452"/>
    </row>
    <row r="2400" spans="19:23" ht="15" customHeight="1" x14ac:dyDescent="0.45">
      <c r="S2400" s="452"/>
      <c r="T2400" s="452"/>
      <c r="U2400" s="452"/>
      <c r="V2400" s="452"/>
      <c r="W2400" s="452"/>
    </row>
    <row r="2401" spans="19:23" ht="15" customHeight="1" x14ac:dyDescent="0.45">
      <c r="S2401" s="452"/>
      <c r="T2401" s="452"/>
      <c r="U2401" s="452"/>
      <c r="V2401" s="452"/>
      <c r="W2401" s="452"/>
    </row>
    <row r="2402" spans="19:23" ht="15" customHeight="1" x14ac:dyDescent="0.45">
      <c r="S2402" s="452"/>
      <c r="T2402" s="452"/>
      <c r="U2402" s="452"/>
      <c r="V2402" s="452"/>
      <c r="W2402" s="452"/>
    </row>
    <row r="2403" spans="19:23" ht="15" customHeight="1" x14ac:dyDescent="0.45">
      <c r="S2403" s="452"/>
      <c r="T2403" s="452"/>
      <c r="U2403" s="452"/>
      <c r="V2403" s="452"/>
      <c r="W2403" s="452"/>
    </row>
    <row r="2404" spans="19:23" ht="15" customHeight="1" x14ac:dyDescent="0.45">
      <c r="S2404" s="452"/>
      <c r="T2404" s="452"/>
      <c r="U2404" s="452"/>
      <c r="V2404" s="452"/>
      <c r="W2404" s="452"/>
    </row>
    <row r="2405" spans="19:23" ht="15" customHeight="1" x14ac:dyDescent="0.45">
      <c r="S2405" s="452"/>
      <c r="T2405" s="452"/>
      <c r="U2405" s="452"/>
      <c r="V2405" s="452"/>
      <c r="W2405" s="452"/>
    </row>
    <row r="2406" spans="19:23" ht="15" customHeight="1" x14ac:dyDescent="0.45">
      <c r="S2406" s="452"/>
      <c r="T2406" s="452"/>
      <c r="U2406" s="452"/>
      <c r="V2406" s="452"/>
      <c r="W2406" s="452"/>
    </row>
    <row r="2407" spans="19:23" ht="15" customHeight="1" x14ac:dyDescent="0.45">
      <c r="S2407" s="452"/>
      <c r="T2407" s="452"/>
      <c r="U2407" s="452"/>
      <c r="V2407" s="452"/>
      <c r="W2407" s="452"/>
    </row>
    <row r="2408" spans="19:23" ht="15" customHeight="1" x14ac:dyDescent="0.45">
      <c r="S2408" s="452"/>
      <c r="T2408" s="452"/>
      <c r="U2408" s="452"/>
      <c r="V2408" s="452"/>
      <c r="W2408" s="452"/>
    </row>
    <row r="2409" spans="19:23" ht="15" customHeight="1" x14ac:dyDescent="0.45">
      <c r="S2409" s="452"/>
      <c r="T2409" s="452"/>
      <c r="U2409" s="452"/>
      <c r="V2409" s="452"/>
      <c r="W2409" s="452"/>
    </row>
    <row r="2410" spans="19:23" ht="15" customHeight="1" x14ac:dyDescent="0.45">
      <c r="S2410" s="452"/>
      <c r="T2410" s="452"/>
      <c r="U2410" s="452"/>
      <c r="V2410" s="452"/>
      <c r="W2410" s="452"/>
    </row>
    <row r="2411" spans="19:23" ht="15" customHeight="1" x14ac:dyDescent="0.45">
      <c r="S2411" s="452"/>
      <c r="T2411" s="452"/>
      <c r="U2411" s="452"/>
      <c r="V2411" s="452"/>
      <c r="W2411" s="452"/>
    </row>
    <row r="2412" spans="19:23" ht="15" customHeight="1" x14ac:dyDescent="0.45">
      <c r="S2412" s="452"/>
      <c r="T2412" s="452"/>
      <c r="U2412" s="452"/>
      <c r="V2412" s="452"/>
      <c r="W2412" s="452"/>
    </row>
    <row r="2413" spans="19:23" ht="15" customHeight="1" x14ac:dyDescent="0.45">
      <c r="S2413" s="452"/>
      <c r="T2413" s="452"/>
      <c r="U2413" s="452"/>
      <c r="V2413" s="452"/>
      <c r="W2413" s="452"/>
    </row>
    <row r="2414" spans="19:23" ht="15" customHeight="1" x14ac:dyDescent="0.45">
      <c r="S2414" s="452"/>
      <c r="T2414" s="452"/>
      <c r="U2414" s="452"/>
      <c r="V2414" s="452"/>
      <c r="W2414" s="452"/>
    </row>
    <row r="2415" spans="19:23" ht="15" customHeight="1" x14ac:dyDescent="0.45">
      <c r="S2415" s="452"/>
      <c r="T2415" s="452"/>
      <c r="U2415" s="452"/>
      <c r="V2415" s="452"/>
      <c r="W2415" s="452"/>
    </row>
    <row r="2416" spans="19:23" ht="15" customHeight="1" x14ac:dyDescent="0.45">
      <c r="S2416" s="452"/>
      <c r="T2416" s="452"/>
      <c r="U2416" s="452"/>
      <c r="V2416" s="452"/>
      <c r="W2416" s="452"/>
    </row>
    <row r="2417" spans="19:23" ht="15" customHeight="1" x14ac:dyDescent="0.45">
      <c r="S2417" s="452"/>
      <c r="T2417" s="452"/>
      <c r="U2417" s="452"/>
      <c r="V2417" s="452"/>
      <c r="W2417" s="452"/>
    </row>
    <row r="2418" spans="19:23" ht="15" customHeight="1" x14ac:dyDescent="0.45">
      <c r="S2418" s="452"/>
      <c r="T2418" s="452"/>
      <c r="U2418" s="452"/>
      <c r="V2418" s="452"/>
      <c r="W2418" s="452"/>
    </row>
    <row r="2419" spans="19:23" ht="15" customHeight="1" x14ac:dyDescent="0.45">
      <c r="S2419" s="452"/>
      <c r="T2419" s="452"/>
      <c r="U2419" s="452"/>
      <c r="V2419" s="452"/>
      <c r="W2419" s="452"/>
    </row>
    <row r="2420" spans="19:23" ht="15" customHeight="1" x14ac:dyDescent="0.45">
      <c r="S2420" s="452"/>
      <c r="T2420" s="452"/>
      <c r="U2420" s="452"/>
      <c r="V2420" s="452"/>
      <c r="W2420" s="452"/>
    </row>
    <row r="2421" spans="19:23" ht="15" customHeight="1" x14ac:dyDescent="0.45">
      <c r="S2421" s="452"/>
      <c r="T2421" s="452"/>
      <c r="U2421" s="452"/>
      <c r="V2421" s="452"/>
      <c r="W2421" s="452"/>
    </row>
    <row r="2422" spans="19:23" ht="15" customHeight="1" x14ac:dyDescent="0.45">
      <c r="S2422" s="452"/>
      <c r="T2422" s="452"/>
      <c r="U2422" s="452"/>
      <c r="V2422" s="452"/>
      <c r="W2422" s="452"/>
    </row>
    <row r="2423" spans="19:23" ht="15" customHeight="1" x14ac:dyDescent="0.45">
      <c r="S2423" s="452"/>
      <c r="T2423" s="452"/>
      <c r="U2423" s="452"/>
      <c r="V2423" s="452"/>
      <c r="W2423" s="452"/>
    </row>
    <row r="2424" spans="19:23" ht="15" customHeight="1" x14ac:dyDescent="0.45">
      <c r="S2424" s="452"/>
      <c r="T2424" s="452"/>
      <c r="U2424" s="452"/>
      <c r="V2424" s="452"/>
      <c r="W2424" s="452"/>
    </row>
    <row r="2425" spans="19:23" ht="15" customHeight="1" x14ac:dyDescent="0.45">
      <c r="S2425" s="452"/>
      <c r="T2425" s="452"/>
      <c r="U2425" s="452"/>
      <c r="V2425" s="452"/>
      <c r="W2425" s="452"/>
    </row>
    <row r="2426" spans="19:23" ht="15" customHeight="1" x14ac:dyDescent="0.45">
      <c r="S2426" s="452"/>
      <c r="T2426" s="452"/>
      <c r="U2426" s="452"/>
      <c r="V2426" s="452"/>
      <c r="W2426" s="452"/>
    </row>
    <row r="2427" spans="19:23" ht="15" customHeight="1" x14ac:dyDescent="0.45">
      <c r="S2427" s="452"/>
      <c r="T2427" s="452"/>
      <c r="U2427" s="452"/>
      <c r="V2427" s="452"/>
      <c r="W2427" s="452"/>
    </row>
    <row r="2428" spans="19:23" ht="15" customHeight="1" x14ac:dyDescent="0.45">
      <c r="S2428" s="452"/>
      <c r="T2428" s="452"/>
      <c r="U2428" s="452"/>
      <c r="V2428" s="452"/>
      <c r="W2428" s="452"/>
    </row>
    <row r="2429" spans="19:23" ht="15" customHeight="1" x14ac:dyDescent="0.45">
      <c r="S2429" s="452"/>
      <c r="T2429" s="452"/>
      <c r="U2429" s="452"/>
      <c r="V2429" s="452"/>
      <c r="W2429" s="452"/>
    </row>
    <row r="2430" spans="19:23" ht="15" customHeight="1" x14ac:dyDescent="0.45">
      <c r="S2430" s="452"/>
      <c r="T2430" s="452"/>
      <c r="U2430" s="452"/>
      <c r="V2430" s="452"/>
      <c r="W2430" s="452"/>
    </row>
    <row r="2431" spans="19:23" ht="15" customHeight="1" x14ac:dyDescent="0.45">
      <c r="S2431" s="452"/>
      <c r="T2431" s="452"/>
      <c r="U2431" s="452"/>
      <c r="V2431" s="452"/>
      <c r="W2431" s="452"/>
    </row>
    <row r="2432" spans="19:23" ht="15" customHeight="1" x14ac:dyDescent="0.45">
      <c r="S2432" s="452"/>
      <c r="T2432" s="452"/>
      <c r="U2432" s="452"/>
      <c r="V2432" s="452"/>
      <c r="W2432" s="452"/>
    </row>
    <row r="2433" spans="19:23" ht="15" customHeight="1" x14ac:dyDescent="0.45">
      <c r="S2433" s="452"/>
      <c r="T2433" s="452"/>
      <c r="U2433" s="452"/>
      <c r="V2433" s="452"/>
      <c r="W2433" s="452"/>
    </row>
    <row r="2434" spans="19:23" ht="15" customHeight="1" x14ac:dyDescent="0.45">
      <c r="S2434" s="452"/>
      <c r="T2434" s="452"/>
      <c r="U2434" s="452"/>
      <c r="V2434" s="452"/>
      <c r="W2434" s="452"/>
    </row>
    <row r="2435" spans="19:23" ht="15" customHeight="1" x14ac:dyDescent="0.45">
      <c r="S2435" s="452"/>
      <c r="T2435" s="452"/>
      <c r="U2435" s="452"/>
      <c r="V2435" s="452"/>
      <c r="W2435" s="452"/>
    </row>
    <row r="2436" spans="19:23" ht="15" customHeight="1" x14ac:dyDescent="0.45">
      <c r="S2436" s="452"/>
      <c r="T2436" s="452"/>
      <c r="U2436" s="452"/>
      <c r="V2436" s="452"/>
      <c r="W2436" s="452"/>
    </row>
    <row r="2437" spans="19:23" ht="15" customHeight="1" x14ac:dyDescent="0.45">
      <c r="S2437" s="452"/>
      <c r="T2437" s="452"/>
      <c r="U2437" s="452"/>
      <c r="V2437" s="452"/>
      <c r="W2437" s="452"/>
    </row>
    <row r="2438" spans="19:23" ht="15" customHeight="1" x14ac:dyDescent="0.45">
      <c r="S2438" s="452"/>
      <c r="T2438" s="452"/>
      <c r="U2438" s="452"/>
      <c r="V2438" s="452"/>
      <c r="W2438" s="452"/>
    </row>
    <row r="2439" spans="19:23" ht="15" customHeight="1" x14ac:dyDescent="0.45">
      <c r="S2439" s="452"/>
      <c r="T2439" s="452"/>
      <c r="U2439" s="452"/>
      <c r="V2439" s="452"/>
      <c r="W2439" s="452"/>
    </row>
    <row r="2440" spans="19:23" ht="15" customHeight="1" x14ac:dyDescent="0.45">
      <c r="S2440" s="452"/>
      <c r="T2440" s="452"/>
      <c r="U2440" s="452"/>
      <c r="V2440" s="452"/>
      <c r="W2440" s="452"/>
    </row>
    <row r="2441" spans="19:23" ht="15" customHeight="1" x14ac:dyDescent="0.45">
      <c r="S2441" s="452"/>
      <c r="T2441" s="452"/>
      <c r="U2441" s="452"/>
      <c r="V2441" s="452"/>
      <c r="W2441" s="452"/>
    </row>
    <row r="2442" spans="19:23" ht="15" customHeight="1" x14ac:dyDescent="0.45">
      <c r="S2442" s="452"/>
      <c r="T2442" s="452"/>
      <c r="U2442" s="452"/>
      <c r="V2442" s="452"/>
      <c r="W2442" s="452"/>
    </row>
    <row r="2443" spans="19:23" ht="15" customHeight="1" x14ac:dyDescent="0.45">
      <c r="S2443" s="452"/>
      <c r="T2443" s="452"/>
      <c r="U2443" s="452"/>
      <c r="V2443" s="452"/>
      <c r="W2443" s="452"/>
    </row>
    <row r="2444" spans="19:23" ht="15" customHeight="1" x14ac:dyDescent="0.45">
      <c r="S2444" s="452"/>
      <c r="T2444" s="452"/>
      <c r="U2444" s="452"/>
      <c r="V2444" s="452"/>
      <c r="W2444" s="452"/>
    </row>
    <row r="2445" spans="19:23" ht="15" customHeight="1" x14ac:dyDescent="0.45">
      <c r="S2445" s="452"/>
      <c r="T2445" s="452"/>
      <c r="U2445" s="452"/>
      <c r="V2445" s="452"/>
      <c r="W2445" s="452"/>
    </row>
    <row r="2446" spans="19:23" ht="15" customHeight="1" x14ac:dyDescent="0.45">
      <c r="S2446" s="452"/>
      <c r="T2446" s="452"/>
      <c r="U2446" s="452"/>
      <c r="V2446" s="452"/>
      <c r="W2446" s="452"/>
    </row>
    <row r="2447" spans="19:23" ht="15" customHeight="1" x14ac:dyDescent="0.45">
      <c r="S2447" s="452"/>
      <c r="T2447" s="452"/>
      <c r="U2447" s="452"/>
      <c r="V2447" s="452"/>
      <c r="W2447" s="452"/>
    </row>
    <row r="2448" spans="19:23" ht="15" customHeight="1" x14ac:dyDescent="0.45">
      <c r="S2448" s="452"/>
      <c r="T2448" s="452"/>
      <c r="U2448" s="452"/>
      <c r="V2448" s="452"/>
      <c r="W2448" s="452"/>
    </row>
    <row r="2449" spans="19:23" ht="15" customHeight="1" x14ac:dyDescent="0.45">
      <c r="S2449" s="452"/>
      <c r="T2449" s="452"/>
      <c r="U2449" s="452"/>
      <c r="V2449" s="452"/>
      <c r="W2449" s="452"/>
    </row>
    <row r="2450" spans="19:23" ht="15" customHeight="1" x14ac:dyDescent="0.45">
      <c r="S2450" s="452"/>
      <c r="T2450" s="452"/>
      <c r="U2450" s="452"/>
      <c r="V2450" s="452"/>
      <c r="W2450" s="452"/>
    </row>
    <row r="2451" spans="19:23" ht="15" customHeight="1" x14ac:dyDescent="0.45">
      <c r="S2451" s="452"/>
      <c r="T2451" s="452"/>
      <c r="U2451" s="452"/>
      <c r="V2451" s="452"/>
      <c r="W2451" s="452"/>
    </row>
    <row r="2452" spans="19:23" ht="15" customHeight="1" x14ac:dyDescent="0.45">
      <c r="S2452" s="452"/>
      <c r="T2452" s="452"/>
      <c r="U2452" s="452"/>
      <c r="V2452" s="452"/>
      <c r="W2452" s="452"/>
    </row>
    <row r="2453" spans="19:23" ht="15" customHeight="1" x14ac:dyDescent="0.45">
      <c r="S2453" s="452"/>
      <c r="T2453" s="452"/>
      <c r="U2453" s="452"/>
      <c r="V2453" s="452"/>
      <c r="W2453" s="452"/>
    </row>
    <row r="2454" spans="19:23" ht="15" customHeight="1" x14ac:dyDescent="0.45">
      <c r="S2454" s="452"/>
      <c r="T2454" s="452"/>
      <c r="U2454" s="452"/>
      <c r="V2454" s="452"/>
      <c r="W2454" s="452"/>
    </row>
    <row r="2455" spans="19:23" ht="15" customHeight="1" x14ac:dyDescent="0.45">
      <c r="S2455" s="452"/>
      <c r="T2455" s="452"/>
      <c r="U2455" s="452"/>
      <c r="V2455" s="452"/>
      <c r="W2455" s="452"/>
    </row>
    <row r="2456" spans="19:23" ht="15" customHeight="1" x14ac:dyDescent="0.45">
      <c r="S2456" s="452"/>
      <c r="T2456" s="452"/>
      <c r="U2456" s="452"/>
      <c r="V2456" s="452"/>
      <c r="W2456" s="452"/>
    </row>
    <row r="2457" spans="19:23" ht="15" customHeight="1" x14ac:dyDescent="0.45">
      <c r="S2457" s="452"/>
      <c r="T2457" s="452"/>
      <c r="U2457" s="452"/>
      <c r="V2457" s="452"/>
      <c r="W2457" s="452"/>
    </row>
    <row r="2458" spans="19:23" ht="15" customHeight="1" x14ac:dyDescent="0.45">
      <c r="S2458" s="452"/>
      <c r="T2458" s="452"/>
      <c r="U2458" s="452"/>
      <c r="V2458" s="452"/>
      <c r="W2458" s="452"/>
    </row>
    <row r="2459" spans="19:23" ht="15" customHeight="1" x14ac:dyDescent="0.45">
      <c r="S2459" s="452"/>
      <c r="T2459" s="452"/>
      <c r="U2459" s="452"/>
      <c r="V2459" s="452"/>
      <c r="W2459" s="452"/>
    </row>
    <row r="2460" spans="19:23" ht="15" customHeight="1" x14ac:dyDescent="0.45">
      <c r="S2460" s="452"/>
      <c r="T2460" s="452"/>
      <c r="U2460" s="452"/>
      <c r="V2460" s="452"/>
      <c r="W2460" s="452"/>
    </row>
    <row r="2461" spans="19:23" ht="15" customHeight="1" x14ac:dyDescent="0.45">
      <c r="S2461" s="452"/>
      <c r="T2461" s="452"/>
      <c r="U2461" s="452"/>
      <c r="V2461" s="452"/>
      <c r="W2461" s="452"/>
    </row>
    <row r="2462" spans="19:23" ht="15" customHeight="1" x14ac:dyDescent="0.45">
      <c r="S2462" s="452"/>
      <c r="T2462" s="452"/>
      <c r="U2462" s="452"/>
      <c r="V2462" s="452"/>
      <c r="W2462" s="452"/>
    </row>
    <row r="2463" spans="19:23" ht="15" customHeight="1" x14ac:dyDescent="0.45">
      <c r="S2463" s="452"/>
      <c r="T2463" s="452"/>
      <c r="U2463" s="452"/>
      <c r="V2463" s="452"/>
      <c r="W2463" s="452"/>
    </row>
    <row r="2464" spans="19:23" ht="15" customHeight="1" x14ac:dyDescent="0.45">
      <c r="S2464" s="452"/>
      <c r="T2464" s="452"/>
      <c r="U2464" s="452"/>
      <c r="V2464" s="452"/>
      <c r="W2464" s="452"/>
    </row>
    <row r="2465" spans="19:23" ht="15" customHeight="1" x14ac:dyDescent="0.45">
      <c r="S2465" s="452"/>
      <c r="T2465" s="452"/>
      <c r="U2465" s="452"/>
      <c r="V2465" s="452"/>
      <c r="W2465" s="452"/>
    </row>
    <row r="2466" spans="19:23" ht="15" customHeight="1" x14ac:dyDescent="0.45">
      <c r="S2466" s="452"/>
      <c r="T2466" s="452"/>
      <c r="U2466" s="452"/>
      <c r="V2466" s="452"/>
      <c r="W2466" s="452"/>
    </row>
    <row r="2467" spans="19:23" ht="15" customHeight="1" x14ac:dyDescent="0.45">
      <c r="S2467" s="452"/>
      <c r="T2467" s="452"/>
      <c r="U2467" s="452"/>
      <c r="V2467" s="452"/>
      <c r="W2467" s="452"/>
    </row>
    <row r="2468" spans="19:23" ht="15" customHeight="1" x14ac:dyDescent="0.45">
      <c r="S2468" s="452"/>
      <c r="T2468" s="452"/>
      <c r="U2468" s="452"/>
      <c r="V2468" s="452"/>
      <c r="W2468" s="452"/>
    </row>
    <row r="2469" spans="19:23" ht="15" customHeight="1" x14ac:dyDescent="0.45">
      <c r="S2469" s="452"/>
      <c r="T2469" s="452"/>
      <c r="U2469" s="452"/>
      <c r="V2469" s="452"/>
      <c r="W2469" s="452"/>
    </row>
    <row r="2470" spans="19:23" ht="15" customHeight="1" x14ac:dyDescent="0.45">
      <c r="S2470" s="452"/>
      <c r="T2470" s="452"/>
      <c r="U2470" s="452"/>
      <c r="V2470" s="452"/>
      <c r="W2470" s="452"/>
    </row>
    <row r="2471" spans="19:23" ht="15" customHeight="1" x14ac:dyDescent="0.45">
      <c r="S2471" s="452"/>
      <c r="T2471" s="452"/>
      <c r="U2471" s="452"/>
      <c r="V2471" s="452"/>
      <c r="W2471" s="452"/>
    </row>
    <row r="2472" spans="19:23" ht="15" customHeight="1" x14ac:dyDescent="0.45">
      <c r="S2472" s="452"/>
      <c r="T2472" s="452"/>
      <c r="U2472" s="452"/>
      <c r="V2472" s="452"/>
      <c r="W2472" s="452"/>
    </row>
    <row r="2473" spans="19:23" ht="15" customHeight="1" x14ac:dyDescent="0.45">
      <c r="S2473" s="452"/>
      <c r="T2473" s="452"/>
      <c r="U2473" s="452"/>
      <c r="V2473" s="452"/>
      <c r="W2473" s="452"/>
    </row>
    <row r="2474" spans="19:23" ht="15" customHeight="1" x14ac:dyDescent="0.45">
      <c r="S2474" s="452"/>
      <c r="T2474" s="452"/>
      <c r="U2474" s="452"/>
      <c r="V2474" s="452"/>
      <c r="W2474" s="452"/>
    </row>
    <row r="2475" spans="19:23" ht="15" customHeight="1" x14ac:dyDescent="0.45">
      <c r="S2475" s="452"/>
      <c r="T2475" s="452"/>
      <c r="U2475" s="452"/>
      <c r="V2475" s="452"/>
      <c r="W2475" s="452"/>
    </row>
    <row r="2476" spans="19:23" ht="15" customHeight="1" x14ac:dyDescent="0.45">
      <c r="S2476" s="452"/>
      <c r="T2476" s="452"/>
      <c r="U2476" s="452"/>
      <c r="V2476" s="452"/>
      <c r="W2476" s="452"/>
    </row>
    <row r="2477" spans="19:23" ht="15" customHeight="1" x14ac:dyDescent="0.45">
      <c r="S2477" s="452"/>
      <c r="T2477" s="452"/>
      <c r="U2477" s="452"/>
      <c r="V2477" s="452"/>
      <c r="W2477" s="452"/>
    </row>
    <row r="2478" spans="19:23" ht="15" customHeight="1" x14ac:dyDescent="0.45">
      <c r="S2478" s="452"/>
      <c r="T2478" s="452"/>
      <c r="U2478" s="452"/>
      <c r="V2478" s="452"/>
      <c r="W2478" s="452"/>
    </row>
    <row r="2479" spans="19:23" ht="15" customHeight="1" x14ac:dyDescent="0.45">
      <c r="S2479" s="452"/>
      <c r="T2479" s="452"/>
      <c r="U2479" s="452"/>
      <c r="V2479" s="452"/>
      <c r="W2479" s="452"/>
    </row>
    <row r="2480" spans="19:23" ht="15" customHeight="1" x14ac:dyDescent="0.45">
      <c r="S2480" s="452"/>
      <c r="T2480" s="452"/>
      <c r="U2480" s="452"/>
      <c r="V2480" s="452"/>
      <c r="W2480" s="452"/>
    </row>
    <row r="2481" spans="19:23" ht="15" customHeight="1" x14ac:dyDescent="0.45">
      <c r="S2481" s="452"/>
      <c r="T2481" s="452"/>
      <c r="U2481" s="452"/>
      <c r="V2481" s="452"/>
      <c r="W2481" s="452"/>
    </row>
    <row r="2482" spans="19:23" ht="15" customHeight="1" x14ac:dyDescent="0.45">
      <c r="S2482" s="452"/>
      <c r="T2482" s="452"/>
      <c r="U2482" s="452"/>
      <c r="V2482" s="452"/>
      <c r="W2482" s="452"/>
    </row>
    <row r="2483" spans="19:23" ht="15" customHeight="1" x14ac:dyDescent="0.45">
      <c r="S2483" s="452"/>
      <c r="T2483" s="452"/>
      <c r="U2483" s="452"/>
      <c r="V2483" s="452"/>
      <c r="W2483" s="452"/>
    </row>
    <row r="2484" spans="19:23" ht="15" customHeight="1" x14ac:dyDescent="0.45">
      <c r="S2484" s="452"/>
      <c r="T2484" s="452"/>
      <c r="U2484" s="452"/>
      <c r="V2484" s="452"/>
      <c r="W2484" s="452"/>
    </row>
    <row r="2485" spans="19:23" ht="15" customHeight="1" x14ac:dyDescent="0.45">
      <c r="S2485" s="452"/>
      <c r="T2485" s="452"/>
      <c r="U2485" s="452"/>
      <c r="V2485" s="452"/>
      <c r="W2485" s="452"/>
    </row>
    <row r="2486" spans="19:23" ht="15" customHeight="1" x14ac:dyDescent="0.45">
      <c r="S2486" s="452"/>
      <c r="T2486" s="452"/>
      <c r="U2486" s="452"/>
      <c r="V2486" s="452"/>
      <c r="W2486" s="452"/>
    </row>
    <row r="2487" spans="19:23" ht="15" customHeight="1" x14ac:dyDescent="0.45">
      <c r="S2487" s="452"/>
      <c r="T2487" s="452"/>
      <c r="U2487" s="452"/>
      <c r="V2487" s="452"/>
      <c r="W2487" s="452"/>
    </row>
    <row r="2488" spans="19:23" ht="15" customHeight="1" x14ac:dyDescent="0.45">
      <c r="S2488" s="452"/>
      <c r="T2488" s="452"/>
      <c r="U2488" s="452"/>
      <c r="V2488" s="452"/>
      <c r="W2488" s="452"/>
    </row>
    <row r="2489" spans="19:23" ht="15" customHeight="1" x14ac:dyDescent="0.45">
      <c r="S2489" s="452"/>
      <c r="T2489" s="452"/>
      <c r="U2489" s="452"/>
      <c r="V2489" s="452"/>
      <c r="W2489" s="452"/>
    </row>
    <row r="2490" spans="19:23" ht="15" customHeight="1" x14ac:dyDescent="0.45">
      <c r="S2490" s="452"/>
      <c r="T2490" s="452"/>
      <c r="U2490" s="452"/>
      <c r="V2490" s="452"/>
      <c r="W2490" s="452"/>
    </row>
    <row r="2491" spans="19:23" ht="15" customHeight="1" x14ac:dyDescent="0.45">
      <c r="S2491" s="452"/>
      <c r="T2491" s="452"/>
      <c r="U2491" s="452"/>
      <c r="V2491" s="452"/>
      <c r="W2491" s="452"/>
    </row>
    <row r="2492" spans="19:23" ht="15" customHeight="1" x14ac:dyDescent="0.45">
      <c r="S2492" s="452"/>
      <c r="T2492" s="452"/>
      <c r="U2492" s="452"/>
      <c r="V2492" s="452"/>
      <c r="W2492" s="452"/>
    </row>
    <row r="2493" spans="19:23" ht="15" customHeight="1" x14ac:dyDescent="0.45">
      <c r="S2493" s="452"/>
      <c r="T2493" s="452"/>
      <c r="U2493" s="452"/>
      <c r="V2493" s="452"/>
      <c r="W2493" s="452"/>
    </row>
    <row r="2494" spans="19:23" ht="15" customHeight="1" x14ac:dyDescent="0.45">
      <c r="S2494" s="452"/>
      <c r="T2494" s="452"/>
      <c r="U2494" s="452"/>
      <c r="V2494" s="452"/>
      <c r="W2494" s="452"/>
    </row>
    <row r="2495" spans="19:23" ht="15" customHeight="1" x14ac:dyDescent="0.45">
      <c r="S2495" s="452"/>
      <c r="T2495" s="452"/>
      <c r="U2495" s="452"/>
      <c r="V2495" s="452"/>
      <c r="W2495" s="452"/>
    </row>
    <row r="2496" spans="19:23" ht="15" customHeight="1" x14ac:dyDescent="0.45">
      <c r="S2496" s="452"/>
      <c r="T2496" s="452"/>
      <c r="U2496" s="452"/>
      <c r="V2496" s="452"/>
      <c r="W2496" s="452"/>
    </row>
    <row r="2497" spans="19:23" ht="15" customHeight="1" x14ac:dyDescent="0.45">
      <c r="S2497" s="452"/>
      <c r="T2497" s="452"/>
      <c r="U2497" s="452"/>
      <c r="V2497" s="452"/>
      <c r="W2497" s="452"/>
    </row>
    <row r="2498" spans="19:23" ht="15" customHeight="1" x14ac:dyDescent="0.45">
      <c r="S2498" s="452"/>
      <c r="T2498" s="452"/>
      <c r="U2498" s="452"/>
      <c r="V2498" s="452"/>
      <c r="W2498" s="452"/>
    </row>
    <row r="2499" spans="19:23" ht="15" customHeight="1" x14ac:dyDescent="0.45">
      <c r="S2499" s="452"/>
      <c r="T2499" s="452"/>
      <c r="U2499" s="452"/>
      <c r="V2499" s="452"/>
      <c r="W2499" s="452"/>
    </row>
    <row r="2500" spans="19:23" ht="15" customHeight="1" x14ac:dyDescent="0.45">
      <c r="S2500" s="452"/>
      <c r="T2500" s="452"/>
      <c r="U2500" s="452"/>
      <c r="V2500" s="452"/>
      <c r="W2500" s="452"/>
    </row>
    <row r="2501" spans="19:23" ht="15" customHeight="1" x14ac:dyDescent="0.45">
      <c r="S2501" s="452"/>
      <c r="T2501" s="452"/>
      <c r="U2501" s="452"/>
      <c r="V2501" s="452"/>
      <c r="W2501" s="452"/>
    </row>
    <row r="2502" spans="19:23" ht="15" customHeight="1" x14ac:dyDescent="0.45">
      <c r="S2502" s="452"/>
      <c r="T2502" s="452"/>
      <c r="U2502" s="452"/>
      <c r="V2502" s="452"/>
      <c r="W2502" s="452"/>
    </row>
    <row r="2503" spans="19:23" ht="15" customHeight="1" x14ac:dyDescent="0.45">
      <c r="S2503" s="452"/>
      <c r="T2503" s="452"/>
      <c r="U2503" s="452"/>
      <c r="V2503" s="452"/>
      <c r="W2503" s="452"/>
    </row>
    <row r="2504" spans="19:23" ht="15" customHeight="1" x14ac:dyDescent="0.45">
      <c r="S2504" s="452"/>
      <c r="T2504" s="452"/>
      <c r="U2504" s="452"/>
      <c r="V2504" s="452"/>
      <c r="W2504" s="452"/>
    </row>
    <row r="2505" spans="19:23" ht="15" customHeight="1" x14ac:dyDescent="0.45">
      <c r="S2505" s="452"/>
      <c r="T2505" s="452"/>
      <c r="U2505" s="452"/>
      <c r="V2505" s="452"/>
      <c r="W2505" s="452"/>
    </row>
    <row r="2506" spans="19:23" ht="15" customHeight="1" x14ac:dyDescent="0.45">
      <c r="S2506" s="452"/>
      <c r="T2506" s="452"/>
      <c r="U2506" s="452"/>
      <c r="V2506" s="452"/>
      <c r="W2506" s="452"/>
    </row>
    <row r="2507" spans="19:23" ht="15" customHeight="1" x14ac:dyDescent="0.45">
      <c r="S2507" s="452"/>
      <c r="T2507" s="452"/>
      <c r="U2507" s="452"/>
      <c r="V2507" s="452"/>
      <c r="W2507" s="452"/>
    </row>
    <row r="2508" spans="19:23" ht="15" customHeight="1" x14ac:dyDescent="0.45">
      <c r="S2508" s="452"/>
      <c r="T2508" s="452"/>
      <c r="U2508" s="452"/>
      <c r="V2508" s="452"/>
      <c r="W2508" s="452"/>
    </row>
    <row r="2509" spans="19:23" ht="15" customHeight="1" x14ac:dyDescent="0.45">
      <c r="S2509" s="452"/>
      <c r="T2509" s="452"/>
      <c r="U2509" s="452"/>
      <c r="V2509" s="452"/>
      <c r="W2509" s="452"/>
    </row>
    <row r="2510" spans="19:23" ht="15" customHeight="1" x14ac:dyDescent="0.45">
      <c r="S2510" s="452"/>
      <c r="T2510" s="452"/>
      <c r="U2510" s="452"/>
      <c r="V2510" s="452"/>
      <c r="W2510" s="452"/>
    </row>
    <row r="2511" spans="19:23" ht="15" customHeight="1" x14ac:dyDescent="0.45">
      <c r="S2511" s="452"/>
      <c r="T2511" s="452"/>
      <c r="U2511" s="452"/>
      <c r="V2511" s="452"/>
      <c r="W2511" s="452"/>
    </row>
    <row r="2512" spans="19:23" ht="15" customHeight="1" x14ac:dyDescent="0.45">
      <c r="S2512" s="452"/>
      <c r="T2512" s="452"/>
      <c r="U2512" s="452"/>
      <c r="V2512" s="452"/>
      <c r="W2512" s="452"/>
    </row>
    <row r="2513" spans="19:23" ht="15" customHeight="1" x14ac:dyDescent="0.45">
      <c r="S2513" s="452"/>
      <c r="T2513" s="452"/>
      <c r="U2513" s="452"/>
      <c r="V2513" s="452"/>
      <c r="W2513" s="452"/>
    </row>
    <row r="2514" spans="19:23" ht="15" customHeight="1" x14ac:dyDescent="0.45">
      <c r="S2514" s="452"/>
      <c r="T2514" s="452"/>
      <c r="U2514" s="452"/>
      <c r="V2514" s="452"/>
      <c r="W2514" s="452"/>
    </row>
    <row r="2515" spans="19:23" ht="15" customHeight="1" x14ac:dyDescent="0.45">
      <c r="S2515" s="452"/>
      <c r="T2515" s="452"/>
      <c r="U2515" s="452"/>
      <c r="V2515" s="452"/>
      <c r="W2515" s="452"/>
    </row>
    <row r="2516" spans="19:23" ht="15" customHeight="1" x14ac:dyDescent="0.45">
      <c r="S2516" s="452"/>
      <c r="T2516" s="452"/>
      <c r="U2516" s="452"/>
      <c r="V2516" s="452"/>
      <c r="W2516" s="452"/>
    </row>
    <row r="2517" spans="19:23" ht="15" customHeight="1" x14ac:dyDescent="0.45">
      <c r="S2517" s="452"/>
      <c r="T2517" s="452"/>
      <c r="U2517" s="452"/>
      <c r="V2517" s="452"/>
      <c r="W2517" s="452"/>
    </row>
    <row r="2518" spans="19:23" ht="15" customHeight="1" x14ac:dyDescent="0.45">
      <c r="S2518" s="452"/>
      <c r="T2518" s="452"/>
      <c r="U2518" s="452"/>
      <c r="V2518" s="452"/>
      <c r="W2518" s="452"/>
    </row>
    <row r="2519" spans="19:23" ht="15" customHeight="1" x14ac:dyDescent="0.45">
      <c r="S2519" s="452"/>
      <c r="T2519" s="452"/>
      <c r="U2519" s="452"/>
      <c r="V2519" s="452"/>
      <c r="W2519" s="452"/>
    </row>
    <row r="2520" spans="19:23" ht="15" customHeight="1" x14ac:dyDescent="0.45">
      <c r="S2520" s="452"/>
      <c r="T2520" s="452"/>
      <c r="U2520" s="452"/>
      <c r="V2520" s="452"/>
      <c r="W2520" s="452"/>
    </row>
    <row r="2521" spans="19:23" ht="15" customHeight="1" x14ac:dyDescent="0.45">
      <c r="S2521" s="452"/>
      <c r="T2521" s="452"/>
      <c r="U2521" s="452"/>
      <c r="V2521" s="452"/>
      <c r="W2521" s="452"/>
    </row>
    <row r="2522" spans="19:23" ht="15" customHeight="1" x14ac:dyDescent="0.45">
      <c r="S2522" s="452"/>
      <c r="T2522" s="452"/>
      <c r="U2522" s="452"/>
      <c r="V2522" s="452"/>
      <c r="W2522" s="452"/>
    </row>
    <row r="2523" spans="19:23" ht="15" customHeight="1" x14ac:dyDescent="0.45">
      <c r="S2523" s="452"/>
      <c r="T2523" s="452"/>
      <c r="U2523" s="452"/>
      <c r="V2523" s="452"/>
      <c r="W2523" s="452"/>
    </row>
    <row r="2524" spans="19:23" ht="15" customHeight="1" x14ac:dyDescent="0.45">
      <c r="S2524" s="452"/>
      <c r="T2524" s="452"/>
      <c r="U2524" s="452"/>
      <c r="V2524" s="452"/>
      <c r="W2524" s="452"/>
    </row>
    <row r="2525" spans="19:23" ht="15" customHeight="1" x14ac:dyDescent="0.45">
      <c r="S2525" s="452"/>
      <c r="T2525" s="452"/>
      <c r="U2525" s="452"/>
      <c r="V2525" s="452"/>
      <c r="W2525" s="452"/>
    </row>
    <row r="2526" spans="19:23" ht="15" customHeight="1" x14ac:dyDescent="0.45">
      <c r="S2526" s="452"/>
      <c r="T2526" s="452"/>
      <c r="U2526" s="452"/>
      <c r="V2526" s="452"/>
      <c r="W2526" s="452"/>
    </row>
    <row r="2527" spans="19:23" ht="15" customHeight="1" x14ac:dyDescent="0.45">
      <c r="S2527" s="452"/>
      <c r="T2527" s="452"/>
      <c r="U2527" s="452"/>
      <c r="V2527" s="452"/>
      <c r="W2527" s="452"/>
    </row>
    <row r="2528" spans="19:23" ht="15" customHeight="1" x14ac:dyDescent="0.45">
      <c r="S2528" s="452"/>
      <c r="T2528" s="452"/>
      <c r="U2528" s="452"/>
      <c r="V2528" s="452"/>
      <c r="W2528" s="452"/>
    </row>
    <row r="2529" spans="19:23" ht="15" customHeight="1" x14ac:dyDescent="0.45">
      <c r="S2529" s="452"/>
      <c r="T2529" s="452"/>
      <c r="U2529" s="452"/>
      <c r="V2529" s="452"/>
      <c r="W2529" s="452"/>
    </row>
    <row r="2530" spans="19:23" ht="15" customHeight="1" x14ac:dyDescent="0.45">
      <c r="S2530" s="452"/>
      <c r="T2530" s="452"/>
      <c r="U2530" s="452"/>
      <c r="V2530" s="452"/>
      <c r="W2530" s="452"/>
    </row>
    <row r="2531" spans="19:23" ht="15" customHeight="1" x14ac:dyDescent="0.45">
      <c r="S2531" s="452"/>
      <c r="T2531" s="452"/>
      <c r="U2531" s="452"/>
      <c r="V2531" s="452"/>
      <c r="W2531" s="452"/>
    </row>
    <row r="2532" spans="19:23" ht="15" customHeight="1" x14ac:dyDescent="0.45">
      <c r="S2532" s="452"/>
      <c r="T2532" s="452"/>
      <c r="U2532" s="452"/>
      <c r="V2532" s="452"/>
      <c r="W2532" s="452"/>
    </row>
    <row r="2533" spans="19:23" ht="15" customHeight="1" x14ac:dyDescent="0.45">
      <c r="S2533" s="452"/>
      <c r="T2533" s="452"/>
      <c r="U2533" s="452"/>
      <c r="V2533" s="452"/>
      <c r="W2533" s="452"/>
    </row>
    <row r="2534" spans="19:23" ht="15" customHeight="1" x14ac:dyDescent="0.45">
      <c r="S2534" s="452"/>
      <c r="T2534" s="452"/>
      <c r="U2534" s="452"/>
      <c r="V2534" s="452"/>
      <c r="W2534" s="452"/>
    </row>
    <row r="2535" spans="19:23" ht="15" customHeight="1" x14ac:dyDescent="0.45">
      <c r="S2535" s="452"/>
      <c r="T2535" s="452"/>
      <c r="U2535" s="452"/>
      <c r="V2535" s="452"/>
      <c r="W2535" s="452"/>
    </row>
    <row r="2536" spans="19:23" ht="15" customHeight="1" x14ac:dyDescent="0.45">
      <c r="S2536" s="452"/>
      <c r="T2536" s="452"/>
      <c r="U2536" s="452"/>
      <c r="V2536" s="452"/>
      <c r="W2536" s="452"/>
    </row>
    <row r="2537" spans="19:23" ht="15" customHeight="1" x14ac:dyDescent="0.45">
      <c r="S2537" s="452"/>
      <c r="T2537" s="452"/>
      <c r="U2537" s="452"/>
      <c r="V2537" s="452"/>
      <c r="W2537" s="452"/>
    </row>
    <row r="2538" spans="19:23" ht="15" customHeight="1" x14ac:dyDescent="0.45">
      <c r="S2538" s="452"/>
      <c r="T2538" s="452"/>
      <c r="U2538" s="452"/>
      <c r="V2538" s="452"/>
      <c r="W2538" s="452"/>
    </row>
    <row r="2539" spans="19:23" ht="15" customHeight="1" x14ac:dyDescent="0.45">
      <c r="S2539" s="452"/>
      <c r="T2539" s="452"/>
      <c r="U2539" s="452"/>
      <c r="V2539" s="452"/>
      <c r="W2539" s="452"/>
    </row>
    <row r="2540" spans="19:23" ht="15" customHeight="1" x14ac:dyDescent="0.45">
      <c r="S2540" s="452"/>
      <c r="T2540" s="452"/>
      <c r="U2540" s="452"/>
      <c r="V2540" s="452"/>
      <c r="W2540" s="452"/>
    </row>
    <row r="2541" spans="19:23" ht="15" customHeight="1" x14ac:dyDescent="0.45">
      <c r="S2541" s="452"/>
      <c r="T2541" s="452"/>
      <c r="U2541" s="452"/>
      <c r="V2541" s="452"/>
      <c r="W2541" s="452"/>
    </row>
    <row r="2542" spans="19:23" ht="15" customHeight="1" x14ac:dyDescent="0.45">
      <c r="S2542" s="452"/>
      <c r="T2542" s="452"/>
      <c r="U2542" s="452"/>
      <c r="V2542" s="452"/>
      <c r="W2542" s="452"/>
    </row>
    <row r="2543" spans="19:23" ht="15" customHeight="1" x14ac:dyDescent="0.45">
      <c r="S2543" s="452"/>
      <c r="T2543" s="452"/>
      <c r="U2543" s="452"/>
      <c r="V2543" s="452"/>
      <c r="W2543" s="452"/>
    </row>
    <row r="2544" spans="19:23" ht="15" customHeight="1" x14ac:dyDescent="0.45">
      <c r="S2544" s="452"/>
      <c r="T2544" s="452"/>
      <c r="U2544" s="452"/>
      <c r="V2544" s="452"/>
      <c r="W2544" s="452"/>
    </row>
    <row r="2545" spans="19:23" ht="15" customHeight="1" x14ac:dyDescent="0.45">
      <c r="S2545" s="452"/>
      <c r="T2545" s="452"/>
      <c r="U2545" s="452"/>
      <c r="V2545" s="452"/>
      <c r="W2545" s="452"/>
    </row>
    <row r="2546" spans="19:23" ht="15" customHeight="1" x14ac:dyDescent="0.45">
      <c r="S2546" s="452"/>
      <c r="T2546" s="452"/>
      <c r="U2546" s="452"/>
      <c r="V2546" s="452"/>
      <c r="W2546" s="452"/>
    </row>
    <row r="2547" spans="19:23" ht="15" customHeight="1" x14ac:dyDescent="0.45">
      <c r="S2547" s="452"/>
      <c r="T2547" s="452"/>
      <c r="U2547" s="452"/>
      <c r="V2547" s="452"/>
      <c r="W2547" s="452"/>
    </row>
    <row r="2548" spans="19:23" ht="15" customHeight="1" x14ac:dyDescent="0.45">
      <c r="S2548" s="452"/>
      <c r="T2548" s="452"/>
      <c r="U2548" s="452"/>
      <c r="V2548" s="452"/>
      <c r="W2548" s="452"/>
    </row>
    <row r="2549" spans="19:23" ht="15" customHeight="1" x14ac:dyDescent="0.45">
      <c r="S2549" s="452"/>
      <c r="T2549" s="452"/>
      <c r="U2549" s="452"/>
      <c r="V2549" s="452"/>
      <c r="W2549" s="452"/>
    </row>
    <row r="2550" spans="19:23" ht="15" customHeight="1" x14ac:dyDescent="0.45">
      <c r="S2550" s="452"/>
      <c r="T2550" s="452"/>
      <c r="U2550" s="452"/>
      <c r="V2550" s="452"/>
      <c r="W2550" s="452"/>
    </row>
    <row r="2551" spans="19:23" ht="15" customHeight="1" x14ac:dyDescent="0.45">
      <c r="S2551" s="452"/>
      <c r="T2551" s="452"/>
      <c r="U2551" s="452"/>
      <c r="V2551" s="452"/>
      <c r="W2551" s="452"/>
    </row>
    <row r="2552" spans="19:23" ht="15" customHeight="1" x14ac:dyDescent="0.45">
      <c r="S2552" s="452"/>
      <c r="T2552" s="452"/>
      <c r="U2552" s="452"/>
      <c r="V2552" s="452"/>
      <c r="W2552" s="452"/>
    </row>
    <row r="2553" spans="19:23" ht="15" customHeight="1" x14ac:dyDescent="0.45">
      <c r="S2553" s="452"/>
      <c r="T2553" s="452"/>
      <c r="U2553" s="452"/>
      <c r="V2553" s="452"/>
      <c r="W2553" s="452"/>
    </row>
    <row r="2554" spans="19:23" ht="15" customHeight="1" x14ac:dyDescent="0.45">
      <c r="S2554" s="452"/>
      <c r="T2554" s="452"/>
      <c r="U2554" s="452"/>
      <c r="V2554" s="452"/>
      <c r="W2554" s="452"/>
    </row>
    <row r="2555" spans="19:23" ht="15" customHeight="1" x14ac:dyDescent="0.45">
      <c r="S2555" s="452"/>
      <c r="T2555" s="452"/>
      <c r="U2555" s="452"/>
      <c r="V2555" s="452"/>
      <c r="W2555" s="452"/>
    </row>
    <row r="2556" spans="19:23" ht="15" customHeight="1" x14ac:dyDescent="0.45">
      <c r="S2556" s="452"/>
      <c r="T2556" s="452"/>
      <c r="U2556" s="452"/>
      <c r="V2556" s="452"/>
      <c r="W2556" s="452"/>
    </row>
    <row r="2557" spans="19:23" ht="15" customHeight="1" x14ac:dyDescent="0.45">
      <c r="S2557" s="452"/>
      <c r="T2557" s="452"/>
      <c r="U2557" s="452"/>
      <c r="V2557" s="452"/>
      <c r="W2557" s="452"/>
    </row>
    <row r="2558" spans="19:23" ht="15" customHeight="1" x14ac:dyDescent="0.45">
      <c r="S2558" s="452"/>
      <c r="T2558" s="452"/>
      <c r="U2558" s="452"/>
      <c r="V2558" s="452"/>
      <c r="W2558" s="452"/>
    </row>
    <row r="2559" spans="19:23" ht="15" customHeight="1" x14ac:dyDescent="0.45">
      <c r="S2559" s="452"/>
      <c r="T2559" s="452"/>
      <c r="U2559" s="452"/>
      <c r="V2559" s="452"/>
      <c r="W2559" s="452"/>
    </row>
    <row r="2560" spans="19:23" ht="15" customHeight="1" x14ac:dyDescent="0.45">
      <c r="S2560" s="452"/>
      <c r="T2560" s="452"/>
      <c r="U2560" s="452"/>
      <c r="V2560" s="452"/>
      <c r="W2560" s="452"/>
    </row>
    <row r="2561" spans="19:23" ht="15" customHeight="1" x14ac:dyDescent="0.45">
      <c r="S2561" s="452"/>
      <c r="T2561" s="452"/>
      <c r="U2561" s="452"/>
      <c r="V2561" s="452"/>
      <c r="W2561" s="452"/>
    </row>
    <row r="2562" spans="19:23" ht="15" customHeight="1" x14ac:dyDescent="0.45">
      <c r="S2562" s="452"/>
      <c r="T2562" s="452"/>
      <c r="U2562" s="452"/>
      <c r="V2562" s="452"/>
      <c r="W2562" s="452"/>
    </row>
    <row r="2563" spans="19:23" ht="15" customHeight="1" x14ac:dyDescent="0.45">
      <c r="S2563" s="452"/>
      <c r="T2563" s="452"/>
      <c r="U2563" s="452"/>
      <c r="V2563" s="452"/>
      <c r="W2563" s="452"/>
    </row>
    <row r="2564" spans="19:23" ht="15" customHeight="1" x14ac:dyDescent="0.45">
      <c r="S2564" s="452"/>
      <c r="T2564" s="452"/>
      <c r="U2564" s="452"/>
      <c r="V2564" s="452"/>
      <c r="W2564" s="452"/>
    </row>
    <row r="2565" spans="19:23" ht="15" customHeight="1" x14ac:dyDescent="0.45">
      <c r="S2565" s="452"/>
      <c r="T2565" s="452"/>
      <c r="U2565" s="452"/>
      <c r="V2565" s="452"/>
      <c r="W2565" s="452"/>
    </row>
    <row r="2566" spans="19:23" ht="15" customHeight="1" x14ac:dyDescent="0.45">
      <c r="S2566" s="452"/>
      <c r="T2566" s="452"/>
      <c r="U2566" s="452"/>
      <c r="V2566" s="452"/>
      <c r="W2566" s="452"/>
    </row>
    <row r="2567" spans="19:23" ht="15" customHeight="1" x14ac:dyDescent="0.45">
      <c r="S2567" s="452"/>
      <c r="T2567" s="452"/>
      <c r="U2567" s="452"/>
      <c r="V2567" s="452"/>
      <c r="W2567" s="452"/>
    </row>
    <row r="2568" spans="19:23" ht="15" customHeight="1" x14ac:dyDescent="0.45">
      <c r="S2568" s="452"/>
      <c r="T2568" s="452"/>
      <c r="U2568" s="452"/>
      <c r="V2568" s="452"/>
      <c r="W2568" s="452"/>
    </row>
    <row r="2569" spans="19:23" ht="15" customHeight="1" x14ac:dyDescent="0.45">
      <c r="S2569" s="452"/>
      <c r="T2569" s="452"/>
      <c r="U2569" s="452"/>
      <c r="V2569" s="452"/>
      <c r="W2569" s="452"/>
    </row>
    <row r="2570" spans="19:23" ht="15" customHeight="1" x14ac:dyDescent="0.45">
      <c r="S2570" s="452"/>
      <c r="T2570" s="452"/>
      <c r="U2570" s="452"/>
      <c r="V2570" s="452"/>
      <c r="W2570" s="452"/>
    </row>
    <row r="2571" spans="19:23" ht="15" customHeight="1" x14ac:dyDescent="0.45">
      <c r="S2571" s="452"/>
      <c r="T2571" s="452"/>
      <c r="U2571" s="452"/>
      <c r="V2571" s="452"/>
      <c r="W2571" s="452"/>
    </row>
    <row r="2572" spans="19:23" ht="15" customHeight="1" x14ac:dyDescent="0.45">
      <c r="S2572" s="452"/>
      <c r="T2572" s="452"/>
      <c r="U2572" s="452"/>
      <c r="V2572" s="452"/>
      <c r="W2572" s="452"/>
    </row>
    <row r="2573" spans="19:23" ht="15" customHeight="1" x14ac:dyDescent="0.45">
      <c r="S2573" s="452"/>
      <c r="T2573" s="452"/>
      <c r="U2573" s="452"/>
      <c r="V2573" s="452"/>
      <c r="W2573" s="452"/>
    </row>
    <row r="2574" spans="19:23" ht="15" customHeight="1" x14ac:dyDescent="0.45">
      <c r="S2574" s="452"/>
      <c r="T2574" s="452"/>
      <c r="U2574" s="452"/>
      <c r="V2574" s="452"/>
      <c r="W2574" s="452"/>
    </row>
    <row r="2575" spans="19:23" ht="15" customHeight="1" x14ac:dyDescent="0.45">
      <c r="S2575" s="452"/>
      <c r="T2575" s="452"/>
      <c r="U2575" s="452"/>
      <c r="V2575" s="452"/>
      <c r="W2575" s="452"/>
    </row>
    <row r="2576" spans="19:23" ht="15" customHeight="1" x14ac:dyDescent="0.45">
      <c r="S2576" s="452"/>
      <c r="T2576" s="452"/>
      <c r="U2576" s="452"/>
      <c r="V2576" s="452"/>
      <c r="W2576" s="452"/>
    </row>
    <row r="2577" spans="19:23" ht="15" customHeight="1" x14ac:dyDescent="0.45">
      <c r="S2577" s="452"/>
      <c r="T2577" s="452"/>
      <c r="U2577" s="452"/>
      <c r="V2577" s="452"/>
      <c r="W2577" s="452"/>
    </row>
    <row r="2578" spans="19:23" ht="15" customHeight="1" x14ac:dyDescent="0.45">
      <c r="S2578" s="452"/>
      <c r="T2578" s="452"/>
      <c r="U2578" s="452"/>
      <c r="V2578" s="452"/>
      <c r="W2578" s="452"/>
    </row>
    <row r="2579" spans="19:23" ht="15" customHeight="1" x14ac:dyDescent="0.45">
      <c r="S2579" s="452"/>
      <c r="T2579" s="452"/>
      <c r="U2579" s="452"/>
      <c r="V2579" s="452"/>
      <c r="W2579" s="452"/>
    </row>
    <row r="2580" spans="19:23" ht="15" customHeight="1" x14ac:dyDescent="0.45">
      <c r="S2580" s="452"/>
      <c r="T2580" s="452"/>
      <c r="U2580" s="452"/>
      <c r="V2580" s="452"/>
      <c r="W2580" s="452"/>
    </row>
    <row r="2581" spans="19:23" ht="15" customHeight="1" x14ac:dyDescent="0.45">
      <c r="S2581" s="452"/>
      <c r="T2581" s="452"/>
      <c r="U2581" s="452"/>
      <c r="V2581" s="452"/>
      <c r="W2581" s="452"/>
    </row>
    <row r="2582" spans="19:23" ht="15" customHeight="1" x14ac:dyDescent="0.45">
      <c r="S2582" s="452"/>
      <c r="T2582" s="452"/>
      <c r="U2582" s="452"/>
      <c r="V2582" s="452"/>
      <c r="W2582" s="452"/>
    </row>
    <row r="2583" spans="19:23" ht="15" customHeight="1" x14ac:dyDescent="0.45">
      <c r="S2583" s="452"/>
      <c r="T2583" s="452"/>
      <c r="U2583" s="452"/>
      <c r="V2583" s="452"/>
      <c r="W2583" s="452"/>
    </row>
    <row r="2584" spans="19:23" ht="15" customHeight="1" x14ac:dyDescent="0.45">
      <c r="S2584" s="452"/>
      <c r="T2584" s="452"/>
      <c r="U2584" s="452"/>
      <c r="V2584" s="452"/>
      <c r="W2584" s="452"/>
    </row>
    <row r="2585" spans="19:23" ht="15" customHeight="1" x14ac:dyDescent="0.45">
      <c r="S2585" s="452"/>
      <c r="T2585" s="452"/>
      <c r="U2585" s="452"/>
      <c r="V2585" s="452"/>
      <c r="W2585" s="452"/>
    </row>
    <row r="2586" spans="19:23" ht="15" customHeight="1" x14ac:dyDescent="0.45">
      <c r="S2586" s="452"/>
      <c r="T2586" s="452"/>
      <c r="U2586" s="452"/>
      <c r="V2586" s="452"/>
      <c r="W2586" s="452"/>
    </row>
    <row r="2587" spans="19:23" ht="15" customHeight="1" x14ac:dyDescent="0.45">
      <c r="S2587" s="452"/>
      <c r="T2587" s="452"/>
      <c r="U2587" s="452"/>
      <c r="V2587" s="452"/>
      <c r="W2587" s="452"/>
    </row>
    <row r="2588" spans="19:23" ht="15" customHeight="1" x14ac:dyDescent="0.45">
      <c r="S2588" s="452"/>
      <c r="T2588" s="452"/>
      <c r="U2588" s="452"/>
      <c r="V2588" s="452"/>
      <c r="W2588" s="452"/>
    </row>
    <row r="2589" spans="19:23" ht="15" customHeight="1" x14ac:dyDescent="0.45">
      <c r="S2589" s="452"/>
      <c r="T2589" s="452"/>
      <c r="U2589" s="452"/>
      <c r="V2589" s="452"/>
      <c r="W2589" s="452"/>
    </row>
    <row r="2590" spans="19:23" ht="15" customHeight="1" x14ac:dyDescent="0.45">
      <c r="S2590" s="452"/>
      <c r="T2590" s="452"/>
      <c r="U2590" s="452"/>
      <c r="V2590" s="452"/>
      <c r="W2590" s="452"/>
    </row>
    <row r="2591" spans="19:23" ht="15" customHeight="1" x14ac:dyDescent="0.45">
      <c r="S2591" s="452"/>
      <c r="T2591" s="452"/>
      <c r="U2591" s="452"/>
      <c r="V2591" s="452"/>
      <c r="W2591" s="452"/>
    </row>
    <row r="2592" spans="19:23" ht="15" customHeight="1" x14ac:dyDescent="0.45">
      <c r="S2592" s="452"/>
      <c r="T2592" s="452"/>
      <c r="U2592" s="452"/>
      <c r="V2592" s="452"/>
      <c r="W2592" s="452"/>
    </row>
    <row r="2593" spans="19:23" ht="15" customHeight="1" x14ac:dyDescent="0.45">
      <c r="S2593" s="452"/>
      <c r="T2593" s="452"/>
      <c r="U2593" s="452"/>
      <c r="V2593" s="452"/>
      <c r="W2593" s="452"/>
    </row>
    <row r="2594" spans="19:23" ht="15" customHeight="1" x14ac:dyDescent="0.45">
      <c r="S2594" s="452"/>
      <c r="T2594" s="452"/>
      <c r="U2594" s="452"/>
      <c r="V2594" s="452"/>
      <c r="W2594" s="452"/>
    </row>
    <row r="2595" spans="19:23" ht="15" customHeight="1" x14ac:dyDescent="0.45">
      <c r="S2595" s="452"/>
      <c r="T2595" s="452"/>
      <c r="U2595" s="452"/>
      <c r="V2595" s="452"/>
      <c r="W2595" s="452"/>
    </row>
    <row r="2596" spans="19:23" ht="15" customHeight="1" x14ac:dyDescent="0.45">
      <c r="S2596" s="452"/>
      <c r="T2596" s="452"/>
      <c r="U2596" s="452"/>
      <c r="V2596" s="452"/>
      <c r="W2596" s="452"/>
    </row>
    <row r="2597" spans="19:23" ht="15" customHeight="1" x14ac:dyDescent="0.45">
      <c r="S2597" s="452"/>
      <c r="T2597" s="452"/>
      <c r="U2597" s="452"/>
      <c r="V2597" s="452"/>
      <c r="W2597" s="452"/>
    </row>
    <row r="2598" spans="19:23" ht="15" customHeight="1" x14ac:dyDescent="0.45">
      <c r="S2598" s="452"/>
      <c r="T2598" s="452"/>
      <c r="U2598" s="452"/>
      <c r="V2598" s="452"/>
      <c r="W2598" s="452"/>
    </row>
    <row r="2599" spans="19:23" ht="15" customHeight="1" x14ac:dyDescent="0.45">
      <c r="S2599" s="452"/>
      <c r="T2599" s="452"/>
      <c r="U2599" s="452"/>
      <c r="V2599" s="452"/>
      <c r="W2599" s="452"/>
    </row>
    <row r="2600" spans="19:23" ht="15" customHeight="1" x14ac:dyDescent="0.45">
      <c r="S2600" s="452"/>
      <c r="T2600" s="452"/>
      <c r="U2600" s="452"/>
      <c r="V2600" s="452"/>
      <c r="W2600" s="452"/>
    </row>
    <row r="2601" spans="19:23" ht="15" customHeight="1" x14ac:dyDescent="0.45">
      <c r="S2601" s="452"/>
      <c r="T2601" s="452"/>
      <c r="U2601" s="452"/>
      <c r="V2601" s="452"/>
      <c r="W2601" s="452"/>
    </row>
    <row r="2602" spans="19:23" ht="15" customHeight="1" x14ac:dyDescent="0.45">
      <c r="S2602" s="452"/>
      <c r="T2602" s="452"/>
      <c r="U2602" s="452"/>
      <c r="V2602" s="452"/>
      <c r="W2602" s="452"/>
    </row>
    <row r="2603" spans="19:23" ht="15" customHeight="1" x14ac:dyDescent="0.45">
      <c r="S2603" s="452"/>
      <c r="T2603" s="452"/>
      <c r="U2603" s="452"/>
      <c r="V2603" s="452"/>
      <c r="W2603" s="452"/>
    </row>
    <row r="2604" spans="19:23" ht="15" customHeight="1" x14ac:dyDescent="0.45">
      <c r="S2604" s="452"/>
      <c r="T2604" s="452"/>
      <c r="U2604" s="452"/>
      <c r="V2604" s="452"/>
      <c r="W2604" s="452"/>
    </row>
    <row r="2605" spans="19:23" ht="15" customHeight="1" x14ac:dyDescent="0.45">
      <c r="S2605" s="452"/>
      <c r="T2605" s="452"/>
      <c r="U2605" s="452"/>
      <c r="V2605" s="452"/>
      <c r="W2605" s="452"/>
    </row>
    <row r="2606" spans="19:23" ht="15" customHeight="1" x14ac:dyDescent="0.45">
      <c r="S2606" s="452"/>
      <c r="T2606" s="452"/>
      <c r="U2606" s="452"/>
      <c r="V2606" s="452"/>
      <c r="W2606" s="452"/>
    </row>
    <row r="2607" spans="19:23" ht="15" customHeight="1" x14ac:dyDescent="0.45">
      <c r="S2607" s="452"/>
      <c r="T2607" s="452"/>
      <c r="U2607" s="452"/>
      <c r="V2607" s="452"/>
      <c r="W2607" s="452"/>
    </row>
    <row r="2608" spans="19:23" ht="15" customHeight="1" x14ac:dyDescent="0.45">
      <c r="S2608" s="452"/>
      <c r="T2608" s="452"/>
      <c r="U2608" s="452"/>
      <c r="V2608" s="452"/>
      <c r="W2608" s="452"/>
    </row>
    <row r="2609" spans="19:23" ht="15" customHeight="1" x14ac:dyDescent="0.45">
      <c r="S2609" s="452"/>
      <c r="T2609" s="452"/>
      <c r="U2609" s="452"/>
      <c r="V2609" s="452"/>
      <c r="W2609" s="452"/>
    </row>
    <row r="2610" spans="19:23" ht="15" customHeight="1" x14ac:dyDescent="0.45">
      <c r="S2610" s="452"/>
      <c r="T2610" s="452"/>
      <c r="U2610" s="452"/>
      <c r="V2610" s="452"/>
      <c r="W2610" s="452"/>
    </row>
    <row r="2611" spans="19:23" ht="15" customHeight="1" x14ac:dyDescent="0.45">
      <c r="S2611" s="452"/>
      <c r="T2611" s="452"/>
      <c r="U2611" s="452"/>
      <c r="V2611" s="452"/>
      <c r="W2611" s="452"/>
    </row>
    <row r="2612" spans="19:23" ht="15" customHeight="1" x14ac:dyDescent="0.45">
      <c r="S2612" s="452"/>
      <c r="T2612" s="452"/>
      <c r="U2612" s="452"/>
      <c r="V2612" s="452"/>
      <c r="W2612" s="452"/>
    </row>
    <row r="2613" spans="19:23" ht="15" customHeight="1" x14ac:dyDescent="0.45">
      <c r="S2613" s="452"/>
      <c r="T2613" s="452"/>
      <c r="U2613" s="452"/>
      <c r="V2613" s="452"/>
      <c r="W2613" s="452"/>
    </row>
    <row r="2614" spans="19:23" ht="15" customHeight="1" x14ac:dyDescent="0.45">
      <c r="S2614" s="452"/>
      <c r="T2614" s="452"/>
      <c r="U2614" s="452"/>
      <c r="V2614" s="452"/>
      <c r="W2614" s="452"/>
    </row>
    <row r="2615" spans="19:23" ht="15" customHeight="1" x14ac:dyDescent="0.45">
      <c r="S2615" s="452"/>
      <c r="T2615" s="452"/>
      <c r="U2615" s="452"/>
      <c r="V2615" s="452"/>
      <c r="W2615" s="452"/>
    </row>
    <row r="2616" spans="19:23" ht="15" customHeight="1" x14ac:dyDescent="0.45">
      <c r="S2616" s="452"/>
      <c r="T2616" s="452"/>
      <c r="U2616" s="452"/>
      <c r="V2616" s="452"/>
      <c r="W2616" s="452"/>
    </row>
    <row r="2617" spans="19:23" ht="15" customHeight="1" x14ac:dyDescent="0.45">
      <c r="S2617" s="452"/>
      <c r="T2617" s="452"/>
      <c r="U2617" s="452"/>
      <c r="V2617" s="452"/>
      <c r="W2617" s="452"/>
    </row>
    <row r="2618" spans="19:23" ht="15" customHeight="1" x14ac:dyDescent="0.45">
      <c r="S2618" s="452"/>
      <c r="T2618" s="452"/>
      <c r="U2618" s="452"/>
      <c r="V2618" s="452"/>
      <c r="W2618" s="452"/>
    </row>
    <row r="2619" spans="19:23" ht="15" customHeight="1" x14ac:dyDescent="0.45">
      <c r="S2619" s="452"/>
      <c r="T2619" s="452"/>
      <c r="U2619" s="452"/>
      <c r="V2619" s="452"/>
      <c r="W2619" s="452"/>
    </row>
    <row r="2620" spans="19:23" ht="15" customHeight="1" x14ac:dyDescent="0.45">
      <c r="S2620" s="452"/>
      <c r="T2620" s="452"/>
      <c r="U2620" s="452"/>
      <c r="V2620" s="452"/>
      <c r="W2620" s="452"/>
    </row>
    <row r="2621" spans="19:23" ht="15" customHeight="1" x14ac:dyDescent="0.45">
      <c r="S2621" s="452"/>
      <c r="T2621" s="452"/>
      <c r="U2621" s="452"/>
      <c r="V2621" s="452"/>
      <c r="W2621" s="452"/>
    </row>
    <row r="2622" spans="19:23" ht="15" customHeight="1" x14ac:dyDescent="0.45">
      <c r="S2622" s="452"/>
      <c r="T2622" s="452"/>
      <c r="U2622" s="452"/>
      <c r="V2622" s="452"/>
      <c r="W2622" s="452"/>
    </row>
    <row r="2623" spans="19:23" ht="15" customHeight="1" x14ac:dyDescent="0.45">
      <c r="S2623" s="452"/>
      <c r="T2623" s="452"/>
      <c r="U2623" s="452"/>
      <c r="V2623" s="452"/>
      <c r="W2623" s="452"/>
    </row>
    <row r="2624" spans="19:23" ht="15" customHeight="1" x14ac:dyDescent="0.45">
      <c r="S2624" s="452"/>
      <c r="T2624" s="452"/>
      <c r="U2624" s="452"/>
      <c r="V2624" s="452"/>
      <c r="W2624" s="452"/>
    </row>
    <row r="2625" spans="19:23" ht="15" customHeight="1" x14ac:dyDescent="0.45">
      <c r="S2625" s="452"/>
      <c r="T2625" s="452"/>
      <c r="U2625" s="452"/>
      <c r="V2625" s="452"/>
      <c r="W2625" s="452"/>
    </row>
    <row r="2626" spans="19:23" ht="15" customHeight="1" x14ac:dyDescent="0.45">
      <c r="S2626" s="452"/>
      <c r="T2626" s="452"/>
      <c r="U2626" s="452"/>
      <c r="V2626" s="452"/>
      <c r="W2626" s="452"/>
    </row>
    <row r="2627" spans="19:23" ht="15" customHeight="1" x14ac:dyDescent="0.45">
      <c r="S2627" s="452"/>
      <c r="T2627" s="452"/>
      <c r="U2627" s="452"/>
      <c r="V2627" s="452"/>
      <c r="W2627" s="452"/>
    </row>
    <row r="2628" spans="19:23" ht="15" customHeight="1" x14ac:dyDescent="0.45">
      <c r="S2628" s="452"/>
      <c r="T2628" s="452"/>
      <c r="U2628" s="452"/>
      <c r="V2628" s="452"/>
      <c r="W2628" s="452"/>
    </row>
    <row r="2629" spans="19:23" ht="15" customHeight="1" x14ac:dyDescent="0.45">
      <c r="S2629" s="452"/>
      <c r="T2629" s="452"/>
      <c r="U2629" s="452"/>
      <c r="V2629" s="452"/>
      <c r="W2629" s="452"/>
    </row>
    <row r="2630" spans="19:23" ht="15" customHeight="1" x14ac:dyDescent="0.45">
      <c r="S2630" s="452"/>
      <c r="T2630" s="452"/>
      <c r="U2630" s="452"/>
      <c r="V2630" s="452"/>
      <c r="W2630" s="452"/>
    </row>
    <row r="2631" spans="19:23" ht="15" customHeight="1" x14ac:dyDescent="0.45">
      <c r="S2631" s="452"/>
      <c r="T2631" s="452"/>
      <c r="U2631" s="452"/>
      <c r="V2631" s="452"/>
      <c r="W2631" s="452"/>
    </row>
    <row r="2632" spans="19:23" ht="15" customHeight="1" x14ac:dyDescent="0.45">
      <c r="S2632" s="452"/>
      <c r="T2632" s="452"/>
      <c r="U2632" s="452"/>
      <c r="V2632" s="452"/>
      <c r="W2632" s="452"/>
    </row>
    <row r="2633" spans="19:23" ht="15" customHeight="1" x14ac:dyDescent="0.45">
      <c r="S2633" s="452"/>
      <c r="T2633" s="452"/>
      <c r="U2633" s="452"/>
      <c r="V2633" s="452"/>
      <c r="W2633" s="452"/>
    </row>
    <row r="2634" spans="19:23" ht="15" customHeight="1" x14ac:dyDescent="0.45">
      <c r="S2634" s="452"/>
      <c r="T2634" s="452"/>
      <c r="U2634" s="452"/>
      <c r="V2634" s="452"/>
      <c r="W2634" s="452"/>
    </row>
    <row r="2635" spans="19:23" ht="15" customHeight="1" x14ac:dyDescent="0.45">
      <c r="S2635" s="452"/>
      <c r="T2635" s="452"/>
      <c r="U2635" s="452"/>
      <c r="V2635" s="452"/>
      <c r="W2635" s="452"/>
    </row>
    <row r="2636" spans="19:23" ht="15" customHeight="1" x14ac:dyDescent="0.45">
      <c r="S2636" s="452"/>
      <c r="T2636" s="452"/>
      <c r="U2636" s="452"/>
      <c r="V2636" s="452"/>
      <c r="W2636" s="452"/>
    </row>
    <row r="2637" spans="19:23" ht="15" customHeight="1" x14ac:dyDescent="0.45">
      <c r="S2637" s="452"/>
      <c r="T2637" s="452"/>
      <c r="U2637" s="452"/>
      <c r="V2637" s="452"/>
      <c r="W2637" s="452"/>
    </row>
    <row r="2638" spans="19:23" ht="15" customHeight="1" x14ac:dyDescent="0.45">
      <c r="S2638" s="452"/>
      <c r="T2638" s="452"/>
      <c r="U2638" s="452"/>
      <c r="V2638" s="452"/>
      <c r="W2638" s="452"/>
    </row>
    <row r="2639" spans="19:23" ht="15" customHeight="1" x14ac:dyDescent="0.45">
      <c r="S2639" s="452"/>
      <c r="T2639" s="452"/>
      <c r="U2639" s="452"/>
      <c r="V2639" s="452"/>
      <c r="W2639" s="452"/>
    </row>
    <row r="2640" spans="19:23" ht="15" customHeight="1" x14ac:dyDescent="0.45">
      <c r="S2640" s="452"/>
      <c r="T2640" s="452"/>
      <c r="U2640" s="452"/>
      <c r="V2640" s="452"/>
      <c r="W2640" s="452"/>
    </row>
    <row r="2641" spans="19:23" ht="15" customHeight="1" x14ac:dyDescent="0.45">
      <c r="S2641" s="452"/>
      <c r="T2641" s="452"/>
      <c r="U2641" s="452"/>
      <c r="V2641" s="452"/>
      <c r="W2641" s="452"/>
    </row>
    <row r="2642" spans="19:23" ht="15" customHeight="1" x14ac:dyDescent="0.45">
      <c r="S2642" s="452"/>
      <c r="T2642" s="452"/>
      <c r="U2642" s="452"/>
      <c r="V2642" s="452"/>
      <c r="W2642" s="452"/>
    </row>
    <row r="2643" spans="19:23" ht="15" customHeight="1" x14ac:dyDescent="0.45">
      <c r="S2643" s="452"/>
      <c r="T2643" s="452"/>
      <c r="U2643" s="452"/>
      <c r="V2643" s="452"/>
      <c r="W2643" s="452"/>
    </row>
    <row r="2644" spans="19:23" ht="15" customHeight="1" x14ac:dyDescent="0.45">
      <c r="S2644" s="452"/>
      <c r="T2644" s="452"/>
      <c r="U2644" s="452"/>
      <c r="V2644" s="452"/>
      <c r="W2644" s="452"/>
    </row>
    <row r="2645" spans="19:23" ht="15" customHeight="1" x14ac:dyDescent="0.45">
      <c r="S2645" s="452"/>
      <c r="T2645" s="452"/>
      <c r="U2645" s="452"/>
      <c r="V2645" s="452"/>
      <c r="W2645" s="452"/>
    </row>
    <row r="2646" spans="19:23" ht="15" customHeight="1" x14ac:dyDescent="0.45">
      <c r="S2646" s="452"/>
      <c r="T2646" s="452"/>
      <c r="U2646" s="452"/>
      <c r="V2646" s="452"/>
      <c r="W2646" s="452"/>
    </row>
    <row r="2647" spans="19:23" ht="15" customHeight="1" x14ac:dyDescent="0.45">
      <c r="S2647" s="452"/>
      <c r="T2647" s="452"/>
      <c r="U2647" s="452"/>
      <c r="V2647" s="452"/>
      <c r="W2647" s="452"/>
    </row>
    <row r="2648" spans="19:23" ht="15" customHeight="1" x14ac:dyDescent="0.45">
      <c r="S2648" s="452"/>
      <c r="T2648" s="452"/>
      <c r="U2648" s="452"/>
      <c r="V2648" s="452"/>
      <c r="W2648" s="452"/>
    </row>
    <row r="2649" spans="19:23" ht="15" customHeight="1" x14ac:dyDescent="0.45">
      <c r="S2649" s="452"/>
      <c r="T2649" s="452"/>
      <c r="U2649" s="452"/>
      <c r="V2649" s="452"/>
      <c r="W2649" s="452"/>
    </row>
    <row r="2650" spans="19:23" ht="15" customHeight="1" x14ac:dyDescent="0.45">
      <c r="S2650" s="452"/>
      <c r="T2650" s="452"/>
      <c r="U2650" s="452"/>
      <c r="V2650" s="452"/>
      <c r="W2650" s="452"/>
    </row>
    <row r="2651" spans="19:23" ht="15" customHeight="1" x14ac:dyDescent="0.45">
      <c r="S2651" s="452"/>
      <c r="T2651" s="452"/>
      <c r="U2651" s="452"/>
      <c r="V2651" s="452"/>
      <c r="W2651" s="452"/>
    </row>
    <row r="2652" spans="19:23" ht="15" customHeight="1" x14ac:dyDescent="0.45">
      <c r="S2652" s="452"/>
      <c r="T2652" s="452"/>
      <c r="U2652" s="452"/>
      <c r="V2652" s="452"/>
      <c r="W2652" s="452"/>
    </row>
    <row r="2653" spans="19:23" ht="15" customHeight="1" x14ac:dyDescent="0.45">
      <c r="S2653" s="452"/>
      <c r="T2653" s="452"/>
      <c r="U2653" s="452"/>
      <c r="V2653" s="452"/>
      <c r="W2653" s="452"/>
    </row>
    <row r="2654" spans="19:23" ht="15" customHeight="1" x14ac:dyDescent="0.45">
      <c r="S2654" s="452"/>
      <c r="T2654" s="452"/>
      <c r="U2654" s="452"/>
      <c r="V2654" s="452"/>
      <c r="W2654" s="452"/>
    </row>
    <row r="2655" spans="19:23" ht="15" customHeight="1" x14ac:dyDescent="0.45">
      <c r="S2655" s="452"/>
      <c r="T2655" s="452"/>
      <c r="U2655" s="452"/>
      <c r="V2655" s="452"/>
      <c r="W2655" s="452"/>
    </row>
    <row r="2656" spans="19:23" ht="15" customHeight="1" x14ac:dyDescent="0.45">
      <c r="S2656" s="452"/>
      <c r="T2656" s="452"/>
      <c r="U2656" s="452"/>
      <c r="V2656" s="452"/>
      <c r="W2656" s="452"/>
    </row>
    <row r="2657" spans="19:23" ht="15" customHeight="1" x14ac:dyDescent="0.45">
      <c r="S2657" s="452"/>
      <c r="T2657" s="452"/>
      <c r="U2657" s="452"/>
      <c r="V2657" s="452"/>
      <c r="W2657" s="452"/>
    </row>
    <row r="2658" spans="19:23" ht="15" customHeight="1" x14ac:dyDescent="0.45">
      <c r="S2658" s="452"/>
      <c r="T2658" s="452"/>
      <c r="U2658" s="452"/>
      <c r="V2658" s="452"/>
      <c r="W2658" s="452"/>
    </row>
    <row r="2659" spans="19:23" ht="15" customHeight="1" x14ac:dyDescent="0.45">
      <c r="S2659" s="452"/>
      <c r="T2659" s="452"/>
      <c r="U2659" s="452"/>
      <c r="V2659" s="452"/>
      <c r="W2659" s="452"/>
    </row>
    <row r="2660" spans="19:23" ht="15" customHeight="1" x14ac:dyDescent="0.45">
      <c r="S2660" s="452"/>
      <c r="T2660" s="452"/>
      <c r="U2660" s="452"/>
      <c r="V2660" s="452"/>
      <c r="W2660" s="452"/>
    </row>
    <row r="2661" spans="19:23" ht="15" customHeight="1" x14ac:dyDescent="0.45">
      <c r="S2661" s="452"/>
      <c r="T2661" s="452"/>
      <c r="U2661" s="452"/>
      <c r="V2661" s="452"/>
      <c r="W2661" s="452"/>
    </row>
    <row r="2662" spans="19:23" ht="15" customHeight="1" x14ac:dyDescent="0.45">
      <c r="S2662" s="452"/>
      <c r="T2662" s="452"/>
      <c r="U2662" s="452"/>
      <c r="V2662" s="452"/>
      <c r="W2662" s="452"/>
    </row>
    <row r="2663" spans="19:23" ht="15" customHeight="1" x14ac:dyDescent="0.45">
      <c r="S2663" s="452"/>
      <c r="T2663" s="452"/>
      <c r="U2663" s="452"/>
      <c r="V2663" s="452"/>
      <c r="W2663" s="452"/>
    </row>
    <row r="2664" spans="19:23" ht="15" customHeight="1" x14ac:dyDescent="0.45">
      <c r="S2664" s="452"/>
      <c r="T2664" s="452"/>
      <c r="U2664" s="452"/>
      <c r="V2664" s="452"/>
      <c r="W2664" s="452"/>
    </row>
    <row r="2665" spans="19:23" ht="15" customHeight="1" x14ac:dyDescent="0.45">
      <c r="S2665" s="452"/>
      <c r="T2665" s="452"/>
      <c r="U2665" s="452"/>
      <c r="V2665" s="452"/>
      <c r="W2665" s="452"/>
    </row>
    <row r="2666" spans="19:23" ht="15" customHeight="1" x14ac:dyDescent="0.45">
      <c r="S2666" s="452"/>
      <c r="T2666" s="452"/>
      <c r="U2666" s="452"/>
      <c r="V2666" s="452"/>
      <c r="W2666" s="452"/>
    </row>
    <row r="2667" spans="19:23" ht="15" customHeight="1" x14ac:dyDescent="0.45">
      <c r="S2667" s="452"/>
      <c r="T2667" s="452"/>
      <c r="U2667" s="452"/>
      <c r="V2667" s="452"/>
      <c r="W2667" s="452"/>
    </row>
    <row r="2668" spans="19:23" ht="15" customHeight="1" x14ac:dyDescent="0.45">
      <c r="S2668" s="452"/>
      <c r="T2668" s="452"/>
      <c r="U2668" s="452"/>
      <c r="V2668" s="452"/>
      <c r="W2668" s="452"/>
    </row>
    <row r="2669" spans="19:23" ht="15" customHeight="1" x14ac:dyDescent="0.45">
      <c r="S2669" s="452"/>
      <c r="T2669" s="452"/>
      <c r="U2669" s="452"/>
      <c r="V2669" s="452"/>
      <c r="W2669" s="452"/>
    </row>
    <row r="2670" spans="19:23" ht="15" customHeight="1" x14ac:dyDescent="0.45">
      <c r="S2670" s="452"/>
      <c r="T2670" s="452"/>
      <c r="U2670" s="452"/>
      <c r="V2670" s="452"/>
      <c r="W2670" s="452"/>
    </row>
    <row r="2671" spans="19:23" ht="15" customHeight="1" x14ac:dyDescent="0.45">
      <c r="S2671" s="452"/>
      <c r="T2671" s="452"/>
      <c r="U2671" s="452"/>
      <c r="V2671" s="452"/>
      <c r="W2671" s="452"/>
    </row>
    <row r="2672" spans="19:23" ht="15" customHeight="1" x14ac:dyDescent="0.45">
      <c r="S2672" s="452"/>
      <c r="T2672" s="452"/>
      <c r="U2672" s="452"/>
      <c r="V2672" s="452"/>
      <c r="W2672" s="452"/>
    </row>
    <row r="2673" spans="19:23" ht="15" customHeight="1" x14ac:dyDescent="0.45">
      <c r="S2673" s="452"/>
      <c r="T2673" s="452"/>
      <c r="U2673" s="452"/>
      <c r="V2673" s="452"/>
      <c r="W2673" s="452"/>
    </row>
    <row r="2674" spans="19:23" ht="15" customHeight="1" x14ac:dyDescent="0.45">
      <c r="S2674" s="452"/>
      <c r="T2674" s="452"/>
      <c r="U2674" s="452"/>
      <c r="V2674" s="452"/>
      <c r="W2674" s="452"/>
    </row>
    <row r="2675" spans="19:23" ht="15" customHeight="1" x14ac:dyDescent="0.45">
      <c r="S2675" s="452"/>
      <c r="T2675" s="452"/>
      <c r="U2675" s="452"/>
      <c r="V2675" s="452"/>
      <c r="W2675" s="452"/>
    </row>
    <row r="2676" spans="19:23" ht="15" customHeight="1" x14ac:dyDescent="0.45">
      <c r="S2676" s="452"/>
      <c r="T2676" s="452"/>
      <c r="U2676" s="452"/>
      <c r="V2676" s="452"/>
      <c r="W2676" s="452"/>
    </row>
    <row r="2677" spans="19:23" ht="15" customHeight="1" x14ac:dyDescent="0.45">
      <c r="S2677" s="452"/>
      <c r="T2677" s="452"/>
      <c r="U2677" s="452"/>
      <c r="V2677" s="452"/>
      <c r="W2677" s="452"/>
    </row>
    <row r="2678" spans="19:23" ht="15" customHeight="1" x14ac:dyDescent="0.45">
      <c r="S2678" s="452"/>
      <c r="T2678" s="452"/>
      <c r="U2678" s="452"/>
      <c r="V2678" s="452"/>
      <c r="W2678" s="452"/>
    </row>
    <row r="2679" spans="19:23" ht="15" customHeight="1" x14ac:dyDescent="0.45">
      <c r="S2679" s="452"/>
      <c r="T2679" s="452"/>
      <c r="U2679" s="452"/>
      <c r="V2679" s="452"/>
      <c r="W2679" s="452"/>
    </row>
    <row r="2680" spans="19:23" ht="15" customHeight="1" x14ac:dyDescent="0.45">
      <c r="S2680" s="452"/>
      <c r="T2680" s="452"/>
      <c r="U2680" s="452"/>
      <c r="V2680" s="452"/>
      <c r="W2680" s="452"/>
    </row>
    <row r="2681" spans="19:23" ht="15" customHeight="1" x14ac:dyDescent="0.45">
      <c r="S2681" s="452"/>
      <c r="T2681" s="452"/>
      <c r="U2681" s="452"/>
      <c r="V2681" s="452"/>
      <c r="W2681" s="452"/>
    </row>
    <row r="2682" spans="19:23" ht="15" customHeight="1" x14ac:dyDescent="0.45">
      <c r="S2682" s="452"/>
      <c r="T2682" s="452"/>
      <c r="U2682" s="452"/>
      <c r="V2682" s="452"/>
      <c r="W2682" s="452"/>
    </row>
    <row r="2683" spans="19:23" ht="15" customHeight="1" x14ac:dyDescent="0.45">
      <c r="S2683" s="452"/>
      <c r="T2683" s="452"/>
      <c r="U2683" s="452"/>
      <c r="V2683" s="452"/>
      <c r="W2683" s="452"/>
    </row>
    <row r="2684" spans="19:23" ht="15" customHeight="1" x14ac:dyDescent="0.45">
      <c r="S2684" s="452"/>
      <c r="T2684" s="452"/>
      <c r="U2684" s="452"/>
      <c r="V2684" s="452"/>
      <c r="W2684" s="452"/>
    </row>
    <row r="2685" spans="19:23" ht="15" customHeight="1" x14ac:dyDescent="0.45">
      <c r="S2685" s="452"/>
      <c r="T2685" s="452"/>
      <c r="U2685" s="452"/>
      <c r="V2685" s="452"/>
      <c r="W2685" s="452"/>
    </row>
    <row r="2686" spans="19:23" ht="15" customHeight="1" x14ac:dyDescent="0.45">
      <c r="S2686" s="452"/>
      <c r="T2686" s="452"/>
      <c r="U2686" s="452"/>
      <c r="V2686" s="452"/>
      <c r="W2686" s="452"/>
    </row>
    <row r="2687" spans="19:23" ht="15" customHeight="1" x14ac:dyDescent="0.45">
      <c r="S2687" s="452"/>
      <c r="T2687" s="452"/>
      <c r="U2687" s="452"/>
      <c r="V2687" s="452"/>
      <c r="W2687" s="452"/>
    </row>
    <row r="2688" spans="19:23" ht="15" customHeight="1" x14ac:dyDescent="0.45">
      <c r="S2688" s="452"/>
      <c r="T2688" s="452"/>
      <c r="U2688" s="452"/>
      <c r="V2688" s="452"/>
      <c r="W2688" s="452"/>
    </row>
    <row r="2689" spans="19:23" ht="15" customHeight="1" x14ac:dyDescent="0.45">
      <c r="S2689" s="452"/>
      <c r="T2689" s="452"/>
      <c r="U2689" s="452"/>
      <c r="V2689" s="452"/>
      <c r="W2689" s="452"/>
    </row>
    <row r="2690" spans="19:23" ht="15" customHeight="1" x14ac:dyDescent="0.45">
      <c r="S2690" s="452"/>
      <c r="T2690" s="452"/>
      <c r="U2690" s="452"/>
      <c r="V2690" s="452"/>
      <c r="W2690" s="452"/>
    </row>
    <row r="2691" spans="19:23" ht="15" customHeight="1" x14ac:dyDescent="0.45">
      <c r="S2691" s="452"/>
      <c r="T2691" s="452"/>
      <c r="U2691" s="452"/>
      <c r="V2691" s="452"/>
      <c r="W2691" s="452"/>
    </row>
    <row r="2692" spans="19:23" ht="15" customHeight="1" x14ac:dyDescent="0.45">
      <c r="S2692" s="452"/>
      <c r="T2692" s="452"/>
      <c r="U2692" s="452"/>
      <c r="V2692" s="452"/>
      <c r="W2692" s="452"/>
    </row>
    <row r="2693" spans="19:23" ht="15" customHeight="1" x14ac:dyDescent="0.45">
      <c r="S2693" s="452"/>
      <c r="T2693" s="452"/>
      <c r="U2693" s="452"/>
      <c r="V2693" s="452"/>
      <c r="W2693" s="452"/>
    </row>
    <row r="2694" spans="19:23" ht="15" customHeight="1" x14ac:dyDescent="0.45">
      <c r="S2694" s="452"/>
      <c r="T2694" s="452"/>
      <c r="U2694" s="452"/>
      <c r="V2694" s="452"/>
      <c r="W2694" s="452"/>
    </row>
    <row r="2695" spans="19:23" ht="15" customHeight="1" x14ac:dyDescent="0.45">
      <c r="S2695" s="452"/>
      <c r="T2695" s="452"/>
      <c r="U2695" s="452"/>
      <c r="V2695" s="452"/>
      <c r="W2695" s="452"/>
    </row>
    <row r="2696" spans="19:23" ht="15" customHeight="1" x14ac:dyDescent="0.45">
      <c r="S2696" s="452"/>
      <c r="T2696" s="452"/>
      <c r="U2696" s="452"/>
      <c r="V2696" s="452"/>
      <c r="W2696" s="452"/>
    </row>
    <row r="2697" spans="19:23" ht="15" customHeight="1" x14ac:dyDescent="0.45">
      <c r="S2697" s="452"/>
      <c r="T2697" s="452"/>
      <c r="U2697" s="452"/>
      <c r="V2697" s="452"/>
      <c r="W2697" s="452"/>
    </row>
    <row r="2698" spans="19:23" ht="15" customHeight="1" x14ac:dyDescent="0.45">
      <c r="S2698" s="452"/>
      <c r="T2698" s="452"/>
      <c r="U2698" s="452"/>
      <c r="V2698" s="452"/>
      <c r="W2698" s="452"/>
    </row>
    <row r="2699" spans="19:23" ht="15" customHeight="1" x14ac:dyDescent="0.45">
      <c r="S2699" s="452"/>
      <c r="T2699" s="452"/>
      <c r="U2699" s="452"/>
      <c r="V2699" s="452"/>
      <c r="W2699" s="452"/>
    </row>
    <row r="2700" spans="19:23" ht="15" customHeight="1" x14ac:dyDescent="0.45">
      <c r="S2700" s="452"/>
      <c r="T2700" s="452"/>
      <c r="U2700" s="452"/>
      <c r="V2700" s="452"/>
      <c r="W2700" s="452"/>
    </row>
    <row r="2701" spans="19:23" ht="15" customHeight="1" x14ac:dyDescent="0.45">
      <c r="S2701" s="452"/>
      <c r="T2701" s="452"/>
      <c r="U2701" s="452"/>
      <c r="V2701" s="452"/>
      <c r="W2701" s="452"/>
    </row>
    <row r="2702" spans="19:23" ht="15" customHeight="1" x14ac:dyDescent="0.45">
      <c r="S2702" s="452"/>
      <c r="T2702" s="452"/>
      <c r="U2702" s="452"/>
      <c r="V2702" s="452"/>
      <c r="W2702" s="452"/>
    </row>
    <row r="2703" spans="19:23" ht="15" customHeight="1" x14ac:dyDescent="0.45">
      <c r="S2703" s="452"/>
      <c r="T2703" s="452"/>
      <c r="U2703" s="452"/>
      <c r="V2703" s="452"/>
      <c r="W2703" s="452"/>
    </row>
    <row r="2704" spans="19:23" ht="15" customHeight="1" x14ac:dyDescent="0.45">
      <c r="S2704" s="452"/>
      <c r="T2704" s="452"/>
      <c r="U2704" s="452"/>
      <c r="V2704" s="452"/>
      <c r="W2704" s="452"/>
    </row>
    <row r="2705" spans="19:23" ht="15" customHeight="1" x14ac:dyDescent="0.45">
      <c r="S2705" s="452"/>
      <c r="T2705" s="452"/>
      <c r="U2705" s="452"/>
      <c r="V2705" s="452"/>
      <c r="W2705" s="452"/>
    </row>
    <row r="2706" spans="19:23" ht="15" customHeight="1" x14ac:dyDescent="0.45">
      <c r="S2706" s="452"/>
      <c r="T2706" s="452"/>
      <c r="U2706" s="452"/>
      <c r="V2706" s="452"/>
      <c r="W2706" s="452"/>
    </row>
    <row r="2707" spans="19:23" ht="15" customHeight="1" x14ac:dyDescent="0.45">
      <c r="S2707" s="452"/>
      <c r="T2707" s="452"/>
      <c r="U2707" s="452"/>
      <c r="V2707" s="452"/>
      <c r="W2707" s="452"/>
    </row>
    <row r="2708" spans="19:23" ht="15" customHeight="1" x14ac:dyDescent="0.45">
      <c r="S2708" s="452"/>
      <c r="T2708" s="452"/>
      <c r="U2708" s="452"/>
      <c r="V2708" s="452"/>
      <c r="W2708" s="452"/>
    </row>
    <row r="2709" spans="19:23" ht="15" customHeight="1" x14ac:dyDescent="0.45">
      <c r="S2709" s="452"/>
      <c r="T2709" s="452"/>
      <c r="U2709" s="452"/>
      <c r="V2709" s="452"/>
      <c r="W2709" s="452"/>
    </row>
    <row r="2710" spans="19:23" ht="15" customHeight="1" x14ac:dyDescent="0.45">
      <c r="S2710" s="452"/>
      <c r="T2710" s="452"/>
      <c r="U2710" s="452"/>
      <c r="V2710" s="452"/>
      <c r="W2710" s="452"/>
    </row>
    <row r="2711" spans="19:23" ht="15" customHeight="1" x14ac:dyDescent="0.45">
      <c r="S2711" s="452"/>
      <c r="T2711" s="452"/>
      <c r="U2711" s="452"/>
      <c r="V2711" s="452"/>
      <c r="W2711" s="452"/>
    </row>
    <row r="2712" spans="19:23" ht="15" customHeight="1" x14ac:dyDescent="0.45">
      <c r="S2712" s="452"/>
      <c r="T2712" s="452"/>
      <c r="U2712" s="452"/>
      <c r="V2712" s="452"/>
      <c r="W2712" s="452"/>
    </row>
    <row r="2713" spans="19:23" ht="15" customHeight="1" x14ac:dyDescent="0.45">
      <c r="S2713" s="452"/>
      <c r="T2713" s="452"/>
      <c r="U2713" s="452"/>
      <c r="V2713" s="452"/>
      <c r="W2713" s="452"/>
    </row>
    <row r="2714" spans="19:23" ht="15" customHeight="1" x14ac:dyDescent="0.45">
      <c r="S2714" s="452"/>
      <c r="T2714" s="452"/>
      <c r="U2714" s="452"/>
      <c r="V2714" s="452"/>
      <c r="W2714" s="452"/>
    </row>
    <row r="2715" spans="19:23" ht="15" customHeight="1" x14ac:dyDescent="0.45">
      <c r="S2715" s="452"/>
      <c r="T2715" s="452"/>
      <c r="U2715" s="452"/>
      <c r="V2715" s="452"/>
      <c r="W2715" s="452"/>
    </row>
    <row r="2716" spans="19:23" ht="15" customHeight="1" x14ac:dyDescent="0.45">
      <c r="S2716" s="452"/>
      <c r="T2716" s="452"/>
      <c r="U2716" s="452"/>
      <c r="V2716" s="452"/>
      <c r="W2716" s="452"/>
    </row>
    <row r="2717" spans="19:23" ht="15" customHeight="1" x14ac:dyDescent="0.45">
      <c r="S2717" s="452"/>
      <c r="T2717" s="452"/>
      <c r="U2717" s="452"/>
      <c r="V2717" s="452"/>
      <c r="W2717" s="452"/>
    </row>
    <row r="2718" spans="19:23" ht="15" customHeight="1" x14ac:dyDescent="0.45">
      <c r="S2718" s="452"/>
      <c r="T2718" s="452"/>
      <c r="U2718" s="452"/>
      <c r="V2718" s="452"/>
      <c r="W2718" s="452"/>
    </row>
    <row r="2719" spans="19:23" ht="15" customHeight="1" x14ac:dyDescent="0.45">
      <c r="S2719" s="452"/>
      <c r="T2719" s="452"/>
      <c r="U2719" s="452"/>
      <c r="V2719" s="452"/>
      <c r="W2719" s="452"/>
    </row>
    <row r="2720" spans="19:23" ht="15" customHeight="1" x14ac:dyDescent="0.45">
      <c r="S2720" s="452"/>
      <c r="T2720" s="452"/>
      <c r="U2720" s="452"/>
      <c r="V2720" s="452"/>
      <c r="W2720" s="452"/>
    </row>
    <row r="2721" spans="19:23" ht="15" customHeight="1" x14ac:dyDescent="0.45">
      <c r="S2721" s="452"/>
      <c r="T2721" s="452"/>
      <c r="U2721" s="452"/>
      <c r="V2721" s="452"/>
      <c r="W2721" s="452"/>
    </row>
    <row r="2722" spans="19:23" ht="15" customHeight="1" x14ac:dyDescent="0.45">
      <c r="S2722" s="452"/>
      <c r="T2722" s="452"/>
      <c r="U2722" s="452"/>
      <c r="V2722" s="452"/>
      <c r="W2722" s="452"/>
    </row>
    <row r="2723" spans="19:23" ht="15" customHeight="1" x14ac:dyDescent="0.45">
      <c r="S2723" s="452"/>
      <c r="T2723" s="452"/>
      <c r="U2723" s="452"/>
      <c r="V2723" s="452"/>
      <c r="W2723" s="452"/>
    </row>
    <row r="2724" spans="19:23" ht="15" customHeight="1" x14ac:dyDescent="0.45">
      <c r="S2724" s="452"/>
      <c r="T2724" s="452"/>
      <c r="U2724" s="452"/>
      <c r="V2724" s="452"/>
      <c r="W2724" s="452"/>
    </row>
    <row r="2725" spans="19:23" ht="15" customHeight="1" x14ac:dyDescent="0.45">
      <c r="S2725" s="452"/>
      <c r="T2725" s="452"/>
      <c r="U2725" s="452"/>
      <c r="V2725" s="452"/>
      <c r="W2725" s="452"/>
    </row>
    <row r="2726" spans="19:23" ht="15" customHeight="1" x14ac:dyDescent="0.45">
      <c r="S2726" s="452"/>
      <c r="T2726" s="452"/>
      <c r="U2726" s="452"/>
      <c r="V2726" s="452"/>
      <c r="W2726" s="452"/>
    </row>
    <row r="2727" spans="19:23" ht="15" customHeight="1" x14ac:dyDescent="0.45">
      <c r="S2727" s="452"/>
      <c r="T2727" s="452"/>
      <c r="U2727" s="452"/>
      <c r="V2727" s="452"/>
      <c r="W2727" s="452"/>
    </row>
    <row r="2728" spans="19:23" ht="15" customHeight="1" x14ac:dyDescent="0.45">
      <c r="S2728" s="452"/>
      <c r="T2728" s="452"/>
      <c r="U2728" s="452"/>
      <c r="V2728" s="452"/>
      <c r="W2728" s="452"/>
    </row>
    <row r="2729" spans="19:23" ht="15" customHeight="1" x14ac:dyDescent="0.45">
      <c r="S2729" s="452"/>
      <c r="T2729" s="452"/>
      <c r="U2729" s="452"/>
      <c r="V2729" s="452"/>
      <c r="W2729" s="452"/>
    </row>
    <row r="2730" spans="19:23" ht="15" customHeight="1" x14ac:dyDescent="0.45">
      <c r="S2730" s="452"/>
      <c r="T2730" s="452"/>
      <c r="U2730" s="452"/>
      <c r="V2730" s="452"/>
      <c r="W2730" s="452"/>
    </row>
    <row r="2731" spans="19:23" ht="15" customHeight="1" x14ac:dyDescent="0.45">
      <c r="S2731" s="452"/>
      <c r="T2731" s="452"/>
      <c r="U2731" s="452"/>
      <c r="V2731" s="452"/>
      <c r="W2731" s="452"/>
    </row>
    <row r="2732" spans="19:23" ht="15" customHeight="1" x14ac:dyDescent="0.45">
      <c r="S2732" s="452"/>
      <c r="T2732" s="452"/>
      <c r="U2732" s="452"/>
      <c r="V2732" s="452"/>
      <c r="W2732" s="452"/>
    </row>
    <row r="2733" spans="19:23" ht="15" customHeight="1" x14ac:dyDescent="0.45">
      <c r="S2733" s="452"/>
      <c r="T2733" s="452"/>
      <c r="U2733" s="452"/>
      <c r="V2733" s="452"/>
      <c r="W2733" s="452"/>
    </row>
    <row r="2734" spans="19:23" ht="15" customHeight="1" x14ac:dyDescent="0.45">
      <c r="S2734" s="452"/>
      <c r="T2734" s="452"/>
      <c r="U2734" s="452"/>
      <c r="V2734" s="452"/>
      <c r="W2734" s="452"/>
    </row>
    <row r="2735" spans="19:23" ht="15" customHeight="1" x14ac:dyDescent="0.45">
      <c r="S2735" s="452"/>
      <c r="T2735" s="452"/>
      <c r="U2735" s="452"/>
      <c r="V2735" s="452"/>
      <c r="W2735" s="452"/>
    </row>
    <row r="2736" spans="19:23" ht="15" customHeight="1" x14ac:dyDescent="0.45">
      <c r="S2736" s="452"/>
      <c r="T2736" s="452"/>
      <c r="U2736" s="452"/>
      <c r="V2736" s="452"/>
      <c r="W2736" s="452"/>
    </row>
    <row r="2737" spans="19:23" ht="15" customHeight="1" x14ac:dyDescent="0.45">
      <c r="S2737" s="452"/>
      <c r="T2737" s="452"/>
      <c r="U2737" s="452"/>
      <c r="V2737" s="452"/>
      <c r="W2737" s="452"/>
    </row>
    <row r="2738" spans="19:23" ht="15" customHeight="1" x14ac:dyDescent="0.45">
      <c r="S2738" s="452"/>
      <c r="T2738" s="452"/>
      <c r="U2738" s="452"/>
      <c r="V2738" s="452"/>
      <c r="W2738" s="452"/>
    </row>
    <row r="2739" spans="19:23" ht="15" customHeight="1" x14ac:dyDescent="0.45">
      <c r="S2739" s="452"/>
      <c r="T2739" s="452"/>
      <c r="U2739" s="452"/>
      <c r="V2739" s="452"/>
      <c r="W2739" s="452"/>
    </row>
    <row r="2740" spans="19:23" ht="15" customHeight="1" x14ac:dyDescent="0.45">
      <c r="S2740" s="452"/>
      <c r="T2740" s="452"/>
      <c r="U2740" s="452"/>
      <c r="V2740" s="452"/>
      <c r="W2740" s="452"/>
    </row>
    <row r="2741" spans="19:23" ht="15" customHeight="1" x14ac:dyDescent="0.45">
      <c r="S2741" s="452"/>
      <c r="T2741" s="452"/>
      <c r="U2741" s="452"/>
      <c r="V2741" s="452"/>
      <c r="W2741" s="452"/>
    </row>
    <row r="2742" spans="19:23" ht="15" customHeight="1" x14ac:dyDescent="0.45">
      <c r="S2742" s="452"/>
      <c r="T2742" s="452"/>
      <c r="U2742" s="452"/>
      <c r="V2742" s="452"/>
      <c r="W2742" s="452"/>
    </row>
    <row r="2743" spans="19:23" ht="15" customHeight="1" x14ac:dyDescent="0.45">
      <c r="S2743" s="452"/>
      <c r="T2743" s="452"/>
      <c r="U2743" s="452"/>
      <c r="V2743" s="452"/>
      <c r="W2743" s="452"/>
    </row>
    <row r="2744" spans="19:23" ht="15" customHeight="1" x14ac:dyDescent="0.45">
      <c r="S2744" s="452"/>
      <c r="T2744" s="452"/>
      <c r="U2744" s="452"/>
      <c r="V2744" s="452"/>
      <c r="W2744" s="452"/>
    </row>
    <row r="2745" spans="19:23" ht="15" customHeight="1" x14ac:dyDescent="0.45">
      <c r="S2745" s="452"/>
      <c r="T2745" s="452"/>
      <c r="U2745" s="452"/>
      <c r="V2745" s="452"/>
      <c r="W2745" s="452"/>
    </row>
    <row r="2746" spans="19:23" ht="15" customHeight="1" x14ac:dyDescent="0.45">
      <c r="S2746" s="452"/>
      <c r="T2746" s="452"/>
      <c r="U2746" s="452"/>
      <c r="V2746" s="452"/>
      <c r="W2746" s="452"/>
    </row>
    <row r="2747" spans="19:23" ht="15" customHeight="1" x14ac:dyDescent="0.45">
      <c r="S2747" s="452"/>
      <c r="T2747" s="452"/>
      <c r="U2747" s="452"/>
      <c r="V2747" s="452"/>
      <c r="W2747" s="452"/>
    </row>
    <row r="2748" spans="19:23" ht="15" customHeight="1" x14ac:dyDescent="0.45">
      <c r="S2748" s="452"/>
      <c r="T2748" s="452"/>
      <c r="U2748" s="452"/>
      <c r="V2748" s="452"/>
      <c r="W2748" s="452"/>
    </row>
    <row r="2749" spans="19:23" ht="15" customHeight="1" x14ac:dyDescent="0.45">
      <c r="S2749" s="452"/>
      <c r="T2749" s="452"/>
      <c r="U2749" s="452"/>
      <c r="V2749" s="452"/>
      <c r="W2749" s="452"/>
    </row>
    <row r="2750" spans="19:23" ht="15" customHeight="1" x14ac:dyDescent="0.45">
      <c r="S2750" s="452"/>
      <c r="T2750" s="452"/>
      <c r="U2750" s="452"/>
      <c r="V2750" s="452"/>
      <c r="W2750" s="452"/>
    </row>
    <row r="2751" spans="19:23" ht="15" customHeight="1" x14ac:dyDescent="0.45">
      <c r="S2751" s="452"/>
      <c r="T2751" s="452"/>
      <c r="U2751" s="452"/>
      <c r="V2751" s="452"/>
      <c r="W2751" s="452"/>
    </row>
    <row r="2752" spans="19:23" ht="15" customHeight="1" x14ac:dyDescent="0.45">
      <c r="S2752" s="452"/>
      <c r="T2752" s="452"/>
      <c r="U2752" s="452"/>
      <c r="V2752" s="452"/>
      <c r="W2752" s="452"/>
    </row>
    <row r="2753" spans="19:23" ht="15" customHeight="1" x14ac:dyDescent="0.45">
      <c r="S2753" s="452"/>
      <c r="T2753" s="452"/>
      <c r="U2753" s="452"/>
      <c r="V2753" s="452"/>
      <c r="W2753" s="452"/>
    </row>
    <row r="2754" spans="19:23" ht="15" customHeight="1" x14ac:dyDescent="0.45">
      <c r="S2754" s="452"/>
      <c r="T2754" s="452"/>
      <c r="U2754" s="452"/>
      <c r="V2754" s="452"/>
      <c r="W2754" s="452"/>
    </row>
    <row r="2755" spans="19:23" ht="15" customHeight="1" x14ac:dyDescent="0.45">
      <c r="S2755" s="452"/>
      <c r="T2755" s="452"/>
      <c r="U2755" s="452"/>
      <c r="V2755" s="452"/>
      <c r="W2755" s="452"/>
    </row>
    <row r="2756" spans="19:23" ht="15" customHeight="1" x14ac:dyDescent="0.45">
      <c r="S2756" s="452"/>
      <c r="T2756" s="452"/>
      <c r="U2756" s="452"/>
      <c r="V2756" s="452"/>
      <c r="W2756" s="452"/>
    </row>
    <row r="2757" spans="19:23" ht="15" customHeight="1" x14ac:dyDescent="0.45">
      <c r="S2757" s="452"/>
      <c r="T2757" s="452"/>
      <c r="U2757" s="452"/>
      <c r="V2757" s="452"/>
      <c r="W2757" s="452"/>
    </row>
    <row r="2758" spans="19:23" ht="15" customHeight="1" x14ac:dyDescent="0.45">
      <c r="S2758" s="452"/>
      <c r="T2758" s="452"/>
      <c r="U2758" s="452"/>
      <c r="V2758" s="452"/>
      <c r="W2758" s="452"/>
    </row>
    <row r="2759" spans="19:23" ht="15" customHeight="1" x14ac:dyDescent="0.45">
      <c r="S2759" s="452"/>
      <c r="T2759" s="452"/>
      <c r="U2759" s="452"/>
      <c r="V2759" s="452"/>
      <c r="W2759" s="452"/>
    </row>
    <row r="2760" spans="19:23" ht="15" customHeight="1" x14ac:dyDescent="0.45">
      <c r="S2760" s="452"/>
      <c r="T2760" s="452"/>
      <c r="U2760" s="452"/>
      <c r="V2760" s="452"/>
      <c r="W2760" s="452"/>
    </row>
    <row r="2761" spans="19:23" ht="15" customHeight="1" x14ac:dyDescent="0.45">
      <c r="S2761" s="452"/>
      <c r="T2761" s="452"/>
      <c r="U2761" s="452"/>
      <c r="V2761" s="452"/>
      <c r="W2761" s="452"/>
    </row>
    <row r="2762" spans="19:23" ht="15" customHeight="1" x14ac:dyDescent="0.45">
      <c r="S2762" s="452"/>
      <c r="T2762" s="452"/>
      <c r="U2762" s="452"/>
      <c r="V2762" s="452"/>
      <c r="W2762" s="452"/>
    </row>
    <row r="2763" spans="19:23" ht="15" customHeight="1" x14ac:dyDescent="0.45">
      <c r="S2763" s="452"/>
      <c r="T2763" s="452"/>
      <c r="U2763" s="452"/>
      <c r="V2763" s="452"/>
      <c r="W2763" s="452"/>
    </row>
    <row r="2764" spans="19:23" ht="15" customHeight="1" x14ac:dyDescent="0.45">
      <c r="S2764" s="452"/>
      <c r="T2764" s="452"/>
      <c r="U2764" s="452"/>
      <c r="V2764" s="452"/>
      <c r="W2764" s="452"/>
    </row>
    <row r="2765" spans="19:23" ht="15" customHeight="1" x14ac:dyDescent="0.45">
      <c r="S2765" s="452"/>
      <c r="T2765" s="452"/>
      <c r="U2765" s="452"/>
      <c r="V2765" s="452"/>
      <c r="W2765" s="452"/>
    </row>
    <row r="2766" spans="19:23" ht="15" customHeight="1" x14ac:dyDescent="0.45">
      <c r="S2766" s="452"/>
      <c r="T2766" s="452"/>
      <c r="U2766" s="452"/>
      <c r="V2766" s="452"/>
      <c r="W2766" s="452"/>
    </row>
    <row r="2767" spans="19:23" ht="15" customHeight="1" x14ac:dyDescent="0.45">
      <c r="S2767" s="452"/>
      <c r="T2767" s="452"/>
      <c r="U2767" s="452"/>
      <c r="V2767" s="452"/>
      <c r="W2767" s="452"/>
    </row>
    <row r="2768" spans="19:23" ht="15" customHeight="1" x14ac:dyDescent="0.45">
      <c r="S2768" s="452"/>
      <c r="T2768" s="452"/>
      <c r="U2768" s="452"/>
      <c r="V2768" s="452"/>
      <c r="W2768" s="452"/>
    </row>
    <row r="2769" spans="19:23" ht="15" customHeight="1" x14ac:dyDescent="0.45">
      <c r="S2769" s="452"/>
      <c r="T2769" s="452"/>
      <c r="U2769" s="452"/>
      <c r="V2769" s="452"/>
      <c r="W2769" s="452"/>
    </row>
    <row r="2770" spans="19:23" ht="15" customHeight="1" x14ac:dyDescent="0.45">
      <c r="S2770" s="452"/>
      <c r="T2770" s="452"/>
      <c r="U2770" s="452"/>
      <c r="V2770" s="452"/>
      <c r="W2770" s="452"/>
    </row>
    <row r="2771" spans="19:23" ht="15" customHeight="1" x14ac:dyDescent="0.45">
      <c r="S2771" s="452"/>
      <c r="T2771" s="452"/>
      <c r="U2771" s="452"/>
      <c r="V2771" s="452"/>
      <c r="W2771" s="452"/>
    </row>
    <row r="2772" spans="19:23" ht="15" customHeight="1" x14ac:dyDescent="0.45">
      <c r="S2772" s="452"/>
      <c r="T2772" s="452"/>
      <c r="U2772" s="452"/>
      <c r="V2772" s="452"/>
      <c r="W2772" s="452"/>
    </row>
    <row r="2773" spans="19:23" ht="15" customHeight="1" x14ac:dyDescent="0.45">
      <c r="S2773" s="452"/>
      <c r="T2773" s="452"/>
      <c r="U2773" s="452"/>
      <c r="V2773" s="452"/>
      <c r="W2773" s="452"/>
    </row>
    <row r="2774" spans="19:23" ht="15" customHeight="1" x14ac:dyDescent="0.45">
      <c r="S2774" s="452"/>
      <c r="T2774" s="452"/>
      <c r="U2774" s="452"/>
      <c r="V2774" s="452"/>
      <c r="W2774" s="452"/>
    </row>
    <row r="2775" spans="19:23" ht="15" customHeight="1" x14ac:dyDescent="0.45">
      <c r="S2775" s="452"/>
      <c r="T2775" s="452"/>
      <c r="U2775" s="452"/>
      <c r="V2775" s="452"/>
      <c r="W2775" s="452"/>
    </row>
    <row r="2776" spans="19:23" ht="15" customHeight="1" x14ac:dyDescent="0.45">
      <c r="S2776" s="452"/>
      <c r="T2776" s="452"/>
      <c r="U2776" s="452"/>
      <c r="V2776" s="452"/>
      <c r="W2776" s="452"/>
    </row>
    <row r="2777" spans="19:23" ht="15" customHeight="1" x14ac:dyDescent="0.45">
      <c r="S2777" s="452"/>
      <c r="T2777" s="452"/>
      <c r="U2777" s="452"/>
      <c r="V2777" s="452"/>
      <c r="W2777" s="452"/>
    </row>
    <row r="2778" spans="19:23" ht="15" customHeight="1" x14ac:dyDescent="0.45">
      <c r="S2778" s="452"/>
      <c r="T2778" s="452"/>
      <c r="U2778" s="452"/>
      <c r="V2778" s="452"/>
      <c r="W2778" s="452"/>
    </row>
    <row r="2779" spans="19:23" ht="15" customHeight="1" x14ac:dyDescent="0.45">
      <c r="S2779" s="452"/>
      <c r="T2779" s="452"/>
      <c r="U2779" s="452"/>
      <c r="V2779" s="452"/>
      <c r="W2779" s="452"/>
    </row>
    <row r="2780" spans="19:23" ht="15" customHeight="1" x14ac:dyDescent="0.45">
      <c r="S2780" s="452"/>
      <c r="T2780" s="452"/>
      <c r="U2780" s="452"/>
      <c r="V2780" s="452"/>
      <c r="W2780" s="452"/>
    </row>
    <row r="2781" spans="19:23" ht="15" customHeight="1" x14ac:dyDescent="0.45">
      <c r="S2781" s="452"/>
      <c r="T2781" s="452"/>
      <c r="U2781" s="452"/>
      <c r="V2781" s="452"/>
      <c r="W2781" s="452"/>
    </row>
    <row r="2782" spans="19:23" ht="15" customHeight="1" x14ac:dyDescent="0.45">
      <c r="S2782" s="452"/>
      <c r="T2782" s="452"/>
      <c r="U2782" s="452"/>
      <c r="V2782" s="452"/>
      <c r="W2782" s="452"/>
    </row>
    <row r="2783" spans="19:23" ht="15" customHeight="1" x14ac:dyDescent="0.45">
      <c r="S2783" s="452"/>
      <c r="T2783" s="452"/>
      <c r="U2783" s="452"/>
      <c r="V2783" s="452"/>
      <c r="W2783" s="452"/>
    </row>
    <row r="2784" spans="19:23" ht="15" customHeight="1" x14ac:dyDescent="0.45">
      <c r="S2784" s="452"/>
      <c r="T2784" s="452"/>
      <c r="U2784" s="452"/>
      <c r="V2784" s="452"/>
      <c r="W2784" s="452"/>
    </row>
    <row r="2785" spans="19:23" ht="15" customHeight="1" x14ac:dyDescent="0.45">
      <c r="S2785" s="452"/>
      <c r="T2785" s="452"/>
      <c r="U2785" s="452"/>
      <c r="V2785" s="452"/>
      <c r="W2785" s="452"/>
    </row>
    <row r="2786" spans="19:23" ht="15" customHeight="1" x14ac:dyDescent="0.45">
      <c r="S2786" s="452"/>
      <c r="T2786" s="452"/>
      <c r="U2786" s="452"/>
      <c r="V2786" s="452"/>
      <c r="W2786" s="452"/>
    </row>
    <row r="2787" spans="19:23" ht="15" customHeight="1" x14ac:dyDescent="0.45">
      <c r="S2787" s="452"/>
      <c r="T2787" s="452"/>
      <c r="U2787" s="452"/>
      <c r="V2787" s="452"/>
      <c r="W2787" s="452"/>
    </row>
    <row r="2788" spans="19:23" ht="15" customHeight="1" x14ac:dyDescent="0.45">
      <c r="S2788" s="452"/>
      <c r="T2788" s="452"/>
      <c r="U2788" s="452"/>
      <c r="V2788" s="452"/>
      <c r="W2788" s="452"/>
    </row>
    <row r="2789" spans="19:23" ht="15" customHeight="1" x14ac:dyDescent="0.45">
      <c r="S2789" s="452"/>
      <c r="T2789" s="452"/>
      <c r="U2789" s="452"/>
      <c r="V2789" s="452"/>
      <c r="W2789" s="452"/>
    </row>
    <row r="2790" spans="19:23" ht="15" customHeight="1" x14ac:dyDescent="0.45">
      <c r="S2790" s="452"/>
      <c r="T2790" s="452"/>
      <c r="U2790" s="452"/>
      <c r="V2790" s="452"/>
      <c r="W2790" s="452"/>
    </row>
    <row r="2791" spans="19:23" ht="15" customHeight="1" x14ac:dyDescent="0.45">
      <c r="S2791" s="452"/>
      <c r="T2791" s="452"/>
      <c r="U2791" s="452"/>
      <c r="V2791" s="452"/>
      <c r="W2791" s="452"/>
    </row>
    <row r="2792" spans="19:23" ht="15" customHeight="1" x14ac:dyDescent="0.45">
      <c r="S2792" s="452"/>
      <c r="T2792" s="452"/>
      <c r="U2792" s="452"/>
      <c r="V2792" s="452"/>
      <c r="W2792" s="452"/>
    </row>
    <row r="2793" spans="19:23" ht="15" customHeight="1" x14ac:dyDescent="0.45">
      <c r="S2793" s="452"/>
      <c r="T2793" s="452"/>
      <c r="U2793" s="452"/>
      <c r="V2793" s="452"/>
      <c r="W2793" s="452"/>
    </row>
    <row r="2794" spans="19:23" ht="15" customHeight="1" x14ac:dyDescent="0.45">
      <c r="S2794" s="452"/>
      <c r="T2794" s="452"/>
      <c r="U2794" s="452"/>
      <c r="V2794" s="452"/>
      <c r="W2794" s="452"/>
    </row>
    <row r="2795" spans="19:23" ht="15" customHeight="1" x14ac:dyDescent="0.45">
      <c r="S2795" s="452"/>
      <c r="T2795" s="452"/>
      <c r="U2795" s="452"/>
      <c r="V2795" s="452"/>
      <c r="W2795" s="452"/>
    </row>
    <row r="2796" spans="19:23" ht="15" customHeight="1" x14ac:dyDescent="0.45">
      <c r="S2796" s="452"/>
      <c r="T2796" s="452"/>
      <c r="U2796" s="452"/>
      <c r="V2796" s="452"/>
      <c r="W2796" s="452"/>
    </row>
    <row r="2797" spans="19:23" ht="15" customHeight="1" x14ac:dyDescent="0.45">
      <c r="S2797" s="452"/>
      <c r="T2797" s="452"/>
      <c r="U2797" s="452"/>
      <c r="V2797" s="452"/>
      <c r="W2797" s="452"/>
    </row>
    <row r="2798" spans="19:23" ht="15" customHeight="1" x14ac:dyDescent="0.45">
      <c r="S2798" s="452"/>
      <c r="T2798" s="452"/>
      <c r="U2798" s="452"/>
      <c r="V2798" s="452"/>
      <c r="W2798" s="452"/>
    </row>
    <row r="2799" spans="19:23" ht="15" customHeight="1" x14ac:dyDescent="0.45">
      <c r="S2799" s="452"/>
      <c r="T2799" s="452"/>
      <c r="U2799" s="452"/>
      <c r="V2799" s="452"/>
      <c r="W2799" s="452"/>
    </row>
    <row r="2800" spans="19:23" ht="15" customHeight="1" x14ac:dyDescent="0.45">
      <c r="S2800" s="452"/>
      <c r="T2800" s="452"/>
      <c r="U2800" s="452"/>
      <c r="V2800" s="452"/>
      <c r="W2800" s="452"/>
    </row>
    <row r="2801" spans="19:23" ht="15" customHeight="1" x14ac:dyDescent="0.45">
      <c r="S2801" s="452"/>
      <c r="T2801" s="452"/>
      <c r="U2801" s="452"/>
      <c r="V2801" s="452"/>
      <c r="W2801" s="452"/>
    </row>
    <row r="2802" spans="19:23" ht="15" customHeight="1" x14ac:dyDescent="0.45">
      <c r="S2802" s="452"/>
      <c r="T2802" s="452"/>
      <c r="U2802" s="452"/>
      <c r="V2802" s="452"/>
      <c r="W2802" s="452"/>
    </row>
    <row r="2803" spans="19:23" ht="15" customHeight="1" x14ac:dyDescent="0.45">
      <c r="S2803" s="452"/>
      <c r="T2803" s="452"/>
      <c r="U2803" s="452"/>
      <c r="V2803" s="452"/>
      <c r="W2803" s="452"/>
    </row>
    <row r="2804" spans="19:23" ht="15" customHeight="1" x14ac:dyDescent="0.45">
      <c r="S2804" s="452"/>
      <c r="T2804" s="452"/>
      <c r="U2804" s="452"/>
      <c r="V2804" s="452"/>
      <c r="W2804" s="452"/>
    </row>
    <row r="2805" spans="19:23" ht="15" customHeight="1" x14ac:dyDescent="0.45">
      <c r="S2805" s="452"/>
      <c r="T2805" s="452"/>
      <c r="U2805" s="452"/>
      <c r="V2805" s="452"/>
      <c r="W2805" s="452"/>
    </row>
    <row r="2806" spans="19:23" ht="15" customHeight="1" x14ac:dyDescent="0.45">
      <c r="S2806" s="452"/>
      <c r="T2806" s="452"/>
      <c r="U2806" s="452"/>
      <c r="V2806" s="452"/>
      <c r="W2806" s="452"/>
    </row>
    <row r="2807" spans="19:23" ht="15" customHeight="1" x14ac:dyDescent="0.45">
      <c r="S2807" s="452"/>
      <c r="T2807" s="452"/>
      <c r="U2807" s="452"/>
      <c r="V2807" s="452"/>
      <c r="W2807" s="452"/>
    </row>
    <row r="2808" spans="19:23" ht="15" customHeight="1" x14ac:dyDescent="0.45">
      <c r="S2808" s="452"/>
      <c r="T2808" s="452"/>
      <c r="U2808" s="452"/>
      <c r="V2808" s="452"/>
      <c r="W2808" s="452"/>
    </row>
    <row r="2809" spans="19:23" ht="15" customHeight="1" x14ac:dyDescent="0.45">
      <c r="S2809" s="452"/>
      <c r="T2809" s="452"/>
      <c r="U2809" s="452"/>
      <c r="V2809" s="452"/>
      <c r="W2809" s="452"/>
    </row>
    <row r="2810" spans="19:23" ht="15" customHeight="1" x14ac:dyDescent="0.45">
      <c r="S2810" s="452"/>
      <c r="T2810" s="452"/>
      <c r="U2810" s="452"/>
      <c r="V2810" s="452"/>
      <c r="W2810" s="452"/>
    </row>
    <row r="2811" spans="19:23" ht="15" customHeight="1" x14ac:dyDescent="0.45">
      <c r="S2811" s="452"/>
      <c r="T2811" s="452"/>
      <c r="U2811" s="452"/>
      <c r="V2811" s="452"/>
      <c r="W2811" s="452"/>
    </row>
    <row r="2812" spans="19:23" ht="15" customHeight="1" x14ac:dyDescent="0.45">
      <c r="S2812" s="452"/>
      <c r="T2812" s="452"/>
      <c r="U2812" s="452"/>
      <c r="V2812" s="452"/>
      <c r="W2812" s="452"/>
    </row>
    <row r="2813" spans="19:23" ht="15" customHeight="1" x14ac:dyDescent="0.45">
      <c r="S2813" s="452"/>
      <c r="T2813" s="452"/>
      <c r="U2813" s="452"/>
      <c r="V2813" s="452"/>
      <c r="W2813" s="452"/>
    </row>
    <row r="2814" spans="19:23" ht="15" customHeight="1" x14ac:dyDescent="0.45">
      <c r="S2814" s="452"/>
      <c r="T2814" s="452"/>
      <c r="U2814" s="452"/>
      <c r="V2814" s="452"/>
      <c r="W2814" s="452"/>
    </row>
    <row r="2815" spans="19:23" ht="15" customHeight="1" x14ac:dyDescent="0.45">
      <c r="S2815" s="452"/>
      <c r="T2815" s="452"/>
      <c r="U2815" s="452"/>
      <c r="V2815" s="452"/>
      <c r="W2815" s="452"/>
    </row>
    <row r="2816" spans="19:23" ht="15" customHeight="1" x14ac:dyDescent="0.45">
      <c r="S2816" s="452"/>
      <c r="T2816" s="452"/>
      <c r="U2816" s="452"/>
      <c r="V2816" s="452"/>
      <c r="W2816" s="452"/>
    </row>
    <row r="2817" spans="19:23" ht="15" customHeight="1" x14ac:dyDescent="0.45">
      <c r="S2817" s="452"/>
      <c r="T2817" s="452"/>
      <c r="U2817" s="452"/>
      <c r="V2817" s="452"/>
      <c r="W2817" s="452"/>
    </row>
    <row r="2818" spans="19:23" ht="15" customHeight="1" x14ac:dyDescent="0.45">
      <c r="S2818" s="452"/>
      <c r="T2818" s="452"/>
      <c r="U2818" s="452"/>
      <c r="V2818" s="452"/>
      <c r="W2818" s="452"/>
    </row>
    <row r="2819" spans="19:23" ht="15" customHeight="1" x14ac:dyDescent="0.45">
      <c r="S2819" s="452"/>
      <c r="T2819" s="452"/>
      <c r="U2819" s="452"/>
      <c r="V2819" s="452"/>
      <c r="W2819" s="452"/>
    </row>
    <row r="2820" spans="19:23" ht="15" customHeight="1" x14ac:dyDescent="0.45">
      <c r="S2820" s="452"/>
      <c r="T2820" s="452"/>
      <c r="U2820" s="452"/>
      <c r="V2820" s="452"/>
      <c r="W2820" s="452"/>
    </row>
    <row r="2821" spans="19:23" ht="15" customHeight="1" x14ac:dyDescent="0.45">
      <c r="S2821" s="452"/>
      <c r="T2821" s="452"/>
      <c r="U2821" s="452"/>
      <c r="V2821" s="452"/>
      <c r="W2821" s="452"/>
    </row>
    <row r="2822" spans="19:23" ht="15" customHeight="1" x14ac:dyDescent="0.45">
      <c r="S2822" s="452"/>
      <c r="T2822" s="452"/>
      <c r="U2822" s="452"/>
      <c r="V2822" s="452"/>
      <c r="W2822" s="452"/>
    </row>
    <row r="2823" spans="19:23" ht="15" customHeight="1" x14ac:dyDescent="0.45">
      <c r="S2823" s="452"/>
      <c r="T2823" s="452"/>
      <c r="U2823" s="452"/>
      <c r="V2823" s="452"/>
      <c r="W2823" s="452"/>
    </row>
    <row r="2824" spans="19:23" ht="15" customHeight="1" x14ac:dyDescent="0.45">
      <c r="S2824" s="452"/>
      <c r="T2824" s="452"/>
      <c r="U2824" s="452"/>
      <c r="V2824" s="452"/>
      <c r="W2824" s="452"/>
    </row>
    <row r="2825" spans="19:23" ht="15" customHeight="1" x14ac:dyDescent="0.45">
      <c r="S2825" s="452"/>
      <c r="T2825" s="452"/>
      <c r="U2825" s="452"/>
      <c r="V2825" s="452"/>
      <c r="W2825" s="452"/>
    </row>
    <row r="2826" spans="19:23" ht="15" customHeight="1" x14ac:dyDescent="0.45">
      <c r="S2826" s="452"/>
      <c r="T2826" s="452"/>
      <c r="U2826" s="452"/>
      <c r="V2826" s="452"/>
      <c r="W2826" s="452"/>
    </row>
    <row r="2827" spans="19:23" ht="15" customHeight="1" x14ac:dyDescent="0.45">
      <c r="S2827" s="452"/>
      <c r="T2827" s="452"/>
      <c r="U2827" s="452"/>
      <c r="V2827" s="452"/>
      <c r="W2827" s="452"/>
    </row>
    <row r="2828" spans="19:23" ht="15" customHeight="1" x14ac:dyDescent="0.45">
      <c r="S2828" s="452"/>
      <c r="T2828" s="452"/>
      <c r="U2828" s="452"/>
      <c r="V2828" s="452"/>
      <c r="W2828" s="452"/>
    </row>
    <row r="2829" spans="19:23" ht="15" customHeight="1" x14ac:dyDescent="0.45">
      <c r="S2829" s="452"/>
      <c r="T2829" s="452"/>
      <c r="U2829" s="452"/>
      <c r="V2829" s="452"/>
      <c r="W2829" s="452"/>
    </row>
    <row r="2830" spans="19:23" ht="15" customHeight="1" x14ac:dyDescent="0.45">
      <c r="S2830" s="452"/>
      <c r="T2830" s="452"/>
      <c r="U2830" s="452"/>
      <c r="V2830" s="452"/>
      <c r="W2830" s="452"/>
    </row>
    <row r="2831" spans="19:23" ht="15" customHeight="1" x14ac:dyDescent="0.45">
      <c r="S2831" s="452"/>
      <c r="T2831" s="452"/>
      <c r="U2831" s="452"/>
      <c r="V2831" s="452"/>
      <c r="W2831" s="452"/>
    </row>
    <row r="2832" spans="19:23" ht="15" customHeight="1" x14ac:dyDescent="0.45">
      <c r="S2832" s="452"/>
      <c r="T2832" s="452"/>
      <c r="U2832" s="452"/>
      <c r="V2832" s="452"/>
      <c r="W2832" s="452"/>
    </row>
    <row r="2833" spans="19:23" ht="15" customHeight="1" x14ac:dyDescent="0.45">
      <c r="S2833" s="452"/>
      <c r="T2833" s="452"/>
      <c r="U2833" s="452"/>
      <c r="V2833" s="452"/>
      <c r="W2833" s="452"/>
    </row>
    <row r="2834" spans="19:23" ht="15" customHeight="1" x14ac:dyDescent="0.45">
      <c r="S2834" s="452"/>
      <c r="T2834" s="452"/>
      <c r="U2834" s="452"/>
      <c r="V2834" s="452"/>
      <c r="W2834" s="452"/>
    </row>
    <row r="2835" spans="19:23" ht="15" customHeight="1" x14ac:dyDescent="0.45">
      <c r="S2835" s="452"/>
      <c r="T2835" s="452"/>
      <c r="U2835" s="452"/>
      <c r="V2835" s="452"/>
      <c r="W2835" s="452"/>
    </row>
    <row r="2836" spans="19:23" ht="15" customHeight="1" x14ac:dyDescent="0.45">
      <c r="S2836" s="452"/>
      <c r="T2836" s="452"/>
      <c r="U2836" s="452"/>
      <c r="V2836" s="452"/>
      <c r="W2836" s="452"/>
    </row>
    <row r="2837" spans="19:23" ht="15" customHeight="1" x14ac:dyDescent="0.45">
      <c r="S2837" s="452"/>
      <c r="T2837" s="452"/>
      <c r="U2837" s="452"/>
      <c r="V2837" s="452"/>
      <c r="W2837" s="452"/>
    </row>
    <row r="2838" spans="19:23" ht="15" customHeight="1" x14ac:dyDescent="0.45">
      <c r="S2838" s="452"/>
      <c r="T2838" s="452"/>
      <c r="U2838" s="452"/>
      <c r="V2838" s="452"/>
      <c r="W2838" s="452"/>
    </row>
    <row r="2839" spans="19:23" ht="15" customHeight="1" x14ac:dyDescent="0.45">
      <c r="S2839" s="452"/>
      <c r="T2839" s="452"/>
      <c r="U2839" s="452"/>
      <c r="V2839" s="452"/>
      <c r="W2839" s="452"/>
    </row>
    <row r="2840" spans="19:23" ht="15" customHeight="1" x14ac:dyDescent="0.45">
      <c r="S2840" s="452"/>
      <c r="T2840" s="452"/>
      <c r="U2840" s="452"/>
      <c r="V2840" s="452"/>
      <c r="W2840" s="452"/>
    </row>
    <row r="2841" spans="19:23" ht="15" customHeight="1" x14ac:dyDescent="0.45">
      <c r="S2841" s="452"/>
      <c r="T2841" s="452"/>
      <c r="U2841" s="452"/>
      <c r="V2841" s="452"/>
      <c r="W2841" s="452"/>
    </row>
    <row r="2842" spans="19:23" ht="15" customHeight="1" x14ac:dyDescent="0.45">
      <c r="S2842" s="452"/>
      <c r="T2842" s="452"/>
      <c r="U2842" s="452"/>
      <c r="V2842" s="452"/>
      <c r="W2842" s="452"/>
    </row>
    <row r="2843" spans="19:23" ht="15" customHeight="1" x14ac:dyDescent="0.45">
      <c r="S2843" s="452"/>
      <c r="T2843" s="452"/>
      <c r="U2843" s="452"/>
      <c r="V2843" s="452"/>
      <c r="W2843" s="452"/>
    </row>
    <row r="2844" spans="19:23" ht="15" customHeight="1" x14ac:dyDescent="0.45">
      <c r="S2844" s="452"/>
      <c r="T2844" s="452"/>
      <c r="U2844" s="452"/>
      <c r="V2844" s="452"/>
      <c r="W2844" s="452"/>
    </row>
    <row r="2845" spans="19:23" ht="15" customHeight="1" x14ac:dyDescent="0.45">
      <c r="S2845" s="452"/>
      <c r="T2845" s="452"/>
      <c r="U2845" s="452"/>
      <c r="V2845" s="452"/>
      <c r="W2845" s="452"/>
    </row>
    <row r="2846" spans="19:23" ht="15" customHeight="1" x14ac:dyDescent="0.45">
      <c r="S2846" s="452"/>
      <c r="T2846" s="452"/>
      <c r="U2846" s="452"/>
      <c r="V2846" s="452"/>
      <c r="W2846" s="452"/>
    </row>
    <row r="2847" spans="19:23" ht="15" customHeight="1" x14ac:dyDescent="0.45">
      <c r="S2847" s="452"/>
      <c r="T2847" s="452"/>
      <c r="U2847" s="452"/>
      <c r="V2847" s="452"/>
      <c r="W2847" s="452"/>
    </row>
    <row r="2848" spans="19:23" ht="15" customHeight="1" x14ac:dyDescent="0.45">
      <c r="S2848" s="452"/>
      <c r="T2848" s="452"/>
      <c r="U2848" s="452"/>
      <c r="V2848" s="452"/>
      <c r="W2848" s="452"/>
    </row>
    <row r="2849" spans="19:23" ht="15" customHeight="1" x14ac:dyDescent="0.45">
      <c r="S2849" s="452"/>
      <c r="T2849" s="452"/>
      <c r="U2849" s="452"/>
      <c r="V2849" s="452"/>
      <c r="W2849" s="452"/>
    </row>
    <row r="2850" spans="19:23" ht="15" customHeight="1" x14ac:dyDescent="0.45">
      <c r="S2850" s="452"/>
      <c r="T2850" s="452"/>
      <c r="U2850" s="452"/>
      <c r="V2850" s="452"/>
      <c r="W2850" s="452"/>
    </row>
    <row r="2851" spans="19:23" ht="15" customHeight="1" x14ac:dyDescent="0.45">
      <c r="S2851" s="452"/>
      <c r="T2851" s="452"/>
      <c r="U2851" s="452"/>
      <c r="V2851" s="452"/>
      <c r="W2851" s="452"/>
    </row>
    <row r="2852" spans="19:23" ht="15" customHeight="1" x14ac:dyDescent="0.45">
      <c r="S2852" s="452"/>
      <c r="T2852" s="452"/>
      <c r="U2852" s="452"/>
      <c r="V2852" s="452"/>
      <c r="W2852" s="452"/>
    </row>
    <row r="2853" spans="19:23" ht="15" customHeight="1" x14ac:dyDescent="0.45">
      <c r="S2853" s="452"/>
      <c r="T2853" s="452"/>
      <c r="U2853" s="452"/>
      <c r="V2853" s="452"/>
      <c r="W2853" s="452"/>
    </row>
    <row r="2854" spans="19:23" ht="15" customHeight="1" x14ac:dyDescent="0.45">
      <c r="S2854" s="452"/>
      <c r="T2854" s="452"/>
      <c r="U2854" s="452"/>
      <c r="V2854" s="452"/>
      <c r="W2854" s="452"/>
    </row>
    <row r="2855" spans="19:23" ht="15" customHeight="1" x14ac:dyDescent="0.45">
      <c r="S2855" s="452"/>
      <c r="T2855" s="452"/>
      <c r="U2855" s="452"/>
      <c r="V2855" s="452"/>
      <c r="W2855" s="452"/>
    </row>
    <row r="2856" spans="19:23" ht="15" customHeight="1" x14ac:dyDescent="0.45">
      <c r="S2856" s="452"/>
      <c r="T2856" s="452"/>
      <c r="U2856" s="452"/>
      <c r="V2856" s="452"/>
      <c r="W2856" s="452"/>
    </row>
    <row r="2857" spans="19:23" ht="15" customHeight="1" x14ac:dyDescent="0.45">
      <c r="S2857" s="452"/>
      <c r="T2857" s="452"/>
      <c r="U2857" s="452"/>
      <c r="V2857" s="452"/>
      <c r="W2857" s="452"/>
    </row>
    <row r="2858" spans="19:23" ht="15" customHeight="1" x14ac:dyDescent="0.45">
      <c r="S2858" s="452"/>
      <c r="T2858" s="452"/>
      <c r="U2858" s="452"/>
      <c r="V2858" s="452"/>
      <c r="W2858" s="452"/>
    </row>
    <row r="2859" spans="19:23" ht="15" customHeight="1" x14ac:dyDescent="0.45">
      <c r="S2859" s="452"/>
      <c r="T2859" s="452"/>
      <c r="U2859" s="452"/>
      <c r="V2859" s="452"/>
      <c r="W2859" s="452"/>
    </row>
    <row r="2860" spans="19:23" ht="15" customHeight="1" x14ac:dyDescent="0.45">
      <c r="S2860" s="452"/>
      <c r="T2860" s="452"/>
      <c r="U2860" s="452"/>
      <c r="V2860" s="452"/>
      <c r="W2860" s="452"/>
    </row>
    <row r="2861" spans="19:23" ht="15" customHeight="1" x14ac:dyDescent="0.45">
      <c r="S2861" s="452"/>
      <c r="T2861" s="452"/>
      <c r="U2861" s="452"/>
      <c r="V2861" s="452"/>
      <c r="W2861" s="452"/>
    </row>
    <row r="2862" spans="19:23" ht="15" customHeight="1" x14ac:dyDescent="0.45">
      <c r="S2862" s="452"/>
      <c r="T2862" s="452"/>
      <c r="U2862" s="452"/>
      <c r="V2862" s="452"/>
      <c r="W2862" s="452"/>
    </row>
    <row r="2863" spans="19:23" ht="15" customHeight="1" x14ac:dyDescent="0.45">
      <c r="S2863" s="452"/>
      <c r="T2863" s="452"/>
      <c r="U2863" s="452"/>
      <c r="V2863" s="452"/>
      <c r="W2863" s="452"/>
    </row>
    <row r="2864" spans="19:23" ht="15" customHeight="1" x14ac:dyDescent="0.45">
      <c r="S2864" s="452"/>
      <c r="T2864" s="452"/>
      <c r="U2864" s="452"/>
      <c r="V2864" s="452"/>
      <c r="W2864" s="452"/>
    </row>
    <row r="2865" spans="19:23" ht="15" customHeight="1" x14ac:dyDescent="0.45">
      <c r="S2865" s="452"/>
      <c r="T2865" s="452"/>
      <c r="U2865" s="452"/>
      <c r="V2865" s="452"/>
      <c r="W2865" s="452"/>
    </row>
    <row r="2866" spans="19:23" ht="15" customHeight="1" x14ac:dyDescent="0.45">
      <c r="S2866" s="452"/>
      <c r="T2866" s="452"/>
      <c r="U2866" s="452"/>
      <c r="V2866" s="452"/>
      <c r="W2866" s="452"/>
    </row>
    <row r="2867" spans="19:23" ht="15" customHeight="1" x14ac:dyDescent="0.45">
      <c r="S2867" s="452"/>
      <c r="T2867" s="452"/>
      <c r="U2867" s="452"/>
      <c r="V2867" s="452"/>
      <c r="W2867" s="452"/>
    </row>
    <row r="2868" spans="19:23" ht="15" customHeight="1" x14ac:dyDescent="0.45">
      <c r="S2868" s="452"/>
      <c r="T2868" s="452"/>
      <c r="U2868" s="452"/>
      <c r="V2868" s="452"/>
      <c r="W2868" s="452"/>
    </row>
    <row r="2869" spans="19:23" ht="15" customHeight="1" x14ac:dyDescent="0.45">
      <c r="S2869" s="452"/>
      <c r="T2869" s="452"/>
      <c r="U2869" s="452"/>
      <c r="V2869" s="452"/>
      <c r="W2869" s="452"/>
    </row>
    <row r="2870" spans="19:23" ht="15" customHeight="1" x14ac:dyDescent="0.45">
      <c r="S2870" s="452"/>
      <c r="T2870" s="452"/>
      <c r="U2870" s="452"/>
      <c r="V2870" s="452"/>
      <c r="W2870" s="452"/>
    </row>
    <row r="2871" spans="19:23" ht="15" customHeight="1" x14ac:dyDescent="0.45">
      <c r="S2871" s="452"/>
      <c r="T2871" s="452"/>
      <c r="U2871" s="452"/>
      <c r="V2871" s="452"/>
      <c r="W2871" s="452"/>
    </row>
    <row r="2872" spans="19:23" ht="15" customHeight="1" x14ac:dyDescent="0.45">
      <c r="S2872" s="452"/>
      <c r="T2872" s="452"/>
      <c r="U2872" s="452"/>
      <c r="V2872" s="452"/>
      <c r="W2872" s="452"/>
    </row>
    <row r="2873" spans="19:23" ht="15" customHeight="1" x14ac:dyDescent="0.45">
      <c r="S2873" s="452"/>
      <c r="T2873" s="452"/>
      <c r="U2873" s="452"/>
      <c r="V2873" s="452"/>
      <c r="W2873" s="452"/>
    </row>
    <row r="2874" spans="19:23" ht="15" customHeight="1" x14ac:dyDescent="0.45">
      <c r="S2874" s="452"/>
      <c r="T2874" s="452"/>
      <c r="U2874" s="452"/>
      <c r="V2874" s="452"/>
      <c r="W2874" s="452"/>
    </row>
    <row r="2875" spans="19:23" ht="15" customHeight="1" x14ac:dyDescent="0.45">
      <c r="S2875" s="452"/>
      <c r="T2875" s="452"/>
      <c r="U2875" s="452"/>
      <c r="V2875" s="452"/>
      <c r="W2875" s="452"/>
    </row>
    <row r="2876" spans="19:23" ht="15" customHeight="1" x14ac:dyDescent="0.45">
      <c r="S2876" s="452"/>
      <c r="T2876" s="452"/>
      <c r="U2876" s="452"/>
      <c r="V2876" s="452"/>
      <c r="W2876" s="452"/>
    </row>
    <row r="2877" spans="19:23" ht="15" customHeight="1" x14ac:dyDescent="0.45">
      <c r="S2877" s="452"/>
      <c r="T2877" s="452"/>
      <c r="U2877" s="452"/>
      <c r="V2877" s="452"/>
      <c r="W2877" s="452"/>
    </row>
    <row r="2878" spans="19:23" ht="15" customHeight="1" x14ac:dyDescent="0.45">
      <c r="S2878" s="452"/>
      <c r="T2878" s="452"/>
      <c r="U2878" s="452"/>
      <c r="V2878" s="452"/>
      <c r="W2878" s="452"/>
    </row>
    <row r="2879" spans="19:23" ht="15" customHeight="1" x14ac:dyDescent="0.45">
      <c r="S2879" s="452"/>
      <c r="T2879" s="452"/>
      <c r="U2879" s="452"/>
      <c r="V2879" s="452"/>
      <c r="W2879" s="452"/>
    </row>
    <row r="2880" spans="19:23" ht="15" customHeight="1" x14ac:dyDescent="0.45">
      <c r="S2880" s="452"/>
      <c r="T2880" s="452"/>
      <c r="U2880" s="452"/>
      <c r="V2880" s="452"/>
      <c r="W2880" s="452"/>
    </row>
    <row r="2881" spans="19:23" ht="15" customHeight="1" x14ac:dyDescent="0.45">
      <c r="S2881" s="452"/>
      <c r="T2881" s="452"/>
      <c r="U2881" s="452"/>
      <c r="V2881" s="452"/>
      <c r="W2881" s="452"/>
    </row>
    <row r="2882" spans="19:23" ht="15" customHeight="1" x14ac:dyDescent="0.45">
      <c r="S2882" s="452"/>
      <c r="T2882" s="452"/>
      <c r="U2882" s="452"/>
      <c r="V2882" s="452"/>
      <c r="W2882" s="452"/>
    </row>
    <row r="2883" spans="19:23" ht="15" customHeight="1" x14ac:dyDescent="0.45">
      <c r="S2883" s="452"/>
      <c r="T2883" s="452"/>
      <c r="U2883" s="452"/>
      <c r="V2883" s="452"/>
      <c r="W2883" s="452"/>
    </row>
    <row r="2884" spans="19:23" ht="15" customHeight="1" x14ac:dyDescent="0.45">
      <c r="S2884" s="452"/>
      <c r="T2884" s="452"/>
      <c r="U2884" s="452"/>
      <c r="V2884" s="452"/>
      <c r="W2884" s="452"/>
    </row>
    <row r="2885" spans="19:23" ht="15" customHeight="1" x14ac:dyDescent="0.45">
      <c r="S2885" s="452"/>
      <c r="T2885" s="452"/>
      <c r="U2885" s="452"/>
      <c r="V2885" s="452"/>
      <c r="W2885" s="452"/>
    </row>
    <row r="2886" spans="19:23" ht="15" customHeight="1" x14ac:dyDescent="0.45">
      <c r="S2886" s="452"/>
      <c r="T2886" s="452"/>
      <c r="U2886" s="452"/>
      <c r="V2886" s="452"/>
      <c r="W2886" s="452"/>
    </row>
    <row r="2887" spans="19:23" ht="15" customHeight="1" x14ac:dyDescent="0.45">
      <c r="S2887" s="452"/>
      <c r="T2887" s="452"/>
      <c r="U2887" s="452"/>
      <c r="V2887" s="452"/>
      <c r="W2887" s="452"/>
    </row>
    <row r="2888" spans="19:23" ht="15" customHeight="1" x14ac:dyDescent="0.45">
      <c r="S2888" s="452"/>
      <c r="T2888" s="452"/>
      <c r="U2888" s="452"/>
      <c r="V2888" s="452"/>
      <c r="W2888" s="452"/>
    </row>
    <row r="2889" spans="19:23" ht="15" customHeight="1" x14ac:dyDescent="0.45">
      <c r="S2889" s="452"/>
      <c r="T2889" s="452"/>
      <c r="U2889" s="452"/>
      <c r="V2889" s="452"/>
      <c r="W2889" s="452"/>
    </row>
    <row r="2890" spans="19:23" ht="15" customHeight="1" x14ac:dyDescent="0.45">
      <c r="S2890" s="452"/>
      <c r="T2890" s="452"/>
      <c r="U2890" s="452"/>
      <c r="V2890" s="452"/>
      <c r="W2890" s="452"/>
    </row>
    <row r="2891" spans="19:23" ht="15" customHeight="1" x14ac:dyDescent="0.45">
      <c r="S2891" s="452"/>
      <c r="T2891" s="452"/>
      <c r="U2891" s="452"/>
      <c r="V2891" s="452"/>
      <c r="W2891" s="452"/>
    </row>
    <row r="2892" spans="19:23" ht="15" customHeight="1" x14ac:dyDescent="0.45">
      <c r="S2892" s="452"/>
      <c r="T2892" s="452"/>
      <c r="U2892" s="452"/>
      <c r="V2892" s="452"/>
      <c r="W2892" s="452"/>
    </row>
    <row r="2893" spans="19:23" ht="15" customHeight="1" x14ac:dyDescent="0.45">
      <c r="S2893" s="452"/>
      <c r="T2893" s="452"/>
      <c r="U2893" s="452"/>
      <c r="V2893" s="452"/>
      <c r="W2893" s="452"/>
    </row>
    <row r="2894" spans="19:23" ht="15" customHeight="1" x14ac:dyDescent="0.45">
      <c r="S2894" s="452"/>
      <c r="T2894" s="452"/>
      <c r="U2894" s="452"/>
      <c r="V2894" s="452"/>
      <c r="W2894" s="452"/>
    </row>
    <row r="2895" spans="19:23" ht="15" customHeight="1" x14ac:dyDescent="0.45">
      <c r="S2895" s="452"/>
      <c r="T2895" s="452"/>
      <c r="U2895" s="452"/>
      <c r="V2895" s="452"/>
      <c r="W2895" s="452"/>
    </row>
    <row r="2896" spans="19:23" ht="15" customHeight="1" x14ac:dyDescent="0.45">
      <c r="S2896" s="452"/>
      <c r="T2896" s="452"/>
      <c r="U2896" s="452"/>
      <c r="V2896" s="452"/>
      <c r="W2896" s="452"/>
    </row>
    <row r="2897" spans="19:23" ht="15" customHeight="1" x14ac:dyDescent="0.45">
      <c r="S2897" s="452"/>
      <c r="T2897" s="452"/>
      <c r="U2897" s="452"/>
      <c r="V2897" s="452"/>
      <c r="W2897" s="452"/>
    </row>
    <row r="2898" spans="19:23" ht="15" customHeight="1" x14ac:dyDescent="0.45">
      <c r="S2898" s="452"/>
      <c r="T2898" s="452"/>
      <c r="U2898" s="452"/>
      <c r="V2898" s="452"/>
      <c r="W2898" s="452"/>
    </row>
    <row r="2899" spans="19:23" ht="15" customHeight="1" x14ac:dyDescent="0.45">
      <c r="S2899" s="452"/>
      <c r="T2899" s="452"/>
      <c r="U2899" s="452"/>
      <c r="V2899" s="452"/>
      <c r="W2899" s="452"/>
    </row>
    <row r="2900" spans="19:23" ht="15" customHeight="1" x14ac:dyDescent="0.45">
      <c r="S2900" s="452"/>
      <c r="T2900" s="452"/>
      <c r="U2900" s="452"/>
      <c r="V2900" s="452"/>
      <c r="W2900" s="452"/>
    </row>
    <row r="2901" spans="19:23" ht="15" customHeight="1" x14ac:dyDescent="0.45">
      <c r="S2901" s="452"/>
      <c r="T2901" s="452"/>
      <c r="U2901" s="452"/>
      <c r="V2901" s="452"/>
      <c r="W2901" s="452"/>
    </row>
    <row r="2902" spans="19:23" ht="15" customHeight="1" x14ac:dyDescent="0.45">
      <c r="S2902" s="452"/>
      <c r="T2902" s="452"/>
      <c r="U2902" s="452"/>
      <c r="V2902" s="452"/>
      <c r="W2902" s="452"/>
    </row>
    <row r="2903" spans="19:23" ht="15" customHeight="1" x14ac:dyDescent="0.45">
      <c r="S2903" s="452"/>
      <c r="T2903" s="452"/>
      <c r="U2903" s="452"/>
      <c r="V2903" s="452"/>
      <c r="W2903" s="452"/>
    </row>
    <row r="2904" spans="19:23" ht="15" customHeight="1" x14ac:dyDescent="0.45">
      <c r="S2904" s="452"/>
      <c r="T2904" s="452"/>
      <c r="U2904" s="452"/>
      <c r="V2904" s="452"/>
      <c r="W2904" s="452"/>
    </row>
    <row r="2905" spans="19:23" ht="15" customHeight="1" x14ac:dyDescent="0.45">
      <c r="S2905" s="452"/>
      <c r="T2905" s="452"/>
      <c r="U2905" s="452"/>
      <c r="V2905" s="452"/>
      <c r="W2905" s="452"/>
    </row>
    <row r="2906" spans="19:23" ht="15" customHeight="1" x14ac:dyDescent="0.45">
      <c r="S2906" s="452"/>
      <c r="T2906" s="452"/>
      <c r="U2906" s="452"/>
      <c r="V2906" s="452"/>
      <c r="W2906" s="452"/>
    </row>
    <row r="2907" spans="19:23" ht="15" customHeight="1" x14ac:dyDescent="0.45">
      <c r="S2907" s="452"/>
      <c r="T2907" s="452"/>
      <c r="U2907" s="452"/>
      <c r="V2907" s="452"/>
      <c r="W2907" s="452"/>
    </row>
    <row r="2908" spans="19:23" ht="15" customHeight="1" x14ac:dyDescent="0.45">
      <c r="S2908" s="452"/>
      <c r="T2908" s="452"/>
      <c r="U2908" s="452"/>
      <c r="V2908" s="452"/>
      <c r="W2908" s="452"/>
    </row>
    <row r="2909" spans="19:23" ht="15" customHeight="1" x14ac:dyDescent="0.45">
      <c r="S2909" s="452"/>
      <c r="T2909" s="452"/>
      <c r="U2909" s="452"/>
      <c r="V2909" s="452"/>
      <c r="W2909" s="452"/>
    </row>
    <row r="2910" spans="19:23" ht="15" customHeight="1" x14ac:dyDescent="0.45">
      <c r="S2910" s="452"/>
      <c r="T2910" s="452"/>
      <c r="U2910" s="452"/>
      <c r="V2910" s="452"/>
      <c r="W2910" s="452"/>
    </row>
    <row r="2911" spans="19:23" ht="15" customHeight="1" x14ac:dyDescent="0.45">
      <c r="S2911" s="452"/>
      <c r="T2911" s="452"/>
      <c r="U2911" s="452"/>
      <c r="V2911" s="452"/>
      <c r="W2911" s="452"/>
    </row>
    <row r="2912" spans="19:23" ht="15" customHeight="1" x14ac:dyDescent="0.45">
      <c r="S2912" s="452"/>
      <c r="T2912" s="452"/>
      <c r="U2912" s="452"/>
      <c r="V2912" s="452"/>
      <c r="W2912" s="452"/>
    </row>
    <row r="2913" spans="19:23" ht="15" customHeight="1" x14ac:dyDescent="0.45">
      <c r="S2913" s="452"/>
      <c r="T2913" s="452"/>
      <c r="U2913" s="452"/>
      <c r="V2913" s="452"/>
      <c r="W2913" s="452"/>
    </row>
    <row r="2914" spans="19:23" ht="15" customHeight="1" x14ac:dyDescent="0.45">
      <c r="S2914" s="452"/>
      <c r="T2914" s="452"/>
      <c r="U2914" s="452"/>
      <c r="V2914" s="452"/>
      <c r="W2914" s="452"/>
    </row>
    <row r="2915" spans="19:23" ht="15" customHeight="1" x14ac:dyDescent="0.45">
      <c r="S2915" s="452"/>
      <c r="T2915" s="452"/>
      <c r="U2915" s="452"/>
      <c r="V2915" s="452"/>
      <c r="W2915" s="452"/>
    </row>
    <row r="2916" spans="19:23" ht="15" customHeight="1" x14ac:dyDescent="0.45">
      <c r="S2916" s="452"/>
      <c r="T2916" s="452"/>
      <c r="U2916" s="452"/>
      <c r="V2916" s="452"/>
      <c r="W2916" s="452"/>
    </row>
    <row r="2917" spans="19:23" ht="15" customHeight="1" x14ac:dyDescent="0.45">
      <c r="S2917" s="452"/>
      <c r="T2917" s="452"/>
      <c r="U2917" s="452"/>
      <c r="V2917" s="452"/>
      <c r="W2917" s="452"/>
    </row>
    <row r="2918" spans="19:23" ht="15" customHeight="1" x14ac:dyDescent="0.45">
      <c r="S2918" s="452"/>
      <c r="T2918" s="452"/>
      <c r="U2918" s="452"/>
      <c r="V2918" s="452"/>
      <c r="W2918" s="452"/>
    </row>
    <row r="2919" spans="19:23" ht="15" customHeight="1" x14ac:dyDescent="0.45">
      <c r="S2919" s="452"/>
      <c r="T2919" s="452"/>
      <c r="U2919" s="452"/>
      <c r="V2919" s="452"/>
      <c r="W2919" s="452"/>
    </row>
    <row r="2920" spans="19:23" ht="15" customHeight="1" x14ac:dyDescent="0.45">
      <c r="S2920" s="452"/>
      <c r="T2920" s="452"/>
      <c r="U2920" s="452"/>
      <c r="V2920" s="452"/>
      <c r="W2920" s="452"/>
    </row>
    <row r="2921" spans="19:23" ht="15" customHeight="1" x14ac:dyDescent="0.45">
      <c r="S2921" s="452"/>
      <c r="T2921" s="452"/>
      <c r="U2921" s="452"/>
      <c r="V2921" s="452"/>
      <c r="W2921" s="452"/>
    </row>
    <row r="2922" spans="19:23" ht="15" customHeight="1" x14ac:dyDescent="0.45">
      <c r="S2922" s="452"/>
      <c r="T2922" s="452"/>
      <c r="U2922" s="452"/>
      <c r="V2922" s="452"/>
      <c r="W2922" s="452"/>
    </row>
    <row r="2923" spans="19:23" ht="15" customHeight="1" x14ac:dyDescent="0.45">
      <c r="S2923" s="452"/>
      <c r="T2923" s="452"/>
      <c r="U2923" s="452"/>
      <c r="V2923" s="452"/>
      <c r="W2923" s="452"/>
    </row>
    <row r="2924" spans="19:23" ht="15" customHeight="1" x14ac:dyDescent="0.45">
      <c r="S2924" s="452"/>
      <c r="T2924" s="452"/>
      <c r="U2924" s="452"/>
      <c r="V2924" s="452"/>
      <c r="W2924" s="452"/>
    </row>
    <row r="2925" spans="19:23" ht="15" customHeight="1" x14ac:dyDescent="0.45">
      <c r="S2925" s="452"/>
      <c r="T2925" s="452"/>
      <c r="U2925" s="452"/>
      <c r="V2925" s="452"/>
      <c r="W2925" s="452"/>
    </row>
    <row r="2926" spans="19:23" ht="15" customHeight="1" x14ac:dyDescent="0.45">
      <c r="S2926" s="452"/>
      <c r="T2926" s="452"/>
      <c r="U2926" s="452"/>
      <c r="V2926" s="452"/>
      <c r="W2926" s="452"/>
    </row>
    <row r="2927" spans="19:23" ht="15" customHeight="1" x14ac:dyDescent="0.45">
      <c r="S2927" s="452"/>
      <c r="T2927" s="452"/>
      <c r="U2927" s="452"/>
      <c r="V2927" s="452"/>
      <c r="W2927" s="452"/>
    </row>
    <row r="2928" spans="19:23" ht="15" customHeight="1" x14ac:dyDescent="0.45">
      <c r="S2928" s="452"/>
      <c r="T2928" s="452"/>
      <c r="U2928" s="452"/>
      <c r="V2928" s="452"/>
      <c r="W2928" s="452"/>
    </row>
    <row r="2929" spans="19:23" ht="15" customHeight="1" x14ac:dyDescent="0.45">
      <c r="S2929" s="452"/>
      <c r="T2929" s="452"/>
      <c r="U2929" s="452"/>
      <c r="V2929" s="452"/>
      <c r="W2929" s="452"/>
    </row>
    <row r="2930" spans="19:23" ht="15" customHeight="1" x14ac:dyDescent="0.45">
      <c r="S2930" s="452"/>
      <c r="T2930" s="452"/>
      <c r="U2930" s="452"/>
      <c r="V2930" s="452"/>
      <c r="W2930" s="452"/>
    </row>
    <row r="2931" spans="19:23" ht="15" customHeight="1" x14ac:dyDescent="0.45">
      <c r="S2931" s="452"/>
      <c r="T2931" s="452"/>
      <c r="U2931" s="452"/>
      <c r="V2931" s="452"/>
      <c r="W2931" s="452"/>
    </row>
    <row r="2932" spans="19:23" ht="15" customHeight="1" x14ac:dyDescent="0.45">
      <c r="S2932" s="452"/>
      <c r="T2932" s="452"/>
      <c r="U2932" s="452"/>
      <c r="V2932" s="452"/>
      <c r="W2932" s="452"/>
    </row>
    <row r="2933" spans="19:23" ht="15" customHeight="1" x14ac:dyDescent="0.45">
      <c r="S2933" s="452"/>
      <c r="T2933" s="452"/>
      <c r="U2933" s="452"/>
      <c r="V2933" s="452"/>
      <c r="W2933" s="452"/>
    </row>
    <row r="2934" spans="19:23" ht="15" customHeight="1" x14ac:dyDescent="0.45">
      <c r="S2934" s="452"/>
      <c r="T2934" s="452"/>
      <c r="U2934" s="452"/>
      <c r="V2934" s="452"/>
      <c r="W2934" s="452"/>
    </row>
    <row r="2935" spans="19:23" ht="15" customHeight="1" x14ac:dyDescent="0.45">
      <c r="S2935" s="452"/>
      <c r="T2935" s="452"/>
      <c r="U2935" s="452"/>
      <c r="V2935" s="452"/>
      <c r="W2935" s="452"/>
    </row>
    <row r="2936" spans="19:23" ht="15" customHeight="1" x14ac:dyDescent="0.45">
      <c r="S2936" s="452"/>
      <c r="T2936" s="452"/>
      <c r="U2936" s="452"/>
      <c r="V2936" s="452"/>
      <c r="W2936" s="452"/>
    </row>
    <row r="2937" spans="19:23" ht="15" customHeight="1" x14ac:dyDescent="0.45">
      <c r="S2937" s="452"/>
      <c r="T2937" s="452"/>
      <c r="U2937" s="452"/>
      <c r="V2937" s="452"/>
      <c r="W2937" s="452"/>
    </row>
    <row r="2938" spans="19:23" ht="15" customHeight="1" x14ac:dyDescent="0.45">
      <c r="S2938" s="452"/>
      <c r="T2938" s="452"/>
      <c r="U2938" s="452"/>
      <c r="V2938" s="452"/>
      <c r="W2938" s="452"/>
    </row>
    <row r="2939" spans="19:23" ht="15" customHeight="1" x14ac:dyDescent="0.45">
      <c r="S2939" s="452"/>
      <c r="T2939" s="452"/>
      <c r="U2939" s="452"/>
      <c r="V2939" s="452"/>
      <c r="W2939" s="452"/>
    </row>
    <row r="2940" spans="19:23" ht="15" customHeight="1" x14ac:dyDescent="0.45">
      <c r="S2940" s="452"/>
      <c r="T2940" s="452"/>
      <c r="U2940" s="452"/>
      <c r="V2940" s="452"/>
      <c r="W2940" s="452"/>
    </row>
    <row r="2941" spans="19:23" ht="15" customHeight="1" x14ac:dyDescent="0.45">
      <c r="S2941" s="452"/>
      <c r="T2941" s="452"/>
      <c r="U2941" s="452"/>
      <c r="V2941" s="452"/>
      <c r="W2941" s="452"/>
    </row>
    <row r="2942" spans="19:23" ht="15" customHeight="1" x14ac:dyDescent="0.45">
      <c r="S2942" s="452"/>
      <c r="T2942" s="452"/>
      <c r="U2942" s="452"/>
      <c r="V2942" s="452"/>
      <c r="W2942" s="452"/>
    </row>
    <row r="2943" spans="19:23" ht="15" customHeight="1" x14ac:dyDescent="0.45">
      <c r="S2943" s="452"/>
      <c r="T2943" s="452"/>
      <c r="U2943" s="452"/>
      <c r="V2943" s="452"/>
      <c r="W2943" s="452"/>
    </row>
    <row r="2944" spans="19:23" ht="15" customHeight="1" x14ac:dyDescent="0.45">
      <c r="S2944" s="452"/>
      <c r="T2944" s="452"/>
      <c r="U2944" s="452"/>
      <c r="V2944" s="452"/>
      <c r="W2944" s="452"/>
    </row>
    <row r="2945" spans="19:23" ht="15" customHeight="1" x14ac:dyDescent="0.45">
      <c r="S2945" s="452"/>
      <c r="T2945" s="452"/>
      <c r="U2945" s="452"/>
      <c r="V2945" s="452"/>
      <c r="W2945" s="452"/>
    </row>
    <row r="2946" spans="19:23" ht="15" customHeight="1" x14ac:dyDescent="0.45">
      <c r="S2946" s="452"/>
      <c r="T2946" s="452"/>
      <c r="U2946" s="452"/>
      <c r="V2946" s="452"/>
      <c r="W2946" s="452"/>
    </row>
    <row r="2947" spans="19:23" ht="15" customHeight="1" x14ac:dyDescent="0.45">
      <c r="S2947" s="452"/>
      <c r="T2947" s="452"/>
      <c r="U2947" s="452"/>
      <c r="V2947" s="452"/>
      <c r="W2947" s="452"/>
    </row>
    <row r="2948" spans="19:23" ht="15" customHeight="1" x14ac:dyDescent="0.45">
      <c r="S2948" s="452"/>
      <c r="T2948" s="452"/>
      <c r="U2948" s="452"/>
      <c r="V2948" s="452"/>
      <c r="W2948" s="452"/>
    </row>
    <row r="2949" spans="19:23" ht="15" customHeight="1" x14ac:dyDescent="0.45">
      <c r="S2949" s="452"/>
      <c r="T2949" s="452"/>
      <c r="U2949" s="452"/>
      <c r="V2949" s="452"/>
      <c r="W2949" s="452"/>
    </row>
    <row r="2950" spans="19:23" ht="15" customHeight="1" x14ac:dyDescent="0.45">
      <c r="S2950" s="452"/>
      <c r="T2950" s="452"/>
      <c r="U2950" s="452"/>
      <c r="V2950" s="452"/>
      <c r="W2950" s="452"/>
    </row>
    <row r="2951" spans="19:23" ht="15" customHeight="1" x14ac:dyDescent="0.45">
      <c r="S2951" s="452"/>
      <c r="T2951" s="452"/>
      <c r="U2951" s="452"/>
      <c r="V2951" s="452"/>
      <c r="W2951" s="452"/>
    </row>
    <row r="2952" spans="19:23" ht="15" customHeight="1" x14ac:dyDescent="0.45">
      <c r="S2952" s="452"/>
      <c r="T2952" s="452"/>
      <c r="U2952" s="452"/>
      <c r="V2952" s="452"/>
      <c r="W2952" s="452"/>
    </row>
    <row r="2953" spans="19:23" ht="15" customHeight="1" x14ac:dyDescent="0.45">
      <c r="S2953" s="452"/>
      <c r="T2953" s="452"/>
      <c r="U2953" s="452"/>
      <c r="V2953" s="452"/>
      <c r="W2953" s="452"/>
    </row>
    <row r="2954" spans="19:23" ht="15" customHeight="1" x14ac:dyDescent="0.45">
      <c r="S2954" s="452"/>
      <c r="T2954" s="452"/>
      <c r="U2954" s="452"/>
      <c r="V2954" s="452"/>
      <c r="W2954" s="452"/>
    </row>
    <row r="2955" spans="19:23" ht="15" customHeight="1" x14ac:dyDescent="0.45">
      <c r="S2955" s="452"/>
      <c r="T2955" s="452"/>
      <c r="U2955" s="452"/>
      <c r="V2955" s="452"/>
      <c r="W2955" s="452"/>
    </row>
    <row r="2956" spans="19:23" ht="15" customHeight="1" x14ac:dyDescent="0.45">
      <c r="S2956" s="452"/>
      <c r="T2956" s="452"/>
      <c r="U2956" s="452"/>
      <c r="V2956" s="452"/>
      <c r="W2956" s="452"/>
    </row>
    <row r="2957" spans="19:23" ht="15" customHeight="1" x14ac:dyDescent="0.45">
      <c r="S2957" s="452"/>
      <c r="T2957" s="452"/>
      <c r="U2957" s="452"/>
      <c r="V2957" s="452"/>
      <c r="W2957" s="452"/>
    </row>
    <row r="2958" spans="19:23" ht="15" customHeight="1" x14ac:dyDescent="0.45">
      <c r="S2958" s="452"/>
      <c r="T2958" s="452"/>
      <c r="U2958" s="452"/>
      <c r="V2958" s="452"/>
      <c r="W2958" s="452"/>
    </row>
    <row r="2959" spans="19:23" ht="15" customHeight="1" x14ac:dyDescent="0.45">
      <c r="S2959" s="452"/>
      <c r="T2959" s="452"/>
      <c r="U2959" s="452"/>
      <c r="V2959" s="452"/>
      <c r="W2959" s="452"/>
    </row>
    <row r="2960" spans="19:23" ht="15" customHeight="1" x14ac:dyDescent="0.45">
      <c r="S2960" s="452"/>
      <c r="T2960" s="452"/>
      <c r="U2960" s="452"/>
      <c r="V2960" s="452"/>
      <c r="W2960" s="452"/>
    </row>
    <row r="2961" spans="19:23" ht="15" customHeight="1" x14ac:dyDescent="0.45">
      <c r="S2961" s="452"/>
      <c r="T2961" s="452"/>
      <c r="U2961" s="452"/>
      <c r="V2961" s="452"/>
      <c r="W2961" s="452"/>
    </row>
    <row r="2962" spans="19:23" ht="15" customHeight="1" x14ac:dyDescent="0.45">
      <c r="S2962" s="452"/>
      <c r="T2962" s="452"/>
      <c r="U2962" s="452"/>
      <c r="V2962" s="452"/>
      <c r="W2962" s="452"/>
    </row>
    <row r="2963" spans="19:23" ht="15" customHeight="1" x14ac:dyDescent="0.45">
      <c r="S2963" s="452"/>
      <c r="T2963" s="452"/>
      <c r="U2963" s="452"/>
      <c r="V2963" s="452"/>
      <c r="W2963" s="452"/>
    </row>
    <row r="2964" spans="19:23" ht="15" customHeight="1" x14ac:dyDescent="0.45">
      <c r="S2964" s="452"/>
      <c r="T2964" s="452"/>
      <c r="U2964" s="452"/>
      <c r="V2964" s="452"/>
      <c r="W2964" s="452"/>
    </row>
    <row r="2965" spans="19:23" ht="15" customHeight="1" x14ac:dyDescent="0.45">
      <c r="S2965" s="452"/>
      <c r="T2965" s="452"/>
      <c r="U2965" s="452"/>
      <c r="V2965" s="452"/>
      <c r="W2965" s="452"/>
    </row>
    <row r="2966" spans="19:23" ht="15" customHeight="1" x14ac:dyDescent="0.45">
      <c r="S2966" s="452"/>
      <c r="T2966" s="452"/>
      <c r="U2966" s="452"/>
      <c r="V2966" s="452"/>
      <c r="W2966" s="452"/>
    </row>
    <row r="2967" spans="19:23" ht="15" customHeight="1" x14ac:dyDescent="0.45">
      <c r="S2967" s="452"/>
      <c r="T2967" s="452"/>
      <c r="U2967" s="452"/>
      <c r="V2967" s="452"/>
      <c r="W2967" s="452"/>
    </row>
    <row r="2968" spans="19:23" ht="15" customHeight="1" x14ac:dyDescent="0.45">
      <c r="S2968" s="452"/>
      <c r="T2968" s="452"/>
      <c r="U2968" s="452"/>
      <c r="V2968" s="452"/>
      <c r="W2968" s="452"/>
    </row>
    <row r="2969" spans="19:23" ht="15" customHeight="1" x14ac:dyDescent="0.45">
      <c r="S2969" s="452"/>
      <c r="T2969" s="452"/>
      <c r="U2969" s="452"/>
      <c r="V2969" s="452"/>
      <c r="W2969" s="452"/>
    </row>
    <row r="2970" spans="19:23" ht="15" customHeight="1" x14ac:dyDescent="0.45">
      <c r="S2970" s="452"/>
      <c r="T2970" s="452"/>
      <c r="U2970" s="452"/>
      <c r="V2970" s="452"/>
      <c r="W2970" s="452"/>
    </row>
    <row r="2971" spans="19:23" ht="15" customHeight="1" x14ac:dyDescent="0.45">
      <c r="S2971" s="452"/>
      <c r="T2971" s="452"/>
      <c r="U2971" s="452"/>
      <c r="V2971" s="452"/>
      <c r="W2971" s="452"/>
    </row>
    <row r="2972" spans="19:23" ht="15" customHeight="1" x14ac:dyDescent="0.45">
      <c r="S2972" s="452"/>
      <c r="T2972" s="452"/>
      <c r="U2972" s="452"/>
      <c r="V2972" s="452"/>
      <c r="W2972" s="452"/>
    </row>
    <row r="2973" spans="19:23" ht="15" customHeight="1" x14ac:dyDescent="0.45">
      <c r="S2973" s="452"/>
      <c r="T2973" s="452"/>
      <c r="U2973" s="452"/>
      <c r="V2973" s="452"/>
      <c r="W2973" s="452"/>
    </row>
    <row r="2974" spans="19:23" ht="15" customHeight="1" x14ac:dyDescent="0.45">
      <c r="S2974" s="452"/>
      <c r="T2974" s="452"/>
      <c r="U2974" s="452"/>
      <c r="V2974" s="452"/>
      <c r="W2974" s="452"/>
    </row>
    <row r="2975" spans="19:23" ht="15" customHeight="1" x14ac:dyDescent="0.45">
      <c r="S2975" s="452"/>
      <c r="T2975" s="452"/>
      <c r="U2975" s="452"/>
      <c r="V2975" s="452"/>
      <c r="W2975" s="452"/>
    </row>
    <row r="2976" spans="19:23" ht="15" customHeight="1" x14ac:dyDescent="0.45">
      <c r="S2976" s="452"/>
      <c r="T2976" s="452"/>
      <c r="U2976" s="452"/>
      <c r="V2976" s="452"/>
      <c r="W2976" s="452"/>
    </row>
    <row r="2977" spans="19:23" ht="15" customHeight="1" x14ac:dyDescent="0.45">
      <c r="S2977" s="452"/>
      <c r="T2977" s="452"/>
      <c r="U2977" s="452"/>
      <c r="V2977" s="452"/>
      <c r="W2977" s="452"/>
    </row>
    <row r="2978" spans="19:23" ht="15" customHeight="1" x14ac:dyDescent="0.45">
      <c r="S2978" s="452"/>
      <c r="T2978" s="452"/>
      <c r="U2978" s="452"/>
      <c r="V2978" s="452"/>
      <c r="W2978" s="452"/>
    </row>
    <row r="2979" spans="19:23" ht="15" customHeight="1" x14ac:dyDescent="0.45">
      <c r="S2979" s="452"/>
      <c r="T2979" s="452"/>
      <c r="U2979" s="452"/>
      <c r="V2979" s="452"/>
      <c r="W2979" s="452"/>
    </row>
    <row r="2980" spans="19:23" ht="15" customHeight="1" x14ac:dyDescent="0.45">
      <c r="S2980" s="452"/>
      <c r="T2980" s="452"/>
      <c r="U2980" s="452"/>
      <c r="V2980" s="452"/>
      <c r="W2980" s="452"/>
    </row>
    <row r="2981" spans="19:23" ht="15" customHeight="1" x14ac:dyDescent="0.45">
      <c r="S2981" s="452"/>
      <c r="T2981" s="452"/>
      <c r="U2981" s="452"/>
      <c r="V2981" s="452"/>
      <c r="W2981" s="452"/>
    </row>
    <row r="2982" spans="19:23" ht="15" customHeight="1" x14ac:dyDescent="0.45">
      <c r="S2982" s="452"/>
      <c r="T2982" s="452"/>
      <c r="U2982" s="452"/>
      <c r="V2982" s="452"/>
      <c r="W2982" s="452"/>
    </row>
    <row r="2983" spans="19:23" ht="15" customHeight="1" x14ac:dyDescent="0.45">
      <c r="S2983" s="452"/>
      <c r="T2983" s="452"/>
      <c r="U2983" s="452"/>
      <c r="V2983" s="452"/>
      <c r="W2983" s="452"/>
    </row>
    <row r="2984" spans="19:23" ht="15" customHeight="1" x14ac:dyDescent="0.45">
      <c r="S2984" s="452"/>
      <c r="T2984" s="452"/>
      <c r="U2984" s="452"/>
      <c r="V2984" s="452"/>
      <c r="W2984" s="452"/>
    </row>
    <row r="2985" spans="19:23" ht="15" customHeight="1" x14ac:dyDescent="0.45">
      <c r="S2985" s="452"/>
      <c r="T2985" s="452"/>
      <c r="U2985" s="452"/>
      <c r="V2985" s="452"/>
      <c r="W2985" s="452"/>
    </row>
    <row r="2986" spans="19:23" ht="15" customHeight="1" x14ac:dyDescent="0.45">
      <c r="S2986" s="452"/>
      <c r="T2986" s="452"/>
      <c r="U2986" s="452"/>
      <c r="V2986" s="452"/>
      <c r="W2986" s="452"/>
    </row>
    <row r="2987" spans="19:23" ht="15" customHeight="1" x14ac:dyDescent="0.45">
      <c r="S2987" s="452"/>
      <c r="T2987" s="452"/>
      <c r="U2987" s="452"/>
      <c r="V2987" s="452"/>
      <c r="W2987" s="452"/>
    </row>
    <row r="2988" spans="19:23" ht="15" customHeight="1" x14ac:dyDescent="0.45">
      <c r="S2988" s="452"/>
      <c r="T2988" s="452"/>
      <c r="U2988" s="452"/>
      <c r="V2988" s="452"/>
      <c r="W2988" s="452"/>
    </row>
    <row r="2989" spans="19:23" ht="15" customHeight="1" x14ac:dyDescent="0.45">
      <c r="S2989" s="452"/>
      <c r="T2989" s="452"/>
      <c r="U2989" s="452"/>
      <c r="V2989" s="452"/>
      <c r="W2989" s="452"/>
    </row>
    <row r="2990" spans="19:23" ht="15" customHeight="1" x14ac:dyDescent="0.45">
      <c r="S2990" s="452"/>
      <c r="T2990" s="452"/>
      <c r="U2990" s="452"/>
      <c r="V2990" s="452"/>
      <c r="W2990" s="452"/>
    </row>
    <row r="2991" spans="19:23" ht="15" customHeight="1" x14ac:dyDescent="0.45">
      <c r="S2991" s="452"/>
      <c r="T2991" s="452"/>
      <c r="U2991" s="452"/>
      <c r="V2991" s="452"/>
      <c r="W2991" s="452"/>
    </row>
    <row r="2992" spans="19:23" ht="15" customHeight="1" x14ac:dyDescent="0.45">
      <c r="S2992" s="452"/>
      <c r="T2992" s="452"/>
      <c r="U2992" s="452"/>
      <c r="V2992" s="452"/>
      <c r="W2992" s="452"/>
    </row>
    <row r="2993" spans="19:23" ht="15" customHeight="1" x14ac:dyDescent="0.45">
      <c r="S2993" s="452"/>
      <c r="T2993" s="452"/>
      <c r="U2993" s="452"/>
      <c r="V2993" s="452"/>
      <c r="W2993" s="452"/>
    </row>
    <row r="2994" spans="19:23" ht="15" customHeight="1" x14ac:dyDescent="0.45">
      <c r="S2994" s="452"/>
      <c r="T2994" s="452"/>
      <c r="U2994" s="452"/>
      <c r="V2994" s="452"/>
      <c r="W2994" s="452"/>
    </row>
    <row r="2995" spans="19:23" ht="15" customHeight="1" x14ac:dyDescent="0.45">
      <c r="S2995" s="452"/>
      <c r="T2995" s="452"/>
      <c r="U2995" s="452"/>
      <c r="V2995" s="452"/>
      <c r="W2995" s="452"/>
    </row>
    <row r="2996" spans="19:23" ht="15" customHeight="1" x14ac:dyDescent="0.45">
      <c r="S2996" s="452"/>
      <c r="T2996" s="452"/>
      <c r="U2996" s="452"/>
      <c r="V2996" s="452"/>
      <c r="W2996" s="452"/>
    </row>
    <row r="2997" spans="19:23" ht="15" customHeight="1" x14ac:dyDescent="0.45">
      <c r="S2997" s="452"/>
      <c r="T2997" s="452"/>
      <c r="U2997" s="452"/>
      <c r="V2997" s="452"/>
      <c r="W2997" s="452"/>
    </row>
    <row r="2998" spans="19:23" ht="15" customHeight="1" x14ac:dyDescent="0.45">
      <c r="S2998" s="452"/>
      <c r="T2998" s="452"/>
      <c r="U2998" s="452"/>
      <c r="V2998" s="452"/>
      <c r="W2998" s="452"/>
    </row>
    <row r="2999" spans="19:23" ht="15" customHeight="1" x14ac:dyDescent="0.45">
      <c r="S2999" s="452"/>
      <c r="T2999" s="452"/>
      <c r="U2999" s="452"/>
      <c r="V2999" s="452"/>
      <c r="W2999" s="452"/>
    </row>
    <row r="3000" spans="19:23" ht="15" customHeight="1" x14ac:dyDescent="0.45">
      <c r="S3000" s="452"/>
      <c r="T3000" s="452"/>
      <c r="U3000" s="452"/>
      <c r="V3000" s="452"/>
      <c r="W3000" s="452"/>
    </row>
    <row r="3001" spans="19:23" ht="15" customHeight="1" x14ac:dyDescent="0.45">
      <c r="S3001" s="452"/>
      <c r="T3001" s="452"/>
      <c r="U3001" s="452"/>
      <c r="V3001" s="452"/>
      <c r="W3001" s="452"/>
    </row>
    <row r="3002" spans="19:23" ht="15" customHeight="1" x14ac:dyDescent="0.45">
      <c r="S3002" s="452"/>
      <c r="T3002" s="452"/>
      <c r="U3002" s="452"/>
      <c r="V3002" s="452"/>
      <c r="W3002" s="452"/>
    </row>
    <row r="3003" spans="19:23" ht="15" customHeight="1" x14ac:dyDescent="0.45">
      <c r="S3003" s="452"/>
      <c r="T3003" s="452"/>
      <c r="U3003" s="452"/>
      <c r="V3003" s="452"/>
      <c r="W3003" s="452"/>
    </row>
    <row r="3004" spans="19:23" ht="15" customHeight="1" x14ac:dyDescent="0.45">
      <c r="S3004" s="452"/>
      <c r="T3004" s="452"/>
      <c r="U3004" s="452"/>
      <c r="V3004" s="452"/>
      <c r="W3004" s="452"/>
    </row>
    <row r="3005" spans="19:23" ht="15" customHeight="1" x14ac:dyDescent="0.45">
      <c r="S3005" s="452"/>
      <c r="T3005" s="452"/>
      <c r="U3005" s="452"/>
      <c r="V3005" s="452"/>
      <c r="W3005" s="452"/>
    </row>
    <row r="3006" spans="19:23" ht="15" customHeight="1" x14ac:dyDescent="0.45">
      <c r="S3006" s="452"/>
      <c r="T3006" s="452"/>
      <c r="U3006" s="452"/>
      <c r="V3006" s="452"/>
      <c r="W3006" s="452"/>
    </row>
    <row r="3007" spans="19:23" ht="15" customHeight="1" x14ac:dyDescent="0.45">
      <c r="S3007" s="452"/>
      <c r="T3007" s="452"/>
      <c r="U3007" s="452"/>
      <c r="V3007" s="452"/>
      <c r="W3007" s="452"/>
    </row>
    <row r="3008" spans="19:23" ht="15" customHeight="1" x14ac:dyDescent="0.45">
      <c r="S3008" s="452"/>
      <c r="T3008" s="452"/>
      <c r="U3008" s="452"/>
      <c r="V3008" s="452"/>
      <c r="W3008" s="452"/>
    </row>
    <row r="3009" spans="19:23" ht="15" customHeight="1" x14ac:dyDescent="0.45">
      <c r="S3009" s="452"/>
      <c r="T3009" s="452"/>
      <c r="U3009" s="452"/>
      <c r="V3009" s="452"/>
      <c r="W3009" s="452"/>
    </row>
    <row r="3010" spans="19:23" ht="15" customHeight="1" x14ac:dyDescent="0.45">
      <c r="S3010" s="452"/>
      <c r="T3010" s="452"/>
      <c r="U3010" s="452"/>
      <c r="V3010" s="452"/>
      <c r="W3010" s="452"/>
    </row>
    <row r="3011" spans="19:23" ht="15" customHeight="1" x14ac:dyDescent="0.45">
      <c r="S3011" s="452"/>
      <c r="T3011" s="452"/>
      <c r="U3011" s="452"/>
      <c r="V3011" s="452"/>
      <c r="W3011" s="452"/>
    </row>
    <row r="3012" spans="19:23" ht="15" customHeight="1" x14ac:dyDescent="0.45">
      <c r="S3012" s="452"/>
      <c r="T3012" s="452"/>
      <c r="U3012" s="452"/>
      <c r="V3012" s="452"/>
      <c r="W3012" s="452"/>
    </row>
    <row r="3013" spans="19:23" ht="15" customHeight="1" x14ac:dyDescent="0.45">
      <c r="S3013" s="452"/>
      <c r="T3013" s="452"/>
      <c r="U3013" s="452"/>
      <c r="V3013" s="452"/>
      <c r="W3013" s="452"/>
    </row>
    <row r="3014" spans="19:23" ht="15" customHeight="1" x14ac:dyDescent="0.45">
      <c r="S3014" s="452"/>
      <c r="T3014" s="452"/>
      <c r="U3014" s="452"/>
      <c r="V3014" s="452"/>
      <c r="W3014" s="452"/>
    </row>
    <row r="3015" spans="19:23" ht="15" customHeight="1" x14ac:dyDescent="0.45">
      <c r="S3015" s="452"/>
      <c r="T3015" s="452"/>
      <c r="U3015" s="452"/>
      <c r="V3015" s="452"/>
      <c r="W3015" s="452"/>
    </row>
    <row r="3016" spans="19:23" ht="15" customHeight="1" x14ac:dyDescent="0.45">
      <c r="S3016" s="452"/>
      <c r="T3016" s="452"/>
      <c r="U3016" s="452"/>
      <c r="V3016" s="452"/>
      <c r="W3016" s="452"/>
    </row>
    <row r="3017" spans="19:23" ht="15" customHeight="1" x14ac:dyDescent="0.45">
      <c r="S3017" s="452"/>
      <c r="T3017" s="452"/>
      <c r="U3017" s="452"/>
      <c r="V3017" s="452"/>
      <c r="W3017" s="452"/>
    </row>
    <row r="3018" spans="19:23" ht="15" customHeight="1" x14ac:dyDescent="0.45">
      <c r="S3018" s="452"/>
      <c r="T3018" s="452"/>
      <c r="U3018" s="452"/>
      <c r="V3018" s="452"/>
      <c r="W3018" s="452"/>
    </row>
    <row r="3019" spans="19:23" ht="15" customHeight="1" x14ac:dyDescent="0.45">
      <c r="S3019" s="452"/>
      <c r="T3019" s="452"/>
      <c r="U3019" s="452"/>
      <c r="V3019" s="452"/>
      <c r="W3019" s="452"/>
    </row>
    <row r="3020" spans="19:23" ht="15" customHeight="1" x14ac:dyDescent="0.45">
      <c r="S3020" s="452"/>
      <c r="T3020" s="452"/>
      <c r="U3020" s="452"/>
      <c r="V3020" s="452"/>
      <c r="W3020" s="452"/>
    </row>
    <row r="3021" spans="19:23" ht="15" customHeight="1" x14ac:dyDescent="0.45">
      <c r="S3021" s="452"/>
      <c r="T3021" s="452"/>
      <c r="U3021" s="452"/>
      <c r="V3021" s="452"/>
      <c r="W3021" s="452"/>
    </row>
    <row r="3022" spans="19:23" ht="15" customHeight="1" x14ac:dyDescent="0.45">
      <c r="S3022" s="452"/>
      <c r="T3022" s="452"/>
      <c r="U3022" s="452"/>
      <c r="V3022" s="452"/>
      <c r="W3022" s="452"/>
    </row>
    <row r="3023" spans="19:23" ht="15" customHeight="1" x14ac:dyDescent="0.45">
      <c r="S3023" s="452"/>
      <c r="T3023" s="452"/>
      <c r="U3023" s="452"/>
      <c r="V3023" s="452"/>
      <c r="W3023" s="452"/>
    </row>
    <row r="3024" spans="19:23" ht="15" customHeight="1" x14ac:dyDescent="0.45">
      <c r="S3024" s="452"/>
      <c r="T3024" s="452"/>
      <c r="U3024" s="452"/>
      <c r="V3024" s="452"/>
      <c r="W3024" s="452"/>
    </row>
    <row r="3025" spans="19:23" ht="15" customHeight="1" x14ac:dyDescent="0.45">
      <c r="S3025" s="452"/>
      <c r="T3025" s="452"/>
      <c r="U3025" s="452"/>
      <c r="V3025" s="452"/>
      <c r="W3025" s="452"/>
    </row>
    <row r="3026" spans="19:23" ht="15" customHeight="1" x14ac:dyDescent="0.45">
      <c r="S3026" s="452"/>
      <c r="T3026" s="452"/>
      <c r="U3026" s="452"/>
      <c r="V3026" s="452"/>
      <c r="W3026" s="452"/>
    </row>
    <row r="3027" spans="19:23" ht="15" customHeight="1" x14ac:dyDescent="0.45">
      <c r="S3027" s="452"/>
      <c r="T3027" s="452"/>
      <c r="U3027" s="452"/>
      <c r="V3027" s="452"/>
      <c r="W3027" s="452"/>
    </row>
    <row r="3028" spans="19:23" ht="15" customHeight="1" x14ac:dyDescent="0.45">
      <c r="S3028" s="452"/>
      <c r="T3028" s="452"/>
      <c r="U3028" s="452"/>
      <c r="V3028" s="452"/>
      <c r="W3028" s="452"/>
    </row>
    <row r="3029" spans="19:23" ht="15" customHeight="1" x14ac:dyDescent="0.45">
      <c r="S3029" s="452"/>
      <c r="T3029" s="452"/>
      <c r="U3029" s="452"/>
      <c r="V3029" s="452"/>
      <c r="W3029" s="452"/>
    </row>
    <row r="3030" spans="19:23" ht="15" customHeight="1" x14ac:dyDescent="0.45">
      <c r="S3030" s="452"/>
      <c r="T3030" s="452"/>
      <c r="U3030" s="452"/>
      <c r="V3030" s="452"/>
      <c r="W3030" s="452"/>
    </row>
    <row r="3031" spans="19:23" ht="15" customHeight="1" x14ac:dyDescent="0.45">
      <c r="S3031" s="452"/>
      <c r="T3031" s="452"/>
      <c r="U3031" s="452"/>
      <c r="V3031" s="452"/>
      <c r="W3031" s="452"/>
    </row>
    <row r="3032" spans="19:23" ht="15" customHeight="1" x14ac:dyDescent="0.45">
      <c r="S3032" s="452"/>
      <c r="T3032" s="452"/>
      <c r="U3032" s="452"/>
      <c r="V3032" s="452"/>
      <c r="W3032" s="452"/>
    </row>
    <row r="3033" spans="19:23" ht="15" customHeight="1" x14ac:dyDescent="0.45">
      <c r="S3033" s="452"/>
      <c r="T3033" s="452"/>
      <c r="U3033" s="452"/>
      <c r="V3033" s="452"/>
      <c r="W3033" s="452"/>
    </row>
    <row r="3034" spans="19:23" ht="15" customHeight="1" x14ac:dyDescent="0.45">
      <c r="S3034" s="452"/>
      <c r="T3034" s="452"/>
      <c r="U3034" s="452"/>
      <c r="V3034" s="452"/>
      <c r="W3034" s="452"/>
    </row>
    <row r="3035" spans="19:23" ht="15" customHeight="1" x14ac:dyDescent="0.45">
      <c r="S3035" s="452"/>
      <c r="T3035" s="452"/>
      <c r="U3035" s="452"/>
      <c r="V3035" s="452"/>
      <c r="W3035" s="452"/>
    </row>
    <row r="3036" spans="19:23" ht="15" customHeight="1" x14ac:dyDescent="0.45">
      <c r="S3036" s="452"/>
      <c r="T3036" s="452"/>
      <c r="U3036" s="452"/>
      <c r="V3036" s="452"/>
      <c r="W3036" s="452"/>
    </row>
    <row r="3037" spans="19:23" ht="15" customHeight="1" x14ac:dyDescent="0.45">
      <c r="S3037" s="452"/>
      <c r="T3037" s="452"/>
      <c r="U3037" s="452"/>
      <c r="V3037" s="452"/>
      <c r="W3037" s="452"/>
    </row>
    <row r="3038" spans="19:23" ht="15" customHeight="1" x14ac:dyDescent="0.45">
      <c r="S3038" s="452"/>
      <c r="T3038" s="452"/>
      <c r="U3038" s="452"/>
      <c r="V3038" s="452"/>
      <c r="W3038" s="452"/>
    </row>
    <row r="3039" spans="19:23" ht="15" customHeight="1" x14ac:dyDescent="0.45">
      <c r="S3039" s="452"/>
      <c r="T3039" s="452"/>
      <c r="U3039" s="452"/>
      <c r="V3039" s="452"/>
      <c r="W3039" s="452"/>
    </row>
    <row r="3040" spans="19:23" ht="15" customHeight="1" x14ac:dyDescent="0.45">
      <c r="S3040" s="452"/>
      <c r="T3040" s="452"/>
      <c r="U3040" s="452"/>
      <c r="V3040" s="452"/>
      <c r="W3040" s="452"/>
    </row>
    <row r="3041" spans="19:23" ht="15" customHeight="1" x14ac:dyDescent="0.45">
      <c r="S3041" s="452"/>
      <c r="T3041" s="452"/>
      <c r="U3041" s="452"/>
      <c r="V3041" s="452"/>
      <c r="W3041" s="452"/>
    </row>
    <row r="3042" spans="19:23" ht="15" customHeight="1" x14ac:dyDescent="0.45">
      <c r="S3042" s="452"/>
      <c r="T3042" s="452"/>
      <c r="U3042" s="452"/>
      <c r="V3042" s="452"/>
      <c r="W3042" s="452"/>
    </row>
    <row r="3043" spans="19:23" ht="15" customHeight="1" x14ac:dyDescent="0.45">
      <c r="S3043" s="452"/>
      <c r="T3043" s="452"/>
      <c r="U3043" s="452"/>
      <c r="V3043" s="452"/>
      <c r="W3043" s="452"/>
    </row>
    <row r="3044" spans="19:23" ht="15" customHeight="1" x14ac:dyDescent="0.45">
      <c r="S3044" s="452"/>
      <c r="T3044" s="452"/>
      <c r="U3044" s="452"/>
      <c r="V3044" s="452"/>
      <c r="W3044" s="452"/>
    </row>
    <row r="3045" spans="19:23" ht="15" customHeight="1" x14ac:dyDescent="0.45">
      <c r="S3045" s="452"/>
      <c r="T3045" s="452"/>
      <c r="U3045" s="452"/>
      <c r="V3045" s="452"/>
      <c r="W3045" s="452"/>
    </row>
    <row r="3046" spans="19:23" ht="15" customHeight="1" x14ac:dyDescent="0.45">
      <c r="S3046" s="452"/>
      <c r="T3046" s="452"/>
      <c r="U3046" s="452"/>
      <c r="V3046" s="452"/>
      <c r="W3046" s="452"/>
    </row>
    <row r="3047" spans="19:23" ht="15" customHeight="1" x14ac:dyDescent="0.45">
      <c r="S3047" s="452"/>
      <c r="T3047" s="452"/>
      <c r="U3047" s="452"/>
      <c r="V3047" s="452"/>
      <c r="W3047" s="452"/>
    </row>
    <row r="3048" spans="19:23" ht="15" customHeight="1" x14ac:dyDescent="0.45">
      <c r="S3048" s="452"/>
      <c r="T3048" s="452"/>
      <c r="U3048" s="452"/>
      <c r="V3048" s="452"/>
      <c r="W3048" s="452"/>
    </row>
    <row r="3049" spans="19:23" ht="15" customHeight="1" x14ac:dyDescent="0.45">
      <c r="S3049" s="452"/>
      <c r="T3049" s="452"/>
      <c r="U3049" s="452"/>
      <c r="V3049" s="452"/>
      <c r="W3049" s="452"/>
    </row>
    <row r="3050" spans="19:23" ht="15" customHeight="1" x14ac:dyDescent="0.45">
      <c r="S3050" s="452"/>
      <c r="T3050" s="452"/>
      <c r="U3050" s="452"/>
      <c r="V3050" s="452"/>
      <c r="W3050" s="452"/>
    </row>
    <row r="3051" spans="19:23" ht="15" customHeight="1" x14ac:dyDescent="0.45">
      <c r="S3051" s="452"/>
      <c r="T3051" s="452"/>
      <c r="U3051" s="452"/>
      <c r="V3051" s="452"/>
      <c r="W3051" s="452"/>
    </row>
    <row r="3052" spans="19:23" ht="15" customHeight="1" x14ac:dyDescent="0.45">
      <c r="S3052" s="452"/>
      <c r="T3052" s="452"/>
      <c r="U3052" s="452"/>
      <c r="V3052" s="452"/>
      <c r="W3052" s="452"/>
    </row>
    <row r="3053" spans="19:23" ht="15" customHeight="1" x14ac:dyDescent="0.45">
      <c r="S3053" s="452"/>
      <c r="T3053" s="452"/>
      <c r="U3053" s="452"/>
      <c r="V3053" s="452"/>
      <c r="W3053" s="452"/>
    </row>
    <row r="3054" spans="19:23" ht="15" customHeight="1" x14ac:dyDescent="0.45">
      <c r="S3054" s="452"/>
      <c r="T3054" s="452"/>
      <c r="U3054" s="452"/>
      <c r="V3054" s="452"/>
      <c r="W3054" s="452"/>
    </row>
    <row r="3055" spans="19:23" ht="15" customHeight="1" x14ac:dyDescent="0.45">
      <c r="S3055" s="452"/>
      <c r="T3055" s="452"/>
      <c r="U3055" s="452"/>
      <c r="V3055" s="452"/>
      <c r="W3055" s="452"/>
    </row>
    <row r="3056" spans="19:23" ht="15" customHeight="1" x14ac:dyDescent="0.45">
      <c r="S3056" s="452"/>
      <c r="T3056" s="452"/>
      <c r="U3056" s="452"/>
      <c r="V3056" s="452"/>
      <c r="W3056" s="452"/>
    </row>
    <row r="3057" spans="19:23" ht="15" customHeight="1" x14ac:dyDescent="0.45">
      <c r="S3057" s="452"/>
      <c r="T3057" s="452"/>
      <c r="U3057" s="452"/>
      <c r="V3057" s="452"/>
      <c r="W3057" s="452"/>
    </row>
    <row r="3058" spans="19:23" ht="15" customHeight="1" x14ac:dyDescent="0.45">
      <c r="S3058" s="452"/>
      <c r="T3058" s="452"/>
      <c r="U3058" s="452"/>
      <c r="V3058" s="452"/>
      <c r="W3058" s="452"/>
    </row>
    <row r="3059" spans="19:23" ht="15" customHeight="1" x14ac:dyDescent="0.45">
      <c r="S3059" s="452"/>
      <c r="T3059" s="452"/>
      <c r="U3059" s="452"/>
      <c r="V3059" s="452"/>
      <c r="W3059" s="452"/>
    </row>
    <row r="3060" spans="19:23" ht="15" customHeight="1" x14ac:dyDescent="0.45">
      <c r="S3060" s="452"/>
      <c r="T3060" s="452"/>
      <c r="U3060" s="452"/>
      <c r="V3060" s="452"/>
      <c r="W3060" s="452"/>
    </row>
    <row r="3061" spans="19:23" ht="15" customHeight="1" x14ac:dyDescent="0.45">
      <c r="S3061" s="452"/>
      <c r="T3061" s="452"/>
      <c r="U3061" s="452"/>
      <c r="V3061" s="452"/>
      <c r="W3061" s="452"/>
    </row>
    <row r="3062" spans="19:23" ht="15" customHeight="1" x14ac:dyDescent="0.45">
      <c r="S3062" s="452"/>
      <c r="T3062" s="452"/>
      <c r="U3062" s="452"/>
      <c r="V3062" s="452"/>
      <c r="W3062" s="452"/>
    </row>
    <row r="3063" spans="19:23" ht="15" customHeight="1" x14ac:dyDescent="0.45">
      <c r="S3063" s="452"/>
      <c r="T3063" s="452"/>
      <c r="U3063" s="452"/>
      <c r="V3063" s="452"/>
      <c r="W3063" s="452"/>
    </row>
    <row r="3064" spans="19:23" ht="15" customHeight="1" x14ac:dyDescent="0.45">
      <c r="S3064" s="452"/>
      <c r="T3064" s="452"/>
      <c r="U3064" s="452"/>
      <c r="V3064" s="452"/>
      <c r="W3064" s="452"/>
    </row>
    <row r="3065" spans="19:23" ht="15" customHeight="1" x14ac:dyDescent="0.45">
      <c r="S3065" s="452"/>
      <c r="T3065" s="452"/>
      <c r="U3065" s="452"/>
      <c r="V3065" s="452"/>
      <c r="W3065" s="452"/>
    </row>
    <row r="3066" spans="19:23" ht="15" customHeight="1" x14ac:dyDescent="0.45">
      <c r="S3066" s="452"/>
      <c r="T3066" s="452"/>
      <c r="U3066" s="452"/>
      <c r="V3066" s="452"/>
      <c r="W3066" s="452"/>
    </row>
    <row r="3067" spans="19:23" ht="15" customHeight="1" x14ac:dyDescent="0.45">
      <c r="S3067" s="452"/>
      <c r="T3067" s="452"/>
      <c r="U3067" s="452"/>
      <c r="V3067" s="452"/>
      <c r="W3067" s="452"/>
    </row>
    <row r="3068" spans="19:23" ht="15" customHeight="1" x14ac:dyDescent="0.45">
      <c r="S3068" s="452"/>
      <c r="T3068" s="452"/>
      <c r="U3068" s="452"/>
      <c r="V3068" s="452"/>
      <c r="W3068" s="452"/>
    </row>
    <row r="3069" spans="19:23" ht="15" customHeight="1" x14ac:dyDescent="0.45">
      <c r="S3069" s="452"/>
      <c r="T3069" s="452"/>
      <c r="U3069" s="452"/>
      <c r="V3069" s="452"/>
      <c r="W3069" s="452"/>
    </row>
    <row r="3070" spans="19:23" ht="15" customHeight="1" x14ac:dyDescent="0.45">
      <c r="S3070" s="452"/>
      <c r="T3070" s="452"/>
      <c r="U3070" s="452"/>
      <c r="V3070" s="452"/>
      <c r="W3070" s="452"/>
    </row>
    <row r="3071" spans="19:23" ht="15" customHeight="1" x14ac:dyDescent="0.45">
      <c r="S3071" s="452"/>
      <c r="T3071" s="452"/>
      <c r="U3071" s="452"/>
      <c r="V3071" s="452"/>
      <c r="W3071" s="452"/>
    </row>
    <row r="3072" spans="19:23" ht="15" customHeight="1" x14ac:dyDescent="0.45">
      <c r="S3072" s="452"/>
      <c r="T3072" s="452"/>
      <c r="U3072" s="452"/>
      <c r="V3072" s="452"/>
      <c r="W3072" s="452"/>
    </row>
    <row r="3073" spans="19:23" ht="15" customHeight="1" x14ac:dyDescent="0.45">
      <c r="S3073" s="452"/>
      <c r="T3073" s="452"/>
      <c r="U3073" s="452"/>
      <c r="V3073" s="452"/>
      <c r="W3073" s="452"/>
    </row>
    <row r="3074" spans="19:23" ht="15" customHeight="1" x14ac:dyDescent="0.45">
      <c r="S3074" s="452"/>
      <c r="T3074" s="452"/>
      <c r="U3074" s="452"/>
      <c r="V3074" s="452"/>
      <c r="W3074" s="452"/>
    </row>
    <row r="3075" spans="19:23" ht="15" customHeight="1" x14ac:dyDescent="0.45">
      <c r="S3075" s="452"/>
      <c r="T3075" s="452"/>
      <c r="U3075" s="452"/>
      <c r="V3075" s="452"/>
      <c r="W3075" s="452"/>
    </row>
    <row r="3076" spans="19:23" ht="15" customHeight="1" x14ac:dyDescent="0.45">
      <c r="S3076" s="452"/>
      <c r="T3076" s="452"/>
      <c r="U3076" s="452"/>
      <c r="V3076" s="452"/>
      <c r="W3076" s="452"/>
    </row>
    <row r="3077" spans="19:23" ht="15" customHeight="1" x14ac:dyDescent="0.45">
      <c r="S3077" s="452"/>
      <c r="T3077" s="452"/>
      <c r="U3077" s="452"/>
      <c r="V3077" s="452"/>
      <c r="W3077" s="452"/>
    </row>
    <row r="3078" spans="19:23" ht="15" customHeight="1" x14ac:dyDescent="0.45">
      <c r="S3078" s="452"/>
      <c r="T3078" s="452"/>
      <c r="U3078" s="452"/>
      <c r="V3078" s="452"/>
      <c r="W3078" s="452"/>
    </row>
    <row r="3079" spans="19:23" ht="15" customHeight="1" x14ac:dyDescent="0.45">
      <c r="S3079" s="452"/>
      <c r="T3079" s="452"/>
      <c r="U3079" s="452"/>
      <c r="V3079" s="452"/>
      <c r="W3079" s="452"/>
    </row>
    <row r="3080" spans="19:23" ht="15" customHeight="1" x14ac:dyDescent="0.45">
      <c r="S3080" s="452"/>
      <c r="T3080" s="452"/>
      <c r="U3080" s="452"/>
      <c r="V3080" s="452"/>
      <c r="W3080" s="452"/>
    </row>
    <row r="3081" spans="19:23" ht="15" customHeight="1" x14ac:dyDescent="0.45">
      <c r="S3081" s="452"/>
      <c r="T3081" s="452"/>
      <c r="U3081" s="452"/>
      <c r="V3081" s="452"/>
      <c r="W3081" s="452"/>
    </row>
    <row r="3082" spans="19:23" ht="15" customHeight="1" x14ac:dyDescent="0.45">
      <c r="S3082" s="452"/>
      <c r="T3082" s="452"/>
      <c r="U3082" s="452"/>
      <c r="V3082" s="452"/>
      <c r="W3082" s="452"/>
    </row>
    <row r="3083" spans="19:23" ht="15" customHeight="1" x14ac:dyDescent="0.45">
      <c r="S3083" s="452"/>
      <c r="T3083" s="452"/>
      <c r="U3083" s="452"/>
      <c r="V3083" s="452"/>
      <c r="W3083" s="452"/>
    </row>
    <row r="3084" spans="19:23" ht="15" customHeight="1" x14ac:dyDescent="0.45">
      <c r="S3084" s="452"/>
      <c r="T3084" s="452"/>
      <c r="U3084" s="452"/>
      <c r="V3084" s="452"/>
      <c r="W3084" s="452"/>
    </row>
    <row r="3085" spans="19:23" ht="15" customHeight="1" x14ac:dyDescent="0.45">
      <c r="S3085" s="452"/>
      <c r="T3085" s="452"/>
      <c r="U3085" s="452"/>
      <c r="V3085" s="452"/>
      <c r="W3085" s="452"/>
    </row>
    <row r="3086" spans="19:23" ht="15" customHeight="1" x14ac:dyDescent="0.45">
      <c r="S3086" s="452"/>
      <c r="T3086" s="452"/>
      <c r="U3086" s="452"/>
      <c r="V3086" s="452"/>
      <c r="W3086" s="452"/>
    </row>
    <row r="3087" spans="19:23" ht="15" customHeight="1" x14ac:dyDescent="0.45">
      <c r="S3087" s="452"/>
      <c r="T3087" s="452"/>
      <c r="U3087" s="452"/>
      <c r="V3087" s="452"/>
      <c r="W3087" s="452"/>
    </row>
    <row r="3088" spans="19:23" ht="15" customHeight="1" x14ac:dyDescent="0.45">
      <c r="S3088" s="452"/>
      <c r="T3088" s="452"/>
      <c r="U3088" s="452"/>
      <c r="V3088" s="452"/>
      <c r="W3088" s="452"/>
    </row>
    <row r="3089" spans="19:23" ht="15" customHeight="1" x14ac:dyDescent="0.45">
      <c r="S3089" s="452"/>
      <c r="T3089" s="452"/>
      <c r="U3089" s="452"/>
      <c r="V3089" s="452"/>
      <c r="W3089" s="452"/>
    </row>
    <row r="3090" spans="19:23" ht="15" customHeight="1" x14ac:dyDescent="0.45">
      <c r="S3090" s="452"/>
      <c r="T3090" s="452"/>
      <c r="U3090" s="452"/>
      <c r="V3090" s="452"/>
      <c r="W3090" s="452"/>
    </row>
    <row r="3091" spans="19:23" ht="15" customHeight="1" x14ac:dyDescent="0.45">
      <c r="S3091" s="452"/>
      <c r="T3091" s="452"/>
      <c r="U3091" s="452"/>
      <c r="V3091" s="452"/>
      <c r="W3091" s="452"/>
    </row>
    <row r="3092" spans="19:23" ht="15" customHeight="1" x14ac:dyDescent="0.45">
      <c r="S3092" s="452"/>
      <c r="T3092" s="452"/>
      <c r="U3092" s="452"/>
      <c r="V3092" s="452"/>
      <c r="W3092" s="452"/>
    </row>
    <row r="3093" spans="19:23" ht="15" customHeight="1" x14ac:dyDescent="0.45">
      <c r="S3093" s="452"/>
      <c r="T3093" s="452"/>
      <c r="U3093" s="452"/>
      <c r="V3093" s="452"/>
      <c r="W3093" s="452"/>
    </row>
    <row r="3094" spans="19:23" ht="15" customHeight="1" x14ac:dyDescent="0.45">
      <c r="S3094" s="452"/>
      <c r="T3094" s="452"/>
      <c r="U3094" s="452"/>
      <c r="V3094" s="452"/>
      <c r="W3094" s="452"/>
    </row>
    <row r="3095" spans="19:23" ht="15" customHeight="1" x14ac:dyDescent="0.45">
      <c r="S3095" s="452"/>
      <c r="T3095" s="452"/>
      <c r="U3095" s="452"/>
      <c r="V3095" s="452"/>
      <c r="W3095" s="452"/>
    </row>
    <row r="3096" spans="19:23" ht="15" customHeight="1" x14ac:dyDescent="0.45">
      <c r="S3096" s="452"/>
      <c r="T3096" s="452"/>
      <c r="U3096" s="452"/>
      <c r="V3096" s="452"/>
      <c r="W3096" s="452"/>
    </row>
    <row r="3097" spans="19:23" ht="15" customHeight="1" x14ac:dyDescent="0.45">
      <c r="S3097" s="452"/>
      <c r="T3097" s="452"/>
      <c r="U3097" s="452"/>
      <c r="V3097" s="452"/>
      <c r="W3097" s="452"/>
    </row>
    <row r="3098" spans="19:23" ht="15" customHeight="1" x14ac:dyDescent="0.45">
      <c r="S3098" s="452"/>
      <c r="T3098" s="452"/>
      <c r="U3098" s="452"/>
      <c r="V3098" s="452"/>
      <c r="W3098" s="452"/>
    </row>
    <row r="3099" spans="19:23" ht="15" customHeight="1" x14ac:dyDescent="0.45">
      <c r="S3099" s="452"/>
      <c r="T3099" s="452"/>
      <c r="U3099" s="452"/>
      <c r="V3099" s="452"/>
      <c r="W3099" s="452"/>
    </row>
    <row r="3100" spans="19:23" ht="15" customHeight="1" x14ac:dyDescent="0.45">
      <c r="S3100" s="452"/>
      <c r="T3100" s="452"/>
      <c r="U3100" s="452"/>
      <c r="V3100" s="452"/>
      <c r="W3100" s="452"/>
    </row>
    <row r="3101" spans="19:23" ht="15" customHeight="1" x14ac:dyDescent="0.45">
      <c r="S3101" s="452"/>
      <c r="T3101" s="452"/>
      <c r="U3101" s="452"/>
      <c r="V3101" s="452"/>
      <c r="W3101" s="452"/>
    </row>
    <row r="3102" spans="19:23" ht="15" customHeight="1" x14ac:dyDescent="0.45">
      <c r="S3102" s="452"/>
      <c r="T3102" s="452"/>
      <c r="U3102" s="452"/>
      <c r="V3102" s="452"/>
      <c r="W3102" s="452"/>
    </row>
    <row r="3103" spans="19:23" ht="15" customHeight="1" x14ac:dyDescent="0.45">
      <c r="S3103" s="452"/>
      <c r="T3103" s="452"/>
      <c r="U3103" s="452"/>
      <c r="V3103" s="452"/>
      <c r="W3103" s="452"/>
    </row>
    <row r="3104" spans="19:23" ht="15" customHeight="1" x14ac:dyDescent="0.45">
      <c r="S3104" s="452"/>
      <c r="T3104" s="452"/>
      <c r="U3104" s="452"/>
      <c r="V3104" s="452"/>
      <c r="W3104" s="452"/>
    </row>
    <row r="3105" spans="19:23" ht="15" customHeight="1" x14ac:dyDescent="0.45">
      <c r="S3105" s="452"/>
      <c r="T3105" s="452"/>
      <c r="U3105" s="452"/>
      <c r="V3105" s="452"/>
      <c r="W3105" s="452"/>
    </row>
    <row r="3106" spans="19:23" ht="15" customHeight="1" x14ac:dyDescent="0.45">
      <c r="S3106" s="452"/>
      <c r="T3106" s="452"/>
      <c r="U3106" s="452"/>
      <c r="V3106" s="452"/>
      <c r="W3106" s="452"/>
    </row>
    <row r="3107" spans="19:23" ht="15" customHeight="1" x14ac:dyDescent="0.45">
      <c r="S3107" s="452"/>
      <c r="T3107" s="452"/>
      <c r="U3107" s="452"/>
      <c r="V3107" s="452"/>
      <c r="W3107" s="452"/>
    </row>
    <row r="3108" spans="19:23" ht="15" customHeight="1" x14ac:dyDescent="0.45">
      <c r="S3108" s="452"/>
      <c r="T3108" s="452"/>
      <c r="U3108" s="452"/>
      <c r="V3108" s="452"/>
      <c r="W3108" s="452"/>
    </row>
    <row r="3109" spans="19:23" ht="15" customHeight="1" x14ac:dyDescent="0.45">
      <c r="S3109" s="452"/>
      <c r="T3109" s="452"/>
      <c r="U3109" s="452"/>
      <c r="V3109" s="452"/>
      <c r="W3109" s="452"/>
    </row>
    <row r="3110" spans="19:23" ht="15" customHeight="1" x14ac:dyDescent="0.45">
      <c r="S3110" s="452"/>
      <c r="T3110" s="452"/>
      <c r="U3110" s="452"/>
      <c r="V3110" s="452"/>
      <c r="W3110" s="452"/>
    </row>
    <row r="3111" spans="19:23" ht="15" customHeight="1" x14ac:dyDescent="0.45">
      <c r="S3111" s="452"/>
      <c r="T3111" s="452"/>
      <c r="U3111" s="452"/>
      <c r="V3111" s="452"/>
      <c r="W3111" s="452"/>
    </row>
    <row r="3112" spans="19:23" ht="15" customHeight="1" x14ac:dyDescent="0.45">
      <c r="S3112" s="452"/>
      <c r="T3112" s="452"/>
      <c r="U3112" s="452"/>
      <c r="V3112" s="452"/>
      <c r="W3112" s="452"/>
    </row>
    <row r="3113" spans="19:23" ht="15" customHeight="1" x14ac:dyDescent="0.45">
      <c r="S3113" s="452"/>
      <c r="T3113" s="452"/>
      <c r="U3113" s="452"/>
      <c r="V3113" s="452"/>
      <c r="W3113" s="452"/>
    </row>
    <row r="3114" spans="19:23" ht="15" customHeight="1" x14ac:dyDescent="0.45">
      <c r="S3114" s="452"/>
      <c r="T3114" s="452"/>
      <c r="U3114" s="452"/>
      <c r="V3114" s="452"/>
      <c r="W3114" s="452"/>
    </row>
    <row r="3115" spans="19:23" ht="15" customHeight="1" x14ac:dyDescent="0.45">
      <c r="S3115" s="452"/>
      <c r="T3115" s="452"/>
      <c r="U3115" s="452"/>
      <c r="V3115" s="452"/>
      <c r="W3115" s="452"/>
    </row>
    <row r="3116" spans="19:23" ht="15" customHeight="1" x14ac:dyDescent="0.45">
      <c r="S3116" s="452"/>
      <c r="T3116" s="452"/>
      <c r="U3116" s="452"/>
      <c r="V3116" s="452"/>
      <c r="W3116" s="452"/>
    </row>
    <row r="3117" spans="19:23" ht="15" customHeight="1" x14ac:dyDescent="0.45">
      <c r="S3117" s="452"/>
      <c r="T3117" s="452"/>
      <c r="U3117" s="452"/>
      <c r="V3117" s="452"/>
      <c r="W3117" s="452"/>
    </row>
    <row r="3118" spans="19:23" ht="15" customHeight="1" x14ac:dyDescent="0.45">
      <c r="S3118" s="452"/>
      <c r="T3118" s="452"/>
      <c r="U3118" s="452"/>
      <c r="V3118" s="452"/>
      <c r="W3118" s="452"/>
    </row>
    <row r="3119" spans="19:23" ht="15" customHeight="1" x14ac:dyDescent="0.45">
      <c r="S3119" s="452"/>
      <c r="T3119" s="452"/>
      <c r="U3119" s="452"/>
      <c r="V3119" s="452"/>
      <c r="W3119" s="452"/>
    </row>
    <row r="3120" spans="19:23" ht="15" customHeight="1" x14ac:dyDescent="0.45">
      <c r="S3120" s="452"/>
      <c r="T3120" s="452"/>
      <c r="U3120" s="452"/>
      <c r="V3120" s="452"/>
      <c r="W3120" s="452"/>
    </row>
    <row r="3121" spans="19:23" ht="15" customHeight="1" x14ac:dyDescent="0.45">
      <c r="S3121" s="452"/>
      <c r="T3121" s="452"/>
      <c r="U3121" s="452"/>
      <c r="V3121" s="452"/>
      <c r="W3121" s="452"/>
    </row>
    <row r="3122" spans="19:23" ht="15" customHeight="1" x14ac:dyDescent="0.45">
      <c r="S3122" s="452"/>
      <c r="T3122" s="452"/>
      <c r="U3122" s="452"/>
      <c r="V3122" s="452"/>
      <c r="W3122" s="452"/>
    </row>
    <row r="3123" spans="19:23" ht="15" customHeight="1" x14ac:dyDescent="0.45">
      <c r="S3123" s="452"/>
      <c r="T3123" s="452"/>
      <c r="U3123" s="452"/>
      <c r="V3123" s="452"/>
      <c r="W3123" s="452"/>
    </row>
    <row r="3124" spans="19:23" ht="15" customHeight="1" x14ac:dyDescent="0.45">
      <c r="S3124" s="452"/>
      <c r="T3124" s="452"/>
      <c r="U3124" s="452"/>
      <c r="V3124" s="452"/>
      <c r="W3124" s="452"/>
    </row>
    <row r="3125" spans="19:23" ht="15" customHeight="1" x14ac:dyDescent="0.45">
      <c r="S3125" s="452"/>
      <c r="T3125" s="452"/>
      <c r="U3125" s="452"/>
      <c r="V3125" s="452"/>
      <c r="W3125" s="452"/>
    </row>
    <row r="3126" spans="19:23" ht="15" customHeight="1" x14ac:dyDescent="0.45">
      <c r="S3126" s="452"/>
      <c r="T3126" s="452"/>
      <c r="U3126" s="452"/>
      <c r="V3126" s="452"/>
      <c r="W3126" s="452"/>
    </row>
    <row r="3127" spans="19:23" ht="15" customHeight="1" x14ac:dyDescent="0.45">
      <c r="S3127" s="452"/>
      <c r="T3127" s="452"/>
      <c r="U3127" s="452"/>
      <c r="V3127" s="452"/>
      <c r="W3127" s="452"/>
    </row>
    <row r="3128" spans="19:23" ht="15" customHeight="1" x14ac:dyDescent="0.45">
      <c r="S3128" s="452"/>
      <c r="T3128" s="452"/>
      <c r="U3128" s="452"/>
      <c r="V3128" s="452"/>
      <c r="W3128" s="452"/>
    </row>
    <row r="3129" spans="19:23" ht="15" customHeight="1" x14ac:dyDescent="0.45">
      <c r="S3129" s="452"/>
      <c r="T3129" s="452"/>
      <c r="U3129" s="452"/>
      <c r="V3129" s="452"/>
      <c r="W3129" s="452"/>
    </row>
    <row r="3130" spans="19:23" ht="15" customHeight="1" x14ac:dyDescent="0.45">
      <c r="S3130" s="452"/>
      <c r="T3130" s="452"/>
      <c r="U3130" s="452"/>
      <c r="V3130" s="452"/>
      <c r="W3130" s="452"/>
    </row>
    <row r="3131" spans="19:23" ht="15" customHeight="1" x14ac:dyDescent="0.45">
      <c r="S3131" s="452"/>
      <c r="T3131" s="452"/>
      <c r="U3131" s="452"/>
      <c r="V3131" s="452"/>
      <c r="W3131" s="452"/>
    </row>
    <row r="3132" spans="19:23" ht="15" customHeight="1" x14ac:dyDescent="0.45">
      <c r="S3132" s="452"/>
      <c r="T3132" s="452"/>
      <c r="U3132" s="452"/>
      <c r="V3132" s="452"/>
      <c r="W3132" s="452"/>
    </row>
    <row r="3133" spans="19:23" ht="15" customHeight="1" x14ac:dyDescent="0.45">
      <c r="S3133" s="452"/>
      <c r="T3133" s="452"/>
      <c r="U3133" s="452"/>
      <c r="V3133" s="452"/>
      <c r="W3133" s="452"/>
    </row>
    <row r="3134" spans="19:23" ht="15" customHeight="1" x14ac:dyDescent="0.45">
      <c r="S3134" s="452"/>
      <c r="T3134" s="452"/>
      <c r="U3134" s="452"/>
      <c r="V3134" s="452"/>
      <c r="W3134" s="452"/>
    </row>
    <row r="3135" spans="19:23" ht="15" customHeight="1" x14ac:dyDescent="0.45">
      <c r="S3135" s="452"/>
      <c r="T3135" s="452"/>
      <c r="U3135" s="452"/>
      <c r="V3135" s="452"/>
      <c r="W3135" s="452"/>
    </row>
    <row r="3136" spans="19:23" ht="15" customHeight="1" x14ac:dyDescent="0.45">
      <c r="S3136" s="452"/>
      <c r="T3136" s="452"/>
      <c r="U3136" s="452"/>
      <c r="V3136" s="452"/>
      <c r="W3136" s="452"/>
    </row>
    <row r="3137" spans="19:23" ht="15" customHeight="1" x14ac:dyDescent="0.45">
      <c r="S3137" s="452"/>
      <c r="T3137" s="452"/>
      <c r="U3137" s="452"/>
      <c r="V3137" s="452"/>
      <c r="W3137" s="452"/>
    </row>
    <row r="3138" spans="19:23" ht="15" customHeight="1" x14ac:dyDescent="0.45">
      <c r="S3138" s="452"/>
      <c r="T3138" s="452"/>
      <c r="U3138" s="452"/>
      <c r="V3138" s="452"/>
      <c r="W3138" s="452"/>
    </row>
    <row r="3139" spans="19:23" ht="15" customHeight="1" x14ac:dyDescent="0.45">
      <c r="S3139" s="452"/>
      <c r="T3139" s="452"/>
      <c r="U3139" s="452"/>
      <c r="V3139" s="452"/>
      <c r="W3139" s="452"/>
    </row>
    <row r="3140" spans="19:23" ht="15" customHeight="1" x14ac:dyDescent="0.45">
      <c r="S3140" s="452"/>
      <c r="T3140" s="452"/>
      <c r="U3140" s="452"/>
      <c r="V3140" s="452"/>
      <c r="W3140" s="452"/>
    </row>
    <row r="3141" spans="19:23" ht="15" customHeight="1" x14ac:dyDescent="0.45">
      <c r="S3141" s="452"/>
      <c r="T3141" s="452"/>
      <c r="U3141" s="452"/>
      <c r="V3141" s="452"/>
      <c r="W3141" s="452"/>
    </row>
    <row r="3142" spans="19:23" ht="15" customHeight="1" x14ac:dyDescent="0.45">
      <c r="S3142" s="452"/>
      <c r="T3142" s="452"/>
      <c r="U3142" s="452"/>
      <c r="V3142" s="452"/>
      <c r="W3142" s="452"/>
    </row>
    <row r="3143" spans="19:23" ht="15" customHeight="1" x14ac:dyDescent="0.45">
      <c r="S3143" s="452"/>
      <c r="T3143" s="452"/>
      <c r="U3143" s="452"/>
      <c r="V3143" s="452"/>
      <c r="W3143" s="452"/>
    </row>
    <row r="3144" spans="19:23" ht="15" customHeight="1" x14ac:dyDescent="0.45">
      <c r="S3144" s="452"/>
      <c r="T3144" s="452"/>
      <c r="U3144" s="452"/>
      <c r="V3144" s="452"/>
      <c r="W3144" s="452"/>
    </row>
    <row r="3145" spans="19:23" ht="15" customHeight="1" x14ac:dyDescent="0.45">
      <c r="S3145" s="452"/>
      <c r="T3145" s="452"/>
      <c r="U3145" s="452"/>
      <c r="V3145" s="452"/>
      <c r="W3145" s="452"/>
    </row>
    <row r="3146" spans="19:23" ht="15" customHeight="1" x14ac:dyDescent="0.45">
      <c r="S3146" s="452"/>
      <c r="T3146" s="452"/>
      <c r="U3146" s="452"/>
      <c r="V3146" s="452"/>
      <c r="W3146" s="452"/>
    </row>
    <row r="3147" spans="19:23" ht="15" customHeight="1" x14ac:dyDescent="0.45">
      <c r="S3147" s="452"/>
      <c r="T3147" s="452"/>
      <c r="U3147" s="452"/>
      <c r="V3147" s="452"/>
      <c r="W3147" s="452"/>
    </row>
    <row r="3148" spans="19:23" ht="15" customHeight="1" x14ac:dyDescent="0.45">
      <c r="S3148" s="452"/>
      <c r="T3148" s="452"/>
      <c r="U3148" s="452"/>
      <c r="V3148" s="452"/>
      <c r="W3148" s="452"/>
    </row>
    <row r="3149" spans="19:23" ht="15" customHeight="1" x14ac:dyDescent="0.45">
      <c r="S3149" s="452"/>
      <c r="T3149" s="452"/>
      <c r="U3149" s="452"/>
      <c r="V3149" s="452"/>
      <c r="W3149" s="452"/>
    </row>
    <row r="3150" spans="19:23" ht="15" customHeight="1" x14ac:dyDescent="0.45">
      <c r="S3150" s="452"/>
      <c r="T3150" s="452"/>
      <c r="U3150" s="452"/>
      <c r="V3150" s="452"/>
      <c r="W3150" s="452"/>
    </row>
    <row r="3151" spans="19:23" ht="15" customHeight="1" x14ac:dyDescent="0.45">
      <c r="S3151" s="452"/>
      <c r="T3151" s="452"/>
      <c r="U3151" s="452"/>
      <c r="V3151" s="452"/>
      <c r="W3151" s="452"/>
    </row>
    <row r="3152" spans="19:23" ht="15" customHeight="1" x14ac:dyDescent="0.45">
      <c r="S3152" s="452"/>
      <c r="T3152" s="452"/>
      <c r="U3152" s="452"/>
      <c r="V3152" s="452"/>
      <c r="W3152" s="452"/>
    </row>
    <row r="3153" spans="19:23" ht="15" customHeight="1" x14ac:dyDescent="0.45">
      <c r="S3153" s="452"/>
      <c r="T3153" s="452"/>
      <c r="U3153" s="452"/>
      <c r="V3153" s="452"/>
      <c r="W3153" s="452"/>
    </row>
    <row r="3154" spans="19:23" ht="15" customHeight="1" x14ac:dyDescent="0.45">
      <c r="S3154" s="452"/>
      <c r="T3154" s="452"/>
      <c r="U3154" s="452"/>
      <c r="V3154" s="452"/>
      <c r="W3154" s="452"/>
    </row>
    <row r="3155" spans="19:23" ht="15" customHeight="1" x14ac:dyDescent="0.45">
      <c r="S3155" s="452"/>
      <c r="T3155" s="452"/>
      <c r="U3155" s="452"/>
      <c r="V3155" s="452"/>
      <c r="W3155" s="452"/>
    </row>
    <row r="3156" spans="19:23" ht="15" customHeight="1" x14ac:dyDescent="0.45">
      <c r="S3156" s="452"/>
      <c r="T3156" s="452"/>
      <c r="U3156" s="452"/>
      <c r="V3156" s="452"/>
      <c r="W3156" s="452"/>
    </row>
    <row r="3157" spans="19:23" ht="15" customHeight="1" x14ac:dyDescent="0.45">
      <c r="S3157" s="452"/>
      <c r="T3157" s="452"/>
      <c r="U3157" s="452"/>
      <c r="V3157" s="452"/>
      <c r="W3157" s="452"/>
    </row>
    <row r="3158" spans="19:23" ht="15" customHeight="1" x14ac:dyDescent="0.45">
      <c r="S3158" s="452"/>
      <c r="T3158" s="452"/>
      <c r="U3158" s="452"/>
      <c r="V3158" s="452"/>
      <c r="W3158" s="452"/>
    </row>
    <row r="3159" spans="19:23" ht="15" customHeight="1" x14ac:dyDescent="0.45">
      <c r="S3159" s="452"/>
      <c r="T3159" s="452"/>
      <c r="U3159" s="452"/>
      <c r="V3159" s="452"/>
      <c r="W3159" s="452"/>
    </row>
    <row r="3160" spans="19:23" ht="15" customHeight="1" x14ac:dyDescent="0.45">
      <c r="S3160" s="452"/>
      <c r="T3160" s="452"/>
      <c r="U3160" s="452"/>
      <c r="V3160" s="452"/>
      <c r="W3160" s="452"/>
    </row>
    <row r="3161" spans="19:23" ht="15" customHeight="1" x14ac:dyDescent="0.45">
      <c r="S3161" s="452"/>
      <c r="T3161" s="452"/>
      <c r="U3161" s="452"/>
      <c r="V3161" s="452"/>
      <c r="W3161" s="452"/>
    </row>
    <row r="3162" spans="19:23" ht="15" customHeight="1" x14ac:dyDescent="0.45">
      <c r="S3162" s="452"/>
      <c r="T3162" s="452"/>
      <c r="U3162" s="452"/>
      <c r="V3162" s="452"/>
      <c r="W3162" s="452"/>
    </row>
    <row r="3163" spans="19:23" ht="15" customHeight="1" x14ac:dyDescent="0.45">
      <c r="S3163" s="452"/>
      <c r="T3163" s="452"/>
      <c r="U3163" s="452"/>
      <c r="V3163" s="452"/>
      <c r="W3163" s="452"/>
    </row>
    <row r="3164" spans="19:23" ht="15" customHeight="1" x14ac:dyDescent="0.45">
      <c r="S3164" s="452"/>
      <c r="T3164" s="452"/>
      <c r="U3164" s="452"/>
      <c r="V3164" s="452"/>
      <c r="W3164" s="452"/>
    </row>
    <row r="3165" spans="19:23" ht="15" customHeight="1" x14ac:dyDescent="0.45">
      <c r="S3165" s="452"/>
      <c r="T3165" s="452"/>
      <c r="U3165" s="452"/>
      <c r="V3165" s="452"/>
      <c r="W3165" s="452"/>
    </row>
    <row r="3166" spans="19:23" ht="15" customHeight="1" x14ac:dyDescent="0.45">
      <c r="S3166" s="452"/>
      <c r="T3166" s="452"/>
      <c r="U3166" s="452"/>
      <c r="V3166" s="452"/>
      <c r="W3166" s="452"/>
    </row>
    <row r="3167" spans="19:23" ht="15" customHeight="1" x14ac:dyDescent="0.45">
      <c r="S3167" s="452"/>
      <c r="T3167" s="452"/>
      <c r="U3167" s="452"/>
      <c r="V3167" s="452"/>
      <c r="W3167" s="452"/>
    </row>
    <row r="3168" spans="19:23" ht="15" customHeight="1" x14ac:dyDescent="0.45">
      <c r="S3168" s="452"/>
      <c r="T3168" s="452"/>
      <c r="U3168" s="452"/>
      <c r="V3168" s="452"/>
      <c r="W3168" s="452"/>
    </row>
    <row r="3169" spans="19:23" ht="15" customHeight="1" x14ac:dyDescent="0.45">
      <c r="S3169" s="452"/>
      <c r="T3169" s="452"/>
      <c r="U3169" s="452"/>
      <c r="V3169" s="452"/>
      <c r="W3169" s="452"/>
    </row>
    <row r="3170" spans="19:23" ht="15" customHeight="1" x14ac:dyDescent="0.45">
      <c r="S3170" s="452"/>
      <c r="T3170" s="452"/>
      <c r="U3170" s="452"/>
      <c r="V3170" s="452"/>
      <c r="W3170" s="452"/>
    </row>
    <row r="3171" spans="19:23" ht="15" customHeight="1" x14ac:dyDescent="0.45">
      <c r="S3171" s="452"/>
      <c r="T3171" s="452"/>
      <c r="U3171" s="452"/>
      <c r="V3171" s="452"/>
      <c r="W3171" s="452"/>
    </row>
    <row r="3172" spans="19:23" ht="15" customHeight="1" x14ac:dyDescent="0.45">
      <c r="S3172" s="452"/>
      <c r="T3172" s="452"/>
      <c r="U3172" s="452"/>
      <c r="V3172" s="452"/>
      <c r="W3172" s="452"/>
    </row>
    <row r="3173" spans="19:23" ht="15" customHeight="1" x14ac:dyDescent="0.45">
      <c r="S3173" s="452"/>
      <c r="T3173" s="452"/>
      <c r="U3173" s="452"/>
      <c r="V3173" s="452"/>
      <c r="W3173" s="452"/>
    </row>
    <row r="3174" spans="19:23" ht="15" customHeight="1" x14ac:dyDescent="0.45">
      <c r="S3174" s="452"/>
      <c r="T3174" s="452"/>
      <c r="U3174" s="452"/>
      <c r="V3174" s="452"/>
      <c r="W3174" s="452"/>
    </row>
    <row r="3175" spans="19:23" ht="15" customHeight="1" x14ac:dyDescent="0.45">
      <c r="S3175" s="452"/>
      <c r="T3175" s="452"/>
      <c r="U3175" s="452"/>
      <c r="V3175" s="452"/>
      <c r="W3175" s="452"/>
    </row>
    <row r="3176" spans="19:23" ht="15" customHeight="1" x14ac:dyDescent="0.45">
      <c r="S3176" s="452"/>
      <c r="T3176" s="452"/>
      <c r="U3176" s="452"/>
      <c r="V3176" s="452"/>
      <c r="W3176" s="452"/>
    </row>
    <row r="3177" spans="19:23" ht="15" customHeight="1" x14ac:dyDescent="0.45">
      <c r="S3177" s="452"/>
      <c r="T3177" s="452"/>
      <c r="U3177" s="452"/>
      <c r="V3177" s="452"/>
      <c r="W3177" s="452"/>
    </row>
    <row r="3178" spans="19:23" ht="15" customHeight="1" x14ac:dyDescent="0.45">
      <c r="S3178" s="452"/>
      <c r="T3178" s="452"/>
      <c r="U3178" s="452"/>
      <c r="V3178" s="452"/>
      <c r="W3178" s="452"/>
    </row>
    <row r="3179" spans="19:23" ht="15" customHeight="1" x14ac:dyDescent="0.45">
      <c r="S3179" s="452"/>
      <c r="T3179" s="452"/>
      <c r="U3179" s="452"/>
      <c r="V3179" s="452"/>
      <c r="W3179" s="452"/>
    </row>
    <row r="3180" spans="19:23" ht="15" customHeight="1" x14ac:dyDescent="0.45">
      <c r="S3180" s="452"/>
      <c r="T3180" s="452"/>
      <c r="U3180" s="452"/>
      <c r="V3180" s="452"/>
      <c r="W3180" s="452"/>
    </row>
    <row r="3181" spans="19:23" ht="15" customHeight="1" x14ac:dyDescent="0.45">
      <c r="S3181" s="452"/>
      <c r="T3181" s="452"/>
      <c r="U3181" s="452"/>
      <c r="V3181" s="452"/>
      <c r="W3181" s="452"/>
    </row>
    <row r="3182" spans="19:23" ht="15" customHeight="1" x14ac:dyDescent="0.45">
      <c r="S3182" s="452"/>
      <c r="T3182" s="452"/>
      <c r="U3182" s="452"/>
      <c r="V3182" s="452"/>
      <c r="W3182" s="452"/>
    </row>
    <row r="3183" spans="19:23" ht="15" customHeight="1" x14ac:dyDescent="0.45">
      <c r="S3183" s="452"/>
      <c r="T3183" s="452"/>
      <c r="U3183" s="452"/>
      <c r="V3183" s="452"/>
      <c r="W3183" s="452"/>
    </row>
    <row r="3184" spans="19:23" ht="15" customHeight="1" x14ac:dyDescent="0.45">
      <c r="S3184" s="452"/>
      <c r="T3184" s="452"/>
      <c r="U3184" s="452"/>
      <c r="V3184" s="452"/>
      <c r="W3184" s="452"/>
    </row>
    <row r="3185" spans="19:23" ht="15" customHeight="1" x14ac:dyDescent="0.45">
      <c r="S3185" s="452"/>
      <c r="T3185" s="452"/>
      <c r="U3185" s="452"/>
      <c r="V3185" s="452"/>
      <c r="W3185" s="452"/>
    </row>
    <row r="3186" spans="19:23" ht="15" customHeight="1" x14ac:dyDescent="0.45">
      <c r="S3186" s="452"/>
      <c r="T3186" s="452"/>
      <c r="U3186" s="452"/>
      <c r="V3186" s="452"/>
      <c r="W3186" s="452"/>
    </row>
    <row r="3187" spans="19:23" ht="15" customHeight="1" x14ac:dyDescent="0.45">
      <c r="S3187" s="452"/>
      <c r="T3187" s="452"/>
      <c r="U3187" s="452"/>
      <c r="V3187" s="452"/>
      <c r="W3187" s="452"/>
    </row>
    <row r="3188" spans="19:23" ht="15" customHeight="1" x14ac:dyDescent="0.45">
      <c r="S3188" s="452"/>
      <c r="T3188" s="452"/>
      <c r="U3188" s="452"/>
      <c r="V3188" s="452"/>
      <c r="W3188" s="452"/>
    </row>
    <row r="3189" spans="19:23" ht="15" customHeight="1" x14ac:dyDescent="0.45">
      <c r="S3189" s="452"/>
      <c r="T3189" s="452"/>
      <c r="U3189" s="452"/>
      <c r="V3189" s="452"/>
      <c r="W3189" s="452"/>
    </row>
    <row r="3190" spans="19:23" ht="15" customHeight="1" x14ac:dyDescent="0.45">
      <c r="S3190" s="452"/>
      <c r="T3190" s="452"/>
      <c r="U3190" s="452"/>
      <c r="V3190" s="452"/>
      <c r="W3190" s="452"/>
    </row>
    <row r="3191" spans="19:23" ht="15" customHeight="1" x14ac:dyDescent="0.45">
      <c r="S3191" s="452"/>
      <c r="T3191" s="452"/>
      <c r="U3191" s="452"/>
      <c r="V3191" s="452"/>
      <c r="W3191" s="452"/>
    </row>
    <row r="3192" spans="19:23" ht="15" customHeight="1" x14ac:dyDescent="0.45">
      <c r="S3192" s="452"/>
      <c r="T3192" s="452"/>
      <c r="U3192" s="452"/>
      <c r="V3192" s="452"/>
      <c r="W3192" s="452"/>
    </row>
    <row r="3193" spans="19:23" ht="15" customHeight="1" x14ac:dyDescent="0.45">
      <c r="S3193" s="452"/>
      <c r="T3193" s="452"/>
      <c r="U3193" s="452"/>
      <c r="V3193" s="452"/>
      <c r="W3193" s="452"/>
    </row>
    <row r="3194" spans="19:23" ht="15" customHeight="1" x14ac:dyDescent="0.45">
      <c r="S3194" s="452"/>
      <c r="T3194" s="452"/>
      <c r="U3194" s="452"/>
      <c r="V3194" s="452"/>
      <c r="W3194" s="452"/>
    </row>
    <row r="3195" spans="19:23" ht="15" customHeight="1" x14ac:dyDescent="0.45">
      <c r="S3195" s="452"/>
      <c r="T3195" s="452"/>
      <c r="U3195" s="452"/>
      <c r="V3195" s="452"/>
      <c r="W3195" s="452"/>
    </row>
    <row r="3196" spans="19:23" ht="15" customHeight="1" x14ac:dyDescent="0.45">
      <c r="S3196" s="452"/>
      <c r="T3196" s="452"/>
      <c r="U3196" s="452"/>
      <c r="V3196" s="452"/>
      <c r="W3196" s="452"/>
    </row>
    <row r="3197" spans="19:23" ht="15" customHeight="1" x14ac:dyDescent="0.45">
      <c r="S3197" s="452"/>
      <c r="T3197" s="452"/>
      <c r="U3197" s="452"/>
      <c r="V3197" s="452"/>
      <c r="W3197" s="452"/>
    </row>
    <row r="3198" spans="19:23" ht="15" customHeight="1" x14ac:dyDescent="0.45">
      <c r="S3198" s="452"/>
      <c r="T3198" s="452"/>
      <c r="U3198" s="452"/>
      <c r="V3198" s="452"/>
      <c r="W3198" s="452"/>
    </row>
    <row r="3199" spans="19:23" ht="15" customHeight="1" x14ac:dyDescent="0.45">
      <c r="S3199" s="452"/>
      <c r="T3199" s="452"/>
      <c r="U3199" s="452"/>
      <c r="V3199" s="452"/>
      <c r="W3199" s="452"/>
    </row>
    <row r="3200" spans="19:23" ht="15" customHeight="1" x14ac:dyDescent="0.45">
      <c r="S3200" s="452"/>
      <c r="T3200" s="452"/>
      <c r="U3200" s="452"/>
      <c r="V3200" s="452"/>
      <c r="W3200" s="452"/>
    </row>
    <row r="3201" spans="19:23" ht="15" customHeight="1" x14ac:dyDescent="0.45">
      <c r="S3201" s="452"/>
      <c r="T3201" s="452"/>
      <c r="U3201" s="452"/>
      <c r="V3201" s="452"/>
      <c r="W3201" s="452"/>
    </row>
    <row r="3202" spans="19:23" ht="15" customHeight="1" x14ac:dyDescent="0.45">
      <c r="S3202" s="452"/>
      <c r="T3202" s="452"/>
      <c r="U3202" s="452"/>
      <c r="V3202" s="452"/>
      <c r="W3202" s="452"/>
    </row>
    <row r="3203" spans="19:23" ht="15" customHeight="1" x14ac:dyDescent="0.45">
      <c r="S3203" s="452"/>
      <c r="T3203" s="452"/>
      <c r="U3203" s="452"/>
      <c r="V3203" s="452"/>
      <c r="W3203" s="452"/>
    </row>
    <row r="3204" spans="19:23" ht="15" customHeight="1" x14ac:dyDescent="0.45">
      <c r="S3204" s="452"/>
      <c r="T3204" s="452"/>
      <c r="U3204" s="452"/>
      <c r="V3204" s="452"/>
      <c r="W3204" s="452"/>
    </row>
    <row r="3205" spans="19:23" ht="15" customHeight="1" x14ac:dyDescent="0.45">
      <c r="S3205" s="452"/>
      <c r="T3205" s="452"/>
      <c r="U3205" s="452"/>
      <c r="V3205" s="452"/>
      <c r="W3205" s="452"/>
    </row>
    <row r="3206" spans="19:23" ht="15" customHeight="1" x14ac:dyDescent="0.45">
      <c r="S3206" s="452"/>
      <c r="T3206" s="452"/>
      <c r="U3206" s="452"/>
      <c r="V3206" s="452"/>
      <c r="W3206" s="452"/>
    </row>
    <row r="3207" spans="19:23" ht="15" customHeight="1" x14ac:dyDescent="0.45">
      <c r="S3207" s="452"/>
      <c r="T3207" s="452"/>
      <c r="U3207" s="452"/>
      <c r="V3207" s="452"/>
      <c r="W3207" s="452"/>
    </row>
    <row r="3208" spans="19:23" ht="15" customHeight="1" x14ac:dyDescent="0.45">
      <c r="S3208" s="452"/>
      <c r="T3208" s="452"/>
      <c r="U3208" s="452"/>
      <c r="V3208" s="452"/>
      <c r="W3208" s="452"/>
    </row>
    <row r="3209" spans="19:23" ht="15" customHeight="1" x14ac:dyDescent="0.45">
      <c r="S3209" s="452"/>
      <c r="T3209" s="452"/>
      <c r="U3209" s="452"/>
      <c r="V3209" s="452"/>
      <c r="W3209" s="452"/>
    </row>
    <row r="3210" spans="19:23" ht="15" customHeight="1" x14ac:dyDescent="0.45">
      <c r="S3210" s="452"/>
      <c r="T3210" s="452"/>
      <c r="U3210" s="452"/>
      <c r="V3210" s="452"/>
      <c r="W3210" s="452"/>
    </row>
    <row r="3211" spans="19:23" ht="15" customHeight="1" x14ac:dyDescent="0.45">
      <c r="S3211" s="452"/>
      <c r="T3211" s="452"/>
      <c r="U3211" s="452"/>
      <c r="V3211" s="452"/>
      <c r="W3211" s="452"/>
    </row>
    <row r="3212" spans="19:23" ht="15" customHeight="1" x14ac:dyDescent="0.45">
      <c r="S3212" s="452"/>
      <c r="T3212" s="452"/>
      <c r="U3212" s="452"/>
      <c r="V3212" s="452"/>
      <c r="W3212" s="452"/>
    </row>
    <row r="3213" spans="19:23" ht="15" customHeight="1" x14ac:dyDescent="0.45">
      <c r="S3213" s="452"/>
      <c r="T3213" s="452"/>
      <c r="U3213" s="452"/>
      <c r="V3213" s="452"/>
      <c r="W3213" s="452"/>
    </row>
    <row r="3214" spans="19:23" ht="15" customHeight="1" x14ac:dyDescent="0.45">
      <c r="S3214" s="452"/>
      <c r="T3214" s="452"/>
      <c r="U3214" s="452"/>
      <c r="V3214" s="452"/>
      <c r="W3214" s="452"/>
    </row>
    <row r="3215" spans="19:23" ht="15" customHeight="1" x14ac:dyDescent="0.45">
      <c r="S3215" s="452"/>
      <c r="T3215" s="452"/>
      <c r="U3215" s="452"/>
      <c r="V3215" s="452"/>
      <c r="W3215" s="452"/>
    </row>
    <row r="3216" spans="19:23" ht="15" customHeight="1" x14ac:dyDescent="0.45">
      <c r="S3216" s="452"/>
      <c r="T3216" s="452"/>
      <c r="U3216" s="452"/>
      <c r="V3216" s="452"/>
      <c r="W3216" s="452"/>
    </row>
    <row r="3217" spans="19:23" ht="15" customHeight="1" x14ac:dyDescent="0.45">
      <c r="S3217" s="452"/>
      <c r="T3217" s="452"/>
      <c r="U3217" s="452"/>
      <c r="V3217" s="452"/>
      <c r="W3217" s="452"/>
    </row>
    <row r="3218" spans="19:23" ht="15" customHeight="1" x14ac:dyDescent="0.45">
      <c r="S3218" s="452"/>
      <c r="T3218" s="452"/>
      <c r="U3218" s="452"/>
      <c r="V3218" s="452"/>
      <c r="W3218" s="452"/>
    </row>
    <row r="3219" spans="19:23" ht="15" customHeight="1" x14ac:dyDescent="0.45">
      <c r="S3219" s="452"/>
      <c r="T3219" s="452"/>
      <c r="U3219" s="452"/>
      <c r="V3219" s="452"/>
      <c r="W3219" s="452"/>
    </row>
    <row r="3220" spans="19:23" ht="15" customHeight="1" x14ac:dyDescent="0.45">
      <c r="S3220" s="452"/>
      <c r="T3220" s="452"/>
      <c r="U3220" s="452"/>
      <c r="V3220" s="452"/>
      <c r="W3220" s="452"/>
    </row>
    <row r="3221" spans="19:23" ht="15" customHeight="1" x14ac:dyDescent="0.45">
      <c r="S3221" s="452"/>
      <c r="T3221" s="452"/>
      <c r="U3221" s="452"/>
      <c r="V3221" s="452"/>
      <c r="W3221" s="452"/>
    </row>
    <row r="3222" spans="19:23" ht="15" customHeight="1" x14ac:dyDescent="0.45">
      <c r="S3222" s="452"/>
      <c r="T3222" s="452"/>
      <c r="U3222" s="452"/>
      <c r="V3222" s="452"/>
      <c r="W3222" s="452"/>
    </row>
    <row r="3223" spans="19:23" ht="15" customHeight="1" x14ac:dyDescent="0.45">
      <c r="S3223" s="452"/>
      <c r="T3223" s="452"/>
      <c r="U3223" s="452"/>
      <c r="V3223" s="452"/>
      <c r="W3223" s="452"/>
    </row>
    <row r="3224" spans="19:23" ht="15" customHeight="1" x14ac:dyDescent="0.45">
      <c r="S3224" s="452"/>
      <c r="T3224" s="452"/>
      <c r="U3224" s="452"/>
      <c r="V3224" s="452"/>
      <c r="W3224" s="452"/>
    </row>
    <row r="3225" spans="19:23" ht="15" customHeight="1" x14ac:dyDescent="0.45">
      <c r="S3225" s="452"/>
      <c r="T3225" s="452"/>
      <c r="U3225" s="452"/>
      <c r="V3225" s="452"/>
      <c r="W3225" s="452"/>
    </row>
    <row r="3226" spans="19:23" ht="15" customHeight="1" x14ac:dyDescent="0.45">
      <c r="S3226" s="452"/>
      <c r="T3226" s="452"/>
      <c r="U3226" s="452"/>
      <c r="V3226" s="452"/>
      <c r="W3226" s="452"/>
    </row>
    <row r="3227" spans="19:23" ht="15" customHeight="1" x14ac:dyDescent="0.45">
      <c r="S3227" s="452"/>
      <c r="T3227" s="452"/>
      <c r="U3227" s="452"/>
      <c r="V3227" s="452"/>
      <c r="W3227" s="452"/>
    </row>
    <row r="3228" spans="19:23" ht="15" customHeight="1" x14ac:dyDescent="0.45">
      <c r="S3228" s="452"/>
      <c r="T3228" s="452"/>
      <c r="U3228" s="452"/>
      <c r="V3228" s="452"/>
      <c r="W3228" s="452"/>
    </row>
    <row r="3229" spans="19:23" ht="15" customHeight="1" x14ac:dyDescent="0.45">
      <c r="S3229" s="452"/>
      <c r="T3229" s="452"/>
      <c r="U3229" s="452"/>
      <c r="V3229" s="452"/>
      <c r="W3229" s="452"/>
    </row>
    <row r="3230" spans="19:23" ht="15" customHeight="1" x14ac:dyDescent="0.45">
      <c r="S3230" s="452"/>
      <c r="T3230" s="452"/>
      <c r="U3230" s="452"/>
      <c r="V3230" s="452"/>
      <c r="W3230" s="452"/>
    </row>
    <row r="3231" spans="19:23" ht="15" customHeight="1" x14ac:dyDescent="0.45">
      <c r="S3231" s="452"/>
      <c r="T3231" s="452"/>
      <c r="U3231" s="452"/>
      <c r="V3231" s="452"/>
      <c r="W3231" s="452"/>
    </row>
    <row r="3232" spans="19:23" ht="15" customHeight="1" x14ac:dyDescent="0.45">
      <c r="S3232" s="452"/>
      <c r="T3232" s="452"/>
      <c r="U3232" s="452"/>
      <c r="V3232" s="452"/>
      <c r="W3232" s="452"/>
    </row>
    <row r="3233" spans="19:23" ht="15" customHeight="1" x14ac:dyDescent="0.45">
      <c r="S3233" s="452"/>
      <c r="T3233" s="452"/>
      <c r="U3233" s="452"/>
      <c r="V3233" s="452"/>
      <c r="W3233" s="452"/>
    </row>
    <row r="3234" spans="19:23" ht="15" customHeight="1" x14ac:dyDescent="0.45">
      <c r="S3234" s="452"/>
      <c r="T3234" s="452"/>
      <c r="U3234" s="452"/>
      <c r="V3234" s="452"/>
      <c r="W3234" s="452"/>
    </row>
    <row r="3235" spans="19:23" ht="15" customHeight="1" x14ac:dyDescent="0.45">
      <c r="S3235" s="452"/>
      <c r="T3235" s="452"/>
      <c r="U3235" s="452"/>
      <c r="V3235" s="452"/>
      <c r="W3235" s="452"/>
    </row>
    <row r="3236" spans="19:23" ht="15" customHeight="1" x14ac:dyDescent="0.45">
      <c r="S3236" s="452"/>
      <c r="T3236" s="452"/>
      <c r="U3236" s="452"/>
      <c r="V3236" s="452"/>
      <c r="W3236" s="452"/>
    </row>
    <row r="3237" spans="19:23" ht="15" customHeight="1" x14ac:dyDescent="0.45">
      <c r="S3237" s="452"/>
      <c r="T3237" s="452"/>
      <c r="U3237" s="452"/>
      <c r="V3237" s="452"/>
      <c r="W3237" s="452"/>
    </row>
    <row r="3238" spans="19:23" ht="15" customHeight="1" x14ac:dyDescent="0.45">
      <c r="S3238" s="452"/>
      <c r="T3238" s="452"/>
      <c r="U3238" s="452"/>
      <c r="V3238" s="452"/>
      <c r="W3238" s="452"/>
    </row>
    <row r="3239" spans="19:23" ht="15" customHeight="1" x14ac:dyDescent="0.45">
      <c r="S3239" s="452"/>
      <c r="T3239" s="452"/>
      <c r="U3239" s="452"/>
      <c r="V3239" s="452"/>
      <c r="W3239" s="452"/>
    </row>
    <row r="3240" spans="19:23" ht="15" customHeight="1" x14ac:dyDescent="0.45">
      <c r="S3240" s="452"/>
      <c r="T3240" s="452"/>
      <c r="U3240" s="452"/>
      <c r="V3240" s="452"/>
      <c r="W3240" s="452"/>
    </row>
    <row r="3241" spans="19:23" ht="15" customHeight="1" x14ac:dyDescent="0.45">
      <c r="S3241" s="452"/>
      <c r="T3241" s="452"/>
      <c r="U3241" s="452"/>
      <c r="V3241" s="452"/>
      <c r="W3241" s="452"/>
    </row>
    <row r="3242" spans="19:23" ht="15" customHeight="1" x14ac:dyDescent="0.45">
      <c r="S3242" s="452"/>
      <c r="T3242" s="452"/>
      <c r="U3242" s="452"/>
      <c r="V3242" s="452"/>
      <c r="W3242" s="452"/>
    </row>
    <row r="3243" spans="19:23" ht="15" customHeight="1" x14ac:dyDescent="0.45">
      <c r="S3243" s="452"/>
      <c r="T3243" s="452"/>
      <c r="U3243" s="452"/>
      <c r="V3243" s="452"/>
      <c r="W3243" s="452"/>
    </row>
    <row r="3244" spans="19:23" ht="15" customHeight="1" x14ac:dyDescent="0.45">
      <c r="S3244" s="452"/>
      <c r="T3244" s="452"/>
      <c r="U3244" s="452"/>
      <c r="V3244" s="452"/>
      <c r="W3244" s="452"/>
    </row>
    <row r="3245" spans="19:23" ht="15" customHeight="1" x14ac:dyDescent="0.45">
      <c r="S3245" s="452"/>
      <c r="T3245" s="452"/>
      <c r="U3245" s="452"/>
      <c r="V3245" s="452"/>
      <c r="W3245" s="452"/>
    </row>
    <row r="3246" spans="19:23" ht="15" customHeight="1" x14ac:dyDescent="0.45">
      <c r="S3246" s="452"/>
      <c r="T3246" s="452"/>
      <c r="U3246" s="452"/>
      <c r="V3246" s="452"/>
      <c r="W3246" s="452"/>
    </row>
    <row r="3247" spans="19:23" ht="15" customHeight="1" x14ac:dyDescent="0.45">
      <c r="S3247" s="452"/>
      <c r="T3247" s="452"/>
      <c r="U3247" s="452"/>
      <c r="V3247" s="452"/>
      <c r="W3247" s="452"/>
    </row>
    <row r="3248" spans="19:23" ht="15" customHeight="1" x14ac:dyDescent="0.45">
      <c r="S3248" s="452"/>
      <c r="T3248" s="452"/>
      <c r="U3248" s="452"/>
      <c r="V3248" s="452"/>
      <c r="W3248" s="452"/>
    </row>
    <row r="3249" spans="19:23" ht="15" customHeight="1" x14ac:dyDescent="0.45">
      <c r="S3249" s="452"/>
      <c r="T3249" s="452"/>
      <c r="U3249" s="452"/>
      <c r="V3249" s="452"/>
      <c r="W3249" s="452"/>
    </row>
    <row r="3250" spans="19:23" ht="15" customHeight="1" x14ac:dyDescent="0.45">
      <c r="S3250" s="452"/>
      <c r="T3250" s="452"/>
      <c r="U3250" s="452"/>
      <c r="V3250" s="452"/>
      <c r="W3250" s="452"/>
    </row>
    <row r="3251" spans="19:23" ht="15" customHeight="1" x14ac:dyDescent="0.45">
      <c r="S3251" s="452"/>
      <c r="T3251" s="452"/>
      <c r="U3251" s="452"/>
      <c r="V3251" s="452"/>
      <c r="W3251" s="452"/>
    </row>
    <row r="3252" spans="19:23" ht="15" customHeight="1" x14ac:dyDescent="0.45">
      <c r="S3252" s="452"/>
      <c r="T3252" s="452"/>
      <c r="U3252" s="452"/>
      <c r="V3252" s="452"/>
      <c r="W3252" s="452"/>
    </row>
    <row r="3253" spans="19:23" ht="15" customHeight="1" x14ac:dyDescent="0.45">
      <c r="S3253" s="452"/>
      <c r="T3253" s="452"/>
      <c r="U3253" s="452"/>
      <c r="V3253" s="452"/>
      <c r="W3253" s="452"/>
    </row>
    <row r="3254" spans="19:23" ht="15" customHeight="1" x14ac:dyDescent="0.45">
      <c r="S3254" s="452"/>
      <c r="T3254" s="452"/>
      <c r="U3254" s="452"/>
      <c r="V3254" s="452"/>
      <c r="W3254" s="452"/>
    </row>
    <row r="3255" spans="19:23" ht="15" customHeight="1" x14ac:dyDescent="0.45">
      <c r="S3255" s="452"/>
      <c r="T3255" s="452"/>
      <c r="U3255" s="452"/>
      <c r="V3255" s="452"/>
      <c r="W3255" s="452"/>
    </row>
    <row r="3256" spans="19:23" ht="15" customHeight="1" x14ac:dyDescent="0.45">
      <c r="S3256" s="452"/>
      <c r="T3256" s="452"/>
      <c r="U3256" s="452"/>
      <c r="V3256" s="452"/>
      <c r="W3256" s="452"/>
    </row>
    <row r="3257" spans="19:23" ht="15" customHeight="1" x14ac:dyDescent="0.45">
      <c r="S3257" s="452"/>
      <c r="T3257" s="452"/>
      <c r="U3257" s="452"/>
      <c r="V3257" s="452"/>
      <c r="W3257" s="452"/>
    </row>
    <row r="3258" spans="19:23" ht="15" customHeight="1" x14ac:dyDescent="0.45">
      <c r="S3258" s="452"/>
      <c r="T3258" s="452"/>
      <c r="U3258" s="452"/>
      <c r="V3258" s="452"/>
      <c r="W3258" s="452"/>
    </row>
    <row r="3259" spans="19:23" ht="15" customHeight="1" x14ac:dyDescent="0.45">
      <c r="S3259" s="452"/>
      <c r="T3259" s="452"/>
      <c r="U3259" s="452"/>
      <c r="V3259" s="452"/>
      <c r="W3259" s="452"/>
    </row>
    <row r="3260" spans="19:23" ht="15" customHeight="1" x14ac:dyDescent="0.45">
      <c r="S3260" s="452"/>
      <c r="T3260" s="452"/>
      <c r="U3260" s="452"/>
      <c r="V3260" s="452"/>
      <c r="W3260" s="452"/>
    </row>
    <row r="3261" spans="19:23" ht="15" customHeight="1" x14ac:dyDescent="0.45">
      <c r="S3261" s="452"/>
      <c r="T3261" s="452"/>
      <c r="U3261" s="452"/>
      <c r="V3261" s="452"/>
      <c r="W3261" s="452"/>
    </row>
    <row r="3262" spans="19:23" ht="15" customHeight="1" x14ac:dyDescent="0.45">
      <c r="S3262" s="452"/>
      <c r="T3262" s="452"/>
      <c r="U3262" s="452"/>
      <c r="V3262" s="452"/>
      <c r="W3262" s="452"/>
    </row>
    <row r="3263" spans="19:23" ht="15" customHeight="1" x14ac:dyDescent="0.45">
      <c r="S3263" s="452"/>
      <c r="T3263" s="452"/>
      <c r="U3263" s="452"/>
      <c r="V3263" s="452"/>
      <c r="W3263" s="452"/>
    </row>
    <row r="3264" spans="19:23" ht="15" customHeight="1" x14ac:dyDescent="0.45">
      <c r="S3264" s="452"/>
      <c r="T3264" s="452"/>
      <c r="U3264" s="452"/>
      <c r="V3264" s="452"/>
      <c r="W3264" s="452"/>
    </row>
    <row r="3265" spans="19:23" ht="15" customHeight="1" x14ac:dyDescent="0.45">
      <c r="S3265" s="452"/>
      <c r="T3265" s="452"/>
      <c r="U3265" s="452"/>
      <c r="V3265" s="452"/>
      <c r="W3265" s="452"/>
    </row>
    <row r="3266" spans="19:23" ht="15" customHeight="1" x14ac:dyDescent="0.45">
      <c r="S3266" s="452"/>
      <c r="T3266" s="452"/>
      <c r="U3266" s="452"/>
      <c r="V3266" s="452"/>
      <c r="W3266" s="452"/>
    </row>
    <row r="3267" spans="19:23" ht="15" customHeight="1" x14ac:dyDescent="0.45">
      <c r="S3267" s="452"/>
      <c r="T3267" s="452"/>
      <c r="U3267" s="452"/>
      <c r="V3267" s="452"/>
      <c r="W3267" s="452"/>
    </row>
    <row r="3268" spans="19:23" ht="15" customHeight="1" x14ac:dyDescent="0.45">
      <c r="S3268" s="452"/>
      <c r="T3268" s="452"/>
      <c r="U3268" s="452"/>
      <c r="V3268" s="452"/>
      <c r="W3268" s="452"/>
    </row>
    <row r="3269" spans="19:23" ht="15" customHeight="1" x14ac:dyDescent="0.45">
      <c r="S3269" s="452"/>
      <c r="T3269" s="452"/>
      <c r="U3269" s="452"/>
      <c r="V3269" s="452"/>
      <c r="W3269" s="452"/>
    </row>
    <row r="3270" spans="19:23" ht="15" customHeight="1" x14ac:dyDescent="0.45">
      <c r="S3270" s="452"/>
      <c r="T3270" s="452"/>
      <c r="U3270" s="452"/>
      <c r="V3270" s="452"/>
      <c r="W3270" s="452"/>
    </row>
    <row r="3271" spans="19:23" ht="15" customHeight="1" x14ac:dyDescent="0.45">
      <c r="S3271" s="452"/>
      <c r="T3271" s="452"/>
      <c r="U3271" s="452"/>
      <c r="V3271" s="452"/>
      <c r="W3271" s="452"/>
    </row>
    <row r="3272" spans="19:23" ht="15" customHeight="1" x14ac:dyDescent="0.45">
      <c r="S3272" s="452"/>
      <c r="T3272" s="452"/>
      <c r="U3272" s="452"/>
      <c r="V3272" s="452"/>
      <c r="W3272" s="452"/>
    </row>
    <row r="3273" spans="19:23" ht="15" customHeight="1" x14ac:dyDescent="0.45">
      <c r="S3273" s="452"/>
      <c r="T3273" s="452"/>
      <c r="U3273" s="452"/>
      <c r="V3273" s="452"/>
      <c r="W3273" s="452"/>
    </row>
    <row r="3274" spans="19:23" ht="15" customHeight="1" x14ac:dyDescent="0.45">
      <c r="S3274" s="452"/>
      <c r="T3274" s="452"/>
      <c r="U3274" s="452"/>
      <c r="V3274" s="452"/>
      <c r="W3274" s="452"/>
    </row>
    <row r="3275" spans="19:23" ht="15" customHeight="1" x14ac:dyDescent="0.45">
      <c r="S3275" s="452"/>
      <c r="T3275" s="452"/>
      <c r="U3275" s="452"/>
      <c r="V3275" s="452"/>
      <c r="W3275" s="452"/>
    </row>
    <row r="3276" spans="19:23" ht="15" customHeight="1" x14ac:dyDescent="0.45">
      <c r="S3276" s="452"/>
      <c r="T3276" s="452"/>
      <c r="U3276" s="452"/>
      <c r="V3276" s="452"/>
      <c r="W3276" s="452"/>
    </row>
    <row r="3277" spans="19:23" ht="15" customHeight="1" x14ac:dyDescent="0.45">
      <c r="S3277" s="452"/>
      <c r="T3277" s="452"/>
      <c r="U3277" s="452"/>
      <c r="V3277" s="452"/>
      <c r="W3277" s="452"/>
    </row>
    <row r="3278" spans="19:23" ht="15" customHeight="1" x14ac:dyDescent="0.45">
      <c r="S3278" s="452"/>
      <c r="T3278" s="452"/>
      <c r="U3278" s="452"/>
      <c r="V3278" s="452"/>
      <c r="W3278" s="452"/>
    </row>
    <row r="3279" spans="19:23" ht="15" customHeight="1" x14ac:dyDescent="0.45">
      <c r="S3279" s="452"/>
      <c r="T3279" s="452"/>
      <c r="U3279" s="452"/>
      <c r="V3279" s="452"/>
      <c r="W3279" s="452"/>
    </row>
    <row r="3280" spans="19:23" ht="15" customHeight="1" x14ac:dyDescent="0.45">
      <c r="S3280" s="452"/>
      <c r="T3280" s="452"/>
      <c r="U3280" s="452"/>
      <c r="V3280" s="452"/>
      <c r="W3280" s="452"/>
    </row>
    <row r="3281" spans="19:23" ht="15" customHeight="1" x14ac:dyDescent="0.45">
      <c r="S3281" s="452"/>
      <c r="T3281" s="452"/>
      <c r="U3281" s="452"/>
      <c r="V3281" s="452"/>
      <c r="W3281" s="452"/>
    </row>
    <row r="3282" spans="19:23" ht="15" customHeight="1" x14ac:dyDescent="0.45">
      <c r="S3282" s="452"/>
      <c r="T3282" s="452"/>
      <c r="U3282" s="452"/>
      <c r="V3282" s="452"/>
      <c r="W3282" s="452"/>
    </row>
    <row r="3283" spans="19:23" ht="15" customHeight="1" x14ac:dyDescent="0.45">
      <c r="S3283" s="452"/>
      <c r="T3283" s="452"/>
      <c r="U3283" s="452"/>
      <c r="V3283" s="452"/>
      <c r="W3283" s="452"/>
    </row>
    <row r="3284" spans="19:23" ht="15" customHeight="1" x14ac:dyDescent="0.45">
      <c r="S3284" s="452"/>
      <c r="T3284" s="452"/>
      <c r="U3284" s="452"/>
      <c r="V3284" s="452"/>
      <c r="W3284" s="452"/>
    </row>
    <row r="3285" spans="19:23" ht="15" customHeight="1" x14ac:dyDescent="0.45">
      <c r="S3285" s="452"/>
      <c r="T3285" s="452"/>
      <c r="U3285" s="452"/>
      <c r="V3285" s="452"/>
      <c r="W3285" s="452"/>
    </row>
    <row r="3286" spans="19:23" ht="15" customHeight="1" x14ac:dyDescent="0.45">
      <c r="S3286" s="452"/>
      <c r="T3286" s="452"/>
      <c r="U3286" s="452"/>
      <c r="V3286" s="452"/>
      <c r="W3286" s="452"/>
    </row>
    <row r="3287" spans="19:23" ht="15" customHeight="1" x14ac:dyDescent="0.45">
      <c r="S3287" s="452"/>
      <c r="T3287" s="452"/>
      <c r="U3287" s="452"/>
      <c r="V3287" s="452"/>
      <c r="W3287" s="452"/>
    </row>
    <row r="3288" spans="19:23" ht="15" customHeight="1" x14ac:dyDescent="0.45">
      <c r="S3288" s="452"/>
      <c r="T3288" s="452"/>
      <c r="U3288" s="452"/>
      <c r="V3288" s="452"/>
      <c r="W3288" s="452"/>
    </row>
    <row r="3289" spans="19:23" ht="15" customHeight="1" x14ac:dyDescent="0.45">
      <c r="S3289" s="452"/>
      <c r="T3289" s="452"/>
      <c r="U3289" s="452"/>
      <c r="V3289" s="452"/>
      <c r="W3289" s="452"/>
    </row>
    <row r="3290" spans="19:23" ht="15" customHeight="1" x14ac:dyDescent="0.45">
      <c r="S3290" s="452"/>
      <c r="T3290" s="452"/>
      <c r="U3290" s="452"/>
      <c r="V3290" s="452"/>
      <c r="W3290" s="452"/>
    </row>
    <row r="3291" spans="19:23" ht="15" customHeight="1" x14ac:dyDescent="0.45">
      <c r="S3291" s="452"/>
      <c r="T3291" s="452"/>
      <c r="U3291" s="452"/>
      <c r="V3291" s="452"/>
      <c r="W3291" s="452"/>
    </row>
    <row r="3292" spans="19:23" ht="15" customHeight="1" x14ac:dyDescent="0.45">
      <c r="S3292" s="452"/>
      <c r="T3292" s="452"/>
      <c r="U3292" s="452"/>
      <c r="V3292" s="452"/>
      <c r="W3292" s="452"/>
    </row>
    <row r="3293" spans="19:23" ht="15" customHeight="1" x14ac:dyDescent="0.45">
      <c r="S3293" s="452"/>
      <c r="T3293" s="452"/>
      <c r="U3293" s="452"/>
      <c r="V3293" s="452"/>
      <c r="W3293" s="452"/>
    </row>
    <row r="3294" spans="19:23" ht="15" customHeight="1" x14ac:dyDescent="0.45">
      <c r="S3294" s="452"/>
      <c r="T3294" s="452"/>
      <c r="U3294" s="452"/>
      <c r="V3294" s="452"/>
      <c r="W3294" s="452"/>
    </row>
    <row r="3295" spans="19:23" ht="15" customHeight="1" x14ac:dyDescent="0.45">
      <c r="S3295" s="452"/>
      <c r="T3295" s="452"/>
      <c r="U3295" s="452"/>
      <c r="V3295" s="452"/>
      <c r="W3295" s="452"/>
    </row>
    <row r="3296" spans="19:23" ht="15" customHeight="1" x14ac:dyDescent="0.45">
      <c r="S3296" s="452"/>
      <c r="T3296" s="452"/>
      <c r="U3296" s="452"/>
      <c r="V3296" s="452"/>
      <c r="W3296" s="452"/>
    </row>
    <row r="3297" spans="19:23" ht="15" customHeight="1" x14ac:dyDescent="0.45">
      <c r="S3297" s="452"/>
      <c r="T3297" s="452"/>
      <c r="U3297" s="452"/>
      <c r="V3297" s="452"/>
      <c r="W3297" s="452"/>
    </row>
    <row r="3298" spans="19:23" ht="15" customHeight="1" x14ac:dyDescent="0.45">
      <c r="S3298" s="452"/>
      <c r="T3298" s="452"/>
      <c r="U3298" s="452"/>
      <c r="V3298" s="452"/>
      <c r="W3298" s="452"/>
    </row>
    <row r="3299" spans="19:23" ht="15" customHeight="1" x14ac:dyDescent="0.45">
      <c r="S3299" s="452"/>
      <c r="T3299" s="452"/>
      <c r="U3299" s="452"/>
      <c r="V3299" s="452"/>
      <c r="W3299" s="452"/>
    </row>
    <row r="3300" spans="19:23" ht="15" customHeight="1" x14ac:dyDescent="0.45">
      <c r="S3300" s="452"/>
      <c r="T3300" s="452"/>
      <c r="U3300" s="452"/>
      <c r="V3300" s="452"/>
      <c r="W3300" s="452"/>
    </row>
    <row r="3301" spans="19:23" ht="15" customHeight="1" x14ac:dyDescent="0.45">
      <c r="S3301" s="452"/>
      <c r="T3301" s="452"/>
      <c r="U3301" s="452"/>
      <c r="V3301" s="452"/>
      <c r="W3301" s="452"/>
    </row>
    <row r="3302" spans="19:23" ht="15" customHeight="1" x14ac:dyDescent="0.45">
      <c r="S3302" s="452"/>
      <c r="T3302" s="452"/>
      <c r="U3302" s="452"/>
      <c r="V3302" s="452"/>
      <c r="W3302" s="452"/>
    </row>
    <row r="3303" spans="19:23" ht="15" customHeight="1" x14ac:dyDescent="0.45">
      <c r="S3303" s="452"/>
      <c r="T3303" s="452"/>
      <c r="U3303" s="452"/>
      <c r="V3303" s="452"/>
      <c r="W3303" s="452"/>
    </row>
    <row r="3304" spans="19:23" ht="15" customHeight="1" x14ac:dyDescent="0.45">
      <c r="S3304" s="452"/>
      <c r="T3304" s="452"/>
      <c r="U3304" s="452"/>
      <c r="V3304" s="452"/>
      <c r="W3304" s="452"/>
    </row>
    <row r="3305" spans="19:23" ht="15" customHeight="1" x14ac:dyDescent="0.45">
      <c r="S3305" s="452"/>
      <c r="T3305" s="452"/>
      <c r="U3305" s="452"/>
      <c r="V3305" s="452"/>
      <c r="W3305" s="452"/>
    </row>
    <row r="3306" spans="19:23" ht="15" customHeight="1" x14ac:dyDescent="0.45">
      <c r="S3306" s="452"/>
      <c r="T3306" s="452"/>
      <c r="U3306" s="452"/>
      <c r="V3306" s="452"/>
      <c r="W3306" s="452"/>
    </row>
    <row r="3307" spans="19:23" ht="15" customHeight="1" x14ac:dyDescent="0.45">
      <c r="S3307" s="452"/>
      <c r="T3307" s="452"/>
      <c r="U3307" s="452"/>
      <c r="V3307" s="452"/>
      <c r="W3307" s="452"/>
    </row>
    <row r="3308" spans="19:23" ht="15" customHeight="1" x14ac:dyDescent="0.45">
      <c r="S3308" s="452"/>
      <c r="T3308" s="452"/>
      <c r="U3308" s="452"/>
      <c r="V3308" s="452"/>
      <c r="W3308" s="452"/>
    </row>
    <row r="3309" spans="19:23" ht="15" customHeight="1" x14ac:dyDescent="0.45">
      <c r="S3309" s="452"/>
      <c r="T3309" s="452"/>
      <c r="U3309" s="452"/>
      <c r="V3309" s="452"/>
      <c r="W3309" s="452"/>
    </row>
    <row r="3310" spans="19:23" ht="15" customHeight="1" x14ac:dyDescent="0.45">
      <c r="S3310" s="452"/>
      <c r="T3310" s="452"/>
      <c r="U3310" s="452"/>
      <c r="V3310" s="452"/>
      <c r="W3310" s="452"/>
    </row>
    <row r="3311" spans="19:23" ht="15" customHeight="1" x14ac:dyDescent="0.45">
      <c r="S3311" s="452"/>
      <c r="T3311" s="452"/>
      <c r="U3311" s="452"/>
      <c r="V3311" s="452"/>
      <c r="W3311" s="452"/>
    </row>
    <row r="3312" spans="19:23" ht="15" customHeight="1" x14ac:dyDescent="0.45">
      <c r="S3312" s="452"/>
      <c r="T3312" s="452"/>
      <c r="U3312" s="452"/>
      <c r="V3312" s="452"/>
      <c r="W3312" s="452"/>
    </row>
    <row r="3313" spans="19:23" ht="15" customHeight="1" x14ac:dyDescent="0.45">
      <c r="S3313" s="452"/>
      <c r="T3313" s="452"/>
      <c r="U3313" s="452"/>
      <c r="V3313" s="452"/>
      <c r="W3313" s="452"/>
    </row>
    <row r="3314" spans="19:23" ht="15" customHeight="1" x14ac:dyDescent="0.45">
      <c r="S3314" s="452"/>
      <c r="T3314" s="452"/>
      <c r="U3314" s="452"/>
      <c r="V3314" s="452"/>
      <c r="W3314" s="452"/>
    </row>
    <row r="3315" spans="19:23" ht="15" customHeight="1" x14ac:dyDescent="0.45">
      <c r="S3315" s="452"/>
      <c r="T3315" s="452"/>
      <c r="U3315" s="452"/>
      <c r="V3315" s="452"/>
      <c r="W3315" s="452"/>
    </row>
    <row r="3316" spans="19:23" ht="15" customHeight="1" x14ac:dyDescent="0.45">
      <c r="S3316" s="452"/>
      <c r="T3316" s="452"/>
      <c r="U3316" s="452"/>
      <c r="V3316" s="452"/>
      <c r="W3316" s="452"/>
    </row>
    <row r="3317" spans="19:23" ht="15" customHeight="1" x14ac:dyDescent="0.45">
      <c r="S3317" s="452"/>
      <c r="T3317" s="452"/>
      <c r="U3317" s="452"/>
      <c r="V3317" s="452"/>
      <c r="W3317" s="452"/>
    </row>
    <row r="3318" spans="19:23" ht="15" customHeight="1" x14ac:dyDescent="0.45">
      <c r="S3318" s="452"/>
      <c r="T3318" s="452"/>
      <c r="U3318" s="452"/>
      <c r="V3318" s="452"/>
      <c r="W3318" s="452"/>
    </row>
    <row r="3319" spans="19:23" ht="15" customHeight="1" x14ac:dyDescent="0.45">
      <c r="S3319" s="452"/>
      <c r="T3319" s="452"/>
      <c r="U3319" s="452"/>
      <c r="V3319" s="452"/>
      <c r="W3319" s="452"/>
    </row>
    <row r="3320" spans="19:23" ht="15" customHeight="1" x14ac:dyDescent="0.45">
      <c r="S3320" s="452"/>
      <c r="T3320" s="452"/>
      <c r="U3320" s="452"/>
      <c r="V3320" s="452"/>
      <c r="W3320" s="452"/>
    </row>
    <row r="3321" spans="19:23" ht="15" customHeight="1" x14ac:dyDescent="0.45">
      <c r="S3321" s="452"/>
      <c r="T3321" s="452"/>
      <c r="U3321" s="452"/>
      <c r="V3321" s="452"/>
      <c r="W3321" s="452"/>
    </row>
    <row r="3322" spans="19:23" ht="15" customHeight="1" x14ac:dyDescent="0.45">
      <c r="S3322" s="452"/>
      <c r="T3322" s="452"/>
      <c r="U3322" s="452"/>
      <c r="V3322" s="452"/>
      <c r="W3322" s="452"/>
    </row>
    <row r="3323" spans="19:23" ht="15" customHeight="1" x14ac:dyDescent="0.45">
      <c r="S3323" s="452"/>
      <c r="T3323" s="452"/>
      <c r="U3323" s="452"/>
      <c r="V3323" s="452"/>
      <c r="W3323" s="452"/>
    </row>
    <row r="3324" spans="19:23" ht="15" customHeight="1" x14ac:dyDescent="0.45">
      <c r="S3324" s="452"/>
      <c r="T3324" s="452"/>
      <c r="U3324" s="452"/>
      <c r="V3324" s="452"/>
      <c r="W3324" s="452"/>
    </row>
    <row r="3325" spans="19:23" ht="15" customHeight="1" x14ac:dyDescent="0.45">
      <c r="S3325" s="452"/>
      <c r="T3325" s="452"/>
      <c r="U3325" s="452"/>
      <c r="V3325" s="452"/>
      <c r="W3325" s="452"/>
    </row>
    <row r="3326" spans="19:23" ht="15" customHeight="1" x14ac:dyDescent="0.45">
      <c r="S3326" s="452"/>
      <c r="T3326" s="452"/>
      <c r="U3326" s="452"/>
      <c r="V3326" s="452"/>
      <c r="W3326" s="452"/>
    </row>
    <row r="3327" spans="19:23" ht="15" customHeight="1" x14ac:dyDescent="0.45">
      <c r="S3327" s="452"/>
      <c r="T3327" s="452"/>
      <c r="U3327" s="452"/>
      <c r="V3327" s="452"/>
      <c r="W3327" s="452"/>
    </row>
    <row r="3328" spans="19:23" ht="15" customHeight="1" x14ac:dyDescent="0.45">
      <c r="S3328" s="452"/>
      <c r="T3328" s="452"/>
      <c r="U3328" s="452"/>
      <c r="V3328" s="452"/>
      <c r="W3328" s="452"/>
    </row>
    <row r="3329" spans="19:23" ht="15" customHeight="1" x14ac:dyDescent="0.45">
      <c r="S3329" s="452"/>
      <c r="T3329" s="452"/>
      <c r="U3329" s="452"/>
      <c r="V3329" s="452"/>
      <c r="W3329" s="452"/>
    </row>
    <row r="3330" spans="19:23" ht="15" customHeight="1" x14ac:dyDescent="0.45">
      <c r="S3330" s="452"/>
      <c r="T3330" s="452"/>
      <c r="U3330" s="452"/>
      <c r="V3330" s="452"/>
      <c r="W3330" s="452"/>
    </row>
    <row r="3331" spans="19:23" ht="15" customHeight="1" x14ac:dyDescent="0.45">
      <c r="S3331" s="452"/>
      <c r="T3331" s="452"/>
      <c r="U3331" s="452"/>
      <c r="V3331" s="452"/>
      <c r="W3331" s="452"/>
    </row>
    <row r="3332" spans="19:23" ht="15" customHeight="1" x14ac:dyDescent="0.45">
      <c r="S3332" s="452"/>
      <c r="T3332" s="452"/>
      <c r="U3332" s="452"/>
      <c r="V3332" s="452"/>
      <c r="W3332" s="452"/>
    </row>
    <row r="3333" spans="19:23" ht="15" customHeight="1" x14ac:dyDescent="0.45">
      <c r="S3333" s="452"/>
      <c r="T3333" s="452"/>
      <c r="U3333" s="452"/>
      <c r="V3333" s="452"/>
      <c r="W3333" s="452"/>
    </row>
    <row r="3334" spans="19:23" ht="15" customHeight="1" x14ac:dyDescent="0.45">
      <c r="S3334" s="452"/>
      <c r="T3334" s="452"/>
      <c r="U3334" s="452"/>
      <c r="V3334" s="452"/>
      <c r="W3334" s="452"/>
    </row>
    <row r="3335" spans="19:23" ht="15" customHeight="1" x14ac:dyDescent="0.45">
      <c r="S3335" s="452"/>
      <c r="T3335" s="452"/>
      <c r="U3335" s="452"/>
      <c r="V3335" s="452"/>
      <c r="W3335" s="452"/>
    </row>
    <row r="3336" spans="19:23" ht="15" customHeight="1" x14ac:dyDescent="0.45">
      <c r="S3336" s="452"/>
      <c r="T3336" s="452"/>
      <c r="U3336" s="452"/>
      <c r="V3336" s="452"/>
      <c r="W3336" s="452"/>
    </row>
    <row r="3337" spans="19:23" ht="15" customHeight="1" x14ac:dyDescent="0.45">
      <c r="S3337" s="452"/>
      <c r="T3337" s="452"/>
      <c r="U3337" s="452"/>
      <c r="V3337" s="452"/>
      <c r="W3337" s="452"/>
    </row>
    <row r="3338" spans="19:23" ht="15" customHeight="1" x14ac:dyDescent="0.45">
      <c r="S3338" s="452"/>
      <c r="T3338" s="452"/>
      <c r="U3338" s="452"/>
      <c r="V3338" s="452"/>
      <c r="W3338" s="452"/>
    </row>
    <row r="3339" spans="19:23" ht="15" customHeight="1" x14ac:dyDescent="0.45">
      <c r="S3339" s="452"/>
      <c r="T3339" s="452"/>
      <c r="U3339" s="452"/>
      <c r="V3339" s="452"/>
      <c r="W3339" s="452"/>
    </row>
    <row r="3340" spans="19:23" ht="15" customHeight="1" x14ac:dyDescent="0.45">
      <c r="S3340" s="452"/>
      <c r="T3340" s="452"/>
      <c r="U3340" s="452"/>
      <c r="V3340" s="452"/>
      <c r="W3340" s="452"/>
    </row>
    <row r="3341" spans="19:23" ht="15" customHeight="1" x14ac:dyDescent="0.45">
      <c r="S3341" s="452"/>
      <c r="T3341" s="452"/>
      <c r="U3341" s="452"/>
      <c r="V3341" s="452"/>
      <c r="W3341" s="452"/>
    </row>
    <row r="3342" spans="19:23" ht="15" customHeight="1" x14ac:dyDescent="0.45">
      <c r="S3342" s="452"/>
      <c r="T3342" s="452"/>
      <c r="U3342" s="452"/>
      <c r="V3342" s="452"/>
      <c r="W3342" s="452"/>
    </row>
    <row r="3343" spans="19:23" ht="15" customHeight="1" x14ac:dyDescent="0.45">
      <c r="S3343" s="452"/>
      <c r="T3343" s="452"/>
      <c r="U3343" s="452"/>
      <c r="V3343" s="452"/>
      <c r="W3343" s="452"/>
    </row>
    <row r="3344" spans="19:23" ht="15" customHeight="1" x14ac:dyDescent="0.45">
      <c r="S3344" s="452"/>
      <c r="T3344" s="452"/>
      <c r="U3344" s="452"/>
      <c r="V3344" s="452"/>
      <c r="W3344" s="452"/>
    </row>
    <row r="3345" spans="19:23" ht="15" customHeight="1" x14ac:dyDescent="0.45">
      <c r="S3345" s="452"/>
      <c r="T3345" s="452"/>
      <c r="U3345" s="452"/>
      <c r="V3345" s="452"/>
      <c r="W3345" s="452"/>
    </row>
    <row r="3346" spans="19:23" ht="15" customHeight="1" x14ac:dyDescent="0.45">
      <c r="S3346" s="452"/>
      <c r="T3346" s="452"/>
      <c r="U3346" s="452"/>
      <c r="V3346" s="452"/>
      <c r="W3346" s="452"/>
    </row>
    <row r="3347" spans="19:23" ht="15" customHeight="1" x14ac:dyDescent="0.45">
      <c r="S3347" s="452"/>
      <c r="T3347" s="452"/>
      <c r="U3347" s="452"/>
      <c r="V3347" s="452"/>
      <c r="W3347" s="452"/>
    </row>
    <row r="3348" spans="19:23" ht="15" customHeight="1" x14ac:dyDescent="0.45">
      <c r="S3348" s="452"/>
      <c r="T3348" s="452"/>
      <c r="U3348" s="452"/>
      <c r="V3348" s="452"/>
      <c r="W3348" s="452"/>
    </row>
    <row r="3349" spans="19:23" ht="15" customHeight="1" x14ac:dyDescent="0.45">
      <c r="S3349" s="452"/>
      <c r="T3349" s="452"/>
      <c r="U3349" s="452"/>
      <c r="V3349" s="452"/>
      <c r="W3349" s="452"/>
    </row>
    <row r="3350" spans="19:23" ht="15" customHeight="1" x14ac:dyDescent="0.45">
      <c r="S3350" s="452"/>
      <c r="T3350" s="452"/>
      <c r="U3350" s="452"/>
      <c r="V3350" s="452"/>
      <c r="W3350" s="452"/>
    </row>
    <row r="3351" spans="19:23" ht="15" customHeight="1" x14ac:dyDescent="0.45">
      <c r="S3351" s="452"/>
      <c r="T3351" s="452"/>
      <c r="U3351" s="452"/>
      <c r="V3351" s="452"/>
      <c r="W3351" s="452"/>
    </row>
    <row r="3352" spans="19:23" ht="15" customHeight="1" x14ac:dyDescent="0.45">
      <c r="S3352" s="452"/>
      <c r="T3352" s="452"/>
      <c r="U3352" s="452"/>
      <c r="V3352" s="452"/>
      <c r="W3352" s="452"/>
    </row>
    <row r="3353" spans="19:23" ht="15" customHeight="1" x14ac:dyDescent="0.45">
      <c r="S3353" s="452"/>
      <c r="T3353" s="452"/>
      <c r="U3353" s="452"/>
      <c r="V3353" s="452"/>
      <c r="W3353" s="452"/>
    </row>
    <row r="3354" spans="19:23" ht="15" customHeight="1" x14ac:dyDescent="0.45">
      <c r="S3354" s="452"/>
      <c r="T3354" s="452"/>
      <c r="U3354" s="452"/>
      <c r="V3354" s="452"/>
      <c r="W3354" s="452"/>
    </row>
    <row r="3355" spans="19:23" ht="15" customHeight="1" x14ac:dyDescent="0.45">
      <c r="S3355" s="452"/>
      <c r="T3355" s="452"/>
      <c r="U3355" s="452"/>
      <c r="V3355" s="452"/>
      <c r="W3355" s="452"/>
    </row>
    <row r="3356" spans="19:23" ht="15" customHeight="1" x14ac:dyDescent="0.45">
      <c r="S3356" s="452"/>
      <c r="T3356" s="452"/>
      <c r="U3356" s="452"/>
      <c r="V3356" s="452"/>
      <c r="W3356" s="452"/>
    </row>
    <row r="3357" spans="19:23" ht="15" customHeight="1" x14ac:dyDescent="0.45">
      <c r="S3357" s="452"/>
      <c r="T3357" s="452"/>
      <c r="U3357" s="452"/>
      <c r="V3357" s="452"/>
      <c r="W3357" s="452"/>
    </row>
    <row r="3358" spans="19:23" ht="15" customHeight="1" x14ac:dyDescent="0.45">
      <c r="S3358" s="452"/>
      <c r="T3358" s="452"/>
      <c r="U3358" s="452"/>
      <c r="V3358" s="452"/>
      <c r="W3358" s="452"/>
    </row>
    <row r="3359" spans="19:23" ht="15" customHeight="1" x14ac:dyDescent="0.45">
      <c r="S3359" s="452"/>
      <c r="T3359" s="452"/>
      <c r="U3359" s="452"/>
      <c r="V3359" s="452"/>
      <c r="W3359" s="452"/>
    </row>
    <row r="3360" spans="19:23" ht="15" customHeight="1" x14ac:dyDescent="0.45">
      <c r="S3360" s="452"/>
      <c r="T3360" s="452"/>
      <c r="U3360" s="452"/>
      <c r="V3360" s="452"/>
      <c r="W3360" s="452"/>
    </row>
    <row r="3361" spans="19:23" ht="15" customHeight="1" x14ac:dyDescent="0.45">
      <c r="S3361" s="452"/>
      <c r="T3361" s="452"/>
      <c r="U3361" s="452"/>
      <c r="V3361" s="452"/>
      <c r="W3361" s="452"/>
    </row>
    <row r="3362" spans="19:23" ht="15" customHeight="1" x14ac:dyDescent="0.45">
      <c r="S3362" s="452"/>
      <c r="T3362" s="452"/>
      <c r="U3362" s="452"/>
      <c r="V3362" s="452"/>
      <c r="W3362" s="452"/>
    </row>
    <row r="3363" spans="19:23" ht="15" customHeight="1" x14ac:dyDescent="0.45">
      <c r="S3363" s="452"/>
      <c r="T3363" s="452"/>
      <c r="U3363" s="452"/>
      <c r="V3363" s="452"/>
      <c r="W3363" s="452"/>
    </row>
    <row r="3364" spans="19:23" ht="15" customHeight="1" x14ac:dyDescent="0.45">
      <c r="S3364" s="452"/>
      <c r="T3364" s="452"/>
      <c r="U3364" s="452"/>
      <c r="V3364" s="452"/>
      <c r="W3364" s="452"/>
    </row>
    <row r="3365" spans="19:23" ht="15" customHeight="1" x14ac:dyDescent="0.45">
      <c r="S3365" s="452"/>
      <c r="T3365" s="452"/>
      <c r="U3365" s="452"/>
      <c r="V3365" s="452"/>
      <c r="W3365" s="452"/>
    </row>
    <row r="3366" spans="19:23" ht="15" customHeight="1" x14ac:dyDescent="0.45">
      <c r="S3366" s="452"/>
      <c r="T3366" s="452"/>
      <c r="U3366" s="452"/>
      <c r="V3366" s="452"/>
      <c r="W3366" s="452"/>
    </row>
    <row r="3367" spans="19:23" ht="15" customHeight="1" x14ac:dyDescent="0.45">
      <c r="S3367" s="452"/>
      <c r="T3367" s="452"/>
      <c r="U3367" s="452"/>
      <c r="V3367" s="452"/>
      <c r="W3367" s="452"/>
    </row>
    <row r="3368" spans="19:23" ht="15" customHeight="1" x14ac:dyDescent="0.45">
      <c r="S3368" s="452"/>
      <c r="T3368" s="452"/>
      <c r="U3368" s="452"/>
      <c r="V3368" s="452"/>
      <c r="W3368" s="452"/>
    </row>
    <row r="3369" spans="19:23" ht="15" customHeight="1" x14ac:dyDescent="0.45">
      <c r="S3369" s="452"/>
      <c r="T3369" s="452"/>
      <c r="U3369" s="452"/>
      <c r="V3369" s="452"/>
      <c r="W3369" s="452"/>
    </row>
    <row r="3370" spans="19:23" ht="15" customHeight="1" x14ac:dyDescent="0.45">
      <c r="S3370" s="452"/>
      <c r="T3370" s="452"/>
      <c r="U3370" s="452"/>
      <c r="V3370" s="452"/>
      <c r="W3370" s="452"/>
    </row>
    <row r="3371" spans="19:23" ht="15" customHeight="1" x14ac:dyDescent="0.45">
      <c r="S3371" s="452"/>
      <c r="T3371" s="452"/>
      <c r="U3371" s="452"/>
      <c r="V3371" s="452"/>
      <c r="W3371" s="452"/>
    </row>
    <row r="3372" spans="19:23" ht="15" customHeight="1" x14ac:dyDescent="0.45">
      <c r="S3372" s="452"/>
      <c r="T3372" s="452"/>
      <c r="U3372" s="452"/>
      <c r="V3372" s="452"/>
      <c r="W3372" s="452"/>
    </row>
    <row r="3373" spans="19:23" ht="15" customHeight="1" x14ac:dyDescent="0.45">
      <c r="S3373" s="452"/>
      <c r="T3373" s="452"/>
      <c r="U3373" s="452"/>
      <c r="V3373" s="452"/>
      <c r="W3373" s="452"/>
    </row>
    <row r="3374" spans="19:23" ht="15" customHeight="1" x14ac:dyDescent="0.45">
      <c r="S3374" s="452"/>
      <c r="T3374" s="452"/>
      <c r="U3374" s="452"/>
      <c r="V3374" s="452"/>
      <c r="W3374" s="452"/>
    </row>
    <row r="3375" spans="19:23" ht="15" customHeight="1" x14ac:dyDescent="0.45">
      <c r="S3375" s="452"/>
      <c r="T3375" s="452"/>
      <c r="U3375" s="452"/>
      <c r="V3375" s="452"/>
      <c r="W3375" s="452"/>
    </row>
    <row r="3376" spans="19:23" ht="15" customHeight="1" x14ac:dyDescent="0.45">
      <c r="S3376" s="452"/>
      <c r="T3376" s="452"/>
      <c r="U3376" s="452"/>
      <c r="V3376" s="452"/>
      <c r="W3376" s="452"/>
    </row>
    <row r="3377" spans="19:23" ht="15" customHeight="1" x14ac:dyDescent="0.45">
      <c r="S3377" s="452"/>
      <c r="T3377" s="452"/>
      <c r="U3377" s="452"/>
      <c r="V3377" s="452"/>
      <c r="W3377" s="452"/>
    </row>
    <row r="3378" spans="19:23" ht="15" customHeight="1" x14ac:dyDescent="0.45">
      <c r="S3378" s="452"/>
      <c r="T3378" s="452"/>
      <c r="U3378" s="452"/>
      <c r="V3378" s="452"/>
      <c r="W3378" s="452"/>
    </row>
    <row r="3379" spans="19:23" ht="15" customHeight="1" x14ac:dyDescent="0.45">
      <c r="S3379" s="452"/>
      <c r="T3379" s="452"/>
      <c r="U3379" s="452"/>
      <c r="V3379" s="452"/>
      <c r="W3379" s="452"/>
    </row>
    <row r="3380" spans="19:23" ht="15" customHeight="1" x14ac:dyDescent="0.45">
      <c r="S3380" s="452"/>
      <c r="T3380" s="452"/>
      <c r="U3380" s="452"/>
      <c r="V3380" s="452"/>
      <c r="W3380" s="452"/>
    </row>
    <row r="3381" spans="19:23" ht="15" customHeight="1" x14ac:dyDescent="0.45">
      <c r="S3381" s="452"/>
      <c r="T3381" s="452"/>
      <c r="U3381" s="452"/>
      <c r="V3381" s="452"/>
      <c r="W3381" s="452"/>
    </row>
    <row r="3382" spans="19:23" ht="15" customHeight="1" x14ac:dyDescent="0.45">
      <c r="S3382" s="452"/>
      <c r="T3382" s="452"/>
      <c r="U3382" s="452"/>
      <c r="V3382" s="452"/>
      <c r="W3382" s="452"/>
    </row>
    <row r="3383" spans="19:23" ht="15" customHeight="1" x14ac:dyDescent="0.45">
      <c r="S3383" s="452"/>
      <c r="T3383" s="452"/>
      <c r="U3383" s="452"/>
      <c r="V3383" s="452"/>
      <c r="W3383" s="452"/>
    </row>
    <row r="3384" spans="19:23" ht="15" customHeight="1" x14ac:dyDescent="0.45">
      <c r="S3384" s="452"/>
      <c r="T3384" s="452"/>
      <c r="U3384" s="452"/>
      <c r="V3384" s="452"/>
      <c r="W3384" s="452"/>
    </row>
    <row r="3385" spans="19:23" ht="15" customHeight="1" x14ac:dyDescent="0.45">
      <c r="S3385" s="452"/>
      <c r="T3385" s="452"/>
      <c r="U3385" s="452"/>
      <c r="V3385" s="452"/>
      <c r="W3385" s="452"/>
    </row>
    <row r="3386" spans="19:23" ht="15" customHeight="1" x14ac:dyDescent="0.45">
      <c r="S3386" s="452"/>
      <c r="T3386" s="452"/>
      <c r="U3386" s="452"/>
      <c r="V3386" s="452"/>
      <c r="W3386" s="452"/>
    </row>
    <row r="3387" spans="19:23" ht="15" customHeight="1" x14ac:dyDescent="0.45">
      <c r="S3387" s="452"/>
      <c r="T3387" s="452"/>
      <c r="U3387" s="452"/>
      <c r="V3387" s="452"/>
      <c r="W3387" s="452"/>
    </row>
    <row r="3388" spans="19:23" ht="15" customHeight="1" x14ac:dyDescent="0.45">
      <c r="S3388" s="452"/>
      <c r="T3388" s="452"/>
      <c r="U3388" s="452"/>
      <c r="V3388" s="452"/>
      <c r="W3388" s="452"/>
    </row>
    <row r="3389" spans="19:23" ht="15" customHeight="1" x14ac:dyDescent="0.45">
      <c r="S3389" s="452"/>
      <c r="T3389" s="452"/>
      <c r="U3389" s="452"/>
      <c r="V3389" s="452"/>
      <c r="W3389" s="452"/>
    </row>
    <row r="3390" spans="19:23" ht="15" customHeight="1" x14ac:dyDescent="0.45">
      <c r="S3390" s="452"/>
      <c r="T3390" s="452"/>
      <c r="U3390" s="452"/>
      <c r="V3390" s="452"/>
      <c r="W3390" s="452"/>
    </row>
    <row r="3391" spans="19:23" ht="15" customHeight="1" x14ac:dyDescent="0.45">
      <c r="S3391" s="452"/>
      <c r="T3391" s="452"/>
      <c r="U3391" s="452"/>
      <c r="V3391" s="452"/>
      <c r="W3391" s="452"/>
    </row>
    <row r="3392" spans="19:23" ht="15" customHeight="1" x14ac:dyDescent="0.45">
      <c r="S3392" s="452"/>
      <c r="T3392" s="452"/>
      <c r="U3392" s="452"/>
      <c r="V3392" s="452"/>
      <c r="W3392" s="452"/>
    </row>
    <row r="3393" spans="19:23" ht="15" customHeight="1" x14ac:dyDescent="0.45">
      <c r="S3393" s="452"/>
      <c r="T3393" s="452"/>
      <c r="U3393" s="452"/>
      <c r="V3393" s="452"/>
      <c r="W3393" s="452"/>
    </row>
    <row r="3394" spans="19:23" ht="15" customHeight="1" x14ac:dyDescent="0.45">
      <c r="S3394" s="452"/>
      <c r="T3394" s="452"/>
      <c r="U3394" s="452"/>
      <c r="V3394" s="452"/>
      <c r="W3394" s="452"/>
    </row>
    <row r="3395" spans="19:23" ht="15" customHeight="1" x14ac:dyDescent="0.45">
      <c r="S3395" s="452"/>
      <c r="T3395" s="452"/>
      <c r="U3395" s="452"/>
      <c r="V3395" s="452"/>
      <c r="W3395" s="452"/>
    </row>
    <row r="3396" spans="19:23" ht="15" customHeight="1" x14ac:dyDescent="0.45">
      <c r="S3396" s="452"/>
      <c r="T3396" s="452"/>
      <c r="U3396" s="452"/>
      <c r="V3396" s="452"/>
      <c r="W3396" s="452"/>
    </row>
    <row r="3397" spans="19:23" ht="15" customHeight="1" x14ac:dyDescent="0.45">
      <c r="S3397" s="452"/>
      <c r="T3397" s="452"/>
      <c r="U3397" s="452"/>
      <c r="V3397" s="452"/>
      <c r="W3397" s="452"/>
    </row>
    <row r="3398" spans="19:23" ht="15" customHeight="1" x14ac:dyDescent="0.45">
      <c r="S3398" s="452"/>
      <c r="T3398" s="452"/>
      <c r="U3398" s="452"/>
      <c r="V3398" s="452"/>
      <c r="W3398" s="452"/>
    </row>
    <row r="3399" spans="19:23" ht="15" customHeight="1" x14ac:dyDescent="0.45">
      <c r="S3399" s="452"/>
      <c r="T3399" s="452"/>
      <c r="U3399" s="452"/>
      <c r="V3399" s="452"/>
      <c r="W3399" s="452"/>
    </row>
    <row r="3400" spans="19:23" ht="15" customHeight="1" x14ac:dyDescent="0.45">
      <c r="S3400" s="452"/>
      <c r="T3400" s="452"/>
      <c r="U3400" s="452"/>
      <c r="V3400" s="452"/>
      <c r="W3400" s="452"/>
    </row>
    <row r="3401" spans="19:23" ht="15" customHeight="1" x14ac:dyDescent="0.45">
      <c r="S3401" s="452"/>
      <c r="T3401" s="452"/>
      <c r="U3401" s="452"/>
      <c r="V3401" s="452"/>
      <c r="W3401" s="452"/>
    </row>
    <row r="3402" spans="19:23" ht="15" customHeight="1" x14ac:dyDescent="0.45">
      <c r="S3402" s="452"/>
      <c r="T3402" s="452"/>
      <c r="U3402" s="452"/>
      <c r="V3402" s="452"/>
      <c r="W3402" s="452"/>
    </row>
    <row r="3403" spans="19:23" ht="15" customHeight="1" x14ac:dyDescent="0.45">
      <c r="S3403" s="452"/>
      <c r="T3403" s="452"/>
      <c r="U3403" s="452"/>
      <c r="V3403" s="452"/>
      <c r="W3403" s="452"/>
    </row>
    <row r="3404" spans="19:23" ht="15" customHeight="1" x14ac:dyDescent="0.45">
      <c r="S3404" s="452"/>
      <c r="T3404" s="452"/>
      <c r="U3404" s="452"/>
      <c r="V3404" s="452"/>
      <c r="W3404" s="452"/>
    </row>
    <row r="3405" spans="19:23" ht="15" customHeight="1" x14ac:dyDescent="0.45">
      <c r="S3405" s="452"/>
      <c r="T3405" s="452"/>
      <c r="U3405" s="452"/>
      <c r="V3405" s="452"/>
      <c r="W3405" s="452"/>
    </row>
    <row r="3406" spans="19:23" ht="15" customHeight="1" x14ac:dyDescent="0.45">
      <c r="S3406" s="452"/>
      <c r="T3406" s="452"/>
      <c r="U3406" s="452"/>
      <c r="V3406" s="452"/>
      <c r="W3406" s="452"/>
    </row>
    <row r="3407" spans="19:23" ht="15" customHeight="1" x14ac:dyDescent="0.45">
      <c r="S3407" s="452"/>
      <c r="T3407" s="452"/>
      <c r="U3407" s="452"/>
      <c r="V3407" s="452"/>
      <c r="W3407" s="452"/>
    </row>
    <row r="3408" spans="19:23" ht="15" customHeight="1" x14ac:dyDescent="0.45">
      <c r="S3408" s="452"/>
      <c r="T3408" s="452"/>
      <c r="U3408" s="452"/>
      <c r="V3408" s="452"/>
      <c r="W3408" s="452"/>
    </row>
    <row r="3409" spans="19:23" ht="15" customHeight="1" x14ac:dyDescent="0.45">
      <c r="S3409" s="452"/>
      <c r="T3409" s="452"/>
      <c r="U3409" s="452"/>
      <c r="V3409" s="452"/>
      <c r="W3409" s="452"/>
    </row>
    <row r="3410" spans="19:23" ht="15" customHeight="1" x14ac:dyDescent="0.45">
      <c r="S3410" s="452"/>
      <c r="T3410" s="452"/>
      <c r="U3410" s="452"/>
      <c r="V3410" s="452"/>
      <c r="W3410" s="452"/>
    </row>
    <row r="3411" spans="19:23" ht="15" customHeight="1" x14ac:dyDescent="0.45">
      <c r="S3411" s="452"/>
      <c r="T3411" s="452"/>
      <c r="U3411" s="452"/>
      <c r="V3411" s="452"/>
      <c r="W3411" s="452"/>
    </row>
    <row r="3412" spans="19:23" ht="15" customHeight="1" x14ac:dyDescent="0.45">
      <c r="S3412" s="452"/>
      <c r="T3412" s="452"/>
      <c r="U3412" s="452"/>
      <c r="V3412" s="452"/>
      <c r="W3412" s="452"/>
    </row>
    <row r="3413" spans="19:23" ht="15" customHeight="1" x14ac:dyDescent="0.45">
      <c r="S3413" s="452"/>
      <c r="T3413" s="452"/>
      <c r="U3413" s="452"/>
      <c r="V3413" s="452"/>
      <c r="W3413" s="452"/>
    </row>
    <row r="3414" spans="19:23" ht="15" customHeight="1" x14ac:dyDescent="0.45">
      <c r="S3414" s="452"/>
      <c r="T3414" s="452"/>
      <c r="U3414" s="452"/>
      <c r="V3414" s="452"/>
      <c r="W3414" s="452"/>
    </row>
    <row r="3415" spans="19:23" ht="15" customHeight="1" x14ac:dyDescent="0.45">
      <c r="S3415" s="452"/>
      <c r="T3415" s="452"/>
      <c r="U3415" s="452"/>
      <c r="V3415" s="452"/>
      <c r="W3415" s="452"/>
    </row>
    <row r="3416" spans="19:23" ht="15" customHeight="1" x14ac:dyDescent="0.45">
      <c r="S3416" s="452"/>
      <c r="T3416" s="452"/>
      <c r="U3416" s="452"/>
      <c r="V3416" s="452"/>
      <c r="W3416" s="452"/>
    </row>
    <row r="3417" spans="19:23" ht="15" customHeight="1" x14ac:dyDescent="0.45">
      <c r="S3417" s="452"/>
      <c r="T3417" s="452"/>
      <c r="U3417" s="452"/>
      <c r="V3417" s="452"/>
      <c r="W3417" s="452"/>
    </row>
    <row r="3418" spans="19:23" ht="15" customHeight="1" x14ac:dyDescent="0.45">
      <c r="S3418" s="452"/>
      <c r="T3418" s="452"/>
      <c r="U3418" s="452"/>
      <c r="V3418" s="452"/>
      <c r="W3418" s="452"/>
    </row>
    <row r="3419" spans="19:23" ht="15" customHeight="1" x14ac:dyDescent="0.45">
      <c r="S3419" s="452"/>
      <c r="T3419" s="452"/>
      <c r="U3419" s="452"/>
      <c r="V3419" s="452"/>
      <c r="W3419" s="452"/>
    </row>
    <row r="3420" spans="19:23" ht="15" customHeight="1" x14ac:dyDescent="0.45">
      <c r="S3420" s="452"/>
      <c r="T3420" s="452"/>
      <c r="U3420" s="452"/>
      <c r="V3420" s="452"/>
      <c r="W3420" s="452"/>
    </row>
    <row r="3421" spans="19:23" ht="15" customHeight="1" x14ac:dyDescent="0.45">
      <c r="S3421" s="452"/>
      <c r="T3421" s="452"/>
      <c r="U3421" s="452"/>
      <c r="V3421" s="452"/>
      <c r="W3421" s="452"/>
    </row>
    <row r="3422" spans="19:23" ht="15" customHeight="1" x14ac:dyDescent="0.45">
      <c r="S3422" s="452"/>
      <c r="T3422" s="452"/>
      <c r="U3422" s="452"/>
      <c r="V3422" s="452"/>
      <c r="W3422" s="452"/>
    </row>
    <row r="3423" spans="19:23" ht="15" customHeight="1" x14ac:dyDescent="0.45">
      <c r="S3423" s="452"/>
      <c r="T3423" s="452"/>
      <c r="U3423" s="452"/>
      <c r="V3423" s="452"/>
      <c r="W3423" s="452"/>
    </row>
    <row r="3424" spans="19:23" ht="15" customHeight="1" x14ac:dyDescent="0.45">
      <c r="S3424" s="452"/>
      <c r="T3424" s="452"/>
      <c r="U3424" s="452"/>
      <c r="V3424" s="452"/>
      <c r="W3424" s="452"/>
    </row>
    <row r="3425" spans="19:23" ht="15" customHeight="1" x14ac:dyDescent="0.45">
      <c r="S3425" s="452"/>
      <c r="T3425" s="452"/>
      <c r="U3425" s="452"/>
      <c r="V3425" s="452"/>
      <c r="W3425" s="452"/>
    </row>
    <row r="3426" spans="19:23" ht="15" customHeight="1" x14ac:dyDescent="0.45">
      <c r="S3426" s="452"/>
      <c r="T3426" s="452"/>
      <c r="U3426" s="452"/>
      <c r="V3426" s="452"/>
      <c r="W3426" s="452"/>
    </row>
    <row r="3427" spans="19:23" ht="15" customHeight="1" x14ac:dyDescent="0.45">
      <c r="S3427" s="452"/>
      <c r="T3427" s="452"/>
      <c r="U3427" s="452"/>
      <c r="V3427" s="452"/>
      <c r="W3427" s="452"/>
    </row>
    <row r="3428" spans="19:23" ht="15" customHeight="1" x14ac:dyDescent="0.45">
      <c r="S3428" s="452"/>
      <c r="T3428" s="452"/>
      <c r="U3428" s="452"/>
      <c r="V3428" s="452"/>
      <c r="W3428" s="452"/>
    </row>
    <row r="3429" spans="19:23" ht="15" customHeight="1" x14ac:dyDescent="0.45">
      <c r="S3429" s="452"/>
      <c r="T3429" s="452"/>
      <c r="U3429" s="452"/>
      <c r="V3429" s="452"/>
      <c r="W3429" s="452"/>
    </row>
    <row r="3430" spans="19:23" ht="15" customHeight="1" x14ac:dyDescent="0.45">
      <c r="S3430" s="452"/>
      <c r="T3430" s="452"/>
      <c r="U3430" s="452"/>
      <c r="V3430" s="452"/>
      <c r="W3430" s="452"/>
    </row>
    <row r="3431" spans="19:23" ht="15" customHeight="1" x14ac:dyDescent="0.45">
      <c r="S3431" s="452"/>
      <c r="T3431" s="452"/>
      <c r="U3431" s="452"/>
      <c r="V3431" s="452"/>
      <c r="W3431" s="452"/>
    </row>
    <row r="3432" spans="19:23" ht="15" customHeight="1" x14ac:dyDescent="0.45">
      <c r="S3432" s="452"/>
      <c r="T3432" s="452"/>
      <c r="U3432" s="452"/>
      <c r="V3432" s="452"/>
      <c r="W3432" s="452"/>
    </row>
    <row r="3433" spans="19:23" ht="15" customHeight="1" x14ac:dyDescent="0.45">
      <c r="S3433" s="452"/>
      <c r="T3433" s="452"/>
      <c r="U3433" s="452"/>
      <c r="V3433" s="452"/>
      <c r="W3433" s="452"/>
    </row>
    <row r="3434" spans="19:23" ht="15" customHeight="1" x14ac:dyDescent="0.45">
      <c r="S3434" s="452"/>
      <c r="T3434" s="452"/>
      <c r="U3434" s="452"/>
      <c r="V3434" s="452"/>
      <c r="W3434" s="452"/>
    </row>
    <row r="3435" spans="19:23" ht="15" customHeight="1" x14ac:dyDescent="0.45">
      <c r="S3435" s="452"/>
      <c r="T3435" s="452"/>
      <c r="U3435" s="452"/>
      <c r="V3435" s="452"/>
      <c r="W3435" s="452"/>
    </row>
    <row r="3436" spans="19:23" ht="15" customHeight="1" x14ac:dyDescent="0.45">
      <c r="S3436" s="452"/>
      <c r="T3436" s="452"/>
      <c r="U3436" s="452"/>
      <c r="V3436" s="452"/>
      <c r="W3436" s="452"/>
    </row>
    <row r="3437" spans="19:23" ht="15" customHeight="1" x14ac:dyDescent="0.45">
      <c r="S3437" s="452"/>
      <c r="T3437" s="452"/>
      <c r="U3437" s="452"/>
      <c r="V3437" s="452"/>
      <c r="W3437" s="452"/>
    </row>
    <row r="3438" spans="19:23" ht="15" customHeight="1" x14ac:dyDescent="0.45">
      <c r="S3438" s="452"/>
      <c r="T3438" s="452"/>
      <c r="U3438" s="452"/>
      <c r="V3438" s="452"/>
      <c r="W3438" s="452"/>
    </row>
    <row r="3439" spans="19:23" ht="15" customHeight="1" x14ac:dyDescent="0.45">
      <c r="S3439" s="452"/>
      <c r="T3439" s="452"/>
      <c r="U3439" s="452"/>
      <c r="V3439" s="452"/>
      <c r="W3439" s="452"/>
    </row>
    <row r="3440" spans="19:23" ht="15" customHeight="1" x14ac:dyDescent="0.45">
      <c r="S3440" s="452"/>
      <c r="T3440" s="452"/>
      <c r="U3440" s="452"/>
      <c r="V3440" s="452"/>
      <c r="W3440" s="452"/>
    </row>
    <row r="3441" spans="19:23" ht="15" customHeight="1" x14ac:dyDescent="0.45">
      <c r="S3441" s="452"/>
      <c r="T3441" s="452"/>
      <c r="U3441" s="452"/>
      <c r="V3441" s="452"/>
      <c r="W3441" s="452"/>
    </row>
    <row r="3442" spans="19:23" ht="15" customHeight="1" x14ac:dyDescent="0.45">
      <c r="S3442" s="452"/>
      <c r="T3442" s="452"/>
      <c r="U3442" s="452"/>
      <c r="V3442" s="452"/>
      <c r="W3442" s="452"/>
    </row>
    <row r="3443" spans="19:23" ht="15" customHeight="1" x14ac:dyDescent="0.45">
      <c r="S3443" s="452"/>
      <c r="T3443" s="452"/>
      <c r="U3443" s="452"/>
      <c r="V3443" s="452"/>
      <c r="W3443" s="452"/>
    </row>
    <row r="3444" spans="19:23" ht="15" customHeight="1" x14ac:dyDescent="0.45">
      <c r="S3444" s="452"/>
      <c r="T3444" s="452"/>
      <c r="U3444" s="452"/>
      <c r="V3444" s="452"/>
      <c r="W3444" s="452"/>
    </row>
    <row r="3445" spans="19:23" ht="15" customHeight="1" x14ac:dyDescent="0.45">
      <c r="S3445" s="452"/>
      <c r="T3445" s="452"/>
      <c r="U3445" s="452"/>
      <c r="V3445" s="452"/>
      <c r="W3445" s="452"/>
    </row>
    <row r="3446" spans="19:23" ht="15" customHeight="1" x14ac:dyDescent="0.45">
      <c r="S3446" s="452"/>
      <c r="T3446" s="452"/>
      <c r="U3446" s="452"/>
      <c r="V3446" s="452"/>
      <c r="W3446" s="452"/>
    </row>
    <row r="3447" spans="19:23" ht="15" customHeight="1" x14ac:dyDescent="0.45">
      <c r="S3447" s="452"/>
      <c r="T3447" s="452"/>
      <c r="U3447" s="452"/>
      <c r="V3447" s="452"/>
      <c r="W3447" s="452"/>
    </row>
    <row r="3448" spans="19:23" ht="15" customHeight="1" x14ac:dyDescent="0.45">
      <c r="S3448" s="452"/>
      <c r="T3448" s="452"/>
      <c r="U3448" s="452"/>
      <c r="V3448" s="452"/>
      <c r="W3448" s="452"/>
    </row>
    <row r="3449" spans="19:23" ht="15" customHeight="1" x14ac:dyDescent="0.45">
      <c r="S3449" s="452"/>
      <c r="T3449" s="452"/>
      <c r="U3449" s="452"/>
      <c r="V3449" s="452"/>
      <c r="W3449" s="452"/>
    </row>
    <row r="3450" spans="19:23" ht="15" customHeight="1" x14ac:dyDescent="0.45">
      <c r="S3450" s="452"/>
      <c r="T3450" s="452"/>
      <c r="U3450" s="452"/>
      <c r="V3450" s="452"/>
      <c r="W3450" s="452"/>
    </row>
    <row r="3451" spans="19:23" ht="15" customHeight="1" x14ac:dyDescent="0.45">
      <c r="S3451" s="452"/>
      <c r="T3451" s="452"/>
      <c r="U3451" s="452"/>
      <c r="V3451" s="452"/>
      <c r="W3451" s="452"/>
    </row>
    <row r="3452" spans="19:23" ht="15" customHeight="1" x14ac:dyDescent="0.45">
      <c r="S3452" s="452"/>
      <c r="T3452" s="452"/>
      <c r="U3452" s="452"/>
      <c r="V3452" s="452"/>
      <c r="W3452" s="452"/>
    </row>
    <row r="3453" spans="19:23" ht="15" customHeight="1" x14ac:dyDescent="0.45">
      <c r="S3453" s="452"/>
      <c r="T3453" s="452"/>
      <c r="U3453" s="452"/>
      <c r="V3453" s="452"/>
      <c r="W3453" s="452"/>
    </row>
    <row r="3454" spans="19:23" ht="15" customHeight="1" x14ac:dyDescent="0.45">
      <c r="S3454" s="452"/>
      <c r="T3454" s="452"/>
      <c r="U3454" s="452"/>
      <c r="V3454" s="452"/>
      <c r="W3454" s="452"/>
    </row>
    <row r="3455" spans="19:23" ht="15" customHeight="1" x14ac:dyDescent="0.45">
      <c r="S3455" s="452"/>
      <c r="T3455" s="452"/>
      <c r="U3455" s="452"/>
      <c r="V3455" s="452"/>
      <c r="W3455" s="452"/>
    </row>
    <row r="3456" spans="19:23" ht="15" customHeight="1" x14ac:dyDescent="0.45">
      <c r="S3456" s="452"/>
      <c r="T3456" s="452"/>
      <c r="U3456" s="452"/>
      <c r="V3456" s="452"/>
      <c r="W3456" s="452"/>
    </row>
    <row r="3457" spans="19:23" ht="15" customHeight="1" x14ac:dyDescent="0.45">
      <c r="S3457" s="452"/>
      <c r="T3457" s="452"/>
      <c r="U3457" s="452"/>
      <c r="V3457" s="452"/>
      <c r="W3457" s="452"/>
    </row>
    <row r="3458" spans="19:23" ht="15" customHeight="1" x14ac:dyDescent="0.45">
      <c r="S3458" s="452"/>
      <c r="T3458" s="452"/>
      <c r="U3458" s="452"/>
      <c r="V3458" s="452"/>
      <c r="W3458" s="452"/>
    </row>
    <row r="3459" spans="19:23" ht="15" customHeight="1" x14ac:dyDescent="0.45">
      <c r="S3459" s="452"/>
      <c r="T3459" s="452"/>
      <c r="U3459" s="452"/>
      <c r="V3459" s="452"/>
      <c r="W3459" s="452"/>
    </row>
    <row r="3460" spans="19:23" ht="15" customHeight="1" x14ac:dyDescent="0.45">
      <c r="S3460" s="452"/>
      <c r="T3460" s="452"/>
      <c r="U3460" s="452"/>
      <c r="V3460" s="452"/>
      <c r="W3460" s="452"/>
    </row>
    <row r="3461" spans="19:23" ht="15" customHeight="1" x14ac:dyDescent="0.45">
      <c r="S3461" s="452"/>
      <c r="T3461" s="452"/>
      <c r="U3461" s="452"/>
      <c r="V3461" s="452"/>
      <c r="W3461" s="452"/>
    </row>
    <row r="3462" spans="19:23" ht="15" customHeight="1" x14ac:dyDescent="0.45">
      <c r="S3462" s="452"/>
      <c r="T3462" s="452"/>
      <c r="U3462" s="452"/>
      <c r="V3462" s="452"/>
      <c r="W3462" s="452"/>
    </row>
    <row r="3463" spans="19:23" ht="15" customHeight="1" x14ac:dyDescent="0.45">
      <c r="S3463" s="452"/>
      <c r="T3463" s="452"/>
      <c r="U3463" s="452"/>
      <c r="V3463" s="452"/>
      <c r="W3463" s="452"/>
    </row>
    <row r="3464" spans="19:23" ht="15" customHeight="1" x14ac:dyDescent="0.45">
      <c r="S3464" s="452"/>
      <c r="T3464" s="452"/>
      <c r="U3464" s="452"/>
      <c r="V3464" s="452"/>
      <c r="W3464" s="452"/>
    </row>
    <row r="3465" spans="19:23" ht="15" customHeight="1" x14ac:dyDescent="0.45">
      <c r="S3465" s="452"/>
      <c r="T3465" s="452"/>
      <c r="U3465" s="452"/>
      <c r="V3465" s="452"/>
      <c r="W3465" s="452"/>
    </row>
    <row r="3466" spans="19:23" ht="15" customHeight="1" x14ac:dyDescent="0.45">
      <c r="S3466" s="452"/>
      <c r="T3466" s="452"/>
      <c r="U3466" s="452"/>
      <c r="V3466" s="452"/>
      <c r="W3466" s="452"/>
    </row>
    <row r="3467" spans="19:23" ht="15" customHeight="1" x14ac:dyDescent="0.45">
      <c r="S3467" s="452"/>
      <c r="T3467" s="452"/>
      <c r="U3467" s="452"/>
      <c r="V3467" s="452"/>
      <c r="W3467" s="452"/>
    </row>
    <row r="3468" spans="19:23" ht="15" customHeight="1" x14ac:dyDescent="0.45">
      <c r="S3468" s="452"/>
      <c r="T3468" s="452"/>
      <c r="U3468" s="452"/>
      <c r="V3468" s="452"/>
      <c r="W3468" s="452"/>
    </row>
    <row r="3469" spans="19:23" ht="15" customHeight="1" x14ac:dyDescent="0.45">
      <c r="S3469" s="452"/>
      <c r="T3469" s="452"/>
      <c r="U3469" s="452"/>
      <c r="V3469" s="452"/>
      <c r="W3469" s="452"/>
    </row>
    <row r="3470" spans="19:23" ht="15" customHeight="1" x14ac:dyDescent="0.45">
      <c r="S3470" s="452"/>
      <c r="T3470" s="452"/>
      <c r="U3470" s="452"/>
      <c r="V3470" s="452"/>
      <c r="W3470" s="452"/>
    </row>
    <row r="3471" spans="19:23" ht="15" customHeight="1" x14ac:dyDescent="0.45">
      <c r="S3471" s="452"/>
      <c r="T3471" s="452"/>
      <c r="U3471" s="452"/>
      <c r="V3471" s="452"/>
      <c r="W3471" s="452"/>
    </row>
    <row r="3472" spans="19:23" ht="15" customHeight="1" x14ac:dyDescent="0.45">
      <c r="S3472" s="452"/>
      <c r="T3472" s="452"/>
      <c r="U3472" s="452"/>
      <c r="V3472" s="452"/>
      <c r="W3472" s="452"/>
    </row>
    <row r="3473" spans="19:23" ht="15" customHeight="1" x14ac:dyDescent="0.45">
      <c r="S3473" s="452"/>
      <c r="T3473" s="452"/>
      <c r="U3473" s="452"/>
      <c r="V3473" s="452"/>
      <c r="W3473" s="452"/>
    </row>
    <row r="3474" spans="19:23" ht="15" customHeight="1" x14ac:dyDescent="0.45">
      <c r="S3474" s="452"/>
      <c r="T3474" s="452"/>
      <c r="U3474" s="452"/>
      <c r="V3474" s="452"/>
      <c r="W3474" s="452"/>
    </row>
    <row r="3475" spans="19:23" ht="15" customHeight="1" x14ac:dyDescent="0.45">
      <c r="S3475" s="452"/>
      <c r="T3475" s="452"/>
      <c r="U3475" s="452"/>
      <c r="V3475" s="452"/>
      <c r="W3475" s="452"/>
    </row>
    <row r="3476" spans="19:23" ht="15" customHeight="1" x14ac:dyDescent="0.45">
      <c r="S3476" s="452"/>
      <c r="T3476" s="452"/>
      <c r="U3476" s="452"/>
      <c r="V3476" s="452"/>
      <c r="W3476" s="452"/>
    </row>
    <row r="3477" spans="19:23" ht="15" customHeight="1" x14ac:dyDescent="0.45">
      <c r="S3477" s="452"/>
      <c r="T3477" s="452"/>
      <c r="U3477" s="452"/>
      <c r="V3477" s="452"/>
      <c r="W3477" s="452"/>
    </row>
    <row r="3478" spans="19:23" ht="15" customHeight="1" x14ac:dyDescent="0.45">
      <c r="S3478" s="452"/>
      <c r="T3478" s="452"/>
      <c r="U3478" s="452"/>
      <c r="V3478" s="452"/>
      <c r="W3478" s="452"/>
    </row>
    <row r="3479" spans="19:23" ht="15" customHeight="1" x14ac:dyDescent="0.45">
      <c r="S3479" s="452"/>
      <c r="T3479" s="452"/>
      <c r="U3479" s="452"/>
      <c r="V3479" s="452"/>
      <c r="W3479" s="452"/>
    </row>
    <row r="3480" spans="19:23" ht="15" customHeight="1" x14ac:dyDescent="0.45">
      <c r="S3480" s="452"/>
      <c r="T3480" s="452"/>
      <c r="U3480" s="452"/>
      <c r="V3480" s="452"/>
      <c r="W3480" s="452"/>
    </row>
    <row r="3481" spans="19:23" ht="15" customHeight="1" x14ac:dyDescent="0.45">
      <c r="S3481" s="452"/>
      <c r="T3481" s="452"/>
      <c r="U3481" s="452"/>
      <c r="V3481" s="452"/>
      <c r="W3481" s="452"/>
    </row>
    <row r="3482" spans="19:23" ht="15" customHeight="1" x14ac:dyDescent="0.45">
      <c r="S3482" s="452"/>
      <c r="T3482" s="452"/>
      <c r="U3482" s="452"/>
      <c r="V3482" s="452"/>
      <c r="W3482" s="452"/>
    </row>
    <row r="3483" spans="19:23" ht="15" customHeight="1" x14ac:dyDescent="0.45">
      <c r="S3483" s="452"/>
      <c r="T3483" s="452"/>
      <c r="U3483" s="452"/>
      <c r="V3483" s="452"/>
      <c r="W3483" s="452"/>
    </row>
    <row r="3484" spans="19:23" ht="15" customHeight="1" x14ac:dyDescent="0.45">
      <c r="S3484" s="452"/>
      <c r="T3484" s="452"/>
      <c r="U3484" s="452"/>
      <c r="V3484" s="452"/>
      <c r="W3484" s="452"/>
    </row>
    <row r="3485" spans="19:23" ht="15" customHeight="1" x14ac:dyDescent="0.45">
      <c r="S3485" s="452"/>
      <c r="T3485" s="452"/>
      <c r="U3485" s="452"/>
      <c r="V3485" s="452"/>
      <c r="W3485" s="452"/>
    </row>
    <row r="3486" spans="19:23" ht="15" customHeight="1" x14ac:dyDescent="0.45">
      <c r="S3486" s="452"/>
      <c r="T3486" s="452"/>
      <c r="U3486" s="452"/>
      <c r="V3486" s="452"/>
      <c r="W3486" s="452"/>
    </row>
    <row r="3487" spans="19:23" ht="15" customHeight="1" x14ac:dyDescent="0.45">
      <c r="S3487" s="452"/>
      <c r="T3487" s="452"/>
      <c r="U3487" s="452"/>
      <c r="V3487" s="452"/>
      <c r="W3487" s="452"/>
    </row>
    <row r="3488" spans="19:23" ht="15" customHeight="1" x14ac:dyDescent="0.45">
      <c r="S3488" s="452"/>
      <c r="T3488" s="452"/>
      <c r="U3488" s="452"/>
      <c r="V3488" s="452"/>
      <c r="W3488" s="452"/>
    </row>
    <row r="3489" spans="19:23" ht="15" customHeight="1" x14ac:dyDescent="0.45">
      <c r="S3489" s="452"/>
      <c r="T3489" s="452"/>
      <c r="U3489" s="452"/>
      <c r="V3489" s="452"/>
      <c r="W3489" s="452"/>
    </row>
    <row r="3490" spans="19:23" ht="15" customHeight="1" x14ac:dyDescent="0.45">
      <c r="S3490" s="452"/>
      <c r="T3490" s="452"/>
      <c r="U3490" s="452"/>
      <c r="V3490" s="452"/>
      <c r="W3490" s="452"/>
    </row>
    <row r="3491" spans="19:23" ht="15" customHeight="1" x14ac:dyDescent="0.45">
      <c r="S3491" s="452"/>
      <c r="T3491" s="452"/>
      <c r="U3491" s="452"/>
      <c r="V3491" s="452"/>
      <c r="W3491" s="452"/>
    </row>
    <row r="3492" spans="19:23" ht="15" customHeight="1" x14ac:dyDescent="0.45">
      <c r="S3492" s="452"/>
      <c r="T3492" s="452"/>
      <c r="U3492" s="452"/>
      <c r="V3492" s="452"/>
      <c r="W3492" s="452"/>
    </row>
    <row r="3493" spans="19:23" ht="15" customHeight="1" x14ac:dyDescent="0.45">
      <c r="S3493" s="452"/>
      <c r="T3493" s="452"/>
      <c r="U3493" s="452"/>
      <c r="V3493" s="452"/>
      <c r="W3493" s="452"/>
    </row>
    <row r="3494" spans="19:23" ht="15" customHeight="1" x14ac:dyDescent="0.45">
      <c r="S3494" s="452"/>
      <c r="T3494" s="452"/>
      <c r="U3494" s="452"/>
      <c r="V3494" s="452"/>
      <c r="W3494" s="452"/>
    </row>
    <row r="3495" spans="19:23" ht="15" customHeight="1" x14ac:dyDescent="0.45">
      <c r="S3495" s="452"/>
      <c r="T3495" s="452"/>
      <c r="U3495" s="452"/>
      <c r="V3495" s="452"/>
      <c r="W3495" s="452"/>
    </row>
    <row r="3496" spans="19:23" ht="15" customHeight="1" x14ac:dyDescent="0.45">
      <c r="S3496" s="452"/>
      <c r="T3496" s="452"/>
      <c r="U3496" s="452"/>
      <c r="V3496" s="452"/>
      <c r="W3496" s="452"/>
    </row>
    <row r="3497" spans="19:23" ht="15" customHeight="1" x14ac:dyDescent="0.45">
      <c r="S3497" s="452"/>
      <c r="T3497" s="452"/>
      <c r="U3497" s="452"/>
      <c r="V3497" s="452"/>
      <c r="W3497" s="452"/>
    </row>
    <row r="3498" spans="19:23" ht="15" customHeight="1" x14ac:dyDescent="0.45">
      <c r="S3498" s="452"/>
      <c r="T3498" s="452"/>
      <c r="U3498" s="452"/>
      <c r="V3498" s="452"/>
      <c r="W3498" s="452"/>
    </row>
    <row r="3499" spans="19:23" ht="15" customHeight="1" x14ac:dyDescent="0.45">
      <c r="S3499" s="452"/>
      <c r="T3499" s="452"/>
      <c r="U3499" s="452"/>
      <c r="V3499" s="452"/>
      <c r="W3499" s="452"/>
    </row>
    <row r="3500" spans="19:23" ht="15" customHeight="1" x14ac:dyDescent="0.45">
      <c r="S3500" s="452"/>
      <c r="T3500" s="452"/>
      <c r="U3500" s="452"/>
      <c r="V3500" s="452"/>
      <c r="W3500" s="452"/>
    </row>
    <row r="3501" spans="19:23" ht="15" customHeight="1" x14ac:dyDescent="0.45">
      <c r="S3501" s="452"/>
      <c r="T3501" s="452"/>
      <c r="U3501" s="452"/>
      <c r="V3501" s="452"/>
      <c r="W3501" s="452"/>
    </row>
    <row r="3502" spans="19:23" ht="15" customHeight="1" x14ac:dyDescent="0.45">
      <c r="S3502" s="452"/>
      <c r="T3502" s="452"/>
      <c r="U3502" s="452"/>
      <c r="V3502" s="452"/>
      <c r="W3502" s="452"/>
    </row>
    <row r="3503" spans="19:23" ht="15" customHeight="1" x14ac:dyDescent="0.45">
      <c r="S3503" s="452"/>
      <c r="T3503" s="452"/>
      <c r="U3503" s="452"/>
      <c r="V3503" s="452"/>
      <c r="W3503" s="452"/>
    </row>
    <row r="3504" spans="19:23" ht="15" customHeight="1" x14ac:dyDescent="0.45">
      <c r="S3504" s="452"/>
      <c r="T3504" s="452"/>
      <c r="U3504" s="452"/>
      <c r="V3504" s="452"/>
      <c r="W3504" s="452"/>
    </row>
    <row r="3505" spans="19:23" ht="15" customHeight="1" x14ac:dyDescent="0.45">
      <c r="S3505" s="452"/>
      <c r="T3505" s="452"/>
      <c r="U3505" s="452"/>
      <c r="V3505" s="452"/>
      <c r="W3505" s="452"/>
    </row>
    <row r="3506" spans="19:23" ht="15" customHeight="1" x14ac:dyDescent="0.45">
      <c r="S3506" s="452"/>
      <c r="T3506" s="452"/>
      <c r="U3506" s="452"/>
      <c r="V3506" s="452"/>
      <c r="W3506" s="452"/>
    </row>
    <row r="3507" spans="19:23" ht="15" customHeight="1" x14ac:dyDescent="0.45">
      <c r="S3507" s="452"/>
      <c r="T3507" s="452"/>
      <c r="U3507" s="452"/>
      <c r="V3507" s="452"/>
      <c r="W3507" s="452"/>
    </row>
    <row r="3508" spans="19:23" ht="15" customHeight="1" x14ac:dyDescent="0.45">
      <c r="S3508" s="452"/>
      <c r="T3508" s="452"/>
      <c r="U3508" s="452"/>
      <c r="V3508" s="452"/>
      <c r="W3508" s="452"/>
    </row>
    <row r="3509" spans="19:23" ht="15" customHeight="1" x14ac:dyDescent="0.45">
      <c r="S3509" s="452"/>
      <c r="T3509" s="452"/>
      <c r="U3509" s="452"/>
      <c r="V3509" s="452"/>
      <c r="W3509" s="452"/>
    </row>
    <row r="3510" spans="19:23" ht="15" customHeight="1" x14ac:dyDescent="0.45">
      <c r="S3510" s="452"/>
      <c r="T3510" s="452"/>
      <c r="U3510" s="452"/>
      <c r="V3510" s="452"/>
      <c r="W3510" s="452"/>
    </row>
    <row r="3511" spans="19:23" ht="15" customHeight="1" x14ac:dyDescent="0.45">
      <c r="S3511" s="452"/>
      <c r="T3511" s="452"/>
      <c r="U3511" s="452"/>
      <c r="V3511" s="452"/>
      <c r="W3511" s="452"/>
    </row>
    <row r="3512" spans="19:23" ht="15" customHeight="1" x14ac:dyDescent="0.45">
      <c r="S3512" s="452"/>
      <c r="T3512" s="452"/>
      <c r="U3512" s="452"/>
      <c r="V3512" s="452"/>
      <c r="W3512" s="452"/>
    </row>
    <row r="3513" spans="19:23" ht="15" customHeight="1" x14ac:dyDescent="0.45">
      <c r="S3513" s="452"/>
      <c r="T3513" s="452"/>
      <c r="U3513" s="452"/>
      <c r="V3513" s="452"/>
      <c r="W3513" s="452"/>
    </row>
    <row r="3514" spans="19:23" ht="15" customHeight="1" x14ac:dyDescent="0.45">
      <c r="S3514" s="452"/>
      <c r="T3514" s="452"/>
      <c r="U3514" s="452"/>
      <c r="V3514" s="452"/>
      <c r="W3514" s="452"/>
    </row>
    <row r="3515" spans="19:23" ht="15" customHeight="1" x14ac:dyDescent="0.45">
      <c r="S3515" s="452"/>
      <c r="T3515" s="452"/>
      <c r="U3515" s="452"/>
      <c r="V3515" s="452"/>
      <c r="W3515" s="452"/>
    </row>
    <row r="3516" spans="19:23" ht="15" customHeight="1" x14ac:dyDescent="0.45">
      <c r="S3516" s="452"/>
      <c r="T3516" s="452"/>
      <c r="U3516" s="452"/>
      <c r="V3516" s="452"/>
      <c r="W3516" s="452"/>
    </row>
    <row r="3517" spans="19:23" ht="15" customHeight="1" x14ac:dyDescent="0.45">
      <c r="S3517" s="452"/>
      <c r="T3517" s="452"/>
      <c r="U3517" s="452"/>
      <c r="V3517" s="452"/>
      <c r="W3517" s="452"/>
    </row>
    <row r="3518" spans="19:23" ht="15" customHeight="1" x14ac:dyDescent="0.45">
      <c r="S3518" s="452"/>
      <c r="T3518" s="452"/>
      <c r="U3518" s="452"/>
      <c r="V3518" s="452"/>
      <c r="W3518" s="452"/>
    </row>
    <row r="3519" spans="19:23" ht="15" customHeight="1" x14ac:dyDescent="0.45">
      <c r="S3519" s="452"/>
      <c r="T3519" s="452"/>
      <c r="U3519" s="452"/>
      <c r="V3519" s="452"/>
      <c r="W3519" s="452"/>
    </row>
    <row r="3520" spans="19:23" ht="15" customHeight="1" x14ac:dyDescent="0.45">
      <c r="S3520" s="452"/>
      <c r="T3520" s="452"/>
      <c r="U3520" s="452"/>
      <c r="V3520" s="452"/>
      <c r="W3520" s="452"/>
    </row>
    <row r="3521" spans="19:23" ht="15" customHeight="1" x14ac:dyDescent="0.45">
      <c r="S3521" s="452"/>
      <c r="T3521" s="452"/>
      <c r="U3521" s="452"/>
      <c r="V3521" s="452"/>
      <c r="W3521" s="452"/>
    </row>
    <row r="3522" spans="19:23" ht="15" customHeight="1" x14ac:dyDescent="0.45">
      <c r="S3522" s="452"/>
      <c r="T3522" s="452"/>
      <c r="U3522" s="452"/>
      <c r="V3522" s="452"/>
      <c r="W3522" s="452"/>
    </row>
    <row r="3523" spans="19:23" ht="15" customHeight="1" x14ac:dyDescent="0.45">
      <c r="S3523" s="452"/>
      <c r="T3523" s="452"/>
      <c r="U3523" s="452"/>
      <c r="V3523" s="452"/>
      <c r="W3523" s="452"/>
    </row>
    <row r="3524" spans="19:23" ht="15" customHeight="1" x14ac:dyDescent="0.45">
      <c r="S3524" s="452"/>
      <c r="T3524" s="452"/>
      <c r="U3524" s="452"/>
      <c r="V3524" s="452"/>
      <c r="W3524" s="452"/>
    </row>
    <row r="3525" spans="19:23" ht="15" customHeight="1" x14ac:dyDescent="0.45">
      <c r="S3525" s="452"/>
      <c r="T3525" s="452"/>
      <c r="U3525" s="452"/>
      <c r="V3525" s="452"/>
      <c r="W3525" s="452"/>
    </row>
    <row r="3526" spans="19:23" ht="15" customHeight="1" x14ac:dyDescent="0.45">
      <c r="S3526" s="452"/>
      <c r="T3526" s="452"/>
      <c r="U3526" s="452"/>
      <c r="V3526" s="452"/>
      <c r="W3526" s="452"/>
    </row>
    <row r="3527" spans="19:23" ht="15" customHeight="1" x14ac:dyDescent="0.45">
      <c r="S3527" s="452"/>
      <c r="T3527" s="452"/>
      <c r="U3527" s="452"/>
      <c r="V3527" s="452"/>
      <c r="W3527" s="452"/>
    </row>
    <row r="3528" spans="19:23" ht="15" customHeight="1" x14ac:dyDescent="0.45">
      <c r="S3528" s="452"/>
      <c r="T3528" s="452"/>
      <c r="U3528" s="452"/>
      <c r="V3528" s="452"/>
      <c r="W3528" s="452"/>
    </row>
    <row r="3529" spans="19:23" ht="15" customHeight="1" x14ac:dyDescent="0.45">
      <c r="S3529" s="452"/>
      <c r="T3529" s="452"/>
      <c r="U3529" s="452"/>
      <c r="V3529" s="452"/>
      <c r="W3529" s="452"/>
    </row>
    <row r="3530" spans="19:23" ht="15" customHeight="1" x14ac:dyDescent="0.45">
      <c r="S3530" s="452"/>
      <c r="T3530" s="452"/>
      <c r="U3530" s="452"/>
      <c r="V3530" s="452"/>
      <c r="W3530" s="452"/>
    </row>
    <row r="3531" spans="19:23" ht="15" customHeight="1" x14ac:dyDescent="0.45">
      <c r="S3531" s="452"/>
      <c r="T3531" s="452"/>
      <c r="U3531" s="452"/>
      <c r="V3531" s="452"/>
      <c r="W3531" s="452"/>
    </row>
    <row r="3532" spans="19:23" ht="15" customHeight="1" x14ac:dyDescent="0.45">
      <c r="S3532" s="452"/>
      <c r="T3532" s="452"/>
      <c r="U3532" s="452"/>
      <c r="V3532" s="452"/>
      <c r="W3532" s="452"/>
    </row>
    <row r="3533" spans="19:23" ht="15" customHeight="1" x14ac:dyDescent="0.45">
      <c r="S3533" s="452"/>
      <c r="T3533" s="452"/>
      <c r="U3533" s="452"/>
      <c r="V3533" s="452"/>
      <c r="W3533" s="452"/>
    </row>
    <row r="3534" spans="19:23" ht="15" customHeight="1" x14ac:dyDescent="0.45">
      <c r="S3534" s="452"/>
      <c r="T3534" s="452"/>
      <c r="U3534" s="452"/>
      <c r="V3534" s="452"/>
      <c r="W3534" s="452"/>
    </row>
    <row r="3535" spans="19:23" ht="15" customHeight="1" x14ac:dyDescent="0.45">
      <c r="S3535" s="452"/>
      <c r="T3535" s="452"/>
      <c r="U3535" s="452"/>
      <c r="V3535" s="452"/>
      <c r="W3535" s="452"/>
    </row>
    <row r="3536" spans="19:23" ht="15" customHeight="1" x14ac:dyDescent="0.45">
      <c r="S3536" s="452"/>
      <c r="T3536" s="452"/>
      <c r="U3536" s="452"/>
      <c r="V3536" s="452"/>
      <c r="W3536" s="452"/>
    </row>
    <row r="3537" spans="19:23" ht="15" customHeight="1" x14ac:dyDescent="0.45">
      <c r="S3537" s="452"/>
      <c r="T3537" s="452"/>
      <c r="U3537" s="452"/>
      <c r="V3537" s="452"/>
      <c r="W3537" s="452"/>
    </row>
    <row r="3538" spans="19:23" ht="15" customHeight="1" x14ac:dyDescent="0.45">
      <c r="S3538" s="452"/>
      <c r="T3538" s="452"/>
      <c r="U3538" s="452"/>
      <c r="V3538" s="452"/>
      <c r="W3538" s="452"/>
    </row>
    <row r="3539" spans="19:23" ht="15" customHeight="1" x14ac:dyDescent="0.45">
      <c r="S3539" s="452"/>
      <c r="T3539" s="452"/>
      <c r="U3539" s="452"/>
      <c r="V3539" s="452"/>
      <c r="W3539" s="452"/>
    </row>
    <row r="3540" spans="19:23" ht="15" customHeight="1" x14ac:dyDescent="0.45">
      <c r="S3540" s="452"/>
      <c r="T3540" s="452"/>
      <c r="U3540" s="452"/>
      <c r="V3540" s="452"/>
      <c r="W3540" s="452"/>
    </row>
    <row r="3541" spans="19:23" ht="15" customHeight="1" x14ac:dyDescent="0.45">
      <c r="S3541" s="452"/>
      <c r="T3541" s="452"/>
      <c r="U3541" s="452"/>
      <c r="V3541" s="452"/>
      <c r="W3541" s="452"/>
    </row>
    <row r="3542" spans="19:23" ht="15" customHeight="1" x14ac:dyDescent="0.45">
      <c r="S3542" s="452"/>
      <c r="T3542" s="452"/>
      <c r="U3542" s="452"/>
      <c r="V3542" s="452"/>
      <c r="W3542" s="452"/>
    </row>
    <row r="3543" spans="19:23" ht="15" customHeight="1" x14ac:dyDescent="0.45">
      <c r="S3543" s="452"/>
      <c r="T3543" s="452"/>
      <c r="U3543" s="452"/>
      <c r="V3543" s="452"/>
      <c r="W3543" s="452"/>
    </row>
    <row r="3544" spans="19:23" ht="15" customHeight="1" x14ac:dyDescent="0.45">
      <c r="S3544" s="452"/>
      <c r="T3544" s="452"/>
      <c r="U3544" s="452"/>
      <c r="V3544" s="452"/>
      <c r="W3544" s="452"/>
    </row>
    <row r="3545" spans="19:23" ht="15" customHeight="1" x14ac:dyDescent="0.45">
      <c r="S3545" s="452"/>
      <c r="T3545" s="452"/>
      <c r="U3545" s="452"/>
      <c r="V3545" s="452"/>
      <c r="W3545" s="452"/>
    </row>
    <row r="3546" spans="19:23" ht="15" customHeight="1" x14ac:dyDescent="0.45">
      <c r="S3546" s="452"/>
      <c r="T3546" s="452"/>
      <c r="U3546" s="452"/>
      <c r="V3546" s="452"/>
      <c r="W3546" s="452"/>
    </row>
    <row r="3547" spans="19:23" ht="15" customHeight="1" x14ac:dyDescent="0.45">
      <c r="S3547" s="452"/>
      <c r="T3547" s="452"/>
      <c r="U3547" s="452"/>
      <c r="V3547" s="452"/>
      <c r="W3547" s="452"/>
    </row>
    <row r="3548" spans="19:23" ht="15" customHeight="1" x14ac:dyDescent="0.45">
      <c r="S3548" s="452"/>
      <c r="T3548" s="452"/>
      <c r="U3548" s="452"/>
      <c r="V3548" s="452"/>
      <c r="W3548" s="452"/>
    </row>
    <row r="3549" spans="19:23" ht="15" customHeight="1" x14ac:dyDescent="0.45">
      <c r="S3549" s="452"/>
      <c r="T3549" s="452"/>
      <c r="U3549" s="452"/>
      <c r="V3549" s="452"/>
      <c r="W3549" s="452"/>
    </row>
    <row r="3550" spans="19:23" ht="15" customHeight="1" x14ac:dyDescent="0.45">
      <c r="S3550" s="452"/>
      <c r="T3550" s="452"/>
      <c r="U3550" s="452"/>
      <c r="V3550" s="452"/>
      <c r="W3550" s="452"/>
    </row>
    <row r="3551" spans="19:23" ht="15" customHeight="1" x14ac:dyDescent="0.45">
      <c r="S3551" s="452"/>
      <c r="T3551" s="452"/>
      <c r="U3551" s="452"/>
      <c r="V3551" s="452"/>
      <c r="W3551" s="452"/>
    </row>
    <row r="3552" spans="19:23" ht="15" customHeight="1" x14ac:dyDescent="0.45">
      <c r="S3552" s="452"/>
      <c r="T3552" s="452"/>
      <c r="U3552" s="452"/>
      <c r="V3552" s="452"/>
      <c r="W3552" s="452"/>
    </row>
    <row r="3553" spans="19:23" ht="15" customHeight="1" x14ac:dyDescent="0.45">
      <c r="S3553" s="452"/>
      <c r="T3553" s="452"/>
      <c r="U3553" s="452"/>
      <c r="V3553" s="452"/>
      <c r="W3553" s="452"/>
    </row>
    <row r="3554" spans="19:23" ht="15" customHeight="1" x14ac:dyDescent="0.45">
      <c r="S3554" s="452"/>
      <c r="T3554" s="452"/>
      <c r="U3554" s="452"/>
      <c r="V3554" s="452"/>
      <c r="W3554" s="452"/>
    </row>
    <row r="3555" spans="19:23" ht="15" customHeight="1" x14ac:dyDescent="0.45">
      <c r="S3555" s="452"/>
      <c r="T3555" s="452"/>
      <c r="U3555" s="452"/>
      <c r="V3555" s="452"/>
      <c r="W3555" s="452"/>
    </row>
    <row r="3556" spans="19:23" ht="15" customHeight="1" x14ac:dyDescent="0.45">
      <c r="S3556" s="452"/>
      <c r="T3556" s="452"/>
      <c r="U3556" s="452"/>
      <c r="V3556" s="452"/>
      <c r="W3556" s="452"/>
    </row>
    <row r="3557" spans="19:23" ht="15" customHeight="1" x14ac:dyDescent="0.45">
      <c r="S3557" s="452"/>
      <c r="T3557" s="452"/>
      <c r="U3557" s="452"/>
      <c r="V3557" s="452"/>
      <c r="W3557" s="452"/>
    </row>
    <row r="3558" spans="19:23" ht="15" customHeight="1" x14ac:dyDescent="0.45">
      <c r="S3558" s="452"/>
      <c r="T3558" s="452"/>
      <c r="U3558" s="452"/>
      <c r="V3558" s="452"/>
      <c r="W3558" s="452"/>
    </row>
    <row r="3559" spans="19:23" ht="15" customHeight="1" x14ac:dyDescent="0.45">
      <c r="S3559" s="452"/>
      <c r="T3559" s="452"/>
      <c r="U3559" s="452"/>
      <c r="V3559" s="452"/>
      <c r="W3559" s="452"/>
    </row>
    <row r="3560" spans="19:23" ht="15" customHeight="1" x14ac:dyDescent="0.45">
      <c r="S3560" s="452"/>
      <c r="T3560" s="452"/>
      <c r="U3560" s="452"/>
      <c r="V3560" s="452"/>
      <c r="W3560" s="452"/>
    </row>
    <row r="3561" spans="19:23" ht="15" customHeight="1" x14ac:dyDescent="0.45">
      <c r="S3561" s="452"/>
      <c r="T3561" s="452"/>
      <c r="U3561" s="452"/>
      <c r="V3561" s="452"/>
      <c r="W3561" s="452"/>
    </row>
    <row r="3562" spans="19:23" ht="15" customHeight="1" x14ac:dyDescent="0.45">
      <c r="S3562" s="452"/>
      <c r="T3562" s="452"/>
      <c r="U3562" s="452"/>
      <c r="V3562" s="452"/>
      <c r="W3562" s="452"/>
    </row>
    <row r="3563" spans="19:23" ht="15" customHeight="1" x14ac:dyDescent="0.45">
      <c r="S3563" s="452"/>
      <c r="T3563" s="452"/>
      <c r="U3563" s="452"/>
      <c r="V3563" s="452"/>
      <c r="W3563" s="452"/>
    </row>
    <row r="3564" spans="19:23" ht="15" customHeight="1" x14ac:dyDescent="0.45">
      <c r="S3564" s="452"/>
      <c r="T3564" s="452"/>
      <c r="U3564" s="452"/>
      <c r="V3564" s="452"/>
      <c r="W3564" s="452"/>
    </row>
    <row r="3565" spans="19:23" ht="15" customHeight="1" x14ac:dyDescent="0.45">
      <c r="S3565" s="452"/>
      <c r="T3565" s="452"/>
      <c r="U3565" s="452"/>
      <c r="V3565" s="452"/>
      <c r="W3565" s="452"/>
    </row>
    <row r="3566" spans="19:23" ht="15" customHeight="1" x14ac:dyDescent="0.45">
      <c r="S3566" s="452"/>
      <c r="T3566" s="452"/>
      <c r="U3566" s="452"/>
      <c r="V3566" s="452"/>
      <c r="W3566" s="452"/>
    </row>
    <row r="3567" spans="19:23" ht="15" customHeight="1" x14ac:dyDescent="0.45">
      <c r="S3567" s="452"/>
      <c r="T3567" s="452"/>
      <c r="U3567" s="452"/>
      <c r="V3567" s="452"/>
      <c r="W3567" s="452"/>
    </row>
    <row r="3568" spans="19:23" ht="15" customHeight="1" x14ac:dyDescent="0.45">
      <c r="S3568" s="452"/>
      <c r="T3568" s="452"/>
      <c r="U3568" s="452"/>
      <c r="V3568" s="452"/>
      <c r="W3568" s="452"/>
    </row>
    <row r="3569" spans="19:23" ht="15" customHeight="1" x14ac:dyDescent="0.45">
      <c r="S3569" s="452"/>
      <c r="T3569" s="452"/>
      <c r="U3569" s="452"/>
      <c r="V3569" s="452"/>
      <c r="W3569" s="452"/>
    </row>
    <row r="3570" spans="19:23" ht="15" customHeight="1" x14ac:dyDescent="0.45">
      <c r="S3570" s="452"/>
      <c r="T3570" s="452"/>
      <c r="U3570" s="452"/>
      <c r="V3570" s="452"/>
      <c r="W3570" s="452"/>
    </row>
    <row r="3571" spans="19:23" ht="15" customHeight="1" x14ac:dyDescent="0.45">
      <c r="S3571" s="452"/>
      <c r="T3571" s="452"/>
      <c r="U3571" s="452"/>
      <c r="V3571" s="452"/>
      <c r="W3571" s="452"/>
    </row>
    <row r="3572" spans="19:23" ht="15" customHeight="1" x14ac:dyDescent="0.45">
      <c r="S3572" s="452"/>
      <c r="T3572" s="452"/>
      <c r="U3572" s="452"/>
      <c r="V3572" s="452"/>
      <c r="W3572" s="452"/>
    </row>
    <row r="3573" spans="19:23" ht="15" customHeight="1" x14ac:dyDescent="0.45">
      <c r="S3573" s="452"/>
      <c r="T3573" s="452"/>
      <c r="U3573" s="452"/>
      <c r="V3573" s="452"/>
      <c r="W3573" s="452"/>
    </row>
    <row r="3574" spans="19:23" ht="15" customHeight="1" x14ac:dyDescent="0.45">
      <c r="S3574" s="452"/>
      <c r="T3574" s="452"/>
      <c r="U3574" s="452"/>
      <c r="V3574" s="452"/>
      <c r="W3574" s="452"/>
    </row>
    <row r="3575" spans="19:23" ht="15" customHeight="1" x14ac:dyDescent="0.45">
      <c r="S3575" s="452"/>
      <c r="T3575" s="452"/>
      <c r="U3575" s="452"/>
      <c r="V3575" s="452"/>
      <c r="W3575" s="452"/>
    </row>
    <row r="3576" spans="19:23" ht="15" customHeight="1" x14ac:dyDescent="0.45">
      <c r="S3576" s="452"/>
      <c r="T3576" s="452"/>
      <c r="U3576" s="452"/>
      <c r="V3576" s="452"/>
      <c r="W3576" s="452"/>
    </row>
    <row r="3577" spans="19:23" ht="15" customHeight="1" x14ac:dyDescent="0.45">
      <c r="S3577" s="452"/>
      <c r="T3577" s="452"/>
      <c r="U3577" s="452"/>
      <c r="V3577" s="452"/>
      <c r="W3577" s="452"/>
    </row>
    <row r="3578" spans="19:23" ht="15" customHeight="1" x14ac:dyDescent="0.45">
      <c r="S3578" s="452"/>
      <c r="T3578" s="452"/>
      <c r="U3578" s="452"/>
      <c r="V3578" s="452"/>
      <c r="W3578" s="452"/>
    </row>
    <row r="3579" spans="19:23" ht="15" customHeight="1" x14ac:dyDescent="0.45">
      <c r="S3579" s="452"/>
      <c r="T3579" s="452"/>
      <c r="U3579" s="452"/>
      <c r="V3579" s="452"/>
      <c r="W3579" s="452"/>
    </row>
    <row r="3580" spans="19:23" ht="15" customHeight="1" x14ac:dyDescent="0.45">
      <c r="S3580" s="452"/>
      <c r="T3580" s="452"/>
      <c r="U3580" s="452"/>
      <c r="V3580" s="452"/>
      <c r="W3580" s="452"/>
    </row>
    <row r="3581" spans="19:23" ht="15" customHeight="1" x14ac:dyDescent="0.45">
      <c r="S3581" s="452"/>
      <c r="T3581" s="452"/>
      <c r="U3581" s="452"/>
      <c r="V3581" s="452"/>
      <c r="W3581" s="452"/>
    </row>
    <row r="3582" spans="19:23" ht="15" customHeight="1" x14ac:dyDescent="0.45">
      <c r="S3582" s="452"/>
      <c r="T3582" s="452"/>
      <c r="U3582" s="452"/>
      <c r="V3582" s="452"/>
      <c r="W3582" s="452"/>
    </row>
    <row r="3583" spans="19:23" ht="15" customHeight="1" x14ac:dyDescent="0.45">
      <c r="S3583" s="452"/>
      <c r="T3583" s="452"/>
      <c r="U3583" s="452"/>
      <c r="V3583" s="452"/>
      <c r="W3583" s="452"/>
    </row>
    <row r="3584" spans="19:23" ht="15" customHeight="1" x14ac:dyDescent="0.45">
      <c r="S3584" s="452"/>
      <c r="T3584" s="452"/>
      <c r="U3584" s="452"/>
      <c r="V3584" s="452"/>
      <c r="W3584" s="452"/>
    </row>
    <row r="3585" spans="19:23" ht="15" customHeight="1" x14ac:dyDescent="0.45">
      <c r="S3585" s="452"/>
      <c r="T3585" s="452"/>
      <c r="U3585" s="452"/>
      <c r="V3585" s="452"/>
      <c r="W3585" s="452"/>
    </row>
    <row r="3586" spans="19:23" ht="15" customHeight="1" x14ac:dyDescent="0.45">
      <c r="S3586" s="452"/>
      <c r="T3586" s="452"/>
      <c r="U3586" s="452"/>
      <c r="V3586" s="452"/>
      <c r="W3586" s="452"/>
    </row>
    <row r="3587" spans="19:23" ht="15" customHeight="1" x14ac:dyDescent="0.45">
      <c r="S3587" s="452"/>
      <c r="T3587" s="452"/>
      <c r="U3587" s="452"/>
      <c r="V3587" s="452"/>
      <c r="W3587" s="452"/>
    </row>
    <row r="3588" spans="19:23" ht="15" customHeight="1" x14ac:dyDescent="0.45">
      <c r="S3588" s="452"/>
      <c r="T3588" s="452"/>
      <c r="U3588" s="452"/>
      <c r="V3588" s="452"/>
      <c r="W3588" s="452"/>
    </row>
    <row r="3589" spans="19:23" ht="15" customHeight="1" x14ac:dyDescent="0.45">
      <c r="S3589" s="452"/>
      <c r="T3589" s="452"/>
      <c r="U3589" s="452"/>
      <c r="V3589" s="452"/>
      <c r="W3589" s="452"/>
    </row>
    <row r="3590" spans="19:23" ht="15" customHeight="1" x14ac:dyDescent="0.45">
      <c r="S3590" s="452"/>
      <c r="T3590" s="452"/>
      <c r="U3590" s="452"/>
      <c r="V3590" s="452"/>
      <c r="W3590" s="452"/>
    </row>
    <row r="3591" spans="19:23" ht="15" customHeight="1" x14ac:dyDescent="0.45">
      <c r="S3591" s="452"/>
      <c r="T3591" s="452"/>
      <c r="U3591" s="452"/>
      <c r="V3591" s="452"/>
      <c r="W3591" s="452"/>
    </row>
    <row r="3592" spans="19:23" ht="15" customHeight="1" x14ac:dyDescent="0.45">
      <c r="S3592" s="452"/>
      <c r="T3592" s="452"/>
      <c r="U3592" s="452"/>
      <c r="V3592" s="452"/>
      <c r="W3592" s="452"/>
    </row>
    <row r="3593" spans="19:23" ht="15" customHeight="1" x14ac:dyDescent="0.45">
      <c r="S3593" s="452"/>
      <c r="T3593" s="452"/>
      <c r="U3593" s="452"/>
      <c r="V3593" s="452"/>
      <c r="W3593" s="452"/>
    </row>
    <row r="3594" spans="19:23" ht="15" customHeight="1" x14ac:dyDescent="0.45">
      <c r="S3594" s="452"/>
      <c r="T3594" s="452"/>
      <c r="U3594" s="452"/>
      <c r="V3594" s="452"/>
      <c r="W3594" s="452"/>
    </row>
    <row r="3595" spans="19:23" ht="15" customHeight="1" x14ac:dyDescent="0.45">
      <c r="S3595" s="452"/>
      <c r="T3595" s="452"/>
      <c r="U3595" s="452"/>
      <c r="V3595" s="452"/>
      <c r="W3595" s="452"/>
    </row>
    <row r="3596" spans="19:23" ht="15" customHeight="1" x14ac:dyDescent="0.45">
      <c r="S3596" s="452"/>
      <c r="T3596" s="452"/>
      <c r="U3596" s="452"/>
      <c r="V3596" s="452"/>
      <c r="W3596" s="452"/>
    </row>
    <row r="3597" spans="19:23" ht="15" customHeight="1" x14ac:dyDescent="0.45">
      <c r="S3597" s="452"/>
      <c r="T3597" s="452"/>
      <c r="U3597" s="452"/>
      <c r="V3597" s="452"/>
      <c r="W3597" s="452"/>
    </row>
    <row r="3598" spans="19:23" ht="15" customHeight="1" x14ac:dyDescent="0.45">
      <c r="S3598" s="452"/>
      <c r="T3598" s="452"/>
      <c r="U3598" s="452"/>
      <c r="V3598" s="452"/>
      <c r="W3598" s="452"/>
    </row>
    <row r="3599" spans="19:23" ht="15" customHeight="1" x14ac:dyDescent="0.45">
      <c r="S3599" s="452"/>
      <c r="T3599" s="452"/>
      <c r="U3599" s="452"/>
      <c r="V3599" s="452"/>
      <c r="W3599" s="452"/>
    </row>
    <row r="3600" spans="19:23" ht="15" customHeight="1" x14ac:dyDescent="0.45">
      <c r="S3600" s="452"/>
      <c r="T3600" s="452"/>
      <c r="U3600" s="452"/>
      <c r="V3600" s="452"/>
      <c r="W3600" s="452"/>
    </row>
    <row r="3601" spans="19:23" ht="15" customHeight="1" x14ac:dyDescent="0.45">
      <c r="S3601" s="452"/>
      <c r="T3601" s="452"/>
      <c r="U3601" s="452"/>
      <c r="V3601" s="452"/>
      <c r="W3601" s="452"/>
    </row>
    <row r="3602" spans="19:23" ht="15" customHeight="1" x14ac:dyDescent="0.45">
      <c r="S3602" s="452"/>
      <c r="T3602" s="452"/>
      <c r="U3602" s="452"/>
      <c r="V3602" s="452"/>
      <c r="W3602" s="452"/>
    </row>
    <row r="3603" spans="19:23" ht="15" customHeight="1" x14ac:dyDescent="0.45">
      <c r="S3603" s="452"/>
      <c r="T3603" s="452"/>
      <c r="U3603" s="452"/>
      <c r="V3603" s="452"/>
      <c r="W3603" s="452"/>
    </row>
    <row r="3604" spans="19:23" ht="15" customHeight="1" x14ac:dyDescent="0.45">
      <c r="S3604" s="452"/>
      <c r="T3604" s="452"/>
      <c r="U3604" s="452"/>
      <c r="V3604" s="452"/>
      <c r="W3604" s="452"/>
    </row>
    <row r="3605" spans="19:23" ht="15" customHeight="1" x14ac:dyDescent="0.45">
      <c r="S3605" s="452"/>
      <c r="T3605" s="452"/>
      <c r="U3605" s="452"/>
      <c r="V3605" s="452"/>
      <c r="W3605" s="452"/>
    </row>
    <row r="3606" spans="19:23" ht="15" customHeight="1" x14ac:dyDescent="0.45">
      <c r="S3606" s="452"/>
      <c r="T3606" s="452"/>
      <c r="U3606" s="452"/>
      <c r="V3606" s="452"/>
      <c r="W3606" s="452"/>
    </row>
    <row r="3607" spans="19:23" ht="15" customHeight="1" x14ac:dyDescent="0.45">
      <c r="S3607" s="452"/>
      <c r="T3607" s="452"/>
      <c r="U3607" s="452"/>
      <c r="V3607" s="452"/>
      <c r="W3607" s="452"/>
    </row>
    <row r="3608" spans="19:23" ht="15" customHeight="1" x14ac:dyDescent="0.45">
      <c r="S3608" s="452"/>
      <c r="T3608" s="452"/>
      <c r="U3608" s="452"/>
      <c r="V3608" s="452"/>
      <c r="W3608" s="452"/>
    </row>
    <row r="3609" spans="19:23" ht="15" customHeight="1" x14ac:dyDescent="0.45">
      <c r="S3609" s="452"/>
      <c r="T3609" s="452"/>
      <c r="U3609" s="452"/>
      <c r="V3609" s="452"/>
      <c r="W3609" s="452"/>
    </row>
    <row r="3610" spans="19:23" ht="15" customHeight="1" x14ac:dyDescent="0.45">
      <c r="S3610" s="452"/>
      <c r="T3610" s="452"/>
      <c r="U3610" s="452"/>
      <c r="V3610" s="452"/>
      <c r="W3610" s="452"/>
    </row>
    <row r="3611" spans="19:23" ht="15" customHeight="1" x14ac:dyDescent="0.45">
      <c r="S3611" s="452"/>
      <c r="T3611" s="452"/>
      <c r="U3611" s="452"/>
      <c r="V3611" s="452"/>
      <c r="W3611" s="452"/>
    </row>
    <row r="3612" spans="19:23" ht="15" customHeight="1" x14ac:dyDescent="0.45">
      <c r="S3612" s="452"/>
      <c r="T3612" s="452"/>
      <c r="U3612" s="452"/>
      <c r="V3612" s="452"/>
      <c r="W3612" s="452"/>
    </row>
    <row r="3613" spans="19:23" ht="15" customHeight="1" x14ac:dyDescent="0.45">
      <c r="S3613" s="452"/>
      <c r="T3613" s="452"/>
      <c r="U3613" s="452"/>
      <c r="V3613" s="452"/>
      <c r="W3613" s="452"/>
    </row>
    <row r="3614" spans="19:23" ht="15" customHeight="1" x14ac:dyDescent="0.45">
      <c r="S3614" s="452"/>
      <c r="T3614" s="452"/>
      <c r="U3614" s="452"/>
      <c r="V3614" s="452"/>
      <c r="W3614" s="452"/>
    </row>
    <row r="3615" spans="19:23" ht="15" customHeight="1" x14ac:dyDescent="0.45">
      <c r="S3615" s="452"/>
      <c r="T3615" s="452"/>
      <c r="U3615" s="452"/>
      <c r="V3615" s="452"/>
      <c r="W3615" s="452"/>
    </row>
    <row r="3616" spans="19:23" ht="15" customHeight="1" x14ac:dyDescent="0.45">
      <c r="S3616" s="452"/>
      <c r="T3616" s="452"/>
      <c r="U3616" s="452"/>
      <c r="V3616" s="452"/>
      <c r="W3616" s="452"/>
    </row>
    <row r="3617" spans="19:23" ht="15" customHeight="1" x14ac:dyDescent="0.45">
      <c r="S3617" s="452"/>
      <c r="T3617" s="452"/>
      <c r="U3617" s="452"/>
      <c r="V3617" s="452"/>
      <c r="W3617" s="452"/>
    </row>
    <row r="3618" spans="19:23" ht="15" customHeight="1" x14ac:dyDescent="0.45">
      <c r="S3618" s="452"/>
      <c r="T3618" s="452"/>
      <c r="U3618" s="452"/>
      <c r="V3618" s="452"/>
      <c r="W3618" s="452"/>
    </row>
    <row r="3619" spans="19:23" ht="15" customHeight="1" x14ac:dyDescent="0.45">
      <c r="S3619" s="452"/>
      <c r="T3619" s="452"/>
      <c r="U3619" s="452"/>
      <c r="V3619" s="452"/>
      <c r="W3619" s="452"/>
    </row>
    <row r="3620" spans="19:23" ht="15" customHeight="1" x14ac:dyDescent="0.45">
      <c r="S3620" s="452"/>
      <c r="T3620" s="452"/>
      <c r="U3620" s="452"/>
      <c r="V3620" s="452"/>
      <c r="W3620" s="452"/>
    </row>
    <row r="3621" spans="19:23" ht="15" customHeight="1" x14ac:dyDescent="0.45">
      <c r="S3621" s="452"/>
      <c r="T3621" s="452"/>
      <c r="U3621" s="452"/>
      <c r="V3621" s="452"/>
      <c r="W3621" s="452"/>
    </row>
    <row r="3622" spans="19:23" ht="15" customHeight="1" x14ac:dyDescent="0.45">
      <c r="S3622" s="452"/>
      <c r="T3622" s="452"/>
      <c r="U3622" s="452"/>
      <c r="V3622" s="452"/>
      <c r="W3622" s="452"/>
    </row>
    <row r="3623" spans="19:23" ht="15" customHeight="1" x14ac:dyDescent="0.45">
      <c r="S3623" s="452"/>
      <c r="T3623" s="452"/>
      <c r="U3623" s="452"/>
      <c r="V3623" s="452"/>
      <c r="W3623" s="452"/>
    </row>
    <row r="3624" spans="19:23" ht="15" customHeight="1" x14ac:dyDescent="0.45">
      <c r="S3624" s="452"/>
      <c r="T3624" s="452"/>
      <c r="U3624" s="452"/>
      <c r="V3624" s="452"/>
      <c r="W3624" s="452"/>
    </row>
    <row r="3625" spans="19:23" ht="15" customHeight="1" x14ac:dyDescent="0.45">
      <c r="S3625" s="452"/>
      <c r="T3625" s="452"/>
      <c r="U3625" s="452"/>
      <c r="V3625" s="452"/>
      <c r="W3625" s="452"/>
    </row>
    <row r="3626" spans="19:23" ht="15" customHeight="1" x14ac:dyDescent="0.45">
      <c r="S3626" s="452"/>
      <c r="T3626" s="452"/>
      <c r="U3626" s="452"/>
      <c r="V3626" s="452"/>
      <c r="W3626" s="452"/>
    </row>
    <row r="3627" spans="19:23" ht="15" customHeight="1" x14ac:dyDescent="0.45">
      <c r="S3627" s="452"/>
      <c r="T3627" s="452"/>
      <c r="U3627" s="452"/>
      <c r="V3627" s="452"/>
      <c r="W3627" s="452"/>
    </row>
    <row r="3628" spans="19:23" ht="15" customHeight="1" x14ac:dyDescent="0.45">
      <c r="S3628" s="452"/>
      <c r="T3628" s="452"/>
      <c r="U3628" s="452"/>
      <c r="V3628" s="452"/>
      <c r="W3628" s="452"/>
    </row>
    <row r="3629" spans="19:23" ht="15" customHeight="1" x14ac:dyDescent="0.45">
      <c r="S3629" s="452"/>
      <c r="T3629" s="452"/>
      <c r="U3629" s="452"/>
      <c r="V3629" s="452"/>
      <c r="W3629" s="452"/>
    </row>
    <row r="3630" spans="19:23" ht="15" customHeight="1" x14ac:dyDescent="0.45">
      <c r="S3630" s="452"/>
      <c r="T3630" s="452"/>
      <c r="U3630" s="452"/>
      <c r="V3630" s="452"/>
      <c r="W3630" s="452"/>
    </row>
    <row r="3631" spans="19:23" ht="15" customHeight="1" x14ac:dyDescent="0.45">
      <c r="S3631" s="452"/>
      <c r="T3631" s="452"/>
      <c r="U3631" s="452"/>
      <c r="V3631" s="452"/>
      <c r="W3631" s="452"/>
    </row>
    <row r="3632" spans="19:23" ht="15" customHeight="1" x14ac:dyDescent="0.45">
      <c r="S3632" s="452"/>
      <c r="T3632" s="452"/>
      <c r="U3632" s="452"/>
      <c r="V3632" s="452"/>
      <c r="W3632" s="452"/>
    </row>
    <row r="3633" spans="19:23" ht="15" customHeight="1" x14ac:dyDescent="0.45">
      <c r="S3633" s="452"/>
      <c r="T3633" s="452"/>
      <c r="U3633" s="452"/>
      <c r="V3633" s="452"/>
      <c r="W3633" s="452"/>
    </row>
    <row r="3634" spans="19:23" ht="15" customHeight="1" x14ac:dyDescent="0.45">
      <c r="S3634" s="452"/>
      <c r="T3634" s="452"/>
      <c r="U3634" s="452"/>
      <c r="V3634" s="452"/>
      <c r="W3634" s="452"/>
    </row>
    <row r="3635" spans="19:23" ht="15" customHeight="1" x14ac:dyDescent="0.45">
      <c r="S3635" s="452"/>
      <c r="T3635" s="452"/>
      <c r="U3635" s="452"/>
      <c r="V3635" s="452"/>
      <c r="W3635" s="452"/>
    </row>
    <row r="3636" spans="19:23" ht="15" customHeight="1" x14ac:dyDescent="0.45">
      <c r="S3636" s="452"/>
      <c r="T3636" s="452"/>
      <c r="U3636" s="452"/>
      <c r="V3636" s="452"/>
      <c r="W3636" s="452"/>
    </row>
    <row r="3637" spans="19:23" ht="15" customHeight="1" x14ac:dyDescent="0.45">
      <c r="S3637" s="452"/>
      <c r="T3637" s="452"/>
      <c r="U3637" s="452"/>
      <c r="V3637" s="452"/>
      <c r="W3637" s="452"/>
    </row>
    <row r="3638" spans="19:23" ht="15" customHeight="1" x14ac:dyDescent="0.45">
      <c r="S3638" s="452"/>
      <c r="T3638" s="452"/>
      <c r="U3638" s="452"/>
      <c r="V3638" s="452"/>
      <c r="W3638" s="452"/>
    </row>
    <row r="3639" spans="19:23" ht="15" customHeight="1" x14ac:dyDescent="0.45">
      <c r="S3639" s="452"/>
      <c r="T3639" s="452"/>
      <c r="U3639" s="452"/>
      <c r="V3639" s="452"/>
      <c r="W3639" s="452"/>
    </row>
    <row r="3640" spans="19:23" ht="15" customHeight="1" x14ac:dyDescent="0.45">
      <c r="S3640" s="452"/>
      <c r="T3640" s="452"/>
      <c r="U3640" s="452"/>
      <c r="V3640" s="452"/>
      <c r="W3640" s="452"/>
    </row>
    <row r="3641" spans="19:23" ht="15" customHeight="1" x14ac:dyDescent="0.45">
      <c r="S3641" s="452"/>
      <c r="T3641" s="452"/>
      <c r="U3641" s="452"/>
      <c r="V3641" s="452"/>
      <c r="W3641" s="452"/>
    </row>
    <row r="3642" spans="19:23" ht="15" customHeight="1" x14ac:dyDescent="0.45">
      <c r="S3642" s="452"/>
      <c r="T3642" s="452"/>
      <c r="U3642" s="452"/>
      <c r="V3642" s="452"/>
      <c r="W3642" s="452"/>
    </row>
    <row r="3643" spans="19:23" ht="15" customHeight="1" x14ac:dyDescent="0.45">
      <c r="S3643" s="452"/>
      <c r="T3643" s="452"/>
      <c r="U3643" s="452"/>
      <c r="V3643" s="452"/>
      <c r="W3643" s="452"/>
    </row>
    <row r="3644" spans="19:23" ht="15" customHeight="1" x14ac:dyDescent="0.45">
      <c r="S3644" s="452"/>
      <c r="T3644" s="452"/>
      <c r="U3644" s="452"/>
      <c r="V3644" s="452"/>
      <c r="W3644" s="452"/>
    </row>
    <row r="3645" spans="19:23" ht="15" customHeight="1" x14ac:dyDescent="0.45">
      <c r="S3645" s="452"/>
      <c r="T3645" s="452"/>
      <c r="U3645" s="452"/>
      <c r="V3645" s="452"/>
      <c r="W3645" s="452"/>
    </row>
    <row r="3646" spans="19:23" ht="15" customHeight="1" x14ac:dyDescent="0.45">
      <c r="S3646" s="452"/>
      <c r="T3646" s="452"/>
      <c r="U3646" s="452"/>
      <c r="V3646" s="452"/>
      <c r="W3646" s="452"/>
    </row>
    <row r="3647" spans="19:23" ht="15" customHeight="1" x14ac:dyDescent="0.45">
      <c r="S3647" s="452"/>
      <c r="T3647" s="452"/>
      <c r="U3647" s="452"/>
      <c r="V3647" s="452"/>
      <c r="W3647" s="452"/>
    </row>
    <row r="3648" spans="19:23" ht="15" customHeight="1" x14ac:dyDescent="0.45">
      <c r="S3648" s="452"/>
      <c r="T3648" s="452"/>
      <c r="U3648" s="452"/>
      <c r="V3648" s="452"/>
      <c r="W3648" s="452"/>
    </row>
    <row r="3649" spans="19:23" ht="15" customHeight="1" x14ac:dyDescent="0.45">
      <c r="S3649" s="452"/>
      <c r="T3649" s="452"/>
      <c r="U3649" s="452"/>
      <c r="V3649" s="452"/>
      <c r="W3649" s="452"/>
    </row>
    <row r="3650" spans="19:23" ht="15" customHeight="1" x14ac:dyDescent="0.45">
      <c r="S3650" s="452"/>
      <c r="T3650" s="452"/>
      <c r="U3650" s="452"/>
      <c r="V3650" s="452"/>
      <c r="W3650" s="452"/>
    </row>
    <row r="3651" spans="19:23" ht="15" customHeight="1" x14ac:dyDescent="0.45">
      <c r="S3651" s="452"/>
      <c r="T3651" s="452"/>
      <c r="U3651" s="452"/>
      <c r="V3651" s="452"/>
      <c r="W3651" s="452"/>
    </row>
    <row r="3652" spans="19:23" ht="15" customHeight="1" x14ac:dyDescent="0.45">
      <c r="S3652" s="452"/>
      <c r="T3652" s="452"/>
      <c r="U3652" s="452"/>
      <c r="V3652" s="452"/>
      <c r="W3652" s="452"/>
    </row>
    <row r="3653" spans="19:23" ht="15" customHeight="1" x14ac:dyDescent="0.45">
      <c r="S3653" s="452"/>
      <c r="T3653" s="452"/>
      <c r="U3653" s="452"/>
      <c r="V3653" s="452"/>
      <c r="W3653" s="452"/>
    </row>
    <row r="3654" spans="19:23" ht="15" customHeight="1" x14ac:dyDescent="0.45">
      <c r="S3654" s="452"/>
      <c r="T3654" s="452"/>
      <c r="U3654" s="452"/>
      <c r="V3654" s="452"/>
      <c r="W3654" s="452"/>
    </row>
    <row r="3655" spans="19:23" ht="15" customHeight="1" x14ac:dyDescent="0.45">
      <c r="S3655" s="452"/>
      <c r="T3655" s="452"/>
      <c r="U3655" s="452"/>
      <c r="V3655" s="452"/>
      <c r="W3655" s="452"/>
    </row>
    <row r="3656" spans="19:23" ht="15" customHeight="1" x14ac:dyDescent="0.45">
      <c r="S3656" s="452"/>
      <c r="T3656" s="452"/>
      <c r="U3656" s="452"/>
      <c r="V3656" s="452"/>
      <c r="W3656" s="452"/>
    </row>
    <row r="3657" spans="19:23" ht="15" customHeight="1" x14ac:dyDescent="0.45">
      <c r="S3657" s="452"/>
      <c r="T3657" s="452"/>
      <c r="U3657" s="452"/>
      <c r="V3657" s="452"/>
      <c r="W3657" s="452"/>
    </row>
    <row r="3658" spans="19:23" ht="15" customHeight="1" x14ac:dyDescent="0.45">
      <c r="S3658" s="452"/>
      <c r="T3658" s="452"/>
      <c r="U3658" s="452"/>
      <c r="V3658" s="452"/>
      <c r="W3658" s="452"/>
    </row>
    <row r="3659" spans="19:23" ht="15" customHeight="1" x14ac:dyDescent="0.45">
      <c r="S3659" s="452"/>
      <c r="T3659" s="452"/>
      <c r="U3659" s="452"/>
      <c r="V3659" s="452"/>
      <c r="W3659" s="452"/>
    </row>
    <row r="3660" spans="19:23" ht="15" customHeight="1" x14ac:dyDescent="0.45">
      <c r="S3660" s="452"/>
      <c r="T3660" s="452"/>
      <c r="U3660" s="452"/>
      <c r="V3660" s="452"/>
      <c r="W3660" s="452"/>
    </row>
    <row r="3661" spans="19:23" ht="15" customHeight="1" x14ac:dyDescent="0.45">
      <c r="S3661" s="452"/>
      <c r="T3661" s="452"/>
      <c r="U3661" s="452"/>
      <c r="V3661" s="452"/>
      <c r="W3661" s="452"/>
    </row>
    <row r="3662" spans="19:23" ht="15" customHeight="1" x14ac:dyDescent="0.45">
      <c r="S3662" s="452"/>
      <c r="T3662" s="452"/>
      <c r="U3662" s="452"/>
      <c r="V3662" s="452"/>
      <c r="W3662" s="452"/>
    </row>
    <row r="3663" spans="19:23" ht="15" customHeight="1" x14ac:dyDescent="0.45">
      <c r="S3663" s="452"/>
      <c r="T3663" s="452"/>
      <c r="U3663" s="452"/>
      <c r="V3663" s="452"/>
      <c r="W3663" s="452"/>
    </row>
    <row r="3664" spans="19:23" ht="15" customHeight="1" x14ac:dyDescent="0.45">
      <c r="S3664" s="452"/>
      <c r="T3664" s="452"/>
      <c r="U3664" s="452"/>
      <c r="V3664" s="452"/>
      <c r="W3664" s="452"/>
    </row>
    <row r="3665" spans="19:23" ht="15" customHeight="1" x14ac:dyDescent="0.45">
      <c r="S3665" s="452"/>
      <c r="T3665" s="452"/>
      <c r="U3665" s="452"/>
      <c r="V3665" s="452"/>
      <c r="W3665" s="452"/>
    </row>
    <row r="3666" spans="19:23" ht="15" customHeight="1" x14ac:dyDescent="0.45">
      <c r="S3666" s="452"/>
      <c r="T3666" s="452"/>
      <c r="U3666" s="452"/>
      <c r="V3666" s="452"/>
      <c r="W3666" s="452"/>
    </row>
    <row r="3667" spans="19:23" ht="15" customHeight="1" x14ac:dyDescent="0.45">
      <c r="S3667" s="452"/>
      <c r="T3667" s="452"/>
      <c r="U3667" s="452"/>
      <c r="V3667" s="452"/>
      <c r="W3667" s="452"/>
    </row>
    <row r="3668" spans="19:23" ht="15" customHeight="1" x14ac:dyDescent="0.45">
      <c r="S3668" s="452"/>
      <c r="T3668" s="452"/>
      <c r="U3668" s="452"/>
      <c r="V3668" s="452"/>
      <c r="W3668" s="452"/>
    </row>
    <row r="3669" spans="19:23" ht="15" customHeight="1" x14ac:dyDescent="0.45">
      <c r="S3669" s="452"/>
      <c r="T3669" s="452"/>
      <c r="U3669" s="452"/>
      <c r="V3669" s="452"/>
      <c r="W3669" s="452"/>
    </row>
    <row r="3670" spans="19:23" ht="15" customHeight="1" x14ac:dyDescent="0.45">
      <c r="S3670" s="452"/>
      <c r="T3670" s="452"/>
      <c r="U3670" s="452"/>
      <c r="V3670" s="452"/>
      <c r="W3670" s="452"/>
    </row>
    <row r="3671" spans="19:23" ht="15" customHeight="1" x14ac:dyDescent="0.45">
      <c r="S3671" s="452"/>
      <c r="T3671" s="452"/>
      <c r="U3671" s="452"/>
      <c r="V3671" s="452"/>
      <c r="W3671" s="452"/>
    </row>
    <row r="3672" spans="19:23" ht="15" customHeight="1" x14ac:dyDescent="0.45">
      <c r="S3672" s="452"/>
      <c r="T3672" s="452"/>
      <c r="U3672" s="452"/>
      <c r="V3672" s="452"/>
      <c r="W3672" s="452"/>
    </row>
    <row r="3673" spans="19:23" ht="15" customHeight="1" x14ac:dyDescent="0.45">
      <c r="S3673" s="452"/>
      <c r="T3673" s="452"/>
      <c r="U3673" s="452"/>
      <c r="V3673" s="452"/>
      <c r="W3673" s="452"/>
    </row>
    <row r="3674" spans="19:23" ht="15" customHeight="1" x14ac:dyDescent="0.45">
      <c r="S3674" s="452"/>
      <c r="T3674" s="452"/>
      <c r="U3674" s="452"/>
      <c r="V3674" s="452"/>
      <c r="W3674" s="452"/>
    </row>
    <row r="3675" spans="19:23" ht="15" customHeight="1" x14ac:dyDescent="0.45">
      <c r="S3675" s="452"/>
      <c r="T3675" s="452"/>
      <c r="U3675" s="452"/>
      <c r="V3675" s="452"/>
      <c r="W3675" s="452"/>
    </row>
    <row r="3676" spans="19:23" ht="15" customHeight="1" x14ac:dyDescent="0.45">
      <c r="S3676" s="452"/>
      <c r="T3676" s="452"/>
      <c r="U3676" s="452"/>
      <c r="V3676" s="452"/>
      <c r="W3676" s="452"/>
    </row>
    <row r="3677" spans="19:23" ht="15" customHeight="1" x14ac:dyDescent="0.45">
      <c r="S3677" s="452"/>
      <c r="T3677" s="452"/>
      <c r="U3677" s="452"/>
      <c r="V3677" s="452"/>
      <c r="W3677" s="452"/>
    </row>
    <row r="3678" spans="19:23" ht="15" customHeight="1" x14ac:dyDescent="0.45">
      <c r="S3678" s="452"/>
      <c r="T3678" s="452"/>
      <c r="U3678" s="452"/>
      <c r="V3678" s="452"/>
      <c r="W3678" s="452"/>
    </row>
    <row r="3679" spans="19:23" ht="15" customHeight="1" x14ac:dyDescent="0.45">
      <c r="S3679" s="452"/>
      <c r="T3679" s="452"/>
      <c r="U3679" s="452"/>
      <c r="V3679" s="452"/>
      <c r="W3679" s="452"/>
    </row>
    <row r="3680" spans="19:23" ht="15" customHeight="1" x14ac:dyDescent="0.45">
      <c r="S3680" s="452"/>
      <c r="T3680" s="452"/>
      <c r="U3680" s="452"/>
      <c r="V3680" s="452"/>
      <c r="W3680" s="452"/>
    </row>
    <row r="3681" spans="19:23" ht="15" customHeight="1" x14ac:dyDescent="0.45">
      <c r="S3681" s="452"/>
      <c r="T3681" s="452"/>
      <c r="U3681" s="452"/>
      <c r="V3681" s="452"/>
      <c r="W3681" s="452"/>
    </row>
    <row r="3682" spans="19:23" ht="15" customHeight="1" x14ac:dyDescent="0.45">
      <c r="S3682" s="452"/>
      <c r="T3682" s="452"/>
      <c r="U3682" s="452"/>
      <c r="V3682" s="452"/>
      <c r="W3682" s="452"/>
    </row>
    <row r="3683" spans="19:23" ht="15" customHeight="1" x14ac:dyDescent="0.45">
      <c r="S3683" s="452"/>
      <c r="T3683" s="452"/>
      <c r="U3683" s="452"/>
      <c r="V3683" s="452"/>
      <c r="W3683" s="452"/>
    </row>
    <row r="3684" spans="19:23" ht="15" customHeight="1" x14ac:dyDescent="0.45">
      <c r="S3684" s="452"/>
      <c r="T3684" s="452"/>
      <c r="U3684" s="452"/>
      <c r="V3684" s="452"/>
      <c r="W3684" s="452"/>
    </row>
    <row r="3685" spans="19:23" ht="15" customHeight="1" x14ac:dyDescent="0.45">
      <c r="S3685" s="452"/>
      <c r="T3685" s="452"/>
      <c r="U3685" s="452"/>
      <c r="V3685" s="452"/>
      <c r="W3685" s="452"/>
    </row>
    <row r="3686" spans="19:23" ht="15" customHeight="1" x14ac:dyDescent="0.45">
      <c r="S3686" s="452"/>
      <c r="T3686" s="452"/>
      <c r="U3686" s="452"/>
      <c r="V3686" s="452"/>
      <c r="W3686" s="452"/>
    </row>
    <row r="3687" spans="19:23" ht="15" customHeight="1" x14ac:dyDescent="0.45">
      <c r="S3687" s="452"/>
      <c r="T3687" s="452"/>
      <c r="U3687" s="452"/>
      <c r="V3687" s="452"/>
      <c r="W3687" s="452"/>
    </row>
    <row r="3688" spans="19:23" ht="15" customHeight="1" x14ac:dyDescent="0.45">
      <c r="S3688" s="452"/>
      <c r="T3688" s="452"/>
      <c r="U3688" s="452"/>
      <c r="V3688" s="452"/>
      <c r="W3688" s="452"/>
    </row>
    <row r="3689" spans="19:23" ht="15" customHeight="1" x14ac:dyDescent="0.45">
      <c r="S3689" s="452"/>
      <c r="T3689" s="452"/>
      <c r="U3689" s="452"/>
      <c r="V3689" s="452"/>
      <c r="W3689" s="452"/>
    </row>
    <row r="3690" spans="19:23" ht="15" customHeight="1" x14ac:dyDescent="0.45">
      <c r="S3690" s="452"/>
      <c r="T3690" s="452"/>
      <c r="U3690" s="452"/>
      <c r="V3690" s="452"/>
      <c r="W3690" s="452"/>
    </row>
    <row r="3691" spans="19:23" ht="15" customHeight="1" x14ac:dyDescent="0.45">
      <c r="S3691" s="452"/>
      <c r="T3691" s="452"/>
      <c r="U3691" s="452"/>
      <c r="V3691" s="452"/>
      <c r="W3691" s="452"/>
    </row>
    <row r="3692" spans="19:23" ht="15" customHeight="1" x14ac:dyDescent="0.45">
      <c r="S3692" s="452"/>
      <c r="T3692" s="452"/>
      <c r="U3692" s="452"/>
      <c r="V3692" s="452"/>
      <c r="W3692" s="452"/>
    </row>
    <row r="3693" spans="19:23" ht="15" customHeight="1" x14ac:dyDescent="0.45">
      <c r="S3693" s="452"/>
      <c r="T3693" s="452"/>
      <c r="U3693" s="452"/>
      <c r="V3693" s="452"/>
      <c r="W3693" s="452"/>
    </row>
    <row r="3694" spans="19:23" ht="15" customHeight="1" x14ac:dyDescent="0.45">
      <c r="S3694" s="452"/>
      <c r="T3694" s="452"/>
      <c r="U3694" s="452"/>
      <c r="V3694" s="452"/>
      <c r="W3694" s="452"/>
    </row>
    <row r="3695" spans="19:23" ht="15" customHeight="1" x14ac:dyDescent="0.45">
      <c r="S3695" s="452"/>
      <c r="T3695" s="452"/>
      <c r="U3695" s="452"/>
      <c r="V3695" s="452"/>
      <c r="W3695" s="452"/>
    </row>
    <row r="3696" spans="19:23" ht="15" customHeight="1" x14ac:dyDescent="0.45">
      <c r="S3696" s="452"/>
      <c r="T3696" s="452"/>
      <c r="U3696" s="452"/>
      <c r="V3696" s="452"/>
      <c r="W3696" s="452"/>
    </row>
    <row r="3697" spans="19:23" ht="15" customHeight="1" x14ac:dyDescent="0.45">
      <c r="S3697" s="452"/>
      <c r="T3697" s="452"/>
      <c r="U3697" s="452"/>
      <c r="V3697" s="452"/>
      <c r="W3697" s="452"/>
    </row>
    <row r="3698" spans="19:23" ht="15" customHeight="1" x14ac:dyDescent="0.45">
      <c r="S3698" s="452"/>
      <c r="T3698" s="452"/>
      <c r="U3698" s="452"/>
      <c r="V3698" s="452"/>
      <c r="W3698" s="452"/>
    </row>
    <row r="3699" spans="19:23" ht="15" customHeight="1" x14ac:dyDescent="0.45">
      <c r="S3699" s="452"/>
      <c r="T3699" s="452"/>
      <c r="U3699" s="452"/>
      <c r="V3699" s="452"/>
      <c r="W3699" s="452"/>
    </row>
    <row r="3700" spans="19:23" ht="15" customHeight="1" x14ac:dyDescent="0.45">
      <c r="S3700" s="452"/>
      <c r="T3700" s="452"/>
      <c r="U3700" s="452"/>
      <c r="V3700" s="452"/>
      <c r="W3700" s="452"/>
    </row>
    <row r="3701" spans="19:23" ht="15" customHeight="1" x14ac:dyDescent="0.45">
      <c r="S3701" s="452"/>
      <c r="T3701" s="452"/>
      <c r="U3701" s="452"/>
      <c r="V3701" s="452"/>
      <c r="W3701" s="452"/>
    </row>
    <row r="3702" spans="19:23" ht="15" customHeight="1" x14ac:dyDescent="0.45">
      <c r="S3702" s="452"/>
      <c r="T3702" s="452"/>
      <c r="U3702" s="452"/>
      <c r="V3702" s="452"/>
      <c r="W3702" s="452"/>
    </row>
    <row r="3703" spans="19:23" ht="15" customHeight="1" x14ac:dyDescent="0.45">
      <c r="S3703" s="452"/>
      <c r="T3703" s="452"/>
      <c r="U3703" s="452"/>
      <c r="V3703" s="452"/>
      <c r="W3703" s="452"/>
    </row>
    <row r="3704" spans="19:23" ht="15" customHeight="1" x14ac:dyDescent="0.45">
      <c r="S3704" s="452"/>
      <c r="T3704" s="452"/>
      <c r="U3704" s="452"/>
      <c r="V3704" s="452"/>
      <c r="W3704" s="452"/>
    </row>
    <row r="3705" spans="19:23" ht="15" customHeight="1" x14ac:dyDescent="0.45">
      <c r="S3705" s="452"/>
      <c r="T3705" s="452"/>
      <c r="U3705" s="452"/>
      <c r="V3705" s="452"/>
      <c r="W3705" s="452"/>
    </row>
    <row r="3706" spans="19:23" ht="15" customHeight="1" x14ac:dyDescent="0.45">
      <c r="S3706" s="452"/>
      <c r="T3706" s="452"/>
      <c r="U3706" s="452"/>
      <c r="V3706" s="452"/>
      <c r="W3706" s="452"/>
    </row>
    <row r="3707" spans="19:23" ht="15" customHeight="1" x14ac:dyDescent="0.45">
      <c r="S3707" s="452"/>
      <c r="T3707" s="452"/>
      <c r="U3707" s="452"/>
      <c r="V3707" s="452"/>
      <c r="W3707" s="452"/>
    </row>
    <row r="3708" spans="19:23" ht="15" customHeight="1" x14ac:dyDescent="0.45">
      <c r="S3708" s="452"/>
      <c r="T3708" s="452"/>
      <c r="U3708" s="452"/>
      <c r="V3708" s="452"/>
      <c r="W3708" s="452"/>
    </row>
    <row r="3709" spans="19:23" ht="15" customHeight="1" x14ac:dyDescent="0.45">
      <c r="S3709" s="452"/>
      <c r="T3709" s="452"/>
      <c r="U3709" s="452"/>
      <c r="V3709" s="452"/>
      <c r="W3709" s="452"/>
    </row>
    <row r="3710" spans="19:23" ht="15" customHeight="1" x14ac:dyDescent="0.45">
      <c r="S3710" s="452"/>
      <c r="T3710" s="452"/>
      <c r="U3710" s="452"/>
      <c r="V3710" s="452"/>
      <c r="W3710" s="452"/>
    </row>
    <row r="3711" spans="19:23" ht="15" customHeight="1" x14ac:dyDescent="0.45">
      <c r="S3711" s="452"/>
      <c r="T3711" s="452"/>
      <c r="U3711" s="452"/>
      <c r="V3711" s="452"/>
      <c r="W3711" s="452"/>
    </row>
    <row r="3712" spans="19:23" ht="15" customHeight="1" x14ac:dyDescent="0.45">
      <c r="S3712" s="452"/>
      <c r="T3712" s="452"/>
      <c r="U3712" s="452"/>
      <c r="V3712" s="452"/>
      <c r="W3712" s="452"/>
    </row>
    <row r="3713" spans="19:23" ht="15" customHeight="1" x14ac:dyDescent="0.45">
      <c r="S3713" s="452"/>
      <c r="T3713" s="452"/>
      <c r="U3713" s="452"/>
      <c r="V3713" s="452"/>
      <c r="W3713" s="452"/>
    </row>
    <row r="3714" spans="19:23" ht="15" customHeight="1" x14ac:dyDescent="0.45">
      <c r="S3714" s="452"/>
      <c r="T3714" s="452"/>
      <c r="U3714" s="452"/>
      <c r="V3714" s="452"/>
      <c r="W3714" s="452"/>
    </row>
    <row r="3715" spans="19:23" ht="15" customHeight="1" x14ac:dyDescent="0.45">
      <c r="S3715" s="452"/>
      <c r="T3715" s="452"/>
      <c r="U3715" s="452"/>
      <c r="V3715" s="452"/>
      <c r="W3715" s="452"/>
    </row>
    <row r="3716" spans="19:23" ht="15" customHeight="1" x14ac:dyDescent="0.45">
      <c r="S3716" s="452"/>
      <c r="T3716" s="452"/>
      <c r="U3716" s="452"/>
      <c r="V3716" s="452"/>
      <c r="W3716" s="452"/>
    </row>
    <row r="3717" spans="19:23" ht="15" customHeight="1" x14ac:dyDescent="0.45">
      <c r="S3717" s="452"/>
      <c r="T3717" s="452"/>
      <c r="U3717" s="452"/>
      <c r="V3717" s="452"/>
      <c r="W3717" s="452"/>
    </row>
    <row r="3718" spans="19:23" ht="15" customHeight="1" x14ac:dyDescent="0.45">
      <c r="S3718" s="452"/>
      <c r="T3718" s="452"/>
      <c r="U3718" s="452"/>
      <c r="V3718" s="452"/>
      <c r="W3718" s="452"/>
    </row>
    <row r="3719" spans="19:23" ht="15" customHeight="1" x14ac:dyDescent="0.45">
      <c r="S3719" s="452"/>
      <c r="T3719" s="452"/>
      <c r="U3719" s="452"/>
      <c r="V3719" s="452"/>
      <c r="W3719" s="452"/>
    </row>
    <row r="3720" spans="19:23" ht="15" customHeight="1" x14ac:dyDescent="0.45">
      <c r="S3720" s="452"/>
      <c r="T3720" s="452"/>
      <c r="U3720" s="452"/>
      <c r="V3720" s="452"/>
      <c r="W3720" s="452"/>
    </row>
    <row r="3721" spans="19:23" ht="15" customHeight="1" x14ac:dyDescent="0.45">
      <c r="S3721" s="452"/>
      <c r="T3721" s="452"/>
      <c r="U3721" s="452"/>
      <c r="V3721" s="452"/>
      <c r="W3721" s="452"/>
    </row>
    <row r="3722" spans="19:23" ht="15" customHeight="1" x14ac:dyDescent="0.45">
      <c r="S3722" s="452"/>
      <c r="T3722" s="452"/>
      <c r="U3722" s="452"/>
      <c r="V3722" s="452"/>
      <c r="W3722" s="452"/>
    </row>
    <row r="3723" spans="19:23" ht="15" customHeight="1" x14ac:dyDescent="0.45">
      <c r="S3723" s="452"/>
      <c r="T3723" s="452"/>
      <c r="U3723" s="452"/>
      <c r="V3723" s="452"/>
      <c r="W3723" s="452"/>
    </row>
    <row r="3724" spans="19:23" ht="15" customHeight="1" x14ac:dyDescent="0.45">
      <c r="S3724" s="452"/>
      <c r="T3724" s="452"/>
      <c r="U3724" s="452"/>
      <c r="V3724" s="452"/>
      <c r="W3724" s="452"/>
    </row>
    <row r="3725" spans="19:23" ht="15" customHeight="1" x14ac:dyDescent="0.45">
      <c r="S3725" s="452"/>
      <c r="T3725" s="452"/>
      <c r="U3725" s="452"/>
      <c r="V3725" s="452"/>
      <c r="W3725" s="452"/>
    </row>
    <row r="3726" spans="19:23" ht="15" customHeight="1" x14ac:dyDescent="0.45">
      <c r="S3726" s="452"/>
      <c r="T3726" s="452"/>
      <c r="U3726" s="452"/>
      <c r="V3726" s="452"/>
      <c r="W3726" s="452"/>
    </row>
    <row r="3727" spans="19:23" ht="15" customHeight="1" x14ac:dyDescent="0.45">
      <c r="S3727" s="452"/>
      <c r="T3727" s="452"/>
      <c r="U3727" s="452"/>
      <c r="V3727" s="452"/>
      <c r="W3727" s="452"/>
    </row>
    <row r="3728" spans="19:23" ht="15" customHeight="1" x14ac:dyDescent="0.45">
      <c r="S3728" s="452"/>
      <c r="T3728" s="452"/>
      <c r="U3728" s="452"/>
      <c r="V3728" s="452"/>
      <c r="W3728" s="452"/>
    </row>
    <row r="3729" spans="19:23" ht="15" customHeight="1" x14ac:dyDescent="0.45">
      <c r="S3729" s="452"/>
      <c r="T3729" s="452"/>
      <c r="U3729" s="452"/>
      <c r="V3729" s="452"/>
      <c r="W3729" s="452"/>
    </row>
    <row r="3730" spans="19:23" ht="15" customHeight="1" x14ac:dyDescent="0.45">
      <c r="S3730" s="452"/>
      <c r="T3730" s="452"/>
      <c r="U3730" s="452"/>
      <c r="V3730" s="452"/>
      <c r="W3730" s="452"/>
    </row>
    <row r="3731" spans="19:23" ht="15" customHeight="1" x14ac:dyDescent="0.45">
      <c r="S3731" s="452"/>
      <c r="T3731" s="452"/>
      <c r="U3731" s="452"/>
      <c r="V3731" s="452"/>
      <c r="W3731" s="452"/>
    </row>
    <row r="3732" spans="19:23" ht="15" customHeight="1" x14ac:dyDescent="0.45">
      <c r="S3732" s="452"/>
      <c r="T3732" s="452"/>
      <c r="U3732" s="452"/>
      <c r="V3732" s="452"/>
      <c r="W3732" s="452"/>
    </row>
    <row r="3733" spans="19:23" ht="15" customHeight="1" x14ac:dyDescent="0.45">
      <c r="S3733" s="452"/>
      <c r="T3733" s="452"/>
      <c r="U3733" s="452"/>
      <c r="V3733" s="452"/>
      <c r="W3733" s="452"/>
    </row>
    <row r="3734" spans="19:23" ht="15" customHeight="1" x14ac:dyDescent="0.45">
      <c r="S3734" s="452"/>
      <c r="T3734" s="452"/>
      <c r="U3734" s="452"/>
      <c r="V3734" s="452"/>
      <c r="W3734" s="452"/>
    </row>
    <row r="3735" spans="19:23" ht="15" customHeight="1" x14ac:dyDescent="0.45">
      <c r="S3735" s="452"/>
      <c r="T3735" s="452"/>
      <c r="U3735" s="452"/>
      <c r="V3735" s="452"/>
      <c r="W3735" s="452"/>
    </row>
    <row r="3736" spans="19:23" ht="15" customHeight="1" x14ac:dyDescent="0.45">
      <c r="S3736" s="452"/>
      <c r="T3736" s="452"/>
      <c r="U3736" s="452"/>
      <c r="V3736" s="452"/>
      <c r="W3736" s="452"/>
    </row>
    <row r="3737" spans="19:23" ht="15" customHeight="1" x14ac:dyDescent="0.45">
      <c r="S3737" s="452"/>
      <c r="T3737" s="452"/>
      <c r="U3737" s="452"/>
      <c r="V3737" s="452"/>
      <c r="W3737" s="452"/>
    </row>
    <row r="3738" spans="19:23" ht="15" customHeight="1" x14ac:dyDescent="0.45">
      <c r="S3738" s="452"/>
      <c r="T3738" s="452"/>
      <c r="U3738" s="452"/>
      <c r="V3738" s="452"/>
      <c r="W3738" s="452"/>
    </row>
    <row r="3739" spans="19:23" ht="15" customHeight="1" x14ac:dyDescent="0.45">
      <c r="S3739" s="452"/>
      <c r="T3739" s="452"/>
      <c r="U3739" s="452"/>
      <c r="V3739" s="452"/>
      <c r="W3739" s="452"/>
    </row>
    <row r="3740" spans="19:23" ht="15" customHeight="1" x14ac:dyDescent="0.45">
      <c r="S3740" s="452"/>
      <c r="T3740" s="452"/>
      <c r="U3740" s="452"/>
      <c r="V3740" s="452"/>
      <c r="W3740" s="452"/>
    </row>
    <row r="3741" spans="19:23" ht="15" customHeight="1" x14ac:dyDescent="0.45">
      <c r="S3741" s="452"/>
      <c r="T3741" s="452"/>
      <c r="U3741" s="452"/>
      <c r="V3741" s="452"/>
      <c r="W3741" s="452"/>
    </row>
    <row r="3742" spans="19:23" ht="15" customHeight="1" x14ac:dyDescent="0.45">
      <c r="S3742" s="452"/>
      <c r="T3742" s="452"/>
      <c r="U3742" s="452"/>
      <c r="V3742" s="452"/>
      <c r="W3742" s="452"/>
    </row>
    <row r="3743" spans="19:23" ht="15" customHeight="1" x14ac:dyDescent="0.45">
      <c r="S3743" s="452"/>
      <c r="T3743" s="452"/>
      <c r="U3743" s="452"/>
      <c r="V3743" s="452"/>
      <c r="W3743" s="452"/>
    </row>
    <row r="3744" spans="19:23" ht="15" customHeight="1" x14ac:dyDescent="0.45">
      <c r="S3744" s="452"/>
      <c r="T3744" s="452"/>
      <c r="U3744" s="452"/>
      <c r="V3744" s="452"/>
      <c r="W3744" s="452"/>
    </row>
    <row r="3745" spans="19:23" ht="15" customHeight="1" x14ac:dyDescent="0.45">
      <c r="S3745" s="452"/>
      <c r="T3745" s="452"/>
      <c r="U3745" s="452"/>
      <c r="V3745" s="452"/>
      <c r="W3745" s="452"/>
    </row>
    <row r="3746" spans="19:23" ht="15" customHeight="1" x14ac:dyDescent="0.45">
      <c r="S3746" s="452"/>
      <c r="T3746" s="452"/>
      <c r="U3746" s="452"/>
      <c r="V3746" s="452"/>
      <c r="W3746" s="452"/>
    </row>
    <row r="3747" spans="19:23" ht="15" customHeight="1" x14ac:dyDescent="0.45">
      <c r="S3747" s="452"/>
      <c r="T3747" s="452"/>
      <c r="U3747" s="452"/>
      <c r="V3747" s="452"/>
      <c r="W3747" s="452"/>
    </row>
    <row r="3748" spans="19:23" ht="15" customHeight="1" x14ac:dyDescent="0.45">
      <c r="S3748" s="452"/>
      <c r="T3748" s="452"/>
      <c r="U3748" s="452"/>
      <c r="V3748" s="452"/>
      <c r="W3748" s="452"/>
    </row>
    <row r="3749" spans="19:23" ht="15" customHeight="1" x14ac:dyDescent="0.45">
      <c r="S3749" s="452"/>
      <c r="T3749" s="452"/>
      <c r="U3749" s="452"/>
      <c r="V3749" s="452"/>
      <c r="W3749" s="452"/>
    </row>
    <row r="3750" spans="19:23" ht="15" customHeight="1" x14ac:dyDescent="0.45">
      <c r="S3750" s="452"/>
      <c r="T3750" s="452"/>
      <c r="U3750" s="452"/>
      <c r="V3750" s="452"/>
      <c r="W3750" s="452"/>
    </row>
    <row r="3751" spans="19:23" ht="15" customHeight="1" x14ac:dyDescent="0.45">
      <c r="S3751" s="452"/>
      <c r="T3751" s="452"/>
      <c r="U3751" s="452"/>
      <c r="V3751" s="452"/>
      <c r="W3751" s="452"/>
    </row>
    <row r="3752" spans="19:23" ht="15" customHeight="1" x14ac:dyDescent="0.45">
      <c r="S3752" s="452"/>
      <c r="T3752" s="452"/>
      <c r="U3752" s="452"/>
      <c r="V3752" s="452"/>
      <c r="W3752" s="452"/>
    </row>
    <row r="3753" spans="19:23" ht="15" customHeight="1" x14ac:dyDescent="0.45">
      <c r="S3753" s="452"/>
      <c r="T3753" s="452"/>
      <c r="U3753" s="452"/>
      <c r="V3753" s="452"/>
      <c r="W3753" s="452"/>
    </row>
    <row r="3754" spans="19:23" ht="15" customHeight="1" x14ac:dyDescent="0.45">
      <c r="S3754" s="452"/>
      <c r="T3754" s="452"/>
      <c r="U3754" s="452"/>
      <c r="V3754" s="452"/>
      <c r="W3754" s="452"/>
    </row>
    <row r="3755" spans="19:23" ht="15" customHeight="1" x14ac:dyDescent="0.45">
      <c r="S3755" s="452"/>
      <c r="T3755" s="452"/>
      <c r="U3755" s="452"/>
      <c r="V3755" s="452"/>
      <c r="W3755" s="452"/>
    </row>
    <row r="3756" spans="19:23" ht="15" customHeight="1" x14ac:dyDescent="0.45">
      <c r="S3756" s="452"/>
      <c r="T3756" s="452"/>
      <c r="U3756" s="452"/>
      <c r="V3756" s="452"/>
      <c r="W3756" s="452"/>
    </row>
    <row r="3757" spans="19:23" ht="15" customHeight="1" x14ac:dyDescent="0.45">
      <c r="S3757" s="452"/>
      <c r="T3757" s="452"/>
      <c r="U3757" s="452"/>
      <c r="V3757" s="452"/>
      <c r="W3757" s="452"/>
    </row>
    <row r="3758" spans="19:23" ht="15" customHeight="1" x14ac:dyDescent="0.45">
      <c r="S3758" s="452"/>
      <c r="T3758" s="452"/>
      <c r="U3758" s="452"/>
      <c r="V3758" s="452"/>
      <c r="W3758" s="452"/>
    </row>
    <row r="3759" spans="19:23" ht="15" customHeight="1" x14ac:dyDescent="0.45">
      <c r="S3759" s="452"/>
      <c r="T3759" s="452"/>
      <c r="U3759" s="452"/>
      <c r="V3759" s="452"/>
      <c r="W3759" s="452"/>
    </row>
    <row r="3760" spans="19:23" ht="15" customHeight="1" x14ac:dyDescent="0.45">
      <c r="S3760" s="452"/>
      <c r="T3760" s="452"/>
      <c r="U3760" s="452"/>
      <c r="V3760" s="452"/>
      <c r="W3760" s="452"/>
    </row>
    <row r="3761" spans="19:23" ht="15" customHeight="1" x14ac:dyDescent="0.45">
      <c r="S3761" s="452"/>
      <c r="T3761" s="452"/>
      <c r="U3761" s="452"/>
      <c r="V3761" s="452"/>
      <c r="W3761" s="452"/>
    </row>
    <row r="3762" spans="19:23" ht="15" customHeight="1" x14ac:dyDescent="0.45">
      <c r="S3762" s="452"/>
      <c r="T3762" s="452"/>
      <c r="U3762" s="452"/>
      <c r="V3762" s="452"/>
      <c r="W3762" s="452"/>
    </row>
    <row r="3763" spans="19:23" ht="15" customHeight="1" x14ac:dyDescent="0.45">
      <c r="S3763" s="452"/>
      <c r="T3763" s="452"/>
      <c r="U3763" s="452"/>
      <c r="V3763" s="452"/>
      <c r="W3763" s="452"/>
    </row>
    <row r="3764" spans="19:23" ht="15" customHeight="1" x14ac:dyDescent="0.45">
      <c r="S3764" s="452"/>
      <c r="T3764" s="452"/>
      <c r="U3764" s="452"/>
      <c r="V3764" s="452"/>
      <c r="W3764" s="452"/>
    </row>
    <row r="3765" spans="19:23" ht="15" customHeight="1" x14ac:dyDescent="0.45">
      <c r="S3765" s="452"/>
      <c r="T3765" s="452"/>
      <c r="U3765" s="452"/>
      <c r="V3765" s="452"/>
      <c r="W3765" s="452"/>
    </row>
    <row r="3766" spans="19:23" ht="15" customHeight="1" x14ac:dyDescent="0.45">
      <c r="S3766" s="452"/>
      <c r="T3766" s="452"/>
      <c r="U3766" s="452"/>
      <c r="V3766" s="452"/>
      <c r="W3766" s="452"/>
    </row>
    <row r="3767" spans="19:23" ht="15" customHeight="1" x14ac:dyDescent="0.45">
      <c r="S3767" s="452"/>
      <c r="T3767" s="452"/>
      <c r="U3767" s="452"/>
      <c r="V3767" s="452"/>
      <c r="W3767" s="452"/>
    </row>
    <row r="3768" spans="19:23" ht="15" customHeight="1" x14ac:dyDescent="0.45">
      <c r="S3768" s="452"/>
      <c r="T3768" s="452"/>
      <c r="U3768" s="452"/>
      <c r="V3768" s="452"/>
      <c r="W3768" s="452"/>
    </row>
    <row r="3769" spans="19:23" ht="15" customHeight="1" x14ac:dyDescent="0.45">
      <c r="S3769" s="452"/>
      <c r="T3769" s="452"/>
      <c r="U3769" s="452"/>
      <c r="V3769" s="452"/>
      <c r="W3769" s="452"/>
    </row>
    <row r="3770" spans="19:23" ht="15" customHeight="1" x14ac:dyDescent="0.45">
      <c r="S3770" s="452"/>
      <c r="T3770" s="452"/>
      <c r="U3770" s="452"/>
      <c r="V3770" s="452"/>
      <c r="W3770" s="452"/>
    </row>
    <row r="3771" spans="19:23" ht="15" customHeight="1" x14ac:dyDescent="0.45">
      <c r="S3771" s="452"/>
      <c r="T3771" s="452"/>
      <c r="U3771" s="452"/>
      <c r="V3771" s="452"/>
      <c r="W3771" s="452"/>
    </row>
    <row r="3772" spans="19:23" ht="15" customHeight="1" x14ac:dyDescent="0.45">
      <c r="S3772" s="452"/>
      <c r="T3772" s="452"/>
      <c r="U3772" s="452"/>
      <c r="V3772" s="452"/>
      <c r="W3772" s="452"/>
    </row>
    <row r="3773" spans="19:23" ht="15" customHeight="1" x14ac:dyDescent="0.45">
      <c r="S3773" s="452"/>
      <c r="T3773" s="452"/>
      <c r="U3773" s="452"/>
      <c r="V3773" s="452"/>
      <c r="W3773" s="452"/>
    </row>
    <row r="3774" spans="19:23" ht="15" customHeight="1" x14ac:dyDescent="0.45">
      <c r="S3774" s="452"/>
      <c r="T3774" s="452"/>
      <c r="U3774" s="452"/>
      <c r="V3774" s="452"/>
      <c r="W3774" s="452"/>
    </row>
    <row r="3775" spans="19:23" ht="15" customHeight="1" x14ac:dyDescent="0.45">
      <c r="S3775" s="452"/>
      <c r="T3775" s="452"/>
      <c r="U3775" s="452"/>
      <c r="V3775" s="452"/>
      <c r="W3775" s="452"/>
    </row>
    <row r="3776" spans="19:23" ht="15" customHeight="1" x14ac:dyDescent="0.45">
      <c r="S3776" s="452"/>
      <c r="T3776" s="452"/>
      <c r="U3776" s="452"/>
      <c r="V3776" s="452"/>
      <c r="W3776" s="452"/>
    </row>
    <row r="3777" spans="19:23" ht="15" customHeight="1" x14ac:dyDescent="0.45">
      <c r="S3777" s="452"/>
      <c r="T3777" s="452"/>
      <c r="U3777" s="452"/>
      <c r="V3777" s="452"/>
      <c r="W3777" s="452"/>
    </row>
    <row r="3778" spans="19:23" ht="15" customHeight="1" x14ac:dyDescent="0.45">
      <c r="S3778" s="452"/>
      <c r="T3778" s="452"/>
      <c r="U3778" s="452"/>
      <c r="V3778" s="452"/>
      <c r="W3778" s="452"/>
    </row>
    <row r="3779" spans="19:23" ht="15" customHeight="1" x14ac:dyDescent="0.45">
      <c r="S3779" s="452"/>
      <c r="T3779" s="452"/>
      <c r="U3779" s="452"/>
      <c r="V3779" s="452"/>
      <c r="W3779" s="452"/>
    </row>
    <row r="3780" spans="19:23" ht="15" customHeight="1" x14ac:dyDescent="0.45">
      <c r="S3780" s="452"/>
      <c r="T3780" s="452"/>
      <c r="U3780" s="452"/>
      <c r="V3780" s="452"/>
      <c r="W3780" s="452"/>
    </row>
    <row r="3781" spans="19:23" ht="15" customHeight="1" x14ac:dyDescent="0.45">
      <c r="S3781" s="452"/>
      <c r="T3781" s="452"/>
      <c r="U3781" s="452"/>
      <c r="V3781" s="452"/>
      <c r="W3781" s="452"/>
    </row>
    <row r="3782" spans="19:23" ht="15" customHeight="1" x14ac:dyDescent="0.45">
      <c r="S3782" s="452"/>
      <c r="T3782" s="452"/>
      <c r="U3782" s="452"/>
      <c r="V3782" s="452"/>
      <c r="W3782" s="452"/>
    </row>
    <row r="3783" spans="19:23" ht="15" customHeight="1" x14ac:dyDescent="0.45">
      <c r="S3783" s="452"/>
      <c r="T3783" s="452"/>
      <c r="U3783" s="452"/>
      <c r="V3783" s="452"/>
      <c r="W3783" s="452"/>
    </row>
    <row r="3784" spans="19:23" ht="15" customHeight="1" x14ac:dyDescent="0.45">
      <c r="S3784" s="452"/>
      <c r="T3784" s="452"/>
      <c r="U3784" s="452"/>
      <c r="V3784" s="452"/>
      <c r="W3784" s="452"/>
    </row>
    <row r="3785" spans="19:23" ht="15" customHeight="1" x14ac:dyDescent="0.45">
      <c r="S3785" s="452"/>
      <c r="T3785" s="452"/>
      <c r="U3785" s="452"/>
      <c r="V3785" s="452"/>
      <c r="W3785" s="452"/>
    </row>
    <row r="3786" spans="19:23" ht="15" customHeight="1" x14ac:dyDescent="0.45">
      <c r="S3786" s="452"/>
      <c r="T3786" s="452"/>
      <c r="U3786" s="452"/>
      <c r="V3786" s="452"/>
      <c r="W3786" s="452"/>
    </row>
    <row r="3787" spans="19:23" ht="15" customHeight="1" x14ac:dyDescent="0.45">
      <c r="S3787" s="452"/>
      <c r="T3787" s="452"/>
      <c r="U3787" s="452"/>
      <c r="V3787" s="452"/>
      <c r="W3787" s="452"/>
    </row>
    <row r="3788" spans="19:23" ht="15" customHeight="1" x14ac:dyDescent="0.45">
      <c r="S3788" s="452"/>
      <c r="T3788" s="452"/>
      <c r="U3788" s="452"/>
      <c r="V3788" s="452"/>
      <c r="W3788" s="452"/>
    </row>
    <row r="3789" spans="19:23" ht="15" customHeight="1" x14ac:dyDescent="0.45">
      <c r="S3789" s="452"/>
      <c r="T3789" s="452"/>
      <c r="U3789" s="452"/>
      <c r="V3789" s="452"/>
      <c r="W3789" s="452"/>
    </row>
    <row r="3790" spans="19:23" ht="15" customHeight="1" x14ac:dyDescent="0.45">
      <c r="S3790" s="452"/>
      <c r="T3790" s="452"/>
      <c r="U3790" s="452"/>
      <c r="V3790" s="452"/>
      <c r="W3790" s="452"/>
    </row>
    <row r="3791" spans="19:23" ht="15" customHeight="1" x14ac:dyDescent="0.45">
      <c r="S3791" s="452"/>
      <c r="T3791" s="452"/>
      <c r="U3791" s="452"/>
      <c r="V3791" s="452"/>
      <c r="W3791" s="452"/>
    </row>
    <row r="3792" spans="19:23" ht="15" customHeight="1" x14ac:dyDescent="0.45">
      <c r="S3792" s="452"/>
      <c r="T3792" s="452"/>
      <c r="U3792" s="452"/>
      <c r="V3792" s="452"/>
      <c r="W3792" s="452"/>
    </row>
    <row r="3793" spans="19:23" ht="15" customHeight="1" x14ac:dyDescent="0.45">
      <c r="S3793" s="452"/>
      <c r="T3793" s="452"/>
      <c r="U3793" s="452"/>
      <c r="V3793" s="452"/>
      <c r="W3793" s="452"/>
    </row>
    <row r="3794" spans="19:23" ht="15" customHeight="1" x14ac:dyDescent="0.45">
      <c r="S3794" s="452"/>
      <c r="T3794" s="452"/>
      <c r="U3794" s="452"/>
      <c r="V3794" s="452"/>
      <c r="W3794" s="452"/>
    </row>
    <row r="3795" spans="19:23" ht="15" customHeight="1" x14ac:dyDescent="0.45">
      <c r="S3795" s="452"/>
      <c r="T3795" s="452"/>
      <c r="U3795" s="452"/>
      <c r="V3795" s="452"/>
      <c r="W3795" s="452"/>
    </row>
    <row r="3796" spans="19:23" ht="15" customHeight="1" x14ac:dyDescent="0.45">
      <c r="S3796" s="452"/>
      <c r="T3796" s="452"/>
      <c r="U3796" s="452"/>
      <c r="V3796" s="452"/>
      <c r="W3796" s="452"/>
    </row>
    <row r="3797" spans="19:23" ht="15" customHeight="1" x14ac:dyDescent="0.45">
      <c r="S3797" s="452"/>
      <c r="T3797" s="452"/>
      <c r="U3797" s="452"/>
      <c r="V3797" s="452"/>
      <c r="W3797" s="452"/>
    </row>
    <row r="3798" spans="19:23" ht="15" customHeight="1" x14ac:dyDescent="0.45">
      <c r="S3798" s="452"/>
      <c r="T3798" s="452"/>
      <c r="U3798" s="452"/>
      <c r="V3798" s="452"/>
      <c r="W3798" s="452"/>
    </row>
    <row r="3799" spans="19:23" ht="15" customHeight="1" x14ac:dyDescent="0.45">
      <c r="S3799" s="452"/>
      <c r="T3799" s="452"/>
      <c r="U3799" s="452"/>
      <c r="V3799" s="452"/>
      <c r="W3799" s="452"/>
    </row>
    <row r="3800" spans="19:23" ht="15" customHeight="1" x14ac:dyDescent="0.45">
      <c r="S3800" s="452"/>
      <c r="T3800" s="452"/>
      <c r="U3800" s="452"/>
      <c r="V3800" s="452"/>
      <c r="W3800" s="452"/>
    </row>
    <row r="3801" spans="19:23" ht="15" customHeight="1" x14ac:dyDescent="0.45">
      <c r="S3801" s="452"/>
      <c r="T3801" s="452"/>
      <c r="U3801" s="452"/>
      <c r="V3801" s="452"/>
      <c r="W3801" s="452"/>
    </row>
    <row r="3802" spans="19:23" ht="15" customHeight="1" x14ac:dyDescent="0.45">
      <c r="S3802" s="452"/>
      <c r="T3802" s="452"/>
      <c r="U3802" s="452"/>
      <c r="V3802" s="452"/>
      <c r="W3802" s="452"/>
    </row>
    <row r="3803" spans="19:23" ht="15" customHeight="1" x14ac:dyDescent="0.45">
      <c r="S3803" s="452"/>
      <c r="T3803" s="452"/>
      <c r="U3803" s="452"/>
      <c r="V3803" s="452"/>
      <c r="W3803" s="452"/>
    </row>
    <row r="3804" spans="19:23" ht="15" customHeight="1" x14ac:dyDescent="0.45">
      <c r="S3804" s="452"/>
      <c r="T3804" s="452"/>
      <c r="U3804" s="452"/>
      <c r="V3804" s="452"/>
      <c r="W3804" s="452"/>
    </row>
    <row r="3805" spans="19:23" ht="15" customHeight="1" x14ac:dyDescent="0.45">
      <c r="S3805" s="452"/>
      <c r="T3805" s="452"/>
      <c r="U3805" s="452"/>
      <c r="V3805" s="452"/>
      <c r="W3805" s="452"/>
    </row>
    <row r="3806" spans="19:23" ht="15" customHeight="1" x14ac:dyDescent="0.45">
      <c r="S3806" s="452"/>
      <c r="T3806" s="452"/>
      <c r="U3806" s="452"/>
      <c r="V3806" s="452"/>
      <c r="W3806" s="452"/>
    </row>
    <row r="3807" spans="19:23" ht="15" customHeight="1" x14ac:dyDescent="0.45">
      <c r="S3807" s="452"/>
      <c r="T3807" s="452"/>
      <c r="U3807" s="452"/>
      <c r="V3807" s="452"/>
      <c r="W3807" s="452"/>
    </row>
    <row r="3808" spans="19:23" ht="15" customHeight="1" x14ac:dyDescent="0.45">
      <c r="S3808" s="452"/>
      <c r="T3808" s="452"/>
      <c r="U3808" s="452"/>
      <c r="V3808" s="452"/>
      <c r="W3808" s="452"/>
    </row>
    <row r="3809" spans="19:23" ht="15" customHeight="1" x14ac:dyDescent="0.45">
      <c r="S3809" s="452"/>
      <c r="T3809" s="452"/>
      <c r="U3809" s="452"/>
      <c r="V3809" s="452"/>
      <c r="W3809" s="452"/>
    </row>
    <row r="3810" spans="19:23" ht="15" customHeight="1" x14ac:dyDescent="0.45">
      <c r="S3810" s="452"/>
      <c r="T3810" s="452"/>
      <c r="U3810" s="452"/>
      <c r="V3810" s="452"/>
      <c r="W3810" s="452"/>
    </row>
    <row r="3811" spans="19:23" ht="15" customHeight="1" x14ac:dyDescent="0.45">
      <c r="S3811" s="452"/>
      <c r="T3811" s="452"/>
      <c r="U3811" s="452"/>
      <c r="V3811" s="452"/>
      <c r="W3811" s="452"/>
    </row>
    <row r="3812" spans="19:23" ht="15" customHeight="1" x14ac:dyDescent="0.45">
      <c r="S3812" s="452"/>
      <c r="T3812" s="452"/>
      <c r="U3812" s="452"/>
      <c r="V3812" s="452"/>
      <c r="W3812" s="452"/>
    </row>
    <row r="3813" spans="19:23" ht="15" customHeight="1" x14ac:dyDescent="0.45">
      <c r="S3813" s="452"/>
      <c r="T3813" s="452"/>
      <c r="U3813" s="452"/>
      <c r="V3813" s="452"/>
      <c r="W3813" s="452"/>
    </row>
    <row r="3814" spans="19:23" ht="15" customHeight="1" x14ac:dyDescent="0.45">
      <c r="S3814" s="452"/>
      <c r="T3814" s="452"/>
      <c r="U3814" s="452"/>
      <c r="V3814" s="452"/>
      <c r="W3814" s="452"/>
    </row>
    <row r="3815" spans="19:23" ht="15" customHeight="1" x14ac:dyDescent="0.45">
      <c r="S3815" s="452"/>
      <c r="T3815" s="452"/>
      <c r="U3815" s="452"/>
      <c r="V3815" s="452"/>
      <c r="W3815" s="452"/>
    </row>
    <row r="3816" spans="19:23" ht="15" customHeight="1" x14ac:dyDescent="0.45">
      <c r="S3816" s="452"/>
      <c r="T3816" s="452"/>
      <c r="U3816" s="452"/>
      <c r="V3816" s="452"/>
      <c r="W3816" s="452"/>
    </row>
    <row r="3817" spans="19:23" ht="15" customHeight="1" x14ac:dyDescent="0.45">
      <c r="S3817" s="452"/>
      <c r="T3817" s="452"/>
      <c r="U3817" s="452"/>
      <c r="V3817" s="452"/>
      <c r="W3817" s="452"/>
    </row>
    <row r="3818" spans="19:23" ht="15" customHeight="1" x14ac:dyDescent="0.45">
      <c r="S3818" s="452"/>
      <c r="T3818" s="452"/>
      <c r="U3818" s="452"/>
      <c r="V3818" s="452"/>
      <c r="W3818" s="452"/>
    </row>
    <row r="3819" spans="19:23" ht="15" customHeight="1" x14ac:dyDescent="0.45">
      <c r="S3819" s="452"/>
      <c r="T3819" s="452"/>
      <c r="U3819" s="452"/>
      <c r="V3819" s="452"/>
      <c r="W3819" s="452"/>
    </row>
    <row r="3820" spans="19:23" ht="15" customHeight="1" x14ac:dyDescent="0.45">
      <c r="S3820" s="452"/>
      <c r="T3820" s="452"/>
      <c r="U3820" s="452"/>
      <c r="V3820" s="452"/>
      <c r="W3820" s="452"/>
    </row>
    <row r="3821" spans="19:23" ht="15" customHeight="1" x14ac:dyDescent="0.45">
      <c r="S3821" s="452"/>
      <c r="T3821" s="452"/>
      <c r="U3821" s="452"/>
      <c r="V3821" s="452"/>
      <c r="W3821" s="452"/>
    </row>
    <row r="3822" spans="19:23" ht="15" customHeight="1" x14ac:dyDescent="0.45">
      <c r="S3822" s="452"/>
      <c r="T3822" s="452"/>
      <c r="U3822" s="452"/>
      <c r="V3822" s="452"/>
      <c r="W3822" s="452"/>
    </row>
    <row r="3823" spans="19:23" ht="15" customHeight="1" x14ac:dyDescent="0.45">
      <c r="S3823" s="452"/>
      <c r="T3823" s="452"/>
      <c r="U3823" s="452"/>
      <c r="V3823" s="452"/>
      <c r="W3823" s="452"/>
    </row>
    <row r="3824" spans="19:23" ht="15" customHeight="1" x14ac:dyDescent="0.45">
      <c r="S3824" s="452"/>
      <c r="T3824" s="452"/>
      <c r="U3824" s="452"/>
      <c r="V3824" s="452"/>
      <c r="W3824" s="452"/>
    </row>
    <row r="3825" spans="19:23" ht="15" customHeight="1" x14ac:dyDescent="0.45">
      <c r="S3825" s="452"/>
      <c r="T3825" s="452"/>
      <c r="U3825" s="452"/>
      <c r="V3825" s="452"/>
      <c r="W3825" s="452"/>
    </row>
    <row r="3826" spans="19:23" ht="15" customHeight="1" x14ac:dyDescent="0.45">
      <c r="S3826" s="452"/>
      <c r="T3826" s="452"/>
      <c r="U3826" s="452"/>
      <c r="V3826" s="452"/>
      <c r="W3826" s="452"/>
    </row>
    <row r="3827" spans="19:23" ht="15" customHeight="1" x14ac:dyDescent="0.45">
      <c r="S3827" s="452"/>
      <c r="T3827" s="452"/>
      <c r="U3827" s="452"/>
      <c r="V3827" s="452"/>
      <c r="W3827" s="452"/>
    </row>
    <row r="3828" spans="19:23" ht="15" customHeight="1" x14ac:dyDescent="0.45">
      <c r="S3828" s="452"/>
      <c r="T3828" s="452"/>
      <c r="U3828" s="452"/>
      <c r="V3828" s="452"/>
      <c r="W3828" s="452"/>
    </row>
    <row r="3829" spans="19:23" ht="15" customHeight="1" x14ac:dyDescent="0.45">
      <c r="S3829" s="452"/>
      <c r="T3829" s="452"/>
      <c r="U3829" s="452"/>
      <c r="V3829" s="452"/>
      <c r="W3829" s="452"/>
    </row>
    <row r="3830" spans="19:23" ht="15" customHeight="1" x14ac:dyDescent="0.45">
      <c r="S3830" s="452"/>
      <c r="T3830" s="452"/>
      <c r="U3830" s="452"/>
      <c r="V3830" s="452"/>
      <c r="W3830" s="452"/>
    </row>
    <row r="3831" spans="19:23" ht="15" customHeight="1" x14ac:dyDescent="0.45">
      <c r="S3831" s="452"/>
      <c r="T3831" s="452"/>
      <c r="U3831" s="452"/>
      <c r="V3831" s="452"/>
      <c r="W3831" s="452"/>
    </row>
    <row r="3832" spans="19:23" ht="15" customHeight="1" x14ac:dyDescent="0.45">
      <c r="S3832" s="452"/>
      <c r="T3832" s="452"/>
      <c r="U3832" s="452"/>
      <c r="V3832" s="452"/>
      <c r="W3832" s="452"/>
    </row>
    <row r="3833" spans="19:23" ht="15" customHeight="1" x14ac:dyDescent="0.45">
      <c r="S3833" s="452"/>
      <c r="T3833" s="452"/>
      <c r="U3833" s="452"/>
      <c r="V3833" s="452"/>
      <c r="W3833" s="452"/>
    </row>
    <row r="3834" spans="19:23" ht="15" customHeight="1" x14ac:dyDescent="0.45">
      <c r="S3834" s="452"/>
      <c r="T3834" s="452"/>
      <c r="U3834" s="452"/>
      <c r="V3834" s="452"/>
      <c r="W3834" s="452"/>
    </row>
    <row r="3835" spans="19:23" ht="15" customHeight="1" x14ac:dyDescent="0.45">
      <c r="S3835" s="452"/>
      <c r="T3835" s="452"/>
      <c r="U3835" s="452"/>
      <c r="V3835" s="452"/>
      <c r="W3835" s="452"/>
    </row>
    <row r="3836" spans="19:23" ht="15" customHeight="1" x14ac:dyDescent="0.45">
      <c r="S3836" s="452"/>
      <c r="T3836" s="452"/>
      <c r="U3836" s="452"/>
      <c r="V3836" s="452"/>
      <c r="W3836" s="452"/>
    </row>
    <row r="3837" spans="19:23" ht="15" customHeight="1" x14ac:dyDescent="0.45">
      <c r="S3837" s="452"/>
      <c r="T3837" s="452"/>
      <c r="U3837" s="452"/>
      <c r="V3837" s="452"/>
      <c r="W3837" s="452"/>
    </row>
    <row r="3838" spans="19:23" ht="15" customHeight="1" x14ac:dyDescent="0.45">
      <c r="S3838" s="452"/>
      <c r="T3838" s="452"/>
      <c r="U3838" s="452"/>
      <c r="V3838" s="452"/>
      <c r="W3838" s="452"/>
    </row>
    <row r="3839" spans="19:23" ht="15" customHeight="1" x14ac:dyDescent="0.45">
      <c r="S3839" s="452"/>
      <c r="T3839" s="452"/>
      <c r="U3839" s="452"/>
      <c r="V3839" s="452"/>
      <c r="W3839" s="452"/>
    </row>
    <row r="3840" spans="19:23" ht="15" customHeight="1" x14ac:dyDescent="0.45">
      <c r="S3840" s="452"/>
      <c r="T3840" s="452"/>
      <c r="U3840" s="452"/>
      <c r="V3840" s="452"/>
      <c r="W3840" s="452"/>
    </row>
    <row r="3841" spans="19:23" ht="15" customHeight="1" x14ac:dyDescent="0.45">
      <c r="S3841" s="452"/>
      <c r="T3841" s="452"/>
      <c r="U3841" s="452"/>
      <c r="V3841" s="452"/>
      <c r="W3841" s="452"/>
    </row>
    <row r="3842" spans="19:23" ht="15" customHeight="1" x14ac:dyDescent="0.45">
      <c r="S3842" s="452"/>
      <c r="T3842" s="452"/>
      <c r="U3842" s="452"/>
      <c r="V3842" s="452"/>
      <c r="W3842" s="452"/>
    </row>
    <row r="3843" spans="19:23" ht="15" customHeight="1" x14ac:dyDescent="0.45">
      <c r="S3843" s="452"/>
      <c r="T3843" s="452"/>
      <c r="U3843" s="452"/>
      <c r="V3843" s="452"/>
      <c r="W3843" s="452"/>
    </row>
    <row r="3844" spans="19:23" ht="15" customHeight="1" x14ac:dyDescent="0.45">
      <c r="S3844" s="452"/>
      <c r="T3844" s="452"/>
      <c r="U3844" s="452"/>
      <c r="V3844" s="452"/>
      <c r="W3844" s="452"/>
    </row>
    <row r="3845" spans="19:23" ht="15" customHeight="1" x14ac:dyDescent="0.45">
      <c r="S3845" s="452"/>
      <c r="T3845" s="452"/>
      <c r="U3845" s="452"/>
      <c r="V3845" s="452"/>
      <c r="W3845" s="452"/>
    </row>
    <row r="3846" spans="19:23" ht="15" customHeight="1" x14ac:dyDescent="0.45">
      <c r="S3846" s="452"/>
      <c r="T3846" s="452"/>
      <c r="U3846" s="452"/>
      <c r="V3846" s="452"/>
      <c r="W3846" s="452"/>
    </row>
    <row r="3847" spans="19:23" ht="15" customHeight="1" x14ac:dyDescent="0.45">
      <c r="S3847" s="452"/>
      <c r="T3847" s="452"/>
      <c r="U3847" s="452"/>
      <c r="V3847" s="452"/>
      <c r="W3847" s="452"/>
    </row>
    <row r="3848" spans="19:23" ht="15" customHeight="1" x14ac:dyDescent="0.45">
      <c r="S3848" s="452"/>
      <c r="T3848" s="452"/>
      <c r="U3848" s="452"/>
      <c r="V3848" s="452"/>
      <c r="W3848" s="452"/>
    </row>
    <row r="3849" spans="19:23" ht="15" customHeight="1" x14ac:dyDescent="0.45">
      <c r="S3849" s="452"/>
      <c r="T3849" s="452"/>
      <c r="U3849" s="452"/>
      <c r="V3849" s="452"/>
      <c r="W3849" s="452"/>
    </row>
    <row r="3850" spans="19:23" ht="15" customHeight="1" x14ac:dyDescent="0.45">
      <c r="S3850" s="452"/>
      <c r="T3850" s="452"/>
      <c r="U3850" s="452"/>
      <c r="V3850" s="452"/>
      <c r="W3850" s="452"/>
    </row>
    <row r="3851" spans="19:23" ht="15" customHeight="1" x14ac:dyDescent="0.45">
      <c r="S3851" s="452"/>
      <c r="T3851" s="452"/>
      <c r="U3851" s="452"/>
      <c r="V3851" s="452"/>
      <c r="W3851" s="452"/>
    </row>
    <row r="3852" spans="19:23" ht="15" customHeight="1" x14ac:dyDescent="0.45">
      <c r="S3852" s="452"/>
      <c r="T3852" s="452"/>
      <c r="U3852" s="452"/>
      <c r="V3852" s="452"/>
      <c r="W3852" s="452"/>
    </row>
    <row r="3853" spans="19:23" ht="15" customHeight="1" x14ac:dyDescent="0.45">
      <c r="S3853" s="452"/>
      <c r="T3853" s="452"/>
      <c r="U3853" s="452"/>
      <c r="V3853" s="452"/>
      <c r="W3853" s="452"/>
    </row>
    <row r="3854" spans="19:23" ht="15" customHeight="1" x14ac:dyDescent="0.45">
      <c r="S3854" s="452"/>
      <c r="T3854" s="452"/>
      <c r="U3854" s="452"/>
      <c r="V3854" s="452"/>
      <c r="W3854" s="452"/>
    </row>
    <row r="3855" spans="19:23" ht="15" customHeight="1" x14ac:dyDescent="0.45">
      <c r="S3855" s="452"/>
      <c r="T3855" s="452"/>
      <c r="U3855" s="452"/>
      <c r="V3855" s="452"/>
      <c r="W3855" s="452"/>
    </row>
    <row r="3856" spans="19:23" ht="15" customHeight="1" x14ac:dyDescent="0.45">
      <c r="S3856" s="452"/>
      <c r="T3856" s="452"/>
      <c r="U3856" s="452"/>
      <c r="V3856" s="452"/>
      <c r="W3856" s="452"/>
    </row>
    <row r="3857" spans="19:23" ht="15" customHeight="1" x14ac:dyDescent="0.45">
      <c r="S3857" s="452"/>
      <c r="T3857" s="452"/>
      <c r="U3857" s="452"/>
      <c r="V3857" s="452"/>
      <c r="W3857" s="452"/>
    </row>
    <row r="3858" spans="19:23" ht="15" customHeight="1" x14ac:dyDescent="0.45">
      <c r="S3858" s="452"/>
      <c r="T3858" s="452"/>
      <c r="U3858" s="452"/>
      <c r="V3858" s="452"/>
      <c r="W3858" s="452"/>
    </row>
    <row r="3859" spans="19:23" ht="15" customHeight="1" x14ac:dyDescent="0.45">
      <c r="S3859" s="452"/>
      <c r="T3859" s="452"/>
      <c r="U3859" s="452"/>
      <c r="V3859" s="452"/>
      <c r="W3859" s="452"/>
    </row>
    <row r="3860" spans="19:23" ht="15" customHeight="1" x14ac:dyDescent="0.45">
      <c r="S3860" s="452"/>
      <c r="T3860" s="452"/>
      <c r="U3860" s="452"/>
      <c r="V3860" s="452"/>
      <c r="W3860" s="452"/>
    </row>
    <row r="3861" spans="19:23" ht="15" customHeight="1" x14ac:dyDescent="0.45">
      <c r="S3861" s="452"/>
      <c r="T3861" s="452"/>
      <c r="U3861" s="452"/>
      <c r="V3861" s="452"/>
      <c r="W3861" s="452"/>
    </row>
    <row r="3862" spans="19:23" ht="15" customHeight="1" x14ac:dyDescent="0.45">
      <c r="S3862" s="452"/>
      <c r="T3862" s="452"/>
      <c r="U3862" s="452"/>
      <c r="V3862" s="452"/>
      <c r="W3862" s="452"/>
    </row>
    <row r="3863" spans="19:23" ht="15" customHeight="1" x14ac:dyDescent="0.45">
      <c r="S3863" s="452"/>
      <c r="T3863" s="452"/>
      <c r="U3863" s="452"/>
      <c r="V3863" s="452"/>
      <c r="W3863" s="452"/>
    </row>
    <row r="3864" spans="19:23" ht="15" customHeight="1" x14ac:dyDescent="0.45">
      <c r="S3864" s="452"/>
      <c r="T3864" s="452"/>
      <c r="U3864" s="452"/>
      <c r="V3864" s="452"/>
      <c r="W3864" s="452"/>
    </row>
    <row r="3865" spans="19:23" ht="15" customHeight="1" x14ac:dyDescent="0.45">
      <c r="S3865" s="452"/>
      <c r="T3865" s="452"/>
      <c r="U3865" s="452"/>
      <c r="V3865" s="452"/>
      <c r="W3865" s="452"/>
    </row>
    <row r="3866" spans="19:23" ht="15" customHeight="1" x14ac:dyDescent="0.45">
      <c r="S3866" s="452"/>
      <c r="T3866" s="452"/>
      <c r="U3866" s="452"/>
      <c r="V3866" s="452"/>
      <c r="W3866" s="452"/>
    </row>
    <row r="3867" spans="19:23" ht="15" customHeight="1" x14ac:dyDescent="0.45">
      <c r="S3867" s="452"/>
      <c r="T3867" s="452"/>
      <c r="U3867" s="452"/>
      <c r="V3867" s="452"/>
      <c r="W3867" s="452"/>
    </row>
    <row r="3868" spans="19:23" ht="15" customHeight="1" x14ac:dyDescent="0.45">
      <c r="S3868" s="452"/>
      <c r="T3868" s="452"/>
      <c r="U3868" s="452"/>
      <c r="V3868" s="452"/>
      <c r="W3868" s="452"/>
    </row>
    <row r="3869" spans="19:23" ht="15" customHeight="1" x14ac:dyDescent="0.45">
      <c r="S3869" s="452"/>
      <c r="T3869" s="452"/>
      <c r="U3869" s="452"/>
      <c r="V3869" s="452"/>
      <c r="W3869" s="452"/>
    </row>
    <row r="3870" spans="19:23" ht="15" customHeight="1" x14ac:dyDescent="0.45">
      <c r="S3870" s="452"/>
      <c r="T3870" s="452"/>
      <c r="U3870" s="452"/>
      <c r="V3870" s="452"/>
      <c r="W3870" s="452"/>
    </row>
    <row r="3871" spans="19:23" ht="15" customHeight="1" x14ac:dyDescent="0.45">
      <c r="S3871" s="452"/>
      <c r="T3871" s="452"/>
      <c r="U3871" s="452"/>
      <c r="V3871" s="452"/>
      <c r="W3871" s="452"/>
    </row>
    <row r="3872" spans="19:23" ht="15" customHeight="1" x14ac:dyDescent="0.45">
      <c r="S3872" s="452"/>
      <c r="T3872" s="452"/>
      <c r="U3872" s="452"/>
      <c r="V3872" s="452"/>
      <c r="W3872" s="452"/>
    </row>
    <row r="3873" spans="19:23" ht="15" customHeight="1" x14ac:dyDescent="0.45">
      <c r="S3873" s="452"/>
      <c r="T3873" s="452"/>
      <c r="U3873" s="452"/>
      <c r="V3873" s="452"/>
      <c r="W3873" s="452"/>
    </row>
    <row r="3874" spans="19:23" ht="15" customHeight="1" x14ac:dyDescent="0.45">
      <c r="S3874" s="452"/>
      <c r="T3874" s="452"/>
      <c r="U3874" s="452"/>
      <c r="V3874" s="452"/>
      <c r="W3874" s="452"/>
    </row>
    <row r="3875" spans="19:23" ht="15" customHeight="1" x14ac:dyDescent="0.45">
      <c r="S3875" s="452"/>
      <c r="T3875" s="452"/>
      <c r="U3875" s="452"/>
      <c r="V3875" s="452"/>
      <c r="W3875" s="452"/>
    </row>
    <row r="3876" spans="19:23" ht="15" customHeight="1" x14ac:dyDescent="0.45">
      <c r="S3876" s="452"/>
      <c r="T3876" s="452"/>
      <c r="U3876" s="452"/>
      <c r="V3876" s="452"/>
      <c r="W3876" s="452"/>
    </row>
    <row r="3877" spans="19:23" ht="15" customHeight="1" x14ac:dyDescent="0.45">
      <c r="S3877" s="452"/>
      <c r="T3877" s="452"/>
      <c r="U3877" s="452"/>
      <c r="V3877" s="452"/>
      <c r="W3877" s="452"/>
    </row>
    <row r="3878" spans="19:23" ht="15" customHeight="1" x14ac:dyDescent="0.45">
      <c r="S3878" s="452"/>
      <c r="T3878" s="452"/>
      <c r="U3878" s="452"/>
      <c r="V3878" s="452"/>
      <c r="W3878" s="452"/>
    </row>
    <row r="3879" spans="19:23" ht="15" customHeight="1" x14ac:dyDescent="0.45">
      <c r="S3879" s="452"/>
      <c r="T3879" s="452"/>
      <c r="U3879" s="452"/>
      <c r="V3879" s="452"/>
      <c r="W3879" s="452"/>
    </row>
    <row r="3880" spans="19:23" ht="15" customHeight="1" x14ac:dyDescent="0.45">
      <c r="S3880" s="452"/>
      <c r="T3880" s="452"/>
      <c r="U3880" s="452"/>
      <c r="V3880" s="452"/>
      <c r="W3880" s="452"/>
    </row>
    <row r="3881" spans="19:23" ht="15" customHeight="1" x14ac:dyDescent="0.45">
      <c r="S3881" s="452"/>
      <c r="T3881" s="452"/>
      <c r="U3881" s="452"/>
      <c r="V3881" s="452"/>
      <c r="W3881" s="452"/>
    </row>
    <row r="3882" spans="19:23" ht="15" customHeight="1" x14ac:dyDescent="0.45">
      <c r="S3882" s="452"/>
      <c r="T3882" s="452"/>
      <c r="U3882" s="452"/>
      <c r="V3882" s="452"/>
      <c r="W3882" s="452"/>
    </row>
    <row r="3883" spans="19:23" ht="15" customHeight="1" x14ac:dyDescent="0.45">
      <c r="S3883" s="452"/>
      <c r="T3883" s="452"/>
      <c r="U3883" s="452"/>
      <c r="V3883" s="452"/>
      <c r="W3883" s="452"/>
    </row>
    <row r="3884" spans="19:23" ht="15" customHeight="1" x14ac:dyDescent="0.45">
      <c r="S3884" s="452"/>
      <c r="T3884" s="452"/>
      <c r="U3884" s="452"/>
      <c r="V3884" s="452"/>
      <c r="W3884" s="452"/>
    </row>
    <row r="3885" spans="19:23" ht="15" customHeight="1" x14ac:dyDescent="0.45">
      <c r="S3885" s="452"/>
      <c r="T3885" s="452"/>
      <c r="U3885" s="452"/>
      <c r="V3885" s="452"/>
      <c r="W3885" s="452"/>
    </row>
    <row r="3886" spans="19:23" ht="15" customHeight="1" x14ac:dyDescent="0.45">
      <c r="S3886" s="452"/>
      <c r="T3886" s="452"/>
      <c r="U3886" s="452"/>
      <c r="V3886" s="452"/>
      <c r="W3886" s="452"/>
    </row>
    <row r="3887" spans="19:23" ht="15" customHeight="1" x14ac:dyDescent="0.45">
      <c r="S3887" s="452"/>
      <c r="T3887" s="452"/>
      <c r="U3887" s="452"/>
      <c r="V3887" s="452"/>
      <c r="W3887" s="452"/>
    </row>
    <row r="3888" spans="19:23" ht="15" customHeight="1" x14ac:dyDescent="0.45">
      <c r="S3888" s="452"/>
      <c r="T3888" s="452"/>
      <c r="U3888" s="452"/>
      <c r="V3888" s="452"/>
      <c r="W3888" s="452"/>
    </row>
    <row r="3889" spans="19:23" ht="15" customHeight="1" x14ac:dyDescent="0.45">
      <c r="S3889" s="452"/>
      <c r="T3889" s="452"/>
      <c r="U3889" s="452"/>
      <c r="V3889" s="452"/>
      <c r="W3889" s="452"/>
    </row>
    <row r="3890" spans="19:23" ht="15" customHeight="1" x14ac:dyDescent="0.45">
      <c r="S3890" s="452"/>
      <c r="T3890" s="452"/>
      <c r="U3890" s="452"/>
      <c r="V3890" s="452"/>
      <c r="W3890" s="452"/>
    </row>
    <row r="3891" spans="19:23" ht="15" customHeight="1" x14ac:dyDescent="0.45">
      <c r="S3891" s="452"/>
      <c r="T3891" s="452"/>
      <c r="U3891" s="452"/>
      <c r="V3891" s="452"/>
      <c r="W3891" s="452"/>
    </row>
    <row r="3892" spans="19:23" ht="15" customHeight="1" x14ac:dyDescent="0.45">
      <c r="S3892" s="452"/>
      <c r="T3892" s="452"/>
      <c r="U3892" s="452"/>
      <c r="V3892" s="452"/>
      <c r="W3892" s="452"/>
    </row>
    <row r="3893" spans="19:23" ht="15" customHeight="1" x14ac:dyDescent="0.45">
      <c r="S3893" s="452"/>
      <c r="T3893" s="452"/>
      <c r="U3893" s="452"/>
      <c r="V3893" s="452"/>
      <c r="W3893" s="452"/>
    </row>
    <row r="3894" spans="19:23" ht="15" customHeight="1" x14ac:dyDescent="0.45">
      <c r="S3894" s="452"/>
      <c r="T3894" s="452"/>
      <c r="U3894" s="452"/>
      <c r="V3894" s="452"/>
      <c r="W3894" s="452"/>
    </row>
    <row r="3895" spans="19:23" ht="15" customHeight="1" x14ac:dyDescent="0.45">
      <c r="S3895" s="452"/>
      <c r="T3895" s="452"/>
      <c r="U3895" s="452"/>
      <c r="V3895" s="452"/>
      <c r="W3895" s="452"/>
    </row>
    <row r="3896" spans="19:23" ht="15" customHeight="1" x14ac:dyDescent="0.45">
      <c r="S3896" s="452"/>
      <c r="T3896" s="452"/>
      <c r="U3896" s="452"/>
      <c r="V3896" s="452"/>
      <c r="W3896" s="452"/>
    </row>
    <row r="3897" spans="19:23" ht="15" customHeight="1" x14ac:dyDescent="0.45">
      <c r="S3897" s="452"/>
      <c r="T3897" s="452"/>
      <c r="U3897" s="452"/>
      <c r="V3897" s="452"/>
      <c r="W3897" s="452"/>
    </row>
    <row r="3898" spans="19:23" ht="15" customHeight="1" x14ac:dyDescent="0.45">
      <c r="S3898" s="452"/>
      <c r="T3898" s="452"/>
      <c r="U3898" s="452"/>
      <c r="V3898" s="452"/>
      <c r="W3898" s="452"/>
    </row>
    <row r="3899" spans="19:23" ht="15" customHeight="1" x14ac:dyDescent="0.45">
      <c r="S3899" s="452"/>
      <c r="T3899" s="452"/>
      <c r="U3899" s="452"/>
      <c r="V3899" s="452"/>
      <c r="W3899" s="452"/>
    </row>
    <row r="3900" spans="19:23" ht="15" customHeight="1" x14ac:dyDescent="0.45">
      <c r="S3900" s="452"/>
      <c r="T3900" s="452"/>
      <c r="U3900" s="452"/>
      <c r="V3900" s="452"/>
      <c r="W3900" s="452"/>
    </row>
    <row r="3901" spans="19:23" ht="15" customHeight="1" x14ac:dyDescent="0.45">
      <c r="S3901" s="452"/>
      <c r="T3901" s="452"/>
      <c r="U3901" s="452"/>
      <c r="V3901" s="452"/>
      <c r="W3901" s="452"/>
    </row>
    <row r="3902" spans="19:23" ht="15" customHeight="1" x14ac:dyDescent="0.45">
      <c r="S3902" s="452"/>
      <c r="T3902" s="452"/>
      <c r="U3902" s="452"/>
      <c r="V3902" s="452"/>
      <c r="W3902" s="452"/>
    </row>
    <row r="3903" spans="19:23" ht="15" customHeight="1" x14ac:dyDescent="0.45">
      <c r="S3903" s="452"/>
      <c r="T3903" s="452"/>
      <c r="U3903" s="452"/>
      <c r="V3903" s="452"/>
      <c r="W3903" s="452"/>
    </row>
    <row r="3904" spans="19:23" ht="15" customHeight="1" x14ac:dyDescent="0.45">
      <c r="S3904" s="452"/>
      <c r="T3904" s="452"/>
      <c r="U3904" s="452"/>
      <c r="V3904" s="452"/>
      <c r="W3904" s="452"/>
    </row>
    <row r="3905" spans="19:23" ht="15" customHeight="1" x14ac:dyDescent="0.45">
      <c r="S3905" s="452"/>
      <c r="T3905" s="452"/>
      <c r="U3905" s="452"/>
      <c r="V3905" s="452"/>
      <c r="W3905" s="452"/>
    </row>
    <row r="3906" spans="19:23" ht="15" customHeight="1" x14ac:dyDescent="0.45">
      <c r="S3906" s="452"/>
      <c r="T3906" s="452"/>
      <c r="U3906" s="452"/>
      <c r="V3906" s="452"/>
      <c r="W3906" s="452"/>
    </row>
    <row r="3907" spans="19:23" ht="15" customHeight="1" x14ac:dyDescent="0.45">
      <c r="S3907" s="452"/>
      <c r="T3907" s="452"/>
      <c r="U3907" s="452"/>
      <c r="V3907" s="452"/>
      <c r="W3907" s="452"/>
    </row>
    <row r="3908" spans="19:23" ht="15" customHeight="1" x14ac:dyDescent="0.45">
      <c r="S3908" s="452"/>
      <c r="T3908" s="452"/>
      <c r="U3908" s="452"/>
      <c r="V3908" s="452"/>
      <c r="W3908" s="452"/>
    </row>
    <row r="3909" spans="19:23" ht="15" customHeight="1" x14ac:dyDescent="0.45">
      <c r="S3909" s="452"/>
      <c r="T3909" s="452"/>
      <c r="U3909" s="452"/>
      <c r="V3909" s="452"/>
      <c r="W3909" s="452"/>
    </row>
    <row r="3910" spans="19:23" ht="15" customHeight="1" x14ac:dyDescent="0.45">
      <c r="S3910" s="452"/>
      <c r="T3910" s="452"/>
      <c r="U3910" s="452"/>
      <c r="V3910" s="452"/>
      <c r="W3910" s="452"/>
    </row>
    <row r="3911" spans="19:23" ht="15" customHeight="1" x14ac:dyDescent="0.45">
      <c r="S3911" s="452"/>
      <c r="T3911" s="452"/>
      <c r="U3911" s="452"/>
      <c r="V3911" s="452"/>
      <c r="W3911" s="452"/>
    </row>
    <row r="3912" spans="19:23" ht="15" customHeight="1" x14ac:dyDescent="0.45">
      <c r="S3912" s="452"/>
      <c r="T3912" s="452"/>
      <c r="U3912" s="452"/>
      <c r="V3912" s="452"/>
      <c r="W3912" s="452"/>
    </row>
    <row r="3913" spans="19:23" ht="15" customHeight="1" x14ac:dyDescent="0.45">
      <c r="S3913" s="452"/>
      <c r="T3913" s="452"/>
      <c r="U3913" s="452"/>
      <c r="V3913" s="452"/>
      <c r="W3913" s="452"/>
    </row>
    <row r="3914" spans="19:23" ht="15" customHeight="1" x14ac:dyDescent="0.45">
      <c r="S3914" s="452"/>
      <c r="T3914" s="452"/>
      <c r="U3914" s="452"/>
      <c r="V3914" s="452"/>
      <c r="W3914" s="452"/>
    </row>
    <row r="3915" spans="19:23" ht="15" customHeight="1" x14ac:dyDescent="0.45">
      <c r="S3915" s="452"/>
      <c r="T3915" s="452"/>
      <c r="U3915" s="452"/>
      <c r="V3915" s="452"/>
      <c r="W3915" s="452"/>
    </row>
    <row r="3916" spans="19:23" ht="15" customHeight="1" x14ac:dyDescent="0.45">
      <c r="S3916" s="452"/>
      <c r="T3916" s="452"/>
      <c r="U3916" s="452"/>
      <c r="V3916" s="452"/>
      <c r="W3916" s="452"/>
    </row>
    <row r="3917" spans="19:23" ht="15" customHeight="1" x14ac:dyDescent="0.45">
      <c r="S3917" s="452"/>
      <c r="T3917" s="452"/>
      <c r="U3917" s="452"/>
      <c r="V3917" s="452"/>
      <c r="W3917" s="452"/>
    </row>
    <row r="3918" spans="19:23" ht="15" customHeight="1" x14ac:dyDescent="0.45">
      <c r="S3918" s="452"/>
      <c r="T3918" s="452"/>
      <c r="U3918" s="452"/>
      <c r="V3918" s="452"/>
      <c r="W3918" s="452"/>
    </row>
    <row r="3919" spans="19:23" ht="15" customHeight="1" x14ac:dyDescent="0.45">
      <c r="S3919" s="452"/>
      <c r="T3919" s="452"/>
      <c r="U3919" s="452"/>
      <c r="V3919" s="452"/>
      <c r="W3919" s="452"/>
    </row>
    <row r="3920" spans="19:23" ht="15" customHeight="1" x14ac:dyDescent="0.45">
      <c r="S3920" s="452"/>
      <c r="T3920" s="452"/>
      <c r="U3920" s="452"/>
      <c r="V3920" s="452"/>
      <c r="W3920" s="452"/>
    </row>
    <row r="3921" spans="19:23" ht="15" customHeight="1" x14ac:dyDescent="0.45">
      <c r="S3921" s="452"/>
      <c r="T3921" s="452"/>
      <c r="U3921" s="452"/>
      <c r="V3921" s="452"/>
      <c r="W3921" s="452"/>
    </row>
    <row r="3922" spans="19:23" ht="15" customHeight="1" x14ac:dyDescent="0.45">
      <c r="S3922" s="452"/>
      <c r="T3922" s="452"/>
      <c r="U3922" s="452"/>
      <c r="V3922" s="452"/>
      <c r="W3922" s="452"/>
    </row>
    <row r="3923" spans="19:23" ht="15" customHeight="1" x14ac:dyDescent="0.45">
      <c r="S3923" s="452"/>
      <c r="T3923" s="452"/>
      <c r="U3923" s="452"/>
      <c r="V3923" s="452"/>
      <c r="W3923" s="452"/>
    </row>
    <row r="3924" spans="19:23" ht="15" customHeight="1" x14ac:dyDescent="0.45">
      <c r="S3924" s="452"/>
      <c r="T3924" s="452"/>
      <c r="U3924" s="452"/>
      <c r="V3924" s="452"/>
      <c r="W3924" s="452"/>
    </row>
    <row r="3925" spans="19:23" ht="15" customHeight="1" x14ac:dyDescent="0.45">
      <c r="S3925" s="452"/>
      <c r="T3925" s="452"/>
      <c r="U3925" s="452"/>
      <c r="V3925" s="452"/>
      <c r="W3925" s="452"/>
    </row>
    <row r="3926" spans="19:23" ht="15" customHeight="1" x14ac:dyDescent="0.45">
      <c r="S3926" s="452"/>
      <c r="T3926" s="452"/>
      <c r="U3926" s="452"/>
      <c r="V3926" s="452"/>
      <c r="W3926" s="452"/>
    </row>
    <row r="3927" spans="19:23" ht="15" customHeight="1" x14ac:dyDescent="0.45">
      <c r="S3927" s="452"/>
      <c r="T3927" s="452"/>
      <c r="U3927" s="452"/>
      <c r="V3927" s="452"/>
      <c r="W3927" s="452"/>
    </row>
    <row r="3928" spans="19:23" ht="15" customHeight="1" x14ac:dyDescent="0.45">
      <c r="S3928" s="452"/>
      <c r="T3928" s="452"/>
      <c r="U3928" s="452"/>
      <c r="V3928" s="452"/>
      <c r="W3928" s="452"/>
    </row>
    <row r="3929" spans="19:23" ht="15" customHeight="1" x14ac:dyDescent="0.45">
      <c r="S3929" s="452"/>
      <c r="T3929" s="452"/>
      <c r="U3929" s="452"/>
      <c r="V3929" s="452"/>
      <c r="W3929" s="452"/>
    </row>
    <row r="3930" spans="19:23" ht="15" customHeight="1" x14ac:dyDescent="0.45">
      <c r="S3930" s="452"/>
      <c r="T3930" s="452"/>
      <c r="U3930" s="452"/>
      <c r="V3930" s="452"/>
      <c r="W3930" s="452"/>
    </row>
    <row r="3931" spans="19:23" ht="15" customHeight="1" x14ac:dyDescent="0.45">
      <c r="S3931" s="452"/>
      <c r="T3931" s="452"/>
      <c r="U3931" s="452"/>
      <c r="V3931" s="452"/>
      <c r="W3931" s="452"/>
    </row>
    <row r="3932" spans="19:23" ht="15" customHeight="1" x14ac:dyDescent="0.45">
      <c r="S3932" s="452"/>
      <c r="T3932" s="452"/>
      <c r="U3932" s="452"/>
      <c r="V3932" s="452"/>
      <c r="W3932" s="452"/>
    </row>
    <row r="3933" spans="19:23" ht="15" customHeight="1" x14ac:dyDescent="0.45">
      <c r="S3933" s="452"/>
      <c r="T3933" s="452"/>
      <c r="U3933" s="452"/>
      <c r="V3933" s="452"/>
      <c r="W3933" s="452"/>
    </row>
    <row r="3934" spans="19:23" ht="15" customHeight="1" x14ac:dyDescent="0.45">
      <c r="S3934" s="452"/>
      <c r="T3934" s="452"/>
      <c r="U3934" s="452"/>
      <c r="V3934" s="452"/>
      <c r="W3934" s="452"/>
    </row>
    <row r="3935" spans="19:23" ht="15" customHeight="1" x14ac:dyDescent="0.45">
      <c r="S3935" s="452"/>
      <c r="T3935" s="452"/>
      <c r="U3935" s="452"/>
      <c r="V3935" s="452"/>
      <c r="W3935" s="452"/>
    </row>
    <row r="3936" spans="19:23" ht="15" customHeight="1" x14ac:dyDescent="0.45">
      <c r="S3936" s="452"/>
      <c r="T3936" s="452"/>
      <c r="U3936" s="452"/>
      <c r="V3936" s="452"/>
      <c r="W3936" s="452"/>
    </row>
    <row r="3937" spans="19:23" ht="15" customHeight="1" x14ac:dyDescent="0.45">
      <c r="S3937" s="452"/>
      <c r="T3937" s="452"/>
      <c r="U3937" s="452"/>
      <c r="V3937" s="452"/>
      <c r="W3937" s="452"/>
    </row>
    <row r="3938" spans="19:23" ht="15" customHeight="1" x14ac:dyDescent="0.45">
      <c r="S3938" s="452"/>
      <c r="T3938" s="452"/>
      <c r="U3938" s="452"/>
      <c r="V3938" s="452"/>
      <c r="W3938" s="452"/>
    </row>
    <row r="3939" spans="19:23" ht="15" customHeight="1" x14ac:dyDescent="0.45">
      <c r="S3939" s="452"/>
      <c r="T3939" s="452"/>
      <c r="U3939" s="452"/>
      <c r="V3939" s="452"/>
      <c r="W3939" s="452"/>
    </row>
    <row r="3940" spans="19:23" ht="15" customHeight="1" x14ac:dyDescent="0.45">
      <c r="S3940" s="452"/>
      <c r="T3940" s="452"/>
      <c r="U3940" s="452"/>
      <c r="V3940" s="452"/>
      <c r="W3940" s="452"/>
    </row>
    <row r="3941" spans="19:23" ht="15" customHeight="1" x14ac:dyDescent="0.45">
      <c r="S3941" s="452"/>
      <c r="T3941" s="452"/>
      <c r="U3941" s="452"/>
      <c r="V3941" s="452"/>
      <c r="W3941" s="452"/>
    </row>
    <row r="3942" spans="19:23" ht="15" customHeight="1" x14ac:dyDescent="0.45">
      <c r="S3942" s="452"/>
      <c r="T3942" s="452"/>
      <c r="U3942" s="452"/>
      <c r="V3942" s="452"/>
      <c r="W3942" s="452"/>
    </row>
    <row r="3943" spans="19:23" ht="15" customHeight="1" x14ac:dyDescent="0.45">
      <c r="S3943" s="452"/>
      <c r="T3943" s="452"/>
      <c r="U3943" s="452"/>
      <c r="V3943" s="452"/>
      <c r="W3943" s="452"/>
    </row>
    <row r="3944" spans="19:23" ht="15" customHeight="1" x14ac:dyDescent="0.45">
      <c r="S3944" s="452"/>
      <c r="T3944" s="452"/>
      <c r="U3944" s="452"/>
      <c r="V3944" s="452"/>
      <c r="W3944" s="452"/>
    </row>
    <row r="3945" spans="19:23" ht="15" customHeight="1" x14ac:dyDescent="0.45">
      <c r="S3945" s="452"/>
      <c r="T3945" s="452"/>
      <c r="U3945" s="452"/>
      <c r="V3945" s="452"/>
      <c r="W3945" s="452"/>
    </row>
    <row r="3946" spans="19:23" ht="15" customHeight="1" x14ac:dyDescent="0.45">
      <c r="S3946" s="452"/>
      <c r="T3946" s="452"/>
      <c r="U3946" s="452"/>
      <c r="V3946" s="452"/>
      <c r="W3946" s="452"/>
    </row>
    <row r="3947" spans="19:23" ht="15" customHeight="1" x14ac:dyDescent="0.45">
      <c r="S3947" s="452"/>
      <c r="T3947" s="452"/>
      <c r="U3947" s="452"/>
      <c r="V3947" s="452"/>
      <c r="W3947" s="452"/>
    </row>
    <row r="3948" spans="19:23" ht="15" customHeight="1" x14ac:dyDescent="0.45">
      <c r="S3948" s="452"/>
      <c r="T3948" s="452"/>
      <c r="U3948" s="452"/>
      <c r="V3948" s="452"/>
      <c r="W3948" s="452"/>
    </row>
    <row r="3949" spans="19:23" ht="15" customHeight="1" x14ac:dyDescent="0.45">
      <c r="S3949" s="452"/>
      <c r="T3949" s="452"/>
      <c r="U3949" s="452"/>
      <c r="V3949" s="452"/>
      <c r="W3949" s="452"/>
    </row>
    <row r="3950" spans="19:23" ht="15" customHeight="1" x14ac:dyDescent="0.45">
      <c r="S3950" s="452"/>
      <c r="T3950" s="452"/>
      <c r="U3950" s="452"/>
      <c r="V3950" s="452"/>
      <c r="W3950" s="452"/>
    </row>
    <row r="3951" spans="19:23" ht="15" customHeight="1" x14ac:dyDescent="0.45">
      <c r="S3951" s="452"/>
      <c r="T3951" s="452"/>
      <c r="U3951" s="452"/>
      <c r="V3951" s="452"/>
      <c r="W3951" s="452"/>
    </row>
    <row r="3952" spans="19:23" ht="15" customHeight="1" x14ac:dyDescent="0.45">
      <c r="S3952" s="452"/>
      <c r="T3952" s="452"/>
      <c r="U3952" s="452"/>
      <c r="V3952" s="452"/>
      <c r="W3952" s="452"/>
    </row>
    <row r="3953" spans="19:23" ht="15" customHeight="1" x14ac:dyDescent="0.45">
      <c r="S3953" s="452"/>
      <c r="T3953" s="452"/>
      <c r="U3953" s="452"/>
      <c r="V3953" s="452"/>
      <c r="W3953" s="452"/>
    </row>
    <row r="3954" spans="19:23" ht="15" customHeight="1" x14ac:dyDescent="0.45">
      <c r="S3954" s="452"/>
      <c r="T3954" s="452"/>
      <c r="U3954" s="452"/>
      <c r="V3954" s="452"/>
      <c r="W3954" s="452"/>
    </row>
    <row r="3955" spans="19:23" ht="15" customHeight="1" x14ac:dyDescent="0.45">
      <c r="S3955" s="452"/>
      <c r="T3955" s="452"/>
      <c r="U3955" s="452"/>
      <c r="V3955" s="452"/>
      <c r="W3955" s="452"/>
    </row>
    <row r="3956" spans="19:23" ht="15" customHeight="1" x14ac:dyDescent="0.45">
      <c r="S3956" s="452"/>
      <c r="T3956" s="452"/>
      <c r="U3956" s="452"/>
      <c r="V3956" s="452"/>
      <c r="W3956" s="452"/>
    </row>
    <row r="3957" spans="19:23" ht="15" customHeight="1" x14ac:dyDescent="0.45">
      <c r="S3957" s="452"/>
      <c r="T3957" s="452"/>
      <c r="U3957" s="452"/>
      <c r="V3957" s="452"/>
      <c r="W3957" s="452"/>
    </row>
    <row r="3958" spans="19:23" ht="15" customHeight="1" x14ac:dyDescent="0.45">
      <c r="S3958" s="452"/>
      <c r="T3958" s="452"/>
      <c r="U3958" s="452"/>
      <c r="V3958" s="452"/>
      <c r="W3958" s="452"/>
    </row>
    <row r="3959" spans="19:23" ht="15" customHeight="1" x14ac:dyDescent="0.45">
      <c r="S3959" s="452"/>
      <c r="T3959" s="452"/>
      <c r="U3959" s="452"/>
      <c r="V3959" s="452"/>
      <c r="W3959" s="452"/>
    </row>
    <row r="3960" spans="19:23" ht="15" customHeight="1" x14ac:dyDescent="0.45">
      <c r="S3960" s="452"/>
      <c r="T3960" s="452"/>
      <c r="U3960" s="452"/>
      <c r="V3960" s="452"/>
      <c r="W3960" s="452"/>
    </row>
    <row r="3961" spans="19:23" ht="15" customHeight="1" x14ac:dyDescent="0.45">
      <c r="S3961" s="452"/>
      <c r="T3961" s="452"/>
      <c r="U3961" s="452"/>
      <c r="V3961" s="452"/>
      <c r="W3961" s="452"/>
    </row>
    <row r="3962" spans="19:23" ht="15" customHeight="1" x14ac:dyDescent="0.45">
      <c r="S3962" s="452"/>
      <c r="T3962" s="452"/>
      <c r="U3962" s="452"/>
      <c r="V3962" s="452"/>
      <c r="W3962" s="452"/>
    </row>
    <row r="3963" spans="19:23" ht="15" customHeight="1" x14ac:dyDescent="0.45">
      <c r="S3963" s="452"/>
      <c r="T3963" s="452"/>
      <c r="U3963" s="452"/>
      <c r="V3963" s="452"/>
      <c r="W3963" s="452"/>
    </row>
    <row r="3964" spans="19:23" ht="15" customHeight="1" x14ac:dyDescent="0.45">
      <c r="S3964" s="452"/>
      <c r="T3964" s="452"/>
      <c r="U3964" s="452"/>
      <c r="V3964" s="452"/>
      <c r="W3964" s="452"/>
    </row>
    <row r="3965" spans="19:23" ht="15" customHeight="1" x14ac:dyDescent="0.45">
      <c r="S3965" s="452"/>
      <c r="T3965" s="452"/>
      <c r="U3965" s="452"/>
      <c r="V3965" s="452"/>
      <c r="W3965" s="452"/>
    </row>
    <row r="3966" spans="19:23" ht="15" customHeight="1" x14ac:dyDescent="0.45">
      <c r="S3966" s="452"/>
      <c r="T3966" s="452"/>
      <c r="U3966" s="452"/>
      <c r="V3966" s="452"/>
      <c r="W3966" s="452"/>
    </row>
    <row r="3967" spans="19:23" ht="15" customHeight="1" x14ac:dyDescent="0.45">
      <c r="S3967" s="452"/>
      <c r="T3967" s="452"/>
      <c r="U3967" s="452"/>
      <c r="V3967" s="452"/>
      <c r="W3967" s="452"/>
    </row>
    <row r="3968" spans="19:23" ht="15" customHeight="1" x14ac:dyDescent="0.45">
      <c r="S3968" s="452"/>
      <c r="T3968" s="452"/>
      <c r="U3968" s="452"/>
      <c r="V3968" s="452"/>
      <c r="W3968" s="452"/>
    </row>
    <row r="3969" spans="19:23" ht="15" customHeight="1" x14ac:dyDescent="0.45">
      <c r="S3969" s="452"/>
      <c r="T3969" s="452"/>
      <c r="U3969" s="452"/>
      <c r="V3969" s="452"/>
      <c r="W3969" s="452"/>
    </row>
    <row r="3970" spans="19:23" ht="15" customHeight="1" x14ac:dyDescent="0.45">
      <c r="S3970" s="452"/>
      <c r="T3970" s="452"/>
      <c r="U3970" s="452"/>
      <c r="V3970" s="452"/>
      <c r="W3970" s="452"/>
    </row>
    <row r="3971" spans="19:23" ht="15" customHeight="1" x14ac:dyDescent="0.45">
      <c r="S3971" s="452"/>
      <c r="T3971" s="452"/>
      <c r="U3971" s="452"/>
      <c r="V3971" s="452"/>
      <c r="W3971" s="452"/>
    </row>
    <row r="3972" spans="19:23" ht="15" customHeight="1" x14ac:dyDescent="0.45">
      <c r="S3972" s="452"/>
      <c r="T3972" s="452"/>
      <c r="U3972" s="452"/>
      <c r="V3972" s="452"/>
      <c r="W3972" s="452"/>
    </row>
    <row r="3973" spans="19:23" ht="15" customHeight="1" x14ac:dyDescent="0.45">
      <c r="S3973" s="452"/>
      <c r="T3973" s="452"/>
      <c r="U3973" s="452"/>
      <c r="V3973" s="452"/>
      <c r="W3973" s="452"/>
    </row>
    <row r="3974" spans="19:23" ht="15" customHeight="1" x14ac:dyDescent="0.45">
      <c r="S3974" s="452"/>
      <c r="T3974" s="452"/>
      <c r="U3974" s="452"/>
      <c r="V3974" s="452"/>
      <c r="W3974" s="452"/>
    </row>
    <row r="3975" spans="19:23" ht="15" customHeight="1" x14ac:dyDescent="0.45">
      <c r="S3975" s="452"/>
      <c r="T3975" s="452"/>
      <c r="U3975" s="452"/>
      <c r="V3975" s="452"/>
      <c r="W3975" s="452"/>
    </row>
    <row r="3976" spans="19:23" ht="15" customHeight="1" x14ac:dyDescent="0.45">
      <c r="S3976" s="452"/>
      <c r="T3976" s="452"/>
      <c r="U3976" s="452"/>
      <c r="V3976" s="452"/>
      <c r="W3976" s="452"/>
    </row>
    <row r="3977" spans="19:23" ht="15" customHeight="1" x14ac:dyDescent="0.45">
      <c r="S3977" s="452"/>
      <c r="T3977" s="452"/>
      <c r="U3977" s="452"/>
      <c r="V3977" s="452"/>
      <c r="W3977" s="452"/>
    </row>
    <row r="3978" spans="19:23" ht="15" customHeight="1" x14ac:dyDescent="0.45">
      <c r="S3978" s="452"/>
      <c r="T3978" s="452"/>
      <c r="U3978" s="452"/>
      <c r="V3978" s="452"/>
      <c r="W3978" s="452"/>
    </row>
    <row r="3979" spans="19:23" ht="15" customHeight="1" x14ac:dyDescent="0.45">
      <c r="S3979" s="452"/>
      <c r="T3979" s="452"/>
      <c r="U3979" s="452"/>
      <c r="V3979" s="452"/>
      <c r="W3979" s="452"/>
    </row>
    <row r="3980" spans="19:23" ht="15" customHeight="1" x14ac:dyDescent="0.45">
      <c r="S3980" s="452"/>
      <c r="T3980" s="452"/>
      <c r="U3980" s="452"/>
      <c r="V3980" s="452"/>
      <c r="W3980" s="452"/>
    </row>
    <row r="3981" spans="19:23" ht="15" customHeight="1" x14ac:dyDescent="0.45">
      <c r="S3981" s="452"/>
      <c r="T3981" s="452"/>
      <c r="U3981" s="452"/>
      <c r="V3981" s="452"/>
      <c r="W3981" s="452"/>
    </row>
    <row r="3982" spans="19:23" ht="15" customHeight="1" x14ac:dyDescent="0.45">
      <c r="S3982" s="452"/>
      <c r="T3982" s="452"/>
      <c r="U3982" s="452"/>
      <c r="V3982" s="452"/>
      <c r="W3982" s="452"/>
    </row>
    <row r="3983" spans="19:23" ht="15" customHeight="1" x14ac:dyDescent="0.45">
      <c r="S3983" s="452"/>
      <c r="T3983" s="452"/>
      <c r="U3983" s="452"/>
      <c r="V3983" s="452"/>
      <c r="W3983" s="452"/>
    </row>
    <row r="3984" spans="19:23" ht="15" customHeight="1" x14ac:dyDescent="0.45">
      <c r="S3984" s="452"/>
      <c r="T3984" s="452"/>
      <c r="U3984" s="452"/>
      <c r="V3984" s="452"/>
      <c r="W3984" s="452"/>
    </row>
    <row r="3985" spans="19:23" ht="15" customHeight="1" x14ac:dyDescent="0.45">
      <c r="S3985" s="452"/>
      <c r="T3985" s="452"/>
      <c r="U3985" s="452"/>
      <c r="V3985" s="452"/>
      <c r="W3985" s="452"/>
    </row>
    <row r="3986" spans="19:23" ht="15" customHeight="1" x14ac:dyDescent="0.45">
      <c r="S3986" s="452"/>
      <c r="T3986" s="452"/>
      <c r="U3986" s="452"/>
      <c r="V3986" s="452"/>
      <c r="W3986" s="452"/>
    </row>
    <row r="3987" spans="19:23" ht="15" customHeight="1" x14ac:dyDescent="0.45">
      <c r="S3987" s="452"/>
      <c r="T3987" s="452"/>
      <c r="U3987" s="452"/>
      <c r="V3987" s="452"/>
      <c r="W3987" s="452"/>
    </row>
    <row r="3988" spans="19:23" ht="15" customHeight="1" x14ac:dyDescent="0.45">
      <c r="S3988" s="452"/>
      <c r="T3988" s="452"/>
      <c r="U3988" s="452"/>
      <c r="V3988" s="452"/>
      <c r="W3988" s="452"/>
    </row>
    <row r="3989" spans="19:23" ht="15" customHeight="1" x14ac:dyDescent="0.45">
      <c r="S3989" s="452"/>
      <c r="T3989" s="452"/>
      <c r="U3989" s="452"/>
      <c r="V3989" s="452"/>
      <c r="W3989" s="452"/>
    </row>
    <row r="3990" spans="19:23" ht="15" customHeight="1" x14ac:dyDescent="0.45">
      <c r="S3990" s="452"/>
      <c r="T3990" s="452"/>
      <c r="U3990" s="452"/>
      <c r="V3990" s="452"/>
      <c r="W3990" s="452"/>
    </row>
    <row r="3991" spans="19:23" ht="15" customHeight="1" x14ac:dyDescent="0.45">
      <c r="S3991" s="452"/>
      <c r="T3991" s="452"/>
      <c r="U3991" s="452"/>
      <c r="V3991" s="452"/>
      <c r="W3991" s="452"/>
    </row>
    <row r="3992" spans="19:23" ht="15" customHeight="1" x14ac:dyDescent="0.45">
      <c r="S3992" s="452"/>
      <c r="T3992" s="452"/>
      <c r="U3992" s="452"/>
      <c r="V3992" s="452"/>
      <c r="W3992" s="452"/>
    </row>
    <row r="3993" spans="19:23" ht="15" customHeight="1" x14ac:dyDescent="0.45">
      <c r="S3993" s="452"/>
      <c r="T3993" s="452"/>
      <c r="U3993" s="452"/>
      <c r="V3993" s="452"/>
      <c r="W3993" s="452"/>
    </row>
    <row r="3994" spans="19:23" ht="15" customHeight="1" x14ac:dyDescent="0.45">
      <c r="S3994" s="452"/>
      <c r="T3994" s="452"/>
      <c r="U3994" s="452"/>
      <c r="V3994" s="452"/>
      <c r="W3994" s="452"/>
    </row>
    <row r="3995" spans="19:23" ht="15" customHeight="1" x14ac:dyDescent="0.45">
      <c r="S3995" s="452"/>
      <c r="T3995" s="452"/>
      <c r="U3995" s="452"/>
      <c r="V3995" s="452"/>
      <c r="W3995" s="452"/>
    </row>
    <row r="3996" spans="19:23" ht="15" customHeight="1" x14ac:dyDescent="0.45">
      <c r="S3996" s="452"/>
      <c r="T3996" s="452"/>
      <c r="U3996" s="452"/>
      <c r="V3996" s="452"/>
      <c r="W3996" s="452"/>
    </row>
    <row r="3997" spans="19:23" ht="15" customHeight="1" x14ac:dyDescent="0.45">
      <c r="S3997" s="452"/>
      <c r="T3997" s="452"/>
      <c r="U3997" s="452"/>
      <c r="V3997" s="452"/>
      <c r="W3997" s="452"/>
    </row>
    <row r="3998" spans="19:23" ht="15" customHeight="1" x14ac:dyDescent="0.45">
      <c r="S3998" s="452"/>
      <c r="T3998" s="452"/>
      <c r="U3998" s="452"/>
      <c r="V3998" s="452"/>
      <c r="W3998" s="452"/>
    </row>
    <row r="3999" spans="19:23" ht="15" customHeight="1" x14ac:dyDescent="0.45">
      <c r="S3999" s="452"/>
      <c r="T3999" s="452"/>
      <c r="U3999" s="452"/>
      <c r="V3999" s="452"/>
      <c r="W3999" s="452"/>
    </row>
    <row r="4000" spans="19:23" ht="15" customHeight="1" x14ac:dyDescent="0.45">
      <c r="S4000" s="452"/>
      <c r="T4000" s="452"/>
      <c r="U4000" s="452"/>
      <c r="V4000" s="452"/>
      <c r="W4000" s="452"/>
    </row>
    <row r="4001" spans="19:23" ht="15" customHeight="1" x14ac:dyDescent="0.45">
      <c r="S4001" s="452"/>
      <c r="T4001" s="452"/>
      <c r="U4001" s="452"/>
      <c r="V4001" s="452"/>
      <c r="W4001" s="452"/>
    </row>
    <row r="4002" spans="19:23" ht="15" customHeight="1" x14ac:dyDescent="0.45">
      <c r="S4002" s="452"/>
      <c r="T4002" s="452"/>
      <c r="U4002" s="452"/>
      <c r="V4002" s="452"/>
      <c r="W4002" s="452"/>
    </row>
    <row r="4003" spans="19:23" ht="15" customHeight="1" x14ac:dyDescent="0.45">
      <c r="S4003" s="452"/>
      <c r="T4003" s="452"/>
      <c r="U4003" s="452"/>
      <c r="V4003" s="452"/>
      <c r="W4003" s="452"/>
    </row>
    <row r="4004" spans="19:23" ht="15" customHeight="1" x14ac:dyDescent="0.45">
      <c r="S4004" s="452"/>
      <c r="T4004" s="452"/>
      <c r="U4004" s="452"/>
      <c r="V4004" s="452"/>
      <c r="W4004" s="452"/>
    </row>
    <row r="4005" spans="19:23" ht="15" customHeight="1" x14ac:dyDescent="0.45">
      <c r="S4005" s="452"/>
      <c r="T4005" s="452"/>
      <c r="U4005" s="452"/>
      <c r="V4005" s="452"/>
      <c r="W4005" s="452"/>
    </row>
    <row r="4006" spans="19:23" ht="15" customHeight="1" x14ac:dyDescent="0.45">
      <c r="S4006" s="452"/>
      <c r="T4006" s="452"/>
      <c r="U4006" s="452"/>
      <c r="V4006" s="452"/>
      <c r="W4006" s="452"/>
    </row>
    <row r="4007" spans="19:23" ht="15" customHeight="1" x14ac:dyDescent="0.45">
      <c r="S4007" s="452"/>
      <c r="T4007" s="452"/>
      <c r="U4007" s="452"/>
      <c r="V4007" s="452"/>
      <c r="W4007" s="452"/>
    </row>
    <row r="4008" spans="19:23" ht="15" customHeight="1" x14ac:dyDescent="0.45">
      <c r="S4008" s="452"/>
      <c r="T4008" s="452"/>
      <c r="U4008" s="452"/>
      <c r="V4008" s="452"/>
      <c r="W4008" s="452"/>
    </row>
    <row r="4009" spans="19:23" ht="15" customHeight="1" x14ac:dyDescent="0.45">
      <c r="S4009" s="452"/>
      <c r="T4009" s="452"/>
      <c r="U4009" s="452"/>
      <c r="V4009" s="452"/>
      <c r="W4009" s="452"/>
    </row>
    <row r="4010" spans="19:23" ht="15" customHeight="1" x14ac:dyDescent="0.45">
      <c r="S4010" s="452"/>
      <c r="T4010" s="452"/>
      <c r="U4010" s="452"/>
      <c r="V4010" s="452"/>
      <c r="W4010" s="452"/>
    </row>
    <row r="4011" spans="19:23" ht="15" customHeight="1" x14ac:dyDescent="0.45">
      <c r="S4011" s="452"/>
      <c r="T4011" s="452"/>
      <c r="U4011" s="452"/>
      <c r="V4011" s="452"/>
      <c r="W4011" s="452"/>
    </row>
    <row r="4012" spans="19:23" ht="15" customHeight="1" x14ac:dyDescent="0.45">
      <c r="S4012" s="452"/>
      <c r="T4012" s="452"/>
      <c r="U4012" s="452"/>
      <c r="V4012" s="452"/>
      <c r="W4012" s="452"/>
    </row>
    <row r="4013" spans="19:23" ht="15" customHeight="1" x14ac:dyDescent="0.45">
      <c r="S4013" s="452"/>
      <c r="T4013" s="452"/>
      <c r="U4013" s="452"/>
      <c r="V4013" s="452"/>
      <c r="W4013" s="452"/>
    </row>
    <row r="4014" spans="19:23" ht="15" customHeight="1" x14ac:dyDescent="0.45">
      <c r="S4014" s="452"/>
      <c r="T4014" s="452"/>
      <c r="U4014" s="452"/>
      <c r="V4014" s="452"/>
      <c r="W4014" s="452"/>
    </row>
    <row r="4015" spans="19:23" ht="15" customHeight="1" x14ac:dyDescent="0.45">
      <c r="S4015" s="452"/>
      <c r="T4015" s="452"/>
      <c r="U4015" s="452"/>
      <c r="V4015" s="452"/>
      <c r="W4015" s="452"/>
    </row>
    <row r="4016" spans="19:23" ht="15" customHeight="1" x14ac:dyDescent="0.45">
      <c r="S4016" s="452"/>
      <c r="T4016" s="452"/>
      <c r="U4016" s="452"/>
      <c r="V4016" s="452"/>
      <c r="W4016" s="452"/>
    </row>
    <row r="4017" spans="19:23" ht="15" customHeight="1" x14ac:dyDescent="0.45">
      <c r="S4017" s="452"/>
      <c r="T4017" s="452"/>
      <c r="U4017" s="452"/>
      <c r="V4017" s="452"/>
      <c r="W4017" s="452"/>
    </row>
    <row r="4018" spans="19:23" ht="15" customHeight="1" x14ac:dyDescent="0.45">
      <c r="S4018" s="452"/>
      <c r="T4018" s="452"/>
      <c r="U4018" s="452"/>
      <c r="V4018" s="452"/>
      <c r="W4018" s="452"/>
    </row>
    <row r="4019" spans="19:23" ht="15" customHeight="1" x14ac:dyDescent="0.45">
      <c r="S4019" s="452"/>
      <c r="T4019" s="452"/>
      <c r="U4019" s="452"/>
      <c r="V4019" s="452"/>
      <c r="W4019" s="452"/>
    </row>
    <row r="4020" spans="19:23" ht="15" customHeight="1" x14ac:dyDescent="0.45">
      <c r="S4020" s="452"/>
      <c r="T4020" s="452"/>
      <c r="U4020" s="452"/>
      <c r="V4020" s="452"/>
      <c r="W4020" s="452"/>
    </row>
    <row r="4021" spans="19:23" ht="15" customHeight="1" x14ac:dyDescent="0.45">
      <c r="S4021" s="452"/>
      <c r="T4021" s="452"/>
      <c r="U4021" s="452"/>
      <c r="V4021" s="452"/>
      <c r="W4021" s="452"/>
    </row>
    <row r="4022" spans="19:23" ht="15" customHeight="1" x14ac:dyDescent="0.45">
      <c r="S4022" s="452"/>
      <c r="T4022" s="452"/>
      <c r="U4022" s="452"/>
      <c r="V4022" s="452"/>
      <c r="W4022" s="452"/>
    </row>
    <row r="4023" spans="19:23" ht="15" customHeight="1" x14ac:dyDescent="0.45">
      <c r="S4023" s="452"/>
      <c r="T4023" s="452"/>
      <c r="U4023" s="452"/>
      <c r="V4023" s="452"/>
      <c r="W4023" s="452"/>
    </row>
    <row r="4024" spans="19:23" ht="15" customHeight="1" x14ac:dyDescent="0.45">
      <c r="S4024" s="452"/>
      <c r="T4024" s="452"/>
      <c r="U4024" s="452"/>
      <c r="V4024" s="452"/>
      <c r="W4024" s="452"/>
    </row>
    <row r="4025" spans="19:23" ht="15" customHeight="1" x14ac:dyDescent="0.45">
      <c r="S4025" s="452"/>
      <c r="T4025" s="452"/>
      <c r="U4025" s="452"/>
      <c r="V4025" s="452"/>
      <c r="W4025" s="452"/>
    </row>
    <row r="4026" spans="19:23" ht="15" customHeight="1" x14ac:dyDescent="0.45">
      <c r="S4026" s="452"/>
      <c r="T4026" s="452"/>
      <c r="U4026" s="452"/>
      <c r="V4026" s="452"/>
      <c r="W4026" s="452"/>
    </row>
    <row r="4027" spans="19:23" ht="15" customHeight="1" x14ac:dyDescent="0.45">
      <c r="S4027" s="452"/>
      <c r="T4027" s="452"/>
      <c r="U4027" s="452"/>
      <c r="V4027" s="452"/>
      <c r="W4027" s="452"/>
    </row>
    <row r="4028" spans="19:23" ht="15" customHeight="1" x14ac:dyDescent="0.45">
      <c r="S4028" s="452"/>
      <c r="T4028" s="452"/>
      <c r="U4028" s="452"/>
      <c r="V4028" s="452"/>
      <c r="W4028" s="452"/>
    </row>
    <row r="4029" spans="19:23" ht="15" customHeight="1" x14ac:dyDescent="0.45">
      <c r="S4029" s="452"/>
      <c r="T4029" s="452"/>
      <c r="U4029" s="452"/>
      <c r="V4029" s="452"/>
      <c r="W4029" s="452"/>
    </row>
    <row r="4030" spans="19:23" ht="15" customHeight="1" x14ac:dyDescent="0.45">
      <c r="S4030" s="452"/>
      <c r="T4030" s="452"/>
      <c r="U4030" s="452"/>
      <c r="V4030" s="452"/>
      <c r="W4030" s="452"/>
    </row>
    <row r="4031" spans="19:23" ht="15" customHeight="1" x14ac:dyDescent="0.45">
      <c r="S4031" s="452"/>
      <c r="T4031" s="452"/>
      <c r="U4031" s="452"/>
      <c r="V4031" s="452"/>
      <c r="W4031" s="452"/>
    </row>
    <row r="4032" spans="19:23" ht="15" customHeight="1" x14ac:dyDescent="0.45">
      <c r="S4032" s="452"/>
      <c r="T4032" s="452"/>
      <c r="U4032" s="452"/>
      <c r="V4032" s="452"/>
      <c r="W4032" s="452"/>
    </row>
    <row r="4033" spans="19:23" ht="15" customHeight="1" x14ac:dyDescent="0.45">
      <c r="S4033" s="452"/>
      <c r="T4033" s="452"/>
      <c r="U4033" s="452"/>
      <c r="V4033" s="452"/>
      <c r="W4033" s="452"/>
    </row>
    <row r="4034" spans="19:23" ht="15" customHeight="1" x14ac:dyDescent="0.45">
      <c r="S4034" s="452"/>
      <c r="T4034" s="452"/>
      <c r="U4034" s="452"/>
      <c r="V4034" s="452"/>
      <c r="W4034" s="452"/>
    </row>
    <row r="4035" spans="19:23" ht="15" customHeight="1" x14ac:dyDescent="0.45">
      <c r="S4035" s="452"/>
      <c r="T4035" s="452"/>
      <c r="U4035" s="452"/>
      <c r="V4035" s="452"/>
      <c r="W4035" s="452"/>
    </row>
    <row r="4036" spans="19:23" ht="15" customHeight="1" x14ac:dyDescent="0.45">
      <c r="S4036" s="452"/>
      <c r="T4036" s="452"/>
      <c r="U4036" s="452"/>
      <c r="V4036" s="452"/>
      <c r="W4036" s="452"/>
    </row>
    <row r="4037" spans="19:23" ht="15" customHeight="1" x14ac:dyDescent="0.45">
      <c r="S4037" s="452"/>
      <c r="T4037" s="452"/>
      <c r="U4037" s="452"/>
      <c r="V4037" s="452"/>
      <c r="W4037" s="452"/>
    </row>
    <row r="4038" spans="19:23" ht="15" customHeight="1" x14ac:dyDescent="0.45">
      <c r="S4038" s="452"/>
      <c r="T4038" s="452"/>
      <c r="U4038" s="452"/>
      <c r="V4038" s="452"/>
      <c r="W4038" s="452"/>
    </row>
    <row r="4039" spans="19:23" ht="15" customHeight="1" x14ac:dyDescent="0.45">
      <c r="S4039" s="452"/>
      <c r="T4039" s="452"/>
      <c r="U4039" s="452"/>
      <c r="V4039" s="452"/>
      <c r="W4039" s="452"/>
    </row>
    <row r="4040" spans="19:23" ht="15" customHeight="1" x14ac:dyDescent="0.45">
      <c r="S4040" s="452"/>
      <c r="T4040" s="452"/>
      <c r="U4040" s="452"/>
      <c r="V4040" s="452"/>
      <c r="W4040" s="452"/>
    </row>
    <row r="4041" spans="19:23" ht="15" customHeight="1" x14ac:dyDescent="0.45">
      <c r="S4041" s="452"/>
      <c r="T4041" s="452"/>
      <c r="U4041" s="452"/>
      <c r="V4041" s="452"/>
      <c r="W4041" s="452"/>
    </row>
    <row r="4042" spans="19:23" ht="15" customHeight="1" x14ac:dyDescent="0.45">
      <c r="S4042" s="452"/>
      <c r="T4042" s="452"/>
      <c r="U4042" s="452"/>
      <c r="V4042" s="452"/>
      <c r="W4042" s="452"/>
    </row>
    <row r="4043" spans="19:23" ht="15" customHeight="1" x14ac:dyDescent="0.45">
      <c r="S4043" s="452"/>
      <c r="T4043" s="452"/>
      <c r="U4043" s="452"/>
      <c r="V4043" s="452"/>
      <c r="W4043" s="452"/>
    </row>
    <row r="4044" spans="19:23" ht="15" customHeight="1" x14ac:dyDescent="0.45">
      <c r="S4044" s="452"/>
      <c r="T4044" s="452"/>
      <c r="U4044" s="452"/>
      <c r="V4044" s="452"/>
      <c r="W4044" s="452"/>
    </row>
    <row r="4045" spans="19:23" ht="15" customHeight="1" x14ac:dyDescent="0.45">
      <c r="S4045" s="452"/>
      <c r="T4045" s="452"/>
      <c r="U4045" s="452"/>
      <c r="V4045" s="452"/>
      <c r="W4045" s="452"/>
    </row>
    <row r="4046" spans="19:23" ht="15" customHeight="1" x14ac:dyDescent="0.45">
      <c r="S4046" s="452"/>
      <c r="T4046" s="452"/>
      <c r="U4046" s="452"/>
      <c r="V4046" s="452"/>
      <c r="W4046" s="452"/>
    </row>
    <row r="4047" spans="19:23" ht="15" customHeight="1" x14ac:dyDescent="0.45">
      <c r="S4047" s="452"/>
      <c r="T4047" s="452"/>
      <c r="U4047" s="452"/>
      <c r="V4047" s="452"/>
      <c r="W4047" s="452"/>
    </row>
    <row r="4048" spans="19:23" ht="15" customHeight="1" x14ac:dyDescent="0.45">
      <c r="S4048" s="452"/>
      <c r="T4048" s="452"/>
      <c r="U4048" s="452"/>
      <c r="V4048" s="452"/>
      <c r="W4048" s="452"/>
    </row>
    <row r="4049" spans="19:23" ht="15" customHeight="1" x14ac:dyDescent="0.45">
      <c r="S4049" s="452"/>
      <c r="T4049" s="452"/>
      <c r="U4049" s="452"/>
      <c r="V4049" s="452"/>
      <c r="W4049" s="452"/>
    </row>
    <row r="4050" spans="19:23" ht="15" customHeight="1" x14ac:dyDescent="0.45">
      <c r="S4050" s="452"/>
      <c r="T4050" s="452"/>
      <c r="U4050" s="452"/>
      <c r="V4050" s="452"/>
      <c r="W4050" s="452"/>
    </row>
    <row r="4051" spans="19:23" ht="15" customHeight="1" x14ac:dyDescent="0.45">
      <c r="S4051" s="452"/>
      <c r="T4051" s="452"/>
      <c r="U4051" s="452"/>
      <c r="V4051" s="452"/>
      <c r="W4051" s="452"/>
    </row>
    <row r="4052" spans="19:23" ht="15" customHeight="1" x14ac:dyDescent="0.45">
      <c r="S4052" s="452"/>
      <c r="T4052" s="452"/>
      <c r="U4052" s="452"/>
      <c r="V4052" s="452"/>
      <c r="W4052" s="452"/>
    </row>
    <row r="4053" spans="19:23" ht="15" customHeight="1" x14ac:dyDescent="0.45">
      <c r="S4053" s="452"/>
      <c r="T4053" s="452"/>
      <c r="U4053" s="452"/>
      <c r="V4053" s="452"/>
      <c r="W4053" s="452"/>
    </row>
    <row r="4054" spans="19:23" ht="15" customHeight="1" x14ac:dyDescent="0.45">
      <c r="S4054" s="452"/>
      <c r="T4054" s="452"/>
      <c r="U4054" s="452"/>
      <c r="V4054" s="452"/>
      <c r="W4054" s="452"/>
    </row>
    <row r="4055" spans="19:23" ht="15" customHeight="1" x14ac:dyDescent="0.45">
      <c r="S4055" s="452"/>
      <c r="T4055" s="452"/>
      <c r="U4055" s="452"/>
      <c r="V4055" s="452"/>
      <c r="W4055" s="452"/>
    </row>
    <row r="4056" spans="19:23" ht="15" customHeight="1" x14ac:dyDescent="0.45">
      <c r="S4056" s="452"/>
      <c r="T4056" s="452"/>
      <c r="U4056" s="452"/>
      <c r="V4056" s="452"/>
      <c r="W4056" s="452"/>
    </row>
    <row r="4057" spans="19:23" ht="15" customHeight="1" x14ac:dyDescent="0.45">
      <c r="S4057" s="452"/>
      <c r="T4057" s="452"/>
      <c r="U4057" s="452"/>
      <c r="V4057" s="452"/>
      <c r="W4057" s="452"/>
    </row>
    <row r="4058" spans="19:23" ht="15" customHeight="1" x14ac:dyDescent="0.45">
      <c r="S4058" s="452"/>
      <c r="T4058" s="452"/>
      <c r="U4058" s="452"/>
      <c r="V4058" s="452"/>
      <c r="W4058" s="452"/>
    </row>
    <row r="4059" spans="19:23" ht="15" customHeight="1" x14ac:dyDescent="0.45">
      <c r="S4059" s="452"/>
      <c r="T4059" s="452"/>
      <c r="U4059" s="452"/>
      <c r="V4059" s="452"/>
      <c r="W4059" s="452"/>
    </row>
    <row r="4060" spans="19:23" ht="15" customHeight="1" x14ac:dyDescent="0.45">
      <c r="S4060" s="452"/>
      <c r="T4060" s="452"/>
      <c r="U4060" s="452"/>
      <c r="V4060" s="452"/>
      <c r="W4060" s="452"/>
    </row>
    <row r="4061" spans="19:23" ht="15" customHeight="1" x14ac:dyDescent="0.45">
      <c r="S4061" s="452"/>
      <c r="T4061" s="452"/>
      <c r="U4061" s="452"/>
      <c r="V4061" s="452"/>
      <c r="W4061" s="452"/>
    </row>
    <row r="4062" spans="19:23" ht="15" customHeight="1" x14ac:dyDescent="0.45">
      <c r="S4062" s="452"/>
      <c r="T4062" s="452"/>
      <c r="U4062" s="452"/>
      <c r="V4062" s="452"/>
      <c r="W4062" s="452"/>
    </row>
    <row r="4063" spans="19:23" ht="15" customHeight="1" x14ac:dyDescent="0.45">
      <c r="S4063" s="452"/>
      <c r="T4063" s="452"/>
      <c r="U4063" s="452"/>
      <c r="V4063" s="452"/>
      <c r="W4063" s="452"/>
    </row>
    <row r="4064" spans="19:23" ht="15" customHeight="1" x14ac:dyDescent="0.45">
      <c r="S4064" s="452"/>
      <c r="T4064" s="452"/>
      <c r="U4064" s="452"/>
      <c r="V4064" s="452"/>
      <c r="W4064" s="452"/>
    </row>
    <row r="4065" spans="19:23" ht="15" customHeight="1" x14ac:dyDescent="0.45">
      <c r="S4065" s="452"/>
      <c r="T4065" s="452"/>
      <c r="U4065" s="452"/>
      <c r="V4065" s="452"/>
      <c r="W4065" s="452"/>
    </row>
    <row r="4066" spans="19:23" ht="15" customHeight="1" x14ac:dyDescent="0.45">
      <c r="S4066" s="452"/>
      <c r="T4066" s="452"/>
      <c r="U4066" s="452"/>
      <c r="V4066" s="452"/>
      <c r="W4066" s="452"/>
    </row>
    <row r="4067" spans="19:23" ht="15" customHeight="1" x14ac:dyDescent="0.45">
      <c r="S4067" s="452"/>
      <c r="T4067" s="452"/>
      <c r="U4067" s="452"/>
      <c r="V4067" s="452"/>
      <c r="W4067" s="452"/>
    </row>
    <row r="4068" spans="19:23" ht="15" customHeight="1" x14ac:dyDescent="0.45">
      <c r="S4068" s="452"/>
      <c r="T4068" s="452"/>
      <c r="U4068" s="452"/>
      <c r="V4068" s="452"/>
      <c r="W4068" s="452"/>
    </row>
    <row r="4069" spans="19:23" ht="15" customHeight="1" x14ac:dyDescent="0.45">
      <c r="S4069" s="452"/>
      <c r="T4069" s="452"/>
      <c r="U4069" s="452"/>
      <c r="V4069" s="452"/>
      <c r="W4069" s="452"/>
    </row>
    <row r="4070" spans="19:23" ht="15" customHeight="1" x14ac:dyDescent="0.45">
      <c r="S4070" s="452"/>
      <c r="T4070" s="452"/>
      <c r="U4070" s="452"/>
      <c r="V4070" s="452"/>
      <c r="W4070" s="452"/>
    </row>
    <row r="4071" spans="19:23" ht="15" customHeight="1" x14ac:dyDescent="0.45">
      <c r="S4071" s="452"/>
      <c r="T4071" s="452"/>
      <c r="U4071" s="452"/>
      <c r="V4071" s="452"/>
      <c r="W4071" s="452"/>
    </row>
    <row r="4072" spans="19:23" ht="15" customHeight="1" x14ac:dyDescent="0.45">
      <c r="S4072" s="452"/>
      <c r="T4072" s="452"/>
      <c r="U4072" s="452"/>
      <c r="V4072" s="452"/>
      <c r="W4072" s="452"/>
    </row>
    <row r="4073" spans="19:23" ht="15" customHeight="1" x14ac:dyDescent="0.45">
      <c r="S4073" s="452"/>
      <c r="T4073" s="452"/>
      <c r="U4073" s="452"/>
      <c r="V4073" s="452"/>
      <c r="W4073" s="452"/>
    </row>
    <row r="4074" spans="19:23" ht="15" customHeight="1" x14ac:dyDescent="0.45">
      <c r="S4074" s="452"/>
      <c r="T4074" s="452"/>
      <c r="U4074" s="452"/>
      <c r="V4074" s="452"/>
      <c r="W4074" s="452"/>
    </row>
    <row r="4075" spans="19:23" ht="15" customHeight="1" x14ac:dyDescent="0.45">
      <c r="S4075" s="452"/>
      <c r="T4075" s="452"/>
      <c r="U4075" s="452"/>
      <c r="V4075" s="452"/>
      <c r="W4075" s="452"/>
    </row>
    <row r="4076" spans="19:23" ht="15" customHeight="1" x14ac:dyDescent="0.45">
      <c r="S4076" s="452"/>
      <c r="T4076" s="452"/>
      <c r="U4076" s="452"/>
      <c r="V4076" s="452"/>
      <c r="W4076" s="452"/>
    </row>
    <row r="4077" spans="19:23" ht="15" customHeight="1" x14ac:dyDescent="0.45">
      <c r="S4077" s="452"/>
      <c r="T4077" s="452"/>
      <c r="U4077" s="452"/>
      <c r="V4077" s="452"/>
      <c r="W4077" s="452"/>
    </row>
    <row r="4078" spans="19:23" ht="15" customHeight="1" x14ac:dyDescent="0.45">
      <c r="S4078" s="452"/>
      <c r="T4078" s="452"/>
      <c r="U4078" s="452"/>
      <c r="V4078" s="452"/>
      <c r="W4078" s="452"/>
    </row>
    <row r="4079" spans="19:23" ht="15" customHeight="1" x14ac:dyDescent="0.45">
      <c r="S4079" s="452"/>
      <c r="T4079" s="452"/>
      <c r="U4079" s="452"/>
      <c r="V4079" s="452"/>
      <c r="W4079" s="452"/>
    </row>
    <row r="4080" spans="19:23" ht="15" customHeight="1" x14ac:dyDescent="0.45">
      <c r="S4080" s="452"/>
      <c r="T4080" s="452"/>
      <c r="U4080" s="452"/>
      <c r="V4080" s="452"/>
      <c r="W4080" s="452"/>
    </row>
    <row r="4081" spans="19:23" ht="15" customHeight="1" x14ac:dyDescent="0.45">
      <c r="S4081" s="452"/>
      <c r="T4081" s="452"/>
      <c r="U4081" s="452"/>
      <c r="V4081" s="452"/>
      <c r="W4081" s="452"/>
    </row>
    <row r="4082" spans="19:23" ht="15" customHeight="1" x14ac:dyDescent="0.45">
      <c r="S4082" s="452"/>
      <c r="T4082" s="452"/>
      <c r="U4082" s="452"/>
      <c r="V4082" s="452"/>
      <c r="W4082" s="452"/>
    </row>
    <row r="4083" spans="19:23" ht="15" customHeight="1" x14ac:dyDescent="0.45">
      <c r="S4083" s="452"/>
      <c r="T4083" s="452"/>
      <c r="U4083" s="452"/>
      <c r="V4083" s="452"/>
      <c r="W4083" s="452"/>
    </row>
    <row r="4084" spans="19:23" ht="15" customHeight="1" x14ac:dyDescent="0.45">
      <c r="S4084" s="452"/>
      <c r="T4084" s="452"/>
      <c r="U4084" s="452"/>
      <c r="V4084" s="452"/>
      <c r="W4084" s="452"/>
    </row>
    <row r="4085" spans="19:23" ht="15" customHeight="1" x14ac:dyDescent="0.45">
      <c r="S4085" s="452"/>
      <c r="T4085" s="452"/>
      <c r="U4085" s="452"/>
      <c r="V4085" s="452"/>
      <c r="W4085" s="452"/>
    </row>
    <row r="4086" spans="19:23" ht="15" customHeight="1" x14ac:dyDescent="0.45">
      <c r="S4086" s="452"/>
      <c r="T4086" s="452"/>
      <c r="U4086" s="452"/>
      <c r="V4086" s="452"/>
      <c r="W4086" s="452"/>
    </row>
    <row r="4087" spans="19:23" ht="15" customHeight="1" x14ac:dyDescent="0.45">
      <c r="S4087" s="452"/>
      <c r="T4087" s="452"/>
      <c r="U4087" s="452"/>
      <c r="V4087" s="452"/>
      <c r="W4087" s="452"/>
    </row>
    <row r="4088" spans="19:23" ht="15" customHeight="1" x14ac:dyDescent="0.45">
      <c r="S4088" s="452"/>
      <c r="T4088" s="452"/>
      <c r="U4088" s="452"/>
      <c r="V4088" s="452"/>
      <c r="W4088" s="452"/>
    </row>
    <row r="4089" spans="19:23" ht="15" customHeight="1" x14ac:dyDescent="0.45">
      <c r="S4089" s="452"/>
      <c r="T4089" s="452"/>
      <c r="U4089" s="452"/>
      <c r="V4089" s="452"/>
      <c r="W4089" s="452"/>
    </row>
    <row r="4090" spans="19:23" ht="15" customHeight="1" x14ac:dyDescent="0.45">
      <c r="S4090" s="452"/>
      <c r="T4090" s="452"/>
      <c r="U4090" s="452"/>
      <c r="V4090" s="452"/>
      <c r="W4090" s="452"/>
    </row>
    <row r="4091" spans="19:23" ht="15" customHeight="1" x14ac:dyDescent="0.45">
      <c r="S4091" s="452"/>
      <c r="T4091" s="452"/>
      <c r="U4091" s="452"/>
      <c r="V4091" s="452"/>
      <c r="W4091" s="452"/>
    </row>
    <row r="4092" spans="19:23" ht="15" customHeight="1" x14ac:dyDescent="0.45">
      <c r="S4092" s="452"/>
      <c r="T4092" s="452"/>
      <c r="U4092" s="452"/>
      <c r="V4092" s="452"/>
      <c r="W4092" s="452"/>
    </row>
    <row r="4093" spans="19:23" ht="15" customHeight="1" x14ac:dyDescent="0.45">
      <c r="S4093" s="452"/>
      <c r="T4093" s="452"/>
      <c r="U4093" s="452"/>
      <c r="V4093" s="452"/>
      <c r="W4093" s="452"/>
    </row>
    <row r="4094" spans="19:23" ht="15" customHeight="1" x14ac:dyDescent="0.45">
      <c r="S4094" s="452"/>
      <c r="T4094" s="452"/>
      <c r="U4094" s="452"/>
      <c r="V4094" s="452"/>
      <c r="W4094" s="452"/>
    </row>
    <row r="4095" spans="19:23" ht="15" customHeight="1" x14ac:dyDescent="0.45">
      <c r="S4095" s="452"/>
      <c r="T4095" s="452"/>
      <c r="U4095" s="452"/>
      <c r="V4095" s="452"/>
      <c r="W4095" s="452"/>
    </row>
    <row r="4096" spans="19:23" ht="15" customHeight="1" x14ac:dyDescent="0.45">
      <c r="S4096" s="452"/>
      <c r="T4096" s="452"/>
      <c r="U4096" s="452"/>
      <c r="V4096" s="452"/>
      <c r="W4096" s="452"/>
    </row>
    <row r="4097" spans="19:23" ht="15" customHeight="1" x14ac:dyDescent="0.45">
      <c r="S4097" s="452"/>
      <c r="T4097" s="452"/>
      <c r="U4097" s="452"/>
      <c r="V4097" s="452"/>
      <c r="W4097" s="452"/>
    </row>
    <row r="4098" spans="19:23" ht="15" customHeight="1" x14ac:dyDescent="0.45">
      <c r="S4098" s="452"/>
      <c r="T4098" s="452"/>
      <c r="U4098" s="452"/>
      <c r="V4098" s="452"/>
      <c r="W4098" s="452"/>
    </row>
    <row r="4099" spans="19:23" ht="15" customHeight="1" x14ac:dyDescent="0.45">
      <c r="S4099" s="452"/>
      <c r="T4099" s="452"/>
      <c r="U4099" s="452"/>
      <c r="V4099" s="452"/>
      <c r="W4099" s="452"/>
    </row>
    <row r="4100" spans="19:23" ht="15" customHeight="1" x14ac:dyDescent="0.45">
      <c r="S4100" s="452"/>
      <c r="T4100" s="452"/>
      <c r="U4100" s="452"/>
      <c r="V4100" s="452"/>
      <c r="W4100" s="452"/>
    </row>
    <row r="4101" spans="19:23" ht="15" customHeight="1" x14ac:dyDescent="0.45">
      <c r="S4101" s="452"/>
      <c r="T4101" s="452"/>
      <c r="U4101" s="452"/>
      <c r="V4101" s="452"/>
      <c r="W4101" s="452"/>
    </row>
    <row r="4102" spans="19:23" ht="15" customHeight="1" x14ac:dyDescent="0.45">
      <c r="S4102" s="452"/>
      <c r="T4102" s="452"/>
      <c r="U4102" s="452"/>
      <c r="V4102" s="452"/>
      <c r="W4102" s="452"/>
    </row>
    <row r="4103" spans="19:23" ht="15" customHeight="1" x14ac:dyDescent="0.45">
      <c r="S4103" s="452"/>
      <c r="T4103" s="452"/>
      <c r="U4103" s="452"/>
      <c r="V4103" s="452"/>
      <c r="W4103" s="452"/>
    </row>
    <row r="4104" spans="19:23" ht="15" customHeight="1" x14ac:dyDescent="0.45">
      <c r="S4104" s="452"/>
      <c r="T4104" s="452"/>
      <c r="U4104" s="452"/>
      <c r="V4104" s="452"/>
      <c r="W4104" s="452"/>
    </row>
    <row r="4105" spans="19:23" ht="15" customHeight="1" x14ac:dyDescent="0.45">
      <c r="S4105" s="452"/>
      <c r="T4105" s="452"/>
      <c r="U4105" s="452"/>
      <c r="V4105" s="452"/>
      <c r="W4105" s="452"/>
    </row>
    <row r="4106" spans="19:23" ht="15" customHeight="1" x14ac:dyDescent="0.45">
      <c r="S4106" s="452"/>
      <c r="T4106" s="452"/>
      <c r="U4106" s="452"/>
      <c r="V4106" s="452"/>
      <c r="W4106" s="452"/>
    </row>
    <row r="4107" spans="19:23" ht="15" customHeight="1" x14ac:dyDescent="0.45">
      <c r="S4107" s="452"/>
      <c r="T4107" s="452"/>
      <c r="U4107" s="452"/>
      <c r="V4107" s="452"/>
      <c r="W4107" s="452"/>
    </row>
    <row r="4108" spans="19:23" ht="15" customHeight="1" x14ac:dyDescent="0.45">
      <c r="S4108" s="452"/>
      <c r="T4108" s="452"/>
      <c r="U4108" s="452"/>
      <c r="V4108" s="452"/>
      <c r="W4108" s="452"/>
    </row>
    <row r="4109" spans="19:23" ht="15" customHeight="1" x14ac:dyDescent="0.45">
      <c r="S4109" s="452"/>
      <c r="T4109" s="452"/>
      <c r="U4109" s="452"/>
      <c r="V4109" s="452"/>
      <c r="W4109" s="452"/>
    </row>
    <row r="4110" spans="19:23" ht="15" customHeight="1" x14ac:dyDescent="0.45">
      <c r="S4110" s="452"/>
      <c r="T4110" s="452"/>
      <c r="U4110" s="452"/>
      <c r="V4110" s="452"/>
      <c r="W4110" s="452"/>
    </row>
    <row r="4111" spans="19:23" ht="15" customHeight="1" x14ac:dyDescent="0.45">
      <c r="S4111" s="452"/>
      <c r="T4111" s="452"/>
      <c r="U4111" s="452"/>
      <c r="V4111" s="452"/>
      <c r="W4111" s="452"/>
    </row>
    <row r="4112" spans="19:23" ht="15" customHeight="1" x14ac:dyDescent="0.45">
      <c r="S4112" s="452"/>
      <c r="T4112" s="452"/>
      <c r="U4112" s="452"/>
      <c r="V4112" s="452"/>
      <c r="W4112" s="452"/>
    </row>
    <row r="4113" spans="19:23" ht="15" customHeight="1" x14ac:dyDescent="0.45">
      <c r="S4113" s="452"/>
      <c r="T4113" s="452"/>
      <c r="U4113" s="452"/>
      <c r="V4113" s="452"/>
      <c r="W4113" s="452"/>
    </row>
    <row r="4114" spans="19:23" ht="15" customHeight="1" x14ac:dyDescent="0.45">
      <c r="S4114" s="452"/>
      <c r="T4114" s="452"/>
      <c r="U4114" s="452"/>
      <c r="V4114" s="452"/>
      <c r="W4114" s="452"/>
    </row>
    <row r="4115" spans="19:23" ht="15" customHeight="1" x14ac:dyDescent="0.45">
      <c r="S4115" s="452"/>
      <c r="T4115" s="452"/>
      <c r="U4115" s="452"/>
      <c r="V4115" s="452"/>
      <c r="W4115" s="452"/>
    </row>
    <row r="4116" spans="19:23" ht="15" customHeight="1" x14ac:dyDescent="0.45">
      <c r="S4116" s="452"/>
      <c r="T4116" s="452"/>
      <c r="U4116" s="452"/>
      <c r="V4116" s="452"/>
      <c r="W4116" s="452"/>
    </row>
    <row r="4117" spans="19:23" ht="15" customHeight="1" x14ac:dyDescent="0.45">
      <c r="S4117" s="452"/>
      <c r="T4117" s="452"/>
      <c r="U4117" s="452"/>
      <c r="V4117" s="452"/>
      <c r="W4117" s="452"/>
    </row>
    <row r="4118" spans="19:23" ht="15" customHeight="1" x14ac:dyDescent="0.45">
      <c r="S4118" s="452"/>
      <c r="T4118" s="452"/>
      <c r="U4118" s="452"/>
      <c r="V4118" s="452"/>
      <c r="W4118" s="452"/>
    </row>
    <row r="4119" spans="19:23" ht="15" customHeight="1" x14ac:dyDescent="0.45">
      <c r="S4119" s="452"/>
      <c r="T4119" s="452"/>
      <c r="U4119" s="452"/>
      <c r="V4119" s="452"/>
      <c r="W4119" s="452"/>
    </row>
    <row r="4120" spans="19:23" ht="15" customHeight="1" x14ac:dyDescent="0.45">
      <c r="S4120" s="452"/>
      <c r="T4120" s="452"/>
      <c r="U4120" s="452"/>
      <c r="V4120" s="452"/>
      <c r="W4120" s="452"/>
    </row>
    <row r="4121" spans="19:23" ht="15" customHeight="1" x14ac:dyDescent="0.45">
      <c r="S4121" s="452"/>
      <c r="T4121" s="452"/>
      <c r="U4121" s="452"/>
      <c r="V4121" s="452"/>
      <c r="W4121" s="452"/>
    </row>
    <row r="4122" spans="19:23" ht="15" customHeight="1" x14ac:dyDescent="0.45">
      <c r="S4122" s="452"/>
      <c r="T4122" s="452"/>
      <c r="U4122" s="452"/>
      <c r="V4122" s="452"/>
      <c r="W4122" s="452"/>
    </row>
    <row r="4123" spans="19:23" ht="15" customHeight="1" x14ac:dyDescent="0.45">
      <c r="S4123" s="452"/>
      <c r="T4123" s="452"/>
      <c r="U4123" s="452"/>
      <c r="V4123" s="452"/>
      <c r="W4123" s="452"/>
    </row>
    <row r="4124" spans="19:23" ht="15" customHeight="1" x14ac:dyDescent="0.45">
      <c r="S4124" s="452"/>
      <c r="T4124" s="452"/>
      <c r="U4124" s="452"/>
      <c r="V4124" s="452"/>
      <c r="W4124" s="452"/>
    </row>
    <row r="4125" spans="19:23" ht="15" customHeight="1" x14ac:dyDescent="0.45">
      <c r="S4125" s="452"/>
      <c r="T4125" s="452"/>
      <c r="U4125" s="452"/>
      <c r="V4125" s="452"/>
      <c r="W4125" s="452"/>
    </row>
    <row r="4126" spans="19:23" ht="15" customHeight="1" x14ac:dyDescent="0.45">
      <c r="S4126" s="452"/>
      <c r="T4126" s="452"/>
      <c r="U4126" s="452"/>
      <c r="V4126" s="452"/>
      <c r="W4126" s="452"/>
    </row>
    <row r="4127" spans="19:23" ht="15" customHeight="1" x14ac:dyDescent="0.45">
      <c r="S4127" s="452"/>
      <c r="T4127" s="452"/>
      <c r="U4127" s="452"/>
      <c r="V4127" s="452"/>
      <c r="W4127" s="452"/>
    </row>
    <row r="4128" spans="19:23" ht="15" customHeight="1" x14ac:dyDescent="0.45">
      <c r="S4128" s="452"/>
      <c r="T4128" s="452"/>
      <c r="U4128" s="452"/>
      <c r="V4128" s="452"/>
      <c r="W4128" s="452"/>
    </row>
    <row r="4129" spans="19:23" ht="15" customHeight="1" x14ac:dyDescent="0.45">
      <c r="S4129" s="452"/>
      <c r="T4129" s="452"/>
      <c r="U4129" s="452"/>
      <c r="V4129" s="452"/>
      <c r="W4129" s="452"/>
    </row>
    <row r="4130" spans="19:23" ht="15" customHeight="1" x14ac:dyDescent="0.45">
      <c r="S4130" s="452"/>
      <c r="T4130" s="452"/>
      <c r="U4130" s="452"/>
      <c r="V4130" s="452"/>
      <c r="W4130" s="452"/>
    </row>
    <row r="4131" spans="19:23" ht="15" customHeight="1" x14ac:dyDescent="0.45">
      <c r="S4131" s="452"/>
      <c r="T4131" s="452"/>
      <c r="U4131" s="452"/>
      <c r="V4131" s="452"/>
      <c r="W4131" s="452"/>
    </row>
    <row r="4132" spans="19:23" ht="15" customHeight="1" x14ac:dyDescent="0.45">
      <c r="S4132" s="452"/>
      <c r="T4132" s="452"/>
      <c r="U4132" s="452"/>
      <c r="V4132" s="452"/>
      <c r="W4132" s="452"/>
    </row>
    <row r="4133" spans="19:23" ht="15" customHeight="1" x14ac:dyDescent="0.45">
      <c r="S4133" s="452"/>
      <c r="T4133" s="452"/>
      <c r="U4133" s="452"/>
      <c r="V4133" s="452"/>
      <c r="W4133" s="452"/>
    </row>
    <row r="4134" spans="19:23" ht="15" customHeight="1" x14ac:dyDescent="0.45">
      <c r="S4134" s="452"/>
      <c r="T4134" s="452"/>
      <c r="U4134" s="452"/>
      <c r="V4134" s="452"/>
      <c r="W4134" s="452"/>
    </row>
    <row r="4135" spans="19:23" ht="15" customHeight="1" x14ac:dyDescent="0.45">
      <c r="S4135" s="452"/>
      <c r="T4135" s="452"/>
      <c r="U4135" s="452"/>
      <c r="V4135" s="452"/>
      <c r="W4135" s="452"/>
    </row>
    <row r="4136" spans="19:23" ht="15" customHeight="1" x14ac:dyDescent="0.45">
      <c r="S4136" s="452"/>
      <c r="T4136" s="452"/>
      <c r="U4136" s="452"/>
      <c r="V4136" s="452"/>
      <c r="W4136" s="452"/>
    </row>
    <row r="4137" spans="19:23" ht="15" customHeight="1" x14ac:dyDescent="0.45">
      <c r="S4137" s="452"/>
      <c r="T4137" s="452"/>
      <c r="U4137" s="452"/>
      <c r="V4137" s="452"/>
      <c r="W4137" s="452"/>
    </row>
    <row r="4138" spans="19:23" ht="15" customHeight="1" x14ac:dyDescent="0.45">
      <c r="S4138" s="452"/>
      <c r="T4138" s="452"/>
      <c r="U4138" s="452"/>
      <c r="V4138" s="452"/>
      <c r="W4138" s="452"/>
    </row>
    <row r="4139" spans="19:23" ht="15" customHeight="1" x14ac:dyDescent="0.45">
      <c r="S4139" s="452"/>
      <c r="T4139" s="452"/>
      <c r="U4139" s="452"/>
      <c r="V4139" s="452"/>
      <c r="W4139" s="452"/>
    </row>
    <row r="4140" spans="19:23" ht="15" customHeight="1" x14ac:dyDescent="0.45">
      <c r="S4140" s="452"/>
      <c r="T4140" s="452"/>
      <c r="U4140" s="452"/>
      <c r="V4140" s="452"/>
      <c r="W4140" s="452"/>
    </row>
    <row r="4141" spans="19:23" ht="15" customHeight="1" x14ac:dyDescent="0.45">
      <c r="S4141" s="452"/>
      <c r="T4141" s="452"/>
      <c r="U4141" s="452"/>
      <c r="V4141" s="452"/>
      <c r="W4141" s="452"/>
    </row>
    <row r="4142" spans="19:23" ht="15" customHeight="1" x14ac:dyDescent="0.45">
      <c r="S4142" s="452"/>
      <c r="T4142" s="452"/>
      <c r="U4142" s="452"/>
      <c r="V4142" s="452"/>
      <c r="W4142" s="452"/>
    </row>
    <row r="4143" spans="19:23" ht="15" customHeight="1" x14ac:dyDescent="0.45">
      <c r="S4143" s="452"/>
      <c r="T4143" s="452"/>
      <c r="U4143" s="452"/>
      <c r="V4143" s="452"/>
      <c r="W4143" s="452"/>
    </row>
    <row r="4144" spans="19:23" ht="15" customHeight="1" x14ac:dyDescent="0.45">
      <c r="S4144" s="452"/>
      <c r="T4144" s="452"/>
      <c r="U4144" s="452"/>
      <c r="V4144" s="452"/>
      <c r="W4144" s="452"/>
    </row>
    <row r="4145" spans="19:23" ht="15" customHeight="1" x14ac:dyDescent="0.45">
      <c r="S4145" s="452"/>
      <c r="T4145" s="452"/>
      <c r="U4145" s="452"/>
      <c r="V4145" s="452"/>
      <c r="W4145" s="452"/>
    </row>
    <row r="4146" spans="19:23" ht="15" customHeight="1" x14ac:dyDescent="0.45">
      <c r="S4146" s="452"/>
      <c r="T4146" s="452"/>
      <c r="U4146" s="452"/>
      <c r="V4146" s="452"/>
      <c r="W4146" s="452"/>
    </row>
    <row r="4147" spans="19:23" ht="15" customHeight="1" x14ac:dyDescent="0.45">
      <c r="S4147" s="452"/>
      <c r="T4147" s="452"/>
      <c r="U4147" s="452"/>
      <c r="V4147" s="452"/>
      <c r="W4147" s="452"/>
    </row>
    <row r="4148" spans="19:23" ht="15" customHeight="1" x14ac:dyDescent="0.45">
      <c r="S4148" s="452"/>
      <c r="T4148" s="452"/>
      <c r="U4148" s="452"/>
      <c r="V4148" s="452"/>
      <c r="W4148" s="452"/>
    </row>
    <row r="4149" spans="19:23" ht="15" customHeight="1" x14ac:dyDescent="0.45">
      <c r="S4149" s="452"/>
      <c r="T4149" s="452"/>
      <c r="U4149" s="452"/>
      <c r="V4149" s="452"/>
      <c r="W4149" s="452"/>
    </row>
    <row r="4150" spans="19:23" ht="15" customHeight="1" x14ac:dyDescent="0.45">
      <c r="S4150" s="452"/>
      <c r="T4150" s="452"/>
      <c r="U4150" s="452"/>
      <c r="V4150" s="452"/>
      <c r="W4150" s="452"/>
    </row>
    <row r="4151" spans="19:23" ht="15" customHeight="1" x14ac:dyDescent="0.45">
      <c r="S4151" s="452"/>
      <c r="T4151" s="452"/>
      <c r="U4151" s="452"/>
      <c r="V4151" s="452"/>
      <c r="W4151" s="452"/>
    </row>
    <row r="4152" spans="19:23" ht="15" customHeight="1" x14ac:dyDescent="0.45">
      <c r="S4152" s="452"/>
      <c r="T4152" s="452"/>
      <c r="U4152" s="452"/>
      <c r="V4152" s="452"/>
      <c r="W4152" s="452"/>
    </row>
    <row r="4153" spans="19:23" ht="15" customHeight="1" x14ac:dyDescent="0.45">
      <c r="S4153" s="452"/>
      <c r="T4153" s="452"/>
      <c r="U4153" s="452"/>
      <c r="V4153" s="452"/>
      <c r="W4153" s="452"/>
    </row>
    <row r="4154" spans="19:23" ht="15" customHeight="1" x14ac:dyDescent="0.45">
      <c r="S4154" s="452"/>
      <c r="T4154" s="452"/>
      <c r="U4154" s="452"/>
      <c r="V4154" s="452"/>
      <c r="W4154" s="452"/>
    </row>
    <row r="4155" spans="19:23" ht="15" customHeight="1" x14ac:dyDescent="0.45">
      <c r="S4155" s="452"/>
      <c r="T4155" s="452"/>
      <c r="U4155" s="452"/>
      <c r="V4155" s="452"/>
      <c r="W4155" s="452"/>
    </row>
    <row r="4156" spans="19:23" ht="15" customHeight="1" x14ac:dyDescent="0.45">
      <c r="S4156" s="452"/>
      <c r="T4156" s="452"/>
      <c r="U4156" s="452"/>
      <c r="V4156" s="452"/>
      <c r="W4156" s="452"/>
    </row>
    <row r="4157" spans="19:23" ht="15" customHeight="1" x14ac:dyDescent="0.45">
      <c r="S4157" s="452"/>
      <c r="T4157" s="452"/>
      <c r="U4157" s="452"/>
      <c r="V4157" s="452"/>
      <c r="W4157" s="452"/>
    </row>
    <row r="4158" spans="19:23" ht="15" customHeight="1" x14ac:dyDescent="0.45">
      <c r="S4158" s="452"/>
      <c r="T4158" s="452"/>
      <c r="U4158" s="452"/>
      <c r="V4158" s="452"/>
      <c r="W4158" s="452"/>
    </row>
    <row r="4159" spans="19:23" ht="15" customHeight="1" x14ac:dyDescent="0.45">
      <c r="S4159" s="452"/>
      <c r="T4159" s="452"/>
      <c r="U4159" s="452"/>
      <c r="V4159" s="452"/>
      <c r="W4159" s="452"/>
    </row>
    <row r="4160" spans="19:23" ht="15" customHeight="1" x14ac:dyDescent="0.45">
      <c r="S4160" s="452"/>
      <c r="T4160" s="452"/>
      <c r="U4160" s="452"/>
      <c r="V4160" s="452"/>
      <c r="W4160" s="452"/>
    </row>
    <row r="4161" spans="19:23" ht="15" customHeight="1" x14ac:dyDescent="0.45">
      <c r="S4161" s="452"/>
      <c r="T4161" s="452"/>
      <c r="U4161" s="452"/>
      <c r="V4161" s="452"/>
      <c r="W4161" s="452"/>
    </row>
    <row r="4162" spans="19:23" ht="15" customHeight="1" x14ac:dyDescent="0.45">
      <c r="S4162" s="452"/>
      <c r="T4162" s="452"/>
      <c r="U4162" s="452"/>
      <c r="V4162" s="452"/>
      <c r="W4162" s="452"/>
    </row>
    <row r="4163" spans="19:23" ht="15" customHeight="1" x14ac:dyDescent="0.45">
      <c r="S4163" s="452"/>
      <c r="T4163" s="452"/>
      <c r="U4163" s="452"/>
      <c r="V4163" s="452"/>
      <c r="W4163" s="452"/>
    </row>
    <row r="4164" spans="19:23" ht="15" customHeight="1" x14ac:dyDescent="0.45">
      <c r="S4164" s="452"/>
      <c r="T4164" s="452"/>
      <c r="U4164" s="452"/>
      <c r="V4164" s="452"/>
      <c r="W4164" s="452"/>
    </row>
    <row r="4165" spans="19:23" ht="15" customHeight="1" x14ac:dyDescent="0.45">
      <c r="S4165" s="452"/>
      <c r="T4165" s="452"/>
      <c r="U4165" s="452"/>
      <c r="V4165" s="452"/>
      <c r="W4165" s="452"/>
    </row>
    <row r="4166" spans="19:23" ht="15" customHeight="1" x14ac:dyDescent="0.45">
      <c r="S4166" s="452"/>
      <c r="T4166" s="452"/>
      <c r="U4166" s="452"/>
      <c r="V4166" s="452"/>
      <c r="W4166" s="452"/>
    </row>
    <row r="4167" spans="19:23" ht="15" customHeight="1" x14ac:dyDescent="0.45">
      <c r="S4167" s="452"/>
      <c r="T4167" s="452"/>
      <c r="U4167" s="452"/>
      <c r="V4167" s="452"/>
      <c r="W4167" s="452"/>
    </row>
    <row r="4168" spans="19:23" ht="15" customHeight="1" x14ac:dyDescent="0.45">
      <c r="S4168" s="452"/>
      <c r="T4168" s="452"/>
      <c r="U4168" s="452"/>
      <c r="V4168" s="452"/>
      <c r="W4168" s="452"/>
    </row>
    <row r="4169" spans="19:23" ht="15" customHeight="1" x14ac:dyDescent="0.45">
      <c r="S4169" s="452"/>
      <c r="T4169" s="452"/>
      <c r="U4169" s="452"/>
      <c r="V4169" s="452"/>
      <c r="W4169" s="452"/>
    </row>
    <row r="4170" spans="19:23" ht="15" customHeight="1" x14ac:dyDescent="0.45">
      <c r="S4170" s="452"/>
      <c r="T4170" s="452"/>
      <c r="U4170" s="452"/>
      <c r="V4170" s="452"/>
      <c r="W4170" s="452"/>
    </row>
    <row r="4171" spans="19:23" ht="15" customHeight="1" x14ac:dyDescent="0.45">
      <c r="S4171" s="452"/>
      <c r="T4171" s="452"/>
      <c r="U4171" s="452"/>
      <c r="V4171" s="452"/>
      <c r="W4171" s="452"/>
    </row>
    <row r="4172" spans="19:23" ht="15" customHeight="1" x14ac:dyDescent="0.45">
      <c r="S4172" s="452"/>
      <c r="T4172" s="452"/>
      <c r="U4172" s="452"/>
      <c r="V4172" s="452"/>
      <c r="W4172" s="452"/>
    </row>
    <row r="4173" spans="19:23" ht="15" customHeight="1" x14ac:dyDescent="0.45">
      <c r="S4173" s="452"/>
      <c r="T4173" s="452"/>
      <c r="U4173" s="452"/>
      <c r="V4173" s="452"/>
      <c r="W4173" s="452"/>
    </row>
    <row r="4174" spans="19:23" ht="15" customHeight="1" x14ac:dyDescent="0.45">
      <c r="S4174" s="452"/>
      <c r="T4174" s="452"/>
      <c r="U4174" s="452"/>
      <c r="V4174" s="452"/>
      <c r="W4174" s="452"/>
    </row>
    <row r="4175" spans="19:23" ht="15" customHeight="1" x14ac:dyDescent="0.45">
      <c r="S4175" s="452"/>
      <c r="T4175" s="452"/>
      <c r="U4175" s="452"/>
      <c r="V4175" s="452"/>
      <c r="W4175" s="452"/>
    </row>
    <row r="4176" spans="19:23" ht="15" customHeight="1" x14ac:dyDescent="0.45">
      <c r="S4176" s="452"/>
      <c r="T4176" s="452"/>
      <c r="U4176" s="452"/>
      <c r="V4176" s="452"/>
      <c r="W4176" s="452"/>
    </row>
    <row r="4177" spans="19:23" ht="15" customHeight="1" x14ac:dyDescent="0.45">
      <c r="S4177" s="452"/>
      <c r="T4177" s="452"/>
      <c r="U4177" s="452"/>
      <c r="V4177" s="452"/>
      <c r="W4177" s="452"/>
    </row>
    <row r="4178" spans="19:23" ht="15" customHeight="1" x14ac:dyDescent="0.45">
      <c r="S4178" s="452"/>
      <c r="T4178" s="452"/>
      <c r="U4178" s="452"/>
      <c r="V4178" s="452"/>
      <c r="W4178" s="452"/>
    </row>
    <row r="4179" spans="19:23" ht="15" customHeight="1" x14ac:dyDescent="0.45">
      <c r="S4179" s="452"/>
      <c r="T4179" s="452"/>
      <c r="U4179" s="452"/>
      <c r="V4179" s="452"/>
      <c r="W4179" s="452"/>
    </row>
    <row r="4180" spans="19:23" ht="15" customHeight="1" x14ac:dyDescent="0.45">
      <c r="S4180" s="452"/>
      <c r="T4180" s="452"/>
      <c r="U4180" s="452"/>
      <c r="V4180" s="452"/>
      <c r="W4180" s="452"/>
    </row>
    <row r="4181" spans="19:23" ht="15" customHeight="1" x14ac:dyDescent="0.45">
      <c r="S4181" s="452"/>
      <c r="T4181" s="452"/>
      <c r="U4181" s="452"/>
      <c r="V4181" s="452"/>
      <c r="W4181" s="452"/>
    </row>
    <row r="4182" spans="19:23" ht="15" customHeight="1" x14ac:dyDescent="0.45">
      <c r="S4182" s="452"/>
      <c r="T4182" s="452"/>
      <c r="U4182" s="452"/>
      <c r="V4182" s="452"/>
      <c r="W4182" s="452"/>
    </row>
    <row r="4183" spans="19:23" ht="15" customHeight="1" x14ac:dyDescent="0.45">
      <c r="S4183" s="452"/>
      <c r="T4183" s="452"/>
      <c r="U4183" s="452"/>
      <c r="V4183" s="452"/>
      <c r="W4183" s="452"/>
    </row>
    <row r="4184" spans="19:23" ht="15" customHeight="1" x14ac:dyDescent="0.45">
      <c r="S4184" s="452"/>
      <c r="T4184" s="452"/>
      <c r="U4184" s="452"/>
      <c r="V4184" s="452"/>
      <c r="W4184" s="452"/>
    </row>
    <row r="4185" spans="19:23" ht="15" customHeight="1" x14ac:dyDescent="0.45">
      <c r="S4185" s="452"/>
      <c r="T4185" s="452"/>
      <c r="U4185" s="452"/>
      <c r="V4185" s="452"/>
      <c r="W4185" s="452"/>
    </row>
    <row r="4186" spans="19:23" ht="15" customHeight="1" x14ac:dyDescent="0.45">
      <c r="S4186" s="452"/>
      <c r="T4186" s="452"/>
      <c r="U4186" s="452"/>
      <c r="V4186" s="452"/>
      <c r="W4186" s="452"/>
    </row>
    <row r="4187" spans="19:23" ht="15" customHeight="1" x14ac:dyDescent="0.45">
      <c r="S4187" s="452"/>
      <c r="T4187" s="452"/>
      <c r="U4187" s="452"/>
      <c r="V4187" s="452"/>
      <c r="W4187" s="452"/>
    </row>
    <row r="4188" spans="19:23" ht="15" customHeight="1" x14ac:dyDescent="0.45">
      <c r="S4188" s="452"/>
      <c r="T4188" s="452"/>
      <c r="U4188" s="452"/>
      <c r="V4188" s="452"/>
      <c r="W4188" s="452"/>
    </row>
    <row r="4189" spans="19:23" ht="15" customHeight="1" x14ac:dyDescent="0.45">
      <c r="S4189" s="452"/>
      <c r="T4189" s="452"/>
      <c r="U4189" s="452"/>
      <c r="V4189" s="452"/>
      <c r="W4189" s="452"/>
    </row>
    <row r="4190" spans="19:23" ht="15" customHeight="1" x14ac:dyDescent="0.45">
      <c r="S4190" s="452"/>
      <c r="T4190" s="452"/>
      <c r="U4190" s="452"/>
      <c r="V4190" s="452"/>
      <c r="W4190" s="452"/>
    </row>
    <row r="4191" spans="19:23" ht="15" customHeight="1" x14ac:dyDescent="0.45">
      <c r="S4191" s="452"/>
      <c r="T4191" s="452"/>
      <c r="U4191" s="452"/>
      <c r="V4191" s="452"/>
      <c r="W4191" s="452"/>
    </row>
    <row r="4192" spans="19:23" ht="15" customHeight="1" x14ac:dyDescent="0.45">
      <c r="S4192" s="452"/>
      <c r="T4192" s="452"/>
      <c r="U4192" s="452"/>
      <c r="V4192" s="452"/>
      <c r="W4192" s="452"/>
    </row>
    <row r="4193" spans="19:23" ht="15" customHeight="1" x14ac:dyDescent="0.45">
      <c r="S4193" s="452"/>
      <c r="T4193" s="452"/>
      <c r="U4193" s="452"/>
      <c r="V4193" s="452"/>
      <c r="W4193" s="452"/>
    </row>
    <row r="4194" spans="19:23" ht="15" customHeight="1" x14ac:dyDescent="0.45">
      <c r="S4194" s="452"/>
      <c r="T4194" s="452"/>
      <c r="U4194" s="452"/>
      <c r="V4194" s="452"/>
      <c r="W4194" s="452"/>
    </row>
    <row r="4195" spans="19:23" ht="15" customHeight="1" x14ac:dyDescent="0.45">
      <c r="S4195" s="452"/>
      <c r="T4195" s="452"/>
      <c r="U4195" s="452"/>
      <c r="V4195" s="452"/>
      <c r="W4195" s="452"/>
    </row>
    <row r="4196" spans="19:23" ht="15" customHeight="1" x14ac:dyDescent="0.45">
      <c r="S4196" s="452"/>
      <c r="T4196" s="452"/>
      <c r="U4196" s="452"/>
      <c r="V4196" s="452"/>
      <c r="W4196" s="452"/>
    </row>
    <row r="4197" spans="19:23" ht="15" customHeight="1" x14ac:dyDescent="0.45">
      <c r="S4197" s="452"/>
      <c r="T4197" s="452"/>
      <c r="U4197" s="452"/>
      <c r="V4197" s="452"/>
      <c r="W4197" s="452"/>
    </row>
    <row r="4198" spans="19:23" ht="15" customHeight="1" x14ac:dyDescent="0.45">
      <c r="S4198" s="452"/>
      <c r="T4198" s="452"/>
      <c r="U4198" s="452"/>
      <c r="V4198" s="452"/>
      <c r="W4198" s="452"/>
    </row>
    <row r="4199" spans="19:23" ht="15" customHeight="1" x14ac:dyDescent="0.45">
      <c r="S4199" s="452"/>
      <c r="T4199" s="452"/>
      <c r="U4199" s="452"/>
      <c r="V4199" s="452"/>
      <c r="W4199" s="452"/>
    </row>
    <row r="4200" spans="19:23" ht="15" customHeight="1" x14ac:dyDescent="0.45">
      <c r="S4200" s="452"/>
      <c r="T4200" s="452"/>
      <c r="U4200" s="452"/>
      <c r="V4200" s="452"/>
      <c r="W4200" s="452"/>
    </row>
    <row r="4201" spans="19:23" ht="15" customHeight="1" x14ac:dyDescent="0.45">
      <c r="S4201" s="452"/>
      <c r="T4201" s="452"/>
      <c r="U4201" s="452"/>
      <c r="V4201" s="452"/>
      <c r="W4201" s="452"/>
    </row>
    <row r="4202" spans="19:23" ht="15" customHeight="1" x14ac:dyDescent="0.45">
      <c r="S4202" s="452"/>
      <c r="T4202" s="452"/>
      <c r="U4202" s="452"/>
      <c r="V4202" s="452"/>
      <c r="W4202" s="452"/>
    </row>
    <row r="4203" spans="19:23" ht="15" customHeight="1" x14ac:dyDescent="0.45">
      <c r="S4203" s="452"/>
      <c r="T4203" s="452"/>
      <c r="U4203" s="452"/>
      <c r="V4203" s="452"/>
      <c r="W4203" s="452"/>
    </row>
    <row r="4204" spans="19:23" ht="15" customHeight="1" x14ac:dyDescent="0.45">
      <c r="S4204" s="452"/>
      <c r="T4204" s="452"/>
      <c r="U4204" s="452"/>
      <c r="V4204" s="452"/>
      <c r="W4204" s="452"/>
    </row>
    <row r="4205" spans="19:23" ht="15" customHeight="1" x14ac:dyDescent="0.45">
      <c r="S4205" s="452"/>
      <c r="T4205" s="452"/>
      <c r="U4205" s="452"/>
      <c r="V4205" s="452"/>
      <c r="W4205" s="452"/>
    </row>
    <row r="4206" spans="19:23" ht="15" customHeight="1" x14ac:dyDescent="0.45">
      <c r="S4206" s="452"/>
      <c r="T4206" s="452"/>
      <c r="U4206" s="452"/>
      <c r="V4206" s="452"/>
      <c r="W4206" s="452"/>
    </row>
    <row r="4207" spans="19:23" ht="15" customHeight="1" x14ac:dyDescent="0.45">
      <c r="S4207" s="452"/>
      <c r="T4207" s="452"/>
      <c r="U4207" s="452"/>
      <c r="V4207" s="452"/>
      <c r="W4207" s="452"/>
    </row>
    <row r="4208" spans="19:23" ht="15" customHeight="1" x14ac:dyDescent="0.45">
      <c r="S4208" s="452"/>
      <c r="T4208" s="452"/>
      <c r="U4208" s="452"/>
      <c r="V4208" s="452"/>
      <c r="W4208" s="452"/>
    </row>
    <row r="4209" spans="19:23" ht="15" customHeight="1" x14ac:dyDescent="0.45">
      <c r="S4209" s="452"/>
      <c r="T4209" s="452"/>
      <c r="U4209" s="452"/>
      <c r="V4209" s="452"/>
      <c r="W4209" s="452"/>
    </row>
    <row r="4210" spans="19:23" ht="15" customHeight="1" x14ac:dyDescent="0.45">
      <c r="S4210" s="452"/>
      <c r="T4210" s="452"/>
      <c r="U4210" s="452"/>
      <c r="V4210" s="452"/>
      <c r="W4210" s="452"/>
    </row>
    <row r="4211" spans="19:23" ht="15" customHeight="1" x14ac:dyDescent="0.45">
      <c r="S4211" s="452"/>
      <c r="T4211" s="452"/>
      <c r="U4211" s="452"/>
      <c r="V4211" s="452"/>
      <c r="W4211" s="452"/>
    </row>
    <row r="4212" spans="19:23" ht="15" customHeight="1" x14ac:dyDescent="0.45">
      <c r="S4212" s="452"/>
      <c r="T4212" s="452"/>
      <c r="U4212" s="452"/>
      <c r="V4212" s="452"/>
      <c r="W4212" s="452"/>
    </row>
    <row r="4213" spans="19:23" ht="15" customHeight="1" x14ac:dyDescent="0.45">
      <c r="S4213" s="452"/>
      <c r="T4213" s="452"/>
      <c r="U4213" s="452"/>
      <c r="V4213" s="452"/>
      <c r="W4213" s="452"/>
    </row>
    <row r="4214" spans="19:23" ht="15" customHeight="1" x14ac:dyDescent="0.45">
      <c r="S4214" s="452"/>
      <c r="T4214" s="452"/>
      <c r="U4214" s="452"/>
      <c r="V4214" s="452"/>
      <c r="W4214" s="452"/>
    </row>
    <row r="4215" spans="19:23" ht="15" customHeight="1" x14ac:dyDescent="0.45">
      <c r="S4215" s="452"/>
      <c r="T4215" s="452"/>
      <c r="U4215" s="452"/>
      <c r="V4215" s="452"/>
      <c r="W4215" s="452"/>
    </row>
    <row r="4216" spans="19:23" ht="15" customHeight="1" x14ac:dyDescent="0.45">
      <c r="S4216" s="452"/>
      <c r="T4216" s="452"/>
      <c r="U4216" s="452"/>
      <c r="V4216" s="452"/>
      <c r="W4216" s="452"/>
    </row>
    <row r="4217" spans="19:23" ht="15" customHeight="1" x14ac:dyDescent="0.45">
      <c r="S4217" s="452"/>
      <c r="T4217" s="452"/>
      <c r="U4217" s="452"/>
      <c r="V4217" s="452"/>
      <c r="W4217" s="452"/>
    </row>
    <row r="4218" spans="19:23" ht="15" customHeight="1" x14ac:dyDescent="0.45">
      <c r="S4218" s="452"/>
      <c r="T4218" s="452"/>
      <c r="U4218" s="452"/>
      <c r="V4218" s="452"/>
      <c r="W4218" s="452"/>
    </row>
    <row r="4219" spans="19:23" ht="15" customHeight="1" x14ac:dyDescent="0.45">
      <c r="S4219" s="452"/>
      <c r="T4219" s="452"/>
      <c r="U4219" s="452"/>
      <c r="V4219" s="452"/>
      <c r="W4219" s="452"/>
    </row>
    <row r="4220" spans="19:23" ht="15" customHeight="1" x14ac:dyDescent="0.45">
      <c r="S4220" s="452"/>
      <c r="T4220" s="452"/>
      <c r="U4220" s="452"/>
      <c r="V4220" s="452"/>
      <c r="W4220" s="452"/>
    </row>
    <row r="4221" spans="19:23" ht="15" customHeight="1" x14ac:dyDescent="0.45">
      <c r="S4221" s="452"/>
      <c r="T4221" s="452"/>
      <c r="U4221" s="452"/>
      <c r="V4221" s="452"/>
      <c r="W4221" s="452"/>
    </row>
    <row r="4222" spans="19:23" ht="15" customHeight="1" x14ac:dyDescent="0.45">
      <c r="S4222" s="452"/>
      <c r="T4222" s="452"/>
      <c r="U4222" s="452"/>
      <c r="V4222" s="452"/>
      <c r="W4222" s="452"/>
    </row>
    <row r="4223" spans="19:23" ht="15" customHeight="1" x14ac:dyDescent="0.45">
      <c r="S4223" s="452"/>
      <c r="T4223" s="452"/>
      <c r="U4223" s="452"/>
      <c r="V4223" s="452"/>
      <c r="W4223" s="452"/>
    </row>
    <row r="4224" spans="19:23" ht="15" customHeight="1" x14ac:dyDescent="0.45">
      <c r="S4224" s="452"/>
      <c r="T4224" s="452"/>
      <c r="U4224" s="452"/>
      <c r="V4224" s="452"/>
      <c r="W4224" s="452"/>
    </row>
    <row r="4225" spans="19:23" ht="15" customHeight="1" x14ac:dyDescent="0.45">
      <c r="S4225" s="452"/>
      <c r="T4225" s="452"/>
      <c r="U4225" s="452"/>
      <c r="V4225" s="452"/>
      <c r="W4225" s="452"/>
    </row>
    <row r="4226" spans="19:23" ht="15" customHeight="1" x14ac:dyDescent="0.45">
      <c r="S4226" s="452"/>
      <c r="T4226" s="452"/>
      <c r="U4226" s="452"/>
      <c r="V4226" s="452"/>
      <c r="W4226" s="452"/>
    </row>
    <row r="4227" spans="19:23" ht="15" customHeight="1" x14ac:dyDescent="0.45">
      <c r="S4227" s="452"/>
      <c r="T4227" s="452"/>
      <c r="U4227" s="452"/>
      <c r="V4227" s="452"/>
      <c r="W4227" s="452"/>
    </row>
    <row r="4228" spans="19:23" ht="15" customHeight="1" x14ac:dyDescent="0.45">
      <c r="S4228" s="452"/>
      <c r="T4228" s="452"/>
      <c r="U4228" s="452"/>
      <c r="V4228" s="452"/>
      <c r="W4228" s="452"/>
    </row>
    <row r="4229" spans="19:23" ht="15" customHeight="1" x14ac:dyDescent="0.45">
      <c r="S4229" s="452"/>
      <c r="T4229" s="452"/>
      <c r="U4229" s="452"/>
      <c r="V4229" s="452"/>
      <c r="W4229" s="452"/>
    </row>
    <row r="4230" spans="19:23" ht="15" customHeight="1" x14ac:dyDescent="0.45">
      <c r="S4230" s="452"/>
      <c r="T4230" s="452"/>
      <c r="U4230" s="452"/>
      <c r="V4230" s="452"/>
      <c r="W4230" s="452"/>
    </row>
    <row r="4231" spans="19:23" ht="15" customHeight="1" x14ac:dyDescent="0.45">
      <c r="S4231" s="452"/>
      <c r="T4231" s="452"/>
      <c r="U4231" s="452"/>
      <c r="V4231" s="452"/>
      <c r="W4231" s="452"/>
    </row>
    <row r="4232" spans="19:23" ht="15" customHeight="1" x14ac:dyDescent="0.45">
      <c r="S4232" s="452"/>
      <c r="T4232" s="452"/>
      <c r="U4232" s="452"/>
      <c r="V4232" s="452"/>
      <c r="W4232" s="452"/>
    </row>
    <row r="4233" spans="19:23" ht="15" customHeight="1" x14ac:dyDescent="0.45">
      <c r="S4233" s="452"/>
      <c r="T4233" s="452"/>
      <c r="U4233" s="452"/>
      <c r="V4233" s="452"/>
      <c r="W4233" s="452"/>
    </row>
    <row r="4234" spans="19:23" ht="15" customHeight="1" x14ac:dyDescent="0.45">
      <c r="S4234" s="452"/>
      <c r="T4234" s="452"/>
      <c r="U4234" s="452"/>
      <c r="V4234" s="452"/>
      <c r="W4234" s="452"/>
    </row>
    <row r="4235" spans="19:23" ht="15" customHeight="1" x14ac:dyDescent="0.45">
      <c r="S4235" s="452"/>
      <c r="T4235" s="452"/>
      <c r="U4235" s="452"/>
      <c r="V4235" s="452"/>
      <c r="W4235" s="452"/>
    </row>
    <row r="4236" spans="19:23" ht="15" customHeight="1" x14ac:dyDescent="0.45">
      <c r="S4236" s="452"/>
      <c r="T4236" s="452"/>
      <c r="U4236" s="452"/>
      <c r="V4236" s="452"/>
      <c r="W4236" s="452"/>
    </row>
    <row r="4237" spans="19:23" ht="15" customHeight="1" x14ac:dyDescent="0.45">
      <c r="S4237" s="452"/>
      <c r="T4237" s="452"/>
      <c r="U4237" s="452"/>
      <c r="V4237" s="452"/>
      <c r="W4237" s="452"/>
    </row>
    <row r="4238" spans="19:23" ht="15" customHeight="1" x14ac:dyDescent="0.45">
      <c r="S4238" s="452"/>
      <c r="T4238" s="452"/>
      <c r="U4238" s="452"/>
      <c r="V4238" s="452"/>
      <c r="W4238" s="452"/>
    </row>
    <row r="4239" spans="19:23" ht="15" customHeight="1" x14ac:dyDescent="0.45">
      <c r="S4239" s="452"/>
      <c r="T4239" s="452"/>
      <c r="U4239" s="452"/>
      <c r="V4239" s="452"/>
      <c r="W4239" s="452"/>
    </row>
    <row r="4240" spans="19:23" ht="15" customHeight="1" x14ac:dyDescent="0.45">
      <c r="S4240" s="452"/>
      <c r="T4240" s="452"/>
      <c r="U4240" s="452"/>
      <c r="V4240" s="452"/>
      <c r="W4240" s="452"/>
    </row>
    <row r="4241" spans="19:23" ht="15" customHeight="1" x14ac:dyDescent="0.45">
      <c r="S4241" s="452"/>
      <c r="T4241" s="452"/>
      <c r="U4241" s="452"/>
      <c r="V4241" s="452"/>
      <c r="W4241" s="452"/>
    </row>
    <row r="4242" spans="19:23" ht="15" customHeight="1" x14ac:dyDescent="0.45">
      <c r="S4242" s="452"/>
      <c r="T4242" s="452"/>
      <c r="U4242" s="452"/>
      <c r="V4242" s="452"/>
      <c r="W4242" s="452"/>
    </row>
    <row r="4243" spans="19:23" ht="15" customHeight="1" x14ac:dyDescent="0.45">
      <c r="S4243" s="452"/>
      <c r="T4243" s="452"/>
      <c r="U4243" s="452"/>
      <c r="V4243" s="452"/>
      <c r="W4243" s="452"/>
    </row>
    <row r="4244" spans="19:23" ht="15" customHeight="1" x14ac:dyDescent="0.45">
      <c r="S4244" s="452"/>
      <c r="T4244" s="452"/>
      <c r="U4244" s="452"/>
      <c r="V4244" s="452"/>
      <c r="W4244" s="452"/>
    </row>
    <row r="4245" spans="19:23" ht="15" customHeight="1" x14ac:dyDescent="0.45">
      <c r="S4245" s="452"/>
      <c r="T4245" s="452"/>
      <c r="U4245" s="452"/>
      <c r="V4245" s="452"/>
      <c r="W4245" s="452"/>
    </row>
    <row r="4246" spans="19:23" ht="15" customHeight="1" x14ac:dyDescent="0.45">
      <c r="S4246" s="452"/>
      <c r="T4246" s="452"/>
      <c r="U4246" s="452"/>
      <c r="V4246" s="452"/>
      <c r="W4246" s="452"/>
    </row>
    <row r="4247" spans="19:23" ht="15" customHeight="1" x14ac:dyDescent="0.45">
      <c r="S4247" s="452"/>
      <c r="T4247" s="452"/>
      <c r="U4247" s="452"/>
      <c r="V4247" s="452"/>
      <c r="W4247" s="452"/>
    </row>
    <row r="4248" spans="19:23" ht="15" customHeight="1" x14ac:dyDescent="0.45">
      <c r="S4248" s="452"/>
      <c r="T4248" s="452"/>
      <c r="U4248" s="452"/>
      <c r="V4248" s="452"/>
      <c r="W4248" s="452"/>
    </row>
    <row r="4249" spans="19:23" ht="15" customHeight="1" x14ac:dyDescent="0.45">
      <c r="S4249" s="452"/>
      <c r="T4249" s="452"/>
      <c r="U4249" s="452"/>
      <c r="V4249" s="452"/>
      <c r="W4249" s="452"/>
    </row>
    <row r="4250" spans="19:23" ht="15" customHeight="1" x14ac:dyDescent="0.45">
      <c r="S4250" s="452"/>
      <c r="T4250" s="452"/>
      <c r="U4250" s="452"/>
      <c r="V4250" s="452"/>
      <c r="W4250" s="452"/>
    </row>
    <row r="4251" spans="19:23" ht="15" customHeight="1" x14ac:dyDescent="0.45">
      <c r="S4251" s="452"/>
      <c r="T4251" s="452"/>
      <c r="U4251" s="452"/>
      <c r="V4251" s="452"/>
      <c r="W4251" s="452"/>
    </row>
    <row r="4252" spans="19:23" ht="15" customHeight="1" x14ac:dyDescent="0.45">
      <c r="S4252" s="452"/>
      <c r="T4252" s="452"/>
      <c r="U4252" s="452"/>
      <c r="V4252" s="452"/>
      <c r="W4252" s="452"/>
    </row>
    <row r="4253" spans="19:23" ht="15" customHeight="1" x14ac:dyDescent="0.45">
      <c r="S4253" s="452"/>
      <c r="T4253" s="452"/>
      <c r="U4253" s="452"/>
      <c r="V4253" s="452"/>
      <c r="W4253" s="452"/>
    </row>
    <row r="4254" spans="19:23" ht="15" customHeight="1" x14ac:dyDescent="0.45">
      <c r="S4254" s="452"/>
      <c r="T4254" s="452"/>
      <c r="U4254" s="452"/>
      <c r="V4254" s="452"/>
      <c r="W4254" s="452"/>
    </row>
    <row r="4255" spans="19:23" ht="15" customHeight="1" x14ac:dyDescent="0.45">
      <c r="S4255" s="452"/>
      <c r="T4255" s="452"/>
      <c r="U4255" s="452"/>
      <c r="V4255" s="452"/>
      <c r="W4255" s="452"/>
    </row>
    <row r="4256" spans="19:23" ht="15" customHeight="1" x14ac:dyDescent="0.45">
      <c r="S4256" s="452"/>
      <c r="T4256" s="452"/>
      <c r="U4256" s="452"/>
      <c r="V4256" s="452"/>
      <c r="W4256" s="452"/>
    </row>
    <row r="4257" spans="19:23" ht="15" customHeight="1" x14ac:dyDescent="0.45">
      <c r="S4257" s="452"/>
      <c r="T4257" s="452"/>
      <c r="U4257" s="452"/>
      <c r="V4257" s="452"/>
      <c r="W4257" s="452"/>
    </row>
    <row r="4258" spans="19:23" ht="15" customHeight="1" x14ac:dyDescent="0.45">
      <c r="S4258" s="452"/>
      <c r="T4258" s="452"/>
      <c r="U4258" s="452"/>
      <c r="V4258" s="452"/>
      <c r="W4258" s="452"/>
    </row>
    <row r="4259" spans="19:23" ht="15" customHeight="1" x14ac:dyDescent="0.45">
      <c r="S4259" s="452"/>
      <c r="T4259" s="452"/>
      <c r="U4259" s="452"/>
      <c r="V4259" s="452"/>
      <c r="W4259" s="452"/>
    </row>
    <row r="4260" spans="19:23" ht="15" customHeight="1" x14ac:dyDescent="0.45">
      <c r="S4260" s="452"/>
      <c r="T4260" s="452"/>
      <c r="U4260" s="452"/>
      <c r="V4260" s="452"/>
      <c r="W4260" s="452"/>
    </row>
    <row r="4261" spans="19:23" ht="15" customHeight="1" x14ac:dyDescent="0.45">
      <c r="S4261" s="452"/>
      <c r="T4261" s="452"/>
      <c r="U4261" s="452"/>
      <c r="V4261" s="452"/>
      <c r="W4261" s="452"/>
    </row>
    <row r="4262" spans="19:23" ht="15" customHeight="1" x14ac:dyDescent="0.45">
      <c r="S4262" s="452"/>
      <c r="T4262" s="452"/>
      <c r="U4262" s="452"/>
      <c r="V4262" s="452"/>
      <c r="W4262" s="452"/>
    </row>
    <row r="4263" spans="19:23" ht="15" customHeight="1" x14ac:dyDescent="0.45">
      <c r="S4263" s="452"/>
      <c r="T4263" s="452"/>
      <c r="U4263" s="452"/>
      <c r="V4263" s="452"/>
      <c r="W4263" s="452"/>
    </row>
    <row r="4264" spans="19:23" ht="15" customHeight="1" x14ac:dyDescent="0.45">
      <c r="S4264" s="452"/>
      <c r="T4264" s="452"/>
      <c r="U4264" s="452"/>
      <c r="V4264" s="452"/>
      <c r="W4264" s="452"/>
    </row>
    <row r="4265" spans="19:23" ht="15" customHeight="1" x14ac:dyDescent="0.45">
      <c r="S4265" s="452"/>
      <c r="T4265" s="452"/>
      <c r="U4265" s="452"/>
      <c r="V4265" s="452"/>
      <c r="W4265" s="452"/>
    </row>
    <row r="4266" spans="19:23" ht="15" customHeight="1" x14ac:dyDescent="0.45">
      <c r="S4266" s="452"/>
      <c r="T4266" s="452"/>
      <c r="U4266" s="452"/>
      <c r="V4266" s="452"/>
      <c r="W4266" s="452"/>
    </row>
    <row r="4267" spans="19:23" ht="15" customHeight="1" x14ac:dyDescent="0.45">
      <c r="S4267" s="452"/>
      <c r="T4267" s="452"/>
      <c r="U4267" s="452"/>
      <c r="V4267" s="452"/>
      <c r="W4267" s="452"/>
    </row>
    <row r="4268" spans="19:23" ht="15" customHeight="1" x14ac:dyDescent="0.45">
      <c r="S4268" s="452"/>
      <c r="T4268" s="452"/>
      <c r="U4268" s="452"/>
      <c r="V4268" s="452"/>
      <c r="W4268" s="452"/>
    </row>
    <row r="4269" spans="19:23" ht="15" customHeight="1" x14ac:dyDescent="0.45">
      <c r="S4269" s="452"/>
      <c r="T4269" s="452"/>
      <c r="U4269" s="452"/>
      <c r="V4269" s="452"/>
      <c r="W4269" s="452"/>
    </row>
    <row r="4270" spans="19:23" ht="15" customHeight="1" x14ac:dyDescent="0.45">
      <c r="S4270" s="452"/>
      <c r="T4270" s="452"/>
      <c r="U4270" s="452"/>
      <c r="V4270" s="452"/>
      <c r="W4270" s="452"/>
    </row>
    <row r="4271" spans="19:23" ht="15" customHeight="1" x14ac:dyDescent="0.45">
      <c r="S4271" s="452"/>
      <c r="T4271" s="452"/>
      <c r="U4271" s="452"/>
      <c r="V4271" s="452"/>
      <c r="W4271" s="452"/>
    </row>
    <row r="4272" spans="19:23" ht="15" customHeight="1" x14ac:dyDescent="0.45">
      <c r="S4272" s="452"/>
      <c r="T4272" s="452"/>
      <c r="U4272" s="452"/>
      <c r="V4272" s="452"/>
      <c r="W4272" s="452"/>
    </row>
    <row r="4273" spans="19:23" ht="15" customHeight="1" x14ac:dyDescent="0.45">
      <c r="S4273" s="452"/>
      <c r="T4273" s="452"/>
      <c r="U4273" s="452"/>
      <c r="V4273" s="452"/>
      <c r="W4273" s="452"/>
    </row>
    <row r="4274" spans="19:23" ht="15" customHeight="1" x14ac:dyDescent="0.45">
      <c r="S4274" s="452"/>
      <c r="T4274" s="452"/>
      <c r="U4274" s="452"/>
      <c r="V4274" s="452"/>
      <c r="W4274" s="452"/>
    </row>
    <row r="4275" spans="19:23" ht="15" customHeight="1" x14ac:dyDescent="0.45">
      <c r="S4275" s="452"/>
      <c r="T4275" s="452"/>
      <c r="U4275" s="452"/>
      <c r="V4275" s="452"/>
      <c r="W4275" s="452"/>
    </row>
    <row r="4276" spans="19:23" ht="15" customHeight="1" x14ac:dyDescent="0.45">
      <c r="S4276" s="452"/>
      <c r="T4276" s="452"/>
      <c r="U4276" s="452"/>
      <c r="V4276" s="452"/>
      <c r="W4276" s="452"/>
    </row>
    <row r="4277" spans="19:23" ht="15" customHeight="1" x14ac:dyDescent="0.45">
      <c r="S4277" s="452"/>
      <c r="T4277" s="452"/>
      <c r="U4277" s="452"/>
      <c r="V4277" s="452"/>
      <c r="W4277" s="452"/>
    </row>
    <row r="4278" spans="19:23" ht="15" customHeight="1" x14ac:dyDescent="0.45">
      <c r="S4278" s="452"/>
      <c r="T4278" s="452"/>
      <c r="U4278" s="452"/>
      <c r="V4278" s="452"/>
      <c r="W4278" s="452"/>
    </row>
    <row r="4279" spans="19:23" ht="15" customHeight="1" x14ac:dyDescent="0.45">
      <c r="S4279" s="452"/>
      <c r="T4279" s="452"/>
      <c r="U4279" s="452"/>
      <c r="V4279" s="452"/>
      <c r="W4279" s="452"/>
    </row>
    <row r="4280" spans="19:23" ht="15" customHeight="1" x14ac:dyDescent="0.45">
      <c r="S4280" s="452"/>
      <c r="T4280" s="452"/>
      <c r="U4280" s="452"/>
      <c r="V4280" s="452"/>
      <c r="W4280" s="452"/>
    </row>
    <row r="4281" spans="19:23" ht="15" customHeight="1" x14ac:dyDescent="0.45">
      <c r="S4281" s="452"/>
      <c r="T4281" s="452"/>
      <c r="U4281" s="452"/>
      <c r="V4281" s="452"/>
      <c r="W4281" s="452"/>
    </row>
    <row r="4282" spans="19:23" ht="15" customHeight="1" x14ac:dyDescent="0.45">
      <c r="S4282" s="452"/>
      <c r="T4282" s="452"/>
      <c r="U4282" s="452"/>
      <c r="V4282" s="452"/>
      <c r="W4282" s="452"/>
    </row>
    <row r="4283" spans="19:23" ht="15" customHeight="1" x14ac:dyDescent="0.45">
      <c r="S4283" s="452"/>
      <c r="T4283" s="452"/>
      <c r="U4283" s="452"/>
      <c r="V4283" s="452"/>
      <c r="W4283" s="452"/>
    </row>
    <row r="4284" spans="19:23" ht="15" customHeight="1" x14ac:dyDescent="0.45">
      <c r="S4284" s="452"/>
      <c r="T4284" s="452"/>
      <c r="U4284" s="452"/>
      <c r="V4284" s="452"/>
      <c r="W4284" s="452"/>
    </row>
    <row r="4285" spans="19:23" ht="15" customHeight="1" x14ac:dyDescent="0.45">
      <c r="S4285" s="452"/>
      <c r="T4285" s="452"/>
      <c r="U4285" s="452"/>
      <c r="V4285" s="452"/>
      <c r="W4285" s="452"/>
    </row>
    <row r="4286" spans="19:23" ht="15" customHeight="1" x14ac:dyDescent="0.45">
      <c r="S4286" s="452"/>
      <c r="T4286" s="452"/>
      <c r="U4286" s="452"/>
      <c r="V4286" s="452"/>
      <c r="W4286" s="452"/>
    </row>
    <row r="4287" spans="19:23" ht="15" customHeight="1" x14ac:dyDescent="0.45">
      <c r="S4287" s="452"/>
      <c r="T4287" s="452"/>
      <c r="U4287" s="452"/>
      <c r="V4287" s="452"/>
      <c r="W4287" s="452"/>
    </row>
    <row r="4288" spans="19:23" ht="15" customHeight="1" x14ac:dyDescent="0.45">
      <c r="S4288" s="452"/>
      <c r="T4288" s="452"/>
      <c r="U4288" s="452"/>
      <c r="V4288" s="452"/>
      <c r="W4288" s="452"/>
    </row>
    <row r="4289" spans="19:23" ht="15" customHeight="1" x14ac:dyDescent="0.45">
      <c r="S4289" s="452"/>
      <c r="T4289" s="452"/>
      <c r="U4289" s="452"/>
      <c r="V4289" s="452"/>
      <c r="W4289" s="452"/>
    </row>
    <row r="4290" spans="19:23" ht="15" customHeight="1" x14ac:dyDescent="0.45">
      <c r="S4290" s="452"/>
      <c r="T4290" s="452"/>
      <c r="U4290" s="452"/>
      <c r="V4290" s="452"/>
      <c r="W4290" s="452"/>
    </row>
    <row r="4291" spans="19:23" ht="15" customHeight="1" x14ac:dyDescent="0.45">
      <c r="S4291" s="452"/>
      <c r="T4291" s="452"/>
      <c r="U4291" s="452"/>
      <c r="V4291" s="452"/>
      <c r="W4291" s="452"/>
    </row>
    <row r="4292" spans="19:23" ht="15" customHeight="1" x14ac:dyDescent="0.45">
      <c r="S4292" s="452"/>
      <c r="T4292" s="452"/>
      <c r="U4292" s="452"/>
      <c r="V4292" s="452"/>
      <c r="W4292" s="452"/>
    </row>
    <row r="4293" spans="19:23" ht="15" customHeight="1" x14ac:dyDescent="0.45">
      <c r="S4293" s="452"/>
      <c r="T4293" s="452"/>
      <c r="U4293" s="452"/>
      <c r="V4293" s="452"/>
      <c r="W4293" s="452"/>
    </row>
    <row r="4294" spans="19:23" ht="15" customHeight="1" x14ac:dyDescent="0.45">
      <c r="S4294" s="452"/>
      <c r="T4294" s="452"/>
      <c r="U4294" s="452"/>
      <c r="V4294" s="452"/>
      <c r="W4294" s="452"/>
    </row>
    <row r="4295" spans="19:23" ht="15" customHeight="1" x14ac:dyDescent="0.45">
      <c r="S4295" s="452"/>
      <c r="T4295" s="452"/>
      <c r="U4295" s="452"/>
      <c r="V4295" s="452"/>
      <c r="W4295" s="452"/>
    </row>
    <row r="4296" spans="19:23" ht="15" customHeight="1" x14ac:dyDescent="0.45">
      <c r="S4296" s="452"/>
      <c r="T4296" s="452"/>
      <c r="U4296" s="452"/>
      <c r="V4296" s="452"/>
      <c r="W4296" s="452"/>
    </row>
    <row r="4297" spans="19:23" ht="15" customHeight="1" x14ac:dyDescent="0.45">
      <c r="S4297" s="452"/>
      <c r="T4297" s="452"/>
      <c r="U4297" s="452"/>
      <c r="V4297" s="452"/>
      <c r="W4297" s="452"/>
    </row>
    <row r="4298" spans="19:23" ht="15" customHeight="1" x14ac:dyDescent="0.45">
      <c r="S4298" s="452"/>
      <c r="T4298" s="452"/>
      <c r="U4298" s="452"/>
      <c r="V4298" s="452"/>
      <c r="W4298" s="452"/>
    </row>
    <row r="4299" spans="19:23" ht="15" customHeight="1" x14ac:dyDescent="0.45">
      <c r="S4299" s="452"/>
      <c r="T4299" s="452"/>
      <c r="U4299" s="452"/>
      <c r="V4299" s="452"/>
      <c r="W4299" s="452"/>
    </row>
    <row r="4300" spans="19:23" ht="15" customHeight="1" x14ac:dyDescent="0.45">
      <c r="S4300" s="452"/>
      <c r="T4300" s="452"/>
      <c r="U4300" s="452"/>
      <c r="V4300" s="452"/>
      <c r="W4300" s="452"/>
    </row>
    <row r="4301" spans="19:23" ht="15" customHeight="1" x14ac:dyDescent="0.45">
      <c r="S4301" s="452"/>
      <c r="T4301" s="452"/>
      <c r="U4301" s="452"/>
      <c r="V4301" s="452"/>
      <c r="W4301" s="452"/>
    </row>
    <row r="4302" spans="19:23" ht="15" customHeight="1" x14ac:dyDescent="0.45">
      <c r="S4302" s="452"/>
      <c r="T4302" s="452"/>
      <c r="U4302" s="452"/>
      <c r="V4302" s="452"/>
      <c r="W4302" s="452"/>
    </row>
    <row r="4303" spans="19:23" ht="15" customHeight="1" x14ac:dyDescent="0.45">
      <c r="S4303" s="452"/>
      <c r="T4303" s="452"/>
      <c r="U4303" s="452"/>
      <c r="V4303" s="452"/>
      <c r="W4303" s="452"/>
    </row>
    <row r="4304" spans="19:23" ht="15" customHeight="1" x14ac:dyDescent="0.45">
      <c r="S4304" s="452"/>
      <c r="T4304" s="452"/>
      <c r="U4304" s="452"/>
      <c r="V4304" s="452"/>
      <c r="W4304" s="452"/>
    </row>
    <row r="4305" spans="19:23" ht="15" customHeight="1" x14ac:dyDescent="0.45">
      <c r="S4305" s="452"/>
      <c r="T4305" s="452"/>
      <c r="U4305" s="452"/>
      <c r="V4305" s="452"/>
      <c r="W4305" s="452"/>
    </row>
    <row r="4306" spans="19:23" ht="15" customHeight="1" x14ac:dyDescent="0.45">
      <c r="S4306" s="452"/>
      <c r="T4306" s="452"/>
      <c r="U4306" s="452"/>
      <c r="V4306" s="452"/>
      <c r="W4306" s="452"/>
    </row>
    <row r="4307" spans="19:23" ht="15" customHeight="1" x14ac:dyDescent="0.45">
      <c r="S4307" s="452"/>
      <c r="T4307" s="452"/>
      <c r="U4307" s="452"/>
      <c r="V4307" s="452"/>
      <c r="W4307" s="452"/>
    </row>
    <row r="4308" spans="19:23" ht="15" customHeight="1" x14ac:dyDescent="0.45">
      <c r="S4308" s="452"/>
      <c r="T4308" s="452"/>
      <c r="U4308" s="452"/>
      <c r="V4308" s="452"/>
      <c r="W4308" s="452"/>
    </row>
    <row r="4309" spans="19:23" ht="15" customHeight="1" x14ac:dyDescent="0.45">
      <c r="S4309" s="452"/>
      <c r="T4309" s="452"/>
      <c r="U4309" s="452"/>
      <c r="V4309" s="452"/>
      <c r="W4309" s="452"/>
    </row>
    <row r="4310" spans="19:23" ht="15" customHeight="1" x14ac:dyDescent="0.45">
      <c r="S4310" s="452"/>
      <c r="T4310" s="452"/>
      <c r="U4310" s="452"/>
      <c r="V4310" s="452"/>
      <c r="W4310" s="452"/>
    </row>
    <row r="4311" spans="19:23" ht="15" customHeight="1" x14ac:dyDescent="0.45">
      <c r="S4311" s="452"/>
      <c r="T4311" s="452"/>
      <c r="U4311" s="452"/>
      <c r="V4311" s="452"/>
      <c r="W4311" s="452"/>
    </row>
    <row r="4312" spans="19:23" ht="15" customHeight="1" x14ac:dyDescent="0.45">
      <c r="S4312" s="452"/>
      <c r="T4312" s="452"/>
      <c r="U4312" s="452"/>
      <c r="V4312" s="452"/>
      <c r="W4312" s="452"/>
    </row>
    <row r="4313" spans="19:23" ht="15" customHeight="1" x14ac:dyDescent="0.45">
      <c r="S4313" s="452"/>
      <c r="T4313" s="452"/>
      <c r="U4313" s="452"/>
      <c r="V4313" s="452"/>
      <c r="W4313" s="452"/>
    </row>
    <row r="4314" spans="19:23" ht="15" customHeight="1" x14ac:dyDescent="0.45">
      <c r="S4314" s="452"/>
      <c r="T4314" s="452"/>
      <c r="U4314" s="452"/>
      <c r="V4314" s="452"/>
      <c r="W4314" s="452"/>
    </row>
    <row r="4315" spans="19:23" ht="15" customHeight="1" x14ac:dyDescent="0.45">
      <c r="S4315" s="452"/>
      <c r="T4315" s="452"/>
      <c r="U4315" s="452"/>
      <c r="V4315" s="452"/>
      <c r="W4315" s="452"/>
    </row>
    <row r="4316" spans="19:23" ht="15" customHeight="1" x14ac:dyDescent="0.45">
      <c r="S4316" s="452"/>
      <c r="T4316" s="452"/>
      <c r="U4316" s="452"/>
      <c r="V4316" s="452"/>
      <c r="W4316" s="452"/>
    </row>
    <row r="4317" spans="19:23" ht="15" customHeight="1" x14ac:dyDescent="0.45">
      <c r="S4317" s="452"/>
      <c r="T4317" s="452"/>
      <c r="U4317" s="452"/>
      <c r="V4317" s="452"/>
      <c r="W4317" s="452"/>
    </row>
    <row r="4318" spans="19:23" ht="15" customHeight="1" x14ac:dyDescent="0.45">
      <c r="S4318" s="452"/>
      <c r="T4318" s="452"/>
      <c r="U4318" s="452"/>
      <c r="V4318" s="452"/>
      <c r="W4318" s="452"/>
    </row>
    <row r="4319" spans="19:23" ht="15" customHeight="1" x14ac:dyDescent="0.45">
      <c r="S4319" s="452"/>
      <c r="T4319" s="452"/>
      <c r="U4319" s="452"/>
      <c r="V4319" s="452"/>
      <c r="W4319" s="452"/>
    </row>
    <row r="4320" spans="19:23" ht="15" customHeight="1" x14ac:dyDescent="0.45">
      <c r="S4320" s="452"/>
      <c r="T4320" s="452"/>
      <c r="U4320" s="452"/>
      <c r="V4320" s="452"/>
      <c r="W4320" s="452"/>
    </row>
    <row r="4321" spans="19:23" ht="15" customHeight="1" x14ac:dyDescent="0.45">
      <c r="S4321" s="452"/>
      <c r="T4321" s="452"/>
      <c r="U4321" s="452"/>
      <c r="V4321" s="452"/>
      <c r="W4321" s="452"/>
    </row>
    <row r="4322" spans="19:23" ht="15" customHeight="1" x14ac:dyDescent="0.45">
      <c r="S4322" s="452"/>
      <c r="T4322" s="452"/>
      <c r="U4322" s="452"/>
      <c r="V4322" s="452"/>
      <c r="W4322" s="452"/>
    </row>
    <row r="4323" spans="19:23" ht="15" customHeight="1" x14ac:dyDescent="0.45">
      <c r="S4323" s="452"/>
      <c r="T4323" s="452"/>
      <c r="U4323" s="452"/>
      <c r="V4323" s="452"/>
      <c r="W4323" s="452"/>
    </row>
    <row r="4324" spans="19:23" ht="15" customHeight="1" x14ac:dyDescent="0.45">
      <c r="S4324" s="452"/>
      <c r="T4324" s="452"/>
      <c r="U4324" s="452"/>
      <c r="V4324" s="452"/>
      <c r="W4324" s="452"/>
    </row>
    <row r="4325" spans="19:23" ht="15" customHeight="1" x14ac:dyDescent="0.45">
      <c r="S4325" s="452"/>
      <c r="T4325" s="452"/>
      <c r="U4325" s="452"/>
      <c r="V4325" s="452"/>
      <c r="W4325" s="452"/>
    </row>
    <row r="4326" spans="19:23" ht="15" customHeight="1" x14ac:dyDescent="0.45">
      <c r="S4326" s="452"/>
      <c r="T4326" s="452"/>
      <c r="U4326" s="452"/>
      <c r="V4326" s="452"/>
      <c r="W4326" s="452"/>
    </row>
    <row r="4327" spans="19:23" ht="15" customHeight="1" x14ac:dyDescent="0.45">
      <c r="S4327" s="452"/>
      <c r="T4327" s="452"/>
      <c r="U4327" s="452"/>
      <c r="V4327" s="452"/>
      <c r="W4327" s="452"/>
    </row>
    <row r="4328" spans="19:23" ht="15" customHeight="1" x14ac:dyDescent="0.45">
      <c r="S4328" s="452"/>
      <c r="T4328" s="452"/>
      <c r="U4328" s="452"/>
      <c r="V4328" s="452"/>
      <c r="W4328" s="452"/>
    </row>
    <row r="4329" spans="19:23" ht="15" customHeight="1" x14ac:dyDescent="0.45">
      <c r="S4329" s="452"/>
      <c r="T4329" s="452"/>
      <c r="U4329" s="452"/>
      <c r="V4329" s="452"/>
      <c r="W4329" s="452"/>
    </row>
    <row r="4330" spans="19:23" ht="15" customHeight="1" x14ac:dyDescent="0.45">
      <c r="S4330" s="452"/>
      <c r="T4330" s="452"/>
      <c r="U4330" s="452"/>
      <c r="V4330" s="452"/>
      <c r="W4330" s="452"/>
    </row>
    <row r="4331" spans="19:23" ht="15" customHeight="1" x14ac:dyDescent="0.45">
      <c r="S4331" s="452"/>
      <c r="T4331" s="452"/>
      <c r="U4331" s="452"/>
      <c r="V4331" s="452"/>
      <c r="W4331" s="452"/>
    </row>
    <row r="4332" spans="19:23" ht="15" customHeight="1" x14ac:dyDescent="0.45">
      <c r="S4332" s="452"/>
      <c r="T4332" s="452"/>
      <c r="U4332" s="452"/>
      <c r="V4332" s="452"/>
      <c r="W4332" s="452"/>
    </row>
    <row r="4333" spans="19:23" ht="15" customHeight="1" x14ac:dyDescent="0.45">
      <c r="S4333" s="452"/>
      <c r="T4333" s="452"/>
      <c r="U4333" s="452"/>
      <c r="V4333" s="452"/>
      <c r="W4333" s="452"/>
    </row>
    <row r="4334" spans="19:23" ht="15" customHeight="1" x14ac:dyDescent="0.45">
      <c r="S4334" s="452"/>
      <c r="T4334" s="452"/>
      <c r="U4334" s="452"/>
      <c r="V4334" s="452"/>
      <c r="W4334" s="452"/>
    </row>
    <row r="4335" spans="19:23" ht="15" customHeight="1" x14ac:dyDescent="0.45">
      <c r="S4335" s="452"/>
      <c r="T4335" s="452"/>
      <c r="U4335" s="452"/>
      <c r="V4335" s="452"/>
      <c r="W4335" s="452"/>
    </row>
    <row r="4336" spans="19:23" ht="15" customHeight="1" x14ac:dyDescent="0.45">
      <c r="S4336" s="452"/>
      <c r="T4336" s="452"/>
      <c r="U4336" s="452"/>
      <c r="V4336" s="452"/>
      <c r="W4336" s="452"/>
    </row>
    <row r="4337" spans="19:23" ht="15" customHeight="1" x14ac:dyDescent="0.45">
      <c r="S4337" s="452"/>
      <c r="T4337" s="452"/>
      <c r="U4337" s="452"/>
      <c r="V4337" s="452"/>
      <c r="W4337" s="452"/>
    </row>
    <row r="4338" spans="19:23" ht="15" customHeight="1" x14ac:dyDescent="0.45">
      <c r="S4338" s="452"/>
      <c r="T4338" s="452"/>
      <c r="U4338" s="452"/>
      <c r="V4338" s="452"/>
      <c r="W4338" s="452"/>
    </row>
    <row r="4339" spans="19:23" ht="15" customHeight="1" x14ac:dyDescent="0.45">
      <c r="S4339" s="452"/>
      <c r="T4339" s="452"/>
      <c r="U4339" s="452"/>
      <c r="V4339" s="452"/>
      <c r="W4339" s="452"/>
    </row>
    <row r="4340" spans="19:23" ht="15" customHeight="1" x14ac:dyDescent="0.45">
      <c r="S4340" s="452"/>
      <c r="T4340" s="452"/>
      <c r="U4340" s="452"/>
      <c r="V4340" s="452"/>
      <c r="W4340" s="452"/>
    </row>
    <row r="4341" spans="19:23" ht="15" customHeight="1" x14ac:dyDescent="0.45">
      <c r="S4341" s="452"/>
      <c r="T4341" s="452"/>
      <c r="U4341" s="452"/>
      <c r="V4341" s="452"/>
      <c r="W4341" s="452"/>
    </row>
    <row r="4342" spans="19:23" ht="15" customHeight="1" x14ac:dyDescent="0.45">
      <c r="S4342" s="452"/>
      <c r="T4342" s="452"/>
      <c r="U4342" s="452"/>
      <c r="V4342" s="452"/>
      <c r="W4342" s="452"/>
    </row>
    <row r="4343" spans="19:23" ht="15" customHeight="1" x14ac:dyDescent="0.45">
      <c r="S4343" s="452"/>
      <c r="T4343" s="452"/>
      <c r="U4343" s="452"/>
      <c r="V4343" s="452"/>
      <c r="W4343" s="452"/>
    </row>
    <row r="4344" spans="19:23" ht="15" customHeight="1" x14ac:dyDescent="0.45">
      <c r="S4344" s="452"/>
      <c r="T4344" s="452"/>
      <c r="U4344" s="452"/>
      <c r="V4344" s="452"/>
      <c r="W4344" s="452"/>
    </row>
    <row r="4345" spans="19:23" ht="15" customHeight="1" x14ac:dyDescent="0.45">
      <c r="S4345" s="452"/>
      <c r="T4345" s="452"/>
      <c r="U4345" s="452"/>
      <c r="V4345" s="452"/>
      <c r="W4345" s="452"/>
    </row>
    <row r="4346" spans="19:23" ht="15" customHeight="1" x14ac:dyDescent="0.45">
      <c r="S4346" s="452"/>
      <c r="T4346" s="452"/>
      <c r="U4346" s="452"/>
      <c r="V4346" s="452"/>
      <c r="W4346" s="452"/>
    </row>
    <row r="4347" spans="19:23" ht="15" customHeight="1" x14ac:dyDescent="0.45">
      <c r="S4347" s="452"/>
      <c r="T4347" s="452"/>
      <c r="U4347" s="452"/>
      <c r="V4347" s="452"/>
      <c r="W4347" s="452"/>
    </row>
    <row r="4348" spans="19:23" ht="15" customHeight="1" x14ac:dyDescent="0.45">
      <c r="S4348" s="452"/>
      <c r="T4348" s="452"/>
      <c r="U4348" s="452"/>
      <c r="V4348" s="452"/>
      <c r="W4348" s="452"/>
    </row>
    <row r="4349" spans="19:23" ht="15" customHeight="1" x14ac:dyDescent="0.45">
      <c r="S4349" s="452"/>
      <c r="T4349" s="452"/>
      <c r="U4349" s="452"/>
      <c r="V4349" s="452"/>
      <c r="W4349" s="452"/>
    </row>
    <row r="4350" spans="19:23" ht="15" customHeight="1" x14ac:dyDescent="0.45">
      <c r="S4350" s="452"/>
      <c r="T4350" s="452"/>
      <c r="U4350" s="452"/>
      <c r="V4350" s="452"/>
      <c r="W4350" s="452"/>
    </row>
    <row r="4351" spans="19:23" ht="15" customHeight="1" x14ac:dyDescent="0.45">
      <c r="S4351" s="452"/>
      <c r="T4351" s="452"/>
      <c r="U4351" s="452"/>
      <c r="V4351" s="452"/>
      <c r="W4351" s="452"/>
    </row>
    <row r="4352" spans="19:23" ht="15" customHeight="1" x14ac:dyDescent="0.45">
      <c r="S4352" s="452"/>
      <c r="T4352" s="452"/>
      <c r="U4352" s="452"/>
      <c r="V4352" s="452"/>
      <c r="W4352" s="452"/>
    </row>
    <row r="4353" spans="19:23" ht="15" customHeight="1" x14ac:dyDescent="0.45">
      <c r="S4353" s="452"/>
      <c r="T4353" s="452"/>
      <c r="U4353" s="452"/>
      <c r="V4353" s="452"/>
      <c r="W4353" s="452"/>
    </row>
    <row r="4354" spans="19:23" ht="15" customHeight="1" x14ac:dyDescent="0.45">
      <c r="S4354" s="452"/>
      <c r="T4354" s="452"/>
      <c r="U4354" s="452"/>
      <c r="V4354" s="452"/>
      <c r="W4354" s="452"/>
    </row>
    <row r="4355" spans="19:23" ht="15" customHeight="1" x14ac:dyDescent="0.45">
      <c r="S4355" s="452"/>
      <c r="T4355" s="452"/>
      <c r="U4355" s="452"/>
      <c r="V4355" s="452"/>
      <c r="W4355" s="452"/>
    </row>
    <row r="4356" spans="19:23" ht="15" customHeight="1" x14ac:dyDescent="0.45">
      <c r="S4356" s="452"/>
      <c r="T4356" s="452"/>
      <c r="U4356" s="452"/>
      <c r="V4356" s="452"/>
      <c r="W4356" s="452"/>
    </row>
    <row r="4357" spans="19:23" ht="15" customHeight="1" x14ac:dyDescent="0.45">
      <c r="S4357" s="452"/>
      <c r="T4357" s="452"/>
      <c r="U4357" s="452"/>
      <c r="V4357" s="452"/>
      <c r="W4357" s="452"/>
    </row>
    <row r="4358" spans="19:23" ht="15" customHeight="1" x14ac:dyDescent="0.45">
      <c r="S4358" s="452"/>
      <c r="T4358" s="452"/>
      <c r="U4358" s="452"/>
      <c r="V4358" s="452"/>
      <c r="W4358" s="452"/>
    </row>
    <row r="4359" spans="19:23" ht="15" customHeight="1" x14ac:dyDescent="0.45">
      <c r="S4359" s="452"/>
      <c r="T4359" s="452"/>
      <c r="U4359" s="452"/>
      <c r="V4359" s="452"/>
      <c r="W4359" s="452"/>
    </row>
    <row r="4360" spans="19:23" ht="15" customHeight="1" x14ac:dyDescent="0.45">
      <c r="S4360" s="452"/>
      <c r="T4360" s="452"/>
      <c r="U4360" s="452"/>
      <c r="V4360" s="452"/>
      <c r="W4360" s="452"/>
    </row>
    <row r="4361" spans="19:23" ht="15" customHeight="1" x14ac:dyDescent="0.45">
      <c r="S4361" s="452"/>
      <c r="T4361" s="452"/>
      <c r="U4361" s="452"/>
      <c r="V4361" s="452"/>
      <c r="W4361" s="452"/>
    </row>
    <row r="4362" spans="19:23" ht="15" customHeight="1" x14ac:dyDescent="0.45">
      <c r="S4362" s="452"/>
      <c r="T4362" s="452"/>
      <c r="U4362" s="452"/>
      <c r="V4362" s="452"/>
      <c r="W4362" s="452"/>
    </row>
    <row r="4363" spans="19:23" ht="15" customHeight="1" x14ac:dyDescent="0.45">
      <c r="S4363" s="452"/>
      <c r="T4363" s="452"/>
      <c r="U4363" s="452"/>
      <c r="V4363" s="452"/>
      <c r="W4363" s="452"/>
    </row>
    <row r="4364" spans="19:23" ht="15" customHeight="1" x14ac:dyDescent="0.45">
      <c r="S4364" s="452"/>
      <c r="T4364" s="452"/>
      <c r="U4364" s="452"/>
      <c r="V4364" s="452"/>
      <c r="W4364" s="452"/>
    </row>
    <row r="4365" spans="19:23" ht="15" customHeight="1" x14ac:dyDescent="0.45">
      <c r="S4365" s="452"/>
      <c r="T4365" s="452"/>
      <c r="U4365" s="452"/>
      <c r="V4365" s="452"/>
      <c r="W4365" s="452"/>
    </row>
    <row r="4366" spans="19:23" ht="15" customHeight="1" x14ac:dyDescent="0.45">
      <c r="S4366" s="452"/>
      <c r="T4366" s="452"/>
      <c r="U4366" s="452"/>
      <c r="V4366" s="452"/>
      <c r="W4366" s="452"/>
    </row>
    <row r="4367" spans="19:23" ht="15" customHeight="1" x14ac:dyDescent="0.45">
      <c r="S4367" s="452"/>
      <c r="T4367" s="452"/>
      <c r="U4367" s="452"/>
      <c r="V4367" s="452"/>
      <c r="W4367" s="452"/>
    </row>
    <row r="4368" spans="19:23" ht="15" customHeight="1" x14ac:dyDescent="0.45">
      <c r="S4368" s="452"/>
      <c r="T4368" s="452"/>
      <c r="U4368" s="452"/>
      <c r="V4368" s="452"/>
      <c r="W4368" s="452"/>
    </row>
    <row r="4369" spans="19:23" ht="15" customHeight="1" x14ac:dyDescent="0.45">
      <c r="S4369" s="452"/>
      <c r="T4369" s="452"/>
      <c r="U4369" s="452"/>
      <c r="V4369" s="452"/>
      <c r="W4369" s="452"/>
    </row>
    <row r="4370" spans="19:23" ht="15" customHeight="1" x14ac:dyDescent="0.45">
      <c r="S4370" s="452"/>
      <c r="T4370" s="452"/>
      <c r="U4370" s="452"/>
      <c r="V4370" s="452"/>
      <c r="W4370" s="452"/>
    </row>
    <row r="4371" spans="19:23" ht="15" customHeight="1" x14ac:dyDescent="0.45">
      <c r="S4371" s="452"/>
      <c r="T4371" s="452"/>
      <c r="U4371" s="452"/>
      <c r="V4371" s="452"/>
      <c r="W4371" s="452"/>
    </row>
    <row r="4372" spans="19:23" ht="15" customHeight="1" x14ac:dyDescent="0.45">
      <c r="S4372" s="452"/>
      <c r="T4372" s="452"/>
      <c r="U4372" s="452"/>
      <c r="V4372" s="452"/>
      <c r="W4372" s="452"/>
    </row>
    <row r="4373" spans="19:23" ht="15" customHeight="1" x14ac:dyDescent="0.45">
      <c r="S4373" s="452"/>
      <c r="T4373" s="452"/>
      <c r="U4373" s="452"/>
      <c r="V4373" s="452"/>
      <c r="W4373" s="452"/>
    </row>
    <row r="4374" spans="19:23" ht="15" customHeight="1" x14ac:dyDescent="0.45">
      <c r="S4374" s="452"/>
      <c r="T4374" s="452"/>
      <c r="U4374" s="452"/>
      <c r="V4374" s="452"/>
      <c r="W4374" s="452"/>
    </row>
    <row r="4375" spans="19:23" ht="15" customHeight="1" x14ac:dyDescent="0.45">
      <c r="S4375" s="452"/>
      <c r="T4375" s="452"/>
      <c r="U4375" s="452"/>
      <c r="V4375" s="452"/>
      <c r="W4375" s="452"/>
    </row>
    <row r="4376" spans="19:23" ht="15" customHeight="1" x14ac:dyDescent="0.45">
      <c r="S4376" s="452"/>
      <c r="T4376" s="452"/>
      <c r="U4376" s="452"/>
      <c r="V4376" s="452"/>
      <c r="W4376" s="452"/>
    </row>
    <row r="4377" spans="19:23" ht="15" customHeight="1" x14ac:dyDescent="0.45">
      <c r="S4377" s="452"/>
      <c r="T4377" s="452"/>
      <c r="U4377" s="452"/>
      <c r="V4377" s="452"/>
      <c r="W4377" s="452"/>
    </row>
    <row r="4378" spans="19:23" ht="15" customHeight="1" x14ac:dyDescent="0.45">
      <c r="S4378" s="452"/>
      <c r="T4378" s="452"/>
      <c r="U4378" s="452"/>
      <c r="V4378" s="452"/>
      <c r="W4378" s="452"/>
    </row>
    <row r="4379" spans="19:23" ht="15" customHeight="1" x14ac:dyDescent="0.45">
      <c r="S4379" s="452"/>
      <c r="T4379" s="452"/>
      <c r="U4379" s="452"/>
      <c r="V4379" s="452"/>
      <c r="W4379" s="452"/>
    </row>
    <row r="4380" spans="19:23" ht="15" customHeight="1" x14ac:dyDescent="0.45">
      <c r="S4380" s="452"/>
      <c r="T4380" s="452"/>
      <c r="U4380" s="452"/>
      <c r="V4380" s="452"/>
      <c r="W4380" s="452"/>
    </row>
    <row r="4381" spans="19:23" ht="15" customHeight="1" x14ac:dyDescent="0.45">
      <c r="S4381" s="452"/>
      <c r="T4381" s="452"/>
      <c r="U4381" s="452"/>
      <c r="V4381" s="452"/>
      <c r="W4381" s="452"/>
    </row>
    <row r="4382" spans="19:23" ht="15" customHeight="1" x14ac:dyDescent="0.45">
      <c r="S4382" s="452"/>
      <c r="T4382" s="452"/>
      <c r="U4382" s="452"/>
      <c r="V4382" s="452"/>
      <c r="W4382" s="452"/>
    </row>
    <row r="4383" spans="19:23" ht="15" customHeight="1" x14ac:dyDescent="0.45">
      <c r="S4383" s="452"/>
      <c r="T4383" s="452"/>
      <c r="U4383" s="452"/>
      <c r="V4383" s="452"/>
      <c r="W4383" s="452"/>
    </row>
    <row r="4384" spans="19:23" ht="15" customHeight="1" x14ac:dyDescent="0.45">
      <c r="S4384" s="452"/>
      <c r="T4384" s="452"/>
      <c r="U4384" s="452"/>
      <c r="V4384" s="452"/>
      <c r="W4384" s="452"/>
    </row>
    <row r="4385" spans="19:23" ht="15" customHeight="1" x14ac:dyDescent="0.45">
      <c r="S4385" s="452"/>
      <c r="T4385" s="452"/>
      <c r="U4385" s="452"/>
      <c r="V4385" s="452"/>
      <c r="W4385" s="452"/>
    </row>
    <row r="4386" spans="19:23" ht="15" customHeight="1" x14ac:dyDescent="0.45">
      <c r="S4386" s="452"/>
      <c r="T4386" s="452"/>
      <c r="U4386" s="452"/>
      <c r="V4386" s="452"/>
      <c r="W4386" s="452"/>
    </row>
    <row r="4387" spans="19:23" ht="15" customHeight="1" x14ac:dyDescent="0.45">
      <c r="S4387" s="452"/>
      <c r="T4387" s="452"/>
      <c r="U4387" s="452"/>
      <c r="V4387" s="452"/>
      <c r="W4387" s="452"/>
    </row>
    <row r="4388" spans="19:23" ht="15" customHeight="1" x14ac:dyDescent="0.45">
      <c r="S4388" s="452"/>
      <c r="T4388" s="452"/>
      <c r="U4388" s="452"/>
      <c r="V4388" s="452"/>
      <c r="W4388" s="452"/>
    </row>
    <row r="4389" spans="19:23" ht="15" customHeight="1" x14ac:dyDescent="0.45">
      <c r="S4389" s="452"/>
      <c r="T4389" s="452"/>
      <c r="U4389" s="452"/>
      <c r="V4389" s="452"/>
      <c r="W4389" s="452"/>
    </row>
    <row r="4390" spans="19:23" ht="15" customHeight="1" x14ac:dyDescent="0.45">
      <c r="S4390" s="452"/>
      <c r="T4390" s="452"/>
      <c r="U4390" s="452"/>
      <c r="V4390" s="452"/>
      <c r="W4390" s="452"/>
    </row>
    <row r="4391" spans="19:23" ht="15" customHeight="1" x14ac:dyDescent="0.45">
      <c r="S4391" s="452"/>
      <c r="T4391" s="452"/>
      <c r="U4391" s="452"/>
      <c r="V4391" s="452"/>
      <c r="W4391" s="452"/>
    </row>
    <row r="4392" spans="19:23" ht="15" customHeight="1" x14ac:dyDescent="0.45">
      <c r="S4392" s="452"/>
      <c r="T4392" s="452"/>
      <c r="U4392" s="452"/>
      <c r="V4392" s="452"/>
      <c r="W4392" s="452"/>
    </row>
    <row r="4393" spans="19:23" ht="15" customHeight="1" x14ac:dyDescent="0.45">
      <c r="S4393" s="452"/>
      <c r="T4393" s="452"/>
      <c r="U4393" s="452"/>
      <c r="V4393" s="452"/>
      <c r="W4393" s="452"/>
    </row>
    <row r="4394" spans="19:23" ht="15" customHeight="1" x14ac:dyDescent="0.45">
      <c r="S4394" s="452"/>
      <c r="T4394" s="452"/>
      <c r="U4394" s="452"/>
      <c r="V4394" s="452"/>
      <c r="W4394" s="452"/>
    </row>
    <row r="4395" spans="19:23" ht="15" customHeight="1" x14ac:dyDescent="0.45">
      <c r="S4395" s="452"/>
      <c r="T4395" s="452"/>
      <c r="U4395" s="452"/>
      <c r="V4395" s="452"/>
      <c r="W4395" s="452"/>
    </row>
    <row r="4396" spans="19:23" ht="15" customHeight="1" x14ac:dyDescent="0.45">
      <c r="S4396" s="452"/>
      <c r="T4396" s="452"/>
      <c r="U4396" s="452"/>
      <c r="V4396" s="452"/>
      <c r="W4396" s="452"/>
    </row>
    <row r="4397" spans="19:23" ht="15" customHeight="1" x14ac:dyDescent="0.45">
      <c r="S4397" s="452"/>
      <c r="T4397" s="452"/>
      <c r="U4397" s="452"/>
      <c r="V4397" s="452"/>
      <c r="W4397" s="452"/>
    </row>
    <row r="4398" spans="19:23" ht="15" customHeight="1" x14ac:dyDescent="0.45">
      <c r="S4398" s="452"/>
      <c r="T4398" s="452"/>
      <c r="U4398" s="452"/>
      <c r="V4398" s="452"/>
      <c r="W4398" s="452"/>
    </row>
    <row r="4399" spans="19:23" ht="15" customHeight="1" x14ac:dyDescent="0.45">
      <c r="S4399" s="452"/>
      <c r="T4399" s="452"/>
      <c r="U4399" s="452"/>
      <c r="V4399" s="452"/>
      <c r="W4399" s="452"/>
    </row>
    <row r="4400" spans="19:23" ht="15" customHeight="1" x14ac:dyDescent="0.45">
      <c r="S4400" s="452"/>
      <c r="T4400" s="452"/>
      <c r="U4400" s="452"/>
      <c r="V4400" s="452"/>
      <c r="W4400" s="452"/>
    </row>
    <row r="4401" spans="19:23" ht="15" customHeight="1" x14ac:dyDescent="0.45">
      <c r="S4401" s="452"/>
      <c r="T4401" s="452"/>
      <c r="U4401" s="452"/>
      <c r="V4401" s="452"/>
      <c r="W4401" s="452"/>
    </row>
    <row r="4402" spans="19:23" ht="15" customHeight="1" x14ac:dyDescent="0.45">
      <c r="S4402" s="452"/>
      <c r="T4402" s="452"/>
      <c r="U4402" s="452"/>
      <c r="V4402" s="452"/>
      <c r="W4402" s="452"/>
    </row>
    <row r="4403" spans="19:23" ht="15" customHeight="1" x14ac:dyDescent="0.45">
      <c r="S4403" s="452"/>
      <c r="T4403" s="452"/>
      <c r="U4403" s="452"/>
      <c r="V4403" s="452"/>
      <c r="W4403" s="452"/>
    </row>
    <row r="4404" spans="19:23" ht="15" customHeight="1" x14ac:dyDescent="0.45">
      <c r="S4404" s="452"/>
      <c r="T4404" s="452"/>
      <c r="U4404" s="452"/>
      <c r="V4404" s="452"/>
      <c r="W4404" s="452"/>
    </row>
    <row r="4405" spans="19:23" ht="15" customHeight="1" x14ac:dyDescent="0.45">
      <c r="S4405" s="452"/>
      <c r="T4405" s="452"/>
      <c r="U4405" s="452"/>
      <c r="V4405" s="452"/>
      <c r="W4405" s="452"/>
    </row>
    <row r="4406" spans="19:23" ht="15" customHeight="1" x14ac:dyDescent="0.45">
      <c r="S4406" s="452"/>
      <c r="T4406" s="452"/>
      <c r="U4406" s="452"/>
      <c r="V4406" s="452"/>
      <c r="W4406" s="452"/>
    </row>
    <row r="4407" spans="19:23" ht="15" customHeight="1" x14ac:dyDescent="0.45">
      <c r="S4407" s="452"/>
      <c r="T4407" s="452"/>
      <c r="U4407" s="452"/>
      <c r="V4407" s="452"/>
      <c r="W4407" s="452"/>
    </row>
    <row r="4408" spans="19:23" ht="15" customHeight="1" x14ac:dyDescent="0.45">
      <c r="S4408" s="452"/>
      <c r="T4408" s="452"/>
      <c r="U4408" s="452"/>
      <c r="V4408" s="452"/>
      <c r="W4408" s="452"/>
    </row>
    <row r="4409" spans="19:23" ht="15" customHeight="1" x14ac:dyDescent="0.45">
      <c r="S4409" s="452"/>
      <c r="T4409" s="452"/>
      <c r="U4409" s="452"/>
      <c r="V4409" s="452"/>
      <c r="W4409" s="452"/>
    </row>
    <row r="4410" spans="19:23" ht="15" customHeight="1" x14ac:dyDescent="0.45">
      <c r="S4410" s="452"/>
      <c r="T4410" s="452"/>
      <c r="U4410" s="452"/>
      <c r="V4410" s="452"/>
      <c r="W4410" s="452"/>
    </row>
    <row r="4411" spans="19:23" ht="15" customHeight="1" x14ac:dyDescent="0.45">
      <c r="S4411" s="452"/>
      <c r="T4411" s="452"/>
      <c r="U4411" s="452"/>
      <c r="V4411" s="452"/>
      <c r="W4411" s="452"/>
    </row>
    <row r="4412" spans="19:23" ht="15" customHeight="1" x14ac:dyDescent="0.45">
      <c r="S4412" s="452"/>
      <c r="T4412" s="452"/>
      <c r="U4412" s="452"/>
      <c r="V4412" s="452"/>
      <c r="W4412" s="452"/>
    </row>
    <row r="4413" spans="19:23" ht="15" customHeight="1" x14ac:dyDescent="0.45">
      <c r="S4413" s="452"/>
      <c r="T4413" s="452"/>
      <c r="U4413" s="452"/>
      <c r="V4413" s="452"/>
      <c r="W4413" s="452"/>
    </row>
    <row r="4414" spans="19:23" ht="15" customHeight="1" x14ac:dyDescent="0.45">
      <c r="S4414" s="452"/>
      <c r="T4414" s="452"/>
      <c r="U4414" s="452"/>
      <c r="V4414" s="452"/>
      <c r="W4414" s="452"/>
    </row>
    <row r="4415" spans="19:23" ht="15" customHeight="1" x14ac:dyDescent="0.45">
      <c r="S4415" s="452"/>
      <c r="T4415" s="452"/>
      <c r="U4415" s="452"/>
      <c r="V4415" s="452"/>
      <c r="W4415" s="452"/>
    </row>
    <row r="4416" spans="19:23" ht="15" customHeight="1" x14ac:dyDescent="0.45">
      <c r="S4416" s="452"/>
      <c r="T4416" s="452"/>
      <c r="U4416" s="452"/>
      <c r="V4416" s="452"/>
      <c r="W4416" s="452"/>
    </row>
    <row r="4417" spans="19:23" ht="15" customHeight="1" x14ac:dyDescent="0.45">
      <c r="S4417" s="452"/>
      <c r="T4417" s="452"/>
      <c r="U4417" s="452"/>
      <c r="V4417" s="452"/>
      <c r="W4417" s="452"/>
    </row>
    <row r="4418" spans="19:23" ht="15" customHeight="1" x14ac:dyDescent="0.45">
      <c r="S4418" s="452"/>
      <c r="T4418" s="452"/>
      <c r="U4418" s="452"/>
      <c r="V4418" s="452"/>
      <c r="W4418" s="452"/>
    </row>
    <row r="4419" spans="19:23" ht="15" customHeight="1" x14ac:dyDescent="0.45">
      <c r="S4419" s="452"/>
      <c r="T4419" s="452"/>
      <c r="U4419" s="452"/>
      <c r="V4419" s="452"/>
      <c r="W4419" s="452"/>
    </row>
    <row r="4420" spans="19:23" ht="15" customHeight="1" x14ac:dyDescent="0.45">
      <c r="S4420" s="452"/>
      <c r="T4420" s="452"/>
      <c r="U4420" s="452"/>
      <c r="V4420" s="452"/>
      <c r="W4420" s="452"/>
    </row>
    <row r="4421" spans="19:23" ht="15" customHeight="1" x14ac:dyDescent="0.45">
      <c r="S4421" s="452"/>
      <c r="T4421" s="452"/>
      <c r="U4421" s="452"/>
      <c r="V4421" s="452"/>
      <c r="W4421" s="452"/>
    </row>
    <row r="4422" spans="19:23" ht="15" customHeight="1" x14ac:dyDescent="0.45">
      <c r="S4422" s="452"/>
      <c r="T4422" s="452"/>
      <c r="U4422" s="452"/>
      <c r="V4422" s="452"/>
      <c r="W4422" s="452"/>
    </row>
    <row r="4423" spans="19:23" ht="15" customHeight="1" x14ac:dyDescent="0.45">
      <c r="S4423" s="452"/>
      <c r="T4423" s="452"/>
      <c r="U4423" s="452"/>
      <c r="V4423" s="452"/>
      <c r="W4423" s="452"/>
    </row>
    <row r="4424" spans="19:23" ht="15" customHeight="1" x14ac:dyDescent="0.45">
      <c r="S4424" s="452"/>
      <c r="T4424" s="452"/>
      <c r="U4424" s="452"/>
      <c r="V4424" s="452"/>
      <c r="W4424" s="452"/>
    </row>
    <row r="4425" spans="19:23" ht="15" customHeight="1" x14ac:dyDescent="0.45">
      <c r="S4425" s="452"/>
      <c r="T4425" s="452"/>
      <c r="U4425" s="452"/>
      <c r="V4425" s="452"/>
      <c r="W4425" s="452"/>
    </row>
    <row r="4426" spans="19:23" ht="15" customHeight="1" x14ac:dyDescent="0.45">
      <c r="S4426" s="452"/>
      <c r="T4426" s="452"/>
      <c r="U4426" s="452"/>
      <c r="V4426" s="452"/>
      <c r="W4426" s="452"/>
    </row>
    <row r="4427" spans="19:23" ht="15" customHeight="1" x14ac:dyDescent="0.45">
      <c r="S4427" s="452"/>
      <c r="T4427" s="452"/>
      <c r="U4427" s="452"/>
      <c r="V4427" s="452"/>
      <c r="W4427" s="452"/>
    </row>
    <row r="4428" spans="19:23" ht="15" customHeight="1" x14ac:dyDescent="0.45">
      <c r="S4428" s="452"/>
      <c r="T4428" s="452"/>
      <c r="U4428" s="452"/>
      <c r="V4428" s="452"/>
      <c r="W4428" s="452"/>
    </row>
    <row r="4429" spans="19:23" ht="15" customHeight="1" x14ac:dyDescent="0.45">
      <c r="S4429" s="452"/>
      <c r="T4429" s="452"/>
      <c r="U4429" s="452"/>
      <c r="V4429" s="452"/>
      <c r="W4429" s="452"/>
    </row>
    <row r="4430" spans="19:23" ht="15" customHeight="1" x14ac:dyDescent="0.45">
      <c r="S4430" s="452"/>
      <c r="T4430" s="452"/>
      <c r="U4430" s="452"/>
      <c r="V4430" s="452"/>
      <c r="W4430" s="452"/>
    </row>
    <row r="4431" spans="19:23" ht="15" customHeight="1" x14ac:dyDescent="0.45">
      <c r="S4431" s="452"/>
      <c r="T4431" s="452"/>
      <c r="U4431" s="452"/>
      <c r="V4431" s="452"/>
      <c r="W4431" s="452"/>
    </row>
    <row r="4432" spans="19:23" ht="15" customHeight="1" x14ac:dyDescent="0.45">
      <c r="S4432" s="452"/>
      <c r="T4432" s="452"/>
      <c r="U4432" s="452"/>
      <c r="V4432" s="452"/>
      <c r="W4432" s="452"/>
    </row>
    <row r="4433" spans="19:23" ht="15" customHeight="1" x14ac:dyDescent="0.45">
      <c r="S4433" s="452"/>
      <c r="T4433" s="452"/>
      <c r="U4433" s="452"/>
      <c r="V4433" s="452"/>
      <c r="W4433" s="452"/>
    </row>
    <row r="4434" spans="19:23" ht="15" customHeight="1" x14ac:dyDescent="0.45">
      <c r="S4434" s="452"/>
      <c r="T4434" s="452"/>
      <c r="U4434" s="452"/>
      <c r="V4434" s="452"/>
      <c r="W4434" s="452"/>
    </row>
    <row r="4435" spans="19:23" ht="15" customHeight="1" x14ac:dyDescent="0.45">
      <c r="S4435" s="452"/>
      <c r="T4435" s="452"/>
      <c r="U4435" s="452"/>
      <c r="V4435" s="452"/>
      <c r="W4435" s="452"/>
    </row>
    <row r="4436" spans="19:23" ht="15" customHeight="1" x14ac:dyDescent="0.45">
      <c r="S4436" s="452"/>
      <c r="T4436" s="452"/>
      <c r="U4436" s="452"/>
      <c r="V4436" s="452"/>
      <c r="W4436" s="452"/>
    </row>
    <row r="4437" spans="19:23" ht="15" customHeight="1" x14ac:dyDescent="0.45">
      <c r="S4437" s="452"/>
      <c r="T4437" s="452"/>
      <c r="U4437" s="452"/>
      <c r="V4437" s="452"/>
      <c r="W4437" s="452"/>
    </row>
    <row r="4438" spans="19:23" ht="15" customHeight="1" x14ac:dyDescent="0.45">
      <c r="S4438" s="452"/>
      <c r="T4438" s="452"/>
      <c r="U4438" s="452"/>
      <c r="V4438" s="452"/>
      <c r="W4438" s="452"/>
    </row>
    <row r="4439" spans="19:23" ht="15" customHeight="1" x14ac:dyDescent="0.45">
      <c r="S4439" s="452"/>
      <c r="T4439" s="452"/>
      <c r="U4439" s="452"/>
      <c r="V4439" s="452"/>
      <c r="W4439" s="452"/>
    </row>
    <row r="4440" spans="19:23" ht="15" customHeight="1" x14ac:dyDescent="0.45">
      <c r="S4440" s="452"/>
      <c r="T4440" s="452"/>
      <c r="U4440" s="452"/>
      <c r="V4440" s="452"/>
      <c r="W4440" s="452"/>
    </row>
    <row r="4441" spans="19:23" ht="15" customHeight="1" x14ac:dyDescent="0.45">
      <c r="S4441" s="452"/>
      <c r="T4441" s="452"/>
      <c r="U4441" s="452"/>
      <c r="V4441" s="452"/>
      <c r="W4441" s="452"/>
    </row>
    <row r="4442" spans="19:23" ht="15" customHeight="1" x14ac:dyDescent="0.45">
      <c r="S4442" s="452"/>
      <c r="T4442" s="452"/>
      <c r="U4442" s="452"/>
      <c r="V4442" s="452"/>
      <c r="W4442" s="452"/>
    </row>
    <row r="4443" spans="19:23" ht="15" customHeight="1" x14ac:dyDescent="0.45">
      <c r="S4443" s="452"/>
      <c r="T4443" s="452"/>
      <c r="U4443" s="452"/>
      <c r="V4443" s="452"/>
      <c r="W4443" s="452"/>
    </row>
    <row r="4444" spans="19:23" ht="15" customHeight="1" x14ac:dyDescent="0.45">
      <c r="S4444" s="452"/>
      <c r="T4444" s="452"/>
      <c r="U4444" s="452"/>
      <c r="V4444" s="452"/>
      <c r="W4444" s="452"/>
    </row>
    <row r="4445" spans="19:23" ht="15" customHeight="1" x14ac:dyDescent="0.45">
      <c r="S4445" s="452"/>
      <c r="T4445" s="452"/>
      <c r="U4445" s="452"/>
      <c r="V4445" s="452"/>
      <c r="W4445" s="452"/>
    </row>
    <row r="4446" spans="19:23" ht="15" customHeight="1" x14ac:dyDescent="0.45">
      <c r="S4446" s="452"/>
      <c r="T4446" s="452"/>
      <c r="U4446" s="452"/>
      <c r="V4446" s="452"/>
      <c r="W4446" s="452"/>
    </row>
    <row r="4447" spans="19:23" ht="15" customHeight="1" x14ac:dyDescent="0.45">
      <c r="S4447" s="452"/>
      <c r="T4447" s="452"/>
      <c r="U4447" s="452"/>
      <c r="V4447" s="452"/>
      <c r="W4447" s="452"/>
    </row>
    <row r="4448" spans="19:23" ht="15" customHeight="1" x14ac:dyDescent="0.45">
      <c r="S4448" s="452"/>
      <c r="T4448" s="452"/>
      <c r="U4448" s="452"/>
      <c r="V4448" s="452"/>
      <c r="W4448" s="452"/>
    </row>
    <row r="4449" spans="19:23" ht="15" customHeight="1" x14ac:dyDescent="0.45">
      <c r="S4449" s="452"/>
      <c r="T4449" s="452"/>
      <c r="U4449" s="452"/>
      <c r="V4449" s="452"/>
      <c r="W4449" s="452"/>
    </row>
    <row r="4450" spans="19:23" ht="15" customHeight="1" x14ac:dyDescent="0.45">
      <c r="S4450" s="452"/>
      <c r="T4450" s="452"/>
      <c r="U4450" s="452"/>
      <c r="V4450" s="452"/>
      <c r="W4450" s="452"/>
    </row>
    <row r="4451" spans="19:23" ht="15" customHeight="1" x14ac:dyDescent="0.45">
      <c r="S4451" s="452"/>
      <c r="T4451" s="452"/>
      <c r="U4451" s="452"/>
      <c r="V4451" s="452"/>
      <c r="W4451" s="452"/>
    </row>
    <row r="4452" spans="19:23" ht="15" customHeight="1" x14ac:dyDescent="0.45">
      <c r="S4452" s="452"/>
      <c r="T4452" s="452"/>
      <c r="U4452" s="452"/>
      <c r="V4452" s="452"/>
      <c r="W4452" s="452"/>
    </row>
    <row r="4453" spans="19:23" ht="15" customHeight="1" x14ac:dyDescent="0.45">
      <c r="S4453" s="452"/>
      <c r="T4453" s="452"/>
      <c r="U4453" s="452"/>
      <c r="V4453" s="452"/>
      <c r="W4453" s="452"/>
    </row>
    <row r="4454" spans="19:23" ht="15" customHeight="1" x14ac:dyDescent="0.45">
      <c r="S4454" s="452"/>
      <c r="T4454" s="452"/>
      <c r="U4454" s="452"/>
      <c r="V4454" s="452"/>
      <c r="W4454" s="452"/>
    </row>
    <row r="4455" spans="19:23" ht="15" customHeight="1" x14ac:dyDescent="0.45">
      <c r="S4455" s="452"/>
      <c r="T4455" s="452"/>
      <c r="U4455" s="452"/>
      <c r="V4455" s="452"/>
      <c r="W4455" s="452"/>
    </row>
    <row r="4456" spans="19:23" ht="15" customHeight="1" x14ac:dyDescent="0.45">
      <c r="S4456" s="452"/>
      <c r="T4456" s="452"/>
      <c r="U4456" s="452"/>
      <c r="V4456" s="452"/>
      <c r="W4456" s="452"/>
    </row>
    <row r="4457" spans="19:23" ht="15" customHeight="1" x14ac:dyDescent="0.45">
      <c r="S4457" s="452"/>
      <c r="T4457" s="452"/>
      <c r="U4457" s="452"/>
      <c r="V4457" s="452"/>
      <c r="W4457" s="452"/>
    </row>
    <row r="4458" spans="19:23" ht="15" customHeight="1" x14ac:dyDescent="0.45">
      <c r="S4458" s="452"/>
      <c r="T4458" s="452"/>
      <c r="U4458" s="452"/>
      <c r="V4458" s="452"/>
      <c r="W4458" s="452"/>
    </row>
    <row r="4459" spans="19:23" ht="15" customHeight="1" x14ac:dyDescent="0.45">
      <c r="S4459" s="452"/>
      <c r="T4459" s="452"/>
      <c r="U4459" s="452"/>
      <c r="V4459" s="452"/>
      <c r="W4459" s="452"/>
    </row>
    <row r="4460" spans="19:23" ht="15" customHeight="1" x14ac:dyDescent="0.45">
      <c r="S4460" s="452"/>
      <c r="T4460" s="452"/>
      <c r="U4460" s="452"/>
      <c r="V4460" s="452"/>
      <c r="W4460" s="452"/>
    </row>
    <row r="4461" spans="19:23" ht="15" customHeight="1" x14ac:dyDescent="0.45">
      <c r="S4461" s="452"/>
      <c r="T4461" s="452"/>
      <c r="U4461" s="452"/>
      <c r="V4461" s="452"/>
      <c r="W4461" s="452"/>
    </row>
    <row r="4462" spans="19:23" ht="15" customHeight="1" x14ac:dyDescent="0.45">
      <c r="S4462" s="452"/>
      <c r="T4462" s="452"/>
      <c r="U4462" s="452"/>
      <c r="V4462" s="452"/>
      <c r="W4462" s="452"/>
    </row>
    <row r="4463" spans="19:23" ht="15" customHeight="1" x14ac:dyDescent="0.45">
      <c r="S4463" s="452"/>
      <c r="T4463" s="452"/>
      <c r="U4463" s="452"/>
      <c r="V4463" s="452"/>
      <c r="W4463" s="452"/>
    </row>
    <row r="4464" spans="19:23" ht="15" customHeight="1" x14ac:dyDescent="0.45">
      <c r="S4464" s="452"/>
      <c r="T4464" s="452"/>
      <c r="U4464" s="452"/>
      <c r="V4464" s="452"/>
      <c r="W4464" s="452"/>
    </row>
    <row r="4465" spans="19:23" ht="15" customHeight="1" x14ac:dyDescent="0.45">
      <c r="S4465" s="452"/>
      <c r="T4465" s="452"/>
      <c r="U4465" s="452"/>
      <c r="V4465" s="452"/>
      <c r="W4465" s="452"/>
    </row>
    <row r="4466" spans="19:23" ht="15" customHeight="1" x14ac:dyDescent="0.45">
      <c r="S4466" s="452"/>
      <c r="T4466" s="452"/>
      <c r="U4466" s="452"/>
      <c r="V4466" s="452"/>
      <c r="W4466" s="452"/>
    </row>
    <row r="4467" spans="19:23" ht="15" customHeight="1" x14ac:dyDescent="0.45">
      <c r="S4467" s="452"/>
      <c r="T4467" s="452"/>
      <c r="U4467" s="452"/>
      <c r="V4467" s="452"/>
      <c r="W4467" s="452"/>
    </row>
    <row r="4468" spans="19:23" ht="15" customHeight="1" x14ac:dyDescent="0.45">
      <c r="S4468" s="452"/>
      <c r="T4468" s="452"/>
      <c r="U4468" s="452"/>
      <c r="V4468" s="452"/>
      <c r="W4468" s="452"/>
    </row>
    <row r="4469" spans="19:23" ht="15" customHeight="1" x14ac:dyDescent="0.45">
      <c r="S4469" s="452"/>
      <c r="T4469" s="452"/>
      <c r="U4469" s="452"/>
      <c r="V4469" s="452"/>
      <c r="W4469" s="452"/>
    </row>
    <row r="4470" spans="19:23" ht="15" customHeight="1" x14ac:dyDescent="0.45">
      <c r="S4470" s="452"/>
      <c r="T4470" s="452"/>
      <c r="U4470" s="452"/>
      <c r="V4470" s="452"/>
      <c r="W4470" s="452"/>
    </row>
    <row r="4471" spans="19:23" ht="15" customHeight="1" x14ac:dyDescent="0.45">
      <c r="S4471" s="452"/>
      <c r="T4471" s="452"/>
      <c r="U4471" s="452"/>
      <c r="V4471" s="452"/>
      <c r="W4471" s="452"/>
    </row>
    <row r="4472" spans="19:23" ht="15" customHeight="1" x14ac:dyDescent="0.45">
      <c r="S4472" s="452"/>
      <c r="T4472" s="452"/>
      <c r="U4472" s="452"/>
      <c r="V4472" s="452"/>
      <c r="W4472" s="452"/>
    </row>
    <row r="4473" spans="19:23" ht="15" customHeight="1" x14ac:dyDescent="0.45">
      <c r="S4473" s="452"/>
      <c r="T4473" s="452"/>
      <c r="U4473" s="452"/>
      <c r="V4473" s="452"/>
      <c r="W4473" s="452"/>
    </row>
    <row r="4474" spans="19:23" ht="15" customHeight="1" x14ac:dyDescent="0.45">
      <c r="S4474" s="452"/>
      <c r="T4474" s="452"/>
      <c r="U4474" s="452"/>
      <c r="V4474" s="452"/>
      <c r="W4474" s="452"/>
    </row>
    <row r="4475" spans="19:23" ht="15" customHeight="1" x14ac:dyDescent="0.45">
      <c r="S4475" s="452"/>
      <c r="T4475" s="452"/>
      <c r="U4475" s="452"/>
      <c r="V4475" s="452"/>
      <c r="W4475" s="452"/>
    </row>
    <row r="4476" spans="19:23" ht="15" customHeight="1" x14ac:dyDescent="0.45">
      <c r="S4476" s="452"/>
      <c r="T4476" s="452"/>
      <c r="U4476" s="452"/>
      <c r="V4476" s="452"/>
      <c r="W4476" s="452"/>
    </row>
    <row r="4477" spans="19:23" ht="15" customHeight="1" x14ac:dyDescent="0.45">
      <c r="S4477" s="452"/>
      <c r="T4477" s="452"/>
      <c r="U4477" s="452"/>
      <c r="V4477" s="452"/>
      <c r="W4477" s="452"/>
    </row>
    <row r="4478" spans="19:23" ht="15" customHeight="1" x14ac:dyDescent="0.45">
      <c r="S4478" s="452"/>
      <c r="T4478" s="452"/>
      <c r="U4478" s="452"/>
      <c r="V4478" s="452"/>
      <c r="W4478" s="452"/>
    </row>
    <row r="4479" spans="19:23" ht="15" customHeight="1" x14ac:dyDescent="0.45">
      <c r="S4479" s="452"/>
      <c r="T4479" s="452"/>
      <c r="U4479" s="452"/>
      <c r="V4479" s="452"/>
      <c r="W4479" s="452"/>
    </row>
    <row r="4480" spans="19:23" ht="15" customHeight="1" x14ac:dyDescent="0.45">
      <c r="S4480" s="452"/>
      <c r="T4480" s="452"/>
      <c r="U4480" s="452"/>
      <c r="V4480" s="452"/>
      <c r="W4480" s="452"/>
    </row>
    <row r="4481" spans="19:23" ht="15" customHeight="1" x14ac:dyDescent="0.45">
      <c r="S4481" s="452"/>
      <c r="T4481" s="452"/>
      <c r="U4481" s="452"/>
      <c r="V4481" s="452"/>
      <c r="W4481" s="452"/>
    </row>
    <row r="4482" spans="19:23" ht="15" customHeight="1" x14ac:dyDescent="0.45">
      <c r="S4482" s="452"/>
      <c r="T4482" s="452"/>
      <c r="U4482" s="452"/>
      <c r="V4482" s="452"/>
      <c r="W4482" s="452"/>
    </row>
    <row r="4483" spans="19:23" ht="15" customHeight="1" x14ac:dyDescent="0.45">
      <c r="S4483" s="452"/>
      <c r="T4483" s="452"/>
      <c r="U4483" s="452"/>
      <c r="V4483" s="452"/>
      <c r="W4483" s="452"/>
    </row>
    <row r="4484" spans="19:23" ht="15" customHeight="1" x14ac:dyDescent="0.45">
      <c r="S4484" s="452"/>
      <c r="T4484" s="452"/>
      <c r="U4484" s="452"/>
      <c r="V4484" s="452"/>
      <c r="W4484" s="452"/>
    </row>
    <row r="4485" spans="19:23" ht="15" customHeight="1" x14ac:dyDescent="0.45">
      <c r="S4485" s="452"/>
      <c r="T4485" s="452"/>
      <c r="U4485" s="452"/>
      <c r="V4485" s="452"/>
      <c r="W4485" s="452"/>
    </row>
    <row r="4486" spans="19:23" ht="15" customHeight="1" x14ac:dyDescent="0.45">
      <c r="S4486" s="452"/>
      <c r="T4486" s="452"/>
      <c r="U4486" s="452"/>
      <c r="V4486" s="452"/>
      <c r="W4486" s="452"/>
    </row>
    <row r="4487" spans="19:23" ht="15" customHeight="1" x14ac:dyDescent="0.45">
      <c r="S4487" s="452"/>
      <c r="T4487" s="452"/>
      <c r="U4487" s="452"/>
      <c r="V4487" s="452"/>
      <c r="W4487" s="452"/>
    </row>
    <row r="4488" spans="19:23" ht="15" customHeight="1" x14ac:dyDescent="0.45">
      <c r="S4488" s="452"/>
      <c r="T4488" s="452"/>
      <c r="U4488" s="452"/>
      <c r="V4488" s="452"/>
      <c r="W4488" s="452"/>
    </row>
    <row r="4489" spans="19:23" ht="15" customHeight="1" x14ac:dyDescent="0.45">
      <c r="S4489" s="452"/>
      <c r="T4489" s="452"/>
      <c r="U4489" s="452"/>
      <c r="V4489" s="452"/>
      <c r="W4489" s="452"/>
    </row>
    <row r="4490" spans="19:23" ht="15" customHeight="1" x14ac:dyDescent="0.45">
      <c r="S4490" s="452"/>
      <c r="T4490" s="452"/>
      <c r="U4490" s="452"/>
      <c r="V4490" s="452"/>
      <c r="W4490" s="452"/>
    </row>
    <row r="4491" spans="19:23" ht="15" customHeight="1" x14ac:dyDescent="0.45">
      <c r="S4491" s="452"/>
      <c r="T4491" s="452"/>
      <c r="U4491" s="452"/>
      <c r="V4491" s="452"/>
      <c r="W4491" s="452"/>
    </row>
    <row r="4492" spans="19:23" ht="15" customHeight="1" x14ac:dyDescent="0.45">
      <c r="S4492" s="452"/>
      <c r="T4492" s="452"/>
      <c r="U4492" s="452"/>
      <c r="V4492" s="452"/>
      <c r="W4492" s="452"/>
    </row>
    <row r="4493" spans="19:23" ht="15" customHeight="1" x14ac:dyDescent="0.45">
      <c r="S4493" s="452"/>
      <c r="T4493" s="452"/>
      <c r="U4493" s="452"/>
      <c r="V4493" s="452"/>
      <c r="W4493" s="452"/>
    </row>
    <row r="4494" spans="19:23" ht="15" customHeight="1" x14ac:dyDescent="0.45">
      <c r="S4494" s="452"/>
      <c r="T4494" s="452"/>
      <c r="U4494" s="452"/>
      <c r="V4494" s="452"/>
      <c r="W4494" s="452"/>
    </row>
    <row r="4495" spans="19:23" ht="15" customHeight="1" x14ac:dyDescent="0.45">
      <c r="S4495" s="452"/>
      <c r="T4495" s="452"/>
      <c r="U4495" s="452"/>
      <c r="V4495" s="452"/>
      <c r="W4495" s="452"/>
    </row>
    <row r="4496" spans="19:23" ht="15" customHeight="1" x14ac:dyDescent="0.45">
      <c r="S4496" s="452"/>
      <c r="T4496" s="452"/>
      <c r="U4496" s="452"/>
      <c r="V4496" s="452"/>
      <c r="W4496" s="452"/>
    </row>
    <row r="4497" spans="19:23" ht="15" customHeight="1" x14ac:dyDescent="0.45">
      <c r="S4497" s="452"/>
      <c r="T4497" s="452"/>
      <c r="U4497" s="452"/>
      <c r="V4497" s="452"/>
      <c r="W4497" s="452"/>
    </row>
    <row r="4498" spans="19:23" ht="15" customHeight="1" x14ac:dyDescent="0.45">
      <c r="S4498" s="452"/>
      <c r="T4498" s="452"/>
      <c r="U4498" s="452"/>
      <c r="V4498" s="452"/>
      <c r="W4498" s="452"/>
    </row>
    <row r="4499" spans="19:23" ht="15" customHeight="1" x14ac:dyDescent="0.45">
      <c r="S4499" s="452"/>
      <c r="T4499" s="452"/>
      <c r="U4499" s="452"/>
      <c r="V4499" s="452"/>
      <c r="W4499" s="452"/>
    </row>
    <row r="4500" spans="19:23" ht="15" customHeight="1" x14ac:dyDescent="0.45">
      <c r="S4500" s="452"/>
      <c r="T4500" s="452"/>
      <c r="U4500" s="452"/>
      <c r="V4500" s="452"/>
      <c r="W4500" s="452"/>
    </row>
    <row r="4501" spans="19:23" ht="15" customHeight="1" x14ac:dyDescent="0.45">
      <c r="S4501" s="452"/>
      <c r="T4501" s="452"/>
      <c r="U4501" s="452"/>
      <c r="V4501" s="452"/>
      <c r="W4501" s="452"/>
    </row>
    <row r="4502" spans="19:23" ht="15" customHeight="1" x14ac:dyDescent="0.45">
      <c r="S4502" s="452"/>
      <c r="T4502" s="452"/>
      <c r="U4502" s="452"/>
      <c r="V4502" s="452"/>
      <c r="W4502" s="452"/>
    </row>
    <row r="4503" spans="19:23" ht="15" customHeight="1" x14ac:dyDescent="0.45">
      <c r="S4503" s="452"/>
      <c r="T4503" s="452"/>
      <c r="U4503" s="452"/>
      <c r="V4503" s="452"/>
      <c r="W4503" s="452"/>
    </row>
    <row r="4504" spans="19:23" ht="15" customHeight="1" x14ac:dyDescent="0.45">
      <c r="S4504" s="452"/>
      <c r="T4504" s="452"/>
      <c r="U4504" s="452"/>
      <c r="V4504" s="452"/>
      <c r="W4504" s="452"/>
    </row>
    <row r="4505" spans="19:23" ht="15" customHeight="1" x14ac:dyDescent="0.45">
      <c r="S4505" s="452"/>
      <c r="T4505" s="452"/>
      <c r="U4505" s="452"/>
      <c r="V4505" s="452"/>
      <c r="W4505" s="452"/>
    </row>
    <row r="4506" spans="19:23" ht="15" customHeight="1" x14ac:dyDescent="0.45">
      <c r="S4506" s="452"/>
      <c r="T4506" s="452"/>
      <c r="U4506" s="452"/>
      <c r="V4506" s="452"/>
      <c r="W4506" s="452"/>
    </row>
    <row r="4507" spans="19:23" ht="15" customHeight="1" x14ac:dyDescent="0.45">
      <c r="S4507" s="452"/>
      <c r="T4507" s="452"/>
      <c r="U4507" s="452"/>
      <c r="V4507" s="452"/>
      <c r="W4507" s="452"/>
    </row>
    <row r="4508" spans="19:23" ht="15" customHeight="1" x14ac:dyDescent="0.45">
      <c r="S4508" s="452"/>
      <c r="T4508" s="452"/>
      <c r="U4508" s="452"/>
      <c r="V4508" s="452"/>
      <c r="W4508" s="452"/>
    </row>
    <row r="4509" spans="19:23" ht="15" customHeight="1" x14ac:dyDescent="0.45">
      <c r="S4509" s="452"/>
      <c r="T4509" s="452"/>
      <c r="U4509" s="452"/>
      <c r="V4509" s="452"/>
      <c r="W4509" s="452"/>
    </row>
    <row r="4510" spans="19:23" ht="15" customHeight="1" x14ac:dyDescent="0.45">
      <c r="S4510" s="452"/>
      <c r="T4510" s="452"/>
      <c r="U4510" s="452"/>
      <c r="V4510" s="452"/>
      <c r="W4510" s="452"/>
    </row>
    <row r="4511" spans="19:23" ht="15" customHeight="1" x14ac:dyDescent="0.45">
      <c r="S4511" s="452"/>
      <c r="T4511" s="452"/>
      <c r="U4511" s="452"/>
      <c r="V4511" s="452"/>
      <c r="W4511" s="452"/>
    </row>
    <row r="4512" spans="19:23" ht="15" customHeight="1" x14ac:dyDescent="0.45">
      <c r="S4512" s="452"/>
      <c r="T4512" s="452"/>
      <c r="U4512" s="452"/>
      <c r="V4512" s="452"/>
      <c r="W4512" s="452"/>
    </row>
    <row r="4513" spans="19:23" ht="15" customHeight="1" x14ac:dyDescent="0.45">
      <c r="S4513" s="452"/>
      <c r="T4513" s="452"/>
      <c r="U4513" s="452"/>
      <c r="V4513" s="452"/>
      <c r="W4513" s="452"/>
    </row>
    <row r="4514" spans="19:23" ht="15" customHeight="1" x14ac:dyDescent="0.45">
      <c r="S4514" s="452"/>
      <c r="T4514" s="452"/>
      <c r="U4514" s="452"/>
      <c r="V4514" s="452"/>
      <c r="W4514" s="452"/>
    </row>
    <row r="4515" spans="19:23" ht="15" customHeight="1" x14ac:dyDescent="0.45">
      <c r="S4515" s="452"/>
      <c r="T4515" s="452"/>
      <c r="U4515" s="452"/>
      <c r="V4515" s="452"/>
      <c r="W4515" s="452"/>
    </row>
    <row r="4516" spans="19:23" ht="15" customHeight="1" x14ac:dyDescent="0.45">
      <c r="S4516" s="452"/>
      <c r="T4516" s="452"/>
      <c r="U4516" s="452"/>
      <c r="V4516" s="452"/>
      <c r="W4516" s="452"/>
    </row>
    <row r="4517" spans="19:23" ht="15" customHeight="1" x14ac:dyDescent="0.45">
      <c r="S4517" s="452"/>
      <c r="T4517" s="452"/>
      <c r="U4517" s="452"/>
      <c r="V4517" s="452"/>
      <c r="W4517" s="452"/>
    </row>
    <row r="4518" spans="19:23" ht="15" customHeight="1" x14ac:dyDescent="0.45">
      <c r="S4518" s="452"/>
      <c r="T4518" s="452"/>
      <c r="U4518" s="452"/>
      <c r="V4518" s="452"/>
      <c r="W4518" s="452"/>
    </row>
    <row r="4519" spans="19:23" ht="15" customHeight="1" x14ac:dyDescent="0.45">
      <c r="S4519" s="452"/>
      <c r="T4519" s="452"/>
      <c r="U4519" s="452"/>
      <c r="V4519" s="452"/>
      <c r="W4519" s="452"/>
    </row>
    <row r="4520" spans="19:23" ht="15" customHeight="1" x14ac:dyDescent="0.45">
      <c r="S4520" s="452"/>
      <c r="T4520" s="452"/>
      <c r="U4520" s="452"/>
      <c r="V4520" s="452"/>
      <c r="W4520" s="452"/>
    </row>
    <row r="4521" spans="19:23" ht="15" customHeight="1" x14ac:dyDescent="0.45">
      <c r="S4521" s="452"/>
      <c r="T4521" s="452"/>
      <c r="U4521" s="452"/>
      <c r="V4521" s="452"/>
      <c r="W4521" s="452"/>
    </row>
    <row r="4522" spans="19:23" ht="15" customHeight="1" x14ac:dyDescent="0.45">
      <c r="S4522" s="452"/>
      <c r="T4522" s="452"/>
      <c r="U4522" s="452"/>
      <c r="V4522" s="452"/>
      <c r="W4522" s="452"/>
    </row>
    <row r="4523" spans="19:23" ht="15" customHeight="1" x14ac:dyDescent="0.45">
      <c r="S4523" s="452"/>
      <c r="T4523" s="452"/>
      <c r="U4523" s="452"/>
      <c r="V4523" s="452"/>
      <c r="W4523" s="452"/>
    </row>
    <row r="4524" spans="19:23" ht="15" customHeight="1" x14ac:dyDescent="0.45">
      <c r="S4524" s="452"/>
      <c r="T4524" s="452"/>
      <c r="U4524" s="452"/>
      <c r="V4524" s="452"/>
      <c r="W4524" s="452"/>
    </row>
    <row r="4525" spans="19:23" ht="15" customHeight="1" x14ac:dyDescent="0.45">
      <c r="S4525" s="452"/>
      <c r="T4525" s="452"/>
      <c r="U4525" s="452"/>
      <c r="V4525" s="452"/>
      <c r="W4525" s="452"/>
    </row>
    <row r="4526" spans="19:23" ht="15" customHeight="1" x14ac:dyDescent="0.45">
      <c r="S4526" s="452"/>
      <c r="T4526" s="452"/>
      <c r="U4526" s="452"/>
      <c r="V4526" s="452"/>
      <c r="W4526" s="452"/>
    </row>
    <row r="4527" spans="19:23" ht="15" customHeight="1" x14ac:dyDescent="0.45">
      <c r="S4527" s="452"/>
      <c r="T4527" s="452"/>
      <c r="U4527" s="452"/>
      <c r="V4527" s="452"/>
      <c r="W4527" s="452"/>
    </row>
    <row r="4528" spans="19:23" ht="15" customHeight="1" x14ac:dyDescent="0.45">
      <c r="S4528" s="452"/>
      <c r="T4528" s="452"/>
      <c r="U4528" s="452"/>
      <c r="V4528" s="452"/>
      <c r="W4528" s="452"/>
    </row>
    <row r="4529" spans="19:23" ht="15" customHeight="1" x14ac:dyDescent="0.45">
      <c r="S4529" s="452"/>
      <c r="T4529" s="452"/>
      <c r="U4529" s="452"/>
      <c r="V4529" s="452"/>
      <c r="W4529" s="452"/>
    </row>
    <row r="4530" spans="19:23" ht="15" customHeight="1" x14ac:dyDescent="0.45">
      <c r="S4530" s="452"/>
      <c r="T4530" s="452"/>
      <c r="U4530" s="452"/>
      <c r="V4530" s="452"/>
      <c r="W4530" s="452"/>
    </row>
    <row r="4531" spans="19:23" ht="15" customHeight="1" x14ac:dyDescent="0.45">
      <c r="S4531" s="452"/>
      <c r="T4531" s="452"/>
      <c r="U4531" s="452"/>
      <c r="V4531" s="452"/>
      <c r="W4531" s="452"/>
    </row>
    <row r="4532" spans="19:23" ht="15" customHeight="1" x14ac:dyDescent="0.45">
      <c r="S4532" s="452"/>
      <c r="T4532" s="452"/>
      <c r="U4532" s="452"/>
      <c r="V4532" s="452"/>
      <c r="W4532" s="452"/>
    </row>
    <row r="4533" spans="19:23" ht="15" customHeight="1" x14ac:dyDescent="0.45">
      <c r="S4533" s="452"/>
      <c r="T4533" s="452"/>
      <c r="U4533" s="452"/>
      <c r="V4533" s="452"/>
      <c r="W4533" s="452"/>
    </row>
    <row r="4534" spans="19:23" ht="15" customHeight="1" x14ac:dyDescent="0.45">
      <c r="S4534" s="452"/>
      <c r="T4534" s="452"/>
      <c r="U4534" s="452"/>
      <c r="V4534" s="452"/>
      <c r="W4534" s="452"/>
    </row>
    <row r="4535" spans="19:23" ht="15" customHeight="1" x14ac:dyDescent="0.45">
      <c r="S4535" s="452"/>
      <c r="T4535" s="452"/>
      <c r="U4535" s="452"/>
      <c r="V4535" s="452"/>
      <c r="W4535" s="452"/>
    </row>
    <row r="4536" spans="19:23" ht="15" customHeight="1" x14ac:dyDescent="0.45">
      <c r="S4536" s="452"/>
      <c r="T4536" s="452"/>
      <c r="U4536" s="452"/>
      <c r="V4536" s="452"/>
      <c r="W4536" s="452"/>
    </row>
    <row r="4537" spans="19:23" ht="15" customHeight="1" x14ac:dyDescent="0.45">
      <c r="S4537" s="452"/>
      <c r="T4537" s="452"/>
      <c r="U4537" s="452"/>
      <c r="V4537" s="452"/>
      <c r="W4537" s="452"/>
    </row>
    <row r="4538" spans="19:23" ht="15" customHeight="1" x14ac:dyDescent="0.45">
      <c r="S4538" s="452"/>
      <c r="T4538" s="452"/>
      <c r="U4538" s="452"/>
      <c r="V4538" s="452"/>
      <c r="W4538" s="452"/>
    </row>
    <row r="4539" spans="19:23" ht="15" customHeight="1" x14ac:dyDescent="0.45">
      <c r="S4539" s="452"/>
      <c r="T4539" s="452"/>
      <c r="U4539" s="452"/>
      <c r="V4539" s="452"/>
      <c r="W4539" s="452"/>
    </row>
    <row r="4540" spans="19:23" ht="15" customHeight="1" x14ac:dyDescent="0.45">
      <c r="S4540" s="452"/>
      <c r="T4540" s="452"/>
      <c r="U4540" s="452"/>
      <c r="V4540" s="452"/>
      <c r="W4540" s="452"/>
    </row>
    <row r="4541" spans="19:23" ht="15" customHeight="1" x14ac:dyDescent="0.45">
      <c r="S4541" s="452"/>
      <c r="T4541" s="452"/>
      <c r="U4541" s="452"/>
      <c r="V4541" s="452"/>
      <c r="W4541" s="452"/>
    </row>
    <row r="4542" spans="19:23" ht="15" customHeight="1" x14ac:dyDescent="0.45">
      <c r="S4542" s="452"/>
      <c r="T4542" s="452"/>
      <c r="U4542" s="452"/>
      <c r="V4542" s="452"/>
      <c r="W4542" s="452"/>
    </row>
    <row r="4543" spans="19:23" ht="15" customHeight="1" x14ac:dyDescent="0.45">
      <c r="S4543" s="452"/>
      <c r="T4543" s="452"/>
      <c r="U4543" s="452"/>
      <c r="V4543" s="452"/>
      <c r="W4543" s="452"/>
    </row>
    <row r="4544" spans="19:23" ht="15" customHeight="1" x14ac:dyDescent="0.45">
      <c r="S4544" s="452"/>
      <c r="T4544" s="452"/>
      <c r="U4544" s="452"/>
      <c r="V4544" s="452"/>
      <c r="W4544" s="452"/>
    </row>
    <row r="4545" spans="19:23" ht="15" customHeight="1" x14ac:dyDescent="0.45">
      <c r="S4545" s="452"/>
      <c r="T4545" s="452"/>
      <c r="U4545" s="452"/>
      <c r="V4545" s="452"/>
      <c r="W4545" s="452"/>
    </row>
    <row r="4546" spans="19:23" ht="15" customHeight="1" x14ac:dyDescent="0.45">
      <c r="S4546" s="452"/>
      <c r="T4546" s="452"/>
      <c r="U4546" s="452"/>
      <c r="V4546" s="452"/>
      <c r="W4546" s="452"/>
    </row>
    <row r="4547" spans="19:23" ht="15" customHeight="1" x14ac:dyDescent="0.45">
      <c r="S4547" s="452"/>
      <c r="T4547" s="452"/>
      <c r="U4547" s="452"/>
      <c r="V4547" s="452"/>
      <c r="W4547" s="452"/>
    </row>
    <row r="4548" spans="19:23" ht="15" customHeight="1" x14ac:dyDescent="0.45">
      <c r="S4548" s="452"/>
      <c r="T4548" s="452"/>
      <c r="U4548" s="452"/>
      <c r="V4548" s="452"/>
      <c r="W4548" s="452"/>
    </row>
    <row r="4549" spans="19:23" ht="15" customHeight="1" x14ac:dyDescent="0.45">
      <c r="S4549" s="452"/>
      <c r="T4549" s="452"/>
      <c r="U4549" s="452"/>
      <c r="V4549" s="452"/>
      <c r="W4549" s="452"/>
    </row>
    <row r="4550" spans="19:23" ht="15" customHeight="1" x14ac:dyDescent="0.45">
      <c r="S4550" s="452"/>
      <c r="T4550" s="452"/>
      <c r="U4550" s="452"/>
      <c r="V4550" s="452"/>
      <c r="W4550" s="452"/>
    </row>
    <row r="4551" spans="19:23" ht="15" customHeight="1" x14ac:dyDescent="0.45">
      <c r="S4551" s="452"/>
      <c r="T4551" s="452"/>
      <c r="U4551" s="452"/>
      <c r="V4551" s="452"/>
      <c r="W4551" s="452"/>
    </row>
    <row r="4552" spans="19:23" ht="15" customHeight="1" x14ac:dyDescent="0.45">
      <c r="S4552" s="452"/>
      <c r="T4552" s="452"/>
      <c r="U4552" s="452"/>
      <c r="V4552" s="452"/>
      <c r="W4552" s="452"/>
    </row>
    <row r="4553" spans="19:23" ht="15" customHeight="1" x14ac:dyDescent="0.45">
      <c r="S4553" s="452"/>
      <c r="T4553" s="452"/>
      <c r="U4553" s="452"/>
      <c r="V4553" s="452"/>
      <c r="W4553" s="452"/>
    </row>
    <row r="4554" spans="19:23" ht="15" customHeight="1" x14ac:dyDescent="0.45">
      <c r="S4554" s="452"/>
      <c r="T4554" s="452"/>
      <c r="U4554" s="452"/>
      <c r="V4554" s="452"/>
      <c r="W4554" s="452"/>
    </row>
    <row r="4555" spans="19:23" ht="15" customHeight="1" x14ac:dyDescent="0.45">
      <c r="S4555" s="452"/>
      <c r="T4555" s="452"/>
      <c r="U4555" s="452"/>
      <c r="V4555" s="452"/>
      <c r="W4555" s="452"/>
    </row>
    <row r="4556" spans="19:23" ht="15" customHeight="1" x14ac:dyDescent="0.45">
      <c r="S4556" s="452"/>
      <c r="T4556" s="452"/>
      <c r="U4556" s="452"/>
      <c r="V4556" s="452"/>
      <c r="W4556" s="452"/>
    </row>
    <row r="4557" spans="19:23" ht="15" customHeight="1" x14ac:dyDescent="0.45">
      <c r="S4557" s="452"/>
      <c r="T4557" s="452"/>
      <c r="U4557" s="452"/>
      <c r="V4557" s="452"/>
      <c r="W4557" s="452"/>
    </row>
    <row r="4558" spans="19:23" ht="15" customHeight="1" x14ac:dyDescent="0.45">
      <c r="S4558" s="452"/>
      <c r="T4558" s="452"/>
      <c r="U4558" s="452"/>
      <c r="V4558" s="452"/>
      <c r="W4558" s="452"/>
    </row>
    <row r="4559" spans="19:23" ht="15" customHeight="1" x14ac:dyDescent="0.45">
      <c r="S4559" s="452"/>
      <c r="T4559" s="452"/>
      <c r="U4559" s="452"/>
      <c r="V4559" s="452"/>
      <c r="W4559" s="452"/>
    </row>
    <row r="4560" spans="19:23" ht="15" customHeight="1" x14ac:dyDescent="0.45">
      <c r="S4560" s="452"/>
      <c r="T4560" s="452"/>
      <c r="U4560" s="452"/>
      <c r="V4560" s="452"/>
      <c r="W4560" s="452"/>
    </row>
    <row r="4561" spans="19:23" ht="15" customHeight="1" x14ac:dyDescent="0.45">
      <c r="S4561" s="452"/>
      <c r="T4561" s="452"/>
      <c r="U4561" s="452"/>
      <c r="V4561" s="452"/>
      <c r="W4561" s="452"/>
    </row>
    <row r="4562" spans="19:23" ht="15" customHeight="1" x14ac:dyDescent="0.45">
      <c r="S4562" s="452"/>
      <c r="T4562" s="452"/>
      <c r="U4562" s="452"/>
      <c r="V4562" s="452"/>
      <c r="W4562" s="452"/>
    </row>
    <row r="4563" spans="19:23" ht="15" customHeight="1" x14ac:dyDescent="0.45">
      <c r="S4563" s="452"/>
      <c r="T4563" s="452"/>
      <c r="U4563" s="452"/>
      <c r="V4563" s="452"/>
      <c r="W4563" s="452"/>
    </row>
    <row r="4564" spans="19:23" ht="15" customHeight="1" x14ac:dyDescent="0.45">
      <c r="S4564" s="452"/>
      <c r="T4564" s="452"/>
      <c r="U4564" s="452"/>
      <c r="V4564" s="452"/>
      <c r="W4564" s="452"/>
    </row>
    <row r="4565" spans="19:23" ht="15" customHeight="1" x14ac:dyDescent="0.45">
      <c r="S4565" s="452"/>
      <c r="T4565" s="452"/>
      <c r="U4565" s="452"/>
      <c r="V4565" s="452"/>
      <c r="W4565" s="452"/>
    </row>
    <row r="4566" spans="19:23" ht="15" customHeight="1" x14ac:dyDescent="0.45">
      <c r="S4566" s="452"/>
      <c r="T4566" s="452"/>
      <c r="U4566" s="452"/>
      <c r="V4566" s="452"/>
      <c r="W4566" s="452"/>
    </row>
    <row r="4567" spans="19:23" ht="15" customHeight="1" x14ac:dyDescent="0.45">
      <c r="S4567" s="452"/>
      <c r="T4567" s="452"/>
      <c r="U4567" s="452"/>
      <c r="V4567" s="452"/>
      <c r="W4567" s="452"/>
    </row>
    <row r="4568" spans="19:23" ht="15" customHeight="1" x14ac:dyDescent="0.45">
      <c r="S4568" s="452"/>
      <c r="T4568" s="452"/>
      <c r="U4568" s="452"/>
      <c r="V4568" s="452"/>
      <c r="W4568" s="452"/>
    </row>
    <row r="4569" spans="19:23" ht="15" customHeight="1" x14ac:dyDescent="0.45">
      <c r="S4569" s="452"/>
      <c r="T4569" s="452"/>
      <c r="U4569" s="452"/>
      <c r="V4569" s="452"/>
      <c r="W4569" s="452"/>
    </row>
    <row r="4570" spans="19:23" ht="15" customHeight="1" x14ac:dyDescent="0.45">
      <c r="S4570" s="452"/>
      <c r="T4570" s="452"/>
      <c r="U4570" s="452"/>
      <c r="V4570" s="452"/>
      <c r="W4570" s="452"/>
    </row>
    <row r="4571" spans="19:23" ht="15" customHeight="1" x14ac:dyDescent="0.45">
      <c r="S4571" s="452"/>
      <c r="T4571" s="452"/>
      <c r="U4571" s="452"/>
      <c r="V4571" s="452"/>
      <c r="W4571" s="452"/>
    </row>
    <row r="4572" spans="19:23" ht="15" customHeight="1" x14ac:dyDescent="0.45">
      <c r="S4572" s="452"/>
      <c r="T4572" s="452"/>
      <c r="U4572" s="452"/>
      <c r="V4572" s="452"/>
      <c r="W4572" s="452"/>
    </row>
    <row r="4573" spans="19:23" ht="15" customHeight="1" x14ac:dyDescent="0.45">
      <c r="S4573" s="452"/>
      <c r="T4573" s="452"/>
      <c r="U4573" s="452"/>
      <c r="V4573" s="452"/>
      <c r="W4573" s="452"/>
    </row>
    <row r="4574" spans="19:23" ht="15" customHeight="1" x14ac:dyDescent="0.45">
      <c r="S4574" s="452"/>
      <c r="T4574" s="452"/>
      <c r="U4574" s="452"/>
      <c r="V4574" s="452"/>
      <c r="W4574" s="452"/>
    </row>
    <row r="4575" spans="19:23" ht="15" customHeight="1" x14ac:dyDescent="0.45">
      <c r="S4575" s="452"/>
      <c r="T4575" s="452"/>
      <c r="U4575" s="452"/>
      <c r="V4575" s="452"/>
      <c r="W4575" s="452"/>
    </row>
    <row r="4576" spans="19:23" ht="15" customHeight="1" x14ac:dyDescent="0.45">
      <c r="S4576" s="452"/>
      <c r="T4576" s="452"/>
      <c r="U4576" s="452"/>
      <c r="V4576" s="452"/>
      <c r="W4576" s="452"/>
    </row>
    <row r="4577" spans="19:23" ht="15" customHeight="1" x14ac:dyDescent="0.45">
      <c r="S4577" s="452"/>
      <c r="T4577" s="452"/>
      <c r="U4577" s="452"/>
      <c r="V4577" s="452"/>
      <c r="W4577" s="452"/>
    </row>
    <row r="4578" spans="19:23" ht="15" customHeight="1" x14ac:dyDescent="0.45">
      <c r="S4578" s="452"/>
      <c r="T4578" s="452"/>
      <c r="U4578" s="452"/>
      <c r="V4578" s="452"/>
      <c r="W4578" s="452"/>
    </row>
    <row r="4579" spans="19:23" ht="15" customHeight="1" x14ac:dyDescent="0.45">
      <c r="S4579" s="452"/>
      <c r="T4579" s="452"/>
      <c r="U4579" s="452"/>
      <c r="V4579" s="452"/>
      <c r="W4579" s="452"/>
    </row>
    <row r="4580" spans="19:23" ht="15" customHeight="1" x14ac:dyDescent="0.45">
      <c r="S4580" s="452"/>
      <c r="T4580" s="452"/>
      <c r="U4580" s="452"/>
      <c r="V4580" s="452"/>
      <c r="W4580" s="452"/>
    </row>
    <row r="4581" spans="19:23" ht="15" customHeight="1" x14ac:dyDescent="0.45">
      <c r="S4581" s="452"/>
      <c r="T4581" s="452"/>
      <c r="U4581" s="452"/>
      <c r="V4581" s="452"/>
      <c r="W4581" s="452"/>
    </row>
    <row r="4582" spans="19:23" ht="15" customHeight="1" x14ac:dyDescent="0.45">
      <c r="S4582" s="452"/>
      <c r="T4582" s="452"/>
      <c r="U4582" s="452"/>
      <c r="V4582" s="452"/>
      <c r="W4582" s="452"/>
    </row>
    <row r="4583" spans="19:23" ht="15" customHeight="1" x14ac:dyDescent="0.45">
      <c r="S4583" s="452"/>
      <c r="T4583" s="452"/>
      <c r="U4583" s="452"/>
      <c r="V4583" s="452"/>
      <c r="W4583" s="452"/>
    </row>
    <row r="4584" spans="19:23" ht="15" customHeight="1" x14ac:dyDescent="0.45">
      <c r="S4584" s="452"/>
      <c r="T4584" s="452"/>
      <c r="U4584" s="452"/>
      <c r="V4584" s="452"/>
      <c r="W4584" s="452"/>
    </row>
    <row r="4585" spans="19:23" ht="15" customHeight="1" x14ac:dyDescent="0.45">
      <c r="S4585" s="452"/>
      <c r="T4585" s="452"/>
      <c r="U4585" s="452"/>
      <c r="V4585" s="452"/>
      <c r="W4585" s="452"/>
    </row>
    <row r="4586" spans="19:23" ht="15" customHeight="1" x14ac:dyDescent="0.45">
      <c r="S4586" s="452"/>
      <c r="T4586" s="452"/>
      <c r="U4586" s="452"/>
      <c r="V4586" s="452"/>
      <c r="W4586" s="452"/>
    </row>
    <row r="4587" spans="19:23" ht="15" customHeight="1" x14ac:dyDescent="0.45">
      <c r="S4587" s="452"/>
      <c r="T4587" s="452"/>
      <c r="U4587" s="452"/>
      <c r="V4587" s="452"/>
      <c r="W4587" s="452"/>
    </row>
    <row r="4588" spans="19:23" ht="15" customHeight="1" x14ac:dyDescent="0.45">
      <c r="S4588" s="452"/>
      <c r="T4588" s="452"/>
      <c r="U4588" s="452"/>
      <c r="V4588" s="452"/>
      <c r="W4588" s="452"/>
    </row>
    <row r="4589" spans="19:23" ht="15" customHeight="1" x14ac:dyDescent="0.45">
      <c r="S4589" s="452"/>
      <c r="T4589" s="452"/>
      <c r="U4589" s="452"/>
      <c r="V4589" s="452"/>
      <c r="W4589" s="452"/>
    </row>
    <row r="4590" spans="19:23" ht="15" customHeight="1" x14ac:dyDescent="0.45">
      <c r="S4590" s="452"/>
      <c r="T4590" s="452"/>
      <c r="U4590" s="452"/>
      <c r="V4590" s="452"/>
      <c r="W4590" s="452"/>
    </row>
    <row r="4591" spans="19:23" ht="15" customHeight="1" x14ac:dyDescent="0.45">
      <c r="S4591" s="452"/>
      <c r="T4591" s="452"/>
      <c r="U4591" s="452"/>
      <c r="V4591" s="452"/>
      <c r="W4591" s="452"/>
    </row>
    <row r="4592" spans="19:23" ht="15" customHeight="1" x14ac:dyDescent="0.45">
      <c r="S4592" s="452"/>
      <c r="T4592" s="452"/>
      <c r="U4592" s="452"/>
      <c r="V4592" s="452"/>
      <c r="W4592" s="452"/>
    </row>
    <row r="4593" spans="19:23" ht="15" customHeight="1" x14ac:dyDescent="0.45">
      <c r="S4593" s="452"/>
      <c r="T4593" s="452"/>
      <c r="U4593" s="452"/>
      <c r="V4593" s="452"/>
      <c r="W4593" s="452"/>
    </row>
    <row r="4594" spans="19:23" ht="15" customHeight="1" x14ac:dyDescent="0.45">
      <c r="S4594" s="452"/>
      <c r="T4594" s="452"/>
      <c r="U4594" s="452"/>
      <c r="V4594" s="452"/>
      <c r="W4594" s="452"/>
    </row>
    <row r="4595" spans="19:23" ht="15" customHeight="1" x14ac:dyDescent="0.45">
      <c r="S4595" s="452"/>
      <c r="T4595" s="452"/>
      <c r="U4595" s="452"/>
      <c r="V4595" s="452"/>
      <c r="W4595" s="452"/>
    </row>
    <row r="4596" spans="19:23" ht="15" customHeight="1" x14ac:dyDescent="0.45">
      <c r="S4596" s="452"/>
      <c r="T4596" s="452"/>
      <c r="U4596" s="452"/>
      <c r="V4596" s="452"/>
      <c r="W4596" s="452"/>
    </row>
    <row r="4597" spans="19:23" ht="15" customHeight="1" x14ac:dyDescent="0.45">
      <c r="S4597" s="452"/>
      <c r="T4597" s="452"/>
      <c r="U4597" s="452"/>
      <c r="V4597" s="452"/>
      <c r="W4597" s="452"/>
    </row>
    <row r="4598" spans="19:23" ht="15" customHeight="1" x14ac:dyDescent="0.45">
      <c r="S4598" s="452"/>
      <c r="T4598" s="452"/>
      <c r="U4598" s="452"/>
      <c r="V4598" s="452"/>
      <c r="W4598" s="452"/>
    </row>
    <row r="4599" spans="19:23" ht="15" customHeight="1" x14ac:dyDescent="0.45">
      <c r="S4599" s="452"/>
      <c r="T4599" s="452"/>
      <c r="U4599" s="452"/>
      <c r="V4599" s="452"/>
      <c r="W4599" s="452"/>
    </row>
    <row r="4600" spans="19:23" ht="15" customHeight="1" x14ac:dyDescent="0.45">
      <c r="S4600" s="452"/>
      <c r="T4600" s="452"/>
      <c r="U4600" s="452"/>
      <c r="V4600" s="452"/>
      <c r="W4600" s="452"/>
    </row>
    <row r="4601" spans="19:23" ht="15" customHeight="1" x14ac:dyDescent="0.45">
      <c r="S4601" s="452"/>
      <c r="T4601" s="452"/>
      <c r="U4601" s="452"/>
      <c r="V4601" s="452"/>
      <c r="W4601" s="452"/>
    </row>
    <row r="4602" spans="19:23" ht="15" customHeight="1" x14ac:dyDescent="0.45">
      <c r="S4602" s="452"/>
      <c r="T4602" s="452"/>
      <c r="U4602" s="452"/>
      <c r="V4602" s="452"/>
      <c r="W4602" s="452"/>
    </row>
    <row r="4603" spans="19:23" ht="15" customHeight="1" x14ac:dyDescent="0.45">
      <c r="S4603" s="452"/>
      <c r="T4603" s="452"/>
      <c r="U4603" s="452"/>
      <c r="V4603" s="452"/>
      <c r="W4603" s="452"/>
    </row>
    <row r="4604" spans="19:23" ht="15" customHeight="1" x14ac:dyDescent="0.45">
      <c r="S4604" s="452"/>
      <c r="T4604" s="452"/>
      <c r="U4604" s="452"/>
      <c r="V4604" s="452"/>
      <c r="W4604" s="452"/>
    </row>
    <row r="4605" spans="19:23" ht="15" customHeight="1" x14ac:dyDescent="0.45">
      <c r="S4605" s="452"/>
      <c r="T4605" s="452"/>
      <c r="U4605" s="452"/>
      <c r="V4605" s="452"/>
      <c r="W4605" s="452"/>
    </row>
    <row r="4606" spans="19:23" ht="15" customHeight="1" x14ac:dyDescent="0.45">
      <c r="S4606" s="452"/>
      <c r="T4606" s="452"/>
      <c r="U4606" s="452"/>
      <c r="V4606" s="452"/>
      <c r="W4606" s="452"/>
    </row>
    <row r="4607" spans="19:23" ht="15" customHeight="1" x14ac:dyDescent="0.45">
      <c r="S4607" s="452"/>
      <c r="T4607" s="452"/>
      <c r="U4607" s="452"/>
      <c r="V4607" s="452"/>
      <c r="W4607" s="452"/>
    </row>
    <row r="4608" spans="19:23" ht="15" customHeight="1" x14ac:dyDescent="0.45">
      <c r="S4608" s="452"/>
      <c r="T4608" s="452"/>
      <c r="U4608" s="452"/>
      <c r="V4608" s="452"/>
      <c r="W4608" s="452"/>
    </row>
    <row r="4609" spans="19:23" ht="15" customHeight="1" x14ac:dyDescent="0.45">
      <c r="S4609" s="452"/>
      <c r="T4609" s="452"/>
      <c r="U4609" s="452"/>
      <c r="V4609" s="452"/>
      <c r="W4609" s="452"/>
    </row>
    <row r="4610" spans="19:23" ht="15" customHeight="1" x14ac:dyDescent="0.45">
      <c r="S4610" s="452"/>
      <c r="T4610" s="452"/>
      <c r="U4610" s="452"/>
      <c r="V4610" s="452"/>
      <c r="W4610" s="452"/>
    </row>
    <row r="4611" spans="19:23" ht="15" customHeight="1" x14ac:dyDescent="0.45">
      <c r="S4611" s="452"/>
      <c r="T4611" s="452"/>
      <c r="U4611" s="452"/>
      <c r="V4611" s="452"/>
      <c r="W4611" s="452"/>
    </row>
    <row r="4612" spans="19:23" ht="15" customHeight="1" x14ac:dyDescent="0.45">
      <c r="S4612" s="452"/>
      <c r="T4612" s="452"/>
      <c r="U4612" s="452"/>
      <c r="V4612" s="452"/>
      <c r="W4612" s="452"/>
    </row>
    <row r="4613" spans="19:23" ht="15" customHeight="1" x14ac:dyDescent="0.45">
      <c r="S4613" s="452"/>
      <c r="T4613" s="452"/>
      <c r="U4613" s="452"/>
      <c r="V4613" s="452"/>
      <c r="W4613" s="452"/>
    </row>
    <row r="4614" spans="19:23" ht="15" customHeight="1" x14ac:dyDescent="0.45">
      <c r="S4614" s="452"/>
      <c r="T4614" s="452"/>
      <c r="U4614" s="452"/>
      <c r="V4614" s="452"/>
      <c r="W4614" s="452"/>
    </row>
    <row r="4615" spans="19:23" ht="15" customHeight="1" x14ac:dyDescent="0.45">
      <c r="S4615" s="452"/>
      <c r="T4615" s="452"/>
      <c r="U4615" s="452"/>
      <c r="V4615" s="452"/>
      <c r="W4615" s="452"/>
    </row>
    <row r="4616" spans="19:23" ht="15" customHeight="1" x14ac:dyDescent="0.45">
      <c r="S4616" s="452"/>
      <c r="T4616" s="452"/>
      <c r="U4616" s="452"/>
      <c r="V4616" s="452"/>
      <c r="W4616" s="452"/>
    </row>
    <row r="4617" spans="19:23" ht="15" customHeight="1" x14ac:dyDescent="0.45">
      <c r="S4617" s="452"/>
      <c r="T4617" s="452"/>
      <c r="U4617" s="452"/>
      <c r="V4617" s="452"/>
      <c r="W4617" s="452"/>
    </row>
    <row r="4618" spans="19:23" ht="15" customHeight="1" x14ac:dyDescent="0.45">
      <c r="S4618" s="452"/>
      <c r="T4618" s="452"/>
      <c r="U4618" s="452"/>
      <c r="V4618" s="452"/>
      <c r="W4618" s="452"/>
    </row>
    <row r="4619" spans="19:23" ht="15" customHeight="1" x14ac:dyDescent="0.45">
      <c r="S4619" s="452"/>
      <c r="T4619" s="452"/>
      <c r="U4619" s="452"/>
      <c r="V4619" s="452"/>
      <c r="W4619" s="452"/>
    </row>
    <row r="4620" spans="19:23" ht="15" customHeight="1" x14ac:dyDescent="0.45">
      <c r="S4620" s="452"/>
      <c r="T4620" s="452"/>
      <c r="U4620" s="452"/>
      <c r="V4620" s="452"/>
      <c r="W4620" s="452"/>
    </row>
    <row r="4621" spans="19:23" ht="15" customHeight="1" x14ac:dyDescent="0.45">
      <c r="S4621" s="452"/>
      <c r="T4621" s="452"/>
      <c r="U4621" s="452"/>
      <c r="V4621" s="452"/>
      <c r="W4621" s="452"/>
    </row>
    <row r="4622" spans="19:23" ht="15" customHeight="1" x14ac:dyDescent="0.45">
      <c r="S4622" s="452"/>
      <c r="T4622" s="452"/>
      <c r="U4622" s="452"/>
      <c r="V4622" s="452"/>
      <c r="W4622" s="452"/>
    </row>
    <row r="4623" spans="19:23" ht="15" customHeight="1" x14ac:dyDescent="0.45">
      <c r="S4623" s="452"/>
      <c r="T4623" s="452"/>
      <c r="U4623" s="452"/>
      <c r="V4623" s="452"/>
      <c r="W4623" s="452"/>
    </row>
    <row r="4624" spans="19:23" ht="15" customHeight="1" x14ac:dyDescent="0.45">
      <c r="S4624" s="452"/>
      <c r="T4624" s="452"/>
      <c r="U4624" s="452"/>
      <c r="V4624" s="452"/>
      <c r="W4624" s="452"/>
    </row>
    <row r="4625" spans="19:23" ht="15" customHeight="1" x14ac:dyDescent="0.45">
      <c r="S4625" s="452"/>
      <c r="T4625" s="452"/>
      <c r="U4625" s="452"/>
      <c r="V4625" s="452"/>
      <c r="W4625" s="452"/>
    </row>
    <row r="4626" spans="19:23" ht="15" customHeight="1" x14ac:dyDescent="0.45">
      <c r="S4626" s="452"/>
      <c r="T4626" s="452"/>
      <c r="U4626" s="452"/>
      <c r="V4626" s="452"/>
      <c r="W4626" s="452"/>
    </row>
    <row r="4627" spans="19:23" ht="15" customHeight="1" x14ac:dyDescent="0.45">
      <c r="S4627" s="452"/>
      <c r="T4627" s="452"/>
      <c r="U4627" s="452"/>
      <c r="V4627" s="452"/>
      <c r="W4627" s="452"/>
    </row>
    <row r="4628" spans="19:23" ht="15" customHeight="1" x14ac:dyDescent="0.45">
      <c r="S4628" s="452"/>
      <c r="T4628" s="452"/>
      <c r="U4628" s="452"/>
      <c r="V4628" s="452"/>
      <c r="W4628" s="452"/>
    </row>
    <row r="4629" spans="19:23" ht="15" customHeight="1" x14ac:dyDescent="0.45">
      <c r="S4629" s="452"/>
      <c r="T4629" s="452"/>
      <c r="U4629" s="452"/>
      <c r="V4629" s="452"/>
      <c r="W4629" s="452"/>
    </row>
    <row r="4630" spans="19:23" ht="15" customHeight="1" x14ac:dyDescent="0.45">
      <c r="S4630" s="452"/>
      <c r="T4630" s="452"/>
      <c r="U4630" s="452"/>
      <c r="V4630" s="452"/>
      <c r="W4630" s="452"/>
    </row>
    <row r="4631" spans="19:23" ht="15" customHeight="1" x14ac:dyDescent="0.45">
      <c r="S4631" s="452"/>
      <c r="T4631" s="452"/>
      <c r="U4631" s="452"/>
      <c r="V4631" s="452"/>
      <c r="W4631" s="452"/>
    </row>
    <row r="4632" spans="19:23" ht="15" customHeight="1" x14ac:dyDescent="0.45">
      <c r="S4632" s="452"/>
      <c r="T4632" s="452"/>
      <c r="U4632" s="452"/>
      <c r="V4632" s="452"/>
      <c r="W4632" s="452"/>
    </row>
    <row r="4633" spans="19:23" ht="15" customHeight="1" x14ac:dyDescent="0.45">
      <c r="S4633" s="452"/>
      <c r="T4633" s="452"/>
      <c r="U4633" s="452"/>
      <c r="V4633" s="452"/>
      <c r="W4633" s="452"/>
    </row>
    <row r="4634" spans="19:23" ht="15" customHeight="1" x14ac:dyDescent="0.45">
      <c r="S4634" s="452"/>
      <c r="T4634" s="452"/>
      <c r="U4634" s="452"/>
      <c r="V4634" s="452"/>
      <c r="W4634" s="452"/>
    </row>
    <row r="4635" spans="19:23" ht="15" customHeight="1" x14ac:dyDescent="0.45">
      <c r="S4635" s="452"/>
      <c r="T4635" s="452"/>
      <c r="U4635" s="452"/>
      <c r="V4635" s="452"/>
      <c r="W4635" s="452"/>
    </row>
    <row r="4636" spans="19:23" ht="15" customHeight="1" x14ac:dyDescent="0.45">
      <c r="S4636" s="452"/>
      <c r="T4636" s="452"/>
      <c r="U4636" s="452"/>
      <c r="V4636" s="452"/>
      <c r="W4636" s="452"/>
    </row>
    <row r="4637" spans="19:23" ht="15" customHeight="1" x14ac:dyDescent="0.45">
      <c r="S4637" s="452"/>
      <c r="T4637" s="452"/>
      <c r="U4637" s="452"/>
      <c r="V4637" s="452"/>
      <c r="W4637" s="452"/>
    </row>
    <row r="4638" spans="19:23" ht="15" customHeight="1" x14ac:dyDescent="0.45">
      <c r="S4638" s="452"/>
      <c r="T4638" s="452"/>
      <c r="U4638" s="452"/>
      <c r="V4638" s="452"/>
      <c r="W4638" s="452"/>
    </row>
    <row r="4639" spans="19:23" ht="15" customHeight="1" x14ac:dyDescent="0.45">
      <c r="S4639" s="452"/>
      <c r="T4639" s="452"/>
      <c r="U4639" s="452"/>
      <c r="V4639" s="452"/>
      <c r="W4639" s="452"/>
    </row>
    <row r="4640" spans="19:23" ht="15" customHeight="1" x14ac:dyDescent="0.45">
      <c r="S4640" s="452"/>
      <c r="T4640" s="452"/>
      <c r="U4640" s="452"/>
      <c r="V4640" s="452"/>
      <c r="W4640" s="452"/>
    </row>
    <row r="4641" spans="19:23" ht="15" customHeight="1" x14ac:dyDescent="0.45">
      <c r="S4641" s="452"/>
      <c r="T4641" s="452"/>
      <c r="U4641" s="452"/>
      <c r="V4641" s="452"/>
      <c r="W4641" s="452"/>
    </row>
    <row r="4642" spans="19:23" ht="15" customHeight="1" x14ac:dyDescent="0.45">
      <c r="S4642" s="452"/>
      <c r="T4642" s="452"/>
      <c r="U4642" s="452"/>
      <c r="V4642" s="452"/>
      <c r="W4642" s="452"/>
    </row>
    <row r="4643" spans="19:23" ht="15" customHeight="1" x14ac:dyDescent="0.45">
      <c r="S4643" s="452"/>
      <c r="T4643" s="452"/>
      <c r="U4643" s="452"/>
      <c r="V4643" s="452"/>
      <c r="W4643" s="452"/>
    </row>
    <row r="4644" spans="19:23" ht="15" customHeight="1" x14ac:dyDescent="0.45">
      <c r="S4644" s="452"/>
      <c r="T4644" s="452"/>
      <c r="U4644" s="452"/>
      <c r="V4644" s="452"/>
      <c r="W4644" s="452"/>
    </row>
    <row r="4645" spans="19:23" ht="15" customHeight="1" x14ac:dyDescent="0.45">
      <c r="S4645" s="452"/>
      <c r="T4645" s="452"/>
      <c r="U4645" s="452"/>
      <c r="V4645" s="452"/>
      <c r="W4645" s="452"/>
    </row>
    <row r="4646" spans="19:23" ht="15" customHeight="1" x14ac:dyDescent="0.45">
      <c r="S4646" s="452"/>
      <c r="T4646" s="452"/>
      <c r="U4646" s="452"/>
      <c r="V4646" s="452"/>
      <c r="W4646" s="452"/>
    </row>
    <row r="4647" spans="19:23" ht="15" customHeight="1" x14ac:dyDescent="0.45">
      <c r="S4647" s="452"/>
      <c r="T4647" s="452"/>
      <c r="U4647" s="452"/>
      <c r="V4647" s="452"/>
      <c r="W4647" s="452"/>
    </row>
    <row r="4648" spans="19:23" ht="15" customHeight="1" x14ac:dyDescent="0.45">
      <c r="S4648" s="452"/>
      <c r="T4648" s="452"/>
      <c r="U4648" s="452"/>
      <c r="V4648" s="452"/>
      <c r="W4648" s="452"/>
    </row>
    <row r="4649" spans="19:23" ht="15" customHeight="1" x14ac:dyDescent="0.45">
      <c r="S4649" s="452"/>
      <c r="T4649" s="452"/>
      <c r="U4649" s="452"/>
      <c r="V4649" s="452"/>
      <c r="W4649" s="452"/>
    </row>
    <row r="4650" spans="19:23" ht="15" customHeight="1" x14ac:dyDescent="0.45">
      <c r="S4650" s="452"/>
      <c r="T4650" s="452"/>
      <c r="U4650" s="452"/>
      <c r="V4650" s="452"/>
      <c r="W4650" s="452"/>
    </row>
    <row r="4651" spans="19:23" ht="15" customHeight="1" x14ac:dyDescent="0.45">
      <c r="S4651" s="452"/>
      <c r="T4651" s="452"/>
      <c r="U4651" s="452"/>
      <c r="V4651" s="452"/>
      <c r="W4651" s="452"/>
    </row>
    <row r="4652" spans="19:23" ht="15" customHeight="1" x14ac:dyDescent="0.45">
      <c r="S4652" s="452"/>
      <c r="T4652" s="452"/>
      <c r="U4652" s="452"/>
      <c r="V4652" s="452"/>
      <c r="W4652" s="452"/>
    </row>
    <row r="4653" spans="19:23" ht="15" customHeight="1" x14ac:dyDescent="0.45">
      <c r="S4653" s="452"/>
      <c r="T4653" s="452"/>
      <c r="U4653" s="452"/>
      <c r="V4653" s="452"/>
      <c r="W4653" s="452"/>
    </row>
    <row r="4654" spans="19:23" ht="15" customHeight="1" x14ac:dyDescent="0.45">
      <c r="S4654" s="452"/>
      <c r="T4654" s="452"/>
      <c r="U4654" s="452"/>
      <c r="V4654" s="452"/>
      <c r="W4654" s="452"/>
    </row>
    <row r="4655" spans="19:23" ht="15" customHeight="1" x14ac:dyDescent="0.45">
      <c r="S4655" s="452"/>
      <c r="T4655" s="452"/>
      <c r="U4655" s="452"/>
      <c r="V4655" s="452"/>
      <c r="W4655" s="452"/>
    </row>
    <row r="4656" spans="19:23" ht="15" customHeight="1" x14ac:dyDescent="0.45">
      <c r="S4656" s="452"/>
      <c r="T4656" s="452"/>
      <c r="U4656" s="452"/>
      <c r="V4656" s="452"/>
      <c r="W4656" s="452"/>
    </row>
    <row r="4657" spans="19:23" ht="15" customHeight="1" x14ac:dyDescent="0.45">
      <c r="S4657" s="452"/>
      <c r="T4657" s="452"/>
      <c r="U4657" s="452"/>
      <c r="V4657" s="452"/>
      <c r="W4657" s="452"/>
    </row>
    <row r="4658" spans="19:23" ht="15" customHeight="1" x14ac:dyDescent="0.45">
      <c r="S4658" s="452"/>
      <c r="T4658" s="452"/>
      <c r="U4658" s="452"/>
      <c r="V4658" s="452"/>
      <c r="W4658" s="452"/>
    </row>
    <row r="4659" spans="19:23" ht="15" customHeight="1" x14ac:dyDescent="0.45">
      <c r="S4659" s="452"/>
      <c r="T4659" s="452"/>
      <c r="U4659" s="452"/>
      <c r="V4659" s="452"/>
      <c r="W4659" s="452"/>
    </row>
    <row r="4660" spans="19:23" ht="15" customHeight="1" x14ac:dyDescent="0.45">
      <c r="S4660" s="452"/>
      <c r="T4660" s="452"/>
      <c r="U4660" s="452"/>
      <c r="V4660" s="452"/>
      <c r="W4660" s="452"/>
    </row>
    <row r="4661" spans="19:23" ht="15" customHeight="1" x14ac:dyDescent="0.45">
      <c r="S4661" s="452"/>
      <c r="T4661" s="452"/>
      <c r="U4661" s="452"/>
      <c r="V4661" s="452"/>
      <c r="W4661" s="452"/>
    </row>
    <row r="4662" spans="19:23" ht="15" customHeight="1" x14ac:dyDescent="0.45">
      <c r="S4662" s="452"/>
      <c r="T4662" s="452"/>
      <c r="U4662" s="452"/>
      <c r="V4662" s="452"/>
      <c r="W4662" s="452"/>
    </row>
    <row r="4663" spans="19:23" ht="15" customHeight="1" x14ac:dyDescent="0.45">
      <c r="S4663" s="452"/>
      <c r="T4663" s="452"/>
      <c r="U4663" s="452"/>
      <c r="V4663" s="452"/>
      <c r="W4663" s="452"/>
    </row>
    <row r="4664" spans="19:23" ht="15" customHeight="1" x14ac:dyDescent="0.45">
      <c r="S4664" s="452"/>
      <c r="T4664" s="452"/>
      <c r="U4664" s="452"/>
      <c r="V4664" s="452"/>
      <c r="W4664" s="452"/>
    </row>
    <row r="4665" spans="19:23" ht="15" customHeight="1" x14ac:dyDescent="0.45">
      <c r="S4665" s="452"/>
      <c r="T4665" s="452"/>
      <c r="U4665" s="452"/>
      <c r="V4665" s="452"/>
      <c r="W4665" s="452"/>
    </row>
    <row r="4666" spans="19:23" ht="15" customHeight="1" x14ac:dyDescent="0.45">
      <c r="S4666" s="452"/>
      <c r="T4666" s="452"/>
      <c r="U4666" s="452"/>
      <c r="V4666" s="452"/>
      <c r="W4666" s="452"/>
    </row>
    <row r="4667" spans="19:23" ht="15" customHeight="1" x14ac:dyDescent="0.45">
      <c r="S4667" s="452"/>
      <c r="T4667" s="452"/>
      <c r="U4667" s="452"/>
      <c r="V4667" s="452"/>
      <c r="W4667" s="452"/>
    </row>
    <row r="4668" spans="19:23" ht="15" customHeight="1" x14ac:dyDescent="0.45">
      <c r="S4668" s="452"/>
      <c r="T4668" s="452"/>
      <c r="U4668" s="452"/>
      <c r="V4668" s="452"/>
      <c r="W4668" s="452"/>
    </row>
    <row r="4669" spans="19:23" ht="15" customHeight="1" x14ac:dyDescent="0.45">
      <c r="S4669" s="452"/>
      <c r="T4669" s="452"/>
      <c r="U4669" s="452"/>
      <c r="V4669" s="452"/>
      <c r="W4669" s="452"/>
    </row>
    <row r="4670" spans="19:23" ht="15" customHeight="1" x14ac:dyDescent="0.45">
      <c r="S4670" s="452"/>
      <c r="T4670" s="452"/>
      <c r="U4670" s="452"/>
      <c r="V4670" s="452"/>
      <c r="W4670" s="452"/>
    </row>
    <row r="4671" spans="19:23" ht="15" customHeight="1" x14ac:dyDescent="0.45">
      <c r="S4671" s="452"/>
      <c r="T4671" s="452"/>
      <c r="U4671" s="452"/>
      <c r="V4671" s="452"/>
      <c r="W4671" s="452"/>
    </row>
    <row r="4672" spans="19:23" ht="15" customHeight="1" x14ac:dyDescent="0.45">
      <c r="S4672" s="452"/>
      <c r="T4672" s="452"/>
      <c r="U4672" s="452"/>
      <c r="V4672" s="452"/>
      <c r="W4672" s="452"/>
    </row>
    <row r="4673" spans="19:23" ht="15" customHeight="1" x14ac:dyDescent="0.45">
      <c r="S4673" s="452"/>
      <c r="T4673" s="452"/>
      <c r="U4673" s="452"/>
      <c r="V4673" s="452"/>
      <c r="W4673" s="452"/>
    </row>
    <row r="4674" spans="19:23" ht="15" customHeight="1" x14ac:dyDescent="0.45">
      <c r="S4674" s="452"/>
      <c r="T4674" s="452"/>
      <c r="U4674" s="452"/>
      <c r="V4674" s="452"/>
      <c r="W4674" s="452"/>
    </row>
    <row r="4675" spans="19:23" ht="15" customHeight="1" x14ac:dyDescent="0.45">
      <c r="S4675" s="452"/>
      <c r="T4675" s="452"/>
      <c r="U4675" s="452"/>
      <c r="V4675" s="452"/>
      <c r="W4675" s="452"/>
    </row>
    <row r="4676" spans="19:23" ht="15" customHeight="1" x14ac:dyDescent="0.45">
      <c r="S4676" s="452"/>
      <c r="T4676" s="452"/>
      <c r="U4676" s="452"/>
      <c r="V4676" s="452"/>
      <c r="W4676" s="452"/>
    </row>
    <row r="4677" spans="19:23" ht="15" customHeight="1" x14ac:dyDescent="0.45">
      <c r="S4677" s="452"/>
      <c r="T4677" s="452"/>
      <c r="U4677" s="452"/>
      <c r="V4677" s="452"/>
      <c r="W4677" s="452"/>
    </row>
    <row r="4678" spans="19:23" ht="15" customHeight="1" x14ac:dyDescent="0.45">
      <c r="S4678" s="452"/>
      <c r="T4678" s="452"/>
      <c r="U4678" s="452"/>
      <c r="V4678" s="452"/>
      <c r="W4678" s="452"/>
    </row>
    <row r="4679" spans="19:23" ht="15" customHeight="1" x14ac:dyDescent="0.45">
      <c r="S4679" s="452"/>
      <c r="T4679" s="452"/>
      <c r="U4679" s="452"/>
      <c r="V4679" s="452"/>
      <c r="W4679" s="452"/>
    </row>
    <row r="4680" spans="19:23" ht="15" customHeight="1" x14ac:dyDescent="0.45">
      <c r="S4680" s="452"/>
      <c r="T4680" s="452"/>
      <c r="U4680" s="452"/>
      <c r="V4680" s="452"/>
      <c r="W4680" s="452"/>
    </row>
    <row r="4681" spans="19:23" ht="15" customHeight="1" x14ac:dyDescent="0.45">
      <c r="S4681" s="452"/>
      <c r="T4681" s="452"/>
      <c r="U4681" s="452"/>
      <c r="V4681" s="452"/>
      <c r="W4681" s="452"/>
    </row>
    <row r="4682" spans="19:23" ht="15" customHeight="1" x14ac:dyDescent="0.45">
      <c r="S4682" s="452"/>
      <c r="T4682" s="452"/>
      <c r="U4682" s="452"/>
      <c r="V4682" s="452"/>
      <c r="W4682" s="452"/>
    </row>
    <row r="4683" spans="19:23" ht="15" customHeight="1" x14ac:dyDescent="0.45">
      <c r="S4683" s="452"/>
      <c r="T4683" s="452"/>
      <c r="U4683" s="452"/>
      <c r="V4683" s="452"/>
      <c r="W4683" s="452"/>
    </row>
    <row r="4684" spans="19:23" ht="15" customHeight="1" x14ac:dyDescent="0.45">
      <c r="S4684" s="452"/>
      <c r="T4684" s="452"/>
      <c r="U4684" s="452"/>
      <c r="V4684" s="452"/>
      <c r="W4684" s="452"/>
    </row>
    <row r="4685" spans="19:23" ht="15" customHeight="1" x14ac:dyDescent="0.45">
      <c r="S4685" s="452"/>
      <c r="T4685" s="452"/>
      <c r="U4685" s="452"/>
      <c r="V4685" s="452"/>
      <c r="W4685" s="452"/>
    </row>
    <row r="4686" spans="19:23" ht="15" customHeight="1" x14ac:dyDescent="0.45">
      <c r="S4686" s="452"/>
      <c r="T4686" s="452"/>
      <c r="U4686" s="452"/>
      <c r="V4686" s="452"/>
      <c r="W4686" s="452"/>
    </row>
    <row r="4687" spans="19:23" ht="15" customHeight="1" x14ac:dyDescent="0.45">
      <c r="S4687" s="452"/>
      <c r="T4687" s="452"/>
      <c r="U4687" s="452"/>
      <c r="V4687" s="452"/>
      <c r="W4687" s="452"/>
    </row>
    <row r="4688" spans="19:23" ht="15" customHeight="1" x14ac:dyDescent="0.45">
      <c r="S4688" s="452"/>
      <c r="T4688" s="452"/>
      <c r="U4688" s="452"/>
      <c r="V4688" s="452"/>
      <c r="W4688" s="452"/>
    </row>
    <row r="4689" spans="19:23" ht="15" customHeight="1" x14ac:dyDescent="0.45">
      <c r="S4689" s="452"/>
      <c r="T4689" s="452"/>
      <c r="U4689" s="452"/>
      <c r="V4689" s="452"/>
      <c r="W4689" s="452"/>
    </row>
    <row r="4690" spans="19:23" ht="15" customHeight="1" x14ac:dyDescent="0.45">
      <c r="S4690" s="452"/>
      <c r="T4690" s="452"/>
      <c r="U4690" s="452"/>
      <c r="V4690" s="452"/>
      <c r="W4690" s="452"/>
    </row>
    <row r="4691" spans="19:23" ht="15" customHeight="1" x14ac:dyDescent="0.45">
      <c r="S4691" s="452"/>
      <c r="T4691" s="452"/>
      <c r="U4691" s="452"/>
      <c r="V4691" s="452"/>
      <c r="W4691" s="452"/>
    </row>
    <row r="4692" spans="19:23" ht="15" customHeight="1" x14ac:dyDescent="0.45">
      <c r="S4692" s="452"/>
      <c r="T4692" s="452"/>
      <c r="U4692" s="452"/>
      <c r="V4692" s="452"/>
      <c r="W4692" s="452"/>
    </row>
    <row r="4693" spans="19:23" ht="15" customHeight="1" x14ac:dyDescent="0.45">
      <c r="S4693" s="452"/>
      <c r="T4693" s="452"/>
      <c r="U4693" s="452"/>
      <c r="V4693" s="452"/>
      <c r="W4693" s="452"/>
    </row>
    <row r="4694" spans="19:23" ht="15" customHeight="1" x14ac:dyDescent="0.45">
      <c r="S4694" s="452"/>
      <c r="T4694" s="452"/>
      <c r="U4694" s="452"/>
      <c r="V4694" s="452"/>
      <c r="W4694" s="452"/>
    </row>
    <row r="4695" spans="19:23" ht="15" customHeight="1" x14ac:dyDescent="0.45">
      <c r="S4695" s="452"/>
      <c r="T4695" s="452"/>
      <c r="U4695" s="452"/>
      <c r="V4695" s="452"/>
      <c r="W4695" s="452"/>
    </row>
    <row r="4696" spans="19:23" ht="15" customHeight="1" x14ac:dyDescent="0.45">
      <c r="S4696" s="452"/>
      <c r="T4696" s="452"/>
      <c r="U4696" s="452"/>
      <c r="V4696" s="452"/>
      <c r="W4696" s="452"/>
    </row>
    <row r="4697" spans="19:23" ht="15" customHeight="1" x14ac:dyDescent="0.45">
      <c r="S4697" s="452"/>
      <c r="T4697" s="452"/>
      <c r="U4697" s="452"/>
      <c r="V4697" s="452"/>
      <c r="W4697" s="452"/>
    </row>
    <row r="4698" spans="19:23" ht="15" customHeight="1" x14ac:dyDescent="0.45">
      <c r="S4698" s="452"/>
      <c r="T4698" s="452"/>
      <c r="U4698" s="452"/>
      <c r="V4698" s="452"/>
      <c r="W4698" s="452"/>
    </row>
    <row r="4699" spans="19:23" ht="15" customHeight="1" x14ac:dyDescent="0.45">
      <c r="S4699" s="452"/>
      <c r="T4699" s="452"/>
      <c r="U4699" s="452"/>
      <c r="V4699" s="452"/>
      <c r="W4699" s="452"/>
    </row>
    <row r="4700" spans="19:23" ht="15" customHeight="1" x14ac:dyDescent="0.45">
      <c r="S4700" s="452"/>
      <c r="T4700" s="452"/>
      <c r="U4700" s="452"/>
      <c r="V4700" s="452"/>
      <c r="W4700" s="452"/>
    </row>
    <row r="4701" spans="19:23" ht="15" customHeight="1" x14ac:dyDescent="0.45">
      <c r="S4701" s="452"/>
      <c r="T4701" s="452"/>
      <c r="U4701" s="452"/>
      <c r="V4701" s="452"/>
      <c r="W4701" s="452"/>
    </row>
    <row r="4702" spans="19:23" ht="15" customHeight="1" x14ac:dyDescent="0.45">
      <c r="S4702" s="452"/>
      <c r="T4702" s="452"/>
      <c r="U4702" s="452"/>
      <c r="V4702" s="452"/>
      <c r="W4702" s="452"/>
    </row>
    <row r="4703" spans="19:23" ht="15" customHeight="1" x14ac:dyDescent="0.45">
      <c r="S4703" s="452"/>
      <c r="T4703" s="452"/>
      <c r="U4703" s="452"/>
      <c r="V4703" s="452"/>
      <c r="W4703" s="452"/>
    </row>
    <row r="4704" spans="19:23" ht="15" customHeight="1" x14ac:dyDescent="0.45">
      <c r="S4704" s="452"/>
      <c r="T4704" s="452"/>
      <c r="U4704" s="452"/>
      <c r="V4704" s="452"/>
      <c r="W4704" s="452"/>
    </row>
    <row r="4705" spans="19:23" ht="15" customHeight="1" x14ac:dyDescent="0.45">
      <c r="S4705" s="452"/>
      <c r="T4705" s="452"/>
      <c r="U4705" s="452"/>
      <c r="V4705" s="452"/>
      <c r="W4705" s="452"/>
    </row>
    <row r="4706" spans="19:23" ht="15" customHeight="1" x14ac:dyDescent="0.45">
      <c r="S4706" s="452"/>
      <c r="T4706" s="452"/>
      <c r="U4706" s="452"/>
      <c r="V4706" s="452"/>
      <c r="W4706" s="452"/>
    </row>
    <row r="4707" spans="19:23" ht="15" customHeight="1" x14ac:dyDescent="0.45">
      <c r="S4707" s="452"/>
      <c r="T4707" s="452"/>
      <c r="U4707" s="452"/>
      <c r="V4707" s="452"/>
      <c r="W4707" s="452"/>
    </row>
    <row r="4708" spans="19:23" ht="15" customHeight="1" x14ac:dyDescent="0.45">
      <c r="S4708" s="452"/>
      <c r="T4708" s="452"/>
      <c r="U4708" s="452"/>
      <c r="V4708" s="452"/>
      <c r="W4708" s="452"/>
    </row>
    <row r="4709" spans="19:23" ht="15" customHeight="1" x14ac:dyDescent="0.45">
      <c r="S4709" s="452"/>
      <c r="T4709" s="452"/>
      <c r="U4709" s="452"/>
      <c r="V4709" s="452"/>
      <c r="W4709" s="452"/>
    </row>
    <row r="4710" spans="19:23" ht="15" customHeight="1" x14ac:dyDescent="0.45">
      <c r="S4710" s="452"/>
      <c r="T4710" s="452"/>
      <c r="U4710" s="452"/>
      <c r="V4710" s="452"/>
      <c r="W4710" s="452"/>
    </row>
    <row r="4711" spans="19:23" ht="15" customHeight="1" x14ac:dyDescent="0.45">
      <c r="S4711" s="452"/>
      <c r="T4711" s="452"/>
      <c r="U4711" s="452"/>
      <c r="V4711" s="452"/>
      <c r="W4711" s="452"/>
    </row>
    <row r="4712" spans="19:23" ht="15" customHeight="1" x14ac:dyDescent="0.45">
      <c r="S4712" s="452"/>
      <c r="T4712" s="452"/>
      <c r="U4712" s="452"/>
      <c r="V4712" s="452"/>
      <c r="W4712" s="452"/>
    </row>
    <row r="4713" spans="19:23" ht="15" customHeight="1" x14ac:dyDescent="0.45">
      <c r="S4713" s="452"/>
      <c r="T4713" s="452"/>
      <c r="U4713" s="452"/>
      <c r="V4713" s="452"/>
      <c r="W4713" s="452"/>
    </row>
    <row r="4714" spans="19:23" ht="15" customHeight="1" x14ac:dyDescent="0.45">
      <c r="S4714" s="452"/>
      <c r="T4714" s="452"/>
      <c r="U4714" s="452"/>
      <c r="V4714" s="452"/>
      <c r="W4714" s="452"/>
    </row>
    <row r="4715" spans="19:23" ht="15" customHeight="1" x14ac:dyDescent="0.45">
      <c r="S4715" s="452"/>
      <c r="T4715" s="452"/>
      <c r="U4715" s="452"/>
      <c r="V4715" s="452"/>
      <c r="W4715" s="452"/>
    </row>
    <row r="4716" spans="19:23" ht="15" customHeight="1" x14ac:dyDescent="0.45">
      <c r="S4716" s="452"/>
      <c r="T4716" s="452"/>
      <c r="U4716" s="452"/>
      <c r="V4716" s="452"/>
      <c r="W4716" s="452"/>
    </row>
    <row r="4717" spans="19:23" ht="15" customHeight="1" x14ac:dyDescent="0.45">
      <c r="S4717" s="452"/>
      <c r="T4717" s="452"/>
      <c r="U4717" s="452"/>
      <c r="V4717" s="452"/>
      <c r="W4717" s="452"/>
    </row>
    <row r="4718" spans="19:23" ht="15" customHeight="1" x14ac:dyDescent="0.45">
      <c r="S4718" s="452"/>
      <c r="T4718" s="452"/>
      <c r="U4718" s="452"/>
      <c r="V4718" s="452"/>
      <c r="W4718" s="452"/>
    </row>
    <row r="4719" spans="19:23" ht="15" customHeight="1" x14ac:dyDescent="0.45">
      <c r="S4719" s="452"/>
      <c r="T4719" s="452"/>
      <c r="U4719" s="452"/>
      <c r="V4719" s="452"/>
      <c r="W4719" s="452"/>
    </row>
    <row r="4720" spans="19:23" ht="15" customHeight="1" x14ac:dyDescent="0.45">
      <c r="S4720" s="452"/>
      <c r="T4720" s="452"/>
      <c r="U4720" s="452"/>
      <c r="V4720" s="452"/>
      <c r="W4720" s="452"/>
    </row>
    <row r="4721" spans="19:23" ht="15" customHeight="1" x14ac:dyDescent="0.45">
      <c r="S4721" s="452"/>
      <c r="T4721" s="452"/>
      <c r="U4721" s="452"/>
      <c r="V4721" s="452"/>
      <c r="W4721" s="452"/>
    </row>
    <row r="4722" spans="19:23" ht="15" customHeight="1" x14ac:dyDescent="0.45">
      <c r="S4722" s="452"/>
      <c r="T4722" s="452"/>
      <c r="U4722" s="452"/>
      <c r="V4722" s="452"/>
      <c r="W4722" s="452"/>
    </row>
    <row r="4723" spans="19:23" ht="15" customHeight="1" x14ac:dyDescent="0.45">
      <c r="S4723" s="452"/>
      <c r="T4723" s="452"/>
      <c r="U4723" s="452"/>
      <c r="V4723" s="452"/>
      <c r="W4723" s="452"/>
    </row>
    <row r="4724" spans="19:23" ht="15" customHeight="1" x14ac:dyDescent="0.45">
      <c r="S4724" s="452"/>
      <c r="T4724" s="452"/>
      <c r="U4724" s="452"/>
      <c r="V4724" s="452"/>
      <c r="W4724" s="452"/>
    </row>
    <row r="4725" spans="19:23" ht="15" customHeight="1" x14ac:dyDescent="0.45">
      <c r="S4725" s="452"/>
      <c r="T4725" s="452"/>
      <c r="U4725" s="452"/>
      <c r="V4725" s="452"/>
      <c r="W4725" s="452"/>
    </row>
    <row r="4726" spans="19:23" ht="15" customHeight="1" x14ac:dyDescent="0.45">
      <c r="S4726" s="452"/>
      <c r="T4726" s="452"/>
      <c r="U4726" s="452"/>
      <c r="V4726" s="452"/>
      <c r="W4726" s="452"/>
    </row>
    <row r="4727" spans="19:23" ht="15" customHeight="1" x14ac:dyDescent="0.45">
      <c r="S4727" s="452"/>
      <c r="T4727" s="452"/>
      <c r="U4727" s="452"/>
      <c r="V4727" s="452"/>
      <c r="W4727" s="452"/>
    </row>
    <row r="4728" spans="19:23" ht="15" customHeight="1" x14ac:dyDescent="0.45">
      <c r="S4728" s="452"/>
      <c r="T4728" s="452"/>
      <c r="U4728" s="452"/>
      <c r="V4728" s="452"/>
      <c r="W4728" s="452"/>
    </row>
    <row r="4729" spans="19:23" ht="15" customHeight="1" x14ac:dyDescent="0.45">
      <c r="S4729" s="452"/>
      <c r="T4729" s="452"/>
      <c r="U4729" s="452"/>
      <c r="V4729" s="452"/>
      <c r="W4729" s="452"/>
    </row>
    <row r="4730" spans="19:23" ht="15" customHeight="1" x14ac:dyDescent="0.45">
      <c r="S4730" s="452"/>
      <c r="T4730" s="452"/>
      <c r="U4730" s="452"/>
      <c r="V4730" s="452"/>
      <c r="W4730" s="452"/>
    </row>
    <row r="4731" spans="19:23" ht="15" customHeight="1" x14ac:dyDescent="0.45">
      <c r="S4731" s="452"/>
      <c r="T4731" s="452"/>
      <c r="U4731" s="452"/>
      <c r="V4731" s="452"/>
      <c r="W4731" s="452"/>
    </row>
    <row r="4732" spans="19:23" ht="15" customHeight="1" x14ac:dyDescent="0.45">
      <c r="S4732" s="452"/>
      <c r="T4732" s="452"/>
      <c r="U4732" s="452"/>
      <c r="V4732" s="452"/>
      <c r="W4732" s="452"/>
    </row>
    <row r="4733" spans="19:23" ht="15" customHeight="1" x14ac:dyDescent="0.45">
      <c r="S4733" s="452"/>
      <c r="T4733" s="452"/>
      <c r="U4733" s="452"/>
      <c r="V4733" s="452"/>
      <c r="W4733" s="452"/>
    </row>
    <row r="4734" spans="19:23" ht="15" customHeight="1" x14ac:dyDescent="0.45">
      <c r="S4734" s="452"/>
      <c r="T4734" s="452"/>
      <c r="U4734" s="452"/>
      <c r="V4734" s="452"/>
      <c r="W4734" s="452"/>
    </row>
    <row r="4735" spans="19:23" ht="15" customHeight="1" x14ac:dyDescent="0.45">
      <c r="S4735" s="452"/>
      <c r="T4735" s="452"/>
      <c r="U4735" s="452"/>
      <c r="V4735" s="452"/>
      <c r="W4735" s="452"/>
    </row>
    <row r="4736" spans="19:23" ht="15" customHeight="1" x14ac:dyDescent="0.45">
      <c r="S4736" s="452"/>
      <c r="T4736" s="452"/>
      <c r="U4736" s="452"/>
      <c r="V4736" s="452"/>
      <c r="W4736" s="452"/>
    </row>
    <row r="4737" spans="19:23" ht="15" customHeight="1" x14ac:dyDescent="0.45">
      <c r="S4737" s="452"/>
      <c r="T4737" s="452"/>
      <c r="U4737" s="452"/>
      <c r="V4737" s="452"/>
      <c r="W4737" s="452"/>
    </row>
    <row r="4738" spans="19:23" ht="15" customHeight="1" x14ac:dyDescent="0.45">
      <c r="S4738" s="452"/>
      <c r="T4738" s="452"/>
      <c r="U4738" s="452"/>
      <c r="V4738" s="452"/>
      <c r="W4738" s="452"/>
    </row>
    <row r="4739" spans="19:23" ht="15" customHeight="1" x14ac:dyDescent="0.45">
      <c r="S4739" s="452"/>
      <c r="T4739" s="452"/>
      <c r="U4739" s="452"/>
      <c r="V4739" s="452"/>
      <c r="W4739" s="452"/>
    </row>
    <row r="4740" spans="19:23" ht="15" customHeight="1" x14ac:dyDescent="0.45">
      <c r="S4740" s="452"/>
      <c r="T4740" s="452"/>
      <c r="U4740" s="452"/>
      <c r="V4740" s="452"/>
      <c r="W4740" s="452"/>
    </row>
    <row r="4741" spans="19:23" ht="15" customHeight="1" x14ac:dyDescent="0.45">
      <c r="S4741" s="452"/>
      <c r="T4741" s="452"/>
      <c r="U4741" s="452"/>
      <c r="V4741" s="452"/>
      <c r="W4741" s="452"/>
    </row>
    <row r="4742" spans="19:23" ht="15" customHeight="1" x14ac:dyDescent="0.45">
      <c r="S4742" s="452"/>
      <c r="T4742" s="452"/>
      <c r="U4742" s="452"/>
      <c r="V4742" s="452"/>
      <c r="W4742" s="452"/>
    </row>
    <row r="4743" spans="19:23" ht="15" customHeight="1" x14ac:dyDescent="0.45">
      <c r="S4743" s="452"/>
      <c r="T4743" s="452"/>
      <c r="U4743" s="452"/>
      <c r="V4743" s="452"/>
      <c r="W4743" s="452"/>
    </row>
    <row r="4744" spans="19:23" ht="15" customHeight="1" x14ac:dyDescent="0.45">
      <c r="S4744" s="452"/>
      <c r="T4744" s="452"/>
      <c r="U4744" s="452"/>
      <c r="V4744" s="452"/>
      <c r="W4744" s="452"/>
    </row>
    <row r="4745" spans="19:23" ht="15" customHeight="1" x14ac:dyDescent="0.45">
      <c r="S4745" s="452"/>
      <c r="T4745" s="452"/>
      <c r="U4745" s="452"/>
      <c r="V4745" s="452"/>
      <c r="W4745" s="452"/>
    </row>
    <row r="4746" spans="19:23" ht="15" customHeight="1" x14ac:dyDescent="0.45">
      <c r="S4746" s="452"/>
      <c r="T4746" s="452"/>
      <c r="U4746" s="452"/>
      <c r="V4746" s="452"/>
      <c r="W4746" s="452"/>
    </row>
    <row r="4747" spans="19:23" ht="15" customHeight="1" x14ac:dyDescent="0.45">
      <c r="S4747" s="452"/>
      <c r="T4747" s="452"/>
      <c r="U4747" s="452"/>
      <c r="V4747" s="452"/>
      <c r="W4747" s="452"/>
    </row>
    <row r="4748" spans="19:23" ht="15" customHeight="1" x14ac:dyDescent="0.45">
      <c r="S4748" s="452"/>
      <c r="T4748" s="452"/>
      <c r="U4748" s="452"/>
      <c r="V4748" s="452"/>
      <c r="W4748" s="452"/>
    </row>
    <row r="4749" spans="19:23" ht="15" customHeight="1" x14ac:dyDescent="0.45">
      <c r="S4749" s="452"/>
      <c r="T4749" s="452"/>
      <c r="U4749" s="452"/>
      <c r="V4749" s="452"/>
      <c r="W4749" s="452"/>
    </row>
    <row r="4750" spans="19:23" ht="15" customHeight="1" x14ac:dyDescent="0.45">
      <c r="S4750" s="452"/>
      <c r="T4750" s="452"/>
      <c r="U4750" s="452"/>
      <c r="V4750" s="452"/>
      <c r="W4750" s="452"/>
    </row>
    <row r="4751" spans="19:23" ht="15" customHeight="1" x14ac:dyDescent="0.45">
      <c r="S4751" s="452"/>
      <c r="T4751" s="452"/>
      <c r="U4751" s="452"/>
      <c r="V4751" s="452"/>
      <c r="W4751" s="452"/>
    </row>
    <row r="4752" spans="19:23" ht="15" customHeight="1" x14ac:dyDescent="0.45">
      <c r="S4752" s="452"/>
      <c r="T4752" s="452"/>
      <c r="U4752" s="452"/>
      <c r="V4752" s="452"/>
      <c r="W4752" s="452"/>
    </row>
    <row r="4753" spans="19:23" ht="15" customHeight="1" x14ac:dyDescent="0.45">
      <c r="S4753" s="452"/>
      <c r="T4753" s="452"/>
      <c r="U4753" s="452"/>
      <c r="V4753" s="452"/>
      <c r="W4753" s="452"/>
    </row>
    <row r="4754" spans="19:23" ht="15" customHeight="1" x14ac:dyDescent="0.45">
      <c r="S4754" s="452"/>
      <c r="T4754" s="452"/>
      <c r="U4754" s="452"/>
      <c r="V4754" s="452"/>
      <c r="W4754" s="452"/>
    </row>
    <row r="4755" spans="19:23" ht="15" customHeight="1" x14ac:dyDescent="0.45">
      <c r="S4755" s="452"/>
      <c r="T4755" s="452"/>
      <c r="U4755" s="452"/>
      <c r="V4755" s="452"/>
      <c r="W4755" s="452"/>
    </row>
    <row r="4756" spans="19:23" ht="15" customHeight="1" x14ac:dyDescent="0.45">
      <c r="S4756" s="452"/>
      <c r="T4756" s="452"/>
      <c r="U4756" s="452"/>
      <c r="V4756" s="452"/>
      <c r="W4756" s="452"/>
    </row>
    <row r="4757" spans="19:23" ht="15" customHeight="1" x14ac:dyDescent="0.45">
      <c r="S4757" s="452"/>
      <c r="T4757" s="452"/>
      <c r="U4757" s="452"/>
      <c r="V4757" s="452"/>
      <c r="W4757" s="452"/>
    </row>
    <row r="4758" spans="19:23" ht="15" customHeight="1" x14ac:dyDescent="0.45">
      <c r="S4758" s="452"/>
      <c r="T4758" s="452"/>
      <c r="U4758" s="452"/>
      <c r="V4758" s="452"/>
      <c r="W4758" s="452"/>
    </row>
    <row r="4759" spans="19:23" ht="15" customHeight="1" x14ac:dyDescent="0.45">
      <c r="S4759" s="452"/>
      <c r="T4759" s="452"/>
      <c r="U4759" s="452"/>
      <c r="V4759" s="452"/>
      <c r="W4759" s="452"/>
    </row>
    <row r="4760" spans="19:23" ht="15" customHeight="1" x14ac:dyDescent="0.45">
      <c r="S4760" s="452"/>
      <c r="T4760" s="452"/>
      <c r="U4760" s="452"/>
      <c r="V4760" s="452"/>
      <c r="W4760" s="452"/>
    </row>
    <row r="4761" spans="19:23" ht="15" customHeight="1" x14ac:dyDescent="0.45">
      <c r="S4761" s="452"/>
      <c r="T4761" s="452"/>
      <c r="U4761" s="452"/>
      <c r="V4761" s="452"/>
      <c r="W4761" s="452"/>
    </row>
    <row r="4762" spans="19:23" ht="15" customHeight="1" x14ac:dyDescent="0.45">
      <c r="S4762" s="452"/>
      <c r="T4762" s="452"/>
      <c r="U4762" s="452"/>
      <c r="V4762" s="452"/>
      <c r="W4762" s="452"/>
    </row>
    <row r="4763" spans="19:23" ht="15" customHeight="1" x14ac:dyDescent="0.45">
      <c r="S4763" s="452"/>
      <c r="T4763" s="452"/>
      <c r="U4763" s="452"/>
      <c r="V4763" s="452"/>
      <c r="W4763" s="452"/>
    </row>
    <row r="4764" spans="19:23" ht="15" customHeight="1" x14ac:dyDescent="0.45">
      <c r="S4764" s="452"/>
      <c r="T4764" s="452"/>
      <c r="U4764" s="452"/>
      <c r="V4764" s="452"/>
      <c r="W4764" s="452"/>
    </row>
    <row r="4765" spans="19:23" ht="15" customHeight="1" x14ac:dyDescent="0.45">
      <c r="S4765" s="452"/>
      <c r="T4765" s="452"/>
      <c r="U4765" s="452"/>
      <c r="V4765" s="452"/>
      <c r="W4765" s="452"/>
    </row>
    <row r="4766" spans="19:23" ht="15" customHeight="1" x14ac:dyDescent="0.45">
      <c r="S4766" s="452"/>
      <c r="T4766" s="452"/>
      <c r="U4766" s="452"/>
      <c r="V4766" s="452"/>
      <c r="W4766" s="452"/>
    </row>
    <row r="4767" spans="19:23" ht="15" customHeight="1" x14ac:dyDescent="0.45">
      <c r="S4767" s="452"/>
      <c r="T4767" s="452"/>
      <c r="U4767" s="452"/>
      <c r="V4767" s="452"/>
      <c r="W4767" s="452"/>
    </row>
    <row r="4768" spans="19:23" ht="15" customHeight="1" x14ac:dyDescent="0.45">
      <c r="S4768" s="452"/>
      <c r="T4768" s="452"/>
      <c r="U4768" s="452"/>
      <c r="V4768" s="452"/>
      <c r="W4768" s="452"/>
    </row>
    <row r="4769" spans="19:23" ht="15" customHeight="1" x14ac:dyDescent="0.45">
      <c r="S4769" s="452"/>
      <c r="T4769" s="452"/>
      <c r="U4769" s="452"/>
      <c r="V4769" s="452"/>
      <c r="W4769" s="452"/>
    </row>
    <row r="4770" spans="19:23" ht="15" customHeight="1" x14ac:dyDescent="0.45">
      <c r="S4770" s="452"/>
      <c r="T4770" s="452"/>
      <c r="U4770" s="452"/>
      <c r="V4770" s="452"/>
      <c r="W4770" s="452"/>
    </row>
    <row r="4771" spans="19:23" ht="15" customHeight="1" x14ac:dyDescent="0.45">
      <c r="S4771" s="452"/>
      <c r="T4771" s="452"/>
      <c r="U4771" s="452"/>
      <c r="V4771" s="452"/>
      <c r="W4771" s="452"/>
    </row>
    <row r="4772" spans="19:23" ht="15" customHeight="1" x14ac:dyDescent="0.45">
      <c r="S4772" s="452"/>
      <c r="T4772" s="452"/>
      <c r="U4772" s="452"/>
      <c r="V4772" s="452"/>
      <c r="W4772" s="452"/>
    </row>
    <row r="4773" spans="19:23" ht="15" customHeight="1" x14ac:dyDescent="0.45">
      <c r="S4773" s="452"/>
      <c r="T4773" s="452"/>
      <c r="U4773" s="452"/>
      <c r="V4773" s="452"/>
      <c r="W4773" s="452"/>
    </row>
    <row r="4774" spans="19:23" ht="15" customHeight="1" x14ac:dyDescent="0.45">
      <c r="S4774" s="452"/>
      <c r="T4774" s="452"/>
      <c r="U4774" s="452"/>
      <c r="V4774" s="452"/>
      <c r="W4774" s="452"/>
    </row>
    <row r="4775" spans="19:23" ht="15" customHeight="1" x14ac:dyDescent="0.45">
      <c r="S4775" s="452"/>
      <c r="T4775" s="452"/>
      <c r="U4775" s="452"/>
      <c r="V4775" s="452"/>
      <c r="W4775" s="452"/>
    </row>
    <row r="4776" spans="19:23" ht="15" customHeight="1" x14ac:dyDescent="0.45">
      <c r="S4776" s="452"/>
      <c r="T4776" s="452"/>
      <c r="U4776" s="452"/>
      <c r="V4776" s="452"/>
      <c r="W4776" s="452"/>
    </row>
    <row r="4777" spans="19:23" ht="15" customHeight="1" x14ac:dyDescent="0.45">
      <c r="S4777" s="452"/>
      <c r="T4777" s="452"/>
      <c r="U4777" s="452"/>
      <c r="V4777" s="452"/>
      <c r="W4777" s="452"/>
    </row>
    <row r="4778" spans="19:23" ht="15" customHeight="1" x14ac:dyDescent="0.45">
      <c r="S4778" s="452"/>
      <c r="T4778" s="452"/>
      <c r="U4778" s="452"/>
      <c r="V4778" s="452"/>
      <c r="W4778" s="452"/>
    </row>
    <row r="4779" spans="19:23" ht="15" customHeight="1" x14ac:dyDescent="0.45">
      <c r="S4779" s="452"/>
      <c r="T4779" s="452"/>
      <c r="U4779" s="452"/>
      <c r="V4779" s="452"/>
      <c r="W4779" s="452"/>
    </row>
    <row r="4780" spans="19:23" ht="15" customHeight="1" x14ac:dyDescent="0.45">
      <c r="S4780" s="452"/>
      <c r="T4780" s="452"/>
      <c r="U4780" s="452"/>
      <c r="V4780" s="452"/>
      <c r="W4780" s="452"/>
    </row>
    <row r="4781" spans="19:23" ht="15" customHeight="1" x14ac:dyDescent="0.45">
      <c r="S4781" s="452"/>
      <c r="T4781" s="452"/>
      <c r="U4781" s="452"/>
      <c r="V4781" s="452"/>
      <c r="W4781" s="452"/>
    </row>
    <row r="4782" spans="19:23" ht="15" customHeight="1" x14ac:dyDescent="0.45">
      <c r="S4782" s="452"/>
      <c r="T4782" s="452"/>
      <c r="U4782" s="452"/>
      <c r="V4782" s="452"/>
      <c r="W4782" s="452"/>
    </row>
    <row r="4783" spans="19:23" ht="15" customHeight="1" x14ac:dyDescent="0.45">
      <c r="S4783" s="452"/>
      <c r="T4783" s="452"/>
      <c r="U4783" s="452"/>
      <c r="V4783" s="452"/>
      <c r="W4783" s="452"/>
    </row>
    <row r="4784" spans="19:23" ht="15" customHeight="1" x14ac:dyDescent="0.45">
      <c r="S4784" s="452"/>
      <c r="T4784" s="452"/>
      <c r="U4784" s="452"/>
      <c r="V4784" s="452"/>
      <c r="W4784" s="452"/>
    </row>
    <row r="4785" spans="19:23" ht="15" customHeight="1" x14ac:dyDescent="0.45">
      <c r="S4785" s="452"/>
      <c r="T4785" s="452"/>
      <c r="U4785" s="452"/>
      <c r="V4785" s="452"/>
      <c r="W4785" s="452"/>
    </row>
    <row r="4786" spans="19:23" ht="15" customHeight="1" x14ac:dyDescent="0.45">
      <c r="S4786" s="452"/>
      <c r="T4786" s="452"/>
      <c r="U4786" s="452"/>
      <c r="V4786" s="452"/>
      <c r="W4786" s="452"/>
    </row>
    <row r="4787" spans="19:23" ht="15" customHeight="1" x14ac:dyDescent="0.45">
      <c r="S4787" s="452"/>
      <c r="T4787" s="452"/>
      <c r="U4787" s="452"/>
      <c r="V4787" s="452"/>
      <c r="W4787" s="452"/>
    </row>
    <row r="4788" spans="19:23" ht="15" customHeight="1" x14ac:dyDescent="0.45">
      <c r="S4788" s="452"/>
      <c r="T4788" s="452"/>
      <c r="U4788" s="452"/>
      <c r="V4788" s="452"/>
      <c r="W4788" s="452"/>
    </row>
    <row r="4789" spans="19:23" ht="15" customHeight="1" x14ac:dyDescent="0.45">
      <c r="S4789" s="452"/>
      <c r="T4789" s="452"/>
      <c r="U4789" s="452"/>
      <c r="V4789" s="452"/>
      <c r="W4789" s="452"/>
    </row>
    <row r="4790" spans="19:23" ht="15" customHeight="1" x14ac:dyDescent="0.45">
      <c r="S4790" s="452"/>
      <c r="T4790" s="452"/>
      <c r="U4790" s="452"/>
      <c r="V4790" s="452"/>
      <c r="W4790" s="452"/>
    </row>
    <row r="4791" spans="19:23" ht="15" customHeight="1" x14ac:dyDescent="0.45">
      <c r="S4791" s="452"/>
      <c r="T4791" s="452"/>
      <c r="U4791" s="452"/>
      <c r="V4791" s="452"/>
      <c r="W4791" s="452"/>
    </row>
    <row r="4792" spans="19:23" ht="15" customHeight="1" x14ac:dyDescent="0.45">
      <c r="S4792" s="452"/>
      <c r="T4792" s="452"/>
      <c r="U4792" s="452"/>
      <c r="V4792" s="452"/>
      <c r="W4792" s="452"/>
    </row>
    <row r="4793" spans="19:23" ht="15" customHeight="1" x14ac:dyDescent="0.45">
      <c r="S4793" s="452"/>
      <c r="T4793" s="452"/>
      <c r="U4793" s="452"/>
      <c r="V4793" s="452"/>
      <c r="W4793" s="452"/>
    </row>
    <row r="4794" spans="19:23" ht="15" customHeight="1" x14ac:dyDescent="0.45">
      <c r="S4794" s="452"/>
      <c r="T4794" s="452"/>
      <c r="U4794" s="452"/>
      <c r="V4794" s="452"/>
      <c r="W4794" s="452"/>
    </row>
    <row r="4795" spans="19:23" ht="15" customHeight="1" x14ac:dyDescent="0.45">
      <c r="S4795" s="452"/>
      <c r="T4795" s="452"/>
      <c r="U4795" s="452"/>
      <c r="V4795" s="452"/>
      <c r="W4795" s="452"/>
    </row>
    <row r="4796" spans="19:23" ht="15" customHeight="1" x14ac:dyDescent="0.45">
      <c r="S4796" s="452"/>
      <c r="T4796" s="452"/>
      <c r="U4796" s="452"/>
      <c r="V4796" s="452"/>
      <c r="W4796" s="452"/>
    </row>
    <row r="4797" spans="19:23" ht="15" customHeight="1" x14ac:dyDescent="0.45">
      <c r="S4797" s="452"/>
      <c r="T4797" s="452"/>
      <c r="U4797" s="452"/>
      <c r="V4797" s="452"/>
      <c r="W4797" s="452"/>
    </row>
    <row r="4798" spans="19:23" ht="15" customHeight="1" x14ac:dyDescent="0.45">
      <c r="S4798" s="452"/>
      <c r="T4798" s="452"/>
      <c r="U4798" s="452"/>
      <c r="V4798" s="452"/>
      <c r="W4798" s="452"/>
    </row>
    <row r="4799" spans="19:23" ht="15" customHeight="1" x14ac:dyDescent="0.45">
      <c r="S4799" s="452"/>
      <c r="T4799" s="452"/>
      <c r="U4799" s="452"/>
      <c r="V4799" s="452"/>
      <c r="W4799" s="452"/>
    </row>
    <row r="4800" spans="19:23" ht="15" customHeight="1" x14ac:dyDescent="0.45">
      <c r="S4800" s="452"/>
      <c r="T4800" s="452"/>
      <c r="U4800" s="452"/>
      <c r="V4800" s="452"/>
      <c r="W4800" s="452"/>
    </row>
    <row r="4801" spans="19:23" ht="15" customHeight="1" x14ac:dyDescent="0.45">
      <c r="S4801" s="452"/>
      <c r="T4801" s="452"/>
      <c r="U4801" s="452"/>
      <c r="V4801" s="452"/>
      <c r="W4801" s="452"/>
    </row>
    <row r="4802" spans="19:23" ht="15" customHeight="1" x14ac:dyDescent="0.45">
      <c r="S4802" s="452"/>
      <c r="T4802" s="452"/>
      <c r="U4802" s="452"/>
      <c r="V4802" s="452"/>
      <c r="W4802" s="452"/>
    </row>
    <row r="4803" spans="19:23" ht="15" customHeight="1" x14ac:dyDescent="0.45">
      <c r="S4803" s="452"/>
      <c r="T4803" s="452"/>
      <c r="U4803" s="452"/>
      <c r="V4803" s="452"/>
      <c r="W4803" s="452"/>
    </row>
    <row r="4804" spans="19:23" ht="15" customHeight="1" x14ac:dyDescent="0.45">
      <c r="S4804" s="452"/>
      <c r="T4804" s="452"/>
      <c r="U4804" s="452"/>
      <c r="V4804" s="452"/>
      <c r="W4804" s="452"/>
    </row>
    <row r="4805" spans="19:23" ht="15" customHeight="1" x14ac:dyDescent="0.45">
      <c r="S4805" s="452"/>
      <c r="T4805" s="452"/>
      <c r="U4805" s="452"/>
      <c r="V4805" s="452"/>
      <c r="W4805" s="452"/>
    </row>
    <row r="4806" spans="19:23" ht="15" customHeight="1" x14ac:dyDescent="0.45">
      <c r="S4806" s="452"/>
      <c r="T4806" s="452"/>
      <c r="U4806" s="452"/>
      <c r="V4806" s="452"/>
      <c r="W4806" s="452"/>
    </row>
    <row r="4807" spans="19:23" ht="15" customHeight="1" x14ac:dyDescent="0.45">
      <c r="S4807" s="452"/>
      <c r="T4807" s="452"/>
      <c r="U4807" s="452"/>
      <c r="V4807" s="452"/>
      <c r="W4807" s="452"/>
    </row>
    <row r="4808" spans="19:23" ht="15" customHeight="1" x14ac:dyDescent="0.45">
      <c r="S4808" s="452"/>
      <c r="T4808" s="452"/>
      <c r="U4808" s="452"/>
      <c r="V4808" s="452"/>
      <c r="W4808" s="452"/>
    </row>
    <row r="4809" spans="19:23" ht="15" customHeight="1" x14ac:dyDescent="0.45">
      <c r="S4809" s="452"/>
      <c r="T4809" s="452"/>
      <c r="U4809" s="452"/>
      <c r="V4809" s="452"/>
      <c r="W4809" s="452"/>
    </row>
    <row r="4810" spans="19:23" ht="15" customHeight="1" x14ac:dyDescent="0.45">
      <c r="S4810" s="452"/>
      <c r="T4810" s="452"/>
      <c r="U4810" s="452"/>
      <c r="V4810" s="452"/>
      <c r="W4810" s="452"/>
    </row>
    <row r="4811" spans="19:23" ht="15" customHeight="1" x14ac:dyDescent="0.45">
      <c r="S4811" s="452"/>
      <c r="T4811" s="452"/>
      <c r="U4811" s="452"/>
      <c r="V4811" s="452"/>
      <c r="W4811" s="452"/>
    </row>
    <row r="4812" spans="19:23" ht="15" customHeight="1" x14ac:dyDescent="0.45">
      <c r="S4812" s="452"/>
      <c r="T4812" s="452"/>
      <c r="U4812" s="452"/>
      <c r="V4812" s="452"/>
      <c r="W4812" s="452"/>
    </row>
    <row r="4813" spans="19:23" ht="15" customHeight="1" x14ac:dyDescent="0.45">
      <c r="S4813" s="452"/>
      <c r="T4813" s="452"/>
      <c r="U4813" s="452"/>
      <c r="V4813" s="452"/>
      <c r="W4813" s="452"/>
    </row>
    <row r="4814" spans="19:23" ht="15" customHeight="1" x14ac:dyDescent="0.45">
      <c r="S4814" s="452"/>
      <c r="T4814" s="452"/>
      <c r="U4814" s="452"/>
      <c r="V4814" s="452"/>
      <c r="W4814" s="452"/>
    </row>
    <row r="4815" spans="19:23" ht="15" customHeight="1" x14ac:dyDescent="0.45">
      <c r="S4815" s="452"/>
      <c r="T4815" s="452"/>
      <c r="U4815" s="452"/>
      <c r="V4815" s="452"/>
      <c r="W4815" s="452"/>
    </row>
    <row r="4816" spans="19:23" ht="15" customHeight="1" x14ac:dyDescent="0.45">
      <c r="S4816" s="452"/>
      <c r="T4816" s="452"/>
      <c r="U4816" s="452"/>
      <c r="V4816" s="452"/>
      <c r="W4816" s="452"/>
    </row>
    <row r="4817" spans="19:23" ht="15" customHeight="1" x14ac:dyDescent="0.45">
      <c r="S4817" s="452"/>
      <c r="T4817" s="452"/>
      <c r="U4817" s="452"/>
      <c r="V4817" s="452"/>
      <c r="W4817" s="452"/>
    </row>
    <row r="4818" spans="19:23" ht="15" customHeight="1" x14ac:dyDescent="0.45">
      <c r="S4818" s="452"/>
      <c r="T4818" s="452"/>
      <c r="U4818" s="452"/>
      <c r="V4818" s="452"/>
      <c r="W4818" s="452"/>
    </row>
    <row r="4819" spans="19:23" ht="15" customHeight="1" x14ac:dyDescent="0.45">
      <c r="S4819" s="452"/>
      <c r="T4819" s="452"/>
      <c r="U4819" s="452"/>
      <c r="V4819" s="452"/>
      <c r="W4819" s="452"/>
    </row>
    <row r="4820" spans="19:23" ht="15" customHeight="1" x14ac:dyDescent="0.45">
      <c r="S4820" s="452"/>
      <c r="T4820" s="452"/>
      <c r="U4820" s="452"/>
      <c r="V4820" s="452"/>
      <c r="W4820" s="452"/>
    </row>
    <row r="4821" spans="19:23" ht="15" customHeight="1" x14ac:dyDescent="0.45">
      <c r="S4821" s="452"/>
      <c r="T4821" s="452"/>
      <c r="U4821" s="452"/>
      <c r="V4821" s="452"/>
      <c r="W4821" s="452"/>
    </row>
    <row r="4822" spans="19:23" ht="15" customHeight="1" x14ac:dyDescent="0.45">
      <c r="S4822" s="452"/>
      <c r="T4822" s="452"/>
      <c r="U4822" s="452"/>
      <c r="V4822" s="452"/>
      <c r="W4822" s="452"/>
    </row>
    <row r="4823" spans="19:23" ht="15" customHeight="1" x14ac:dyDescent="0.45">
      <c r="S4823" s="452"/>
      <c r="T4823" s="452"/>
      <c r="U4823" s="452"/>
      <c r="V4823" s="452"/>
      <c r="W4823" s="452"/>
    </row>
    <row r="4824" spans="19:23" ht="15" customHeight="1" x14ac:dyDescent="0.45">
      <c r="S4824" s="452"/>
      <c r="T4824" s="452"/>
      <c r="U4824" s="452"/>
      <c r="V4824" s="452"/>
      <c r="W4824" s="452"/>
    </row>
    <row r="4825" spans="19:23" ht="15" customHeight="1" x14ac:dyDescent="0.45">
      <c r="S4825" s="452"/>
      <c r="T4825" s="452"/>
      <c r="U4825" s="452"/>
      <c r="V4825" s="452"/>
      <c r="W4825" s="452"/>
    </row>
    <row r="4826" spans="19:23" ht="15" customHeight="1" x14ac:dyDescent="0.45">
      <c r="S4826" s="452"/>
      <c r="T4826" s="452"/>
      <c r="U4826" s="452"/>
      <c r="V4826" s="452"/>
      <c r="W4826" s="452"/>
    </row>
    <row r="4827" spans="19:23" ht="15" customHeight="1" x14ac:dyDescent="0.45">
      <c r="S4827" s="452"/>
      <c r="T4827" s="452"/>
      <c r="U4827" s="452"/>
      <c r="V4827" s="452"/>
      <c r="W4827" s="452"/>
    </row>
    <row r="4828" spans="19:23" ht="15" customHeight="1" x14ac:dyDescent="0.45">
      <c r="S4828" s="452"/>
      <c r="T4828" s="452"/>
      <c r="U4828" s="452"/>
      <c r="V4828" s="452"/>
      <c r="W4828" s="452"/>
    </row>
    <row r="4829" spans="19:23" ht="15" customHeight="1" x14ac:dyDescent="0.45">
      <c r="S4829" s="452"/>
      <c r="T4829" s="452"/>
      <c r="U4829" s="452"/>
      <c r="V4829" s="452"/>
      <c r="W4829" s="452"/>
    </row>
    <row r="4830" spans="19:23" ht="15" customHeight="1" x14ac:dyDescent="0.45">
      <c r="S4830" s="452"/>
      <c r="T4830" s="452"/>
      <c r="U4830" s="452"/>
      <c r="V4830" s="452"/>
      <c r="W4830" s="452"/>
    </row>
    <row r="4831" spans="19:23" ht="15" customHeight="1" x14ac:dyDescent="0.45">
      <c r="S4831" s="452"/>
      <c r="T4831" s="452"/>
      <c r="U4831" s="452"/>
      <c r="V4831" s="452"/>
      <c r="W4831" s="452"/>
    </row>
    <row r="4832" spans="19:23" ht="15" customHeight="1" x14ac:dyDescent="0.45">
      <c r="S4832" s="452"/>
      <c r="T4832" s="452"/>
      <c r="U4832" s="452"/>
      <c r="V4832" s="452"/>
      <c r="W4832" s="452"/>
    </row>
    <row r="4833" spans="19:23" ht="15" customHeight="1" x14ac:dyDescent="0.45">
      <c r="S4833" s="452"/>
      <c r="T4833" s="452"/>
      <c r="U4833" s="452"/>
      <c r="V4833" s="452"/>
      <c r="W4833" s="452"/>
    </row>
    <row r="4834" spans="19:23" ht="15" customHeight="1" x14ac:dyDescent="0.45">
      <c r="S4834" s="452"/>
      <c r="T4834" s="452"/>
      <c r="U4834" s="452"/>
      <c r="V4834" s="452"/>
      <c r="W4834" s="452"/>
    </row>
    <row r="4835" spans="19:23" ht="15" customHeight="1" x14ac:dyDescent="0.45">
      <c r="S4835" s="452"/>
      <c r="T4835" s="452"/>
      <c r="U4835" s="452"/>
      <c r="V4835" s="452"/>
      <c r="W4835" s="452"/>
    </row>
    <row r="4836" spans="19:23" ht="15" customHeight="1" x14ac:dyDescent="0.45">
      <c r="S4836" s="452"/>
      <c r="T4836" s="452"/>
      <c r="U4836" s="452"/>
      <c r="V4836" s="452"/>
      <c r="W4836" s="452"/>
    </row>
    <row r="4837" spans="19:23" ht="15" customHeight="1" x14ac:dyDescent="0.45">
      <c r="S4837" s="452"/>
      <c r="T4837" s="452"/>
      <c r="U4837" s="452"/>
      <c r="V4837" s="452"/>
      <c r="W4837" s="452"/>
    </row>
    <row r="4838" spans="19:23" ht="15" customHeight="1" x14ac:dyDescent="0.45">
      <c r="S4838" s="452"/>
      <c r="T4838" s="452"/>
      <c r="U4838" s="452"/>
      <c r="V4838" s="452"/>
      <c r="W4838" s="452"/>
    </row>
    <row r="4839" spans="19:23" ht="15" customHeight="1" x14ac:dyDescent="0.45">
      <c r="S4839" s="452"/>
      <c r="T4839" s="452"/>
      <c r="U4839" s="452"/>
      <c r="V4839" s="452"/>
      <c r="W4839" s="452"/>
    </row>
    <row r="4840" spans="19:23" ht="15" customHeight="1" x14ac:dyDescent="0.45">
      <c r="S4840" s="452"/>
      <c r="T4840" s="452"/>
      <c r="U4840" s="452"/>
      <c r="V4840" s="452"/>
      <c r="W4840" s="452"/>
    </row>
    <row r="4841" spans="19:23" ht="15" customHeight="1" x14ac:dyDescent="0.45">
      <c r="S4841" s="452"/>
      <c r="T4841" s="452"/>
      <c r="U4841" s="452"/>
      <c r="V4841" s="452"/>
      <c r="W4841" s="452"/>
    </row>
    <row r="4842" spans="19:23" ht="15" customHeight="1" x14ac:dyDescent="0.45">
      <c r="S4842" s="452"/>
      <c r="T4842" s="452"/>
      <c r="U4842" s="452"/>
      <c r="V4842" s="452"/>
      <c r="W4842" s="452"/>
    </row>
    <row r="4843" spans="19:23" ht="15" customHeight="1" x14ac:dyDescent="0.45">
      <c r="S4843" s="452"/>
      <c r="T4843" s="452"/>
      <c r="U4843" s="452"/>
      <c r="V4843" s="452"/>
      <c r="W4843" s="452"/>
    </row>
    <row r="4844" spans="19:23" ht="15" customHeight="1" x14ac:dyDescent="0.45">
      <c r="S4844" s="452"/>
      <c r="T4844" s="452"/>
      <c r="U4844" s="452"/>
      <c r="V4844" s="452"/>
      <c r="W4844" s="452"/>
    </row>
    <row r="4845" spans="19:23" ht="15" customHeight="1" x14ac:dyDescent="0.45">
      <c r="S4845" s="452"/>
      <c r="T4845" s="452"/>
      <c r="U4845" s="452"/>
      <c r="V4845" s="452"/>
      <c r="W4845" s="452"/>
    </row>
    <row r="4846" spans="19:23" ht="15" customHeight="1" x14ac:dyDescent="0.45">
      <c r="S4846" s="452"/>
      <c r="T4846" s="452"/>
      <c r="U4846" s="452"/>
      <c r="V4846" s="452"/>
      <c r="W4846" s="452"/>
    </row>
    <row r="4847" spans="19:23" ht="15" customHeight="1" x14ac:dyDescent="0.45">
      <c r="S4847" s="452"/>
      <c r="T4847" s="452"/>
      <c r="U4847" s="452"/>
      <c r="V4847" s="452"/>
      <c r="W4847" s="452"/>
    </row>
    <row r="4848" spans="19:23" ht="15" customHeight="1" x14ac:dyDescent="0.45">
      <c r="S4848" s="452"/>
      <c r="T4848" s="452"/>
      <c r="U4848" s="452"/>
      <c r="V4848" s="452"/>
      <c r="W4848" s="452"/>
    </row>
    <row r="4849" spans="19:23" ht="15" customHeight="1" x14ac:dyDescent="0.45">
      <c r="S4849" s="452"/>
      <c r="T4849" s="452"/>
      <c r="U4849" s="452"/>
      <c r="V4849" s="452"/>
      <c r="W4849" s="452"/>
    </row>
    <row r="4850" spans="19:23" ht="15" customHeight="1" x14ac:dyDescent="0.45">
      <c r="S4850" s="452"/>
      <c r="T4850" s="452"/>
      <c r="U4850" s="452"/>
      <c r="V4850" s="452"/>
      <c r="W4850" s="452"/>
    </row>
    <row r="4851" spans="19:23" ht="15" customHeight="1" x14ac:dyDescent="0.45">
      <c r="S4851" s="452"/>
      <c r="T4851" s="452"/>
      <c r="U4851" s="452"/>
      <c r="V4851" s="452"/>
      <c r="W4851" s="452"/>
    </row>
    <row r="4852" spans="19:23" ht="15" customHeight="1" x14ac:dyDescent="0.45">
      <c r="S4852" s="452"/>
      <c r="T4852" s="452"/>
      <c r="U4852" s="452"/>
      <c r="V4852" s="452"/>
      <c r="W4852" s="452"/>
    </row>
    <row r="4853" spans="19:23" ht="15" customHeight="1" x14ac:dyDescent="0.45">
      <c r="S4853" s="452"/>
      <c r="T4853" s="452"/>
      <c r="U4853" s="452"/>
      <c r="V4853" s="452"/>
      <c r="W4853" s="452"/>
    </row>
    <row r="4854" spans="19:23" ht="15" customHeight="1" x14ac:dyDescent="0.45">
      <c r="S4854" s="452"/>
      <c r="T4854" s="452"/>
      <c r="U4854" s="452"/>
      <c r="V4854" s="452"/>
      <c r="W4854" s="452"/>
    </row>
    <row r="4855" spans="19:23" ht="15" customHeight="1" x14ac:dyDescent="0.45">
      <c r="S4855" s="452"/>
      <c r="T4855" s="452"/>
      <c r="U4855" s="452"/>
      <c r="V4855" s="452"/>
      <c r="W4855" s="452"/>
    </row>
    <row r="4856" spans="19:23" ht="15" customHeight="1" x14ac:dyDescent="0.45">
      <c r="S4856" s="452"/>
      <c r="T4856" s="452"/>
      <c r="U4856" s="452"/>
      <c r="V4856" s="452"/>
      <c r="W4856" s="452"/>
    </row>
    <row r="4857" spans="19:23" ht="15" customHeight="1" x14ac:dyDescent="0.45">
      <c r="S4857" s="452"/>
      <c r="T4857" s="452"/>
      <c r="U4857" s="452"/>
      <c r="V4857" s="452"/>
      <c r="W4857" s="452"/>
    </row>
    <row r="4858" spans="19:23" ht="15" customHeight="1" x14ac:dyDescent="0.45">
      <c r="S4858" s="452"/>
      <c r="T4858" s="452"/>
      <c r="U4858" s="452"/>
      <c r="V4858" s="452"/>
      <c r="W4858" s="452"/>
    </row>
    <row r="4859" spans="19:23" ht="15" customHeight="1" x14ac:dyDescent="0.45">
      <c r="S4859" s="452"/>
      <c r="T4859" s="452"/>
      <c r="U4859" s="452"/>
      <c r="V4859" s="452"/>
      <c r="W4859" s="452"/>
    </row>
    <row r="4860" spans="19:23" ht="15" customHeight="1" x14ac:dyDescent="0.45">
      <c r="S4860" s="452"/>
      <c r="T4860" s="452"/>
      <c r="U4860" s="452"/>
      <c r="V4860" s="452"/>
      <c r="W4860" s="452"/>
    </row>
    <row r="4861" spans="19:23" ht="15" customHeight="1" x14ac:dyDescent="0.45">
      <c r="S4861" s="452"/>
      <c r="T4861" s="452"/>
      <c r="U4861" s="452"/>
      <c r="V4861" s="452"/>
      <c r="W4861" s="452"/>
    </row>
    <row r="4862" spans="19:23" ht="15" customHeight="1" x14ac:dyDescent="0.45">
      <c r="S4862" s="452"/>
      <c r="T4862" s="452"/>
      <c r="U4862" s="452"/>
      <c r="V4862" s="452"/>
      <c r="W4862" s="452"/>
    </row>
    <row r="4863" spans="19:23" ht="15" customHeight="1" x14ac:dyDescent="0.45">
      <c r="S4863" s="452"/>
      <c r="T4863" s="452"/>
      <c r="U4863" s="452"/>
      <c r="V4863" s="452"/>
      <c r="W4863" s="452"/>
    </row>
    <row r="4864" spans="19:23" ht="15" customHeight="1" x14ac:dyDescent="0.45">
      <c r="S4864" s="452"/>
      <c r="T4864" s="452"/>
      <c r="U4864" s="452"/>
      <c r="V4864" s="452"/>
      <c r="W4864" s="452"/>
    </row>
    <row r="4865" spans="19:23" ht="15" customHeight="1" x14ac:dyDescent="0.45">
      <c r="S4865" s="452"/>
      <c r="T4865" s="452"/>
      <c r="U4865" s="452"/>
      <c r="V4865" s="452"/>
      <c r="W4865" s="452"/>
    </row>
    <row r="4866" spans="19:23" ht="15" customHeight="1" x14ac:dyDescent="0.45">
      <c r="S4866" s="452"/>
      <c r="T4866" s="452"/>
      <c r="U4866" s="452"/>
      <c r="V4866" s="452"/>
      <c r="W4866" s="452"/>
    </row>
    <row r="4867" spans="19:23" ht="15" customHeight="1" x14ac:dyDescent="0.45">
      <c r="S4867" s="452"/>
      <c r="T4867" s="452"/>
      <c r="U4867" s="452"/>
      <c r="V4867" s="452"/>
      <c r="W4867" s="452"/>
    </row>
    <row r="4868" spans="19:23" ht="15" customHeight="1" x14ac:dyDescent="0.45">
      <c r="S4868" s="452"/>
      <c r="T4868" s="452"/>
      <c r="U4868" s="452"/>
      <c r="V4868" s="452"/>
      <c r="W4868" s="452"/>
    </row>
    <row r="4869" spans="19:23" ht="15" customHeight="1" x14ac:dyDescent="0.45">
      <c r="S4869" s="452"/>
      <c r="T4869" s="452"/>
      <c r="U4869" s="452"/>
      <c r="V4869" s="452"/>
      <c r="W4869" s="452"/>
    </row>
    <row r="4870" spans="19:23" ht="15" customHeight="1" x14ac:dyDescent="0.45">
      <c r="S4870" s="452"/>
      <c r="T4870" s="452"/>
      <c r="U4870" s="452"/>
      <c r="V4870" s="452"/>
      <c r="W4870" s="452"/>
    </row>
    <row r="4871" spans="19:23" ht="15" customHeight="1" x14ac:dyDescent="0.45">
      <c r="S4871" s="452"/>
      <c r="T4871" s="452"/>
      <c r="U4871" s="452"/>
      <c r="V4871" s="452"/>
      <c r="W4871" s="452"/>
    </row>
    <row r="4872" spans="19:23" ht="15" customHeight="1" x14ac:dyDescent="0.45">
      <c r="S4872" s="452"/>
      <c r="T4872" s="452"/>
      <c r="U4872" s="452"/>
      <c r="V4872" s="452"/>
      <c r="W4872" s="452"/>
    </row>
    <row r="4873" spans="19:23" ht="15" customHeight="1" x14ac:dyDescent="0.45">
      <c r="S4873" s="452"/>
      <c r="T4873" s="452"/>
      <c r="U4873" s="452"/>
      <c r="V4873" s="452"/>
      <c r="W4873" s="452"/>
    </row>
    <row r="4874" spans="19:23" ht="15" customHeight="1" x14ac:dyDescent="0.45">
      <c r="S4874" s="452"/>
      <c r="T4874" s="452"/>
      <c r="U4874" s="452"/>
      <c r="V4874" s="452"/>
      <c r="W4874" s="452"/>
    </row>
    <row r="4875" spans="19:23" ht="15" customHeight="1" x14ac:dyDescent="0.45">
      <c r="S4875" s="452"/>
      <c r="T4875" s="452"/>
      <c r="U4875" s="452"/>
      <c r="V4875" s="452"/>
      <c r="W4875" s="452"/>
    </row>
    <row r="4876" spans="19:23" ht="15" customHeight="1" x14ac:dyDescent="0.45">
      <c r="S4876" s="452"/>
      <c r="T4876" s="452"/>
      <c r="U4876" s="452"/>
      <c r="V4876" s="452"/>
      <c r="W4876" s="452"/>
    </row>
    <row r="4877" spans="19:23" ht="15" customHeight="1" x14ac:dyDescent="0.45">
      <c r="S4877" s="452"/>
      <c r="T4877" s="452"/>
      <c r="U4877" s="452"/>
      <c r="V4877" s="452"/>
      <c r="W4877" s="452"/>
    </row>
    <row r="4878" spans="19:23" ht="15" customHeight="1" x14ac:dyDescent="0.45">
      <c r="S4878" s="452"/>
      <c r="T4878" s="452"/>
      <c r="U4878" s="452"/>
      <c r="V4878" s="452"/>
      <c r="W4878" s="452"/>
    </row>
    <row r="4879" spans="19:23" ht="15" customHeight="1" x14ac:dyDescent="0.45">
      <c r="S4879" s="452"/>
      <c r="T4879" s="452"/>
      <c r="U4879" s="452"/>
      <c r="V4879" s="452"/>
      <c r="W4879" s="452"/>
    </row>
    <row r="4880" spans="19:23" ht="15" customHeight="1" x14ac:dyDescent="0.45">
      <c r="S4880" s="452"/>
      <c r="T4880" s="452"/>
      <c r="U4880" s="452"/>
      <c r="V4880" s="452"/>
      <c r="W4880" s="452"/>
    </row>
    <row r="4881" spans="19:23" ht="15" customHeight="1" x14ac:dyDescent="0.45">
      <c r="S4881" s="452"/>
      <c r="T4881" s="452"/>
      <c r="U4881" s="452"/>
      <c r="V4881" s="452"/>
      <c r="W4881" s="452"/>
    </row>
    <row r="4882" spans="19:23" ht="15" customHeight="1" x14ac:dyDescent="0.45">
      <c r="S4882" s="452"/>
      <c r="T4882" s="452"/>
      <c r="U4882" s="452"/>
      <c r="V4882" s="452"/>
      <c r="W4882" s="452"/>
    </row>
    <row r="4883" spans="19:23" ht="15" customHeight="1" x14ac:dyDescent="0.45">
      <c r="S4883" s="452"/>
      <c r="T4883" s="452"/>
      <c r="U4883" s="452"/>
      <c r="V4883" s="452"/>
      <c r="W4883" s="452"/>
    </row>
    <row r="4884" spans="19:23" ht="15" customHeight="1" x14ac:dyDescent="0.45">
      <c r="S4884" s="452"/>
      <c r="T4884" s="452"/>
      <c r="U4884" s="452"/>
      <c r="V4884" s="452"/>
      <c r="W4884" s="452"/>
    </row>
    <row r="4885" spans="19:23" ht="15" customHeight="1" x14ac:dyDescent="0.45">
      <c r="S4885" s="452"/>
      <c r="T4885" s="452"/>
      <c r="U4885" s="452"/>
      <c r="V4885" s="452"/>
      <c r="W4885" s="452"/>
    </row>
    <row r="4886" spans="19:23" ht="15" customHeight="1" x14ac:dyDescent="0.45">
      <c r="S4886" s="452"/>
      <c r="T4886" s="452"/>
      <c r="U4886" s="452"/>
      <c r="V4886" s="452"/>
      <c r="W4886" s="452"/>
    </row>
    <row r="4887" spans="19:23" ht="15" customHeight="1" x14ac:dyDescent="0.45">
      <c r="S4887" s="452"/>
      <c r="T4887" s="452"/>
      <c r="U4887" s="452"/>
      <c r="V4887" s="452"/>
      <c r="W4887" s="452"/>
    </row>
    <row r="4888" spans="19:23" ht="15" customHeight="1" x14ac:dyDescent="0.45">
      <c r="S4888" s="452"/>
      <c r="T4888" s="452"/>
      <c r="U4888" s="452"/>
      <c r="V4888" s="452"/>
      <c r="W4888" s="452"/>
    </row>
    <row r="4889" spans="19:23" ht="15" customHeight="1" x14ac:dyDescent="0.45">
      <c r="S4889" s="452"/>
      <c r="T4889" s="452"/>
      <c r="U4889" s="452"/>
      <c r="V4889" s="452"/>
      <c r="W4889" s="452"/>
    </row>
    <row r="4890" spans="19:23" ht="15" customHeight="1" x14ac:dyDescent="0.45">
      <c r="S4890" s="452"/>
      <c r="T4890" s="452"/>
      <c r="U4890" s="452"/>
      <c r="V4890" s="452"/>
      <c r="W4890" s="452"/>
    </row>
    <row r="4891" spans="19:23" ht="15" customHeight="1" x14ac:dyDescent="0.45">
      <c r="S4891" s="452"/>
      <c r="T4891" s="452"/>
      <c r="U4891" s="452"/>
      <c r="V4891" s="452"/>
      <c r="W4891" s="452"/>
    </row>
    <row r="4892" spans="19:23" ht="15" customHeight="1" x14ac:dyDescent="0.45">
      <c r="S4892" s="452"/>
      <c r="T4892" s="452"/>
      <c r="U4892" s="452"/>
      <c r="V4892" s="452"/>
      <c r="W4892" s="452"/>
    </row>
    <row r="4893" spans="19:23" ht="15" customHeight="1" x14ac:dyDescent="0.45">
      <c r="S4893" s="452"/>
      <c r="T4893" s="452"/>
      <c r="U4893" s="452"/>
      <c r="V4893" s="452"/>
      <c r="W4893" s="452"/>
    </row>
    <row r="4894" spans="19:23" ht="15" customHeight="1" x14ac:dyDescent="0.45">
      <c r="S4894" s="452"/>
      <c r="T4894" s="452"/>
      <c r="U4894" s="452"/>
      <c r="V4894" s="452"/>
      <c r="W4894" s="452"/>
    </row>
    <row r="4895" spans="19:23" ht="15" customHeight="1" x14ac:dyDescent="0.45">
      <c r="S4895" s="452"/>
      <c r="T4895" s="452"/>
      <c r="U4895" s="452"/>
      <c r="V4895" s="452"/>
      <c r="W4895" s="452"/>
    </row>
    <row r="4896" spans="19:23" ht="15" customHeight="1" x14ac:dyDescent="0.45">
      <c r="S4896" s="452"/>
      <c r="T4896" s="452"/>
      <c r="U4896" s="452"/>
      <c r="V4896" s="452"/>
      <c r="W4896" s="452"/>
    </row>
    <row r="4897" spans="19:23" ht="15" customHeight="1" x14ac:dyDescent="0.45">
      <c r="S4897" s="452"/>
      <c r="T4897" s="452"/>
      <c r="U4897" s="452"/>
      <c r="V4897" s="452"/>
      <c r="W4897" s="452"/>
    </row>
    <row r="4898" spans="19:23" ht="15" customHeight="1" x14ac:dyDescent="0.45">
      <c r="S4898" s="452"/>
      <c r="T4898" s="452"/>
      <c r="U4898" s="452"/>
      <c r="V4898" s="452"/>
      <c r="W4898" s="452"/>
    </row>
    <row r="4899" spans="19:23" ht="15" customHeight="1" x14ac:dyDescent="0.45">
      <c r="S4899" s="452"/>
      <c r="T4899" s="452"/>
      <c r="U4899" s="452"/>
      <c r="V4899" s="452"/>
      <c r="W4899" s="452"/>
    </row>
    <row r="4900" spans="19:23" ht="15" customHeight="1" x14ac:dyDescent="0.45">
      <c r="S4900" s="452"/>
      <c r="T4900" s="452"/>
      <c r="U4900" s="452"/>
      <c r="V4900" s="452"/>
      <c r="W4900" s="452"/>
    </row>
    <row r="4901" spans="19:23" ht="15" customHeight="1" x14ac:dyDescent="0.45">
      <c r="S4901" s="452"/>
      <c r="T4901" s="452"/>
      <c r="U4901" s="452"/>
      <c r="V4901" s="452"/>
      <c r="W4901" s="452"/>
    </row>
    <row r="4902" spans="19:23" ht="15" customHeight="1" x14ac:dyDescent="0.45">
      <c r="S4902" s="452"/>
      <c r="T4902" s="452"/>
      <c r="U4902" s="452"/>
      <c r="V4902" s="452"/>
      <c r="W4902" s="452"/>
    </row>
    <row r="4903" spans="19:23" ht="15" customHeight="1" x14ac:dyDescent="0.45">
      <c r="S4903" s="452"/>
      <c r="T4903" s="452"/>
      <c r="U4903" s="452"/>
      <c r="V4903" s="452"/>
      <c r="W4903" s="452"/>
    </row>
    <row r="4904" spans="19:23" ht="15" customHeight="1" x14ac:dyDescent="0.45">
      <c r="S4904" s="452"/>
      <c r="T4904" s="452"/>
      <c r="U4904" s="452"/>
      <c r="V4904" s="452"/>
      <c r="W4904" s="452"/>
    </row>
    <row r="4905" spans="19:23" ht="15" customHeight="1" x14ac:dyDescent="0.45">
      <c r="S4905" s="452"/>
      <c r="T4905" s="452"/>
      <c r="U4905" s="452"/>
      <c r="V4905" s="452"/>
      <c r="W4905" s="452"/>
    </row>
    <row r="4906" spans="19:23" ht="15" customHeight="1" x14ac:dyDescent="0.45">
      <c r="S4906" s="452"/>
      <c r="T4906" s="452"/>
      <c r="U4906" s="452"/>
      <c r="V4906" s="452"/>
      <c r="W4906" s="452"/>
    </row>
    <row r="4907" spans="19:23" ht="15" customHeight="1" x14ac:dyDescent="0.45">
      <c r="S4907" s="452"/>
      <c r="T4907" s="452"/>
      <c r="U4907" s="452"/>
      <c r="V4907" s="452"/>
      <c r="W4907" s="452"/>
    </row>
    <row r="4908" spans="19:23" ht="15" customHeight="1" x14ac:dyDescent="0.45">
      <c r="S4908" s="452"/>
      <c r="T4908" s="452"/>
      <c r="U4908" s="452"/>
      <c r="V4908" s="452"/>
      <c r="W4908" s="452"/>
    </row>
    <row r="4909" spans="19:23" ht="15" customHeight="1" x14ac:dyDescent="0.45">
      <c r="S4909" s="452"/>
      <c r="T4909" s="452"/>
      <c r="U4909" s="452"/>
      <c r="V4909" s="452"/>
      <c r="W4909" s="452"/>
    </row>
    <row r="4910" spans="19:23" ht="15" customHeight="1" x14ac:dyDescent="0.45">
      <c r="S4910" s="452"/>
      <c r="T4910" s="452"/>
      <c r="U4910" s="452"/>
      <c r="V4910" s="452"/>
      <c r="W4910" s="452"/>
    </row>
    <row r="4911" spans="19:23" ht="15" customHeight="1" x14ac:dyDescent="0.45">
      <c r="S4911" s="452"/>
      <c r="T4911" s="452"/>
      <c r="U4911" s="452"/>
      <c r="V4911" s="452"/>
      <c r="W4911" s="452"/>
    </row>
    <row r="4912" spans="19:23" ht="15" customHeight="1" x14ac:dyDescent="0.45">
      <c r="S4912" s="452"/>
      <c r="T4912" s="452"/>
      <c r="U4912" s="452"/>
      <c r="V4912" s="452"/>
      <c r="W4912" s="452"/>
    </row>
    <row r="4913" spans="19:23" ht="15" customHeight="1" x14ac:dyDescent="0.45">
      <c r="S4913" s="452"/>
      <c r="T4913" s="452"/>
      <c r="U4913" s="452"/>
      <c r="V4913" s="452"/>
      <c r="W4913" s="452"/>
    </row>
    <row r="4914" spans="19:23" ht="15" customHeight="1" x14ac:dyDescent="0.45">
      <c r="S4914" s="452"/>
      <c r="T4914" s="452"/>
      <c r="U4914" s="452"/>
      <c r="V4914" s="452"/>
      <c r="W4914" s="452"/>
    </row>
    <row r="4915" spans="19:23" ht="15" customHeight="1" x14ac:dyDescent="0.45">
      <c r="S4915" s="452"/>
      <c r="T4915" s="452"/>
      <c r="U4915" s="452"/>
      <c r="V4915" s="452"/>
      <c r="W4915" s="452"/>
    </row>
    <row r="4916" spans="19:23" ht="15" customHeight="1" x14ac:dyDescent="0.45">
      <c r="S4916" s="452"/>
      <c r="T4916" s="452"/>
      <c r="U4916" s="452"/>
      <c r="V4916" s="452"/>
      <c r="W4916" s="452"/>
    </row>
    <row r="4917" spans="19:23" ht="15" customHeight="1" x14ac:dyDescent="0.45">
      <c r="S4917" s="452"/>
      <c r="T4917" s="452"/>
      <c r="U4917" s="452"/>
      <c r="V4917" s="452"/>
      <c r="W4917" s="452"/>
    </row>
    <row r="4918" spans="19:23" ht="15" customHeight="1" x14ac:dyDescent="0.45">
      <c r="S4918" s="452"/>
      <c r="T4918" s="452"/>
      <c r="U4918" s="452"/>
      <c r="V4918" s="452"/>
      <c r="W4918" s="452"/>
    </row>
    <row r="4919" spans="19:23" ht="15" customHeight="1" x14ac:dyDescent="0.45">
      <c r="S4919" s="452"/>
      <c r="T4919" s="452"/>
      <c r="U4919" s="452"/>
      <c r="V4919" s="452"/>
      <c r="W4919" s="452"/>
    </row>
    <row r="4920" spans="19:23" ht="15" customHeight="1" x14ac:dyDescent="0.45">
      <c r="S4920" s="452"/>
      <c r="T4920" s="452"/>
      <c r="U4920" s="452"/>
      <c r="V4920" s="452"/>
      <c r="W4920" s="452"/>
    </row>
    <row r="4921" spans="19:23" ht="15" customHeight="1" x14ac:dyDescent="0.45">
      <c r="S4921" s="452"/>
      <c r="T4921" s="452"/>
      <c r="U4921" s="452"/>
      <c r="V4921" s="452"/>
      <c r="W4921" s="452"/>
    </row>
    <row r="4922" spans="19:23" ht="15" customHeight="1" x14ac:dyDescent="0.45">
      <c r="S4922" s="452"/>
      <c r="T4922" s="452"/>
      <c r="U4922" s="452"/>
      <c r="V4922" s="452"/>
      <c r="W4922" s="452"/>
    </row>
    <row r="4923" spans="19:23" ht="15" customHeight="1" x14ac:dyDescent="0.45">
      <c r="S4923" s="452"/>
      <c r="T4923" s="452"/>
      <c r="U4923" s="452"/>
      <c r="V4923" s="452"/>
      <c r="W4923" s="452"/>
    </row>
    <row r="4924" spans="19:23" ht="15" customHeight="1" x14ac:dyDescent="0.45">
      <c r="S4924" s="452"/>
      <c r="T4924" s="452"/>
      <c r="U4924" s="452"/>
      <c r="V4924" s="452"/>
      <c r="W4924" s="452"/>
    </row>
    <row r="4925" spans="19:23" ht="15" customHeight="1" x14ac:dyDescent="0.45">
      <c r="S4925" s="452"/>
      <c r="T4925" s="452"/>
      <c r="U4925" s="452"/>
      <c r="V4925" s="452"/>
      <c r="W4925" s="452"/>
    </row>
    <row r="4926" spans="19:23" ht="15" customHeight="1" x14ac:dyDescent="0.45">
      <c r="S4926" s="452"/>
      <c r="T4926" s="452"/>
      <c r="U4926" s="452"/>
      <c r="V4926" s="452"/>
      <c r="W4926" s="452"/>
    </row>
    <row r="4927" spans="19:23" ht="15" customHeight="1" x14ac:dyDescent="0.45">
      <c r="S4927" s="452"/>
      <c r="T4927" s="452"/>
      <c r="U4927" s="452"/>
      <c r="V4927" s="452"/>
      <c r="W4927" s="452"/>
    </row>
    <row r="4928" spans="19:23" ht="15" customHeight="1" x14ac:dyDescent="0.45">
      <c r="S4928" s="452"/>
      <c r="T4928" s="452"/>
      <c r="U4928" s="452"/>
      <c r="V4928" s="452"/>
      <c r="W4928" s="452"/>
    </row>
    <row r="4929" spans="19:23" ht="15" customHeight="1" x14ac:dyDescent="0.45">
      <c r="S4929" s="452"/>
      <c r="T4929" s="452"/>
      <c r="U4929" s="452"/>
      <c r="V4929" s="452"/>
      <c r="W4929" s="452"/>
    </row>
    <row r="4930" spans="19:23" ht="15" customHeight="1" x14ac:dyDescent="0.45">
      <c r="S4930" s="452"/>
      <c r="T4930" s="452"/>
      <c r="U4930" s="452"/>
      <c r="V4930" s="452"/>
      <c r="W4930" s="452"/>
    </row>
    <row r="4931" spans="19:23" ht="15" customHeight="1" x14ac:dyDescent="0.45">
      <c r="S4931" s="452"/>
      <c r="T4931" s="452"/>
      <c r="U4931" s="452"/>
      <c r="V4931" s="452"/>
      <c r="W4931" s="452"/>
    </row>
    <row r="4932" spans="19:23" ht="15" customHeight="1" x14ac:dyDescent="0.45">
      <c r="S4932" s="452"/>
      <c r="T4932" s="452"/>
      <c r="U4932" s="452"/>
      <c r="V4932" s="452"/>
      <c r="W4932" s="452"/>
    </row>
    <row r="4933" spans="19:23" ht="15" customHeight="1" x14ac:dyDescent="0.45">
      <c r="S4933" s="452"/>
      <c r="T4933" s="452"/>
      <c r="U4933" s="452"/>
      <c r="V4933" s="452"/>
      <c r="W4933" s="452"/>
    </row>
    <row r="4934" spans="19:23" ht="15" customHeight="1" x14ac:dyDescent="0.45">
      <c r="S4934" s="452"/>
      <c r="T4934" s="452"/>
      <c r="U4934" s="452"/>
      <c r="V4934" s="452"/>
      <c r="W4934" s="452"/>
    </row>
    <row r="4935" spans="19:23" ht="15" customHeight="1" x14ac:dyDescent="0.45">
      <c r="S4935" s="452"/>
      <c r="T4935" s="452"/>
      <c r="U4935" s="452"/>
      <c r="V4935" s="452"/>
      <c r="W4935" s="452"/>
    </row>
    <row r="4936" spans="19:23" ht="15" customHeight="1" x14ac:dyDescent="0.45">
      <c r="S4936" s="452"/>
      <c r="T4936" s="452"/>
      <c r="U4936" s="452"/>
      <c r="V4936" s="452"/>
      <c r="W4936" s="452"/>
    </row>
    <row r="4937" spans="19:23" ht="15" customHeight="1" x14ac:dyDescent="0.45">
      <c r="S4937" s="452"/>
      <c r="T4937" s="452"/>
      <c r="U4937" s="452"/>
      <c r="V4937" s="452"/>
      <c r="W4937" s="452"/>
    </row>
    <row r="4938" spans="19:23" ht="15" customHeight="1" x14ac:dyDescent="0.45">
      <c r="S4938" s="452"/>
      <c r="T4938" s="452"/>
      <c r="U4938" s="452"/>
      <c r="V4938" s="452"/>
      <c r="W4938" s="452"/>
    </row>
    <row r="4939" spans="19:23" ht="15" customHeight="1" x14ac:dyDescent="0.45">
      <c r="S4939" s="452"/>
      <c r="T4939" s="452"/>
      <c r="U4939" s="452"/>
      <c r="V4939" s="452"/>
      <c r="W4939" s="452"/>
    </row>
    <row r="4940" spans="19:23" ht="15" customHeight="1" x14ac:dyDescent="0.45">
      <c r="S4940" s="452"/>
      <c r="T4940" s="452"/>
      <c r="U4940" s="452"/>
      <c r="V4940" s="452"/>
      <c r="W4940" s="452"/>
    </row>
    <row r="4941" spans="19:23" ht="15" customHeight="1" x14ac:dyDescent="0.45">
      <c r="S4941" s="452"/>
      <c r="T4941" s="452"/>
      <c r="U4941" s="452"/>
      <c r="V4941" s="452"/>
      <c r="W4941" s="452"/>
    </row>
    <row r="4942" spans="19:23" ht="15" customHeight="1" x14ac:dyDescent="0.45">
      <c r="S4942" s="452"/>
      <c r="T4942" s="452"/>
      <c r="U4942" s="452"/>
      <c r="V4942" s="452"/>
      <c r="W4942" s="452"/>
    </row>
    <row r="4943" spans="19:23" ht="15" customHeight="1" x14ac:dyDescent="0.45">
      <c r="S4943" s="452"/>
      <c r="T4943" s="452"/>
      <c r="U4943" s="452"/>
      <c r="V4943" s="452"/>
      <c r="W4943" s="452"/>
    </row>
    <row r="4944" spans="19:23" ht="15" customHeight="1" x14ac:dyDescent="0.45">
      <c r="S4944" s="452"/>
      <c r="T4944" s="452"/>
      <c r="U4944" s="452"/>
      <c r="V4944" s="452"/>
      <c r="W4944" s="452"/>
    </row>
    <row r="4945" spans="19:23" ht="15" customHeight="1" x14ac:dyDescent="0.45">
      <c r="S4945" s="452"/>
      <c r="T4945" s="452"/>
      <c r="U4945" s="452"/>
      <c r="V4945" s="452"/>
      <c r="W4945" s="452"/>
    </row>
    <row r="4946" spans="19:23" ht="15" customHeight="1" x14ac:dyDescent="0.45">
      <c r="S4946" s="452"/>
      <c r="T4946" s="452"/>
      <c r="U4946" s="452"/>
      <c r="V4946" s="452"/>
      <c r="W4946" s="452"/>
    </row>
    <row r="4947" spans="19:23" ht="15" customHeight="1" x14ac:dyDescent="0.45">
      <c r="S4947" s="452"/>
      <c r="T4947" s="452"/>
      <c r="U4947" s="452"/>
      <c r="V4947" s="452"/>
      <c r="W4947" s="452"/>
    </row>
    <row r="4948" spans="19:23" ht="15" customHeight="1" x14ac:dyDescent="0.45">
      <c r="S4948" s="452"/>
      <c r="T4948" s="452"/>
      <c r="U4948" s="452"/>
      <c r="V4948" s="452"/>
      <c r="W4948" s="452"/>
    </row>
    <row r="4949" spans="19:23" ht="15" customHeight="1" x14ac:dyDescent="0.45">
      <c r="S4949" s="452"/>
      <c r="T4949" s="452"/>
      <c r="U4949" s="452"/>
      <c r="V4949" s="452"/>
      <c r="W4949" s="452"/>
    </row>
    <row r="4950" spans="19:23" ht="15" customHeight="1" x14ac:dyDescent="0.45">
      <c r="S4950" s="452"/>
      <c r="T4950" s="452"/>
      <c r="U4950" s="452"/>
      <c r="V4950" s="452"/>
      <c r="W4950" s="452"/>
    </row>
    <row r="4951" spans="19:23" ht="15" customHeight="1" x14ac:dyDescent="0.45">
      <c r="S4951" s="452"/>
      <c r="T4951" s="452"/>
      <c r="U4951" s="452"/>
      <c r="V4951" s="452"/>
      <c r="W4951" s="452"/>
    </row>
    <row r="4952" spans="19:23" ht="15" customHeight="1" x14ac:dyDescent="0.45">
      <c r="S4952" s="452"/>
      <c r="T4952" s="452"/>
      <c r="U4952" s="452"/>
      <c r="V4952" s="452"/>
      <c r="W4952" s="452"/>
    </row>
    <row r="4953" spans="19:23" ht="15" customHeight="1" x14ac:dyDescent="0.45">
      <c r="S4953" s="452"/>
      <c r="T4953" s="452"/>
      <c r="U4953" s="452"/>
      <c r="V4953" s="452"/>
      <c r="W4953" s="452"/>
    </row>
    <row r="4954" spans="19:23" ht="15" customHeight="1" x14ac:dyDescent="0.45">
      <c r="S4954" s="452"/>
      <c r="T4954" s="452"/>
      <c r="U4954" s="452"/>
      <c r="V4954" s="452"/>
      <c r="W4954" s="452"/>
    </row>
    <row r="4955" spans="19:23" ht="15" customHeight="1" x14ac:dyDescent="0.45">
      <c r="S4955" s="452"/>
      <c r="T4955" s="452"/>
      <c r="U4955" s="452"/>
      <c r="V4955" s="452"/>
      <c r="W4955" s="452"/>
    </row>
    <row r="4956" spans="19:23" ht="15" customHeight="1" x14ac:dyDescent="0.45">
      <c r="S4956" s="452"/>
      <c r="T4956" s="452"/>
      <c r="U4956" s="452"/>
      <c r="V4956" s="452"/>
      <c r="W4956" s="452"/>
    </row>
    <row r="4957" spans="19:23" ht="15" customHeight="1" x14ac:dyDescent="0.45">
      <c r="S4957" s="452"/>
      <c r="T4957" s="452"/>
      <c r="U4957" s="452"/>
      <c r="V4957" s="452"/>
      <c r="W4957" s="452"/>
    </row>
    <row r="4958" spans="19:23" ht="15" customHeight="1" x14ac:dyDescent="0.45">
      <c r="S4958" s="452"/>
      <c r="T4958" s="452"/>
      <c r="U4958" s="452"/>
      <c r="V4958" s="452"/>
      <c r="W4958" s="452"/>
    </row>
    <row r="4959" spans="19:23" ht="15" customHeight="1" x14ac:dyDescent="0.45">
      <c r="S4959" s="452"/>
      <c r="T4959" s="452"/>
      <c r="U4959" s="452"/>
      <c r="V4959" s="452"/>
      <c r="W4959" s="452"/>
    </row>
    <row r="4960" spans="19:23" ht="15" customHeight="1" x14ac:dyDescent="0.45">
      <c r="S4960" s="452"/>
      <c r="T4960" s="452"/>
      <c r="U4960" s="452"/>
      <c r="V4960" s="452"/>
      <c r="W4960" s="452"/>
    </row>
    <row r="4961" spans="19:23" ht="15" customHeight="1" x14ac:dyDescent="0.45">
      <c r="S4961" s="452"/>
      <c r="T4961" s="452"/>
      <c r="U4961" s="452"/>
      <c r="V4961" s="452"/>
      <c r="W4961" s="452"/>
    </row>
    <row r="4962" spans="19:23" ht="15" customHeight="1" x14ac:dyDescent="0.45">
      <c r="S4962" s="452"/>
      <c r="T4962" s="452"/>
      <c r="U4962" s="452"/>
      <c r="V4962" s="452"/>
      <c r="W4962" s="452"/>
    </row>
    <row r="4963" spans="19:23" ht="15" customHeight="1" x14ac:dyDescent="0.45">
      <c r="S4963" s="452"/>
      <c r="T4963" s="452"/>
      <c r="U4963" s="452"/>
      <c r="V4963" s="452"/>
      <c r="W4963" s="452"/>
    </row>
    <row r="4964" spans="19:23" ht="15" customHeight="1" x14ac:dyDescent="0.45">
      <c r="S4964" s="452"/>
      <c r="T4964" s="452"/>
      <c r="U4964" s="452"/>
      <c r="V4964" s="452"/>
      <c r="W4964" s="452"/>
    </row>
    <row r="4965" spans="19:23" ht="15" customHeight="1" x14ac:dyDescent="0.45">
      <c r="S4965" s="452"/>
      <c r="T4965" s="452"/>
      <c r="U4965" s="452"/>
      <c r="V4965" s="452"/>
      <c r="W4965" s="452"/>
    </row>
    <row r="4966" spans="19:23" ht="15" customHeight="1" x14ac:dyDescent="0.45">
      <c r="S4966" s="452"/>
      <c r="T4966" s="452"/>
      <c r="U4966" s="452"/>
      <c r="V4966" s="452"/>
      <c r="W4966" s="452"/>
    </row>
    <row r="4967" spans="19:23" ht="15" customHeight="1" x14ac:dyDescent="0.45">
      <c r="S4967" s="452"/>
      <c r="T4967" s="452"/>
      <c r="U4967" s="452"/>
      <c r="V4967" s="452"/>
      <c r="W4967" s="452"/>
    </row>
    <row r="4968" spans="19:23" ht="15" customHeight="1" x14ac:dyDescent="0.45">
      <c r="S4968" s="452"/>
      <c r="T4968" s="452"/>
      <c r="U4968" s="452"/>
      <c r="V4968" s="452"/>
      <c r="W4968" s="452"/>
    </row>
    <row r="4969" spans="19:23" ht="15" customHeight="1" x14ac:dyDescent="0.45">
      <c r="S4969" s="452"/>
      <c r="T4969" s="452"/>
      <c r="U4969" s="452"/>
      <c r="V4969" s="452"/>
      <c r="W4969" s="452"/>
    </row>
    <row r="4970" spans="19:23" ht="15" customHeight="1" x14ac:dyDescent="0.45">
      <c r="S4970" s="452"/>
      <c r="T4970" s="452"/>
      <c r="U4970" s="452"/>
      <c r="V4970" s="452"/>
      <c r="W4970" s="452"/>
    </row>
    <row r="4971" spans="19:23" ht="15" customHeight="1" x14ac:dyDescent="0.45">
      <c r="S4971" s="452"/>
      <c r="T4971" s="452"/>
      <c r="U4971" s="452"/>
      <c r="V4971" s="452"/>
      <c r="W4971" s="452"/>
    </row>
    <row r="4972" spans="19:23" ht="15" customHeight="1" x14ac:dyDescent="0.45">
      <c r="S4972" s="452"/>
      <c r="T4972" s="452"/>
      <c r="U4972" s="452"/>
      <c r="V4972" s="452"/>
      <c r="W4972" s="452"/>
    </row>
    <row r="4973" spans="19:23" ht="15" customHeight="1" x14ac:dyDescent="0.45">
      <c r="S4973" s="452"/>
      <c r="T4973" s="452"/>
      <c r="U4973" s="452"/>
      <c r="V4973" s="452"/>
      <c r="W4973" s="452"/>
    </row>
    <row r="4974" spans="19:23" ht="15" customHeight="1" x14ac:dyDescent="0.45">
      <c r="S4974" s="452"/>
      <c r="T4974" s="452"/>
      <c r="U4974" s="452"/>
      <c r="V4974" s="452"/>
      <c r="W4974" s="452"/>
    </row>
    <row r="4975" spans="19:23" ht="15" customHeight="1" x14ac:dyDescent="0.45">
      <c r="S4975" s="452"/>
      <c r="T4975" s="452"/>
      <c r="U4975" s="452"/>
      <c r="V4975" s="452"/>
      <c r="W4975" s="452"/>
    </row>
    <row r="4976" spans="19:23" ht="15" customHeight="1" x14ac:dyDescent="0.45">
      <c r="S4976" s="452"/>
      <c r="T4976" s="452"/>
      <c r="U4976" s="452"/>
      <c r="V4976" s="452"/>
      <c r="W4976" s="452"/>
    </row>
    <row r="4977" spans="19:23" ht="15" customHeight="1" x14ac:dyDescent="0.45">
      <c r="S4977" s="452"/>
      <c r="T4977" s="452"/>
      <c r="U4977" s="452"/>
      <c r="V4977" s="452"/>
      <c r="W4977" s="452"/>
    </row>
    <row r="4978" spans="19:23" ht="15" customHeight="1" x14ac:dyDescent="0.45">
      <c r="S4978" s="452"/>
      <c r="T4978" s="452"/>
      <c r="U4978" s="452"/>
      <c r="V4978" s="452"/>
      <c r="W4978" s="452"/>
    </row>
    <row r="4979" spans="19:23" ht="15" customHeight="1" x14ac:dyDescent="0.45">
      <c r="S4979" s="452"/>
      <c r="T4979" s="452"/>
      <c r="U4979" s="452"/>
      <c r="V4979" s="452"/>
      <c r="W4979" s="452"/>
    </row>
    <row r="4980" spans="19:23" ht="15" customHeight="1" x14ac:dyDescent="0.45">
      <c r="S4980" s="452"/>
      <c r="T4980" s="452"/>
      <c r="U4980" s="452"/>
      <c r="V4980" s="452"/>
      <c r="W4980" s="452"/>
    </row>
    <row r="4981" spans="19:23" ht="15" customHeight="1" x14ac:dyDescent="0.45">
      <c r="S4981" s="452"/>
      <c r="T4981" s="452"/>
      <c r="U4981" s="452"/>
      <c r="V4981" s="452"/>
      <c r="W4981" s="452"/>
    </row>
    <row r="4982" spans="19:23" ht="15" customHeight="1" x14ac:dyDescent="0.45">
      <c r="S4982" s="452"/>
      <c r="T4982" s="452"/>
      <c r="U4982" s="452"/>
      <c r="V4982" s="452"/>
      <c r="W4982" s="452"/>
    </row>
    <row r="4983" spans="19:23" ht="15" customHeight="1" x14ac:dyDescent="0.45">
      <c r="S4983" s="452"/>
      <c r="T4983" s="452"/>
      <c r="U4983" s="452"/>
      <c r="V4983" s="452"/>
      <c r="W4983" s="452"/>
    </row>
    <row r="4984" spans="19:23" ht="15" customHeight="1" x14ac:dyDescent="0.45">
      <c r="S4984" s="452"/>
      <c r="T4984" s="452"/>
      <c r="U4984" s="452"/>
      <c r="V4984" s="452"/>
      <c r="W4984" s="452"/>
    </row>
    <row r="4985" spans="19:23" ht="15" customHeight="1" x14ac:dyDescent="0.45">
      <c r="S4985" s="452"/>
      <c r="T4985" s="452"/>
      <c r="U4985" s="452"/>
      <c r="V4985" s="452"/>
      <c r="W4985" s="452"/>
    </row>
    <row r="4986" spans="19:23" ht="15" customHeight="1" x14ac:dyDescent="0.45">
      <c r="S4986" s="452"/>
      <c r="T4986" s="452"/>
      <c r="U4986" s="452"/>
      <c r="V4986" s="452"/>
      <c r="W4986" s="452"/>
    </row>
    <row r="4987" spans="19:23" ht="15" customHeight="1" x14ac:dyDescent="0.45">
      <c r="S4987" s="452"/>
      <c r="T4987" s="452"/>
      <c r="U4987" s="452"/>
      <c r="V4987" s="452"/>
      <c r="W4987" s="452"/>
    </row>
    <row r="4988" spans="19:23" ht="15" customHeight="1" x14ac:dyDescent="0.45">
      <c r="S4988" s="452"/>
      <c r="T4988" s="452"/>
      <c r="U4988" s="452"/>
      <c r="V4988" s="452"/>
      <c r="W4988" s="452"/>
    </row>
    <row r="4989" spans="19:23" ht="15" customHeight="1" x14ac:dyDescent="0.45">
      <c r="S4989" s="452"/>
      <c r="T4989" s="452"/>
      <c r="U4989" s="452"/>
      <c r="V4989" s="452"/>
      <c r="W4989" s="452"/>
    </row>
    <row r="4990" spans="19:23" ht="15" customHeight="1" x14ac:dyDescent="0.45">
      <c r="S4990" s="452"/>
      <c r="T4990" s="452"/>
      <c r="U4990" s="452"/>
      <c r="V4990" s="452"/>
      <c r="W4990" s="452"/>
    </row>
    <row r="4991" spans="19:23" ht="15" customHeight="1" x14ac:dyDescent="0.45">
      <c r="S4991" s="452"/>
      <c r="T4991" s="452"/>
      <c r="U4991" s="452"/>
      <c r="V4991" s="452"/>
      <c r="W4991" s="452"/>
    </row>
    <row r="4992" spans="19:23" ht="15" customHeight="1" x14ac:dyDescent="0.45">
      <c r="S4992" s="452"/>
      <c r="T4992" s="452"/>
      <c r="U4992" s="452"/>
      <c r="V4992" s="452"/>
      <c r="W4992" s="452"/>
    </row>
    <row r="4993" spans="19:23" ht="15" customHeight="1" x14ac:dyDescent="0.45">
      <c r="S4993" s="452"/>
      <c r="T4993" s="452"/>
      <c r="U4993" s="452"/>
      <c r="V4993" s="452"/>
      <c r="W4993" s="452"/>
    </row>
    <row r="4994" spans="19:23" ht="15" customHeight="1" x14ac:dyDescent="0.45">
      <c r="S4994" s="452"/>
      <c r="T4994" s="452"/>
      <c r="U4994" s="452"/>
      <c r="V4994" s="452"/>
      <c r="W4994" s="452"/>
    </row>
    <row r="4995" spans="19:23" ht="15" customHeight="1" x14ac:dyDescent="0.45">
      <c r="S4995" s="452"/>
      <c r="T4995" s="452"/>
      <c r="U4995" s="452"/>
      <c r="V4995" s="452"/>
      <c r="W4995" s="452"/>
    </row>
    <row r="4996" spans="19:23" ht="15" customHeight="1" x14ac:dyDescent="0.45">
      <c r="S4996" s="452"/>
      <c r="T4996" s="452"/>
      <c r="U4996" s="452"/>
      <c r="V4996" s="452"/>
      <c r="W4996" s="452"/>
    </row>
    <row r="4997" spans="19:23" ht="15" customHeight="1" x14ac:dyDescent="0.45">
      <c r="S4997" s="452"/>
      <c r="T4997" s="452"/>
      <c r="U4997" s="452"/>
      <c r="V4997" s="452"/>
      <c r="W4997" s="452"/>
    </row>
    <row r="4998" spans="19:23" ht="15" customHeight="1" x14ac:dyDescent="0.45">
      <c r="S4998" s="452"/>
      <c r="T4998" s="452"/>
      <c r="U4998" s="452"/>
      <c r="V4998" s="452"/>
      <c r="W4998" s="452"/>
    </row>
    <row r="4999" spans="19:23" ht="15" customHeight="1" x14ac:dyDescent="0.45">
      <c r="S4999" s="452"/>
      <c r="T4999" s="452"/>
      <c r="U4999" s="452"/>
      <c r="V4999" s="452"/>
      <c r="W4999" s="452"/>
    </row>
    <row r="5000" spans="19:23" ht="15" customHeight="1" x14ac:dyDescent="0.45">
      <c r="S5000" s="452"/>
      <c r="T5000" s="452"/>
      <c r="U5000" s="452"/>
      <c r="V5000" s="452"/>
      <c r="W5000" s="452"/>
    </row>
    <row r="5001" spans="19:23" ht="15" customHeight="1" x14ac:dyDescent="0.45">
      <c r="S5001" s="452"/>
      <c r="T5001" s="452"/>
      <c r="U5001" s="452"/>
      <c r="V5001" s="452"/>
      <c r="W5001" s="452"/>
    </row>
    <row r="5002" spans="19:23" ht="15" customHeight="1" x14ac:dyDescent="0.45">
      <c r="S5002" s="452"/>
      <c r="T5002" s="452"/>
      <c r="U5002" s="452"/>
      <c r="V5002" s="452"/>
      <c r="W5002" s="452"/>
    </row>
    <row r="5003" spans="19:23" ht="15" customHeight="1" x14ac:dyDescent="0.45">
      <c r="S5003" s="452"/>
      <c r="T5003" s="452"/>
      <c r="U5003" s="452"/>
      <c r="V5003" s="452"/>
      <c r="W5003" s="452"/>
    </row>
    <row r="5004" spans="19:23" ht="15" customHeight="1" x14ac:dyDescent="0.45">
      <c r="S5004" s="452"/>
      <c r="T5004" s="452"/>
      <c r="U5004" s="452"/>
      <c r="V5004" s="452"/>
      <c r="W5004" s="452"/>
    </row>
    <row r="5005" spans="19:23" ht="15" customHeight="1" x14ac:dyDescent="0.45">
      <c r="S5005" s="452"/>
      <c r="T5005" s="452"/>
      <c r="U5005" s="452"/>
      <c r="V5005" s="452"/>
      <c r="W5005" s="452"/>
    </row>
    <row r="5006" spans="19:23" ht="15" customHeight="1" x14ac:dyDescent="0.45">
      <c r="S5006" s="452"/>
      <c r="T5006" s="452"/>
      <c r="U5006" s="452"/>
      <c r="V5006" s="452"/>
      <c r="W5006" s="452"/>
    </row>
    <row r="5007" spans="19:23" ht="15" customHeight="1" x14ac:dyDescent="0.45">
      <c r="S5007" s="452"/>
      <c r="T5007" s="452"/>
      <c r="U5007" s="452"/>
      <c r="V5007" s="452"/>
      <c r="W5007" s="452"/>
    </row>
    <row r="5008" spans="19:23" ht="15" customHeight="1" x14ac:dyDescent="0.45">
      <c r="S5008" s="452"/>
      <c r="T5008" s="452"/>
      <c r="U5008" s="452"/>
      <c r="V5008" s="452"/>
      <c r="W5008" s="452"/>
    </row>
    <row r="5009" spans="19:23" ht="15" customHeight="1" x14ac:dyDescent="0.45">
      <c r="S5009" s="452"/>
      <c r="T5009" s="452"/>
      <c r="U5009" s="452"/>
      <c r="V5009" s="452"/>
      <c r="W5009" s="452"/>
    </row>
    <row r="5010" spans="19:23" ht="15" customHeight="1" x14ac:dyDescent="0.45">
      <c r="S5010" s="452"/>
      <c r="T5010" s="452"/>
      <c r="U5010" s="452"/>
      <c r="V5010" s="452"/>
      <c r="W5010" s="452"/>
    </row>
    <row r="5011" spans="19:23" ht="15" customHeight="1" x14ac:dyDescent="0.45">
      <c r="S5011" s="452"/>
      <c r="T5011" s="452"/>
      <c r="U5011" s="452"/>
      <c r="V5011" s="452"/>
      <c r="W5011" s="452"/>
    </row>
    <row r="5012" spans="19:23" ht="15" customHeight="1" x14ac:dyDescent="0.45">
      <c r="S5012" s="452"/>
      <c r="T5012" s="452"/>
      <c r="U5012" s="452"/>
      <c r="V5012" s="452"/>
      <c r="W5012" s="452"/>
    </row>
    <row r="5013" spans="19:23" ht="15" customHeight="1" x14ac:dyDescent="0.45">
      <c r="S5013" s="452"/>
      <c r="T5013" s="452"/>
      <c r="U5013" s="452"/>
      <c r="V5013" s="452"/>
      <c r="W5013" s="452"/>
    </row>
    <row r="5014" spans="19:23" ht="15" customHeight="1" x14ac:dyDescent="0.45">
      <c r="S5014" s="452"/>
      <c r="T5014" s="452"/>
      <c r="U5014" s="452"/>
      <c r="V5014" s="452"/>
      <c r="W5014" s="452"/>
    </row>
    <row r="5015" spans="19:23" ht="15" customHeight="1" x14ac:dyDescent="0.45">
      <c r="S5015" s="452"/>
      <c r="T5015" s="452"/>
      <c r="U5015" s="452"/>
      <c r="V5015" s="452"/>
      <c r="W5015" s="452"/>
    </row>
    <row r="5016" spans="19:23" ht="15" customHeight="1" x14ac:dyDescent="0.45">
      <c r="S5016" s="452"/>
      <c r="T5016" s="452"/>
      <c r="U5016" s="452"/>
      <c r="V5016" s="452"/>
      <c r="W5016" s="452"/>
    </row>
    <row r="5017" spans="19:23" ht="15" customHeight="1" x14ac:dyDescent="0.45">
      <c r="S5017" s="452"/>
      <c r="T5017" s="452"/>
      <c r="U5017" s="452"/>
      <c r="V5017" s="452"/>
      <c r="W5017" s="452"/>
    </row>
    <row r="5018" spans="19:23" ht="15" customHeight="1" x14ac:dyDescent="0.45">
      <c r="S5018" s="452"/>
      <c r="T5018" s="452"/>
      <c r="U5018" s="452"/>
      <c r="V5018" s="452"/>
      <c r="W5018" s="452"/>
    </row>
    <row r="5019" spans="19:23" ht="15" customHeight="1" x14ac:dyDescent="0.45">
      <c r="S5019" s="452"/>
      <c r="T5019" s="452"/>
      <c r="U5019" s="452"/>
      <c r="V5019" s="452"/>
      <c r="W5019" s="452"/>
    </row>
    <row r="5020" spans="19:23" ht="15" customHeight="1" x14ac:dyDescent="0.45">
      <c r="S5020" s="452"/>
      <c r="T5020" s="452"/>
      <c r="U5020" s="452"/>
      <c r="V5020" s="452"/>
      <c r="W5020" s="452"/>
    </row>
    <row r="5021" spans="19:23" ht="15" customHeight="1" x14ac:dyDescent="0.45">
      <c r="S5021" s="452"/>
      <c r="T5021" s="452"/>
      <c r="U5021" s="452"/>
      <c r="V5021" s="452"/>
      <c r="W5021" s="452"/>
    </row>
    <row r="5022" spans="19:23" ht="15" customHeight="1" x14ac:dyDescent="0.45">
      <c r="S5022" s="452"/>
      <c r="T5022" s="452"/>
      <c r="U5022" s="452"/>
      <c r="V5022" s="452"/>
      <c r="W5022" s="452"/>
    </row>
    <row r="5023" spans="19:23" ht="15" customHeight="1" x14ac:dyDescent="0.45">
      <c r="S5023" s="452"/>
      <c r="T5023" s="452"/>
      <c r="U5023" s="452"/>
      <c r="V5023" s="452"/>
      <c r="W5023" s="452"/>
    </row>
    <row r="5024" spans="19:23" ht="15" customHeight="1" x14ac:dyDescent="0.45">
      <c r="S5024" s="452"/>
      <c r="T5024" s="452"/>
      <c r="U5024" s="452"/>
      <c r="V5024" s="452"/>
      <c r="W5024" s="452"/>
    </row>
    <row r="5025" spans="19:23" ht="15" customHeight="1" x14ac:dyDescent="0.45">
      <c r="S5025" s="452"/>
      <c r="T5025" s="452"/>
      <c r="U5025" s="452"/>
      <c r="V5025" s="452"/>
      <c r="W5025" s="452"/>
    </row>
    <row r="5026" spans="19:23" ht="15" customHeight="1" x14ac:dyDescent="0.45">
      <c r="S5026" s="452"/>
      <c r="T5026" s="452"/>
      <c r="U5026" s="452"/>
      <c r="V5026" s="452"/>
      <c r="W5026" s="452"/>
    </row>
    <row r="5027" spans="19:23" ht="15" customHeight="1" x14ac:dyDescent="0.45">
      <c r="S5027" s="452"/>
      <c r="T5027" s="452"/>
      <c r="U5027" s="452"/>
      <c r="V5027" s="452"/>
      <c r="W5027" s="452"/>
    </row>
    <row r="5028" spans="19:23" ht="15" customHeight="1" x14ac:dyDescent="0.45">
      <c r="S5028" s="452"/>
      <c r="T5028" s="452"/>
      <c r="U5028" s="452"/>
      <c r="V5028" s="452"/>
      <c r="W5028" s="452"/>
    </row>
    <row r="5029" spans="19:23" ht="15" customHeight="1" x14ac:dyDescent="0.45">
      <c r="S5029" s="452"/>
      <c r="T5029" s="452"/>
      <c r="U5029" s="452"/>
      <c r="V5029" s="452"/>
      <c r="W5029" s="452"/>
    </row>
    <row r="5030" spans="19:23" ht="15" customHeight="1" x14ac:dyDescent="0.45">
      <c r="S5030" s="452"/>
      <c r="T5030" s="452"/>
      <c r="U5030" s="452"/>
      <c r="V5030" s="452"/>
      <c r="W5030" s="452"/>
    </row>
    <row r="5031" spans="19:23" ht="15" customHeight="1" x14ac:dyDescent="0.45">
      <c r="S5031" s="452"/>
      <c r="T5031" s="452"/>
      <c r="U5031" s="452"/>
      <c r="V5031" s="452"/>
      <c r="W5031" s="452"/>
    </row>
    <row r="5032" spans="19:23" ht="15" customHeight="1" x14ac:dyDescent="0.45">
      <c r="S5032" s="452"/>
      <c r="T5032" s="452"/>
      <c r="U5032" s="452"/>
      <c r="V5032" s="452"/>
      <c r="W5032" s="452"/>
    </row>
    <row r="5033" spans="19:23" ht="15" customHeight="1" x14ac:dyDescent="0.45">
      <c r="S5033" s="452"/>
      <c r="T5033" s="452"/>
      <c r="U5033" s="452"/>
      <c r="V5033" s="452"/>
      <c r="W5033" s="452"/>
    </row>
    <row r="5034" spans="19:23" ht="15" customHeight="1" x14ac:dyDescent="0.45">
      <c r="S5034" s="452"/>
      <c r="T5034" s="452"/>
      <c r="U5034" s="452"/>
      <c r="V5034" s="452"/>
      <c r="W5034" s="452"/>
    </row>
    <row r="5035" spans="19:23" ht="15" customHeight="1" x14ac:dyDescent="0.45">
      <c r="S5035" s="452"/>
      <c r="T5035" s="452"/>
      <c r="U5035" s="452"/>
      <c r="V5035" s="452"/>
      <c r="W5035" s="452"/>
    </row>
    <row r="5036" spans="19:23" ht="15" customHeight="1" x14ac:dyDescent="0.45">
      <c r="S5036" s="452"/>
      <c r="T5036" s="452"/>
      <c r="U5036" s="452"/>
      <c r="V5036" s="452"/>
      <c r="W5036" s="452"/>
    </row>
    <row r="5037" spans="19:23" ht="15" customHeight="1" x14ac:dyDescent="0.45">
      <c r="S5037" s="452"/>
      <c r="T5037" s="452"/>
      <c r="U5037" s="452"/>
      <c r="V5037" s="452"/>
      <c r="W5037" s="452"/>
    </row>
    <row r="5038" spans="19:23" ht="15" customHeight="1" x14ac:dyDescent="0.45">
      <c r="S5038" s="452"/>
      <c r="T5038" s="452"/>
      <c r="U5038" s="452"/>
      <c r="V5038" s="452"/>
      <c r="W5038" s="452"/>
    </row>
    <row r="5039" spans="19:23" ht="15" customHeight="1" x14ac:dyDescent="0.45">
      <c r="S5039" s="452"/>
      <c r="T5039" s="452"/>
      <c r="U5039" s="452"/>
      <c r="V5039" s="452"/>
      <c r="W5039" s="452"/>
    </row>
    <row r="5040" spans="19:23" ht="15" customHeight="1" x14ac:dyDescent="0.45">
      <c r="S5040" s="452"/>
      <c r="T5040" s="452"/>
      <c r="U5040" s="452"/>
      <c r="V5040" s="452"/>
      <c r="W5040" s="452"/>
    </row>
    <row r="5041" spans="19:23" ht="15" customHeight="1" x14ac:dyDescent="0.45">
      <c r="S5041" s="452"/>
      <c r="T5041" s="452"/>
      <c r="U5041" s="452"/>
      <c r="V5041" s="452"/>
      <c r="W5041" s="452"/>
    </row>
    <row r="5042" spans="19:23" ht="15" customHeight="1" x14ac:dyDescent="0.45">
      <c r="S5042" s="452"/>
      <c r="T5042" s="452"/>
      <c r="U5042" s="452"/>
      <c r="V5042" s="452"/>
      <c r="W5042" s="452"/>
    </row>
    <row r="5043" spans="19:23" ht="15" customHeight="1" x14ac:dyDescent="0.45">
      <c r="S5043" s="452"/>
      <c r="T5043" s="452"/>
      <c r="U5043" s="452"/>
      <c r="V5043" s="452"/>
      <c r="W5043" s="452"/>
    </row>
    <row r="5044" spans="19:23" ht="15" customHeight="1" x14ac:dyDescent="0.45">
      <c r="S5044" s="452"/>
      <c r="T5044" s="452"/>
      <c r="U5044" s="452"/>
      <c r="V5044" s="452"/>
      <c r="W5044" s="452"/>
    </row>
    <row r="5045" spans="19:23" ht="15" customHeight="1" x14ac:dyDescent="0.45">
      <c r="S5045" s="452"/>
      <c r="T5045" s="452"/>
      <c r="U5045" s="452"/>
      <c r="V5045" s="452"/>
      <c r="W5045" s="452"/>
    </row>
    <row r="5046" spans="19:23" ht="15" customHeight="1" x14ac:dyDescent="0.45">
      <c r="S5046" s="452"/>
      <c r="T5046" s="452"/>
      <c r="U5046" s="452"/>
      <c r="V5046" s="452"/>
      <c r="W5046" s="452"/>
    </row>
    <row r="5047" spans="19:23" ht="15" customHeight="1" x14ac:dyDescent="0.45">
      <c r="S5047" s="452"/>
      <c r="T5047" s="452"/>
      <c r="U5047" s="452"/>
      <c r="V5047" s="452"/>
      <c r="W5047" s="452"/>
    </row>
    <row r="5048" spans="19:23" ht="15" customHeight="1" x14ac:dyDescent="0.45">
      <c r="S5048" s="452"/>
      <c r="T5048" s="452"/>
      <c r="U5048" s="452"/>
      <c r="V5048" s="452"/>
      <c r="W5048" s="452"/>
    </row>
    <row r="5049" spans="19:23" ht="15" customHeight="1" x14ac:dyDescent="0.45">
      <c r="S5049" s="452"/>
      <c r="T5049" s="452"/>
      <c r="U5049" s="452"/>
      <c r="V5049" s="452"/>
      <c r="W5049" s="452"/>
    </row>
    <row r="5050" spans="19:23" ht="15" customHeight="1" x14ac:dyDescent="0.45">
      <c r="S5050" s="452"/>
      <c r="T5050" s="452"/>
      <c r="U5050" s="452"/>
      <c r="V5050" s="452"/>
      <c r="W5050" s="452"/>
    </row>
    <row r="5051" spans="19:23" ht="15" customHeight="1" x14ac:dyDescent="0.45">
      <c r="S5051" s="452"/>
      <c r="T5051" s="452"/>
      <c r="U5051" s="452"/>
      <c r="V5051" s="452"/>
      <c r="W5051" s="452"/>
    </row>
    <row r="5052" spans="19:23" ht="15" customHeight="1" x14ac:dyDescent="0.45">
      <c r="S5052" s="452"/>
      <c r="T5052" s="452"/>
      <c r="U5052" s="452"/>
      <c r="V5052" s="452"/>
      <c r="W5052" s="452"/>
    </row>
    <row r="5053" spans="19:23" ht="15" customHeight="1" x14ac:dyDescent="0.45">
      <c r="S5053" s="452"/>
      <c r="T5053" s="452"/>
      <c r="U5053" s="452"/>
      <c r="V5053" s="452"/>
      <c r="W5053" s="452"/>
    </row>
    <row r="5054" spans="19:23" ht="15" customHeight="1" x14ac:dyDescent="0.45">
      <c r="S5054" s="452"/>
      <c r="T5054" s="452"/>
      <c r="U5054" s="452"/>
      <c r="V5054" s="452"/>
      <c r="W5054" s="452"/>
    </row>
    <row r="5055" spans="19:23" ht="15" customHeight="1" x14ac:dyDescent="0.45">
      <c r="S5055" s="452"/>
      <c r="T5055" s="452"/>
      <c r="U5055" s="452"/>
      <c r="V5055" s="452"/>
      <c r="W5055" s="452"/>
    </row>
    <row r="5056" spans="19:23" ht="15" customHeight="1" x14ac:dyDescent="0.45">
      <c r="S5056" s="452"/>
      <c r="T5056" s="452"/>
      <c r="U5056" s="452"/>
      <c r="V5056" s="452"/>
      <c r="W5056" s="452"/>
    </row>
    <row r="5057" spans="19:23" ht="15" customHeight="1" x14ac:dyDescent="0.45">
      <c r="S5057" s="452"/>
      <c r="T5057" s="452"/>
      <c r="U5057" s="452"/>
      <c r="V5057" s="452"/>
      <c r="W5057" s="452"/>
    </row>
    <row r="5058" spans="19:23" ht="15" customHeight="1" x14ac:dyDescent="0.45">
      <c r="S5058" s="452"/>
      <c r="T5058" s="452"/>
      <c r="U5058" s="452"/>
      <c r="V5058" s="452"/>
      <c r="W5058" s="452"/>
    </row>
    <row r="5059" spans="19:23" ht="15" customHeight="1" x14ac:dyDescent="0.45">
      <c r="S5059" s="452"/>
      <c r="T5059" s="452"/>
      <c r="U5059" s="452"/>
      <c r="V5059" s="452"/>
      <c r="W5059" s="452"/>
    </row>
    <row r="5060" spans="19:23" ht="15" customHeight="1" x14ac:dyDescent="0.45">
      <c r="S5060" s="452"/>
      <c r="T5060" s="452"/>
      <c r="U5060" s="452"/>
      <c r="V5060" s="452"/>
      <c r="W5060" s="452"/>
    </row>
    <row r="5061" spans="19:23" ht="15" customHeight="1" x14ac:dyDescent="0.45">
      <c r="S5061" s="452"/>
      <c r="T5061" s="452"/>
      <c r="U5061" s="452"/>
      <c r="V5061" s="452"/>
      <c r="W5061" s="452"/>
    </row>
    <row r="5062" spans="19:23" ht="15" customHeight="1" x14ac:dyDescent="0.45">
      <c r="S5062" s="452"/>
      <c r="T5062" s="452"/>
      <c r="U5062" s="452"/>
      <c r="V5062" s="452"/>
      <c r="W5062" s="452"/>
    </row>
    <row r="5063" spans="19:23" ht="15" customHeight="1" x14ac:dyDescent="0.45">
      <c r="S5063" s="452"/>
      <c r="T5063" s="452"/>
      <c r="U5063" s="452"/>
      <c r="V5063" s="452"/>
      <c r="W5063" s="452"/>
    </row>
    <row r="5064" spans="19:23" ht="15" customHeight="1" x14ac:dyDescent="0.45">
      <c r="S5064" s="452"/>
      <c r="T5064" s="452"/>
      <c r="U5064" s="452"/>
      <c r="V5064" s="452"/>
      <c r="W5064" s="452"/>
    </row>
    <row r="5065" spans="19:23" ht="15" customHeight="1" x14ac:dyDescent="0.45">
      <c r="S5065" s="452"/>
      <c r="T5065" s="452"/>
      <c r="U5065" s="452"/>
      <c r="V5065" s="452"/>
      <c r="W5065" s="452"/>
    </row>
    <row r="5066" spans="19:23" ht="15" customHeight="1" x14ac:dyDescent="0.45">
      <c r="S5066" s="452"/>
      <c r="T5066" s="452"/>
      <c r="U5066" s="452"/>
      <c r="V5066" s="452"/>
      <c r="W5066" s="452"/>
    </row>
    <row r="5067" spans="19:23" ht="15" customHeight="1" x14ac:dyDescent="0.45">
      <c r="S5067" s="452"/>
      <c r="T5067" s="452"/>
      <c r="U5067" s="452"/>
      <c r="V5067" s="452"/>
      <c r="W5067" s="452"/>
    </row>
    <row r="5068" spans="19:23" ht="15" customHeight="1" x14ac:dyDescent="0.45">
      <c r="S5068" s="452"/>
      <c r="T5068" s="452"/>
      <c r="U5068" s="452"/>
      <c r="V5068" s="452"/>
      <c r="W5068" s="452"/>
    </row>
    <row r="5069" spans="19:23" ht="15" customHeight="1" x14ac:dyDescent="0.45">
      <c r="S5069" s="452"/>
      <c r="T5069" s="452"/>
      <c r="U5069" s="452"/>
      <c r="V5069" s="452"/>
      <c r="W5069" s="452"/>
    </row>
    <row r="5070" spans="19:23" ht="15" customHeight="1" x14ac:dyDescent="0.45">
      <c r="S5070" s="452"/>
      <c r="T5070" s="452"/>
      <c r="U5070" s="452"/>
      <c r="V5070" s="452"/>
      <c r="W5070" s="452"/>
    </row>
    <row r="5071" spans="19:23" ht="15" customHeight="1" x14ac:dyDescent="0.45">
      <c r="S5071" s="452"/>
      <c r="T5071" s="452"/>
      <c r="U5071" s="452"/>
      <c r="V5071" s="452"/>
      <c r="W5071" s="452"/>
    </row>
    <row r="5072" spans="19:23" ht="15" customHeight="1" x14ac:dyDescent="0.45">
      <c r="S5072" s="452"/>
      <c r="T5072" s="452"/>
      <c r="U5072" s="452"/>
      <c r="V5072" s="452"/>
      <c r="W5072" s="452"/>
    </row>
    <row r="5073" spans="19:23" ht="15" customHeight="1" x14ac:dyDescent="0.45">
      <c r="S5073" s="452"/>
      <c r="T5073" s="452"/>
      <c r="U5073" s="452"/>
      <c r="V5073" s="452"/>
      <c r="W5073" s="452"/>
    </row>
    <row r="5074" spans="19:23" ht="15" customHeight="1" x14ac:dyDescent="0.45">
      <c r="S5074" s="452"/>
      <c r="T5074" s="452"/>
      <c r="U5074" s="452"/>
      <c r="V5074" s="452"/>
      <c r="W5074" s="452"/>
    </row>
    <row r="5075" spans="19:23" ht="15" customHeight="1" x14ac:dyDescent="0.45">
      <c r="S5075" s="452"/>
      <c r="T5075" s="452"/>
      <c r="U5075" s="452"/>
      <c r="V5075" s="452"/>
      <c r="W5075" s="452"/>
    </row>
    <row r="5076" spans="19:23" ht="15" customHeight="1" x14ac:dyDescent="0.45">
      <c r="S5076" s="452"/>
      <c r="T5076" s="452"/>
      <c r="U5076" s="452"/>
      <c r="V5076" s="452"/>
      <c r="W5076" s="452"/>
    </row>
    <row r="5077" spans="19:23" ht="15" customHeight="1" x14ac:dyDescent="0.45">
      <c r="S5077" s="452"/>
      <c r="T5077" s="452"/>
      <c r="U5077" s="452"/>
      <c r="V5077" s="452"/>
      <c r="W5077" s="452"/>
    </row>
    <row r="5078" spans="19:23" ht="15" customHeight="1" x14ac:dyDescent="0.45">
      <c r="S5078" s="452"/>
      <c r="T5078" s="452"/>
      <c r="U5078" s="452"/>
      <c r="V5078" s="452"/>
      <c r="W5078" s="452"/>
    </row>
    <row r="5079" spans="19:23" ht="15" customHeight="1" x14ac:dyDescent="0.45">
      <c r="S5079" s="452"/>
      <c r="T5079" s="452"/>
      <c r="U5079" s="452"/>
      <c r="V5079" s="452"/>
      <c r="W5079" s="452"/>
    </row>
    <row r="5080" spans="19:23" ht="15" customHeight="1" x14ac:dyDescent="0.45">
      <c r="S5080" s="452"/>
      <c r="T5080" s="452"/>
      <c r="U5080" s="452"/>
      <c r="V5080" s="452"/>
      <c r="W5080" s="452"/>
    </row>
    <row r="5081" spans="19:23" ht="15" customHeight="1" x14ac:dyDescent="0.45">
      <c r="S5081" s="452"/>
      <c r="T5081" s="452"/>
      <c r="U5081" s="452"/>
      <c r="V5081" s="452"/>
      <c r="W5081" s="452"/>
    </row>
    <row r="5082" spans="19:23" ht="15" customHeight="1" x14ac:dyDescent="0.45">
      <c r="S5082" s="452"/>
      <c r="T5082" s="452"/>
      <c r="U5082" s="452"/>
      <c r="V5082" s="452"/>
      <c r="W5082" s="452"/>
    </row>
    <row r="5083" spans="19:23" ht="15" customHeight="1" x14ac:dyDescent="0.45">
      <c r="S5083" s="452"/>
      <c r="T5083" s="452"/>
      <c r="U5083" s="452"/>
      <c r="V5083" s="452"/>
      <c r="W5083" s="452"/>
    </row>
    <row r="5084" spans="19:23" ht="15" customHeight="1" x14ac:dyDescent="0.45">
      <c r="S5084" s="452"/>
      <c r="T5084" s="452"/>
      <c r="U5084" s="452"/>
      <c r="V5084" s="452"/>
      <c r="W5084" s="452"/>
    </row>
    <row r="5085" spans="19:23" ht="15" customHeight="1" x14ac:dyDescent="0.45">
      <c r="S5085" s="452"/>
      <c r="T5085" s="452"/>
      <c r="U5085" s="452"/>
      <c r="V5085" s="452"/>
      <c r="W5085" s="452"/>
    </row>
    <row r="5086" spans="19:23" ht="15" customHeight="1" x14ac:dyDescent="0.45">
      <c r="S5086" s="452"/>
      <c r="T5086" s="452"/>
      <c r="U5086" s="452"/>
      <c r="V5086" s="452"/>
      <c r="W5086" s="452"/>
    </row>
    <row r="5087" spans="19:23" ht="15" customHeight="1" x14ac:dyDescent="0.45">
      <c r="S5087" s="452"/>
      <c r="T5087" s="452"/>
      <c r="U5087" s="452"/>
      <c r="V5087" s="452"/>
      <c r="W5087" s="452"/>
    </row>
    <row r="5088" spans="19:23" ht="15" customHeight="1" x14ac:dyDescent="0.45">
      <c r="S5088" s="452"/>
      <c r="T5088" s="452"/>
      <c r="U5088" s="452"/>
      <c r="V5088" s="452"/>
      <c r="W5088" s="452"/>
    </row>
    <row r="5089" spans="19:23" ht="15" customHeight="1" x14ac:dyDescent="0.45">
      <c r="S5089" s="452"/>
      <c r="T5089" s="452"/>
      <c r="U5089" s="452"/>
      <c r="V5089" s="452"/>
      <c r="W5089" s="452"/>
    </row>
    <row r="5090" spans="19:23" ht="15" customHeight="1" x14ac:dyDescent="0.45">
      <c r="S5090" s="452"/>
      <c r="T5090" s="452"/>
      <c r="U5090" s="452"/>
      <c r="V5090" s="452"/>
      <c r="W5090" s="452"/>
    </row>
    <row r="5091" spans="19:23" ht="15" customHeight="1" x14ac:dyDescent="0.45">
      <c r="S5091" s="452"/>
      <c r="T5091" s="452"/>
      <c r="U5091" s="452"/>
      <c r="V5091" s="452"/>
      <c r="W5091" s="452"/>
    </row>
    <row r="5092" spans="19:23" ht="15" customHeight="1" x14ac:dyDescent="0.45">
      <c r="S5092" s="452"/>
      <c r="T5092" s="452"/>
      <c r="U5092" s="452"/>
      <c r="V5092" s="452"/>
      <c r="W5092" s="452"/>
    </row>
    <row r="5093" spans="19:23" ht="15" customHeight="1" x14ac:dyDescent="0.45">
      <c r="S5093" s="452"/>
      <c r="T5093" s="452"/>
      <c r="U5093" s="452"/>
      <c r="V5093" s="452"/>
      <c r="W5093" s="452"/>
    </row>
    <row r="5094" spans="19:23" ht="15" customHeight="1" x14ac:dyDescent="0.45">
      <c r="S5094" s="452"/>
      <c r="T5094" s="452"/>
      <c r="U5094" s="452"/>
      <c r="V5094" s="452"/>
      <c r="W5094" s="452"/>
    </row>
    <row r="5095" spans="19:23" ht="15" customHeight="1" x14ac:dyDescent="0.45">
      <c r="S5095" s="452"/>
      <c r="T5095" s="452"/>
      <c r="U5095" s="452"/>
      <c r="V5095" s="452"/>
      <c r="W5095" s="452"/>
    </row>
    <row r="5096" spans="19:23" ht="15" customHeight="1" x14ac:dyDescent="0.45">
      <c r="S5096" s="452"/>
      <c r="T5096" s="452"/>
      <c r="U5096" s="452"/>
      <c r="V5096" s="452"/>
      <c r="W5096" s="452"/>
    </row>
    <row r="5097" spans="19:23" ht="15" customHeight="1" x14ac:dyDescent="0.45">
      <c r="S5097" s="452"/>
      <c r="T5097" s="452"/>
      <c r="U5097" s="452"/>
      <c r="V5097" s="452"/>
      <c r="W5097" s="452"/>
    </row>
    <row r="5098" spans="19:23" ht="15" customHeight="1" x14ac:dyDescent="0.45">
      <c r="S5098" s="452"/>
      <c r="T5098" s="452"/>
      <c r="U5098" s="452"/>
      <c r="V5098" s="452"/>
      <c r="W5098" s="452"/>
    </row>
    <row r="5099" spans="19:23" ht="15" customHeight="1" x14ac:dyDescent="0.45">
      <c r="S5099" s="452"/>
      <c r="T5099" s="452"/>
      <c r="U5099" s="452"/>
      <c r="V5099" s="452"/>
      <c r="W5099" s="452"/>
    </row>
    <row r="5100" spans="19:23" ht="15" customHeight="1" x14ac:dyDescent="0.45">
      <c r="S5100" s="452"/>
      <c r="T5100" s="452"/>
      <c r="U5100" s="452"/>
      <c r="V5100" s="452"/>
      <c r="W5100" s="452"/>
    </row>
    <row r="5101" spans="19:23" ht="15" customHeight="1" x14ac:dyDescent="0.45">
      <c r="S5101" s="452"/>
      <c r="T5101" s="452"/>
      <c r="U5101" s="452"/>
      <c r="V5101" s="452"/>
      <c r="W5101" s="452"/>
    </row>
    <row r="5102" spans="19:23" ht="15" customHeight="1" x14ac:dyDescent="0.45">
      <c r="S5102" s="452"/>
      <c r="T5102" s="452"/>
      <c r="U5102" s="452"/>
      <c r="V5102" s="452"/>
      <c r="W5102" s="452"/>
    </row>
    <row r="5103" spans="19:23" ht="15" customHeight="1" x14ac:dyDescent="0.45">
      <c r="S5103" s="452"/>
      <c r="T5103" s="452"/>
      <c r="U5103" s="452"/>
      <c r="V5103" s="452"/>
      <c r="W5103" s="452"/>
    </row>
    <row r="5104" spans="19:23" ht="15" customHeight="1" x14ac:dyDescent="0.45">
      <c r="S5104" s="452"/>
      <c r="T5104" s="452"/>
      <c r="U5104" s="452"/>
      <c r="V5104" s="452"/>
      <c r="W5104" s="452"/>
    </row>
    <row r="5105" spans="19:23" ht="15" customHeight="1" x14ac:dyDescent="0.45">
      <c r="S5105" s="452"/>
      <c r="T5105" s="452"/>
      <c r="U5105" s="452"/>
      <c r="V5105" s="452"/>
      <c r="W5105" s="452"/>
    </row>
    <row r="5106" spans="19:23" ht="15" customHeight="1" x14ac:dyDescent="0.45">
      <c r="S5106" s="452"/>
      <c r="T5106" s="452"/>
      <c r="U5106" s="452"/>
      <c r="V5106" s="452"/>
      <c r="W5106" s="452"/>
    </row>
    <row r="5107" spans="19:23" ht="15" customHeight="1" x14ac:dyDescent="0.45">
      <c r="S5107" s="452"/>
      <c r="T5107" s="452"/>
      <c r="U5107" s="452"/>
      <c r="V5107" s="452"/>
      <c r="W5107" s="452"/>
    </row>
    <row r="5108" spans="19:23" ht="15" customHeight="1" x14ac:dyDescent="0.45">
      <c r="S5108" s="452"/>
      <c r="T5108" s="452"/>
      <c r="U5108" s="452"/>
      <c r="V5108" s="452"/>
      <c r="W5108" s="452"/>
    </row>
    <row r="5109" spans="19:23" ht="15" customHeight="1" x14ac:dyDescent="0.45">
      <c r="S5109" s="452"/>
      <c r="T5109" s="452"/>
      <c r="U5109" s="452"/>
      <c r="V5109" s="452"/>
      <c r="W5109" s="452"/>
    </row>
    <row r="5110" spans="19:23" ht="15" customHeight="1" x14ac:dyDescent="0.45">
      <c r="S5110" s="452"/>
      <c r="T5110" s="452"/>
      <c r="U5110" s="452"/>
      <c r="V5110" s="452"/>
      <c r="W5110" s="452"/>
    </row>
    <row r="5111" spans="19:23" ht="15" customHeight="1" x14ac:dyDescent="0.45">
      <c r="S5111" s="452"/>
      <c r="T5111" s="452"/>
      <c r="U5111" s="452"/>
      <c r="V5111" s="452"/>
      <c r="W5111" s="452"/>
    </row>
    <row r="5112" spans="19:23" ht="15" customHeight="1" x14ac:dyDescent="0.45">
      <c r="S5112" s="452"/>
      <c r="T5112" s="452"/>
      <c r="U5112" s="452"/>
      <c r="V5112" s="452"/>
      <c r="W5112" s="452"/>
    </row>
    <row r="5113" spans="19:23" ht="15" customHeight="1" x14ac:dyDescent="0.45">
      <c r="S5113" s="452"/>
      <c r="T5113" s="452"/>
      <c r="U5113" s="452"/>
      <c r="V5113" s="452"/>
      <c r="W5113" s="452"/>
    </row>
    <row r="5114" spans="19:23" ht="15" customHeight="1" x14ac:dyDescent="0.45">
      <c r="S5114" s="452"/>
      <c r="T5114" s="452"/>
      <c r="U5114" s="452"/>
      <c r="V5114" s="452"/>
      <c r="W5114" s="452"/>
    </row>
    <row r="5115" spans="19:23" ht="15" customHeight="1" x14ac:dyDescent="0.45">
      <c r="S5115" s="452"/>
      <c r="T5115" s="452"/>
      <c r="U5115" s="452"/>
      <c r="V5115" s="452"/>
      <c r="W5115" s="452"/>
    </row>
    <row r="5116" spans="19:23" ht="15" customHeight="1" x14ac:dyDescent="0.45">
      <c r="S5116" s="452"/>
      <c r="T5116" s="452"/>
      <c r="U5116" s="452"/>
      <c r="V5116" s="452"/>
      <c r="W5116" s="452"/>
    </row>
    <row r="5117" spans="19:23" ht="15" customHeight="1" x14ac:dyDescent="0.45">
      <c r="S5117" s="452"/>
      <c r="T5117" s="452"/>
      <c r="U5117" s="452"/>
      <c r="V5117" s="452"/>
      <c r="W5117" s="452"/>
    </row>
    <row r="5118" spans="19:23" ht="15" customHeight="1" x14ac:dyDescent="0.45">
      <c r="S5118" s="452"/>
      <c r="T5118" s="452"/>
      <c r="U5118" s="452"/>
      <c r="V5118" s="452"/>
      <c r="W5118" s="452"/>
    </row>
    <row r="5119" spans="19:23" ht="15" customHeight="1" x14ac:dyDescent="0.45">
      <c r="S5119" s="452"/>
      <c r="T5119" s="452"/>
      <c r="U5119" s="452"/>
      <c r="V5119" s="452"/>
      <c r="W5119" s="452"/>
    </row>
    <row r="5120" spans="19:23" ht="15" customHeight="1" x14ac:dyDescent="0.45">
      <c r="S5120" s="452"/>
      <c r="T5120" s="452"/>
      <c r="U5120" s="452"/>
      <c r="V5120" s="452"/>
      <c r="W5120" s="452"/>
    </row>
    <row r="5121" spans="19:23" ht="15" customHeight="1" x14ac:dyDescent="0.45">
      <c r="S5121" s="452"/>
      <c r="T5121" s="452"/>
      <c r="U5121" s="452"/>
      <c r="V5121" s="452"/>
      <c r="W5121" s="452"/>
    </row>
    <row r="5122" spans="19:23" ht="15" customHeight="1" x14ac:dyDescent="0.45">
      <c r="S5122" s="452"/>
      <c r="T5122" s="452"/>
      <c r="U5122" s="452"/>
      <c r="V5122" s="452"/>
      <c r="W5122" s="452"/>
    </row>
    <row r="5123" spans="19:23" ht="15" customHeight="1" x14ac:dyDescent="0.45">
      <c r="S5123" s="452"/>
      <c r="T5123" s="452"/>
      <c r="U5123" s="452"/>
      <c r="V5123" s="452"/>
      <c r="W5123" s="452"/>
    </row>
    <row r="5124" spans="19:23" ht="15" customHeight="1" x14ac:dyDescent="0.45">
      <c r="S5124" s="452"/>
      <c r="T5124" s="452"/>
      <c r="U5124" s="452"/>
      <c r="V5124" s="452"/>
      <c r="W5124" s="452"/>
    </row>
    <row r="5125" spans="19:23" ht="15" customHeight="1" x14ac:dyDescent="0.45">
      <c r="S5125" s="452"/>
      <c r="T5125" s="452"/>
      <c r="U5125" s="452"/>
      <c r="V5125" s="452"/>
      <c r="W5125" s="452"/>
    </row>
    <row r="5126" spans="19:23" ht="15" customHeight="1" x14ac:dyDescent="0.45">
      <c r="S5126" s="452"/>
      <c r="T5126" s="452"/>
      <c r="U5126" s="452"/>
      <c r="V5126" s="452"/>
      <c r="W5126" s="452"/>
    </row>
    <row r="5127" spans="19:23" ht="15" customHeight="1" x14ac:dyDescent="0.45">
      <c r="S5127" s="452"/>
      <c r="T5127" s="452"/>
      <c r="U5127" s="452"/>
      <c r="V5127" s="452"/>
      <c r="W5127" s="452"/>
    </row>
    <row r="5128" spans="19:23" ht="15" customHeight="1" x14ac:dyDescent="0.45">
      <c r="S5128" s="452"/>
      <c r="T5128" s="452"/>
      <c r="U5128" s="452"/>
      <c r="V5128" s="452"/>
      <c r="W5128" s="452"/>
    </row>
    <row r="5129" spans="19:23" ht="15" customHeight="1" x14ac:dyDescent="0.45">
      <c r="S5129" s="452"/>
      <c r="T5129" s="452"/>
      <c r="U5129" s="452"/>
      <c r="V5129" s="452"/>
      <c r="W5129" s="452"/>
    </row>
    <row r="5130" spans="19:23" ht="15" customHeight="1" x14ac:dyDescent="0.45">
      <c r="S5130" s="452"/>
      <c r="T5130" s="452"/>
      <c r="U5130" s="452"/>
      <c r="V5130" s="452"/>
      <c r="W5130" s="452"/>
    </row>
    <row r="5131" spans="19:23" ht="15" customHeight="1" x14ac:dyDescent="0.45">
      <c r="S5131" s="452"/>
      <c r="T5131" s="452"/>
      <c r="U5131" s="452"/>
      <c r="V5131" s="452"/>
      <c r="W5131" s="452"/>
    </row>
    <row r="5132" spans="19:23" ht="15" customHeight="1" x14ac:dyDescent="0.45">
      <c r="S5132" s="452"/>
      <c r="T5132" s="452"/>
      <c r="U5132" s="452"/>
      <c r="V5132" s="452"/>
      <c r="W5132" s="452"/>
    </row>
    <row r="5133" spans="19:23" ht="15" customHeight="1" x14ac:dyDescent="0.45">
      <c r="S5133" s="452"/>
      <c r="T5133" s="452"/>
      <c r="U5133" s="452"/>
      <c r="V5133" s="452"/>
      <c r="W5133" s="452"/>
    </row>
    <row r="5134" spans="19:23" ht="15" customHeight="1" x14ac:dyDescent="0.45">
      <c r="S5134" s="452"/>
      <c r="T5134" s="452"/>
      <c r="U5134" s="452"/>
      <c r="V5134" s="452"/>
      <c r="W5134" s="452"/>
    </row>
    <row r="5135" spans="19:23" ht="15" customHeight="1" x14ac:dyDescent="0.45">
      <c r="S5135" s="452"/>
      <c r="T5135" s="452"/>
      <c r="U5135" s="452"/>
      <c r="V5135" s="452"/>
      <c r="W5135" s="452"/>
    </row>
    <row r="5136" spans="19:23" ht="15" customHeight="1" x14ac:dyDescent="0.45">
      <c r="S5136" s="452"/>
      <c r="T5136" s="452"/>
      <c r="U5136" s="452"/>
      <c r="V5136" s="452"/>
      <c r="W5136" s="452"/>
    </row>
    <row r="5137" spans="19:23" ht="15" customHeight="1" x14ac:dyDescent="0.45">
      <c r="S5137" s="452"/>
      <c r="T5137" s="452"/>
      <c r="U5137" s="452"/>
      <c r="V5137" s="452"/>
      <c r="W5137" s="452"/>
    </row>
    <row r="5138" spans="19:23" ht="15" customHeight="1" x14ac:dyDescent="0.45">
      <c r="S5138" s="452"/>
      <c r="T5138" s="452"/>
      <c r="U5138" s="452"/>
      <c r="V5138" s="452"/>
      <c r="W5138" s="452"/>
    </row>
    <row r="5139" spans="19:23" ht="15" customHeight="1" x14ac:dyDescent="0.45">
      <c r="S5139" s="452"/>
      <c r="T5139" s="452"/>
      <c r="U5139" s="452"/>
      <c r="V5139" s="452"/>
      <c r="W5139" s="452"/>
    </row>
    <row r="5140" spans="19:23" ht="15" customHeight="1" x14ac:dyDescent="0.45">
      <c r="S5140" s="452"/>
      <c r="T5140" s="452"/>
      <c r="U5140" s="452"/>
      <c r="V5140" s="452"/>
      <c r="W5140" s="452"/>
    </row>
    <row r="5141" spans="19:23" ht="15" customHeight="1" x14ac:dyDescent="0.45">
      <c r="S5141" s="452"/>
      <c r="T5141" s="452"/>
      <c r="U5141" s="452"/>
      <c r="V5141" s="452"/>
      <c r="W5141" s="452"/>
    </row>
    <row r="5142" spans="19:23" ht="15" customHeight="1" x14ac:dyDescent="0.45">
      <c r="S5142" s="452"/>
      <c r="T5142" s="452"/>
      <c r="U5142" s="452"/>
      <c r="V5142" s="452"/>
      <c r="W5142" s="452"/>
    </row>
    <row r="5143" spans="19:23" ht="15" customHeight="1" x14ac:dyDescent="0.45">
      <c r="S5143" s="452"/>
      <c r="T5143" s="452"/>
      <c r="U5143" s="452"/>
      <c r="V5143" s="452"/>
      <c r="W5143" s="452"/>
    </row>
    <row r="5144" spans="19:23" ht="15" customHeight="1" x14ac:dyDescent="0.45">
      <c r="S5144" s="452"/>
      <c r="T5144" s="452"/>
      <c r="U5144" s="452"/>
      <c r="V5144" s="452"/>
      <c r="W5144" s="452"/>
    </row>
    <row r="5145" spans="19:23" ht="15" customHeight="1" x14ac:dyDescent="0.45">
      <c r="S5145" s="452"/>
      <c r="T5145" s="452"/>
      <c r="U5145" s="452"/>
      <c r="V5145" s="452"/>
      <c r="W5145" s="452"/>
    </row>
    <row r="5146" spans="19:23" ht="15" customHeight="1" x14ac:dyDescent="0.45">
      <c r="S5146" s="452"/>
      <c r="T5146" s="452"/>
      <c r="U5146" s="452"/>
      <c r="V5146" s="452"/>
      <c r="W5146" s="452"/>
    </row>
    <row r="5147" spans="19:23" ht="15" customHeight="1" x14ac:dyDescent="0.45">
      <c r="S5147" s="452"/>
      <c r="T5147" s="452"/>
      <c r="U5147" s="452"/>
      <c r="V5147" s="452"/>
      <c r="W5147" s="452"/>
    </row>
    <row r="5148" spans="19:23" ht="15" customHeight="1" x14ac:dyDescent="0.45">
      <c r="S5148" s="452"/>
      <c r="T5148" s="452"/>
      <c r="U5148" s="452"/>
      <c r="V5148" s="452"/>
      <c r="W5148" s="452"/>
    </row>
    <row r="5149" spans="19:23" ht="15" customHeight="1" x14ac:dyDescent="0.45">
      <c r="S5149" s="452"/>
      <c r="T5149" s="452"/>
      <c r="U5149" s="452"/>
      <c r="V5149" s="452"/>
      <c r="W5149" s="452"/>
    </row>
    <row r="5150" spans="19:23" ht="15" customHeight="1" x14ac:dyDescent="0.45">
      <c r="S5150" s="452"/>
      <c r="T5150" s="452"/>
      <c r="U5150" s="452"/>
      <c r="V5150" s="452"/>
      <c r="W5150" s="452"/>
    </row>
    <row r="5151" spans="19:23" ht="15" customHeight="1" x14ac:dyDescent="0.45">
      <c r="S5151" s="452"/>
      <c r="T5151" s="452"/>
      <c r="U5151" s="452"/>
      <c r="V5151" s="452"/>
      <c r="W5151" s="452"/>
    </row>
    <row r="5152" spans="19:23" ht="15" customHeight="1" x14ac:dyDescent="0.45">
      <c r="S5152" s="452"/>
      <c r="T5152" s="452"/>
      <c r="U5152" s="452"/>
      <c r="V5152" s="452"/>
      <c r="W5152" s="452"/>
    </row>
    <row r="5153" spans="19:23" ht="15" customHeight="1" x14ac:dyDescent="0.45">
      <c r="S5153" s="452"/>
      <c r="T5153" s="452"/>
      <c r="U5153" s="452"/>
      <c r="V5153" s="452"/>
      <c r="W5153" s="452"/>
    </row>
    <row r="5154" spans="19:23" ht="15" customHeight="1" x14ac:dyDescent="0.45">
      <c r="S5154" s="452"/>
      <c r="T5154" s="452"/>
      <c r="U5154" s="452"/>
      <c r="V5154" s="452"/>
      <c r="W5154" s="452"/>
    </row>
    <row r="5155" spans="19:23" ht="15" customHeight="1" x14ac:dyDescent="0.45">
      <c r="S5155" s="452"/>
      <c r="T5155" s="452"/>
      <c r="U5155" s="452"/>
      <c r="V5155" s="452"/>
      <c r="W5155" s="452"/>
    </row>
    <row r="5156" spans="19:23" ht="15" customHeight="1" x14ac:dyDescent="0.45">
      <c r="S5156" s="452"/>
      <c r="T5156" s="452"/>
      <c r="U5156" s="452"/>
      <c r="V5156" s="452"/>
      <c r="W5156" s="452"/>
    </row>
    <row r="5157" spans="19:23" ht="15" customHeight="1" x14ac:dyDescent="0.45">
      <c r="S5157" s="452"/>
      <c r="T5157" s="452"/>
      <c r="U5157" s="452"/>
      <c r="V5157" s="452"/>
      <c r="W5157" s="452"/>
    </row>
    <row r="5158" spans="19:23" ht="15" customHeight="1" x14ac:dyDescent="0.45">
      <c r="S5158" s="452"/>
      <c r="T5158" s="452"/>
      <c r="U5158" s="452"/>
      <c r="V5158" s="452"/>
      <c r="W5158" s="452"/>
    </row>
    <row r="5159" spans="19:23" ht="15" customHeight="1" x14ac:dyDescent="0.45">
      <c r="S5159" s="452"/>
      <c r="T5159" s="452"/>
      <c r="U5159" s="452"/>
      <c r="V5159" s="452"/>
      <c r="W5159" s="452"/>
    </row>
    <row r="5160" spans="19:23" ht="15" customHeight="1" x14ac:dyDescent="0.45">
      <c r="S5160" s="452"/>
      <c r="T5160" s="452"/>
      <c r="U5160" s="452"/>
      <c r="V5160" s="452"/>
      <c r="W5160" s="452"/>
    </row>
    <row r="5161" spans="19:23" ht="15" customHeight="1" x14ac:dyDescent="0.45">
      <c r="S5161" s="452"/>
      <c r="T5161" s="452"/>
      <c r="U5161" s="452"/>
      <c r="V5161" s="452"/>
      <c r="W5161" s="452"/>
    </row>
    <row r="5162" spans="19:23" ht="15" customHeight="1" x14ac:dyDescent="0.45">
      <c r="S5162" s="452"/>
      <c r="T5162" s="452"/>
      <c r="U5162" s="452"/>
      <c r="V5162" s="452"/>
      <c r="W5162" s="452"/>
    </row>
    <row r="5163" spans="19:23" ht="15" customHeight="1" x14ac:dyDescent="0.45">
      <c r="S5163" s="452"/>
      <c r="T5163" s="452"/>
      <c r="U5163" s="452"/>
      <c r="V5163" s="452"/>
      <c r="W5163" s="452"/>
    </row>
    <row r="5164" spans="19:23" ht="15" customHeight="1" x14ac:dyDescent="0.45">
      <c r="S5164" s="452"/>
      <c r="T5164" s="452"/>
      <c r="U5164" s="452"/>
      <c r="V5164" s="452"/>
      <c r="W5164" s="452"/>
    </row>
    <row r="5165" spans="19:23" ht="15" customHeight="1" x14ac:dyDescent="0.45">
      <c r="S5165" s="452"/>
      <c r="T5165" s="452"/>
      <c r="U5165" s="452"/>
      <c r="V5165" s="452"/>
      <c r="W5165" s="452"/>
    </row>
    <row r="5166" spans="19:23" ht="15" customHeight="1" x14ac:dyDescent="0.45">
      <c r="S5166" s="452"/>
      <c r="T5166" s="452"/>
      <c r="U5166" s="452"/>
      <c r="V5166" s="452"/>
      <c r="W5166" s="452"/>
    </row>
    <row r="5167" spans="19:23" ht="15" customHeight="1" x14ac:dyDescent="0.45">
      <c r="S5167" s="452"/>
      <c r="T5167" s="452"/>
      <c r="U5167" s="452"/>
      <c r="V5167" s="452"/>
      <c r="W5167" s="452"/>
    </row>
    <row r="5168" spans="19:23" ht="15" customHeight="1" x14ac:dyDescent="0.45">
      <c r="S5168" s="452"/>
      <c r="T5168" s="452"/>
      <c r="U5168" s="452"/>
      <c r="V5168" s="452"/>
      <c r="W5168" s="452"/>
    </row>
    <row r="5169" spans="19:23" ht="15" customHeight="1" x14ac:dyDescent="0.45">
      <c r="S5169" s="452"/>
      <c r="T5169" s="452"/>
      <c r="U5169" s="452"/>
      <c r="V5169" s="452"/>
      <c r="W5169" s="452"/>
    </row>
    <row r="5170" spans="19:23" ht="15" customHeight="1" x14ac:dyDescent="0.45">
      <c r="S5170" s="452"/>
      <c r="T5170" s="452"/>
      <c r="U5170" s="452"/>
      <c r="V5170" s="452"/>
      <c r="W5170" s="452"/>
    </row>
    <row r="5171" spans="19:23" ht="15" customHeight="1" x14ac:dyDescent="0.45">
      <c r="S5171" s="452"/>
      <c r="T5171" s="452"/>
      <c r="U5171" s="452"/>
      <c r="V5171" s="452"/>
      <c r="W5171" s="452"/>
    </row>
    <row r="5172" spans="19:23" ht="15" customHeight="1" x14ac:dyDescent="0.45">
      <c r="S5172" s="452"/>
      <c r="T5172" s="452"/>
      <c r="U5172" s="452"/>
      <c r="V5172" s="452"/>
      <c r="W5172" s="452"/>
    </row>
    <row r="5173" spans="19:23" ht="15" customHeight="1" x14ac:dyDescent="0.45">
      <c r="S5173" s="452"/>
      <c r="T5173" s="452"/>
      <c r="U5173" s="452"/>
      <c r="V5173" s="452"/>
      <c r="W5173" s="452"/>
    </row>
    <row r="5174" spans="19:23" ht="15" customHeight="1" x14ac:dyDescent="0.45">
      <c r="S5174" s="452"/>
      <c r="T5174" s="452"/>
      <c r="U5174" s="452"/>
      <c r="V5174" s="452"/>
      <c r="W5174" s="452"/>
    </row>
    <row r="5175" spans="19:23" ht="15" customHeight="1" x14ac:dyDescent="0.45">
      <c r="S5175" s="452"/>
      <c r="T5175" s="452"/>
      <c r="U5175" s="452"/>
      <c r="V5175" s="452"/>
      <c r="W5175" s="452"/>
    </row>
    <row r="5176" spans="19:23" ht="15" customHeight="1" x14ac:dyDescent="0.45">
      <c r="S5176" s="452"/>
      <c r="T5176" s="452"/>
      <c r="U5176" s="452"/>
      <c r="V5176" s="452"/>
      <c r="W5176" s="452"/>
    </row>
    <row r="5177" spans="19:23" ht="15" customHeight="1" x14ac:dyDescent="0.45">
      <c r="S5177" s="452"/>
      <c r="T5177" s="452"/>
      <c r="U5177" s="452"/>
      <c r="V5177" s="452"/>
      <c r="W5177" s="452"/>
    </row>
    <row r="5178" spans="19:23" ht="15" customHeight="1" x14ac:dyDescent="0.45">
      <c r="S5178" s="452"/>
      <c r="T5178" s="452"/>
      <c r="U5178" s="452"/>
      <c r="V5178" s="452"/>
      <c r="W5178" s="452"/>
    </row>
    <row r="5179" spans="19:23" ht="15" customHeight="1" x14ac:dyDescent="0.45">
      <c r="S5179" s="452"/>
      <c r="T5179" s="452"/>
      <c r="U5179" s="452"/>
      <c r="V5179" s="452"/>
      <c r="W5179" s="452"/>
    </row>
    <row r="5180" spans="19:23" ht="15" customHeight="1" x14ac:dyDescent="0.45">
      <c r="S5180" s="452"/>
      <c r="T5180" s="452"/>
      <c r="U5180" s="452"/>
      <c r="V5180" s="452"/>
      <c r="W5180" s="452"/>
    </row>
    <row r="5181" spans="19:23" ht="15" customHeight="1" x14ac:dyDescent="0.45">
      <c r="S5181" s="452"/>
      <c r="T5181" s="452"/>
      <c r="U5181" s="452"/>
      <c r="V5181" s="452"/>
      <c r="W5181" s="452"/>
    </row>
    <row r="5182" spans="19:23" ht="15" customHeight="1" x14ac:dyDescent="0.45">
      <c r="S5182" s="452"/>
      <c r="T5182" s="452"/>
      <c r="U5182" s="452"/>
      <c r="V5182" s="452"/>
      <c r="W5182" s="452"/>
    </row>
    <row r="5183" spans="19:23" ht="15" customHeight="1" x14ac:dyDescent="0.45">
      <c r="S5183" s="452"/>
      <c r="T5183" s="452"/>
      <c r="U5183" s="452"/>
      <c r="V5183" s="452"/>
      <c r="W5183" s="452"/>
    </row>
    <row r="5184" spans="19:23" ht="15" customHeight="1" x14ac:dyDescent="0.45">
      <c r="S5184" s="452"/>
      <c r="T5184" s="452"/>
      <c r="U5184" s="452"/>
      <c r="V5184" s="452"/>
      <c r="W5184" s="452"/>
    </row>
    <row r="5185" spans="19:23" ht="15" customHeight="1" x14ac:dyDescent="0.45">
      <c r="S5185" s="452"/>
      <c r="T5185" s="452"/>
      <c r="U5185" s="452"/>
      <c r="V5185" s="452"/>
      <c r="W5185" s="452"/>
    </row>
    <row r="5186" spans="19:23" ht="15" customHeight="1" x14ac:dyDescent="0.45">
      <c r="S5186" s="452"/>
      <c r="T5186" s="452"/>
      <c r="U5186" s="452"/>
      <c r="V5186" s="452"/>
      <c r="W5186" s="452"/>
    </row>
    <row r="5187" spans="19:23" ht="15" customHeight="1" x14ac:dyDescent="0.45">
      <c r="S5187" s="452"/>
      <c r="T5187" s="452"/>
      <c r="U5187" s="452"/>
      <c r="V5187" s="452"/>
      <c r="W5187" s="452"/>
    </row>
    <row r="5188" spans="19:23" ht="15" customHeight="1" x14ac:dyDescent="0.45">
      <c r="S5188" s="452"/>
      <c r="T5188" s="452"/>
      <c r="U5188" s="452"/>
      <c r="V5188" s="452"/>
      <c r="W5188" s="452"/>
    </row>
    <row r="5189" spans="19:23" ht="15" customHeight="1" x14ac:dyDescent="0.45">
      <c r="S5189" s="452"/>
      <c r="T5189" s="452"/>
      <c r="U5189" s="452"/>
      <c r="V5189" s="452"/>
      <c r="W5189" s="452"/>
    </row>
    <row r="5190" spans="19:23" ht="15" customHeight="1" x14ac:dyDescent="0.45">
      <c r="S5190" s="452"/>
      <c r="T5190" s="452"/>
      <c r="U5190" s="452"/>
      <c r="V5190" s="452"/>
      <c r="W5190" s="452"/>
    </row>
    <row r="5191" spans="19:23" ht="15" customHeight="1" x14ac:dyDescent="0.45">
      <c r="S5191" s="452"/>
      <c r="T5191" s="452"/>
      <c r="U5191" s="452"/>
      <c r="V5191" s="452"/>
      <c r="W5191" s="452"/>
    </row>
    <row r="5192" spans="19:23" ht="15" customHeight="1" x14ac:dyDescent="0.45">
      <c r="S5192" s="452"/>
      <c r="T5192" s="452"/>
      <c r="U5192" s="452"/>
      <c r="V5192" s="452"/>
      <c r="W5192" s="452"/>
    </row>
    <row r="5193" spans="19:23" ht="15" customHeight="1" x14ac:dyDescent="0.45">
      <c r="S5193" s="452"/>
      <c r="T5193" s="452"/>
      <c r="U5193" s="452"/>
      <c r="V5193" s="452"/>
      <c r="W5193" s="452"/>
    </row>
    <row r="5194" spans="19:23" ht="15" customHeight="1" x14ac:dyDescent="0.45">
      <c r="S5194" s="452"/>
      <c r="T5194" s="452"/>
      <c r="U5194" s="452"/>
      <c r="V5194" s="452"/>
      <c r="W5194" s="452"/>
    </row>
    <row r="5195" spans="19:23" ht="15" customHeight="1" x14ac:dyDescent="0.45">
      <c r="S5195" s="452"/>
      <c r="T5195" s="452"/>
      <c r="U5195" s="452"/>
      <c r="V5195" s="452"/>
      <c r="W5195" s="452"/>
    </row>
    <row r="5196" spans="19:23" ht="15" customHeight="1" x14ac:dyDescent="0.45">
      <c r="S5196" s="452"/>
      <c r="T5196" s="452"/>
      <c r="U5196" s="452"/>
      <c r="V5196" s="452"/>
      <c r="W5196" s="452"/>
    </row>
    <row r="5197" spans="19:23" ht="15" customHeight="1" x14ac:dyDescent="0.45">
      <c r="S5197" s="452"/>
      <c r="T5197" s="452"/>
      <c r="U5197" s="452"/>
      <c r="V5197" s="452"/>
      <c r="W5197" s="452"/>
    </row>
    <row r="5198" spans="19:23" ht="15" customHeight="1" x14ac:dyDescent="0.45">
      <c r="S5198" s="452"/>
      <c r="T5198" s="452"/>
      <c r="U5198" s="452"/>
      <c r="V5198" s="452"/>
      <c r="W5198" s="452"/>
    </row>
    <row r="5199" spans="19:23" ht="15" customHeight="1" x14ac:dyDescent="0.45">
      <c r="S5199" s="452"/>
      <c r="T5199" s="452"/>
      <c r="U5199" s="452"/>
      <c r="V5199" s="452"/>
      <c r="W5199" s="452"/>
    </row>
    <row r="5200" spans="19:23" ht="15" customHeight="1" x14ac:dyDescent="0.45">
      <c r="S5200" s="452"/>
      <c r="T5200" s="452"/>
      <c r="U5200" s="452"/>
      <c r="V5200" s="452"/>
      <c r="W5200" s="452"/>
    </row>
    <row r="5201" spans="19:23" ht="15" customHeight="1" x14ac:dyDescent="0.45">
      <c r="S5201" s="452"/>
      <c r="T5201" s="452"/>
      <c r="U5201" s="452"/>
      <c r="V5201" s="452"/>
      <c r="W5201" s="452"/>
    </row>
    <row r="5202" spans="19:23" ht="15" customHeight="1" x14ac:dyDescent="0.45">
      <c r="S5202" s="452"/>
      <c r="T5202" s="452"/>
      <c r="U5202" s="452"/>
      <c r="V5202" s="452"/>
      <c r="W5202" s="452"/>
    </row>
    <row r="5203" spans="19:23" ht="15" customHeight="1" x14ac:dyDescent="0.45">
      <c r="S5203" s="452"/>
      <c r="T5203" s="452"/>
      <c r="U5203" s="452"/>
      <c r="V5203" s="452"/>
      <c r="W5203" s="452"/>
    </row>
    <row r="5204" spans="19:23" ht="15" customHeight="1" x14ac:dyDescent="0.45">
      <c r="S5204" s="452"/>
      <c r="T5204" s="452"/>
      <c r="U5204" s="452"/>
      <c r="V5204" s="452"/>
      <c r="W5204" s="452"/>
    </row>
    <row r="5205" spans="19:23" ht="15" customHeight="1" x14ac:dyDescent="0.45">
      <c r="S5205" s="452"/>
      <c r="T5205" s="452"/>
      <c r="U5205" s="452"/>
      <c r="V5205" s="452"/>
      <c r="W5205" s="452"/>
    </row>
    <row r="5206" spans="19:23" ht="15" customHeight="1" x14ac:dyDescent="0.45">
      <c r="S5206" s="452"/>
      <c r="T5206" s="452"/>
      <c r="U5206" s="452"/>
      <c r="V5206" s="452"/>
      <c r="W5206" s="452"/>
    </row>
    <row r="5207" spans="19:23" ht="15" customHeight="1" x14ac:dyDescent="0.45">
      <c r="S5207" s="452"/>
      <c r="T5207" s="452"/>
      <c r="U5207" s="452"/>
      <c r="V5207" s="452"/>
      <c r="W5207" s="452"/>
    </row>
    <row r="5208" spans="19:23" ht="15" customHeight="1" x14ac:dyDescent="0.45">
      <c r="S5208" s="452"/>
      <c r="T5208" s="452"/>
      <c r="U5208" s="452"/>
      <c r="V5208" s="452"/>
      <c r="W5208" s="452"/>
    </row>
    <row r="5209" spans="19:23" ht="15" customHeight="1" x14ac:dyDescent="0.45">
      <c r="S5209" s="452"/>
      <c r="T5209" s="452"/>
      <c r="U5209" s="452"/>
      <c r="V5209" s="452"/>
      <c r="W5209" s="452"/>
    </row>
    <row r="5210" spans="19:23" ht="15" customHeight="1" x14ac:dyDescent="0.45">
      <c r="S5210" s="452"/>
      <c r="T5210" s="452"/>
      <c r="U5210" s="452"/>
      <c r="V5210" s="452"/>
      <c r="W5210" s="452"/>
    </row>
    <row r="5211" spans="19:23" ht="15" customHeight="1" x14ac:dyDescent="0.45">
      <c r="S5211" s="452"/>
      <c r="T5211" s="452"/>
      <c r="U5211" s="452"/>
      <c r="V5211" s="452"/>
      <c r="W5211" s="452"/>
    </row>
    <row r="5212" spans="19:23" ht="15" customHeight="1" x14ac:dyDescent="0.45">
      <c r="S5212" s="452"/>
      <c r="T5212" s="452"/>
      <c r="U5212" s="452"/>
      <c r="V5212" s="452"/>
      <c r="W5212" s="452"/>
    </row>
    <row r="5213" spans="19:23" ht="15" customHeight="1" x14ac:dyDescent="0.45">
      <c r="S5213" s="452"/>
      <c r="T5213" s="452"/>
      <c r="U5213" s="452"/>
      <c r="V5213" s="452"/>
      <c r="W5213" s="452"/>
    </row>
    <row r="5214" spans="19:23" ht="15" customHeight="1" x14ac:dyDescent="0.45">
      <c r="S5214" s="452"/>
      <c r="T5214" s="452"/>
      <c r="U5214" s="452"/>
      <c r="V5214" s="452"/>
      <c r="W5214" s="452"/>
    </row>
    <row r="5215" spans="19:23" ht="15" customHeight="1" x14ac:dyDescent="0.45">
      <c r="S5215" s="452"/>
      <c r="T5215" s="452"/>
      <c r="U5215" s="452"/>
      <c r="V5215" s="452"/>
      <c r="W5215" s="452"/>
    </row>
    <row r="5216" spans="19:23" ht="15" customHeight="1" x14ac:dyDescent="0.45">
      <c r="S5216" s="452"/>
      <c r="T5216" s="452"/>
      <c r="U5216" s="452"/>
      <c r="V5216" s="452"/>
      <c r="W5216" s="452"/>
    </row>
    <row r="5217" spans="19:23" ht="15" customHeight="1" x14ac:dyDescent="0.45">
      <c r="S5217" s="452"/>
      <c r="T5217" s="452"/>
      <c r="U5217" s="452"/>
      <c r="V5217" s="452"/>
      <c r="W5217" s="452"/>
    </row>
    <row r="5218" spans="19:23" ht="15" customHeight="1" x14ac:dyDescent="0.45">
      <c r="S5218" s="452"/>
      <c r="T5218" s="452"/>
      <c r="U5218" s="452"/>
      <c r="V5218" s="452"/>
      <c r="W5218" s="452"/>
    </row>
    <row r="5219" spans="19:23" ht="15" customHeight="1" x14ac:dyDescent="0.45">
      <c r="S5219" s="452"/>
      <c r="T5219" s="452"/>
      <c r="U5219" s="452"/>
      <c r="V5219" s="452"/>
      <c r="W5219" s="452"/>
    </row>
    <row r="5220" spans="19:23" ht="15" customHeight="1" x14ac:dyDescent="0.45">
      <c r="S5220" s="452"/>
      <c r="T5220" s="452"/>
      <c r="U5220" s="452"/>
      <c r="V5220" s="452"/>
      <c r="W5220" s="452"/>
    </row>
    <row r="5221" spans="19:23" ht="15" customHeight="1" x14ac:dyDescent="0.45">
      <c r="S5221" s="452"/>
      <c r="T5221" s="452"/>
      <c r="U5221" s="452"/>
      <c r="V5221" s="452"/>
      <c r="W5221" s="452"/>
    </row>
    <row r="5222" spans="19:23" ht="15" customHeight="1" x14ac:dyDescent="0.45">
      <c r="S5222" s="452"/>
      <c r="T5222" s="452"/>
      <c r="U5222" s="452"/>
      <c r="V5222" s="452"/>
      <c r="W5222" s="452"/>
    </row>
    <row r="5223" spans="19:23" ht="15" customHeight="1" x14ac:dyDescent="0.45">
      <c r="S5223" s="452"/>
      <c r="T5223" s="452"/>
      <c r="U5223" s="452"/>
      <c r="V5223" s="452"/>
      <c r="W5223" s="452"/>
    </row>
    <row r="5224" spans="19:23" ht="15" customHeight="1" x14ac:dyDescent="0.45">
      <c r="S5224" s="452"/>
      <c r="T5224" s="452"/>
      <c r="U5224" s="452"/>
      <c r="V5224" s="452"/>
      <c r="W5224" s="452"/>
    </row>
    <row r="5225" spans="19:23" ht="15" customHeight="1" x14ac:dyDescent="0.45">
      <c r="S5225" s="452"/>
      <c r="T5225" s="452"/>
      <c r="U5225" s="452"/>
      <c r="V5225" s="452"/>
      <c r="W5225" s="452"/>
    </row>
    <row r="5226" spans="19:23" ht="15" customHeight="1" x14ac:dyDescent="0.45">
      <c r="S5226" s="452"/>
      <c r="T5226" s="452"/>
      <c r="U5226" s="452"/>
      <c r="V5226" s="452"/>
      <c r="W5226" s="452"/>
    </row>
    <row r="5227" spans="19:23" ht="15" customHeight="1" x14ac:dyDescent="0.45">
      <c r="S5227" s="452"/>
      <c r="T5227" s="452"/>
      <c r="U5227" s="452"/>
      <c r="V5227" s="452"/>
      <c r="W5227" s="452"/>
    </row>
    <row r="5228" spans="19:23" ht="15" customHeight="1" x14ac:dyDescent="0.45">
      <c r="S5228" s="452"/>
      <c r="T5228" s="452"/>
      <c r="U5228" s="452"/>
      <c r="V5228" s="452"/>
      <c r="W5228" s="452"/>
    </row>
    <row r="5229" spans="19:23" ht="15" customHeight="1" x14ac:dyDescent="0.45">
      <c r="S5229" s="452"/>
      <c r="T5229" s="452"/>
      <c r="U5229" s="452"/>
      <c r="V5229" s="452"/>
      <c r="W5229" s="452"/>
    </row>
    <row r="5230" spans="19:23" ht="15" customHeight="1" x14ac:dyDescent="0.45">
      <c r="S5230" s="452"/>
      <c r="T5230" s="452"/>
      <c r="U5230" s="452"/>
      <c r="V5230" s="452"/>
      <c r="W5230" s="452"/>
    </row>
    <row r="5231" spans="19:23" ht="15" customHeight="1" x14ac:dyDescent="0.45">
      <c r="S5231" s="452"/>
      <c r="T5231" s="452"/>
      <c r="U5231" s="452"/>
      <c r="V5231" s="452"/>
      <c r="W5231" s="452"/>
    </row>
    <row r="5232" spans="19:23" ht="15" customHeight="1" x14ac:dyDescent="0.45">
      <c r="S5232" s="452"/>
      <c r="T5232" s="452"/>
      <c r="U5232" s="452"/>
      <c r="V5232" s="452"/>
      <c r="W5232" s="452"/>
    </row>
    <row r="5233" spans="19:23" ht="15" customHeight="1" x14ac:dyDescent="0.45">
      <c r="S5233" s="452"/>
      <c r="T5233" s="452"/>
      <c r="U5233" s="452"/>
      <c r="V5233" s="452"/>
      <c r="W5233" s="452"/>
    </row>
    <row r="5234" spans="19:23" ht="15" customHeight="1" x14ac:dyDescent="0.45">
      <c r="S5234" s="452"/>
      <c r="T5234" s="452"/>
      <c r="U5234" s="452"/>
      <c r="V5234" s="452"/>
      <c r="W5234" s="452"/>
    </row>
    <row r="5235" spans="19:23" ht="15" customHeight="1" x14ac:dyDescent="0.45">
      <c r="S5235" s="452"/>
      <c r="T5235" s="452"/>
      <c r="U5235" s="452"/>
      <c r="V5235" s="452"/>
      <c r="W5235" s="452"/>
    </row>
    <row r="5236" spans="19:23" ht="15" customHeight="1" x14ac:dyDescent="0.45">
      <c r="S5236" s="452"/>
      <c r="T5236" s="452"/>
      <c r="U5236" s="452"/>
      <c r="V5236" s="452"/>
      <c r="W5236" s="452"/>
    </row>
    <row r="5237" spans="19:23" ht="15" customHeight="1" x14ac:dyDescent="0.45">
      <c r="S5237" s="452"/>
      <c r="T5237" s="452"/>
      <c r="U5237" s="452"/>
      <c r="V5237" s="452"/>
      <c r="W5237" s="452"/>
    </row>
    <row r="5238" spans="19:23" ht="15" customHeight="1" x14ac:dyDescent="0.45">
      <c r="S5238" s="452"/>
      <c r="T5238" s="452"/>
      <c r="U5238" s="452"/>
      <c r="V5238" s="452"/>
      <c r="W5238" s="452"/>
    </row>
    <row r="5239" spans="19:23" ht="15" customHeight="1" x14ac:dyDescent="0.45">
      <c r="S5239" s="452"/>
      <c r="T5239" s="452"/>
      <c r="U5239" s="452"/>
      <c r="V5239" s="452"/>
      <c r="W5239" s="452"/>
    </row>
    <row r="5240" spans="19:23" ht="15" customHeight="1" x14ac:dyDescent="0.45">
      <c r="S5240" s="452"/>
      <c r="T5240" s="452"/>
      <c r="U5240" s="452"/>
      <c r="V5240" s="452"/>
      <c r="W5240" s="452"/>
    </row>
    <row r="5241" spans="19:23" ht="15" customHeight="1" x14ac:dyDescent="0.45">
      <c r="S5241" s="452"/>
      <c r="T5241" s="452"/>
      <c r="U5241" s="452"/>
      <c r="V5241" s="452"/>
      <c r="W5241" s="452"/>
    </row>
    <row r="5242" spans="19:23" ht="15" customHeight="1" x14ac:dyDescent="0.45">
      <c r="S5242" s="452"/>
      <c r="T5242" s="452"/>
      <c r="U5242" s="452"/>
      <c r="V5242" s="452"/>
      <c r="W5242" s="452"/>
    </row>
    <row r="5243" spans="19:23" ht="15" customHeight="1" x14ac:dyDescent="0.45">
      <c r="S5243" s="452"/>
      <c r="T5243" s="452"/>
      <c r="U5243" s="452"/>
      <c r="V5243" s="452"/>
      <c r="W5243" s="452"/>
    </row>
    <row r="5244" spans="19:23" ht="15" customHeight="1" x14ac:dyDescent="0.45">
      <c r="S5244" s="452"/>
      <c r="T5244" s="452"/>
      <c r="U5244" s="452"/>
      <c r="V5244" s="452"/>
      <c r="W5244" s="452"/>
    </row>
    <row r="5245" spans="19:23" ht="15" customHeight="1" x14ac:dyDescent="0.45">
      <c r="S5245" s="452"/>
      <c r="T5245" s="452"/>
      <c r="U5245" s="452"/>
      <c r="V5245" s="452"/>
      <c r="W5245" s="452"/>
    </row>
    <row r="5246" spans="19:23" ht="15" customHeight="1" x14ac:dyDescent="0.45">
      <c r="S5246" s="452"/>
      <c r="T5246" s="452"/>
      <c r="U5246" s="452"/>
      <c r="V5246" s="452"/>
      <c r="W5246" s="452"/>
    </row>
    <row r="5247" spans="19:23" ht="15" customHeight="1" x14ac:dyDescent="0.45">
      <c r="S5247" s="452"/>
      <c r="T5247" s="452"/>
      <c r="U5247" s="452"/>
      <c r="V5247" s="452"/>
      <c r="W5247" s="452"/>
    </row>
    <row r="5248" spans="19:23" ht="15" customHeight="1" x14ac:dyDescent="0.45">
      <c r="S5248" s="452"/>
      <c r="T5248" s="452"/>
      <c r="U5248" s="452"/>
      <c r="V5248" s="452"/>
      <c r="W5248" s="452"/>
    </row>
    <row r="5249" spans="19:23" ht="15" customHeight="1" x14ac:dyDescent="0.45">
      <c r="S5249" s="452"/>
      <c r="T5249" s="452"/>
      <c r="U5249" s="452"/>
      <c r="V5249" s="452"/>
      <c r="W5249" s="452"/>
    </row>
    <row r="5250" spans="19:23" ht="15" customHeight="1" x14ac:dyDescent="0.45">
      <c r="S5250" s="452"/>
      <c r="T5250" s="452"/>
      <c r="U5250" s="452"/>
      <c r="V5250" s="452"/>
      <c r="W5250" s="452"/>
    </row>
    <row r="5251" spans="19:23" ht="15" customHeight="1" x14ac:dyDescent="0.45">
      <c r="S5251" s="452"/>
      <c r="T5251" s="452"/>
      <c r="U5251" s="452"/>
      <c r="V5251" s="452"/>
      <c r="W5251" s="452"/>
    </row>
    <row r="5252" spans="19:23" ht="15" customHeight="1" x14ac:dyDescent="0.45">
      <c r="S5252" s="452"/>
      <c r="T5252" s="452"/>
      <c r="U5252" s="452"/>
      <c r="V5252" s="452"/>
      <c r="W5252" s="452"/>
    </row>
    <row r="5253" spans="19:23" ht="15" customHeight="1" x14ac:dyDescent="0.45">
      <c r="S5253" s="452"/>
      <c r="T5253" s="452"/>
      <c r="U5253" s="452"/>
      <c r="V5253" s="452"/>
      <c r="W5253" s="452"/>
    </row>
    <row r="5254" spans="19:23" ht="15" customHeight="1" x14ac:dyDescent="0.45">
      <c r="S5254" s="452"/>
      <c r="T5254" s="452"/>
      <c r="U5254" s="452"/>
      <c r="V5254" s="452"/>
      <c r="W5254" s="452"/>
    </row>
    <row r="5255" spans="19:23" ht="15" customHeight="1" x14ac:dyDescent="0.45">
      <c r="S5255" s="452"/>
      <c r="T5255" s="452"/>
      <c r="U5255" s="452"/>
      <c r="V5255" s="452"/>
      <c r="W5255" s="452"/>
    </row>
    <row r="5256" spans="19:23" ht="15" customHeight="1" x14ac:dyDescent="0.45">
      <c r="S5256" s="452"/>
      <c r="T5256" s="452"/>
      <c r="U5256" s="452"/>
      <c r="V5256" s="452"/>
      <c r="W5256" s="452"/>
    </row>
    <row r="5257" spans="19:23" ht="15" customHeight="1" x14ac:dyDescent="0.45">
      <c r="S5257" s="452"/>
      <c r="T5257" s="452"/>
      <c r="U5257" s="452"/>
      <c r="V5257" s="452"/>
      <c r="W5257" s="452"/>
    </row>
    <row r="5258" spans="19:23" ht="15" customHeight="1" x14ac:dyDescent="0.45">
      <c r="S5258" s="452"/>
      <c r="T5258" s="452"/>
      <c r="U5258" s="452"/>
      <c r="V5258" s="452"/>
      <c r="W5258" s="452"/>
    </row>
    <row r="5259" spans="19:23" ht="15" customHeight="1" x14ac:dyDescent="0.45">
      <c r="S5259" s="452"/>
      <c r="T5259" s="452"/>
      <c r="U5259" s="452"/>
      <c r="V5259" s="452"/>
      <c r="W5259" s="452"/>
    </row>
    <row r="5260" spans="19:23" ht="15" customHeight="1" x14ac:dyDescent="0.45">
      <c r="S5260" s="452"/>
      <c r="T5260" s="452"/>
      <c r="U5260" s="452"/>
      <c r="V5260" s="452"/>
      <c r="W5260" s="452"/>
    </row>
    <row r="5261" spans="19:23" ht="15" customHeight="1" x14ac:dyDescent="0.45">
      <c r="S5261" s="452"/>
      <c r="T5261" s="452"/>
      <c r="U5261" s="452"/>
      <c r="V5261" s="452"/>
      <c r="W5261" s="452"/>
    </row>
    <row r="5262" spans="19:23" ht="15" customHeight="1" x14ac:dyDescent="0.45">
      <c r="S5262" s="452"/>
      <c r="T5262" s="452"/>
      <c r="U5262" s="452"/>
      <c r="V5262" s="452"/>
      <c r="W5262" s="452"/>
    </row>
    <row r="5263" spans="19:23" ht="15" customHeight="1" x14ac:dyDescent="0.45">
      <c r="S5263" s="452"/>
      <c r="T5263" s="452"/>
      <c r="U5263" s="452"/>
      <c r="V5263" s="452"/>
      <c r="W5263" s="452"/>
    </row>
    <row r="5264" spans="19:23" ht="15" customHeight="1" x14ac:dyDescent="0.45">
      <c r="S5264" s="452"/>
      <c r="T5264" s="452"/>
      <c r="U5264" s="452"/>
      <c r="V5264" s="452"/>
      <c r="W5264" s="452"/>
    </row>
    <row r="5265" spans="19:23" ht="15" customHeight="1" x14ac:dyDescent="0.45">
      <c r="S5265" s="452"/>
      <c r="T5265" s="452"/>
      <c r="U5265" s="452"/>
      <c r="V5265" s="452"/>
      <c r="W5265" s="452"/>
    </row>
    <row r="5266" spans="19:23" ht="15" customHeight="1" x14ac:dyDescent="0.45">
      <c r="S5266" s="452"/>
      <c r="T5266" s="452"/>
      <c r="U5266" s="452"/>
      <c r="V5266" s="452"/>
      <c r="W5266" s="452"/>
    </row>
    <row r="5267" spans="19:23" ht="15" customHeight="1" x14ac:dyDescent="0.45">
      <c r="S5267" s="452"/>
      <c r="T5267" s="452"/>
      <c r="U5267" s="452"/>
      <c r="V5267" s="452"/>
      <c r="W5267" s="452"/>
    </row>
    <row r="5268" spans="19:23" ht="15" customHeight="1" x14ac:dyDescent="0.45">
      <c r="S5268" s="452"/>
      <c r="T5268" s="452"/>
      <c r="U5268" s="452"/>
      <c r="V5268" s="452"/>
      <c r="W5268" s="452"/>
    </row>
    <row r="5269" spans="19:23" ht="15" customHeight="1" x14ac:dyDescent="0.45">
      <c r="S5269" s="452"/>
      <c r="T5269" s="452"/>
      <c r="U5269" s="452"/>
      <c r="V5269" s="452"/>
      <c r="W5269" s="452"/>
    </row>
    <row r="5270" spans="19:23" ht="15" customHeight="1" x14ac:dyDescent="0.45">
      <c r="S5270" s="452"/>
      <c r="T5270" s="452"/>
      <c r="U5270" s="452"/>
      <c r="V5270" s="452"/>
      <c r="W5270" s="452"/>
    </row>
    <row r="5271" spans="19:23" ht="15" customHeight="1" x14ac:dyDescent="0.45">
      <c r="S5271" s="452"/>
      <c r="T5271" s="452"/>
      <c r="U5271" s="452"/>
      <c r="V5271" s="452"/>
      <c r="W5271" s="452"/>
    </row>
    <row r="5272" spans="19:23" ht="15" customHeight="1" x14ac:dyDescent="0.45">
      <c r="S5272" s="452"/>
      <c r="T5272" s="452"/>
      <c r="U5272" s="452"/>
      <c r="V5272" s="452"/>
      <c r="W5272" s="452"/>
    </row>
    <row r="5273" spans="19:23" ht="15" customHeight="1" x14ac:dyDescent="0.45">
      <c r="S5273" s="452"/>
      <c r="T5273" s="452"/>
      <c r="U5273" s="452"/>
      <c r="V5273" s="452"/>
      <c r="W5273" s="452"/>
    </row>
    <row r="5274" spans="19:23" ht="15" customHeight="1" x14ac:dyDescent="0.45">
      <c r="S5274" s="452"/>
      <c r="T5274" s="452"/>
      <c r="U5274" s="452"/>
      <c r="V5274" s="452"/>
      <c r="W5274" s="452"/>
    </row>
    <row r="5275" spans="19:23" ht="15" customHeight="1" x14ac:dyDescent="0.45">
      <c r="S5275" s="452"/>
      <c r="T5275" s="452"/>
      <c r="U5275" s="452"/>
      <c r="V5275" s="452"/>
      <c r="W5275" s="452"/>
    </row>
    <row r="5276" spans="19:23" ht="15" customHeight="1" x14ac:dyDescent="0.45">
      <c r="S5276" s="452"/>
      <c r="T5276" s="452"/>
      <c r="U5276" s="452"/>
      <c r="V5276" s="452"/>
      <c r="W5276" s="452"/>
    </row>
    <row r="5277" spans="19:23" ht="15" customHeight="1" x14ac:dyDescent="0.45">
      <c r="S5277" s="452"/>
      <c r="T5277" s="452"/>
      <c r="U5277" s="452"/>
      <c r="V5277" s="452"/>
      <c r="W5277" s="452"/>
    </row>
    <row r="5278" spans="19:23" ht="15" customHeight="1" x14ac:dyDescent="0.45">
      <c r="S5278" s="452"/>
      <c r="T5278" s="452"/>
      <c r="U5278" s="452"/>
      <c r="V5278" s="452"/>
      <c r="W5278" s="452"/>
    </row>
    <row r="5279" spans="19:23" ht="15" customHeight="1" x14ac:dyDescent="0.45">
      <c r="S5279" s="452"/>
      <c r="T5279" s="452"/>
      <c r="U5279" s="452"/>
      <c r="V5279" s="452"/>
      <c r="W5279" s="452"/>
    </row>
    <row r="5280" spans="19:23" ht="15" customHeight="1" x14ac:dyDescent="0.45">
      <c r="S5280" s="452"/>
      <c r="T5280" s="452"/>
      <c r="U5280" s="452"/>
      <c r="V5280" s="452"/>
      <c r="W5280" s="452"/>
    </row>
    <row r="5281" spans="19:23" ht="15" customHeight="1" x14ac:dyDescent="0.45">
      <c r="S5281" s="452"/>
      <c r="T5281" s="452"/>
      <c r="U5281" s="452"/>
      <c r="V5281" s="452"/>
      <c r="W5281" s="452"/>
    </row>
    <row r="5282" spans="19:23" ht="15" customHeight="1" x14ac:dyDescent="0.45">
      <c r="S5282" s="452"/>
      <c r="T5282" s="452"/>
      <c r="U5282" s="452"/>
      <c r="V5282" s="452"/>
      <c r="W5282" s="452"/>
    </row>
    <row r="5283" spans="19:23" ht="15" customHeight="1" x14ac:dyDescent="0.45">
      <c r="S5283" s="452"/>
      <c r="T5283" s="452"/>
      <c r="U5283" s="452"/>
      <c r="V5283" s="452"/>
      <c r="W5283" s="452"/>
    </row>
    <row r="5284" spans="19:23" ht="15" customHeight="1" x14ac:dyDescent="0.45">
      <c r="S5284" s="452"/>
      <c r="T5284" s="452"/>
      <c r="U5284" s="452"/>
      <c r="V5284" s="452"/>
      <c r="W5284" s="452"/>
    </row>
    <row r="5285" spans="19:23" ht="15" customHeight="1" x14ac:dyDescent="0.45">
      <c r="S5285" s="452"/>
      <c r="T5285" s="452"/>
      <c r="U5285" s="452"/>
      <c r="V5285" s="452"/>
      <c r="W5285" s="452"/>
    </row>
    <row r="5286" spans="19:23" ht="15" customHeight="1" x14ac:dyDescent="0.45">
      <c r="S5286" s="452"/>
      <c r="T5286" s="452"/>
      <c r="U5286" s="452"/>
      <c r="V5286" s="452"/>
      <c r="W5286" s="452"/>
    </row>
    <row r="5287" spans="19:23" ht="15" customHeight="1" x14ac:dyDescent="0.45">
      <c r="S5287" s="452"/>
      <c r="T5287" s="452"/>
      <c r="U5287" s="452"/>
      <c r="V5287" s="452"/>
      <c r="W5287" s="452"/>
    </row>
    <row r="5288" spans="19:23" ht="15" customHeight="1" x14ac:dyDescent="0.45">
      <c r="S5288" s="452"/>
      <c r="T5288" s="452"/>
      <c r="U5288" s="452"/>
      <c r="V5288" s="452"/>
      <c r="W5288" s="452"/>
    </row>
    <row r="5289" spans="19:23" ht="15" customHeight="1" x14ac:dyDescent="0.45">
      <c r="S5289" s="452"/>
      <c r="T5289" s="452"/>
      <c r="U5289" s="452"/>
      <c r="V5289" s="452"/>
      <c r="W5289" s="452"/>
    </row>
    <row r="5290" spans="19:23" ht="15" customHeight="1" x14ac:dyDescent="0.45">
      <c r="S5290" s="452"/>
      <c r="T5290" s="452"/>
      <c r="U5290" s="452"/>
      <c r="V5290" s="452"/>
      <c r="W5290" s="452"/>
    </row>
    <row r="5291" spans="19:23" ht="15" customHeight="1" x14ac:dyDescent="0.45">
      <c r="S5291" s="452"/>
      <c r="T5291" s="452"/>
      <c r="U5291" s="452"/>
      <c r="V5291" s="452"/>
      <c r="W5291" s="452"/>
    </row>
    <row r="5292" spans="19:23" ht="15" customHeight="1" x14ac:dyDescent="0.45">
      <c r="S5292" s="452"/>
      <c r="T5292" s="452"/>
      <c r="U5292" s="452"/>
      <c r="V5292" s="452"/>
      <c r="W5292" s="452"/>
    </row>
    <row r="5293" spans="19:23" ht="15" customHeight="1" x14ac:dyDescent="0.45">
      <c r="S5293" s="452"/>
      <c r="T5293" s="452"/>
      <c r="U5293" s="452"/>
      <c r="V5293" s="452"/>
      <c r="W5293" s="452"/>
    </row>
    <row r="5294" spans="19:23" ht="15" customHeight="1" x14ac:dyDescent="0.45">
      <c r="S5294" s="452"/>
      <c r="T5294" s="452"/>
      <c r="U5294" s="452"/>
      <c r="V5294" s="452"/>
      <c r="W5294" s="452"/>
    </row>
    <row r="5295" spans="19:23" ht="15" customHeight="1" x14ac:dyDescent="0.45">
      <c r="S5295" s="452"/>
      <c r="T5295" s="452"/>
      <c r="U5295" s="452"/>
      <c r="V5295" s="452"/>
      <c r="W5295" s="452"/>
    </row>
    <row r="5296" spans="19:23" ht="15" customHeight="1" x14ac:dyDescent="0.45">
      <c r="S5296" s="452"/>
      <c r="T5296" s="452"/>
      <c r="U5296" s="452"/>
      <c r="V5296" s="452"/>
      <c r="W5296" s="452"/>
    </row>
    <row r="5297" spans="19:23" ht="15" customHeight="1" x14ac:dyDescent="0.45">
      <c r="S5297" s="452"/>
      <c r="T5297" s="452"/>
      <c r="U5297" s="452"/>
      <c r="V5297" s="452"/>
      <c r="W5297" s="452"/>
    </row>
    <row r="5298" spans="19:23" ht="15" customHeight="1" x14ac:dyDescent="0.45">
      <c r="S5298" s="452"/>
      <c r="T5298" s="452"/>
      <c r="U5298" s="452"/>
      <c r="V5298" s="452"/>
      <c r="W5298" s="452"/>
    </row>
    <row r="5299" spans="19:23" ht="15" customHeight="1" x14ac:dyDescent="0.45">
      <c r="S5299" s="452"/>
      <c r="T5299" s="452"/>
      <c r="U5299" s="452"/>
      <c r="V5299" s="452"/>
      <c r="W5299" s="452"/>
    </row>
    <row r="5300" spans="19:23" ht="15" customHeight="1" x14ac:dyDescent="0.45">
      <c r="S5300" s="452"/>
      <c r="T5300" s="452"/>
      <c r="U5300" s="452"/>
      <c r="V5300" s="452"/>
      <c r="W5300" s="452"/>
    </row>
    <row r="5301" spans="19:23" ht="15" customHeight="1" x14ac:dyDescent="0.45">
      <c r="S5301" s="452"/>
      <c r="T5301" s="452"/>
      <c r="U5301" s="452"/>
      <c r="V5301" s="452"/>
      <c r="W5301" s="452"/>
    </row>
    <row r="5302" spans="19:23" ht="15" customHeight="1" x14ac:dyDescent="0.45">
      <c r="S5302" s="452"/>
      <c r="T5302" s="452"/>
      <c r="U5302" s="452"/>
      <c r="V5302" s="452"/>
      <c r="W5302" s="452"/>
    </row>
    <row r="5303" spans="19:23" ht="15" customHeight="1" x14ac:dyDescent="0.45">
      <c r="S5303" s="452"/>
      <c r="T5303" s="452"/>
      <c r="U5303" s="452"/>
      <c r="V5303" s="452"/>
      <c r="W5303" s="452"/>
    </row>
    <row r="5304" spans="19:23" ht="15" customHeight="1" x14ac:dyDescent="0.45">
      <c r="S5304" s="452"/>
      <c r="T5304" s="452"/>
      <c r="U5304" s="452"/>
      <c r="V5304" s="452"/>
      <c r="W5304" s="452"/>
    </row>
    <row r="5305" spans="19:23" ht="15" customHeight="1" x14ac:dyDescent="0.45">
      <c r="S5305" s="452"/>
      <c r="T5305" s="452"/>
      <c r="U5305" s="452"/>
      <c r="V5305" s="452"/>
      <c r="W5305" s="452"/>
    </row>
    <row r="5306" spans="19:23" ht="15" customHeight="1" x14ac:dyDescent="0.45">
      <c r="S5306" s="452"/>
      <c r="T5306" s="452"/>
      <c r="U5306" s="452"/>
      <c r="V5306" s="452"/>
      <c r="W5306" s="452"/>
    </row>
    <row r="5307" spans="19:23" ht="15" customHeight="1" x14ac:dyDescent="0.45">
      <c r="S5307" s="452"/>
      <c r="T5307" s="452"/>
      <c r="U5307" s="452"/>
      <c r="V5307" s="452"/>
      <c r="W5307" s="452"/>
    </row>
    <row r="5308" spans="19:23" ht="15" customHeight="1" x14ac:dyDescent="0.45">
      <c r="S5308" s="452"/>
      <c r="T5308" s="452"/>
      <c r="U5308" s="452"/>
      <c r="V5308" s="452"/>
      <c r="W5308" s="452"/>
    </row>
    <row r="5309" spans="19:23" ht="15" customHeight="1" x14ac:dyDescent="0.45">
      <c r="S5309" s="452"/>
      <c r="T5309" s="452"/>
      <c r="U5309" s="452"/>
      <c r="V5309" s="452"/>
      <c r="W5309" s="452"/>
    </row>
    <row r="5310" spans="19:23" ht="15" customHeight="1" x14ac:dyDescent="0.45">
      <c r="S5310" s="452"/>
      <c r="T5310" s="452"/>
      <c r="U5310" s="452"/>
      <c r="V5310" s="452"/>
      <c r="W5310" s="452"/>
    </row>
    <row r="5311" spans="19:23" ht="15" customHeight="1" x14ac:dyDescent="0.45">
      <c r="S5311" s="452"/>
      <c r="T5311" s="452"/>
      <c r="U5311" s="452"/>
      <c r="V5311" s="452"/>
      <c r="W5311" s="452"/>
    </row>
    <row r="5312" spans="19:23" ht="15" customHeight="1" x14ac:dyDescent="0.45">
      <c r="S5312" s="452"/>
      <c r="T5312" s="452"/>
      <c r="U5312" s="452"/>
      <c r="V5312" s="452"/>
      <c r="W5312" s="452"/>
    </row>
    <row r="5313" spans="19:23" ht="15" customHeight="1" x14ac:dyDescent="0.45">
      <c r="S5313" s="452"/>
      <c r="T5313" s="452"/>
      <c r="U5313" s="452"/>
      <c r="V5313" s="452"/>
      <c r="W5313" s="452"/>
    </row>
    <row r="5314" spans="19:23" ht="15" customHeight="1" x14ac:dyDescent="0.45">
      <c r="S5314" s="452"/>
      <c r="T5314" s="452"/>
      <c r="U5314" s="452"/>
      <c r="V5314" s="452"/>
      <c r="W5314" s="452"/>
    </row>
    <row r="5315" spans="19:23" ht="15" customHeight="1" x14ac:dyDescent="0.45">
      <c r="S5315" s="452"/>
      <c r="T5315" s="452"/>
      <c r="U5315" s="452"/>
      <c r="V5315" s="452"/>
      <c r="W5315" s="452"/>
    </row>
    <row r="5316" spans="19:23" ht="15" customHeight="1" x14ac:dyDescent="0.45">
      <c r="S5316" s="452"/>
      <c r="T5316" s="452"/>
      <c r="U5316" s="452"/>
      <c r="V5316" s="452"/>
      <c r="W5316" s="452"/>
    </row>
    <row r="5317" spans="19:23" ht="15" customHeight="1" x14ac:dyDescent="0.45">
      <c r="S5317" s="452"/>
      <c r="T5317" s="452"/>
      <c r="U5317" s="452"/>
      <c r="V5317" s="452"/>
      <c r="W5317" s="452"/>
    </row>
    <row r="5318" spans="19:23" ht="15" customHeight="1" x14ac:dyDescent="0.45">
      <c r="S5318" s="452"/>
      <c r="T5318" s="452"/>
      <c r="U5318" s="452"/>
      <c r="V5318" s="452"/>
      <c r="W5318" s="452"/>
    </row>
    <row r="5319" spans="19:23" ht="15" customHeight="1" x14ac:dyDescent="0.45">
      <c r="S5319" s="452"/>
      <c r="T5319" s="452"/>
      <c r="U5319" s="452"/>
      <c r="V5319" s="452"/>
      <c r="W5319" s="452"/>
    </row>
    <row r="5320" spans="19:23" ht="15" customHeight="1" x14ac:dyDescent="0.45">
      <c r="S5320" s="452"/>
      <c r="T5320" s="452"/>
      <c r="U5320" s="452"/>
      <c r="V5320" s="452"/>
      <c r="W5320" s="452"/>
    </row>
    <row r="5321" spans="19:23" ht="15" customHeight="1" x14ac:dyDescent="0.45">
      <c r="S5321" s="452"/>
      <c r="T5321" s="452"/>
      <c r="U5321" s="452"/>
      <c r="V5321" s="452"/>
      <c r="W5321" s="452"/>
    </row>
    <row r="5322" spans="19:23" ht="15" customHeight="1" x14ac:dyDescent="0.45">
      <c r="S5322" s="452"/>
      <c r="T5322" s="452"/>
      <c r="U5322" s="452"/>
      <c r="V5322" s="452"/>
      <c r="W5322" s="452"/>
    </row>
    <row r="5323" spans="19:23" ht="15" customHeight="1" x14ac:dyDescent="0.45">
      <c r="S5323" s="452"/>
      <c r="T5323" s="452"/>
      <c r="U5323" s="452"/>
      <c r="V5323" s="452"/>
      <c r="W5323" s="452"/>
    </row>
    <row r="5324" spans="19:23" ht="15" customHeight="1" x14ac:dyDescent="0.45">
      <c r="S5324" s="452"/>
      <c r="T5324" s="452"/>
      <c r="U5324" s="452"/>
      <c r="V5324" s="452"/>
      <c r="W5324" s="452"/>
    </row>
    <row r="5325" spans="19:23" ht="15" customHeight="1" x14ac:dyDescent="0.45">
      <c r="S5325" s="452"/>
      <c r="T5325" s="452"/>
      <c r="U5325" s="452"/>
      <c r="V5325" s="452"/>
      <c r="W5325" s="452"/>
    </row>
    <row r="5326" spans="19:23" ht="15" customHeight="1" x14ac:dyDescent="0.45">
      <c r="S5326" s="452"/>
      <c r="T5326" s="452"/>
      <c r="U5326" s="452"/>
      <c r="V5326" s="452"/>
      <c r="W5326" s="452"/>
    </row>
    <row r="5327" spans="19:23" ht="15" customHeight="1" x14ac:dyDescent="0.45">
      <c r="S5327" s="452"/>
      <c r="T5327" s="452"/>
      <c r="U5327" s="452"/>
      <c r="V5327" s="452"/>
      <c r="W5327" s="452"/>
    </row>
    <row r="5328" spans="19:23" ht="15" customHeight="1" x14ac:dyDescent="0.45">
      <c r="S5328" s="452"/>
      <c r="T5328" s="452"/>
      <c r="U5328" s="452"/>
      <c r="V5328" s="452"/>
      <c r="W5328" s="452"/>
    </row>
    <row r="5329" spans="19:23" ht="15" customHeight="1" x14ac:dyDescent="0.45">
      <c r="S5329" s="452"/>
      <c r="T5329" s="452"/>
      <c r="U5329" s="452"/>
      <c r="V5329" s="452"/>
      <c r="W5329" s="452"/>
    </row>
    <row r="5330" spans="19:23" ht="15" customHeight="1" x14ac:dyDescent="0.45">
      <c r="S5330" s="452"/>
      <c r="T5330" s="452"/>
      <c r="U5330" s="452"/>
      <c r="V5330" s="452"/>
      <c r="W5330" s="452"/>
    </row>
    <row r="5331" spans="19:23" ht="15" customHeight="1" x14ac:dyDescent="0.45">
      <c r="S5331" s="452"/>
      <c r="T5331" s="452"/>
      <c r="U5331" s="452"/>
      <c r="V5331" s="452"/>
      <c r="W5331" s="452"/>
    </row>
    <row r="5332" spans="19:23" ht="15" customHeight="1" x14ac:dyDescent="0.45">
      <c r="S5332" s="452"/>
      <c r="T5332" s="452"/>
      <c r="U5332" s="452"/>
      <c r="V5332" s="452"/>
      <c r="W5332" s="452"/>
    </row>
    <row r="5333" spans="19:23" ht="15" customHeight="1" x14ac:dyDescent="0.45">
      <c r="S5333" s="452"/>
      <c r="T5333" s="452"/>
      <c r="U5333" s="452"/>
      <c r="V5333" s="452"/>
      <c r="W5333" s="452"/>
    </row>
    <row r="5334" spans="19:23" ht="15" customHeight="1" x14ac:dyDescent="0.45">
      <c r="S5334" s="452"/>
      <c r="T5334" s="452"/>
      <c r="U5334" s="452"/>
      <c r="V5334" s="452"/>
      <c r="W5334" s="452"/>
    </row>
    <row r="5335" spans="19:23" ht="15" customHeight="1" x14ac:dyDescent="0.45">
      <c r="S5335" s="452"/>
      <c r="T5335" s="452"/>
      <c r="U5335" s="452"/>
      <c r="V5335" s="452"/>
      <c r="W5335" s="452"/>
    </row>
    <row r="5336" spans="19:23" ht="15" customHeight="1" x14ac:dyDescent="0.45">
      <c r="S5336" s="452"/>
      <c r="T5336" s="452"/>
      <c r="U5336" s="452"/>
      <c r="V5336" s="452"/>
      <c r="W5336" s="452"/>
    </row>
    <row r="5337" spans="19:23" ht="15" customHeight="1" x14ac:dyDescent="0.45">
      <c r="S5337" s="452"/>
      <c r="T5337" s="452"/>
      <c r="U5337" s="452"/>
      <c r="V5337" s="452"/>
      <c r="W5337" s="452"/>
    </row>
    <row r="5338" spans="19:23" ht="15" customHeight="1" x14ac:dyDescent="0.45">
      <c r="S5338" s="452"/>
      <c r="T5338" s="452"/>
      <c r="U5338" s="452"/>
      <c r="V5338" s="452"/>
      <c r="W5338" s="452"/>
    </row>
    <row r="5339" spans="19:23" ht="15" customHeight="1" x14ac:dyDescent="0.45">
      <c r="S5339" s="452"/>
      <c r="T5339" s="452"/>
      <c r="U5339" s="452"/>
      <c r="V5339" s="452"/>
      <c r="W5339" s="452"/>
    </row>
    <row r="5340" spans="19:23" ht="15" customHeight="1" x14ac:dyDescent="0.45">
      <c r="S5340" s="452"/>
      <c r="T5340" s="452"/>
      <c r="U5340" s="452"/>
      <c r="V5340" s="452"/>
      <c r="W5340" s="452"/>
    </row>
    <row r="5341" spans="19:23" ht="15" customHeight="1" x14ac:dyDescent="0.45">
      <c r="S5341" s="452"/>
      <c r="T5341" s="452"/>
      <c r="U5341" s="452"/>
      <c r="V5341" s="452"/>
      <c r="W5341" s="452"/>
    </row>
    <row r="5342" spans="19:23" ht="15" customHeight="1" x14ac:dyDescent="0.45">
      <c r="S5342" s="452"/>
      <c r="T5342" s="452"/>
      <c r="U5342" s="452"/>
      <c r="V5342" s="452"/>
      <c r="W5342" s="452"/>
    </row>
    <row r="5343" spans="19:23" ht="15" customHeight="1" x14ac:dyDescent="0.45">
      <c r="S5343" s="452"/>
      <c r="T5343" s="452"/>
      <c r="U5343" s="452"/>
      <c r="V5343" s="452"/>
      <c r="W5343" s="452"/>
    </row>
    <row r="5344" spans="19:23" ht="15" customHeight="1" x14ac:dyDescent="0.45">
      <c r="S5344" s="452"/>
      <c r="T5344" s="452"/>
      <c r="U5344" s="452"/>
      <c r="V5344" s="452"/>
      <c r="W5344" s="452"/>
    </row>
    <row r="5345" spans="19:23" ht="15" customHeight="1" x14ac:dyDescent="0.45">
      <c r="S5345" s="452"/>
      <c r="T5345" s="452"/>
      <c r="U5345" s="452"/>
      <c r="V5345" s="452"/>
      <c r="W5345" s="452"/>
    </row>
    <row r="5346" spans="19:23" ht="15" customHeight="1" x14ac:dyDescent="0.45">
      <c r="S5346" s="452"/>
      <c r="T5346" s="452"/>
      <c r="U5346" s="452"/>
      <c r="V5346" s="452"/>
      <c r="W5346" s="452"/>
    </row>
    <row r="5347" spans="19:23" ht="15" customHeight="1" x14ac:dyDescent="0.45">
      <c r="S5347" s="452"/>
      <c r="T5347" s="452"/>
      <c r="U5347" s="452"/>
      <c r="V5347" s="452"/>
      <c r="W5347" s="452"/>
    </row>
    <row r="5348" spans="19:23" ht="15" customHeight="1" x14ac:dyDescent="0.45">
      <c r="S5348" s="452"/>
      <c r="T5348" s="452"/>
      <c r="U5348" s="452"/>
      <c r="V5348" s="452"/>
      <c r="W5348" s="452"/>
    </row>
    <row r="5349" spans="19:23" ht="15" customHeight="1" x14ac:dyDescent="0.45">
      <c r="S5349" s="452"/>
      <c r="T5349" s="452"/>
      <c r="U5349" s="452"/>
      <c r="V5349" s="452"/>
      <c r="W5349" s="452"/>
    </row>
    <row r="5350" spans="19:23" ht="15" customHeight="1" x14ac:dyDescent="0.45">
      <c r="S5350" s="452"/>
      <c r="T5350" s="452"/>
      <c r="U5350" s="452"/>
      <c r="V5350" s="452"/>
      <c r="W5350" s="452"/>
    </row>
    <row r="5351" spans="19:23" ht="15" customHeight="1" x14ac:dyDescent="0.45">
      <c r="S5351" s="452"/>
      <c r="T5351" s="452"/>
      <c r="U5351" s="452"/>
      <c r="V5351" s="452"/>
      <c r="W5351" s="452"/>
    </row>
    <row r="5352" spans="19:23" ht="15" customHeight="1" x14ac:dyDescent="0.45">
      <c r="S5352" s="452"/>
      <c r="T5352" s="452"/>
      <c r="U5352" s="452"/>
      <c r="V5352" s="452"/>
      <c r="W5352" s="452"/>
    </row>
    <row r="5353" spans="19:23" ht="15" customHeight="1" x14ac:dyDescent="0.45">
      <c r="S5353" s="452"/>
      <c r="T5353" s="452"/>
      <c r="U5353" s="452"/>
      <c r="V5353" s="452"/>
      <c r="W5353" s="452"/>
    </row>
    <row r="5354" spans="19:23" ht="15" customHeight="1" x14ac:dyDescent="0.45">
      <c r="S5354" s="452"/>
      <c r="T5354" s="452"/>
      <c r="U5354" s="452"/>
      <c r="V5354" s="452"/>
      <c r="W5354" s="452"/>
    </row>
    <row r="5355" spans="19:23" ht="15" customHeight="1" x14ac:dyDescent="0.45">
      <c r="S5355" s="452"/>
      <c r="T5355" s="452"/>
      <c r="U5355" s="452"/>
      <c r="V5355" s="452"/>
      <c r="W5355" s="452"/>
    </row>
    <row r="5356" spans="19:23" ht="15" customHeight="1" x14ac:dyDescent="0.45">
      <c r="S5356" s="452"/>
      <c r="T5356" s="452"/>
      <c r="U5356" s="452"/>
      <c r="V5356" s="452"/>
      <c r="W5356" s="452"/>
    </row>
    <row r="5357" spans="19:23" ht="15" customHeight="1" x14ac:dyDescent="0.45">
      <c r="S5357" s="452"/>
      <c r="T5357" s="452"/>
      <c r="U5357" s="452"/>
      <c r="V5357" s="452"/>
      <c r="W5357" s="452"/>
    </row>
    <row r="5358" spans="19:23" ht="15" customHeight="1" x14ac:dyDescent="0.45">
      <c r="S5358" s="452"/>
      <c r="T5358" s="452"/>
      <c r="U5358" s="452"/>
      <c r="V5358" s="452"/>
      <c r="W5358" s="452"/>
    </row>
    <row r="5359" spans="19:23" ht="15" customHeight="1" x14ac:dyDescent="0.45">
      <c r="S5359" s="452"/>
      <c r="T5359" s="452"/>
      <c r="U5359" s="452"/>
      <c r="V5359" s="452"/>
      <c r="W5359" s="452"/>
    </row>
    <row r="5360" spans="19:23" ht="15" customHeight="1" x14ac:dyDescent="0.45">
      <c r="S5360" s="452"/>
      <c r="T5360" s="452"/>
      <c r="U5360" s="452"/>
      <c r="V5360" s="452"/>
      <c r="W5360" s="452"/>
    </row>
    <row r="5361" spans="19:23" ht="15" customHeight="1" x14ac:dyDescent="0.45">
      <c r="S5361" s="452"/>
      <c r="T5361" s="452"/>
      <c r="U5361" s="452"/>
      <c r="V5361" s="452"/>
      <c r="W5361" s="452"/>
    </row>
    <row r="5362" spans="19:23" ht="15" customHeight="1" x14ac:dyDescent="0.45">
      <c r="S5362" s="452"/>
      <c r="T5362" s="452"/>
      <c r="U5362" s="452"/>
      <c r="V5362" s="452"/>
      <c r="W5362" s="452"/>
    </row>
    <row r="5363" spans="19:23" ht="15" customHeight="1" x14ac:dyDescent="0.45">
      <c r="S5363" s="452"/>
      <c r="T5363" s="452"/>
      <c r="U5363" s="452"/>
      <c r="V5363" s="452"/>
      <c r="W5363" s="452"/>
    </row>
    <row r="5364" spans="19:23" ht="15" customHeight="1" x14ac:dyDescent="0.45">
      <c r="S5364" s="452"/>
      <c r="T5364" s="452"/>
      <c r="U5364" s="452"/>
      <c r="V5364" s="452"/>
      <c r="W5364" s="452"/>
    </row>
    <row r="5365" spans="19:23" ht="15" customHeight="1" x14ac:dyDescent="0.45">
      <c r="S5365" s="452"/>
      <c r="T5365" s="452"/>
      <c r="U5365" s="452"/>
      <c r="V5365" s="452"/>
      <c r="W5365" s="452"/>
    </row>
    <row r="5366" spans="19:23" ht="15" customHeight="1" x14ac:dyDescent="0.45">
      <c r="S5366" s="452"/>
      <c r="T5366" s="452"/>
      <c r="U5366" s="452"/>
      <c r="V5366" s="452"/>
      <c r="W5366" s="452"/>
    </row>
    <row r="5367" spans="19:23" ht="15" customHeight="1" x14ac:dyDescent="0.45">
      <c r="S5367" s="452"/>
      <c r="T5367" s="452"/>
      <c r="U5367" s="452"/>
      <c r="V5367" s="452"/>
      <c r="W5367" s="452"/>
    </row>
    <row r="5368" spans="19:23" ht="15" customHeight="1" x14ac:dyDescent="0.45">
      <c r="S5368" s="452"/>
      <c r="T5368" s="452"/>
      <c r="U5368" s="452"/>
      <c r="V5368" s="452"/>
      <c r="W5368" s="452"/>
    </row>
    <row r="5369" spans="19:23" ht="15" customHeight="1" x14ac:dyDescent="0.45">
      <c r="S5369" s="452"/>
      <c r="T5369" s="452"/>
      <c r="U5369" s="452"/>
      <c r="V5369" s="452"/>
      <c r="W5369" s="452"/>
    </row>
    <row r="5370" spans="19:23" ht="15" customHeight="1" x14ac:dyDescent="0.45">
      <c r="S5370" s="452"/>
      <c r="T5370" s="452"/>
      <c r="U5370" s="452"/>
      <c r="V5370" s="452"/>
      <c r="W5370" s="452"/>
    </row>
    <row r="5371" spans="19:23" ht="15" customHeight="1" x14ac:dyDescent="0.45">
      <c r="S5371" s="452"/>
      <c r="T5371" s="452"/>
      <c r="U5371" s="452"/>
      <c r="V5371" s="452"/>
      <c r="W5371" s="452"/>
    </row>
    <row r="5372" spans="19:23" ht="15" customHeight="1" x14ac:dyDescent="0.45">
      <c r="S5372" s="452"/>
      <c r="T5372" s="452"/>
      <c r="U5372" s="452"/>
      <c r="V5372" s="452"/>
      <c r="W5372" s="452"/>
    </row>
    <row r="5373" spans="19:23" ht="15" customHeight="1" x14ac:dyDescent="0.45">
      <c r="S5373" s="452"/>
      <c r="T5373" s="452"/>
      <c r="U5373" s="452"/>
      <c r="V5373" s="452"/>
      <c r="W5373" s="452"/>
    </row>
    <row r="5374" spans="19:23" ht="15" customHeight="1" x14ac:dyDescent="0.45">
      <c r="S5374" s="452"/>
      <c r="T5374" s="452"/>
      <c r="U5374" s="452"/>
      <c r="V5374" s="452"/>
      <c r="W5374" s="452"/>
    </row>
    <row r="5375" spans="19:23" ht="15" customHeight="1" x14ac:dyDescent="0.45">
      <c r="S5375" s="452"/>
      <c r="T5375" s="452"/>
      <c r="U5375" s="452"/>
      <c r="V5375" s="452"/>
      <c r="W5375" s="452"/>
    </row>
    <row r="5376" spans="19:23" ht="15" customHeight="1" x14ac:dyDescent="0.45">
      <c r="S5376" s="452"/>
      <c r="T5376" s="452"/>
      <c r="U5376" s="452"/>
      <c r="V5376" s="452"/>
      <c r="W5376" s="452"/>
    </row>
    <row r="5377" spans="19:23" ht="15" customHeight="1" x14ac:dyDescent="0.45">
      <c r="S5377" s="452"/>
      <c r="T5377" s="452"/>
      <c r="U5377" s="452"/>
      <c r="V5377" s="452"/>
      <c r="W5377" s="452"/>
    </row>
    <row r="5378" spans="19:23" ht="15" customHeight="1" x14ac:dyDescent="0.45">
      <c r="S5378" s="452"/>
      <c r="T5378" s="452"/>
      <c r="U5378" s="452"/>
      <c r="V5378" s="452"/>
      <c r="W5378" s="452"/>
    </row>
    <row r="5379" spans="19:23" ht="15" customHeight="1" x14ac:dyDescent="0.45">
      <c r="S5379" s="452"/>
      <c r="T5379" s="452"/>
      <c r="U5379" s="452"/>
      <c r="V5379" s="452"/>
      <c r="W5379" s="452"/>
    </row>
    <row r="5380" spans="19:23" ht="15" customHeight="1" x14ac:dyDescent="0.45">
      <c r="S5380" s="452"/>
      <c r="T5380" s="452"/>
      <c r="U5380" s="452"/>
      <c r="V5380" s="452"/>
      <c r="W5380" s="452"/>
    </row>
    <row r="5381" spans="19:23" ht="15" customHeight="1" x14ac:dyDescent="0.45">
      <c r="S5381" s="452"/>
      <c r="T5381" s="452"/>
      <c r="U5381" s="452"/>
      <c r="V5381" s="452"/>
      <c r="W5381" s="452"/>
    </row>
    <row r="5382" spans="19:23" ht="15" customHeight="1" x14ac:dyDescent="0.45">
      <c r="S5382" s="452"/>
      <c r="T5382" s="452"/>
      <c r="U5382" s="452"/>
      <c r="V5382" s="452"/>
      <c r="W5382" s="452"/>
    </row>
    <row r="5383" spans="19:23" ht="15" customHeight="1" x14ac:dyDescent="0.45">
      <c r="S5383" s="452"/>
      <c r="T5383" s="452"/>
      <c r="U5383" s="452"/>
      <c r="V5383" s="452"/>
      <c r="W5383" s="452"/>
    </row>
    <row r="5384" spans="19:23" ht="15" customHeight="1" x14ac:dyDescent="0.45">
      <c r="S5384" s="452"/>
      <c r="T5384" s="452"/>
      <c r="U5384" s="452"/>
      <c r="V5384" s="452"/>
      <c r="W5384" s="452"/>
    </row>
    <row r="5385" spans="19:23" ht="15" customHeight="1" x14ac:dyDescent="0.45">
      <c r="S5385" s="452"/>
      <c r="T5385" s="452"/>
      <c r="U5385" s="452"/>
      <c r="V5385" s="452"/>
      <c r="W5385" s="452"/>
    </row>
    <row r="5386" spans="19:23" ht="15" customHeight="1" x14ac:dyDescent="0.45">
      <c r="S5386" s="452"/>
      <c r="T5386" s="452"/>
      <c r="U5386" s="452"/>
      <c r="V5386" s="452"/>
      <c r="W5386" s="452"/>
    </row>
    <row r="5387" spans="19:23" ht="15" customHeight="1" x14ac:dyDescent="0.45">
      <c r="S5387" s="452"/>
      <c r="T5387" s="452"/>
      <c r="U5387" s="452"/>
      <c r="V5387" s="452"/>
      <c r="W5387" s="452"/>
    </row>
    <row r="5388" spans="19:23" ht="15" customHeight="1" x14ac:dyDescent="0.45">
      <c r="S5388" s="452"/>
      <c r="T5388" s="452"/>
      <c r="U5388" s="452"/>
      <c r="V5388" s="452"/>
      <c r="W5388" s="452"/>
    </row>
    <row r="5389" spans="19:23" ht="15" customHeight="1" x14ac:dyDescent="0.45">
      <c r="S5389" s="452"/>
      <c r="T5389" s="452"/>
      <c r="U5389" s="452"/>
      <c r="V5389" s="452"/>
      <c r="W5389" s="452"/>
    </row>
    <row r="5390" spans="19:23" ht="15" customHeight="1" x14ac:dyDescent="0.45">
      <c r="S5390" s="452"/>
      <c r="T5390" s="452"/>
      <c r="U5390" s="452"/>
      <c r="V5390" s="452"/>
      <c r="W5390" s="452"/>
    </row>
    <row r="5391" spans="19:23" ht="15" customHeight="1" x14ac:dyDescent="0.45">
      <c r="S5391" s="452"/>
      <c r="T5391" s="452"/>
      <c r="U5391" s="452"/>
      <c r="V5391" s="452"/>
      <c r="W5391" s="452"/>
    </row>
    <row r="5392" spans="19:23" ht="15" customHeight="1" x14ac:dyDescent="0.45">
      <c r="S5392" s="452"/>
      <c r="T5392" s="452"/>
      <c r="U5392" s="452"/>
      <c r="V5392" s="452"/>
      <c r="W5392" s="452"/>
    </row>
    <row r="5393" spans="19:23" ht="15" customHeight="1" x14ac:dyDescent="0.45">
      <c r="S5393" s="452"/>
      <c r="T5393" s="452"/>
      <c r="U5393" s="452"/>
      <c r="V5393" s="452"/>
      <c r="W5393" s="452"/>
    </row>
    <row r="5394" spans="19:23" ht="15" customHeight="1" x14ac:dyDescent="0.45">
      <c r="S5394" s="452"/>
      <c r="T5394" s="452"/>
      <c r="U5394" s="452"/>
      <c r="V5394" s="452"/>
      <c r="W5394" s="452"/>
    </row>
    <row r="5395" spans="19:23" ht="15" customHeight="1" x14ac:dyDescent="0.45">
      <c r="S5395" s="452"/>
      <c r="T5395" s="452"/>
      <c r="U5395" s="452"/>
      <c r="V5395" s="452"/>
      <c r="W5395" s="452"/>
    </row>
    <row r="5396" spans="19:23" ht="15" customHeight="1" x14ac:dyDescent="0.45">
      <c r="S5396" s="452"/>
      <c r="T5396" s="452"/>
      <c r="U5396" s="452"/>
      <c r="V5396" s="452"/>
      <c r="W5396" s="452"/>
    </row>
    <row r="5397" spans="19:23" ht="15" customHeight="1" x14ac:dyDescent="0.45">
      <c r="S5397" s="452"/>
      <c r="T5397" s="452"/>
      <c r="U5397" s="452"/>
      <c r="V5397" s="452"/>
      <c r="W5397" s="452"/>
    </row>
    <row r="5398" spans="19:23" ht="15" customHeight="1" x14ac:dyDescent="0.45">
      <c r="S5398" s="452"/>
      <c r="T5398" s="452"/>
      <c r="U5398" s="452"/>
      <c r="V5398" s="452"/>
      <c r="W5398" s="452"/>
    </row>
    <row r="5399" spans="19:23" ht="15" customHeight="1" x14ac:dyDescent="0.45">
      <c r="S5399" s="452"/>
      <c r="T5399" s="452"/>
      <c r="U5399" s="452"/>
      <c r="V5399" s="452"/>
      <c r="W5399" s="452"/>
    </row>
    <row r="5400" spans="19:23" ht="15" customHeight="1" x14ac:dyDescent="0.45">
      <c r="S5400" s="452"/>
      <c r="T5400" s="452"/>
      <c r="U5400" s="452"/>
      <c r="V5400" s="452"/>
      <c r="W5400" s="452"/>
    </row>
    <row r="5401" spans="19:23" ht="15" customHeight="1" x14ac:dyDescent="0.45">
      <c r="S5401" s="452"/>
      <c r="T5401" s="452"/>
      <c r="U5401" s="452"/>
      <c r="V5401" s="452"/>
      <c r="W5401" s="452"/>
    </row>
    <row r="5402" spans="19:23" ht="15" customHeight="1" x14ac:dyDescent="0.45">
      <c r="S5402" s="452"/>
      <c r="T5402" s="452"/>
      <c r="U5402" s="452"/>
      <c r="V5402" s="452"/>
      <c r="W5402" s="452"/>
    </row>
    <row r="5403" spans="19:23" ht="15" customHeight="1" x14ac:dyDescent="0.45">
      <c r="S5403" s="452"/>
      <c r="T5403" s="452"/>
      <c r="U5403" s="452"/>
      <c r="V5403" s="452"/>
      <c r="W5403" s="452"/>
    </row>
    <row r="5404" spans="19:23" ht="15" customHeight="1" x14ac:dyDescent="0.45">
      <c r="S5404" s="452"/>
      <c r="T5404" s="452"/>
      <c r="U5404" s="452"/>
      <c r="V5404" s="452"/>
      <c r="W5404" s="452"/>
    </row>
    <row r="5405" spans="19:23" ht="15" customHeight="1" x14ac:dyDescent="0.45">
      <c r="S5405" s="452"/>
      <c r="T5405" s="452"/>
      <c r="U5405" s="452"/>
      <c r="V5405" s="452"/>
      <c r="W5405" s="452"/>
    </row>
    <row r="5406" spans="19:23" ht="15" customHeight="1" x14ac:dyDescent="0.45">
      <c r="S5406" s="452"/>
      <c r="T5406" s="452"/>
      <c r="U5406" s="452"/>
      <c r="V5406" s="452"/>
      <c r="W5406" s="452"/>
    </row>
    <row r="5407" spans="19:23" ht="15" customHeight="1" x14ac:dyDescent="0.45">
      <c r="S5407" s="452"/>
      <c r="T5407" s="452"/>
      <c r="U5407" s="452"/>
      <c r="V5407" s="452"/>
      <c r="W5407" s="452"/>
    </row>
    <row r="5408" spans="19:23" ht="15" customHeight="1" x14ac:dyDescent="0.45">
      <c r="S5408" s="452"/>
      <c r="T5408" s="452"/>
      <c r="U5408" s="452"/>
      <c r="V5408" s="452"/>
      <c r="W5408" s="452"/>
    </row>
    <row r="5409" spans="19:23" ht="15" customHeight="1" x14ac:dyDescent="0.45">
      <c r="S5409" s="452"/>
      <c r="T5409" s="452"/>
      <c r="U5409" s="452"/>
      <c r="V5409" s="452"/>
      <c r="W5409" s="452"/>
    </row>
    <row r="5410" spans="19:23" ht="15" customHeight="1" x14ac:dyDescent="0.45">
      <c r="S5410" s="452"/>
      <c r="T5410" s="452"/>
      <c r="U5410" s="452"/>
      <c r="V5410" s="452"/>
      <c r="W5410" s="452"/>
    </row>
    <row r="5411" spans="19:23" ht="15" customHeight="1" x14ac:dyDescent="0.45">
      <c r="S5411" s="452"/>
      <c r="T5411" s="452"/>
      <c r="U5411" s="452"/>
      <c r="V5411" s="452"/>
      <c r="W5411" s="452"/>
    </row>
    <row r="5412" spans="19:23" ht="15" customHeight="1" x14ac:dyDescent="0.45">
      <c r="S5412" s="452"/>
      <c r="T5412" s="452"/>
      <c r="U5412" s="452"/>
      <c r="V5412" s="452"/>
      <c r="W5412" s="452"/>
    </row>
    <row r="5413" spans="19:23" ht="15" customHeight="1" x14ac:dyDescent="0.45">
      <c r="S5413" s="452"/>
      <c r="T5413" s="452"/>
      <c r="U5413" s="452"/>
      <c r="V5413" s="452"/>
      <c r="W5413" s="452"/>
    </row>
    <row r="5414" spans="19:23" ht="15" customHeight="1" x14ac:dyDescent="0.45">
      <c r="S5414" s="452"/>
      <c r="T5414" s="452"/>
      <c r="U5414" s="452"/>
      <c r="V5414" s="452"/>
      <c r="W5414" s="452"/>
    </row>
    <row r="5415" spans="19:23" ht="15" customHeight="1" x14ac:dyDescent="0.45">
      <c r="S5415" s="452"/>
      <c r="T5415" s="452"/>
      <c r="U5415" s="452"/>
      <c r="V5415" s="452"/>
      <c r="W5415" s="452"/>
    </row>
    <row r="5416" spans="19:23" ht="15" customHeight="1" x14ac:dyDescent="0.45">
      <c r="S5416" s="452"/>
      <c r="T5416" s="452"/>
      <c r="U5416" s="452"/>
      <c r="V5416" s="452"/>
      <c r="W5416" s="452"/>
    </row>
    <row r="5417" spans="19:23" ht="15" customHeight="1" x14ac:dyDescent="0.45">
      <c r="S5417" s="452"/>
      <c r="T5417" s="452"/>
      <c r="U5417" s="452"/>
      <c r="V5417" s="452"/>
      <c r="W5417" s="452"/>
    </row>
    <row r="5418" spans="19:23" ht="15" customHeight="1" x14ac:dyDescent="0.45">
      <c r="S5418" s="452"/>
      <c r="T5418" s="452"/>
      <c r="U5418" s="452"/>
      <c r="V5418" s="452"/>
      <c r="W5418" s="452"/>
    </row>
    <row r="5419" spans="19:23" ht="15" customHeight="1" x14ac:dyDescent="0.45">
      <c r="S5419" s="452"/>
      <c r="T5419" s="452"/>
      <c r="U5419" s="452"/>
      <c r="V5419" s="452"/>
      <c r="W5419" s="452"/>
    </row>
    <row r="5420" spans="19:23" ht="15" customHeight="1" x14ac:dyDescent="0.45">
      <c r="S5420" s="452"/>
      <c r="T5420" s="452"/>
      <c r="U5420" s="452"/>
      <c r="V5420" s="452"/>
      <c r="W5420" s="452"/>
    </row>
    <row r="5421" spans="19:23" ht="15" customHeight="1" x14ac:dyDescent="0.45">
      <c r="S5421" s="452"/>
      <c r="T5421" s="452"/>
      <c r="U5421" s="452"/>
      <c r="V5421" s="452"/>
      <c r="W5421" s="452"/>
    </row>
    <row r="5422" spans="19:23" ht="15" customHeight="1" x14ac:dyDescent="0.45">
      <c r="S5422" s="452"/>
      <c r="T5422" s="452"/>
      <c r="U5422" s="452"/>
      <c r="V5422" s="452"/>
      <c r="W5422" s="452"/>
    </row>
    <row r="5423" spans="19:23" ht="15" customHeight="1" x14ac:dyDescent="0.45">
      <c r="S5423" s="452"/>
      <c r="T5423" s="452"/>
      <c r="U5423" s="452"/>
      <c r="V5423" s="452"/>
      <c r="W5423" s="452"/>
    </row>
    <row r="5424" spans="19:23" ht="15" customHeight="1" x14ac:dyDescent="0.45">
      <c r="S5424" s="452"/>
      <c r="T5424" s="452"/>
      <c r="U5424" s="452"/>
      <c r="V5424" s="452"/>
      <c r="W5424" s="452"/>
    </row>
    <row r="5425" spans="19:23" ht="15" customHeight="1" x14ac:dyDescent="0.45">
      <c r="S5425" s="452"/>
      <c r="T5425" s="452"/>
      <c r="U5425" s="452"/>
      <c r="V5425" s="452"/>
      <c r="W5425" s="452"/>
    </row>
    <row r="5426" spans="19:23" ht="15" customHeight="1" x14ac:dyDescent="0.45">
      <c r="S5426" s="452"/>
      <c r="T5426" s="452"/>
      <c r="U5426" s="452"/>
      <c r="V5426" s="452"/>
      <c r="W5426" s="452"/>
    </row>
    <row r="5427" spans="19:23" ht="15" customHeight="1" x14ac:dyDescent="0.45">
      <c r="S5427" s="452"/>
      <c r="T5427" s="452"/>
      <c r="U5427" s="452"/>
      <c r="V5427" s="452"/>
      <c r="W5427" s="452"/>
    </row>
    <row r="5428" spans="19:23" ht="15" customHeight="1" x14ac:dyDescent="0.45">
      <c r="S5428" s="452"/>
      <c r="T5428" s="452"/>
      <c r="U5428" s="452"/>
      <c r="V5428" s="452"/>
      <c r="W5428" s="452"/>
    </row>
    <row r="5429" spans="19:23" ht="15" customHeight="1" x14ac:dyDescent="0.45">
      <c r="S5429" s="452"/>
      <c r="T5429" s="452"/>
      <c r="U5429" s="452"/>
      <c r="V5429" s="452"/>
      <c r="W5429" s="452"/>
    </row>
    <row r="5430" spans="19:23" ht="15" customHeight="1" x14ac:dyDescent="0.45">
      <c r="S5430" s="452"/>
      <c r="T5430" s="452"/>
      <c r="U5430" s="452"/>
      <c r="V5430" s="452"/>
      <c r="W5430" s="452"/>
    </row>
    <row r="5431" spans="19:23" ht="15" customHeight="1" x14ac:dyDescent="0.45">
      <c r="S5431" s="452"/>
      <c r="T5431" s="452"/>
      <c r="U5431" s="452"/>
      <c r="V5431" s="452"/>
      <c r="W5431" s="452"/>
    </row>
    <row r="5432" spans="19:23" ht="15" customHeight="1" x14ac:dyDescent="0.45">
      <c r="S5432" s="452"/>
      <c r="T5432" s="452"/>
      <c r="U5432" s="452"/>
      <c r="V5432" s="452"/>
      <c r="W5432" s="452"/>
    </row>
    <row r="5433" spans="19:23" ht="15" customHeight="1" x14ac:dyDescent="0.45">
      <c r="S5433" s="452"/>
      <c r="T5433" s="452"/>
      <c r="U5433" s="452"/>
      <c r="V5433" s="452"/>
      <c r="W5433" s="452"/>
    </row>
    <row r="5434" spans="19:23" ht="15" customHeight="1" x14ac:dyDescent="0.45">
      <c r="S5434" s="452"/>
      <c r="T5434" s="452"/>
      <c r="U5434" s="452"/>
      <c r="V5434" s="452"/>
      <c r="W5434" s="452"/>
    </row>
    <row r="5435" spans="19:23" ht="15" customHeight="1" x14ac:dyDescent="0.45">
      <c r="S5435" s="452"/>
      <c r="T5435" s="452"/>
      <c r="U5435" s="452"/>
      <c r="V5435" s="452"/>
      <c r="W5435" s="452"/>
    </row>
    <row r="5436" spans="19:23" ht="15" customHeight="1" x14ac:dyDescent="0.45">
      <c r="S5436" s="452"/>
      <c r="T5436" s="452"/>
      <c r="U5436" s="452"/>
      <c r="V5436" s="452"/>
      <c r="W5436" s="452"/>
    </row>
    <row r="5437" spans="19:23" ht="15" customHeight="1" x14ac:dyDescent="0.45">
      <c r="S5437" s="452"/>
      <c r="T5437" s="452"/>
      <c r="U5437" s="452"/>
      <c r="V5437" s="452"/>
      <c r="W5437" s="452"/>
    </row>
    <row r="5438" spans="19:23" ht="15" customHeight="1" x14ac:dyDescent="0.45">
      <c r="S5438" s="452"/>
      <c r="T5438" s="452"/>
      <c r="U5438" s="452"/>
      <c r="V5438" s="452"/>
      <c r="W5438" s="452"/>
    </row>
    <row r="5439" spans="19:23" ht="15" customHeight="1" x14ac:dyDescent="0.45">
      <c r="S5439" s="452"/>
      <c r="T5439" s="452"/>
      <c r="U5439" s="452"/>
      <c r="V5439" s="452"/>
      <c r="W5439" s="452"/>
    </row>
    <row r="5440" spans="19:23" ht="15" customHeight="1" x14ac:dyDescent="0.45">
      <c r="S5440" s="452"/>
      <c r="T5440" s="452"/>
      <c r="U5440" s="452"/>
      <c r="V5440" s="452"/>
      <c r="W5440" s="452"/>
    </row>
    <row r="5441" spans="19:23" ht="15" customHeight="1" x14ac:dyDescent="0.45">
      <c r="S5441" s="452"/>
      <c r="T5441" s="452"/>
      <c r="U5441" s="452"/>
      <c r="V5441" s="452"/>
      <c r="W5441" s="452"/>
    </row>
    <row r="5442" spans="19:23" ht="15" customHeight="1" x14ac:dyDescent="0.45">
      <c r="S5442" s="452"/>
      <c r="T5442" s="452"/>
      <c r="U5442" s="452"/>
      <c r="V5442" s="452"/>
      <c r="W5442" s="452"/>
    </row>
    <row r="5443" spans="19:23" ht="15" customHeight="1" x14ac:dyDescent="0.45">
      <c r="S5443" s="452"/>
      <c r="T5443" s="452"/>
      <c r="U5443" s="452"/>
      <c r="V5443" s="452"/>
      <c r="W5443" s="452"/>
    </row>
    <row r="5444" spans="19:23" ht="15" customHeight="1" x14ac:dyDescent="0.45">
      <c r="S5444" s="452"/>
      <c r="T5444" s="452"/>
      <c r="U5444" s="452"/>
      <c r="V5444" s="452"/>
      <c r="W5444" s="452"/>
    </row>
    <row r="5445" spans="19:23" ht="15" customHeight="1" x14ac:dyDescent="0.45">
      <c r="S5445" s="452"/>
      <c r="T5445" s="452"/>
      <c r="U5445" s="452"/>
      <c r="V5445" s="452"/>
      <c r="W5445" s="452"/>
    </row>
    <row r="5446" spans="19:23" ht="15" customHeight="1" x14ac:dyDescent="0.45">
      <c r="S5446" s="452"/>
      <c r="T5446" s="452"/>
      <c r="U5446" s="452"/>
      <c r="V5446" s="452"/>
      <c r="W5446" s="452"/>
    </row>
    <row r="5447" spans="19:23" ht="15" customHeight="1" x14ac:dyDescent="0.45">
      <c r="S5447" s="452"/>
      <c r="T5447" s="452"/>
      <c r="U5447" s="452"/>
      <c r="V5447" s="452"/>
      <c r="W5447" s="452"/>
    </row>
    <row r="5448" spans="19:23" ht="15" customHeight="1" x14ac:dyDescent="0.45">
      <c r="S5448" s="452"/>
      <c r="T5448" s="452"/>
      <c r="U5448" s="452"/>
      <c r="V5448" s="452"/>
      <c r="W5448" s="452"/>
    </row>
    <row r="5449" spans="19:23" ht="15" customHeight="1" x14ac:dyDescent="0.45">
      <c r="S5449" s="452"/>
      <c r="T5449" s="452"/>
      <c r="U5449" s="452"/>
      <c r="V5449" s="452"/>
      <c r="W5449" s="452"/>
    </row>
    <row r="5450" spans="19:23" ht="15" customHeight="1" x14ac:dyDescent="0.45">
      <c r="S5450" s="452"/>
      <c r="T5450" s="452"/>
      <c r="U5450" s="452"/>
      <c r="V5450" s="452"/>
      <c r="W5450" s="452"/>
    </row>
    <row r="5451" spans="19:23" ht="15" customHeight="1" x14ac:dyDescent="0.45">
      <c r="S5451" s="452"/>
      <c r="T5451" s="452"/>
      <c r="U5451" s="452"/>
      <c r="V5451" s="452"/>
      <c r="W5451" s="452"/>
    </row>
    <row r="5452" spans="19:23" ht="15" customHeight="1" x14ac:dyDescent="0.45">
      <c r="S5452" s="452"/>
      <c r="T5452" s="452"/>
      <c r="U5452" s="452"/>
      <c r="V5452" s="452"/>
      <c r="W5452" s="452"/>
    </row>
    <row r="5453" spans="19:23" ht="15" customHeight="1" x14ac:dyDescent="0.45">
      <c r="S5453" s="452"/>
      <c r="T5453" s="452"/>
      <c r="U5453" s="452"/>
      <c r="V5453" s="452"/>
      <c r="W5453" s="452"/>
    </row>
    <row r="5454" spans="19:23" ht="15" customHeight="1" x14ac:dyDescent="0.45">
      <c r="S5454" s="452"/>
      <c r="T5454" s="452"/>
      <c r="U5454" s="452"/>
      <c r="V5454" s="452"/>
      <c r="W5454" s="452"/>
    </row>
    <row r="5455" spans="19:23" ht="15" customHeight="1" x14ac:dyDescent="0.45">
      <c r="S5455" s="452"/>
      <c r="T5455" s="452"/>
      <c r="U5455" s="452"/>
      <c r="V5455" s="452"/>
      <c r="W5455" s="452"/>
    </row>
    <row r="5456" spans="19:23" ht="15" customHeight="1" x14ac:dyDescent="0.45">
      <c r="S5456" s="452"/>
      <c r="T5456" s="452"/>
      <c r="U5456" s="452"/>
      <c r="V5456" s="452"/>
      <c r="W5456" s="452"/>
    </row>
    <row r="5457" spans="19:23" ht="15" customHeight="1" x14ac:dyDescent="0.45">
      <c r="S5457" s="452"/>
      <c r="T5457" s="452"/>
      <c r="U5457" s="452"/>
      <c r="V5457" s="452"/>
      <c r="W5457" s="452"/>
    </row>
    <row r="5458" spans="19:23" ht="15" customHeight="1" x14ac:dyDescent="0.45">
      <c r="S5458" s="452"/>
      <c r="T5458" s="452"/>
      <c r="U5458" s="452"/>
      <c r="V5458" s="452"/>
      <c r="W5458" s="452"/>
    </row>
    <row r="5459" spans="19:23" ht="15" customHeight="1" x14ac:dyDescent="0.45">
      <c r="S5459" s="452"/>
      <c r="T5459" s="452"/>
      <c r="U5459" s="452"/>
      <c r="V5459" s="452"/>
      <c r="W5459" s="452"/>
    </row>
    <row r="5460" spans="19:23" ht="15" customHeight="1" x14ac:dyDescent="0.45">
      <c r="S5460" s="452"/>
      <c r="T5460" s="452"/>
      <c r="U5460" s="452"/>
      <c r="V5460" s="452"/>
      <c r="W5460" s="452"/>
    </row>
    <row r="5461" spans="19:23" ht="15" customHeight="1" x14ac:dyDescent="0.45">
      <c r="S5461" s="452"/>
      <c r="T5461" s="452"/>
      <c r="U5461" s="452"/>
      <c r="V5461" s="452"/>
      <c r="W5461" s="452"/>
    </row>
    <row r="5462" spans="19:23" ht="15" customHeight="1" x14ac:dyDescent="0.45">
      <c r="S5462" s="452"/>
      <c r="T5462" s="452"/>
      <c r="U5462" s="452"/>
      <c r="V5462" s="452"/>
      <c r="W5462" s="452"/>
    </row>
    <row r="5463" spans="19:23" ht="15" customHeight="1" x14ac:dyDescent="0.45">
      <c r="S5463" s="452"/>
      <c r="T5463" s="452"/>
      <c r="U5463" s="452"/>
      <c r="V5463" s="452"/>
      <c r="W5463" s="452"/>
    </row>
    <row r="5464" spans="19:23" ht="15" customHeight="1" x14ac:dyDescent="0.45">
      <c r="S5464" s="452"/>
      <c r="T5464" s="452"/>
      <c r="U5464" s="452"/>
      <c r="V5464" s="452"/>
      <c r="W5464" s="452"/>
    </row>
    <row r="5465" spans="19:23" ht="15" customHeight="1" x14ac:dyDescent="0.45">
      <c r="S5465" s="452"/>
      <c r="T5465" s="452"/>
      <c r="U5465" s="452"/>
      <c r="V5465" s="452"/>
      <c r="W5465" s="452"/>
    </row>
    <row r="5466" spans="19:23" ht="15" customHeight="1" x14ac:dyDescent="0.45">
      <c r="S5466" s="452"/>
      <c r="T5466" s="452"/>
      <c r="U5466" s="452"/>
      <c r="V5466" s="452"/>
      <c r="W5466" s="452"/>
    </row>
    <row r="5467" spans="19:23" ht="15" customHeight="1" x14ac:dyDescent="0.45">
      <c r="S5467" s="452"/>
      <c r="T5467" s="452"/>
      <c r="U5467" s="452"/>
      <c r="V5467" s="452"/>
      <c r="W5467" s="452"/>
    </row>
    <row r="5468" spans="19:23" ht="15" customHeight="1" x14ac:dyDescent="0.45">
      <c r="S5468" s="452"/>
      <c r="T5468" s="452"/>
      <c r="U5468" s="452"/>
      <c r="V5468" s="452"/>
      <c r="W5468" s="452"/>
    </row>
    <row r="5469" spans="19:23" ht="15" customHeight="1" x14ac:dyDescent="0.45">
      <c r="S5469" s="452"/>
      <c r="T5469" s="452"/>
      <c r="U5469" s="452"/>
      <c r="V5469" s="452"/>
      <c r="W5469" s="452"/>
    </row>
    <row r="5470" spans="19:23" ht="15" customHeight="1" x14ac:dyDescent="0.45">
      <c r="S5470" s="452"/>
      <c r="T5470" s="452"/>
      <c r="U5470" s="452"/>
      <c r="V5470" s="452"/>
      <c r="W5470" s="452"/>
    </row>
    <row r="5471" spans="19:23" ht="15" customHeight="1" x14ac:dyDescent="0.45">
      <c r="S5471" s="452"/>
      <c r="T5471" s="452"/>
      <c r="U5471" s="452"/>
      <c r="V5471" s="452"/>
      <c r="W5471" s="452"/>
    </row>
    <row r="5472" spans="19:23" ht="15" customHeight="1" x14ac:dyDescent="0.45">
      <c r="S5472" s="452"/>
      <c r="T5472" s="452"/>
      <c r="U5472" s="452"/>
      <c r="V5472" s="452"/>
      <c r="W5472" s="452"/>
    </row>
    <row r="5473" spans="19:23" ht="15" customHeight="1" x14ac:dyDescent="0.45">
      <c r="S5473" s="452"/>
      <c r="T5473" s="452"/>
      <c r="U5473" s="452"/>
      <c r="V5473" s="452"/>
      <c r="W5473" s="452"/>
    </row>
    <row r="5474" spans="19:23" ht="15" customHeight="1" x14ac:dyDescent="0.45">
      <c r="S5474" s="452"/>
      <c r="T5474" s="452"/>
      <c r="U5474" s="452"/>
      <c r="V5474" s="452"/>
      <c r="W5474" s="452"/>
    </row>
    <row r="5475" spans="19:23" ht="15" customHeight="1" x14ac:dyDescent="0.45">
      <c r="S5475" s="452"/>
      <c r="T5475" s="452"/>
      <c r="U5475" s="452"/>
      <c r="V5475" s="452"/>
      <c r="W5475" s="452"/>
    </row>
    <row r="5476" spans="19:23" ht="15" customHeight="1" x14ac:dyDescent="0.45">
      <c r="S5476" s="452"/>
      <c r="T5476" s="452"/>
      <c r="U5476" s="452"/>
      <c r="V5476" s="452"/>
      <c r="W5476" s="452"/>
    </row>
    <row r="5477" spans="19:23" ht="15" customHeight="1" x14ac:dyDescent="0.45">
      <c r="S5477" s="452"/>
      <c r="T5477" s="452"/>
      <c r="U5477" s="452"/>
      <c r="V5477" s="452"/>
      <c r="W5477" s="452"/>
    </row>
    <row r="5478" spans="19:23" ht="15" customHeight="1" x14ac:dyDescent="0.45">
      <c r="S5478" s="452"/>
      <c r="T5478" s="452"/>
      <c r="U5478" s="452"/>
      <c r="V5478" s="452"/>
      <c r="W5478" s="452"/>
    </row>
    <row r="5479" spans="19:23" ht="15" customHeight="1" x14ac:dyDescent="0.45">
      <c r="S5479" s="452"/>
      <c r="T5479" s="452"/>
      <c r="U5479" s="452"/>
      <c r="V5479" s="452"/>
      <c r="W5479" s="452"/>
    </row>
    <row r="5480" spans="19:23" ht="15" customHeight="1" x14ac:dyDescent="0.45">
      <c r="S5480" s="452"/>
      <c r="T5480" s="452"/>
      <c r="U5480" s="452"/>
      <c r="V5480" s="452"/>
      <c r="W5480" s="452"/>
    </row>
    <row r="5481" spans="19:23" ht="15" customHeight="1" x14ac:dyDescent="0.45">
      <c r="S5481" s="452"/>
      <c r="T5481" s="452"/>
      <c r="U5481" s="452"/>
      <c r="V5481" s="452"/>
      <c r="W5481" s="452"/>
    </row>
    <row r="5482" spans="19:23" ht="15" customHeight="1" x14ac:dyDescent="0.45">
      <c r="S5482" s="452"/>
      <c r="T5482" s="452"/>
      <c r="U5482" s="452"/>
      <c r="V5482" s="452"/>
      <c r="W5482" s="452"/>
    </row>
    <row r="5483" spans="19:23" ht="15" customHeight="1" x14ac:dyDescent="0.45">
      <c r="S5483" s="452"/>
      <c r="T5483" s="452"/>
      <c r="U5483" s="452"/>
      <c r="V5483" s="452"/>
      <c r="W5483" s="452"/>
    </row>
    <row r="5484" spans="19:23" ht="15" customHeight="1" x14ac:dyDescent="0.45">
      <c r="S5484" s="452"/>
      <c r="T5484" s="452"/>
      <c r="U5484" s="452"/>
      <c r="V5484" s="452"/>
      <c r="W5484" s="452"/>
    </row>
    <row r="5485" spans="19:23" ht="15" customHeight="1" x14ac:dyDescent="0.45">
      <c r="S5485" s="452"/>
      <c r="T5485" s="452"/>
      <c r="U5485" s="452"/>
      <c r="V5485" s="452"/>
      <c r="W5485" s="452"/>
    </row>
    <row r="5486" spans="19:23" ht="15" customHeight="1" x14ac:dyDescent="0.45">
      <c r="S5486" s="452"/>
      <c r="T5486" s="452"/>
      <c r="U5486" s="452"/>
      <c r="V5486" s="452"/>
      <c r="W5486" s="452"/>
    </row>
    <row r="5487" spans="19:23" ht="15" customHeight="1" x14ac:dyDescent="0.45">
      <c r="S5487" s="452"/>
      <c r="T5487" s="452"/>
      <c r="U5487" s="452"/>
      <c r="V5487" s="452"/>
      <c r="W5487" s="452"/>
    </row>
    <row r="5488" spans="19:23" ht="15" customHeight="1" x14ac:dyDescent="0.45">
      <c r="S5488" s="452"/>
      <c r="T5488" s="452"/>
      <c r="U5488" s="452"/>
      <c r="V5488" s="452"/>
      <c r="W5488" s="452"/>
    </row>
    <row r="5489" spans="19:23" ht="15" customHeight="1" x14ac:dyDescent="0.45">
      <c r="S5489" s="452"/>
      <c r="T5489" s="452"/>
      <c r="U5489" s="452"/>
      <c r="V5489" s="452"/>
      <c r="W5489" s="452"/>
    </row>
    <row r="5490" spans="19:23" ht="15" customHeight="1" x14ac:dyDescent="0.45">
      <c r="S5490" s="452"/>
      <c r="T5490" s="452"/>
      <c r="U5490" s="452"/>
      <c r="V5490" s="452"/>
      <c r="W5490" s="452"/>
    </row>
    <row r="5491" spans="19:23" ht="15" customHeight="1" x14ac:dyDescent="0.45">
      <c r="S5491" s="452"/>
      <c r="T5491" s="452"/>
      <c r="U5491" s="452"/>
      <c r="V5491" s="452"/>
      <c r="W5491" s="452"/>
    </row>
    <row r="5492" spans="19:23" ht="15" customHeight="1" x14ac:dyDescent="0.45">
      <c r="S5492" s="452"/>
      <c r="T5492" s="452"/>
      <c r="U5492" s="452"/>
      <c r="V5492" s="452"/>
      <c r="W5492" s="452"/>
    </row>
    <row r="5493" spans="19:23" ht="15" customHeight="1" x14ac:dyDescent="0.45">
      <c r="S5493" s="452"/>
      <c r="T5493" s="452"/>
      <c r="U5493" s="452"/>
      <c r="V5493" s="452"/>
      <c r="W5493" s="452"/>
    </row>
    <row r="5494" spans="19:23" ht="15" customHeight="1" x14ac:dyDescent="0.45">
      <c r="S5494" s="452"/>
      <c r="T5494" s="452"/>
      <c r="U5494" s="452"/>
      <c r="V5494" s="452"/>
      <c r="W5494" s="452"/>
    </row>
    <row r="5495" spans="19:23" ht="15" customHeight="1" x14ac:dyDescent="0.45">
      <c r="S5495" s="452"/>
      <c r="T5495" s="452"/>
      <c r="U5495" s="452"/>
      <c r="V5495" s="452"/>
      <c r="W5495" s="452"/>
    </row>
    <row r="5496" spans="19:23" ht="15" customHeight="1" x14ac:dyDescent="0.45">
      <c r="S5496" s="452"/>
      <c r="T5496" s="452"/>
      <c r="U5496" s="452"/>
      <c r="V5496" s="452"/>
      <c r="W5496" s="452"/>
    </row>
    <row r="5497" spans="19:23" ht="15" customHeight="1" x14ac:dyDescent="0.45">
      <c r="S5497" s="452"/>
      <c r="T5497" s="452"/>
      <c r="U5497" s="452"/>
      <c r="V5497" s="452"/>
      <c r="W5497" s="452"/>
    </row>
    <row r="5498" spans="19:23" ht="15" customHeight="1" x14ac:dyDescent="0.45">
      <c r="S5498" s="452"/>
      <c r="T5498" s="452"/>
      <c r="U5498" s="452"/>
      <c r="V5498" s="452"/>
      <c r="W5498" s="452"/>
    </row>
    <row r="5499" spans="19:23" ht="15" customHeight="1" x14ac:dyDescent="0.45">
      <c r="S5499" s="452"/>
      <c r="T5499" s="452"/>
      <c r="U5499" s="452"/>
      <c r="V5499" s="452"/>
      <c r="W5499" s="452"/>
    </row>
    <row r="5500" spans="19:23" ht="15" customHeight="1" x14ac:dyDescent="0.45">
      <c r="S5500" s="452"/>
      <c r="T5500" s="452"/>
      <c r="U5500" s="452"/>
      <c r="V5500" s="452"/>
      <c r="W5500" s="452"/>
    </row>
    <row r="5501" spans="19:23" ht="15" customHeight="1" x14ac:dyDescent="0.45">
      <c r="S5501" s="452"/>
      <c r="T5501" s="452"/>
      <c r="U5501" s="452"/>
      <c r="V5501" s="452"/>
      <c r="W5501" s="452"/>
    </row>
    <row r="5502" spans="19:23" ht="15" customHeight="1" x14ac:dyDescent="0.45">
      <c r="S5502" s="452"/>
      <c r="T5502" s="452"/>
      <c r="U5502" s="452"/>
      <c r="V5502" s="452"/>
      <c r="W5502" s="452"/>
    </row>
    <row r="5503" spans="19:23" ht="15" customHeight="1" x14ac:dyDescent="0.45">
      <c r="S5503" s="452"/>
      <c r="T5503" s="452"/>
      <c r="U5503" s="452"/>
      <c r="V5503" s="452"/>
      <c r="W5503" s="452"/>
    </row>
    <row r="5504" spans="19:23" ht="15" customHeight="1" x14ac:dyDescent="0.45">
      <c r="S5504" s="452"/>
      <c r="T5504" s="452"/>
      <c r="U5504" s="452"/>
      <c r="V5504" s="452"/>
      <c r="W5504" s="452"/>
    </row>
    <row r="5505" spans="19:23" ht="15" customHeight="1" x14ac:dyDescent="0.45">
      <c r="S5505" s="452"/>
      <c r="T5505" s="452"/>
      <c r="U5505" s="452"/>
      <c r="V5505" s="452"/>
      <c r="W5505" s="452"/>
    </row>
    <row r="5506" spans="19:23" ht="15" customHeight="1" x14ac:dyDescent="0.45">
      <c r="S5506" s="452"/>
      <c r="T5506" s="452"/>
      <c r="U5506" s="452"/>
      <c r="V5506" s="452"/>
      <c r="W5506" s="452"/>
    </row>
    <row r="5507" spans="19:23" ht="15" customHeight="1" x14ac:dyDescent="0.45">
      <c r="S5507" s="452"/>
      <c r="T5507" s="452"/>
      <c r="U5507" s="452"/>
      <c r="V5507" s="452"/>
      <c r="W5507" s="452"/>
    </row>
    <row r="5508" spans="19:23" ht="15" customHeight="1" x14ac:dyDescent="0.45">
      <c r="S5508" s="452"/>
      <c r="T5508" s="452"/>
      <c r="U5508" s="452"/>
      <c r="V5508" s="452"/>
      <c r="W5508" s="452"/>
    </row>
    <row r="5509" spans="19:23" ht="15" customHeight="1" x14ac:dyDescent="0.45">
      <c r="S5509" s="452"/>
      <c r="T5509" s="452"/>
      <c r="U5509" s="452"/>
      <c r="V5509" s="452"/>
      <c r="W5509" s="452"/>
    </row>
    <row r="5510" spans="19:23" ht="15" customHeight="1" x14ac:dyDescent="0.45">
      <c r="S5510" s="452"/>
      <c r="T5510" s="452"/>
      <c r="U5510" s="452"/>
      <c r="V5510" s="452"/>
      <c r="W5510" s="452"/>
    </row>
    <row r="5511" spans="19:23" ht="15" customHeight="1" x14ac:dyDescent="0.45">
      <c r="S5511" s="452"/>
      <c r="T5511" s="452"/>
      <c r="U5511" s="452"/>
      <c r="V5511" s="452"/>
      <c r="W5511" s="452"/>
    </row>
    <row r="5512" spans="19:23" ht="15" customHeight="1" x14ac:dyDescent="0.45">
      <c r="S5512" s="452"/>
      <c r="T5512" s="452"/>
      <c r="U5512" s="452"/>
      <c r="V5512" s="452"/>
      <c r="W5512" s="452"/>
    </row>
    <row r="5513" spans="19:23" ht="15" customHeight="1" x14ac:dyDescent="0.45">
      <c r="S5513" s="452"/>
      <c r="T5513" s="452"/>
      <c r="U5513" s="452"/>
      <c r="V5513" s="452"/>
      <c r="W5513" s="452"/>
    </row>
    <row r="5514" spans="19:23" ht="15" customHeight="1" x14ac:dyDescent="0.45">
      <c r="S5514" s="452"/>
      <c r="T5514" s="452"/>
      <c r="U5514" s="452"/>
      <c r="V5514" s="452"/>
      <c r="W5514" s="452"/>
    </row>
    <row r="5515" spans="19:23" ht="15" customHeight="1" x14ac:dyDescent="0.45">
      <c r="S5515" s="452"/>
      <c r="T5515" s="452"/>
      <c r="U5515" s="452"/>
      <c r="V5515" s="452"/>
      <c r="W5515" s="452"/>
    </row>
    <row r="5516" spans="19:23" ht="15" customHeight="1" x14ac:dyDescent="0.45">
      <c r="S5516" s="452"/>
      <c r="T5516" s="452"/>
      <c r="U5516" s="452"/>
      <c r="V5516" s="452"/>
      <c r="W5516" s="452"/>
    </row>
    <row r="5517" spans="19:23" ht="15" customHeight="1" x14ac:dyDescent="0.45">
      <c r="S5517" s="452"/>
      <c r="T5517" s="452"/>
      <c r="U5517" s="452"/>
      <c r="V5517" s="452"/>
      <c r="W5517" s="452"/>
    </row>
    <row r="5518" spans="19:23" ht="15" customHeight="1" x14ac:dyDescent="0.45">
      <c r="S5518" s="452"/>
      <c r="T5518" s="452"/>
      <c r="U5518" s="452"/>
      <c r="V5518" s="452"/>
      <c r="W5518" s="452"/>
    </row>
    <row r="5519" spans="19:23" ht="15" customHeight="1" x14ac:dyDescent="0.45">
      <c r="S5519" s="452"/>
      <c r="T5519" s="452"/>
      <c r="U5519" s="452"/>
      <c r="V5519" s="452"/>
      <c r="W5519" s="452"/>
    </row>
    <row r="5520" spans="19:23" ht="15" customHeight="1" x14ac:dyDescent="0.45">
      <c r="S5520" s="452"/>
      <c r="T5520" s="452"/>
      <c r="U5520" s="452"/>
      <c r="V5520" s="452"/>
      <c r="W5520" s="452"/>
    </row>
    <row r="5521" spans="19:23" ht="15" customHeight="1" x14ac:dyDescent="0.45">
      <c r="S5521" s="452"/>
      <c r="T5521" s="452"/>
      <c r="U5521" s="452"/>
      <c r="V5521" s="452"/>
      <c r="W5521" s="452"/>
    </row>
    <row r="5522" spans="19:23" ht="15" customHeight="1" x14ac:dyDescent="0.45">
      <c r="S5522" s="452"/>
      <c r="T5522" s="452"/>
      <c r="U5522" s="452"/>
      <c r="V5522" s="452"/>
      <c r="W5522" s="452"/>
    </row>
    <row r="5523" spans="19:23" ht="15" customHeight="1" x14ac:dyDescent="0.45">
      <c r="S5523" s="452"/>
      <c r="T5523" s="452"/>
      <c r="U5523" s="452"/>
      <c r="V5523" s="452"/>
      <c r="W5523" s="452"/>
    </row>
    <row r="5524" spans="19:23" ht="15" customHeight="1" x14ac:dyDescent="0.45">
      <c r="S5524" s="452"/>
      <c r="T5524" s="452"/>
      <c r="U5524" s="452"/>
      <c r="V5524" s="452"/>
      <c r="W5524" s="452"/>
    </row>
    <row r="5525" spans="19:23" ht="15" customHeight="1" x14ac:dyDescent="0.45">
      <c r="S5525" s="452"/>
      <c r="T5525" s="452"/>
      <c r="U5525" s="452"/>
      <c r="V5525" s="452"/>
      <c r="W5525" s="452"/>
    </row>
    <row r="5526" spans="19:23" ht="15" customHeight="1" x14ac:dyDescent="0.45">
      <c r="S5526" s="452"/>
      <c r="T5526" s="452"/>
      <c r="U5526" s="452"/>
      <c r="V5526" s="452"/>
      <c r="W5526" s="452"/>
    </row>
    <row r="5527" spans="19:23" ht="15" customHeight="1" x14ac:dyDescent="0.45">
      <c r="S5527" s="452"/>
      <c r="T5527" s="452"/>
      <c r="U5527" s="452"/>
      <c r="V5527" s="452"/>
      <c r="W5527" s="452"/>
    </row>
    <row r="5528" spans="19:23" ht="15" customHeight="1" x14ac:dyDescent="0.45">
      <c r="S5528" s="452"/>
      <c r="T5528" s="452"/>
      <c r="U5528" s="452"/>
      <c r="V5528" s="452"/>
      <c r="W5528" s="452"/>
    </row>
    <row r="5529" spans="19:23" ht="15" customHeight="1" x14ac:dyDescent="0.45">
      <c r="S5529" s="452"/>
      <c r="T5529" s="452"/>
      <c r="U5529" s="452"/>
      <c r="V5529" s="452"/>
      <c r="W5529" s="452"/>
    </row>
    <row r="5530" spans="19:23" ht="15" customHeight="1" x14ac:dyDescent="0.45">
      <c r="S5530" s="452"/>
      <c r="T5530" s="452"/>
      <c r="U5530" s="452"/>
      <c r="V5530" s="452"/>
      <c r="W5530" s="452"/>
    </row>
    <row r="5531" spans="19:23" ht="15" customHeight="1" x14ac:dyDescent="0.45">
      <c r="S5531" s="452"/>
      <c r="T5531" s="452"/>
      <c r="U5531" s="452"/>
      <c r="V5531" s="452"/>
      <c r="W5531" s="452"/>
    </row>
    <row r="5532" spans="19:23" ht="15" customHeight="1" x14ac:dyDescent="0.45">
      <c r="S5532" s="452"/>
      <c r="T5532" s="452"/>
      <c r="U5532" s="452"/>
      <c r="V5532" s="452"/>
      <c r="W5532" s="452"/>
    </row>
    <row r="5533" spans="19:23" ht="15" customHeight="1" x14ac:dyDescent="0.45">
      <c r="S5533" s="452"/>
      <c r="T5533" s="452"/>
      <c r="U5533" s="452"/>
      <c r="V5533" s="452"/>
      <c r="W5533" s="452"/>
    </row>
    <row r="5534" spans="19:23" ht="15" customHeight="1" x14ac:dyDescent="0.45">
      <c r="S5534" s="452"/>
      <c r="T5534" s="452"/>
      <c r="U5534" s="452"/>
      <c r="V5534" s="452"/>
      <c r="W5534" s="452"/>
    </row>
    <row r="5535" spans="19:23" ht="15" customHeight="1" x14ac:dyDescent="0.45">
      <c r="S5535" s="452"/>
      <c r="T5535" s="452"/>
      <c r="U5535" s="452"/>
      <c r="V5535" s="452"/>
      <c r="W5535" s="452"/>
    </row>
    <row r="5536" spans="19:23" ht="15" customHeight="1" x14ac:dyDescent="0.45">
      <c r="S5536" s="452"/>
      <c r="T5536" s="452"/>
      <c r="U5536" s="452"/>
      <c r="V5536" s="452"/>
      <c r="W5536" s="452"/>
    </row>
    <row r="5537" spans="19:23" ht="15" customHeight="1" x14ac:dyDescent="0.45">
      <c r="S5537" s="452"/>
      <c r="T5537" s="452"/>
      <c r="U5537" s="452"/>
      <c r="V5537" s="452"/>
      <c r="W5537" s="452"/>
    </row>
    <row r="5538" spans="19:23" ht="15" customHeight="1" x14ac:dyDescent="0.45">
      <c r="S5538" s="452"/>
      <c r="T5538" s="452"/>
      <c r="U5538" s="452"/>
      <c r="V5538" s="452"/>
      <c r="W5538" s="452"/>
    </row>
    <row r="5539" spans="19:23" ht="15" customHeight="1" x14ac:dyDescent="0.45">
      <c r="S5539" s="452"/>
      <c r="T5539" s="452"/>
      <c r="U5539" s="452"/>
      <c r="V5539" s="452"/>
      <c r="W5539" s="452"/>
    </row>
    <row r="5540" spans="19:23" ht="15" customHeight="1" x14ac:dyDescent="0.45">
      <c r="S5540" s="452"/>
      <c r="T5540" s="452"/>
      <c r="U5540" s="452"/>
      <c r="V5540" s="452"/>
      <c r="W5540" s="452"/>
    </row>
    <row r="5541" spans="19:23" ht="15" customHeight="1" x14ac:dyDescent="0.45">
      <c r="S5541" s="452"/>
      <c r="T5541" s="452"/>
      <c r="U5541" s="452"/>
      <c r="V5541" s="452"/>
      <c r="W5541" s="452"/>
    </row>
    <row r="5542" spans="19:23" ht="15" customHeight="1" x14ac:dyDescent="0.45">
      <c r="S5542" s="452"/>
      <c r="T5542" s="452"/>
      <c r="U5542" s="452"/>
      <c r="V5542" s="452"/>
      <c r="W5542" s="452"/>
    </row>
    <row r="5543" spans="19:23" ht="15" customHeight="1" x14ac:dyDescent="0.45">
      <c r="S5543" s="452"/>
      <c r="T5543" s="452"/>
      <c r="U5543" s="452"/>
      <c r="V5543" s="452"/>
      <c r="W5543" s="452"/>
    </row>
    <row r="5544" spans="19:23" ht="15" customHeight="1" x14ac:dyDescent="0.45">
      <c r="S5544" s="452"/>
      <c r="T5544" s="452"/>
      <c r="U5544" s="452"/>
      <c r="V5544" s="452"/>
      <c r="W5544" s="452"/>
    </row>
    <row r="5545" spans="19:23" ht="15" customHeight="1" x14ac:dyDescent="0.45">
      <c r="S5545" s="452"/>
      <c r="T5545" s="452"/>
      <c r="U5545" s="452"/>
      <c r="V5545" s="452"/>
      <c r="W5545" s="452"/>
    </row>
    <row r="5546" spans="19:23" ht="15" customHeight="1" x14ac:dyDescent="0.45">
      <c r="S5546" s="452"/>
      <c r="T5546" s="452"/>
      <c r="U5546" s="452"/>
      <c r="V5546" s="452"/>
      <c r="W5546" s="452"/>
    </row>
    <row r="5547" spans="19:23" ht="15" customHeight="1" x14ac:dyDescent="0.45">
      <c r="S5547" s="452"/>
      <c r="T5547" s="452"/>
      <c r="U5547" s="452"/>
      <c r="V5547" s="452"/>
      <c r="W5547" s="452"/>
    </row>
    <row r="5548" spans="19:23" ht="15" customHeight="1" x14ac:dyDescent="0.45">
      <c r="S5548" s="452"/>
      <c r="T5548" s="452"/>
      <c r="U5548" s="452"/>
      <c r="V5548" s="452"/>
      <c r="W5548" s="452"/>
    </row>
    <row r="5549" spans="19:23" ht="15" customHeight="1" x14ac:dyDescent="0.45">
      <c r="S5549" s="452"/>
      <c r="T5549" s="452"/>
      <c r="U5549" s="452"/>
      <c r="V5549" s="452"/>
      <c r="W5549" s="452"/>
    </row>
    <row r="5550" spans="19:23" ht="15" customHeight="1" x14ac:dyDescent="0.45">
      <c r="S5550" s="452"/>
      <c r="T5550" s="452"/>
      <c r="U5550" s="452"/>
      <c r="V5550" s="452"/>
      <c r="W5550" s="452"/>
    </row>
    <row r="5551" spans="19:23" ht="15" customHeight="1" x14ac:dyDescent="0.45">
      <c r="S5551" s="452"/>
      <c r="T5551" s="452"/>
      <c r="U5551" s="452"/>
      <c r="V5551" s="452"/>
      <c r="W5551" s="452"/>
    </row>
    <row r="5552" spans="19:23" ht="15" customHeight="1" x14ac:dyDescent="0.45">
      <c r="S5552" s="452"/>
      <c r="T5552" s="452"/>
      <c r="U5552" s="452"/>
      <c r="V5552" s="452"/>
      <c r="W5552" s="452"/>
    </row>
    <row r="5553" spans="19:23" ht="15" customHeight="1" x14ac:dyDescent="0.45">
      <c r="S5553" s="452"/>
      <c r="T5553" s="452"/>
      <c r="U5553" s="452"/>
      <c r="V5553" s="452"/>
      <c r="W5553" s="452"/>
    </row>
    <row r="5554" spans="19:23" ht="15" customHeight="1" x14ac:dyDescent="0.45">
      <c r="S5554" s="452"/>
      <c r="T5554" s="452"/>
      <c r="U5554" s="452"/>
      <c r="V5554" s="452"/>
      <c r="W5554" s="452"/>
    </row>
    <row r="5555" spans="19:23" ht="15" customHeight="1" x14ac:dyDescent="0.45">
      <c r="S5555" s="452"/>
      <c r="T5555" s="452"/>
      <c r="U5555" s="452"/>
      <c r="V5555" s="452"/>
      <c r="W5555" s="452"/>
    </row>
    <row r="5556" spans="19:23" ht="15" customHeight="1" x14ac:dyDescent="0.45">
      <c r="S5556" s="452"/>
      <c r="T5556" s="452"/>
      <c r="U5556" s="452"/>
      <c r="V5556" s="452"/>
      <c r="W5556" s="452"/>
    </row>
    <row r="5557" spans="19:23" ht="15" customHeight="1" x14ac:dyDescent="0.45">
      <c r="S5557" s="452"/>
      <c r="T5557" s="452"/>
      <c r="U5557" s="452"/>
      <c r="V5557" s="452"/>
      <c r="W5557" s="452"/>
    </row>
    <row r="5558" spans="19:23" ht="15" customHeight="1" x14ac:dyDescent="0.45">
      <c r="S5558" s="452"/>
      <c r="T5558" s="452"/>
      <c r="U5558" s="452"/>
      <c r="V5558" s="452"/>
      <c r="W5558" s="452"/>
    </row>
    <row r="5559" spans="19:23" ht="15" customHeight="1" x14ac:dyDescent="0.45">
      <c r="S5559" s="452"/>
      <c r="T5559" s="452"/>
      <c r="U5559" s="452"/>
      <c r="V5559" s="452"/>
      <c r="W5559" s="452"/>
    </row>
    <row r="5560" spans="19:23" ht="15" customHeight="1" x14ac:dyDescent="0.45">
      <c r="S5560" s="452"/>
      <c r="T5560" s="452"/>
      <c r="U5560" s="452"/>
      <c r="V5560" s="452"/>
      <c r="W5560" s="452"/>
    </row>
    <row r="5561" spans="19:23" ht="15" customHeight="1" x14ac:dyDescent="0.45">
      <c r="S5561" s="452"/>
      <c r="T5561" s="452"/>
      <c r="U5561" s="452"/>
      <c r="V5561" s="452"/>
      <c r="W5561" s="452"/>
    </row>
    <row r="5562" spans="19:23" ht="15" customHeight="1" x14ac:dyDescent="0.45">
      <c r="S5562" s="452"/>
      <c r="T5562" s="452"/>
      <c r="U5562" s="452"/>
      <c r="V5562" s="452"/>
      <c r="W5562" s="452"/>
    </row>
    <row r="5563" spans="19:23" ht="15" customHeight="1" x14ac:dyDescent="0.45">
      <c r="S5563" s="452"/>
      <c r="T5563" s="452"/>
      <c r="U5563" s="452"/>
      <c r="V5563" s="452"/>
      <c r="W5563" s="452"/>
    </row>
    <row r="5564" spans="19:23" ht="15" customHeight="1" x14ac:dyDescent="0.45">
      <c r="S5564" s="452"/>
      <c r="T5564" s="452"/>
      <c r="U5564" s="452"/>
      <c r="V5564" s="452"/>
      <c r="W5564" s="452"/>
    </row>
    <row r="5565" spans="19:23" ht="15" customHeight="1" x14ac:dyDescent="0.45">
      <c r="S5565" s="452"/>
      <c r="T5565" s="452"/>
      <c r="U5565" s="452"/>
      <c r="V5565" s="452"/>
      <c r="W5565" s="452"/>
    </row>
    <row r="5566" spans="19:23" ht="15" customHeight="1" x14ac:dyDescent="0.45">
      <c r="S5566" s="452"/>
      <c r="T5566" s="452"/>
      <c r="U5566" s="452"/>
      <c r="V5566" s="452"/>
      <c r="W5566" s="452"/>
    </row>
    <row r="5567" spans="19:23" ht="15" customHeight="1" x14ac:dyDescent="0.45">
      <c r="S5567" s="452"/>
      <c r="T5567" s="452"/>
      <c r="U5567" s="452"/>
      <c r="V5567" s="452"/>
      <c r="W5567" s="452"/>
    </row>
    <row r="5568" spans="19:23" ht="15" customHeight="1" x14ac:dyDescent="0.45">
      <c r="S5568" s="452"/>
      <c r="T5568" s="452"/>
      <c r="U5568" s="452"/>
      <c r="V5568" s="452"/>
      <c r="W5568" s="452"/>
    </row>
    <row r="5569" spans="19:23" ht="15" customHeight="1" x14ac:dyDescent="0.45">
      <c r="S5569" s="452"/>
      <c r="T5569" s="452"/>
      <c r="U5569" s="452"/>
      <c r="V5569" s="452"/>
      <c r="W5569" s="452"/>
    </row>
    <row r="5570" spans="19:23" ht="15" customHeight="1" x14ac:dyDescent="0.45">
      <c r="S5570" s="452"/>
      <c r="T5570" s="452"/>
      <c r="U5570" s="452"/>
      <c r="V5570" s="452"/>
      <c r="W5570" s="452"/>
    </row>
    <row r="5571" spans="19:23" ht="15" customHeight="1" x14ac:dyDescent="0.45">
      <c r="S5571" s="452"/>
      <c r="T5571" s="452"/>
      <c r="U5571" s="452"/>
      <c r="V5571" s="452"/>
      <c r="W5571" s="452"/>
    </row>
    <row r="5572" spans="19:23" ht="15" customHeight="1" x14ac:dyDescent="0.45">
      <c r="S5572" s="452"/>
      <c r="T5572" s="452"/>
      <c r="U5572" s="452"/>
      <c r="V5572" s="452"/>
      <c r="W5572" s="452"/>
    </row>
    <row r="5573" spans="19:23" ht="15" customHeight="1" x14ac:dyDescent="0.45">
      <c r="S5573" s="452"/>
      <c r="T5573" s="452"/>
      <c r="U5573" s="452"/>
      <c r="V5573" s="452"/>
      <c r="W5573" s="452"/>
    </row>
    <row r="5574" spans="19:23" ht="15" customHeight="1" x14ac:dyDescent="0.45">
      <c r="S5574" s="452"/>
      <c r="T5574" s="452"/>
      <c r="U5574" s="452"/>
      <c r="V5574" s="452"/>
      <c r="W5574" s="452"/>
    </row>
    <row r="5575" spans="19:23" ht="15" customHeight="1" x14ac:dyDescent="0.45">
      <c r="S5575" s="452"/>
      <c r="T5575" s="452"/>
      <c r="U5575" s="452"/>
      <c r="V5575" s="452"/>
      <c r="W5575" s="452"/>
    </row>
    <row r="5576" spans="19:23" ht="15" customHeight="1" x14ac:dyDescent="0.45">
      <c r="S5576" s="452"/>
      <c r="T5576" s="452"/>
      <c r="U5576" s="452"/>
      <c r="V5576" s="452"/>
      <c r="W5576" s="452"/>
    </row>
    <row r="5577" spans="19:23" ht="15" customHeight="1" x14ac:dyDescent="0.45">
      <c r="S5577" s="452"/>
      <c r="T5577" s="452"/>
      <c r="U5577" s="452"/>
      <c r="V5577" s="452"/>
      <c r="W5577" s="452"/>
    </row>
    <row r="5578" spans="19:23" ht="15" customHeight="1" x14ac:dyDescent="0.45">
      <c r="S5578" s="452"/>
      <c r="T5578" s="452"/>
      <c r="U5578" s="452"/>
      <c r="V5578" s="452"/>
      <c r="W5578" s="452"/>
    </row>
    <row r="5579" spans="19:23" ht="15" customHeight="1" x14ac:dyDescent="0.45">
      <c r="S5579" s="452"/>
      <c r="T5579" s="452"/>
      <c r="U5579" s="452"/>
      <c r="V5579" s="452"/>
      <c r="W5579" s="452"/>
    </row>
    <row r="5580" spans="19:23" ht="15" customHeight="1" x14ac:dyDescent="0.45">
      <c r="S5580" s="452"/>
      <c r="T5580" s="452"/>
      <c r="U5580" s="452"/>
      <c r="V5580" s="452"/>
      <c r="W5580" s="452"/>
    </row>
    <row r="5581" spans="19:23" ht="15" customHeight="1" x14ac:dyDescent="0.45">
      <c r="S5581" s="452"/>
      <c r="T5581" s="452"/>
      <c r="U5581" s="452"/>
      <c r="V5581" s="452"/>
      <c r="W5581" s="452"/>
    </row>
    <row r="5582" spans="19:23" ht="15" customHeight="1" x14ac:dyDescent="0.45">
      <c r="S5582" s="452"/>
      <c r="T5582" s="452"/>
      <c r="U5582" s="452"/>
      <c r="V5582" s="452"/>
      <c r="W5582" s="452"/>
    </row>
    <row r="5583" spans="19:23" ht="15" customHeight="1" x14ac:dyDescent="0.45">
      <c r="S5583" s="452"/>
      <c r="T5583" s="452"/>
      <c r="U5583" s="452"/>
      <c r="V5583" s="452"/>
      <c r="W5583" s="452"/>
    </row>
    <row r="5584" spans="19:23" ht="15" customHeight="1" x14ac:dyDescent="0.45">
      <c r="S5584" s="452"/>
      <c r="T5584" s="452"/>
      <c r="U5584" s="452"/>
      <c r="V5584" s="452"/>
      <c r="W5584" s="452"/>
    </row>
    <row r="5585" spans="19:23" ht="15" customHeight="1" x14ac:dyDescent="0.45">
      <c r="S5585" s="452"/>
      <c r="T5585" s="452"/>
      <c r="U5585" s="452"/>
      <c r="V5585" s="452"/>
      <c r="W5585" s="452"/>
    </row>
    <row r="5586" spans="19:23" ht="15" customHeight="1" x14ac:dyDescent="0.45">
      <c r="S5586" s="452"/>
      <c r="T5586" s="452"/>
      <c r="U5586" s="452"/>
      <c r="V5586" s="452"/>
      <c r="W5586" s="452"/>
    </row>
    <row r="5587" spans="19:23" ht="15" customHeight="1" x14ac:dyDescent="0.45">
      <c r="S5587" s="452"/>
      <c r="T5587" s="452"/>
      <c r="U5587" s="452"/>
      <c r="V5587" s="452"/>
      <c r="W5587" s="452"/>
    </row>
    <row r="5588" spans="19:23" ht="15" customHeight="1" x14ac:dyDescent="0.45">
      <c r="S5588" s="452"/>
      <c r="T5588" s="452"/>
      <c r="U5588" s="452"/>
      <c r="V5588" s="452"/>
      <c r="W5588" s="452"/>
    </row>
    <row r="5589" spans="19:23" ht="15" customHeight="1" x14ac:dyDescent="0.45">
      <c r="S5589" s="452"/>
      <c r="T5589" s="452"/>
      <c r="U5589" s="452"/>
      <c r="V5589" s="452"/>
      <c r="W5589" s="452"/>
    </row>
    <row r="5590" spans="19:23" ht="15" customHeight="1" x14ac:dyDescent="0.45">
      <c r="S5590" s="452"/>
      <c r="T5590" s="452"/>
      <c r="U5590" s="452"/>
      <c r="V5590" s="452"/>
      <c r="W5590" s="452"/>
    </row>
    <row r="5591" spans="19:23" ht="15" customHeight="1" x14ac:dyDescent="0.45">
      <c r="S5591" s="452"/>
      <c r="T5591" s="452"/>
      <c r="U5591" s="452"/>
      <c r="V5591" s="452"/>
      <c r="W5591" s="452"/>
    </row>
    <row r="5592" spans="19:23" ht="15" customHeight="1" x14ac:dyDescent="0.45">
      <c r="S5592" s="452"/>
      <c r="T5592" s="452"/>
      <c r="U5592" s="452"/>
      <c r="V5592" s="452"/>
      <c r="W5592" s="452"/>
    </row>
    <row r="5593" spans="19:23" ht="15" customHeight="1" x14ac:dyDescent="0.45">
      <c r="S5593" s="452"/>
      <c r="T5593" s="452"/>
      <c r="U5593" s="452"/>
      <c r="V5593" s="452"/>
      <c r="W5593" s="452"/>
    </row>
    <row r="5594" spans="19:23" ht="15" customHeight="1" x14ac:dyDescent="0.45">
      <c r="S5594" s="452"/>
      <c r="T5594" s="452"/>
      <c r="U5594" s="452"/>
      <c r="V5594" s="452"/>
      <c r="W5594" s="452"/>
    </row>
    <row r="5595" spans="19:23" ht="15" customHeight="1" x14ac:dyDescent="0.45">
      <c r="S5595" s="452"/>
      <c r="T5595" s="452"/>
      <c r="U5595" s="452"/>
      <c r="V5595" s="452"/>
      <c r="W5595" s="452"/>
    </row>
    <row r="5596" spans="19:23" ht="15" customHeight="1" x14ac:dyDescent="0.45">
      <c r="S5596" s="452"/>
      <c r="T5596" s="452"/>
      <c r="U5596" s="452"/>
      <c r="V5596" s="452"/>
      <c r="W5596" s="452"/>
    </row>
    <row r="5597" spans="19:23" ht="15" customHeight="1" x14ac:dyDescent="0.45">
      <c r="S5597" s="452"/>
      <c r="T5597" s="452"/>
      <c r="U5597" s="452"/>
      <c r="V5597" s="452"/>
      <c r="W5597" s="452"/>
    </row>
    <row r="5598" spans="19:23" ht="15" customHeight="1" x14ac:dyDescent="0.45">
      <c r="S5598" s="452"/>
      <c r="T5598" s="452"/>
      <c r="U5598" s="452"/>
      <c r="V5598" s="452"/>
      <c r="W5598" s="452"/>
    </row>
    <row r="5599" spans="19:23" ht="15" customHeight="1" x14ac:dyDescent="0.45">
      <c r="S5599" s="452"/>
      <c r="T5599" s="452"/>
      <c r="U5599" s="452"/>
      <c r="V5599" s="452"/>
      <c r="W5599" s="452"/>
    </row>
    <row r="5600" spans="19:23" ht="15" customHeight="1" x14ac:dyDescent="0.45">
      <c r="S5600" s="452"/>
      <c r="T5600" s="452"/>
      <c r="U5600" s="452"/>
      <c r="V5600" s="452"/>
      <c r="W5600" s="452"/>
    </row>
    <row r="5601" spans="19:23" ht="15" customHeight="1" x14ac:dyDescent="0.45">
      <c r="S5601" s="452"/>
      <c r="T5601" s="452"/>
      <c r="U5601" s="452"/>
      <c r="V5601" s="452"/>
      <c r="W5601" s="452"/>
    </row>
    <row r="5602" spans="19:23" ht="15" customHeight="1" x14ac:dyDescent="0.45">
      <c r="S5602" s="452"/>
      <c r="T5602" s="452"/>
      <c r="U5602" s="452"/>
      <c r="V5602" s="452"/>
      <c r="W5602" s="452"/>
    </row>
    <row r="5603" spans="19:23" ht="15" customHeight="1" x14ac:dyDescent="0.45">
      <c r="S5603" s="452"/>
      <c r="T5603" s="452"/>
      <c r="U5603" s="452"/>
      <c r="V5603" s="452"/>
      <c r="W5603" s="452"/>
    </row>
    <row r="5604" spans="19:23" ht="15" customHeight="1" x14ac:dyDescent="0.45">
      <c r="S5604" s="452"/>
      <c r="T5604" s="452"/>
      <c r="U5604" s="452"/>
      <c r="V5604" s="452"/>
      <c r="W5604" s="452"/>
    </row>
    <row r="5605" spans="19:23" ht="15" customHeight="1" x14ac:dyDescent="0.45">
      <c r="S5605" s="452"/>
      <c r="T5605" s="452"/>
      <c r="U5605" s="452"/>
      <c r="V5605" s="452"/>
      <c r="W5605" s="452"/>
    </row>
    <row r="5606" spans="19:23" ht="15" customHeight="1" x14ac:dyDescent="0.45">
      <c r="S5606" s="452"/>
      <c r="T5606" s="452"/>
      <c r="U5606" s="452"/>
      <c r="V5606" s="452"/>
      <c r="W5606" s="452"/>
    </row>
    <row r="5607" spans="19:23" ht="15" customHeight="1" x14ac:dyDescent="0.45">
      <c r="S5607" s="452"/>
      <c r="T5607" s="452"/>
      <c r="U5607" s="452"/>
      <c r="V5607" s="452"/>
      <c r="W5607" s="452"/>
    </row>
    <row r="5608" spans="19:23" ht="15" customHeight="1" x14ac:dyDescent="0.45">
      <c r="S5608" s="452"/>
      <c r="T5608" s="452"/>
      <c r="U5608" s="452"/>
      <c r="V5608" s="452"/>
      <c r="W5608" s="452"/>
    </row>
    <row r="5609" spans="19:23" ht="15" customHeight="1" x14ac:dyDescent="0.45">
      <c r="S5609" s="452"/>
      <c r="T5609" s="452"/>
      <c r="U5609" s="452"/>
      <c r="V5609" s="452"/>
      <c r="W5609" s="452"/>
    </row>
    <row r="5610" spans="19:23" ht="15" customHeight="1" x14ac:dyDescent="0.45">
      <c r="S5610" s="452"/>
      <c r="T5610" s="452"/>
      <c r="U5610" s="452"/>
      <c r="V5610" s="452"/>
      <c r="W5610" s="452"/>
    </row>
    <row r="5611" spans="19:23" ht="15" customHeight="1" x14ac:dyDescent="0.45">
      <c r="S5611" s="452"/>
      <c r="T5611" s="452"/>
      <c r="U5611" s="452"/>
      <c r="V5611" s="452"/>
      <c r="W5611" s="452"/>
    </row>
    <row r="5612" spans="19:23" ht="15" customHeight="1" x14ac:dyDescent="0.45">
      <c r="S5612" s="452"/>
      <c r="T5612" s="452"/>
      <c r="U5612" s="452"/>
      <c r="V5612" s="452"/>
      <c r="W5612" s="452"/>
    </row>
    <row r="5613" spans="19:23" ht="15" customHeight="1" x14ac:dyDescent="0.45">
      <c r="S5613" s="452"/>
      <c r="T5613" s="452"/>
      <c r="U5613" s="452"/>
      <c r="V5613" s="452"/>
      <c r="W5613" s="452"/>
    </row>
    <row r="5614" spans="19:23" ht="15" customHeight="1" x14ac:dyDescent="0.45">
      <c r="S5614" s="452"/>
      <c r="T5614" s="452"/>
      <c r="U5614" s="452"/>
      <c r="V5614" s="452"/>
      <c r="W5614" s="452"/>
    </row>
    <row r="5615" spans="19:23" ht="15" customHeight="1" x14ac:dyDescent="0.45">
      <c r="S5615" s="452"/>
      <c r="T5615" s="452"/>
      <c r="U5615" s="452"/>
      <c r="V5615" s="452"/>
      <c r="W5615" s="452"/>
    </row>
    <row r="5616" spans="19:23" ht="15" customHeight="1" x14ac:dyDescent="0.45">
      <c r="S5616" s="452"/>
      <c r="T5616" s="452"/>
      <c r="U5616" s="452"/>
      <c r="V5616" s="452"/>
      <c r="W5616" s="452"/>
    </row>
    <row r="5617" spans="19:23" ht="15" customHeight="1" x14ac:dyDescent="0.45">
      <c r="S5617" s="452"/>
      <c r="T5617" s="452"/>
      <c r="U5617" s="452"/>
      <c r="V5617" s="452"/>
      <c r="W5617" s="452"/>
    </row>
    <row r="5618" spans="19:23" ht="15" customHeight="1" x14ac:dyDescent="0.45">
      <c r="S5618" s="452"/>
      <c r="T5618" s="452"/>
      <c r="U5618" s="452"/>
      <c r="V5618" s="452"/>
      <c r="W5618" s="452"/>
    </row>
    <row r="5619" spans="19:23" ht="15" customHeight="1" x14ac:dyDescent="0.45">
      <c r="S5619" s="452"/>
      <c r="T5619" s="452"/>
      <c r="U5619" s="452"/>
      <c r="V5619" s="452"/>
      <c r="W5619" s="452"/>
    </row>
    <row r="5620" spans="19:23" ht="15" customHeight="1" x14ac:dyDescent="0.45">
      <c r="S5620" s="452"/>
      <c r="T5620" s="452"/>
      <c r="U5620" s="452"/>
      <c r="V5620" s="452"/>
      <c r="W5620" s="452"/>
    </row>
    <row r="5621" spans="19:23" ht="15" customHeight="1" x14ac:dyDescent="0.45">
      <c r="S5621" s="452"/>
      <c r="T5621" s="452"/>
      <c r="U5621" s="452"/>
      <c r="V5621" s="452"/>
      <c r="W5621" s="452"/>
    </row>
    <row r="5622" spans="19:23" ht="15" customHeight="1" x14ac:dyDescent="0.45">
      <c r="S5622" s="452"/>
      <c r="T5622" s="452"/>
      <c r="U5622" s="452"/>
      <c r="V5622" s="452"/>
      <c r="W5622" s="452"/>
    </row>
    <row r="5623" spans="19:23" ht="15" customHeight="1" x14ac:dyDescent="0.45">
      <c r="S5623" s="452"/>
      <c r="T5623" s="452"/>
      <c r="U5623" s="452"/>
      <c r="V5623" s="452"/>
      <c r="W5623" s="452"/>
    </row>
    <row r="5624" spans="19:23" ht="15" customHeight="1" x14ac:dyDescent="0.45">
      <c r="S5624" s="452"/>
      <c r="T5624" s="452"/>
      <c r="U5624" s="452"/>
      <c r="V5624" s="452"/>
      <c r="W5624" s="452"/>
    </row>
    <row r="5625" spans="19:23" ht="15" customHeight="1" x14ac:dyDescent="0.45">
      <c r="S5625" s="452"/>
      <c r="T5625" s="452"/>
      <c r="U5625" s="452"/>
      <c r="V5625" s="452"/>
      <c r="W5625" s="452"/>
    </row>
    <row r="5626" spans="19:23" ht="15" customHeight="1" x14ac:dyDescent="0.45">
      <c r="S5626" s="452"/>
      <c r="T5626" s="452"/>
      <c r="U5626" s="452"/>
      <c r="V5626" s="452"/>
      <c r="W5626" s="452"/>
    </row>
    <row r="5627" spans="19:23" ht="15" customHeight="1" x14ac:dyDescent="0.45">
      <c r="S5627" s="452"/>
      <c r="T5627" s="452"/>
      <c r="U5627" s="452"/>
      <c r="V5627" s="452"/>
      <c r="W5627" s="452"/>
    </row>
    <row r="5628" spans="19:23" ht="15" customHeight="1" x14ac:dyDescent="0.45">
      <c r="S5628" s="452"/>
      <c r="T5628" s="452"/>
      <c r="U5628" s="452"/>
      <c r="V5628" s="452"/>
      <c r="W5628" s="452"/>
    </row>
    <row r="5629" spans="19:23" ht="15" customHeight="1" x14ac:dyDescent="0.45">
      <c r="S5629" s="452"/>
      <c r="T5629" s="452"/>
      <c r="U5629" s="452"/>
      <c r="V5629" s="452"/>
      <c r="W5629" s="452"/>
    </row>
    <row r="5630" spans="19:23" ht="15" customHeight="1" x14ac:dyDescent="0.45">
      <c r="S5630" s="452"/>
      <c r="T5630" s="452"/>
      <c r="U5630" s="452"/>
      <c r="V5630" s="452"/>
      <c r="W5630" s="452"/>
    </row>
    <row r="5631" spans="19:23" ht="15" customHeight="1" x14ac:dyDescent="0.45">
      <c r="S5631" s="452"/>
      <c r="T5631" s="452"/>
      <c r="U5631" s="452"/>
      <c r="V5631" s="452"/>
      <c r="W5631" s="452"/>
    </row>
    <row r="5632" spans="19:23" ht="15" customHeight="1" x14ac:dyDescent="0.45">
      <c r="S5632" s="452"/>
      <c r="T5632" s="452"/>
      <c r="U5632" s="452"/>
      <c r="V5632" s="452"/>
      <c r="W5632" s="452"/>
    </row>
    <row r="5633" spans="19:23" ht="15" customHeight="1" x14ac:dyDescent="0.45">
      <c r="S5633" s="452"/>
      <c r="T5633" s="452"/>
      <c r="U5633" s="452"/>
      <c r="V5633" s="452"/>
      <c r="W5633" s="452"/>
    </row>
    <row r="5634" spans="19:23" ht="15" customHeight="1" x14ac:dyDescent="0.45">
      <c r="S5634" s="452"/>
      <c r="T5634" s="452"/>
      <c r="U5634" s="452"/>
      <c r="V5634" s="452"/>
      <c r="W5634" s="452"/>
    </row>
    <row r="5635" spans="19:23" ht="15" customHeight="1" x14ac:dyDescent="0.45">
      <c r="S5635" s="452"/>
      <c r="T5635" s="452"/>
      <c r="U5635" s="452"/>
      <c r="V5635" s="452"/>
      <c r="W5635" s="452"/>
    </row>
    <row r="5636" spans="19:23" ht="15" customHeight="1" x14ac:dyDescent="0.45">
      <c r="S5636" s="452"/>
      <c r="T5636" s="452"/>
      <c r="U5636" s="452"/>
      <c r="V5636" s="452"/>
      <c r="W5636" s="452"/>
    </row>
    <row r="5637" spans="19:23" ht="15" customHeight="1" x14ac:dyDescent="0.45">
      <c r="S5637" s="452"/>
      <c r="T5637" s="452"/>
      <c r="U5637" s="452"/>
      <c r="V5637" s="452"/>
      <c r="W5637" s="452"/>
    </row>
    <row r="5638" spans="19:23" ht="15" customHeight="1" x14ac:dyDescent="0.45">
      <c r="S5638" s="452"/>
      <c r="T5638" s="452"/>
      <c r="U5638" s="452"/>
      <c r="V5638" s="452"/>
      <c r="W5638" s="452"/>
    </row>
    <row r="5639" spans="19:23" ht="15" customHeight="1" x14ac:dyDescent="0.45">
      <c r="S5639" s="452"/>
      <c r="T5639" s="452"/>
      <c r="U5639" s="452"/>
      <c r="V5639" s="452"/>
      <c r="W5639" s="452"/>
    </row>
    <row r="5640" spans="19:23" ht="15" customHeight="1" x14ac:dyDescent="0.45">
      <c r="S5640" s="452"/>
      <c r="T5640" s="452"/>
      <c r="U5640" s="452"/>
      <c r="V5640" s="452"/>
      <c r="W5640" s="452"/>
    </row>
    <row r="5641" spans="19:23" ht="15" customHeight="1" x14ac:dyDescent="0.45">
      <c r="S5641" s="452"/>
      <c r="T5641" s="452"/>
      <c r="U5641" s="452"/>
      <c r="V5641" s="452"/>
      <c r="W5641" s="452"/>
    </row>
    <row r="5642" spans="19:23" ht="15" customHeight="1" x14ac:dyDescent="0.45">
      <c r="S5642" s="452"/>
      <c r="T5642" s="452"/>
      <c r="U5642" s="452"/>
      <c r="V5642" s="452"/>
      <c r="W5642" s="452"/>
    </row>
    <row r="5643" spans="19:23" ht="15" customHeight="1" x14ac:dyDescent="0.45">
      <c r="S5643" s="452"/>
      <c r="T5643" s="452"/>
      <c r="U5643" s="452"/>
      <c r="V5643" s="452"/>
      <c r="W5643" s="452"/>
    </row>
    <row r="5644" spans="19:23" ht="15" customHeight="1" x14ac:dyDescent="0.45">
      <c r="S5644" s="452"/>
      <c r="T5644" s="452"/>
      <c r="U5644" s="452"/>
      <c r="V5644" s="452"/>
      <c r="W5644" s="452"/>
    </row>
    <row r="5645" spans="19:23" ht="15" customHeight="1" x14ac:dyDescent="0.45">
      <c r="S5645" s="452"/>
      <c r="T5645" s="452"/>
      <c r="U5645" s="452"/>
      <c r="V5645" s="452"/>
      <c r="W5645" s="452"/>
    </row>
    <row r="5646" spans="19:23" ht="15" customHeight="1" x14ac:dyDescent="0.45">
      <c r="S5646" s="452"/>
      <c r="T5646" s="452"/>
      <c r="U5646" s="452"/>
      <c r="V5646" s="452"/>
      <c r="W5646" s="452"/>
    </row>
    <row r="5647" spans="19:23" ht="15" customHeight="1" x14ac:dyDescent="0.45">
      <c r="S5647" s="452"/>
      <c r="T5647" s="452"/>
      <c r="U5647" s="452"/>
      <c r="V5647" s="452"/>
      <c r="W5647" s="452"/>
    </row>
    <row r="5648" spans="19:23" ht="15" customHeight="1" x14ac:dyDescent="0.45">
      <c r="S5648" s="452"/>
      <c r="T5648" s="452"/>
      <c r="U5648" s="452"/>
      <c r="V5648" s="452"/>
      <c r="W5648" s="452"/>
    </row>
    <row r="5649" spans="19:23" ht="15" customHeight="1" x14ac:dyDescent="0.45">
      <c r="S5649" s="452"/>
      <c r="T5649" s="452"/>
      <c r="U5649" s="452"/>
      <c r="V5649" s="452"/>
      <c r="W5649" s="452"/>
    </row>
    <row r="5650" spans="19:23" ht="15" customHeight="1" x14ac:dyDescent="0.45">
      <c r="S5650" s="452"/>
      <c r="T5650" s="452"/>
      <c r="U5650" s="452"/>
      <c r="V5650" s="452"/>
      <c r="W5650" s="452"/>
    </row>
    <row r="5651" spans="19:23" ht="15" customHeight="1" x14ac:dyDescent="0.45">
      <c r="S5651" s="452"/>
      <c r="T5651" s="452"/>
      <c r="U5651" s="452"/>
      <c r="V5651" s="452"/>
      <c r="W5651" s="452"/>
    </row>
    <row r="5652" spans="19:23" ht="15" customHeight="1" x14ac:dyDescent="0.45">
      <c r="S5652" s="452"/>
      <c r="T5652" s="452"/>
      <c r="U5652" s="452"/>
      <c r="V5652" s="452"/>
      <c r="W5652" s="452"/>
    </row>
    <row r="5653" spans="19:23" ht="15" customHeight="1" x14ac:dyDescent="0.45">
      <c r="S5653" s="452"/>
      <c r="T5653" s="452"/>
      <c r="U5653" s="452"/>
      <c r="V5653" s="452"/>
      <c r="W5653" s="452"/>
    </row>
    <row r="5654" spans="19:23" ht="15" customHeight="1" x14ac:dyDescent="0.45">
      <c r="S5654" s="452"/>
      <c r="T5654" s="452"/>
      <c r="U5654" s="452"/>
      <c r="V5654" s="452"/>
      <c r="W5654" s="452"/>
    </row>
    <row r="5655" spans="19:23" ht="15" customHeight="1" x14ac:dyDescent="0.45">
      <c r="S5655" s="452"/>
      <c r="T5655" s="452"/>
      <c r="U5655" s="452"/>
      <c r="V5655" s="452"/>
      <c r="W5655" s="452"/>
    </row>
    <row r="5656" spans="19:23" ht="15" customHeight="1" x14ac:dyDescent="0.45">
      <c r="S5656" s="452"/>
      <c r="T5656" s="452"/>
      <c r="U5656" s="452"/>
      <c r="V5656" s="452"/>
      <c r="W5656" s="452"/>
    </row>
    <row r="5657" spans="19:23" ht="15" customHeight="1" x14ac:dyDescent="0.45">
      <c r="S5657" s="452"/>
      <c r="T5657" s="452"/>
      <c r="U5657" s="452"/>
      <c r="V5657" s="452"/>
      <c r="W5657" s="452"/>
    </row>
    <row r="5658" spans="19:23" ht="15" customHeight="1" x14ac:dyDescent="0.45">
      <c r="S5658" s="452"/>
      <c r="T5658" s="452"/>
      <c r="U5658" s="452"/>
      <c r="V5658" s="452"/>
      <c r="W5658" s="452"/>
    </row>
    <row r="5659" spans="19:23" ht="15" customHeight="1" x14ac:dyDescent="0.45">
      <c r="S5659" s="452"/>
      <c r="T5659" s="452"/>
      <c r="U5659" s="452"/>
      <c r="V5659" s="452"/>
      <c r="W5659" s="452"/>
    </row>
    <row r="5660" spans="19:23" ht="15" customHeight="1" x14ac:dyDescent="0.45">
      <c r="S5660" s="452"/>
      <c r="T5660" s="452"/>
      <c r="U5660" s="452"/>
      <c r="V5660" s="452"/>
      <c r="W5660" s="452"/>
    </row>
    <row r="5661" spans="19:23" ht="15" customHeight="1" x14ac:dyDescent="0.45">
      <c r="S5661" s="452"/>
      <c r="T5661" s="452"/>
      <c r="U5661" s="452"/>
      <c r="V5661" s="452"/>
      <c r="W5661" s="452"/>
    </row>
    <row r="5662" spans="19:23" ht="15" customHeight="1" x14ac:dyDescent="0.45">
      <c r="S5662" s="452"/>
      <c r="T5662" s="452"/>
      <c r="U5662" s="452"/>
      <c r="V5662" s="452"/>
      <c r="W5662" s="452"/>
    </row>
    <row r="5663" spans="19:23" ht="15" customHeight="1" x14ac:dyDescent="0.45">
      <c r="S5663" s="452"/>
      <c r="T5663" s="452"/>
      <c r="U5663" s="452"/>
      <c r="V5663" s="452"/>
      <c r="W5663" s="452"/>
    </row>
    <row r="5664" spans="19:23" ht="15" customHeight="1" x14ac:dyDescent="0.45">
      <c r="S5664" s="452"/>
      <c r="T5664" s="452"/>
      <c r="U5664" s="452"/>
      <c r="V5664" s="452"/>
      <c r="W5664" s="452"/>
    </row>
    <row r="5665" spans="19:23" ht="15" customHeight="1" x14ac:dyDescent="0.45">
      <c r="S5665" s="452"/>
      <c r="T5665" s="452"/>
      <c r="U5665" s="452"/>
      <c r="V5665" s="452"/>
      <c r="W5665" s="452"/>
    </row>
    <row r="5666" spans="19:23" ht="15" customHeight="1" x14ac:dyDescent="0.45">
      <c r="S5666" s="452"/>
      <c r="T5666" s="452"/>
      <c r="U5666" s="452"/>
      <c r="V5666" s="452"/>
      <c r="W5666" s="452"/>
    </row>
    <row r="5667" spans="19:23" ht="15" customHeight="1" x14ac:dyDescent="0.45">
      <c r="S5667" s="452"/>
      <c r="T5667" s="452"/>
      <c r="U5667" s="452"/>
      <c r="V5667" s="452"/>
      <c r="W5667" s="452"/>
    </row>
    <row r="5668" spans="19:23" ht="15" customHeight="1" x14ac:dyDescent="0.45">
      <c r="S5668" s="452"/>
      <c r="T5668" s="452"/>
      <c r="U5668" s="452"/>
      <c r="V5668" s="452"/>
      <c r="W5668" s="452"/>
    </row>
    <row r="5669" spans="19:23" ht="15" customHeight="1" x14ac:dyDescent="0.45">
      <c r="S5669" s="452"/>
      <c r="T5669" s="452"/>
      <c r="U5669" s="452"/>
      <c r="V5669" s="452"/>
      <c r="W5669" s="452"/>
    </row>
    <row r="5670" spans="19:23" ht="15" customHeight="1" x14ac:dyDescent="0.45">
      <c r="S5670" s="452"/>
      <c r="T5670" s="452"/>
      <c r="U5670" s="452"/>
      <c r="V5670" s="452"/>
      <c r="W5670" s="452"/>
    </row>
    <row r="5671" spans="19:23" ht="15" customHeight="1" x14ac:dyDescent="0.45">
      <c r="S5671" s="452"/>
      <c r="T5671" s="452"/>
      <c r="U5671" s="452"/>
      <c r="V5671" s="452"/>
      <c r="W5671" s="452"/>
    </row>
    <row r="5672" spans="19:23" ht="15" customHeight="1" x14ac:dyDescent="0.45">
      <c r="S5672" s="452"/>
      <c r="T5672" s="452"/>
      <c r="U5672" s="452"/>
      <c r="V5672" s="452"/>
      <c r="W5672" s="452"/>
    </row>
    <row r="5673" spans="19:23" ht="15" customHeight="1" x14ac:dyDescent="0.45">
      <c r="S5673" s="452"/>
      <c r="T5673" s="452"/>
      <c r="U5673" s="452"/>
      <c r="V5673" s="452"/>
      <c r="W5673" s="452"/>
    </row>
    <row r="5674" spans="19:23" ht="15" customHeight="1" x14ac:dyDescent="0.45">
      <c r="S5674" s="452"/>
      <c r="T5674" s="452"/>
      <c r="U5674" s="452"/>
      <c r="V5674" s="452"/>
      <c r="W5674" s="452"/>
    </row>
    <row r="5675" spans="19:23" ht="15" customHeight="1" x14ac:dyDescent="0.45">
      <c r="S5675" s="452"/>
      <c r="T5675" s="452"/>
      <c r="U5675" s="452"/>
      <c r="V5675" s="452"/>
      <c r="W5675" s="452"/>
    </row>
    <row r="5676" spans="19:23" ht="15" customHeight="1" x14ac:dyDescent="0.45">
      <c r="S5676" s="452"/>
      <c r="T5676" s="452"/>
      <c r="U5676" s="452"/>
      <c r="V5676" s="452"/>
      <c r="W5676" s="452"/>
    </row>
    <row r="5677" spans="19:23" ht="15" customHeight="1" x14ac:dyDescent="0.45">
      <c r="S5677" s="452"/>
      <c r="T5677" s="452"/>
      <c r="U5677" s="452"/>
      <c r="V5677" s="452"/>
      <c r="W5677" s="452"/>
    </row>
    <row r="5678" spans="19:23" ht="15" customHeight="1" x14ac:dyDescent="0.45">
      <c r="S5678" s="452"/>
      <c r="T5678" s="452"/>
      <c r="U5678" s="452"/>
      <c r="V5678" s="452"/>
      <c r="W5678" s="452"/>
    </row>
    <row r="5679" spans="19:23" ht="15" customHeight="1" x14ac:dyDescent="0.45">
      <c r="S5679" s="452"/>
      <c r="T5679" s="452"/>
      <c r="U5679" s="452"/>
      <c r="V5679" s="452"/>
      <c r="W5679" s="452"/>
    </row>
    <row r="5680" spans="19:23" ht="15" customHeight="1" x14ac:dyDescent="0.45">
      <c r="S5680" s="452"/>
      <c r="T5680" s="452"/>
      <c r="U5680" s="452"/>
      <c r="V5680" s="452"/>
      <c r="W5680" s="452"/>
    </row>
    <row r="5681" spans="19:23" ht="15" customHeight="1" x14ac:dyDescent="0.45">
      <c r="S5681" s="452"/>
      <c r="T5681" s="452"/>
      <c r="U5681" s="452"/>
      <c r="V5681" s="452"/>
      <c r="W5681" s="452"/>
    </row>
    <row r="5682" spans="19:23" ht="15" customHeight="1" x14ac:dyDescent="0.45">
      <c r="S5682" s="452"/>
      <c r="T5682" s="452"/>
      <c r="U5682" s="452"/>
      <c r="V5682" s="452"/>
      <c r="W5682" s="452"/>
    </row>
    <row r="5683" spans="19:23" ht="15" customHeight="1" x14ac:dyDescent="0.45">
      <c r="S5683" s="452"/>
      <c r="T5683" s="452"/>
      <c r="U5683" s="452"/>
      <c r="V5683" s="452"/>
      <c r="W5683" s="452"/>
    </row>
    <row r="5684" spans="19:23" ht="15" customHeight="1" x14ac:dyDescent="0.45">
      <c r="S5684" s="452"/>
      <c r="T5684" s="452"/>
      <c r="U5684" s="452"/>
      <c r="V5684" s="452"/>
      <c r="W5684" s="452"/>
    </row>
    <row r="5685" spans="19:23" ht="15" customHeight="1" x14ac:dyDescent="0.45">
      <c r="S5685" s="452"/>
      <c r="T5685" s="452"/>
      <c r="U5685" s="452"/>
      <c r="V5685" s="452"/>
      <c r="W5685" s="452"/>
    </row>
    <row r="5686" spans="19:23" ht="15" customHeight="1" x14ac:dyDescent="0.45">
      <c r="S5686" s="452"/>
      <c r="T5686" s="452"/>
      <c r="U5686" s="452"/>
      <c r="V5686" s="452"/>
      <c r="W5686" s="452"/>
    </row>
    <row r="5687" spans="19:23" ht="15" customHeight="1" x14ac:dyDescent="0.45">
      <c r="S5687" s="452"/>
      <c r="T5687" s="452"/>
      <c r="U5687" s="452"/>
      <c r="V5687" s="452"/>
      <c r="W5687" s="452"/>
    </row>
    <row r="5688" spans="19:23" ht="15" customHeight="1" x14ac:dyDescent="0.45">
      <c r="S5688" s="452"/>
      <c r="T5688" s="452"/>
      <c r="U5688" s="452"/>
      <c r="V5688" s="452"/>
      <c r="W5688" s="452"/>
    </row>
    <row r="5689" spans="19:23" ht="15" customHeight="1" x14ac:dyDescent="0.45">
      <c r="S5689" s="452"/>
      <c r="T5689" s="452"/>
      <c r="U5689" s="452"/>
      <c r="V5689" s="452"/>
      <c r="W5689" s="452"/>
    </row>
    <row r="5690" spans="19:23" ht="15" customHeight="1" x14ac:dyDescent="0.45">
      <c r="S5690" s="452"/>
      <c r="T5690" s="452"/>
      <c r="U5690" s="452"/>
      <c r="V5690" s="452"/>
      <c r="W5690" s="452"/>
    </row>
    <row r="5691" spans="19:23" ht="15" customHeight="1" x14ac:dyDescent="0.45">
      <c r="S5691" s="452"/>
      <c r="T5691" s="452"/>
      <c r="U5691" s="452"/>
      <c r="V5691" s="452"/>
      <c r="W5691" s="452"/>
    </row>
    <row r="5692" spans="19:23" ht="15" customHeight="1" x14ac:dyDescent="0.45">
      <c r="S5692" s="452"/>
      <c r="T5692" s="452"/>
      <c r="U5692" s="452"/>
      <c r="V5692" s="452"/>
      <c r="W5692" s="452"/>
    </row>
    <row r="5693" spans="19:23" ht="15" customHeight="1" x14ac:dyDescent="0.45">
      <c r="S5693" s="452"/>
      <c r="T5693" s="452"/>
      <c r="U5693" s="452"/>
      <c r="V5693" s="452"/>
      <c r="W5693" s="452"/>
    </row>
    <row r="5694" spans="19:23" ht="15" customHeight="1" x14ac:dyDescent="0.45">
      <c r="S5694" s="452"/>
      <c r="T5694" s="452"/>
      <c r="U5694" s="452"/>
      <c r="V5694" s="452"/>
      <c r="W5694" s="452"/>
    </row>
    <row r="5695" spans="19:23" ht="15" customHeight="1" x14ac:dyDescent="0.45">
      <c r="S5695" s="452"/>
      <c r="T5695" s="452"/>
      <c r="U5695" s="452"/>
      <c r="V5695" s="452"/>
      <c r="W5695" s="452"/>
    </row>
    <row r="5696" spans="19:23" ht="15" customHeight="1" x14ac:dyDescent="0.45">
      <c r="S5696" s="452"/>
      <c r="T5696" s="452"/>
      <c r="U5696" s="452"/>
      <c r="V5696" s="452"/>
      <c r="W5696" s="452"/>
    </row>
    <row r="5697" spans="19:23" ht="15" customHeight="1" x14ac:dyDescent="0.45">
      <c r="S5697" s="452"/>
      <c r="T5697" s="452"/>
      <c r="U5697" s="452"/>
      <c r="V5697" s="452"/>
      <c r="W5697" s="452"/>
    </row>
    <row r="5698" spans="19:23" ht="15" customHeight="1" x14ac:dyDescent="0.45">
      <c r="S5698" s="452"/>
      <c r="T5698" s="452"/>
      <c r="U5698" s="452"/>
      <c r="V5698" s="452"/>
      <c r="W5698" s="452"/>
    </row>
    <row r="5699" spans="19:23" ht="15" customHeight="1" x14ac:dyDescent="0.45">
      <c r="S5699" s="452"/>
      <c r="T5699" s="452"/>
      <c r="U5699" s="452"/>
      <c r="V5699" s="452"/>
      <c r="W5699" s="452"/>
    </row>
    <row r="5700" spans="19:23" ht="15" customHeight="1" x14ac:dyDescent="0.45">
      <c r="S5700" s="452"/>
      <c r="T5700" s="452"/>
      <c r="U5700" s="452"/>
      <c r="V5700" s="452"/>
      <c r="W5700" s="452"/>
    </row>
    <row r="5701" spans="19:23" ht="15" customHeight="1" x14ac:dyDescent="0.45">
      <c r="S5701" s="452"/>
      <c r="T5701" s="452"/>
      <c r="U5701" s="452"/>
      <c r="V5701" s="452"/>
      <c r="W5701" s="452"/>
    </row>
    <row r="5702" spans="19:23" ht="15" customHeight="1" x14ac:dyDescent="0.45">
      <c r="S5702" s="452"/>
      <c r="T5702" s="452"/>
      <c r="U5702" s="452"/>
      <c r="V5702" s="452"/>
      <c r="W5702" s="452"/>
    </row>
    <row r="5703" spans="19:23" ht="15" customHeight="1" x14ac:dyDescent="0.45">
      <c r="S5703" s="452"/>
      <c r="T5703" s="452"/>
      <c r="U5703" s="452"/>
      <c r="V5703" s="452"/>
      <c r="W5703" s="452"/>
    </row>
    <row r="5704" spans="19:23" ht="15" customHeight="1" x14ac:dyDescent="0.45">
      <c r="S5704" s="452"/>
      <c r="T5704" s="452"/>
      <c r="U5704" s="452"/>
      <c r="V5704" s="452"/>
      <c r="W5704" s="452"/>
    </row>
    <row r="5705" spans="19:23" ht="15" customHeight="1" x14ac:dyDescent="0.45">
      <c r="S5705" s="452"/>
      <c r="T5705" s="452"/>
      <c r="U5705" s="452"/>
      <c r="V5705" s="452"/>
      <c r="W5705" s="452"/>
    </row>
    <row r="5706" spans="19:23" ht="15" customHeight="1" x14ac:dyDescent="0.45">
      <c r="S5706" s="452"/>
      <c r="T5706" s="452"/>
      <c r="U5706" s="452"/>
      <c r="V5706" s="452"/>
      <c r="W5706" s="452"/>
    </row>
    <row r="5707" spans="19:23" ht="15" customHeight="1" x14ac:dyDescent="0.45">
      <c r="S5707" s="452"/>
      <c r="T5707" s="452"/>
      <c r="U5707" s="452"/>
      <c r="V5707" s="452"/>
      <c r="W5707" s="452"/>
    </row>
    <row r="5708" spans="19:23" ht="15" customHeight="1" x14ac:dyDescent="0.45">
      <c r="S5708" s="452"/>
      <c r="T5708" s="452"/>
      <c r="U5708" s="452"/>
      <c r="V5708" s="452"/>
      <c r="W5708" s="452"/>
    </row>
    <row r="5709" spans="19:23" ht="15" customHeight="1" x14ac:dyDescent="0.45">
      <c r="S5709" s="452"/>
      <c r="T5709" s="452"/>
      <c r="U5709" s="452"/>
      <c r="V5709" s="452"/>
      <c r="W5709" s="452"/>
    </row>
    <row r="5710" spans="19:23" ht="15" customHeight="1" x14ac:dyDescent="0.45">
      <c r="S5710" s="452"/>
      <c r="T5710" s="452"/>
      <c r="U5710" s="452"/>
      <c r="V5710" s="452"/>
      <c r="W5710" s="452"/>
    </row>
    <row r="5711" spans="19:23" ht="15" customHeight="1" x14ac:dyDescent="0.45">
      <c r="S5711" s="452"/>
      <c r="T5711" s="452"/>
      <c r="U5711" s="452"/>
      <c r="V5711" s="452"/>
      <c r="W5711" s="452"/>
    </row>
    <row r="5712" spans="19:23" ht="15" customHeight="1" x14ac:dyDescent="0.45">
      <c r="S5712" s="452"/>
      <c r="T5712" s="452"/>
      <c r="U5712" s="452"/>
      <c r="V5712" s="452"/>
      <c r="W5712" s="452"/>
    </row>
    <row r="5713" spans="19:23" ht="15" customHeight="1" x14ac:dyDescent="0.45">
      <c r="S5713" s="452"/>
      <c r="T5713" s="452"/>
      <c r="U5713" s="452"/>
      <c r="V5713" s="452"/>
      <c r="W5713" s="452"/>
    </row>
    <row r="5714" spans="19:23" ht="15" customHeight="1" x14ac:dyDescent="0.45">
      <c r="S5714" s="452"/>
      <c r="T5714" s="452"/>
      <c r="U5714" s="452"/>
      <c r="V5714" s="452"/>
      <c r="W5714" s="452"/>
    </row>
    <row r="5715" spans="19:23" ht="15" customHeight="1" x14ac:dyDescent="0.45">
      <c r="S5715" s="452"/>
      <c r="T5715" s="452"/>
      <c r="U5715" s="452"/>
      <c r="V5715" s="452"/>
      <c r="W5715" s="452"/>
    </row>
    <row r="5716" spans="19:23" ht="15" customHeight="1" x14ac:dyDescent="0.45">
      <c r="S5716" s="452"/>
      <c r="T5716" s="452"/>
      <c r="U5716" s="452"/>
      <c r="V5716" s="452"/>
      <c r="W5716" s="452"/>
    </row>
    <row r="5717" spans="19:23" ht="15" customHeight="1" x14ac:dyDescent="0.45">
      <c r="S5717" s="452"/>
      <c r="T5717" s="452"/>
      <c r="U5717" s="452"/>
      <c r="V5717" s="452"/>
      <c r="W5717" s="452"/>
    </row>
    <row r="5718" spans="19:23" ht="15" customHeight="1" x14ac:dyDescent="0.45">
      <c r="S5718" s="452"/>
      <c r="T5718" s="452"/>
      <c r="U5718" s="452"/>
      <c r="V5718" s="452"/>
      <c r="W5718" s="452"/>
    </row>
    <row r="5719" spans="19:23" ht="15" customHeight="1" x14ac:dyDescent="0.45">
      <c r="S5719" s="452"/>
      <c r="T5719" s="452"/>
      <c r="U5719" s="452"/>
      <c r="V5719" s="452"/>
      <c r="W5719" s="452"/>
    </row>
    <row r="5720" spans="19:23" ht="15" customHeight="1" x14ac:dyDescent="0.45">
      <c r="S5720" s="452"/>
      <c r="T5720" s="452"/>
      <c r="U5720" s="452"/>
      <c r="V5720" s="452"/>
      <c r="W5720" s="452"/>
    </row>
    <row r="5721" spans="19:23" ht="15" customHeight="1" x14ac:dyDescent="0.45">
      <c r="S5721" s="452"/>
      <c r="T5721" s="452"/>
      <c r="U5721" s="452"/>
      <c r="V5721" s="452"/>
      <c r="W5721" s="452"/>
    </row>
    <row r="5722" spans="19:23" ht="15" customHeight="1" x14ac:dyDescent="0.45">
      <c r="S5722" s="452"/>
      <c r="T5722" s="452"/>
      <c r="U5722" s="452"/>
      <c r="V5722" s="452"/>
      <c r="W5722" s="452"/>
    </row>
    <row r="5723" spans="19:23" ht="15" customHeight="1" x14ac:dyDescent="0.45">
      <c r="S5723" s="452"/>
      <c r="T5723" s="452"/>
      <c r="U5723" s="452"/>
      <c r="V5723" s="452"/>
      <c r="W5723" s="452"/>
    </row>
    <row r="5724" spans="19:23" ht="15" customHeight="1" x14ac:dyDescent="0.45">
      <c r="S5724" s="452"/>
      <c r="T5724" s="452"/>
      <c r="U5724" s="452"/>
      <c r="V5724" s="452"/>
      <c r="W5724" s="452"/>
    </row>
    <row r="5725" spans="19:23" ht="15" customHeight="1" x14ac:dyDescent="0.45">
      <c r="S5725" s="452"/>
      <c r="T5725" s="452"/>
      <c r="U5725" s="452"/>
      <c r="V5725" s="452"/>
      <c r="W5725" s="452"/>
    </row>
    <row r="5726" spans="19:23" ht="15" customHeight="1" x14ac:dyDescent="0.45">
      <c r="S5726" s="452"/>
      <c r="T5726" s="452"/>
      <c r="U5726" s="452"/>
      <c r="V5726" s="452"/>
      <c r="W5726" s="452"/>
    </row>
    <row r="5727" spans="19:23" ht="15" customHeight="1" x14ac:dyDescent="0.45">
      <c r="S5727" s="452"/>
      <c r="T5727" s="452"/>
      <c r="U5727" s="452"/>
      <c r="V5727" s="452"/>
      <c r="W5727" s="452"/>
    </row>
    <row r="5728" spans="19:23" ht="15" customHeight="1" x14ac:dyDescent="0.45">
      <c r="S5728" s="452"/>
      <c r="T5728" s="452"/>
      <c r="U5728" s="452"/>
      <c r="V5728" s="452"/>
      <c r="W5728" s="452"/>
    </row>
    <row r="5729" spans="19:23" ht="15" customHeight="1" x14ac:dyDescent="0.45">
      <c r="S5729" s="452"/>
      <c r="T5729" s="452"/>
      <c r="U5729" s="452"/>
      <c r="V5729" s="452"/>
      <c r="W5729" s="452"/>
    </row>
    <row r="5730" spans="19:23" ht="15" customHeight="1" x14ac:dyDescent="0.45">
      <c r="S5730" s="452"/>
      <c r="T5730" s="452"/>
      <c r="U5730" s="452"/>
      <c r="V5730" s="452"/>
      <c r="W5730" s="452"/>
    </row>
    <row r="5731" spans="19:23" ht="15" customHeight="1" x14ac:dyDescent="0.45">
      <c r="S5731" s="452"/>
      <c r="T5731" s="452"/>
      <c r="U5731" s="452"/>
      <c r="V5731" s="452"/>
      <c r="W5731" s="452"/>
    </row>
    <row r="5732" spans="19:23" ht="15" customHeight="1" x14ac:dyDescent="0.45">
      <c r="S5732" s="452"/>
      <c r="T5732" s="452"/>
      <c r="U5732" s="452"/>
      <c r="V5732" s="452"/>
      <c r="W5732" s="452"/>
    </row>
    <row r="5733" spans="19:23" ht="15" customHeight="1" x14ac:dyDescent="0.45">
      <c r="S5733" s="452"/>
      <c r="T5733" s="452"/>
      <c r="U5733" s="452"/>
      <c r="V5733" s="452"/>
      <c r="W5733" s="452"/>
    </row>
    <row r="5734" spans="19:23" ht="15" customHeight="1" x14ac:dyDescent="0.45">
      <c r="S5734" s="452"/>
      <c r="T5734" s="452"/>
      <c r="U5734" s="452"/>
      <c r="V5734" s="452"/>
      <c r="W5734" s="452"/>
    </row>
    <row r="5735" spans="19:23" ht="15" customHeight="1" x14ac:dyDescent="0.45">
      <c r="S5735" s="452"/>
      <c r="T5735" s="452"/>
      <c r="U5735" s="452"/>
      <c r="V5735" s="452"/>
      <c r="W5735" s="452"/>
    </row>
    <row r="5736" spans="19:23" ht="15" customHeight="1" x14ac:dyDescent="0.45">
      <c r="S5736" s="452"/>
      <c r="T5736" s="452"/>
      <c r="U5736" s="452"/>
      <c r="V5736" s="452"/>
      <c r="W5736" s="452"/>
    </row>
    <row r="5737" spans="19:23" ht="15" customHeight="1" x14ac:dyDescent="0.45">
      <c r="S5737" s="452"/>
      <c r="T5737" s="452"/>
      <c r="U5737" s="452"/>
      <c r="V5737" s="452"/>
      <c r="W5737" s="452"/>
    </row>
    <row r="5738" spans="19:23" ht="15" customHeight="1" x14ac:dyDescent="0.45">
      <c r="S5738" s="452"/>
      <c r="T5738" s="452"/>
      <c r="U5738" s="452"/>
      <c r="V5738" s="452"/>
      <c r="W5738" s="452"/>
    </row>
    <row r="5739" spans="19:23" ht="15" customHeight="1" x14ac:dyDescent="0.45">
      <c r="S5739" s="452"/>
      <c r="T5739" s="452"/>
      <c r="U5739" s="452"/>
      <c r="V5739" s="452"/>
      <c r="W5739" s="452"/>
    </row>
    <row r="5740" spans="19:23" ht="15" customHeight="1" x14ac:dyDescent="0.45">
      <c r="S5740" s="452"/>
      <c r="T5740" s="452"/>
      <c r="U5740" s="452"/>
      <c r="V5740" s="452"/>
      <c r="W5740" s="452"/>
    </row>
    <row r="5741" spans="19:23" ht="15" customHeight="1" x14ac:dyDescent="0.45">
      <c r="S5741" s="452"/>
      <c r="T5741" s="452"/>
      <c r="U5741" s="452"/>
      <c r="V5741" s="452"/>
      <c r="W5741" s="452"/>
    </row>
    <row r="5742" spans="19:23" ht="15" customHeight="1" x14ac:dyDescent="0.45">
      <c r="S5742" s="452"/>
      <c r="T5742" s="452"/>
      <c r="U5742" s="452"/>
      <c r="V5742" s="452"/>
      <c r="W5742" s="452"/>
    </row>
    <row r="5743" spans="19:23" ht="15" customHeight="1" x14ac:dyDescent="0.45">
      <c r="S5743" s="452"/>
      <c r="T5743" s="452"/>
      <c r="U5743" s="452"/>
      <c r="V5743" s="452"/>
      <c r="W5743" s="452"/>
    </row>
    <row r="5744" spans="19:23" ht="15" customHeight="1" x14ac:dyDescent="0.45">
      <c r="S5744" s="452"/>
      <c r="T5744" s="452"/>
      <c r="U5744" s="452"/>
      <c r="V5744" s="452"/>
      <c r="W5744" s="452"/>
    </row>
    <row r="5745" spans="19:23" ht="15" customHeight="1" x14ac:dyDescent="0.45">
      <c r="S5745" s="452"/>
      <c r="T5745" s="452"/>
      <c r="U5745" s="452"/>
      <c r="V5745" s="452"/>
      <c r="W5745" s="452"/>
    </row>
    <row r="5746" spans="19:23" ht="15" customHeight="1" x14ac:dyDescent="0.45">
      <c r="S5746" s="452"/>
      <c r="T5746" s="452"/>
      <c r="U5746" s="452"/>
      <c r="V5746" s="452"/>
      <c r="W5746" s="452"/>
    </row>
    <row r="5747" spans="19:23" ht="15" customHeight="1" x14ac:dyDescent="0.45">
      <c r="S5747" s="452"/>
      <c r="T5747" s="452"/>
      <c r="U5747" s="452"/>
      <c r="V5747" s="452"/>
      <c r="W5747" s="452"/>
    </row>
    <row r="5748" spans="19:23" ht="15" customHeight="1" x14ac:dyDescent="0.45">
      <c r="S5748" s="452"/>
      <c r="T5748" s="452"/>
      <c r="U5748" s="452"/>
      <c r="V5748" s="452"/>
      <c r="W5748" s="452"/>
    </row>
    <row r="5749" spans="19:23" ht="15" customHeight="1" x14ac:dyDescent="0.45">
      <c r="S5749" s="452"/>
      <c r="T5749" s="452"/>
      <c r="U5749" s="452"/>
      <c r="V5749" s="452"/>
      <c r="W5749" s="452"/>
    </row>
    <row r="5750" spans="19:23" ht="15" customHeight="1" x14ac:dyDescent="0.45">
      <c r="S5750" s="452"/>
      <c r="T5750" s="452"/>
      <c r="U5750" s="452"/>
      <c r="V5750" s="452"/>
      <c r="W5750" s="452"/>
    </row>
    <row r="5751" spans="19:23" ht="15" customHeight="1" x14ac:dyDescent="0.45">
      <c r="S5751" s="452"/>
      <c r="T5751" s="452"/>
      <c r="U5751" s="452"/>
      <c r="V5751" s="452"/>
      <c r="W5751" s="452"/>
    </row>
    <row r="5752" spans="19:23" ht="15" customHeight="1" x14ac:dyDescent="0.45">
      <c r="S5752" s="452"/>
      <c r="T5752" s="452"/>
      <c r="U5752" s="452"/>
      <c r="V5752" s="452"/>
      <c r="W5752" s="452"/>
    </row>
    <row r="5753" spans="19:23" ht="15" customHeight="1" x14ac:dyDescent="0.45">
      <c r="S5753" s="452"/>
      <c r="T5753" s="452"/>
      <c r="U5753" s="452"/>
      <c r="V5753" s="452"/>
      <c r="W5753" s="452"/>
    </row>
    <row r="5754" spans="19:23" ht="15" customHeight="1" x14ac:dyDescent="0.45">
      <c r="S5754" s="452"/>
      <c r="T5754" s="452"/>
      <c r="U5754" s="452"/>
      <c r="V5754" s="452"/>
      <c r="W5754" s="452"/>
    </row>
    <row r="5755" spans="19:23" ht="15" customHeight="1" x14ac:dyDescent="0.45">
      <c r="S5755" s="452"/>
      <c r="T5755" s="452"/>
      <c r="U5755" s="452"/>
      <c r="V5755" s="452"/>
      <c r="W5755" s="452"/>
    </row>
    <row r="5756" spans="19:23" ht="15" customHeight="1" x14ac:dyDescent="0.45">
      <c r="S5756" s="452"/>
      <c r="T5756" s="452"/>
      <c r="U5756" s="452"/>
      <c r="V5756" s="452"/>
      <c r="W5756" s="452"/>
    </row>
    <row r="5757" spans="19:23" ht="15" customHeight="1" x14ac:dyDescent="0.45">
      <c r="S5757" s="452"/>
      <c r="T5757" s="452"/>
      <c r="U5757" s="452"/>
      <c r="V5757" s="452"/>
      <c r="W5757" s="452"/>
    </row>
    <row r="5758" spans="19:23" ht="15" customHeight="1" x14ac:dyDescent="0.45">
      <c r="S5758" s="452"/>
      <c r="T5758" s="452"/>
      <c r="U5758" s="452"/>
      <c r="V5758" s="452"/>
      <c r="W5758" s="452"/>
    </row>
    <row r="5759" spans="19:23" ht="15" customHeight="1" x14ac:dyDescent="0.45">
      <c r="S5759" s="452"/>
      <c r="T5759" s="452"/>
      <c r="U5759" s="452"/>
      <c r="V5759" s="452"/>
      <c r="W5759" s="452"/>
    </row>
    <row r="5760" spans="19:23" ht="15" customHeight="1" x14ac:dyDescent="0.45">
      <c r="S5760" s="452"/>
      <c r="T5760" s="452"/>
      <c r="U5760" s="452"/>
      <c r="V5760" s="452"/>
      <c r="W5760" s="452"/>
    </row>
    <row r="5761" spans="19:23" ht="15" customHeight="1" x14ac:dyDescent="0.45">
      <c r="S5761" s="452"/>
      <c r="T5761" s="452"/>
      <c r="U5761" s="452"/>
      <c r="V5761" s="452"/>
      <c r="W5761" s="452"/>
    </row>
    <row r="5762" spans="19:23" ht="15" customHeight="1" x14ac:dyDescent="0.45">
      <c r="S5762" s="452"/>
      <c r="T5762" s="452"/>
      <c r="U5762" s="452"/>
      <c r="V5762" s="452"/>
      <c r="W5762" s="452"/>
    </row>
    <row r="5763" spans="19:23" ht="15" customHeight="1" x14ac:dyDescent="0.45">
      <c r="S5763" s="452"/>
      <c r="T5763" s="452"/>
      <c r="U5763" s="452"/>
      <c r="V5763" s="452"/>
      <c r="W5763" s="452"/>
    </row>
    <row r="5764" spans="19:23" ht="15" customHeight="1" x14ac:dyDescent="0.45">
      <c r="S5764" s="452"/>
      <c r="T5764" s="452"/>
      <c r="U5764" s="452"/>
      <c r="V5764" s="452"/>
      <c r="W5764" s="452"/>
    </row>
    <row r="5765" spans="19:23" ht="15" customHeight="1" x14ac:dyDescent="0.45">
      <c r="S5765" s="452"/>
      <c r="T5765" s="452"/>
      <c r="U5765" s="452"/>
      <c r="V5765" s="452"/>
      <c r="W5765" s="452"/>
    </row>
    <row r="5766" spans="19:23" ht="15" customHeight="1" x14ac:dyDescent="0.45">
      <c r="S5766" s="452"/>
      <c r="T5766" s="452"/>
      <c r="U5766" s="452"/>
      <c r="V5766" s="452"/>
      <c r="W5766" s="452"/>
    </row>
    <row r="5767" spans="19:23" ht="15" customHeight="1" x14ac:dyDescent="0.45">
      <c r="S5767" s="452"/>
      <c r="T5767" s="452"/>
      <c r="U5767" s="452"/>
      <c r="V5767" s="452"/>
      <c r="W5767" s="452"/>
    </row>
    <row r="5768" spans="19:23" ht="15" customHeight="1" x14ac:dyDescent="0.45">
      <c r="S5768" s="452"/>
      <c r="T5768" s="452"/>
      <c r="U5768" s="452"/>
      <c r="V5768" s="452"/>
      <c r="W5768" s="452"/>
    </row>
    <row r="5769" spans="19:23" ht="15" customHeight="1" x14ac:dyDescent="0.45">
      <c r="S5769" s="452"/>
      <c r="T5769" s="452"/>
      <c r="U5769" s="452"/>
      <c r="V5769" s="452"/>
      <c r="W5769" s="452"/>
    </row>
    <row r="5770" spans="19:23" ht="15" customHeight="1" x14ac:dyDescent="0.45">
      <c r="S5770" s="452"/>
      <c r="T5770" s="452"/>
      <c r="U5770" s="452"/>
      <c r="V5770" s="452"/>
      <c r="W5770" s="452"/>
    </row>
    <row r="5771" spans="19:23" ht="15" customHeight="1" x14ac:dyDescent="0.45">
      <c r="S5771" s="452"/>
      <c r="T5771" s="452"/>
      <c r="U5771" s="452"/>
      <c r="V5771" s="452"/>
      <c r="W5771" s="452"/>
    </row>
    <row r="5772" spans="19:23" ht="15" customHeight="1" x14ac:dyDescent="0.45">
      <c r="S5772" s="452"/>
      <c r="T5772" s="452"/>
      <c r="U5772" s="452"/>
      <c r="V5772" s="452"/>
      <c r="W5772" s="452"/>
    </row>
    <row r="5773" spans="19:23" ht="15" customHeight="1" x14ac:dyDescent="0.45">
      <c r="S5773" s="452"/>
      <c r="T5773" s="452"/>
      <c r="U5773" s="452"/>
      <c r="V5773" s="452"/>
      <c r="W5773" s="452"/>
    </row>
    <row r="5774" spans="19:23" ht="15" customHeight="1" x14ac:dyDescent="0.45">
      <c r="S5774" s="452"/>
      <c r="T5774" s="452"/>
      <c r="U5774" s="452"/>
      <c r="V5774" s="452"/>
      <c r="W5774" s="452"/>
    </row>
    <row r="5775" spans="19:23" ht="15" customHeight="1" x14ac:dyDescent="0.45">
      <c r="S5775" s="452"/>
      <c r="T5775" s="452"/>
      <c r="U5775" s="452"/>
      <c r="V5775" s="452"/>
      <c r="W5775" s="452"/>
    </row>
    <row r="5776" spans="19:23" ht="15" customHeight="1" x14ac:dyDescent="0.45">
      <c r="S5776" s="452"/>
      <c r="T5776" s="452"/>
      <c r="U5776" s="452"/>
      <c r="V5776" s="452"/>
      <c r="W5776" s="452"/>
    </row>
    <row r="5777" spans="19:23" ht="15" customHeight="1" x14ac:dyDescent="0.45">
      <c r="S5777" s="452"/>
      <c r="T5777" s="452"/>
      <c r="U5777" s="452"/>
      <c r="V5777" s="452"/>
      <c r="W5777" s="452"/>
    </row>
    <row r="5778" spans="19:23" ht="15" customHeight="1" x14ac:dyDescent="0.45">
      <c r="S5778" s="452"/>
      <c r="T5778" s="452"/>
      <c r="U5778" s="452"/>
      <c r="V5778" s="452"/>
      <c r="W5778" s="452"/>
    </row>
    <row r="5779" spans="19:23" ht="15" customHeight="1" x14ac:dyDescent="0.45">
      <c r="S5779" s="452"/>
      <c r="T5779" s="452"/>
      <c r="U5779" s="452"/>
      <c r="V5779" s="452"/>
      <c r="W5779" s="452"/>
    </row>
    <row r="5780" spans="19:23" ht="15" customHeight="1" x14ac:dyDescent="0.45">
      <c r="S5780" s="452"/>
      <c r="T5780" s="452"/>
      <c r="U5780" s="452"/>
      <c r="V5780" s="452"/>
      <c r="W5780" s="452"/>
    </row>
    <row r="5781" spans="19:23" ht="15" customHeight="1" x14ac:dyDescent="0.45">
      <c r="S5781" s="452"/>
      <c r="T5781" s="452"/>
      <c r="U5781" s="452"/>
      <c r="V5781" s="452"/>
      <c r="W5781" s="452"/>
    </row>
    <row r="5782" spans="19:23" ht="15" customHeight="1" x14ac:dyDescent="0.45">
      <c r="S5782" s="452"/>
      <c r="T5782" s="452"/>
      <c r="U5782" s="452"/>
      <c r="V5782" s="452"/>
      <c r="W5782" s="452"/>
    </row>
    <row r="5783" spans="19:23" ht="15" customHeight="1" x14ac:dyDescent="0.45">
      <c r="S5783" s="452"/>
      <c r="T5783" s="452"/>
      <c r="U5783" s="452"/>
      <c r="V5783" s="452"/>
      <c r="W5783" s="452"/>
    </row>
    <row r="5784" spans="19:23" ht="15" customHeight="1" x14ac:dyDescent="0.45">
      <c r="S5784" s="452"/>
      <c r="T5784" s="452"/>
      <c r="U5784" s="452"/>
      <c r="V5784" s="452"/>
      <c r="W5784" s="452"/>
    </row>
    <row r="5785" spans="19:23" ht="15" customHeight="1" x14ac:dyDescent="0.45">
      <c r="S5785" s="452"/>
      <c r="T5785" s="452"/>
      <c r="U5785" s="452"/>
      <c r="V5785" s="452"/>
      <c r="W5785" s="452"/>
    </row>
    <row r="5786" spans="19:23" ht="15" customHeight="1" x14ac:dyDescent="0.45">
      <c r="S5786" s="452"/>
      <c r="T5786" s="452"/>
      <c r="U5786" s="452"/>
      <c r="V5786" s="452"/>
      <c r="W5786" s="452"/>
    </row>
    <row r="5787" spans="19:23" ht="15" customHeight="1" x14ac:dyDescent="0.45">
      <c r="S5787" s="452"/>
      <c r="T5787" s="452"/>
      <c r="U5787" s="452"/>
      <c r="V5787" s="452"/>
      <c r="W5787" s="452"/>
    </row>
    <row r="5788" spans="19:23" ht="15" customHeight="1" x14ac:dyDescent="0.45">
      <c r="S5788" s="452"/>
      <c r="T5788" s="452"/>
      <c r="U5788" s="452"/>
      <c r="V5788" s="452"/>
      <c r="W5788" s="452"/>
    </row>
    <row r="5789" spans="19:23" ht="15" customHeight="1" x14ac:dyDescent="0.45">
      <c r="S5789" s="452"/>
      <c r="T5789" s="452"/>
      <c r="U5789" s="452"/>
      <c r="V5789" s="452"/>
      <c r="W5789" s="452"/>
    </row>
    <row r="5790" spans="19:23" ht="15" customHeight="1" x14ac:dyDescent="0.45">
      <c r="S5790" s="452"/>
      <c r="T5790" s="452"/>
      <c r="U5790" s="452"/>
      <c r="V5790" s="452"/>
      <c r="W5790" s="452"/>
    </row>
    <row r="5791" spans="19:23" ht="15" customHeight="1" x14ac:dyDescent="0.45">
      <c r="S5791" s="452"/>
      <c r="T5791" s="452"/>
      <c r="U5791" s="452"/>
      <c r="V5791" s="452"/>
      <c r="W5791" s="452"/>
    </row>
    <row r="5792" spans="19:23" ht="15" customHeight="1" x14ac:dyDescent="0.45">
      <c r="S5792" s="452"/>
      <c r="T5792" s="452"/>
      <c r="U5792" s="452"/>
      <c r="V5792" s="452"/>
      <c r="W5792" s="452"/>
    </row>
    <row r="5793" spans="19:23" ht="15" customHeight="1" x14ac:dyDescent="0.45">
      <c r="S5793" s="452"/>
      <c r="T5793" s="452"/>
      <c r="U5793" s="452"/>
      <c r="V5793" s="452"/>
      <c r="W5793" s="452"/>
    </row>
    <row r="5794" spans="19:23" ht="15" customHeight="1" x14ac:dyDescent="0.45">
      <c r="S5794" s="452"/>
      <c r="T5794" s="452"/>
      <c r="U5794" s="452"/>
      <c r="V5794" s="452"/>
      <c r="W5794" s="452"/>
    </row>
    <row r="5795" spans="19:23" ht="15" customHeight="1" x14ac:dyDescent="0.45">
      <c r="S5795" s="452"/>
      <c r="T5795" s="452"/>
      <c r="U5795" s="452"/>
      <c r="V5795" s="452"/>
      <c r="W5795" s="452"/>
    </row>
    <row r="5796" spans="19:23" ht="15" customHeight="1" x14ac:dyDescent="0.45">
      <c r="S5796" s="452"/>
      <c r="T5796" s="452"/>
      <c r="U5796" s="452"/>
      <c r="V5796" s="452"/>
      <c r="W5796" s="452"/>
    </row>
    <row r="5797" spans="19:23" ht="15" customHeight="1" x14ac:dyDescent="0.45">
      <c r="S5797" s="452"/>
      <c r="T5797" s="452"/>
      <c r="U5797" s="452"/>
      <c r="V5797" s="452"/>
      <c r="W5797" s="452"/>
    </row>
    <row r="5798" spans="19:23" ht="15" customHeight="1" x14ac:dyDescent="0.45">
      <c r="S5798" s="452"/>
      <c r="T5798" s="452"/>
      <c r="U5798" s="452"/>
      <c r="V5798" s="452"/>
      <c r="W5798" s="452"/>
    </row>
    <row r="5799" spans="19:23" ht="15" customHeight="1" x14ac:dyDescent="0.45">
      <c r="S5799" s="452"/>
      <c r="T5799" s="452"/>
      <c r="U5799" s="452"/>
      <c r="V5799" s="452"/>
      <c r="W5799" s="452"/>
    </row>
    <row r="5800" spans="19:23" ht="15" customHeight="1" x14ac:dyDescent="0.45">
      <c r="S5800" s="452"/>
      <c r="T5800" s="452"/>
      <c r="U5800" s="452"/>
      <c r="V5800" s="452"/>
      <c r="W5800" s="452"/>
    </row>
    <row r="5801" spans="19:23" ht="15" customHeight="1" x14ac:dyDescent="0.45">
      <c r="S5801" s="452"/>
      <c r="T5801" s="452"/>
      <c r="U5801" s="452"/>
      <c r="V5801" s="452"/>
      <c r="W5801" s="452"/>
    </row>
    <row r="5802" spans="19:23" ht="15" customHeight="1" x14ac:dyDescent="0.45">
      <c r="S5802" s="452"/>
      <c r="T5802" s="452"/>
      <c r="U5802" s="452"/>
      <c r="V5802" s="452"/>
      <c r="W5802" s="452"/>
    </row>
    <row r="5803" spans="19:23" ht="15" customHeight="1" x14ac:dyDescent="0.45">
      <c r="S5803" s="452"/>
      <c r="T5803" s="452"/>
      <c r="U5803" s="452"/>
      <c r="V5803" s="452"/>
      <c r="W5803" s="452"/>
    </row>
    <row r="5804" spans="19:23" ht="15" customHeight="1" x14ac:dyDescent="0.45">
      <c r="S5804" s="452"/>
      <c r="T5804" s="452"/>
      <c r="U5804" s="452"/>
      <c r="V5804" s="452"/>
      <c r="W5804" s="452"/>
    </row>
    <row r="5805" spans="19:23" ht="15" customHeight="1" x14ac:dyDescent="0.45">
      <c r="S5805" s="452"/>
      <c r="T5805" s="452"/>
      <c r="U5805" s="452"/>
      <c r="V5805" s="452"/>
      <c r="W5805" s="452"/>
    </row>
    <row r="5806" spans="19:23" ht="15" customHeight="1" x14ac:dyDescent="0.45">
      <c r="S5806" s="452"/>
      <c r="T5806" s="452"/>
      <c r="U5806" s="452"/>
      <c r="V5806" s="452"/>
      <c r="W5806" s="452"/>
    </row>
    <row r="5807" spans="19:23" ht="15" customHeight="1" x14ac:dyDescent="0.45">
      <c r="S5807" s="452"/>
      <c r="T5807" s="452"/>
      <c r="U5807" s="452"/>
      <c r="V5807" s="452"/>
      <c r="W5807" s="452"/>
    </row>
    <row r="5808" spans="19:23" ht="15" customHeight="1" x14ac:dyDescent="0.45">
      <c r="S5808" s="452"/>
      <c r="T5808" s="452"/>
      <c r="U5808" s="452"/>
      <c r="V5808" s="452"/>
      <c r="W5808" s="452"/>
    </row>
    <row r="5809" spans="19:23" ht="15" customHeight="1" x14ac:dyDescent="0.45">
      <c r="S5809" s="452"/>
      <c r="T5809" s="452"/>
      <c r="U5809" s="452"/>
      <c r="V5809" s="452"/>
      <c r="W5809" s="452"/>
    </row>
    <row r="5810" spans="19:23" ht="15" customHeight="1" x14ac:dyDescent="0.45">
      <c r="S5810" s="452"/>
      <c r="T5810" s="452"/>
      <c r="U5810" s="452"/>
      <c r="V5810" s="452"/>
      <c r="W5810" s="452"/>
    </row>
    <row r="5811" spans="19:23" ht="15" customHeight="1" x14ac:dyDescent="0.45">
      <c r="S5811" s="452"/>
      <c r="T5811" s="452"/>
      <c r="U5811" s="452"/>
      <c r="V5811" s="452"/>
      <c r="W5811" s="452"/>
    </row>
    <row r="5812" spans="19:23" ht="15" customHeight="1" x14ac:dyDescent="0.45">
      <c r="S5812" s="452"/>
      <c r="T5812" s="452"/>
      <c r="U5812" s="452"/>
      <c r="V5812" s="452"/>
      <c r="W5812" s="452"/>
    </row>
    <row r="5813" spans="19:23" ht="15" customHeight="1" x14ac:dyDescent="0.45">
      <c r="S5813" s="452"/>
      <c r="T5813" s="452"/>
      <c r="U5813" s="452"/>
      <c r="V5813" s="452"/>
      <c r="W5813" s="452"/>
    </row>
    <row r="5814" spans="19:23" ht="15" customHeight="1" x14ac:dyDescent="0.45">
      <c r="S5814" s="452"/>
      <c r="T5814" s="452"/>
      <c r="U5814" s="452"/>
      <c r="V5814" s="452"/>
      <c r="W5814" s="452"/>
    </row>
    <row r="5815" spans="19:23" ht="15" customHeight="1" x14ac:dyDescent="0.45">
      <c r="S5815" s="452"/>
      <c r="T5815" s="452"/>
      <c r="U5815" s="452"/>
      <c r="V5815" s="452"/>
      <c r="W5815" s="452"/>
    </row>
    <row r="5816" spans="19:23" ht="15" customHeight="1" x14ac:dyDescent="0.45">
      <c r="S5816" s="452"/>
      <c r="T5816" s="452"/>
      <c r="U5816" s="452"/>
      <c r="V5816" s="452"/>
      <c r="W5816" s="452"/>
    </row>
    <row r="5817" spans="19:23" ht="15" customHeight="1" x14ac:dyDescent="0.45">
      <c r="S5817" s="452"/>
      <c r="T5817" s="452"/>
      <c r="U5817" s="452"/>
      <c r="V5817" s="452"/>
      <c r="W5817" s="452"/>
    </row>
    <row r="5818" spans="19:23" ht="15" customHeight="1" x14ac:dyDescent="0.45">
      <c r="S5818" s="452"/>
      <c r="T5818" s="452"/>
      <c r="U5818" s="452"/>
      <c r="V5818" s="452"/>
      <c r="W5818" s="452"/>
    </row>
    <row r="5819" spans="19:23" ht="15" customHeight="1" x14ac:dyDescent="0.45">
      <c r="S5819" s="452"/>
      <c r="T5819" s="452"/>
      <c r="U5819" s="452"/>
      <c r="V5819" s="452"/>
      <c r="W5819" s="452"/>
    </row>
    <row r="5820" spans="19:23" ht="15" customHeight="1" x14ac:dyDescent="0.45">
      <c r="S5820" s="452"/>
      <c r="T5820" s="452"/>
      <c r="U5820" s="452"/>
      <c r="V5820" s="452"/>
      <c r="W5820" s="452"/>
    </row>
    <row r="5821" spans="19:23" ht="15" customHeight="1" x14ac:dyDescent="0.45">
      <c r="S5821" s="452"/>
      <c r="T5821" s="452"/>
      <c r="U5821" s="452"/>
      <c r="V5821" s="452"/>
      <c r="W5821" s="452"/>
    </row>
    <row r="5822" spans="19:23" ht="15" customHeight="1" x14ac:dyDescent="0.45">
      <c r="S5822" s="452"/>
      <c r="T5822" s="452"/>
      <c r="U5822" s="452"/>
      <c r="V5822" s="452"/>
      <c r="W5822" s="452"/>
    </row>
    <row r="5823" spans="19:23" ht="15" customHeight="1" x14ac:dyDescent="0.45">
      <c r="S5823" s="452"/>
      <c r="T5823" s="452"/>
      <c r="U5823" s="452"/>
      <c r="V5823" s="452"/>
      <c r="W5823" s="452"/>
    </row>
    <row r="5824" spans="19:23" ht="15" customHeight="1" x14ac:dyDescent="0.45">
      <c r="S5824" s="452"/>
      <c r="T5824" s="452"/>
      <c r="U5824" s="452"/>
      <c r="V5824" s="452"/>
      <c r="W5824" s="452"/>
    </row>
    <row r="5825" spans="19:23" ht="15" customHeight="1" x14ac:dyDescent="0.45">
      <c r="S5825" s="452"/>
      <c r="T5825" s="452"/>
      <c r="U5825" s="452"/>
      <c r="V5825" s="452"/>
      <c r="W5825" s="452"/>
    </row>
    <row r="5826" spans="19:23" ht="15" customHeight="1" x14ac:dyDescent="0.45">
      <c r="S5826" s="452"/>
      <c r="T5826" s="452"/>
      <c r="U5826" s="452"/>
      <c r="V5826" s="452"/>
      <c r="W5826" s="452"/>
    </row>
    <row r="5827" spans="19:23" ht="15" customHeight="1" x14ac:dyDescent="0.45">
      <c r="S5827" s="452"/>
      <c r="T5827" s="452"/>
      <c r="U5827" s="452"/>
      <c r="V5827" s="452"/>
      <c r="W5827" s="452"/>
    </row>
    <row r="5828" spans="19:23" ht="15" customHeight="1" x14ac:dyDescent="0.45">
      <c r="S5828" s="452"/>
      <c r="T5828" s="452"/>
      <c r="U5828" s="452"/>
      <c r="V5828" s="452"/>
      <c r="W5828" s="452"/>
    </row>
    <row r="5829" spans="19:23" ht="15" customHeight="1" x14ac:dyDescent="0.45">
      <c r="S5829" s="452"/>
      <c r="T5829" s="452"/>
      <c r="U5829" s="452"/>
      <c r="V5829" s="452"/>
      <c r="W5829" s="452"/>
    </row>
    <row r="5830" spans="19:23" ht="15" customHeight="1" x14ac:dyDescent="0.45">
      <c r="S5830" s="452"/>
      <c r="T5830" s="452"/>
      <c r="U5830" s="452"/>
      <c r="V5830" s="452"/>
      <c r="W5830" s="452"/>
    </row>
    <row r="5831" spans="19:23" ht="15" customHeight="1" x14ac:dyDescent="0.45">
      <c r="S5831" s="452"/>
      <c r="T5831" s="452"/>
      <c r="U5831" s="452"/>
      <c r="V5831" s="452"/>
      <c r="W5831" s="452"/>
    </row>
    <row r="5832" spans="19:23" ht="15" customHeight="1" x14ac:dyDescent="0.45">
      <c r="S5832" s="452"/>
      <c r="T5832" s="452"/>
      <c r="U5832" s="452"/>
      <c r="V5832" s="452"/>
      <c r="W5832" s="452"/>
    </row>
    <row r="5833" spans="19:23" ht="15" customHeight="1" x14ac:dyDescent="0.45">
      <c r="S5833" s="452"/>
      <c r="T5833" s="452"/>
      <c r="U5833" s="452"/>
      <c r="V5833" s="452"/>
      <c r="W5833" s="452"/>
    </row>
    <row r="5834" spans="19:23" ht="15" customHeight="1" x14ac:dyDescent="0.45">
      <c r="S5834" s="452"/>
      <c r="T5834" s="452"/>
      <c r="U5834" s="452"/>
      <c r="V5834" s="452"/>
      <c r="W5834" s="452"/>
    </row>
    <row r="5835" spans="19:23" ht="15" customHeight="1" x14ac:dyDescent="0.45">
      <c r="S5835" s="452"/>
      <c r="T5835" s="452"/>
      <c r="U5835" s="452"/>
      <c r="V5835" s="452"/>
      <c r="W5835" s="452"/>
    </row>
    <row r="5836" spans="19:23" ht="15" customHeight="1" x14ac:dyDescent="0.45">
      <c r="S5836" s="452"/>
      <c r="T5836" s="452"/>
      <c r="U5836" s="452"/>
      <c r="V5836" s="452"/>
      <c r="W5836" s="452"/>
    </row>
    <row r="5837" spans="19:23" ht="15" customHeight="1" x14ac:dyDescent="0.45">
      <c r="S5837" s="452"/>
      <c r="T5837" s="452"/>
      <c r="U5837" s="452"/>
      <c r="V5837" s="452"/>
      <c r="W5837" s="452"/>
    </row>
    <row r="5838" spans="19:23" ht="15" customHeight="1" x14ac:dyDescent="0.45">
      <c r="S5838" s="452"/>
      <c r="T5838" s="452"/>
      <c r="U5838" s="452"/>
      <c r="V5838" s="452"/>
      <c r="W5838" s="452"/>
    </row>
    <row r="5839" spans="19:23" ht="15" customHeight="1" x14ac:dyDescent="0.45">
      <c r="S5839" s="452"/>
      <c r="T5839" s="452"/>
      <c r="U5839" s="452"/>
      <c r="V5839" s="452"/>
      <c r="W5839" s="452"/>
    </row>
    <row r="5840" spans="19:23" ht="15" customHeight="1" x14ac:dyDescent="0.45">
      <c r="S5840" s="452"/>
      <c r="T5840" s="452"/>
      <c r="U5840" s="452"/>
      <c r="V5840" s="452"/>
      <c r="W5840" s="452"/>
    </row>
    <row r="5841" spans="19:23" ht="15" customHeight="1" x14ac:dyDescent="0.45">
      <c r="S5841" s="452"/>
      <c r="T5841" s="452"/>
      <c r="U5841" s="452"/>
      <c r="V5841" s="452"/>
      <c r="W5841" s="452"/>
    </row>
    <row r="5842" spans="19:23" ht="15" customHeight="1" x14ac:dyDescent="0.45">
      <c r="S5842" s="452"/>
      <c r="T5842" s="452"/>
      <c r="U5842" s="452"/>
      <c r="V5842" s="452"/>
      <c r="W5842" s="452"/>
    </row>
    <row r="5843" spans="19:23" ht="15" customHeight="1" x14ac:dyDescent="0.45">
      <c r="S5843" s="452"/>
      <c r="T5843" s="452"/>
      <c r="U5843" s="452"/>
      <c r="V5843" s="452"/>
      <c r="W5843" s="452"/>
    </row>
    <row r="5844" spans="19:23" ht="15" customHeight="1" x14ac:dyDescent="0.45">
      <c r="S5844" s="452"/>
      <c r="T5844" s="452"/>
      <c r="U5844" s="452"/>
      <c r="V5844" s="452"/>
      <c r="W5844" s="452"/>
    </row>
    <row r="5845" spans="19:23" ht="15" customHeight="1" x14ac:dyDescent="0.45">
      <c r="S5845" s="452"/>
      <c r="T5845" s="452"/>
      <c r="U5845" s="452"/>
      <c r="V5845" s="452"/>
      <c r="W5845" s="452"/>
    </row>
    <row r="5846" spans="19:23" ht="15" customHeight="1" x14ac:dyDescent="0.45">
      <c r="S5846" s="452"/>
      <c r="T5846" s="452"/>
      <c r="U5846" s="452"/>
      <c r="V5846" s="452"/>
      <c r="W5846" s="452"/>
    </row>
    <row r="5847" spans="19:23" ht="15" customHeight="1" x14ac:dyDescent="0.45">
      <c r="S5847" s="452"/>
      <c r="T5847" s="452"/>
      <c r="U5847" s="452"/>
      <c r="V5847" s="452"/>
      <c r="W5847" s="452"/>
    </row>
    <row r="5848" spans="19:23" ht="15" customHeight="1" x14ac:dyDescent="0.45">
      <c r="S5848" s="452"/>
      <c r="T5848" s="452"/>
      <c r="U5848" s="452"/>
      <c r="V5848" s="452"/>
      <c r="W5848" s="452"/>
    </row>
    <row r="5849" spans="19:23" ht="15" customHeight="1" x14ac:dyDescent="0.45">
      <c r="S5849" s="452"/>
      <c r="T5849" s="452"/>
      <c r="U5849" s="452"/>
      <c r="V5849" s="452"/>
      <c r="W5849" s="452"/>
    </row>
    <row r="5850" spans="19:23" ht="15" customHeight="1" x14ac:dyDescent="0.45">
      <c r="S5850" s="452"/>
      <c r="T5850" s="452"/>
      <c r="U5850" s="452"/>
      <c r="V5850" s="452"/>
      <c r="W5850" s="452"/>
    </row>
    <row r="5851" spans="19:23" ht="15" customHeight="1" x14ac:dyDescent="0.45">
      <c r="S5851" s="452"/>
      <c r="T5851" s="452"/>
      <c r="U5851" s="452"/>
      <c r="V5851" s="452"/>
      <c r="W5851" s="452"/>
    </row>
    <row r="5852" spans="19:23" ht="15" customHeight="1" x14ac:dyDescent="0.45">
      <c r="S5852" s="452"/>
      <c r="T5852" s="452"/>
      <c r="U5852" s="452"/>
      <c r="V5852" s="452"/>
      <c r="W5852" s="452"/>
    </row>
    <row r="5853" spans="19:23" ht="15" customHeight="1" x14ac:dyDescent="0.45">
      <c r="S5853" s="452"/>
      <c r="T5853" s="452"/>
      <c r="U5853" s="452"/>
      <c r="V5853" s="452"/>
      <c r="W5853" s="452"/>
    </row>
    <row r="5854" spans="19:23" ht="15" customHeight="1" x14ac:dyDescent="0.45">
      <c r="S5854" s="452"/>
      <c r="T5854" s="452"/>
      <c r="U5854" s="452"/>
      <c r="V5854" s="452"/>
      <c r="W5854" s="452"/>
    </row>
    <row r="5855" spans="19:23" ht="15" customHeight="1" x14ac:dyDescent="0.45">
      <c r="S5855" s="452"/>
      <c r="T5855" s="452"/>
      <c r="U5855" s="452"/>
      <c r="V5855" s="452"/>
      <c r="W5855" s="452"/>
    </row>
    <row r="5856" spans="19:23" ht="15" customHeight="1" x14ac:dyDescent="0.45">
      <c r="S5856" s="452"/>
      <c r="T5856" s="452"/>
      <c r="U5856" s="452"/>
      <c r="V5856" s="452"/>
      <c r="W5856" s="452"/>
    </row>
    <row r="5857" spans="19:23" ht="15" customHeight="1" x14ac:dyDescent="0.45">
      <c r="S5857" s="452"/>
      <c r="T5857" s="452"/>
      <c r="U5857" s="452"/>
      <c r="V5857" s="452"/>
      <c r="W5857" s="452"/>
    </row>
    <row r="5858" spans="19:23" ht="15" customHeight="1" x14ac:dyDescent="0.45">
      <c r="S5858" s="452"/>
      <c r="T5858" s="452"/>
      <c r="U5858" s="452"/>
      <c r="V5858" s="452"/>
      <c r="W5858" s="452"/>
    </row>
    <row r="5859" spans="19:23" ht="15" customHeight="1" x14ac:dyDescent="0.45">
      <c r="S5859" s="452"/>
      <c r="T5859" s="452"/>
      <c r="U5859" s="452"/>
      <c r="V5859" s="452"/>
      <c r="W5859" s="452"/>
    </row>
    <row r="5860" spans="19:23" ht="15" customHeight="1" x14ac:dyDescent="0.45">
      <c r="S5860" s="452"/>
      <c r="T5860" s="452"/>
      <c r="U5860" s="452"/>
      <c r="V5860" s="452"/>
      <c r="W5860" s="452"/>
    </row>
    <row r="5861" spans="19:23" ht="15" customHeight="1" x14ac:dyDescent="0.45">
      <c r="S5861" s="452"/>
      <c r="T5861" s="452"/>
      <c r="U5861" s="452"/>
      <c r="V5861" s="452"/>
      <c r="W5861" s="452"/>
    </row>
    <row r="5862" spans="19:23" ht="15" customHeight="1" x14ac:dyDescent="0.45">
      <c r="S5862" s="452"/>
      <c r="T5862" s="452"/>
      <c r="U5862" s="452"/>
      <c r="V5862" s="452"/>
      <c r="W5862" s="452"/>
    </row>
    <row r="5863" spans="19:23" ht="15" customHeight="1" x14ac:dyDescent="0.45">
      <c r="S5863" s="452"/>
      <c r="T5863" s="452"/>
      <c r="U5863" s="452"/>
      <c r="V5863" s="452"/>
      <c r="W5863" s="452"/>
    </row>
    <row r="5864" spans="19:23" ht="15" customHeight="1" x14ac:dyDescent="0.45">
      <c r="S5864" s="452"/>
      <c r="T5864" s="452"/>
      <c r="U5864" s="452"/>
      <c r="V5864" s="452"/>
      <c r="W5864" s="452"/>
    </row>
    <row r="5865" spans="19:23" ht="15" customHeight="1" x14ac:dyDescent="0.45">
      <c r="S5865" s="452"/>
      <c r="T5865" s="452"/>
      <c r="U5865" s="452"/>
      <c r="V5865" s="452"/>
      <c r="W5865" s="452"/>
    </row>
    <row r="5866" spans="19:23" ht="15" customHeight="1" x14ac:dyDescent="0.45">
      <c r="S5866" s="452"/>
      <c r="T5866" s="452"/>
      <c r="U5866" s="452"/>
      <c r="V5866" s="452"/>
      <c r="W5866" s="452"/>
    </row>
    <row r="5867" spans="19:23" ht="15" customHeight="1" x14ac:dyDescent="0.45">
      <c r="S5867" s="452"/>
      <c r="T5867" s="452"/>
      <c r="U5867" s="452"/>
      <c r="V5867" s="452"/>
      <c r="W5867" s="452"/>
    </row>
    <row r="5868" spans="19:23" ht="15" customHeight="1" x14ac:dyDescent="0.45">
      <c r="S5868" s="452"/>
      <c r="T5868" s="452"/>
      <c r="U5868" s="452"/>
      <c r="V5868" s="452"/>
      <c r="W5868" s="452"/>
    </row>
    <row r="5869" spans="19:23" ht="15" customHeight="1" x14ac:dyDescent="0.45">
      <c r="S5869" s="452"/>
      <c r="T5869" s="452"/>
      <c r="U5869" s="452"/>
      <c r="V5869" s="452"/>
      <c r="W5869" s="452"/>
    </row>
    <row r="5870" spans="19:23" ht="15" customHeight="1" x14ac:dyDescent="0.45">
      <c r="S5870" s="452"/>
      <c r="T5870" s="452"/>
      <c r="U5870" s="452"/>
      <c r="V5870" s="452"/>
      <c r="W5870" s="452"/>
    </row>
    <row r="5871" spans="19:23" ht="15" customHeight="1" x14ac:dyDescent="0.45">
      <c r="S5871" s="452"/>
      <c r="T5871" s="452"/>
      <c r="U5871" s="452"/>
      <c r="V5871" s="452"/>
      <c r="W5871" s="452"/>
    </row>
    <row r="5872" spans="19:23" ht="15" customHeight="1" x14ac:dyDescent="0.45">
      <c r="S5872" s="452"/>
      <c r="T5872" s="452"/>
      <c r="U5872" s="452"/>
      <c r="V5872" s="452"/>
      <c r="W5872" s="452"/>
    </row>
    <row r="5873" spans="19:23" ht="15" customHeight="1" x14ac:dyDescent="0.45">
      <c r="S5873" s="452"/>
      <c r="T5873" s="452"/>
      <c r="U5873" s="452"/>
      <c r="V5873" s="452"/>
      <c r="W5873" s="452"/>
    </row>
    <row r="5874" spans="19:23" ht="15" customHeight="1" x14ac:dyDescent="0.45">
      <c r="S5874" s="452"/>
      <c r="T5874" s="452"/>
      <c r="U5874" s="452"/>
      <c r="V5874" s="452"/>
      <c r="W5874" s="452"/>
    </row>
    <row r="5875" spans="19:23" ht="15" customHeight="1" x14ac:dyDescent="0.45">
      <c r="S5875" s="452"/>
      <c r="T5875" s="452"/>
      <c r="U5875" s="452"/>
      <c r="V5875" s="452"/>
      <c r="W5875" s="452"/>
    </row>
    <row r="5876" spans="19:23" ht="15" customHeight="1" x14ac:dyDescent="0.45">
      <c r="S5876" s="452"/>
      <c r="T5876" s="452"/>
      <c r="U5876" s="452"/>
      <c r="V5876" s="452"/>
      <c r="W5876" s="452"/>
    </row>
    <row r="5877" spans="19:23" ht="15" customHeight="1" x14ac:dyDescent="0.45">
      <c r="S5877" s="452"/>
      <c r="T5877" s="452"/>
      <c r="U5877" s="452"/>
      <c r="V5877" s="452"/>
      <c r="W5877" s="452"/>
    </row>
    <row r="5878" spans="19:23" ht="15" customHeight="1" x14ac:dyDescent="0.45">
      <c r="S5878" s="452"/>
      <c r="T5878" s="452"/>
      <c r="U5878" s="452"/>
      <c r="V5878" s="452"/>
      <c r="W5878" s="452"/>
    </row>
    <row r="5879" spans="19:23" ht="15" customHeight="1" x14ac:dyDescent="0.45">
      <c r="S5879" s="452"/>
      <c r="T5879" s="452"/>
      <c r="U5879" s="452"/>
      <c r="V5879" s="452"/>
      <c r="W5879" s="452"/>
    </row>
    <row r="5880" spans="19:23" ht="15" customHeight="1" x14ac:dyDescent="0.45">
      <c r="S5880" s="452"/>
      <c r="T5880" s="452"/>
      <c r="U5880" s="452"/>
      <c r="V5880" s="452"/>
      <c r="W5880" s="452"/>
    </row>
    <row r="5881" spans="19:23" ht="15" customHeight="1" x14ac:dyDescent="0.45">
      <c r="S5881" s="452"/>
      <c r="T5881" s="452"/>
      <c r="U5881" s="452"/>
      <c r="V5881" s="452"/>
      <c r="W5881" s="452"/>
    </row>
    <row r="5882" spans="19:23" ht="15" customHeight="1" x14ac:dyDescent="0.45">
      <c r="S5882" s="452"/>
      <c r="T5882" s="452"/>
      <c r="U5882" s="452"/>
      <c r="V5882" s="452"/>
      <c r="W5882" s="452"/>
    </row>
    <row r="5883" spans="19:23" ht="15" customHeight="1" x14ac:dyDescent="0.45">
      <c r="S5883" s="452"/>
      <c r="T5883" s="452"/>
      <c r="U5883" s="452"/>
      <c r="V5883" s="452"/>
      <c r="W5883" s="452"/>
    </row>
    <row r="5884" spans="19:23" ht="15" customHeight="1" x14ac:dyDescent="0.45">
      <c r="S5884" s="452"/>
      <c r="T5884" s="452"/>
      <c r="U5884" s="452"/>
      <c r="V5884" s="452"/>
      <c r="W5884" s="452"/>
    </row>
    <row r="5885" spans="19:23" ht="15" customHeight="1" x14ac:dyDescent="0.45">
      <c r="S5885" s="452"/>
      <c r="T5885" s="452"/>
      <c r="U5885" s="452"/>
      <c r="V5885" s="452"/>
      <c r="W5885" s="452"/>
    </row>
    <row r="5886" spans="19:23" ht="15" customHeight="1" x14ac:dyDescent="0.45">
      <c r="S5886" s="452"/>
      <c r="T5886" s="452"/>
      <c r="U5886" s="452"/>
      <c r="V5886" s="452"/>
      <c r="W5886" s="452"/>
    </row>
    <row r="5887" spans="19:23" ht="15" customHeight="1" x14ac:dyDescent="0.45">
      <c r="S5887" s="452"/>
      <c r="T5887" s="452"/>
      <c r="U5887" s="452"/>
      <c r="V5887" s="452"/>
      <c r="W5887" s="452"/>
    </row>
    <row r="5888" spans="19:23" ht="15" customHeight="1" x14ac:dyDescent="0.45">
      <c r="S5888" s="452"/>
      <c r="T5888" s="452"/>
      <c r="U5888" s="452"/>
      <c r="V5888" s="452"/>
      <c r="W5888" s="452"/>
    </row>
    <row r="5889" spans="19:23" ht="15" customHeight="1" x14ac:dyDescent="0.45">
      <c r="S5889" s="452"/>
      <c r="T5889" s="452"/>
      <c r="U5889" s="452"/>
      <c r="V5889" s="452"/>
      <c r="W5889" s="452"/>
    </row>
    <row r="5890" spans="19:23" ht="15" customHeight="1" x14ac:dyDescent="0.45">
      <c r="S5890" s="452"/>
      <c r="T5890" s="452"/>
      <c r="U5890" s="452"/>
      <c r="V5890" s="452"/>
      <c r="W5890" s="452"/>
    </row>
    <row r="5891" spans="19:23" ht="15" customHeight="1" x14ac:dyDescent="0.45">
      <c r="S5891" s="452"/>
      <c r="T5891" s="452"/>
      <c r="U5891" s="452"/>
      <c r="V5891" s="452"/>
      <c r="W5891" s="452"/>
    </row>
    <row r="5892" spans="19:23" ht="15" customHeight="1" x14ac:dyDescent="0.45">
      <c r="S5892" s="452"/>
      <c r="T5892" s="452"/>
      <c r="U5892" s="452"/>
      <c r="V5892" s="452"/>
      <c r="W5892" s="452"/>
    </row>
    <row r="5893" spans="19:23" ht="15" customHeight="1" x14ac:dyDescent="0.45">
      <c r="S5893" s="452"/>
      <c r="T5893" s="452"/>
      <c r="U5893" s="452"/>
      <c r="V5893" s="452"/>
      <c r="W5893" s="452"/>
    </row>
    <row r="5894" spans="19:23" ht="15" customHeight="1" x14ac:dyDescent="0.45">
      <c r="S5894" s="452"/>
      <c r="T5894" s="452"/>
      <c r="U5894" s="452"/>
      <c r="V5894" s="452"/>
      <c r="W5894" s="452"/>
    </row>
    <row r="5895" spans="19:23" ht="15" customHeight="1" x14ac:dyDescent="0.45">
      <c r="S5895" s="452"/>
      <c r="T5895" s="452"/>
      <c r="U5895" s="452"/>
      <c r="V5895" s="452"/>
      <c r="W5895" s="452"/>
    </row>
    <row r="5896" spans="19:23" ht="15" customHeight="1" x14ac:dyDescent="0.45">
      <c r="S5896" s="452"/>
      <c r="T5896" s="452"/>
      <c r="U5896" s="452"/>
      <c r="V5896" s="452"/>
      <c r="W5896" s="452"/>
    </row>
    <row r="5897" spans="19:23" ht="15" customHeight="1" x14ac:dyDescent="0.45">
      <c r="S5897" s="452"/>
      <c r="T5897" s="452"/>
      <c r="U5897" s="452"/>
      <c r="V5897" s="452"/>
      <c r="W5897" s="452"/>
    </row>
    <row r="5898" spans="19:23" ht="15" customHeight="1" x14ac:dyDescent="0.45">
      <c r="S5898" s="452"/>
      <c r="T5898" s="452"/>
      <c r="U5898" s="452"/>
      <c r="V5898" s="452"/>
      <c r="W5898" s="452"/>
    </row>
    <row r="5899" spans="19:23" ht="15" customHeight="1" x14ac:dyDescent="0.45">
      <c r="S5899" s="452"/>
      <c r="T5899" s="452"/>
      <c r="U5899" s="452"/>
      <c r="V5899" s="452"/>
      <c r="W5899" s="452"/>
    </row>
    <row r="5900" spans="19:23" ht="15" customHeight="1" x14ac:dyDescent="0.45">
      <c r="S5900" s="452"/>
      <c r="T5900" s="452"/>
      <c r="U5900" s="452"/>
      <c r="V5900" s="452"/>
      <c r="W5900" s="452"/>
    </row>
    <row r="5901" spans="19:23" ht="15" customHeight="1" x14ac:dyDescent="0.45">
      <c r="S5901" s="452"/>
      <c r="T5901" s="452"/>
      <c r="U5901" s="452"/>
      <c r="V5901" s="452"/>
      <c r="W5901" s="452"/>
    </row>
    <row r="5902" spans="19:23" ht="15" customHeight="1" x14ac:dyDescent="0.45">
      <c r="S5902" s="452"/>
      <c r="T5902" s="452"/>
      <c r="U5902" s="452"/>
      <c r="V5902" s="452"/>
      <c r="W5902" s="452"/>
    </row>
    <row r="5903" spans="19:23" ht="15" customHeight="1" x14ac:dyDescent="0.45">
      <c r="S5903" s="452"/>
      <c r="T5903" s="452"/>
      <c r="U5903" s="452"/>
      <c r="V5903" s="452"/>
      <c r="W5903" s="452"/>
    </row>
    <row r="5904" spans="19:23" ht="15" customHeight="1" x14ac:dyDescent="0.45">
      <c r="S5904" s="452"/>
      <c r="T5904" s="452"/>
      <c r="U5904" s="452"/>
      <c r="V5904" s="452"/>
      <c r="W5904" s="452"/>
    </row>
    <row r="5905" spans="19:23" ht="15" customHeight="1" x14ac:dyDescent="0.45">
      <c r="S5905" s="452"/>
      <c r="T5905" s="452"/>
      <c r="U5905" s="452"/>
      <c r="V5905" s="452"/>
      <c r="W5905" s="452"/>
    </row>
    <row r="5906" spans="19:23" ht="15" customHeight="1" x14ac:dyDescent="0.45">
      <c r="S5906" s="452"/>
      <c r="T5906" s="452"/>
      <c r="U5906" s="452"/>
      <c r="V5906" s="452"/>
      <c r="W5906" s="452"/>
    </row>
    <row r="5907" spans="19:23" ht="15" customHeight="1" x14ac:dyDescent="0.45">
      <c r="S5907" s="452"/>
      <c r="T5907" s="452"/>
      <c r="U5907" s="452"/>
      <c r="V5907" s="452"/>
      <c r="W5907" s="452"/>
    </row>
    <row r="5908" spans="19:23" ht="15" customHeight="1" x14ac:dyDescent="0.45">
      <c r="S5908" s="452"/>
      <c r="T5908" s="452"/>
      <c r="U5908" s="452"/>
      <c r="V5908" s="452"/>
      <c r="W5908" s="452"/>
    </row>
    <row r="5909" spans="19:23" ht="15" customHeight="1" x14ac:dyDescent="0.45">
      <c r="S5909" s="452"/>
      <c r="T5909" s="452"/>
      <c r="U5909" s="452"/>
      <c r="V5909" s="452"/>
      <c r="W5909" s="452"/>
    </row>
    <row r="5910" spans="19:23" ht="15" customHeight="1" x14ac:dyDescent="0.45">
      <c r="S5910" s="452"/>
      <c r="T5910" s="452"/>
      <c r="U5910" s="452"/>
      <c r="V5910" s="452"/>
      <c r="W5910" s="452"/>
    </row>
    <row r="5911" spans="19:23" ht="15" customHeight="1" x14ac:dyDescent="0.45">
      <c r="S5911" s="452"/>
      <c r="T5911" s="452"/>
      <c r="U5911" s="452"/>
      <c r="V5911" s="452"/>
      <c r="W5911" s="452"/>
    </row>
    <row r="5912" spans="19:23" ht="15" customHeight="1" x14ac:dyDescent="0.45">
      <c r="S5912" s="452"/>
      <c r="T5912" s="452"/>
      <c r="U5912" s="452"/>
      <c r="V5912" s="452"/>
      <c r="W5912" s="452"/>
    </row>
    <row r="5913" spans="19:23" ht="15" customHeight="1" x14ac:dyDescent="0.45">
      <c r="S5913" s="452"/>
      <c r="T5913" s="452"/>
      <c r="U5913" s="452"/>
      <c r="V5913" s="452"/>
      <c r="W5913" s="452"/>
    </row>
    <row r="5914" spans="19:23" ht="15" customHeight="1" x14ac:dyDescent="0.45">
      <c r="S5914" s="452"/>
      <c r="T5914" s="452"/>
      <c r="U5914" s="452"/>
      <c r="V5914" s="452"/>
      <c r="W5914" s="452"/>
    </row>
    <row r="5915" spans="19:23" ht="15" customHeight="1" x14ac:dyDescent="0.45">
      <c r="S5915" s="452"/>
      <c r="T5915" s="452"/>
      <c r="U5915" s="452"/>
      <c r="V5915" s="452"/>
      <c r="W5915" s="452"/>
    </row>
    <row r="5916" spans="19:23" ht="15" customHeight="1" x14ac:dyDescent="0.45">
      <c r="S5916" s="452"/>
      <c r="T5916" s="452"/>
      <c r="U5916" s="452"/>
      <c r="V5916" s="452"/>
      <c r="W5916" s="452"/>
    </row>
    <row r="5917" spans="19:23" ht="15" customHeight="1" x14ac:dyDescent="0.45">
      <c r="S5917" s="452"/>
      <c r="T5917" s="452"/>
      <c r="U5917" s="452"/>
      <c r="V5917" s="452"/>
      <c r="W5917" s="452"/>
    </row>
    <row r="5918" spans="19:23" ht="15" customHeight="1" x14ac:dyDescent="0.45">
      <c r="S5918" s="452"/>
      <c r="T5918" s="452"/>
      <c r="U5918" s="452"/>
      <c r="V5918" s="452"/>
      <c r="W5918" s="452"/>
    </row>
    <row r="5919" spans="19:23" ht="15" customHeight="1" x14ac:dyDescent="0.45">
      <c r="S5919" s="452"/>
      <c r="T5919" s="452"/>
      <c r="U5919" s="452"/>
      <c r="V5919" s="452"/>
      <c r="W5919" s="452"/>
    </row>
    <row r="5920" spans="19:23" ht="15" customHeight="1" x14ac:dyDescent="0.45">
      <c r="S5920" s="452"/>
      <c r="T5920" s="452"/>
      <c r="U5920" s="452"/>
      <c r="V5920" s="452"/>
      <c r="W5920" s="452"/>
    </row>
    <row r="5921" spans="19:23" ht="15" customHeight="1" x14ac:dyDescent="0.45">
      <c r="S5921" s="452"/>
      <c r="T5921" s="452"/>
      <c r="U5921" s="452"/>
      <c r="V5921" s="452"/>
      <c r="W5921" s="452"/>
    </row>
    <row r="5922" spans="19:23" ht="15" customHeight="1" x14ac:dyDescent="0.45">
      <c r="S5922" s="452"/>
      <c r="T5922" s="452"/>
      <c r="U5922" s="452"/>
      <c r="V5922" s="452"/>
      <c r="W5922" s="452"/>
    </row>
    <row r="5923" spans="19:23" ht="15" customHeight="1" x14ac:dyDescent="0.45">
      <c r="S5923" s="452"/>
      <c r="T5923" s="452"/>
      <c r="U5923" s="452"/>
      <c r="V5923" s="452"/>
      <c r="W5923" s="452"/>
    </row>
    <row r="5924" spans="19:23" ht="15" customHeight="1" x14ac:dyDescent="0.45">
      <c r="S5924" s="452"/>
      <c r="T5924" s="452"/>
      <c r="U5924" s="452"/>
      <c r="V5924" s="452"/>
      <c r="W5924" s="452"/>
    </row>
    <row r="5925" spans="19:23" ht="15" customHeight="1" x14ac:dyDescent="0.45">
      <c r="S5925" s="452"/>
      <c r="T5925" s="452"/>
      <c r="U5925" s="452"/>
      <c r="V5925" s="452"/>
      <c r="W5925" s="452"/>
    </row>
    <row r="5926" spans="19:23" ht="15" customHeight="1" x14ac:dyDescent="0.45">
      <c r="S5926" s="452"/>
      <c r="T5926" s="452"/>
      <c r="U5926" s="452"/>
      <c r="V5926" s="452"/>
      <c r="W5926" s="452"/>
    </row>
    <row r="5927" spans="19:23" ht="15" customHeight="1" x14ac:dyDescent="0.45">
      <c r="S5927" s="452"/>
      <c r="T5927" s="452"/>
      <c r="U5927" s="452"/>
      <c r="V5927" s="452"/>
      <c r="W5927" s="452"/>
    </row>
    <row r="5928" spans="19:23" ht="15" customHeight="1" x14ac:dyDescent="0.45">
      <c r="S5928" s="452"/>
      <c r="T5928" s="452"/>
      <c r="U5928" s="452"/>
      <c r="V5928" s="452"/>
      <c r="W5928" s="452"/>
    </row>
    <row r="5929" spans="19:23" ht="15" customHeight="1" x14ac:dyDescent="0.45">
      <c r="S5929" s="452"/>
      <c r="T5929" s="452"/>
      <c r="U5929" s="452"/>
      <c r="V5929" s="452"/>
      <c r="W5929" s="452"/>
    </row>
    <row r="5930" spans="19:23" ht="15" customHeight="1" x14ac:dyDescent="0.45">
      <c r="S5930" s="452"/>
      <c r="T5930" s="452"/>
      <c r="U5930" s="452"/>
      <c r="V5930" s="452"/>
      <c r="W5930" s="452"/>
    </row>
    <row r="5931" spans="19:23" ht="15" customHeight="1" x14ac:dyDescent="0.45">
      <c r="S5931" s="452"/>
      <c r="T5931" s="452"/>
      <c r="U5931" s="452"/>
      <c r="V5931" s="452"/>
      <c r="W5931" s="452"/>
    </row>
    <row r="5932" spans="19:23" ht="15" customHeight="1" x14ac:dyDescent="0.45">
      <c r="S5932" s="452"/>
      <c r="T5932" s="452"/>
      <c r="U5932" s="452"/>
      <c r="V5932" s="452"/>
      <c r="W5932" s="452"/>
    </row>
    <row r="5933" spans="19:23" ht="15" customHeight="1" x14ac:dyDescent="0.45">
      <c r="S5933" s="452"/>
      <c r="T5933" s="452"/>
      <c r="U5933" s="452"/>
      <c r="V5933" s="452"/>
      <c r="W5933" s="452"/>
    </row>
    <row r="5934" spans="19:23" ht="15" customHeight="1" x14ac:dyDescent="0.45">
      <c r="S5934" s="452"/>
      <c r="T5934" s="452"/>
      <c r="U5934" s="452"/>
      <c r="V5934" s="452"/>
      <c r="W5934" s="452"/>
    </row>
    <row r="5935" spans="19:23" ht="15" customHeight="1" x14ac:dyDescent="0.45">
      <c r="S5935" s="452"/>
      <c r="T5935" s="452"/>
      <c r="U5935" s="452"/>
      <c r="V5935" s="452"/>
      <c r="W5935" s="452"/>
    </row>
    <row r="5936" spans="19:23" ht="15" customHeight="1" x14ac:dyDescent="0.45">
      <c r="S5936" s="452"/>
      <c r="T5936" s="452"/>
      <c r="U5936" s="452"/>
      <c r="V5936" s="452"/>
      <c r="W5936" s="452"/>
    </row>
    <row r="5937" spans="19:23" ht="15" customHeight="1" x14ac:dyDescent="0.45">
      <c r="S5937" s="452"/>
      <c r="T5937" s="452"/>
      <c r="U5937" s="452"/>
      <c r="V5937" s="452"/>
      <c r="W5937" s="452"/>
    </row>
    <row r="5938" spans="19:23" ht="15" customHeight="1" x14ac:dyDescent="0.45">
      <c r="S5938" s="452"/>
      <c r="T5938" s="452"/>
      <c r="U5938" s="452"/>
      <c r="V5938" s="452"/>
      <c r="W5938" s="452"/>
    </row>
    <row r="5939" spans="19:23" ht="15" customHeight="1" x14ac:dyDescent="0.45">
      <c r="S5939" s="452"/>
      <c r="T5939" s="452"/>
      <c r="U5939" s="452"/>
      <c r="V5939" s="452"/>
      <c r="W5939" s="452"/>
    </row>
    <row r="5940" spans="19:23" ht="15" customHeight="1" x14ac:dyDescent="0.45">
      <c r="S5940" s="452"/>
      <c r="T5940" s="452"/>
      <c r="U5940" s="452"/>
      <c r="V5940" s="452"/>
      <c r="W5940" s="452"/>
    </row>
    <row r="5941" spans="19:23" ht="15" customHeight="1" x14ac:dyDescent="0.45">
      <c r="S5941" s="452"/>
      <c r="T5941" s="452"/>
      <c r="U5941" s="452"/>
      <c r="V5941" s="452"/>
      <c r="W5941" s="452"/>
    </row>
    <row r="5942" spans="19:23" ht="15" customHeight="1" x14ac:dyDescent="0.45">
      <c r="S5942" s="452"/>
      <c r="T5942" s="452"/>
      <c r="U5942" s="452"/>
      <c r="V5942" s="452"/>
      <c r="W5942" s="452"/>
    </row>
    <row r="5943" spans="19:23" ht="15" customHeight="1" x14ac:dyDescent="0.45">
      <c r="S5943" s="452"/>
      <c r="T5943" s="452"/>
      <c r="U5943" s="452"/>
      <c r="V5943" s="452"/>
      <c r="W5943" s="452"/>
    </row>
    <row r="5944" spans="19:23" ht="15" customHeight="1" x14ac:dyDescent="0.45">
      <c r="S5944" s="452"/>
      <c r="T5944" s="452"/>
      <c r="U5944" s="452"/>
      <c r="V5944" s="452"/>
      <c r="W5944" s="452"/>
    </row>
    <row r="5945" spans="19:23" ht="15" customHeight="1" x14ac:dyDescent="0.45">
      <c r="S5945" s="452"/>
      <c r="T5945" s="452"/>
      <c r="U5945" s="452"/>
      <c r="V5945" s="452"/>
      <c r="W5945" s="452"/>
    </row>
    <row r="5946" spans="19:23" ht="15" customHeight="1" x14ac:dyDescent="0.45">
      <c r="S5946" s="452"/>
      <c r="T5946" s="452"/>
      <c r="U5946" s="452"/>
      <c r="V5946" s="452"/>
      <c r="W5946" s="452"/>
    </row>
    <row r="5947" spans="19:23" ht="15" customHeight="1" x14ac:dyDescent="0.45">
      <c r="S5947" s="452"/>
      <c r="T5947" s="452"/>
      <c r="U5947" s="452"/>
      <c r="V5947" s="452"/>
      <c r="W5947" s="452"/>
    </row>
    <row r="5948" spans="19:23" ht="15" customHeight="1" x14ac:dyDescent="0.45">
      <c r="S5948" s="452"/>
      <c r="T5948" s="452"/>
      <c r="U5948" s="452"/>
      <c r="V5948" s="452"/>
      <c r="W5948" s="452"/>
    </row>
    <row r="5949" spans="19:23" ht="15" customHeight="1" x14ac:dyDescent="0.45">
      <c r="S5949" s="452"/>
      <c r="T5949" s="452"/>
      <c r="U5949" s="452"/>
      <c r="V5949" s="452"/>
      <c r="W5949" s="452"/>
    </row>
    <row r="5950" spans="19:23" ht="15" customHeight="1" x14ac:dyDescent="0.45">
      <c r="S5950" s="452"/>
      <c r="T5950" s="452"/>
      <c r="U5950" s="452"/>
      <c r="V5950" s="452"/>
      <c r="W5950" s="452"/>
    </row>
    <row r="5951" spans="19:23" ht="15" customHeight="1" x14ac:dyDescent="0.45">
      <c r="S5951" s="452"/>
      <c r="T5951" s="452"/>
      <c r="U5951" s="452"/>
      <c r="V5951" s="452"/>
      <c r="W5951" s="452"/>
    </row>
    <row r="5952" spans="19:23" ht="15" customHeight="1" x14ac:dyDescent="0.45">
      <c r="S5952" s="452"/>
      <c r="T5952" s="452"/>
      <c r="U5952" s="452"/>
      <c r="V5952" s="452"/>
      <c r="W5952" s="452"/>
    </row>
    <row r="5953" spans="19:23" ht="15" customHeight="1" x14ac:dyDescent="0.45">
      <c r="S5953" s="452"/>
      <c r="T5953" s="452"/>
      <c r="U5953" s="452"/>
      <c r="V5953" s="452"/>
      <c r="W5953" s="452"/>
    </row>
    <row r="5954" spans="19:23" ht="15" customHeight="1" x14ac:dyDescent="0.45">
      <c r="S5954" s="452"/>
      <c r="T5954" s="452"/>
      <c r="U5954" s="452"/>
      <c r="V5954" s="452"/>
      <c r="W5954" s="452"/>
    </row>
    <row r="5955" spans="19:23" ht="15" customHeight="1" x14ac:dyDescent="0.45">
      <c r="S5955" s="452"/>
      <c r="T5955" s="452"/>
      <c r="U5955" s="452"/>
      <c r="V5955" s="452"/>
      <c r="W5955" s="452"/>
    </row>
    <row r="5956" spans="19:23" ht="15" customHeight="1" x14ac:dyDescent="0.45">
      <c r="S5956" s="452"/>
      <c r="T5956" s="452"/>
      <c r="U5956" s="452"/>
      <c r="V5956" s="452"/>
      <c r="W5956" s="452"/>
    </row>
    <row r="5957" spans="19:23" ht="15" customHeight="1" x14ac:dyDescent="0.45">
      <c r="S5957" s="452"/>
      <c r="T5957" s="452"/>
      <c r="U5957" s="452"/>
      <c r="V5957" s="452"/>
      <c r="W5957" s="452"/>
    </row>
    <row r="5958" spans="19:23" ht="15" customHeight="1" x14ac:dyDescent="0.45">
      <c r="S5958" s="452"/>
      <c r="T5958" s="452"/>
      <c r="U5958" s="452"/>
      <c r="V5958" s="452"/>
      <c r="W5958" s="452"/>
    </row>
    <row r="5959" spans="19:23" ht="15" customHeight="1" x14ac:dyDescent="0.45">
      <c r="S5959" s="452"/>
      <c r="T5959" s="452"/>
      <c r="U5959" s="452"/>
      <c r="V5959" s="452"/>
      <c r="W5959" s="452"/>
    </row>
    <row r="5960" spans="19:23" ht="15" customHeight="1" x14ac:dyDescent="0.45">
      <c r="S5960" s="452"/>
      <c r="T5960" s="452"/>
      <c r="U5960" s="452"/>
      <c r="V5960" s="452"/>
      <c r="W5960" s="452"/>
    </row>
    <row r="5961" spans="19:23" ht="15" customHeight="1" x14ac:dyDescent="0.45">
      <c r="S5961" s="452"/>
      <c r="T5961" s="452"/>
      <c r="U5961" s="452"/>
      <c r="V5961" s="452"/>
      <c r="W5961" s="452"/>
    </row>
    <row r="5962" spans="19:23" ht="15" customHeight="1" x14ac:dyDescent="0.45">
      <c r="S5962" s="452"/>
      <c r="T5962" s="452"/>
      <c r="U5962" s="452"/>
      <c r="V5962" s="452"/>
      <c r="W5962" s="452"/>
    </row>
    <row r="5963" spans="19:23" ht="15" customHeight="1" x14ac:dyDescent="0.45">
      <c r="S5963" s="452"/>
      <c r="T5963" s="452"/>
      <c r="U5963" s="452"/>
      <c r="V5963" s="452"/>
      <c r="W5963" s="452"/>
    </row>
    <row r="5964" spans="19:23" ht="15" customHeight="1" x14ac:dyDescent="0.45">
      <c r="S5964" s="452"/>
      <c r="T5964" s="452"/>
      <c r="U5964" s="452"/>
      <c r="V5964" s="452"/>
      <c r="W5964" s="452"/>
    </row>
    <row r="5965" spans="19:23" ht="15" customHeight="1" x14ac:dyDescent="0.45">
      <c r="S5965" s="452"/>
      <c r="T5965" s="452"/>
      <c r="U5965" s="452"/>
      <c r="V5965" s="452"/>
      <c r="W5965" s="452"/>
    </row>
    <row r="5966" spans="19:23" ht="15" customHeight="1" x14ac:dyDescent="0.45">
      <c r="S5966" s="452"/>
      <c r="T5966" s="452"/>
      <c r="U5966" s="452"/>
      <c r="V5966" s="452"/>
      <c r="W5966" s="452"/>
    </row>
    <row r="5967" spans="19:23" ht="15" customHeight="1" x14ac:dyDescent="0.45">
      <c r="S5967" s="452"/>
      <c r="T5967" s="452"/>
      <c r="U5967" s="452"/>
      <c r="V5967" s="452"/>
      <c r="W5967" s="452"/>
    </row>
    <row r="5968" spans="19:23" ht="15" customHeight="1" x14ac:dyDescent="0.45">
      <c r="S5968" s="452"/>
      <c r="T5968" s="452"/>
      <c r="U5968" s="452"/>
      <c r="V5968" s="452"/>
      <c r="W5968" s="452"/>
    </row>
    <row r="5969" spans="19:23" ht="15" customHeight="1" x14ac:dyDescent="0.45">
      <c r="S5969" s="452"/>
      <c r="T5969" s="452"/>
      <c r="U5969" s="452"/>
      <c r="V5969" s="452"/>
      <c r="W5969" s="452"/>
    </row>
    <row r="5970" spans="19:23" ht="15" customHeight="1" x14ac:dyDescent="0.45">
      <c r="S5970" s="452"/>
      <c r="T5970" s="452"/>
      <c r="U5970" s="452"/>
      <c r="V5970" s="452"/>
      <c r="W5970" s="452"/>
    </row>
    <row r="5971" spans="19:23" ht="15" customHeight="1" x14ac:dyDescent="0.45">
      <c r="S5971" s="452"/>
      <c r="T5971" s="452"/>
      <c r="U5971" s="452"/>
      <c r="V5971" s="452"/>
      <c r="W5971" s="452"/>
    </row>
    <row r="5972" spans="19:23" ht="15" customHeight="1" x14ac:dyDescent="0.45">
      <c r="S5972" s="452"/>
      <c r="T5972" s="452"/>
      <c r="U5972" s="452"/>
      <c r="V5972" s="452"/>
      <c r="W5972" s="452"/>
    </row>
    <row r="5973" spans="19:23" ht="15" customHeight="1" x14ac:dyDescent="0.45">
      <c r="S5973" s="452"/>
      <c r="T5973" s="452"/>
      <c r="U5973" s="452"/>
      <c r="V5973" s="452"/>
      <c r="W5973" s="452"/>
    </row>
    <row r="5974" spans="19:23" ht="15" customHeight="1" x14ac:dyDescent="0.45">
      <c r="S5974" s="452"/>
      <c r="T5974" s="452"/>
      <c r="U5974" s="452"/>
      <c r="V5974" s="452"/>
      <c r="W5974" s="452"/>
    </row>
    <row r="5975" spans="19:23" ht="15" customHeight="1" x14ac:dyDescent="0.45">
      <c r="S5975" s="452"/>
      <c r="T5975" s="452"/>
      <c r="U5975" s="452"/>
      <c r="V5975" s="452"/>
      <c r="W5975" s="452"/>
    </row>
    <row r="5976" spans="19:23" ht="15" customHeight="1" x14ac:dyDescent="0.45">
      <c r="S5976" s="452"/>
      <c r="T5976" s="452"/>
      <c r="U5976" s="452"/>
      <c r="V5976" s="452"/>
      <c r="W5976" s="452"/>
    </row>
    <row r="5977" spans="19:23" ht="15" customHeight="1" x14ac:dyDescent="0.45">
      <c r="S5977" s="452"/>
      <c r="T5977" s="452"/>
      <c r="U5977" s="452"/>
      <c r="V5977" s="452"/>
      <c r="W5977" s="452"/>
    </row>
    <row r="5978" spans="19:23" ht="15" customHeight="1" x14ac:dyDescent="0.45">
      <c r="S5978" s="452"/>
      <c r="T5978" s="452"/>
      <c r="U5978" s="452"/>
      <c r="V5978" s="452"/>
      <c r="W5978" s="452"/>
    </row>
    <row r="5979" spans="19:23" ht="15" customHeight="1" x14ac:dyDescent="0.45">
      <c r="S5979" s="452"/>
      <c r="T5979" s="452"/>
      <c r="U5979" s="452"/>
      <c r="V5979" s="452"/>
      <c r="W5979" s="452"/>
    </row>
    <row r="5980" spans="19:23" ht="15" customHeight="1" x14ac:dyDescent="0.45">
      <c r="S5980" s="452"/>
      <c r="T5980" s="452"/>
      <c r="U5980" s="452"/>
      <c r="V5980" s="452"/>
      <c r="W5980" s="452"/>
    </row>
    <row r="5981" spans="19:23" ht="15" customHeight="1" x14ac:dyDescent="0.45">
      <c r="S5981" s="452"/>
      <c r="T5981" s="452"/>
      <c r="U5981" s="452"/>
      <c r="V5981" s="452"/>
      <c r="W5981" s="452"/>
    </row>
    <row r="5982" spans="19:23" ht="15" customHeight="1" x14ac:dyDescent="0.45">
      <c r="S5982" s="452"/>
      <c r="T5982" s="452"/>
      <c r="U5982" s="452"/>
      <c r="V5982" s="452"/>
      <c r="W5982" s="452"/>
    </row>
    <row r="5983" spans="19:23" ht="15" customHeight="1" x14ac:dyDescent="0.45">
      <c r="S5983" s="452"/>
      <c r="T5983" s="452"/>
      <c r="U5983" s="452"/>
      <c r="V5983" s="452"/>
      <c r="W5983" s="452"/>
    </row>
    <row r="5984" spans="19:23" ht="15" customHeight="1" x14ac:dyDescent="0.45">
      <c r="S5984" s="452"/>
      <c r="T5984" s="452"/>
      <c r="U5984" s="452"/>
      <c r="V5984" s="452"/>
      <c r="W5984" s="452"/>
    </row>
    <row r="5985" spans="19:23" ht="15" customHeight="1" x14ac:dyDescent="0.45">
      <c r="S5985" s="452"/>
      <c r="T5985" s="452"/>
      <c r="U5985" s="452"/>
      <c r="V5985" s="452"/>
      <c r="W5985" s="452"/>
    </row>
    <row r="5986" spans="19:23" ht="15" customHeight="1" x14ac:dyDescent="0.45">
      <c r="S5986" s="452"/>
      <c r="T5986" s="452"/>
      <c r="U5986" s="452"/>
      <c r="V5986" s="452"/>
      <c r="W5986" s="452"/>
    </row>
    <row r="5987" spans="19:23" ht="15" customHeight="1" x14ac:dyDescent="0.45">
      <c r="S5987" s="452"/>
      <c r="T5987" s="452"/>
      <c r="U5987" s="452"/>
      <c r="V5987" s="452"/>
      <c r="W5987" s="452"/>
    </row>
    <row r="5988" spans="19:23" ht="15" customHeight="1" x14ac:dyDescent="0.45">
      <c r="S5988" s="452"/>
      <c r="T5988" s="452"/>
      <c r="U5988" s="452"/>
      <c r="V5988" s="452"/>
      <c r="W5988" s="452"/>
    </row>
    <row r="5989" spans="19:23" ht="15" customHeight="1" x14ac:dyDescent="0.45">
      <c r="S5989" s="452"/>
      <c r="T5989" s="452"/>
      <c r="U5989" s="452"/>
      <c r="V5989" s="452"/>
      <c r="W5989" s="452"/>
    </row>
    <row r="5990" spans="19:23" ht="15" customHeight="1" x14ac:dyDescent="0.45">
      <c r="S5990" s="452"/>
      <c r="T5990" s="452"/>
      <c r="U5990" s="452"/>
      <c r="V5990" s="452"/>
      <c r="W5990" s="452"/>
    </row>
    <row r="5991" spans="19:23" ht="15" customHeight="1" x14ac:dyDescent="0.45">
      <c r="S5991" s="452"/>
      <c r="T5991" s="452"/>
      <c r="U5991" s="452"/>
      <c r="V5991" s="452"/>
      <c r="W5991" s="452"/>
    </row>
    <row r="5992" spans="19:23" ht="15" customHeight="1" x14ac:dyDescent="0.45">
      <c r="S5992" s="452"/>
      <c r="T5992" s="452"/>
      <c r="U5992" s="452"/>
      <c r="V5992" s="452"/>
      <c r="W5992" s="452"/>
    </row>
    <row r="5993" spans="19:23" ht="15" customHeight="1" x14ac:dyDescent="0.45">
      <c r="S5993" s="452"/>
      <c r="T5993" s="452"/>
      <c r="U5993" s="452"/>
      <c r="V5993" s="452"/>
      <c r="W5993" s="452"/>
    </row>
    <row r="5994" spans="19:23" ht="15" customHeight="1" x14ac:dyDescent="0.45">
      <c r="S5994" s="452"/>
      <c r="T5994" s="452"/>
      <c r="U5994" s="452"/>
      <c r="V5994" s="452"/>
      <c r="W5994" s="452"/>
    </row>
    <row r="5995" spans="19:23" ht="15" customHeight="1" x14ac:dyDescent="0.45">
      <c r="S5995" s="452"/>
      <c r="T5995" s="452"/>
      <c r="U5995" s="452"/>
      <c r="V5995" s="452"/>
      <c r="W5995" s="452"/>
    </row>
    <row r="5996" spans="19:23" ht="15" customHeight="1" x14ac:dyDescent="0.45">
      <c r="S5996" s="452"/>
      <c r="T5996" s="452"/>
      <c r="U5996" s="452"/>
      <c r="V5996" s="452"/>
      <c r="W5996" s="452"/>
    </row>
    <row r="5997" spans="19:23" ht="15" customHeight="1" x14ac:dyDescent="0.45">
      <c r="S5997" s="452"/>
      <c r="T5997" s="452"/>
      <c r="U5997" s="452"/>
      <c r="V5997" s="452"/>
      <c r="W5997" s="452"/>
    </row>
    <row r="5998" spans="19:23" ht="15" customHeight="1" x14ac:dyDescent="0.45">
      <c r="S5998" s="452"/>
      <c r="T5998" s="452"/>
      <c r="U5998" s="452"/>
      <c r="V5998" s="452"/>
      <c r="W5998" s="452"/>
    </row>
    <row r="5999" spans="19:23" ht="15" customHeight="1" x14ac:dyDescent="0.45">
      <c r="S5999" s="452"/>
      <c r="T5999" s="452"/>
      <c r="U5999" s="452"/>
      <c r="V5999" s="452"/>
      <c r="W5999" s="452"/>
    </row>
    <row r="6000" spans="19:23" ht="15" customHeight="1" x14ac:dyDescent="0.45">
      <c r="S6000" s="452"/>
      <c r="T6000" s="452"/>
      <c r="U6000" s="452"/>
      <c r="V6000" s="452"/>
      <c r="W6000" s="452"/>
    </row>
    <row r="6001" spans="19:23" ht="15" customHeight="1" x14ac:dyDescent="0.45">
      <c r="S6001" s="452"/>
      <c r="T6001" s="452"/>
      <c r="U6001" s="452"/>
      <c r="V6001" s="452"/>
      <c r="W6001" s="452"/>
    </row>
    <row r="6002" spans="19:23" ht="15" customHeight="1" x14ac:dyDescent="0.45">
      <c r="S6002" s="452"/>
      <c r="T6002" s="452"/>
      <c r="U6002" s="452"/>
      <c r="V6002" s="452"/>
      <c r="W6002" s="452"/>
    </row>
    <row r="6003" spans="19:23" ht="15" customHeight="1" x14ac:dyDescent="0.45">
      <c r="S6003" s="452"/>
      <c r="T6003" s="452"/>
      <c r="U6003" s="452"/>
      <c r="V6003" s="452"/>
      <c r="W6003" s="452"/>
    </row>
    <row r="6004" spans="19:23" ht="15" customHeight="1" x14ac:dyDescent="0.45">
      <c r="S6004" s="452"/>
      <c r="T6004" s="452"/>
      <c r="U6004" s="452"/>
      <c r="V6004" s="452"/>
      <c r="W6004" s="452"/>
    </row>
    <row r="6005" spans="19:23" ht="15" customHeight="1" x14ac:dyDescent="0.45">
      <c r="S6005" s="452"/>
      <c r="T6005" s="452"/>
      <c r="U6005" s="452"/>
      <c r="V6005" s="452"/>
      <c r="W6005" s="452"/>
    </row>
    <row r="6006" spans="19:23" ht="15" customHeight="1" x14ac:dyDescent="0.45">
      <c r="S6006" s="452"/>
      <c r="T6006" s="452"/>
      <c r="U6006" s="452"/>
      <c r="V6006" s="452"/>
      <c r="W6006" s="452"/>
    </row>
    <row r="6007" spans="19:23" ht="15" customHeight="1" x14ac:dyDescent="0.45">
      <c r="S6007" s="452"/>
      <c r="T6007" s="452"/>
      <c r="U6007" s="452"/>
      <c r="V6007" s="452"/>
      <c r="W6007" s="452"/>
    </row>
    <row r="6008" spans="19:23" ht="15" customHeight="1" x14ac:dyDescent="0.45">
      <c r="S6008" s="452"/>
      <c r="T6008" s="452"/>
      <c r="U6008" s="452"/>
      <c r="V6008" s="452"/>
      <c r="W6008" s="452"/>
    </row>
    <row r="6009" spans="19:23" ht="15" customHeight="1" x14ac:dyDescent="0.45">
      <c r="S6009" s="452"/>
      <c r="T6009" s="452"/>
      <c r="U6009" s="452"/>
      <c r="V6009" s="452"/>
      <c r="W6009" s="452"/>
    </row>
    <row r="6010" spans="19:23" ht="15" customHeight="1" x14ac:dyDescent="0.45">
      <c r="S6010" s="452"/>
      <c r="T6010" s="452"/>
      <c r="U6010" s="452"/>
      <c r="V6010" s="452"/>
      <c r="W6010" s="452"/>
    </row>
    <row r="6011" spans="19:23" ht="15" customHeight="1" x14ac:dyDescent="0.45">
      <c r="S6011" s="452"/>
      <c r="T6011" s="452"/>
      <c r="U6011" s="452"/>
      <c r="V6011" s="452"/>
      <c r="W6011" s="452"/>
    </row>
    <row r="6012" spans="19:23" ht="15" customHeight="1" x14ac:dyDescent="0.45">
      <c r="S6012" s="452"/>
      <c r="T6012" s="452"/>
      <c r="U6012" s="452"/>
      <c r="V6012" s="452"/>
      <c r="W6012" s="452"/>
    </row>
    <row r="6013" spans="19:23" ht="15" customHeight="1" x14ac:dyDescent="0.45">
      <c r="S6013" s="452"/>
      <c r="T6013" s="452"/>
      <c r="U6013" s="452"/>
      <c r="V6013" s="452"/>
      <c r="W6013" s="452"/>
    </row>
    <row r="6014" spans="19:23" ht="15" customHeight="1" x14ac:dyDescent="0.45">
      <c r="S6014" s="452"/>
      <c r="T6014" s="452"/>
      <c r="U6014" s="452"/>
      <c r="V6014" s="452"/>
      <c r="W6014" s="452"/>
    </row>
    <row r="6015" spans="19:23" ht="15" customHeight="1" x14ac:dyDescent="0.45">
      <c r="S6015" s="452"/>
      <c r="T6015" s="452"/>
      <c r="U6015" s="452"/>
      <c r="V6015" s="452"/>
      <c r="W6015" s="452"/>
    </row>
    <row r="6016" spans="19:23" ht="15" customHeight="1" x14ac:dyDescent="0.45">
      <c r="S6016" s="452"/>
      <c r="T6016" s="452"/>
      <c r="U6016" s="452"/>
      <c r="V6016" s="452"/>
      <c r="W6016" s="452"/>
    </row>
    <row r="6017" spans="19:23" ht="15" customHeight="1" x14ac:dyDescent="0.45">
      <c r="S6017" s="452"/>
      <c r="T6017" s="452"/>
      <c r="U6017" s="452"/>
      <c r="V6017" s="452"/>
      <c r="W6017" s="452"/>
    </row>
    <row r="6018" spans="19:23" ht="15" customHeight="1" x14ac:dyDescent="0.45">
      <c r="S6018" s="452"/>
      <c r="T6018" s="452"/>
      <c r="U6018" s="452"/>
      <c r="V6018" s="452"/>
      <c r="W6018" s="452"/>
    </row>
    <row r="6019" spans="19:23" ht="15" customHeight="1" x14ac:dyDescent="0.45">
      <c r="S6019" s="452"/>
      <c r="T6019" s="452"/>
      <c r="U6019" s="452"/>
      <c r="V6019" s="452"/>
      <c r="W6019" s="452"/>
    </row>
    <row r="6020" spans="19:23" ht="15" customHeight="1" x14ac:dyDescent="0.45">
      <c r="S6020" s="452"/>
      <c r="T6020" s="452"/>
      <c r="U6020" s="452"/>
      <c r="V6020" s="452"/>
      <c r="W6020" s="452"/>
    </row>
    <row r="6021" spans="19:23" ht="15" customHeight="1" x14ac:dyDescent="0.45">
      <c r="S6021" s="452"/>
      <c r="T6021" s="452"/>
      <c r="U6021" s="452"/>
      <c r="V6021" s="452"/>
      <c r="W6021" s="452"/>
    </row>
    <row r="6022" spans="19:23" ht="15" customHeight="1" x14ac:dyDescent="0.45">
      <c r="S6022" s="452"/>
      <c r="T6022" s="452"/>
      <c r="U6022" s="452"/>
      <c r="V6022" s="452"/>
      <c r="W6022" s="452"/>
    </row>
    <row r="6023" spans="19:23" ht="15" customHeight="1" x14ac:dyDescent="0.45">
      <c r="S6023" s="452"/>
      <c r="T6023" s="452"/>
      <c r="U6023" s="452"/>
      <c r="V6023" s="452"/>
      <c r="W6023" s="452"/>
    </row>
    <row r="6024" spans="19:23" ht="15" customHeight="1" x14ac:dyDescent="0.45">
      <c r="S6024" s="452"/>
      <c r="T6024" s="452"/>
      <c r="U6024" s="452"/>
      <c r="V6024" s="452"/>
      <c r="W6024" s="452"/>
    </row>
    <row r="6025" spans="19:23" ht="15" customHeight="1" x14ac:dyDescent="0.45">
      <c r="S6025" s="452"/>
      <c r="T6025" s="452"/>
      <c r="U6025" s="452"/>
      <c r="V6025" s="452"/>
      <c r="W6025" s="452"/>
    </row>
    <row r="6026" spans="19:23" ht="15" customHeight="1" x14ac:dyDescent="0.45">
      <c r="S6026" s="452"/>
      <c r="T6026" s="452"/>
      <c r="U6026" s="452"/>
      <c r="V6026" s="452"/>
      <c r="W6026" s="452"/>
    </row>
    <row r="6027" spans="19:23" ht="15" customHeight="1" x14ac:dyDescent="0.45">
      <c r="S6027" s="452"/>
      <c r="T6027" s="452"/>
      <c r="U6027" s="452"/>
      <c r="V6027" s="452"/>
      <c r="W6027" s="452"/>
    </row>
    <row r="6028" spans="19:23" ht="15" customHeight="1" x14ac:dyDescent="0.45">
      <c r="S6028" s="452"/>
      <c r="T6028" s="452"/>
      <c r="U6028" s="452"/>
      <c r="V6028" s="452"/>
      <c r="W6028" s="452"/>
    </row>
    <row r="6029" spans="19:23" ht="15" customHeight="1" x14ac:dyDescent="0.45">
      <c r="S6029" s="452"/>
      <c r="T6029" s="452"/>
      <c r="U6029" s="452"/>
      <c r="V6029" s="452"/>
      <c r="W6029" s="452"/>
    </row>
    <row r="6030" spans="19:23" ht="15" customHeight="1" x14ac:dyDescent="0.45">
      <c r="S6030" s="452"/>
      <c r="T6030" s="452"/>
      <c r="U6030" s="452"/>
      <c r="V6030" s="452"/>
      <c r="W6030" s="452"/>
    </row>
    <row r="6031" spans="19:23" ht="15" customHeight="1" x14ac:dyDescent="0.45">
      <c r="S6031" s="452"/>
      <c r="T6031" s="452"/>
      <c r="U6031" s="452"/>
      <c r="V6031" s="452"/>
      <c r="W6031" s="452"/>
    </row>
    <row r="6032" spans="19:23" ht="15" customHeight="1" x14ac:dyDescent="0.45">
      <c r="S6032" s="452"/>
      <c r="T6032" s="452"/>
      <c r="U6032" s="452"/>
      <c r="V6032" s="452"/>
      <c r="W6032" s="452"/>
    </row>
    <row r="6033" spans="19:23" ht="15" customHeight="1" x14ac:dyDescent="0.45">
      <c r="S6033" s="452"/>
      <c r="T6033" s="452"/>
      <c r="U6033" s="452"/>
      <c r="V6033" s="452"/>
      <c r="W6033" s="452"/>
    </row>
    <row r="6034" spans="19:23" ht="15" customHeight="1" x14ac:dyDescent="0.45">
      <c r="S6034" s="452"/>
      <c r="T6034" s="452"/>
      <c r="U6034" s="452"/>
      <c r="V6034" s="452"/>
      <c r="W6034" s="452"/>
    </row>
    <row r="6035" spans="19:23" ht="15" customHeight="1" x14ac:dyDescent="0.45">
      <c r="S6035" s="452"/>
      <c r="T6035" s="452"/>
      <c r="U6035" s="452"/>
      <c r="V6035" s="452"/>
      <c r="W6035" s="452"/>
    </row>
    <row r="6036" spans="19:23" ht="15" customHeight="1" x14ac:dyDescent="0.45">
      <c r="S6036" s="452"/>
      <c r="T6036" s="452"/>
      <c r="U6036" s="452"/>
      <c r="V6036" s="452"/>
      <c r="W6036" s="452"/>
    </row>
    <row r="6037" spans="19:23" ht="15" customHeight="1" x14ac:dyDescent="0.45">
      <c r="S6037" s="452"/>
      <c r="T6037" s="452"/>
      <c r="U6037" s="452"/>
      <c r="V6037" s="452"/>
      <c r="W6037" s="452"/>
    </row>
    <row r="6038" spans="19:23" ht="15" customHeight="1" x14ac:dyDescent="0.45">
      <c r="S6038" s="452"/>
      <c r="T6038" s="452"/>
      <c r="U6038" s="452"/>
      <c r="V6038" s="452"/>
      <c r="W6038" s="452"/>
    </row>
    <row r="6039" spans="19:23" ht="15" customHeight="1" x14ac:dyDescent="0.45">
      <c r="S6039" s="452"/>
      <c r="T6039" s="452"/>
      <c r="U6039" s="452"/>
      <c r="V6039" s="452"/>
      <c r="W6039" s="452"/>
    </row>
    <row r="6040" spans="19:23" ht="15" customHeight="1" x14ac:dyDescent="0.45">
      <c r="S6040" s="452"/>
      <c r="T6040" s="452"/>
      <c r="U6040" s="452"/>
      <c r="V6040" s="452"/>
      <c r="W6040" s="452"/>
    </row>
    <row r="6041" spans="19:23" ht="15" customHeight="1" x14ac:dyDescent="0.45">
      <c r="S6041" s="452"/>
      <c r="T6041" s="452"/>
      <c r="U6041" s="452"/>
      <c r="V6041" s="452"/>
      <c r="W6041" s="452"/>
    </row>
    <row r="6042" spans="19:23" ht="15" customHeight="1" x14ac:dyDescent="0.45">
      <c r="S6042" s="452"/>
      <c r="T6042" s="452"/>
      <c r="U6042" s="452"/>
      <c r="V6042" s="452"/>
      <c r="W6042" s="452"/>
    </row>
    <row r="6043" spans="19:23" ht="15" customHeight="1" x14ac:dyDescent="0.45">
      <c r="S6043" s="452"/>
      <c r="T6043" s="452"/>
      <c r="U6043" s="452"/>
      <c r="V6043" s="452"/>
      <c r="W6043" s="452"/>
    </row>
    <row r="6044" spans="19:23" ht="15" customHeight="1" x14ac:dyDescent="0.45">
      <c r="S6044" s="452"/>
      <c r="T6044" s="452"/>
      <c r="U6044" s="452"/>
      <c r="V6044" s="452"/>
      <c r="W6044" s="452"/>
    </row>
    <row r="6045" spans="19:23" ht="15" customHeight="1" x14ac:dyDescent="0.45">
      <c r="S6045" s="452"/>
      <c r="T6045" s="452"/>
      <c r="U6045" s="452"/>
      <c r="V6045" s="452"/>
      <c r="W6045" s="452"/>
    </row>
    <row r="6046" spans="19:23" ht="15" customHeight="1" x14ac:dyDescent="0.45">
      <c r="S6046" s="452"/>
      <c r="T6046" s="452"/>
      <c r="U6046" s="452"/>
      <c r="V6046" s="452"/>
      <c r="W6046" s="452"/>
    </row>
    <row r="6047" spans="19:23" ht="15" customHeight="1" x14ac:dyDescent="0.45">
      <c r="S6047" s="452"/>
      <c r="T6047" s="452"/>
      <c r="U6047" s="452"/>
      <c r="V6047" s="452"/>
      <c r="W6047" s="452"/>
    </row>
    <row r="6048" spans="19:23" ht="15" customHeight="1" x14ac:dyDescent="0.45">
      <c r="S6048" s="452"/>
      <c r="T6048" s="452"/>
      <c r="U6048" s="452"/>
      <c r="V6048" s="452"/>
      <c r="W6048" s="452"/>
    </row>
    <row r="6049" spans="19:23" ht="15" customHeight="1" x14ac:dyDescent="0.45">
      <c r="S6049" s="452"/>
      <c r="T6049" s="452"/>
      <c r="U6049" s="452"/>
      <c r="V6049" s="452"/>
      <c r="W6049" s="452"/>
    </row>
    <row r="6050" spans="19:23" ht="15" customHeight="1" x14ac:dyDescent="0.45">
      <c r="S6050" s="452"/>
      <c r="T6050" s="452"/>
      <c r="U6050" s="452"/>
      <c r="V6050" s="452"/>
      <c r="W6050" s="452"/>
    </row>
    <row r="6051" spans="19:23" ht="15" customHeight="1" x14ac:dyDescent="0.45">
      <c r="S6051" s="452"/>
      <c r="T6051" s="452"/>
      <c r="U6051" s="452"/>
      <c r="V6051" s="452"/>
      <c r="W6051" s="452"/>
    </row>
    <row r="6052" spans="19:23" ht="15" customHeight="1" x14ac:dyDescent="0.45">
      <c r="S6052" s="452"/>
      <c r="T6052" s="452"/>
      <c r="U6052" s="452"/>
      <c r="V6052" s="452"/>
      <c r="W6052" s="452"/>
    </row>
    <row r="6053" spans="19:23" ht="15" customHeight="1" x14ac:dyDescent="0.45">
      <c r="S6053" s="452"/>
      <c r="T6053" s="452"/>
      <c r="U6053" s="452"/>
      <c r="V6053" s="452"/>
      <c r="W6053" s="452"/>
    </row>
    <row r="6054" spans="19:23" ht="15" customHeight="1" x14ac:dyDescent="0.45">
      <c r="S6054" s="452"/>
      <c r="T6054" s="452"/>
      <c r="U6054" s="452"/>
      <c r="V6054" s="452"/>
      <c r="W6054" s="452"/>
    </row>
    <row r="6055" spans="19:23" ht="15" customHeight="1" x14ac:dyDescent="0.45">
      <c r="S6055" s="452"/>
      <c r="T6055" s="452"/>
      <c r="U6055" s="452"/>
      <c r="V6055" s="452"/>
      <c r="W6055" s="452"/>
    </row>
    <row r="6056" spans="19:23" ht="15" customHeight="1" x14ac:dyDescent="0.45">
      <c r="S6056" s="452"/>
      <c r="T6056" s="452"/>
      <c r="U6056" s="452"/>
      <c r="V6056" s="452"/>
      <c r="W6056" s="452"/>
    </row>
    <row r="6057" spans="19:23" ht="15" customHeight="1" x14ac:dyDescent="0.45">
      <c r="S6057" s="452"/>
      <c r="T6057" s="452"/>
      <c r="U6057" s="452"/>
      <c r="V6057" s="452"/>
      <c r="W6057" s="452"/>
    </row>
    <row r="6058" spans="19:23" ht="15" customHeight="1" x14ac:dyDescent="0.45">
      <c r="S6058" s="452"/>
      <c r="T6058" s="452"/>
      <c r="U6058" s="452"/>
      <c r="V6058" s="452"/>
      <c r="W6058" s="452"/>
    </row>
    <row r="6059" spans="19:23" ht="15" customHeight="1" x14ac:dyDescent="0.45">
      <c r="S6059" s="452"/>
      <c r="T6059" s="452"/>
      <c r="U6059" s="452"/>
      <c r="V6059" s="452"/>
      <c r="W6059" s="452"/>
    </row>
    <row r="6060" spans="19:23" ht="15" customHeight="1" x14ac:dyDescent="0.45">
      <c r="S6060" s="452"/>
      <c r="T6060" s="452"/>
      <c r="U6060" s="452"/>
      <c r="V6060" s="452"/>
      <c r="W6060" s="452"/>
    </row>
    <row r="6061" spans="19:23" ht="15" customHeight="1" x14ac:dyDescent="0.45">
      <c r="S6061" s="452"/>
      <c r="T6061" s="452"/>
      <c r="U6061" s="452"/>
      <c r="V6061" s="452"/>
      <c r="W6061" s="452"/>
    </row>
    <row r="6062" spans="19:23" ht="15" customHeight="1" x14ac:dyDescent="0.45">
      <c r="S6062" s="452"/>
      <c r="T6062" s="452"/>
      <c r="U6062" s="452"/>
      <c r="V6062" s="452"/>
      <c r="W6062" s="452"/>
    </row>
    <row r="6063" spans="19:23" ht="15" customHeight="1" x14ac:dyDescent="0.45">
      <c r="S6063" s="452"/>
      <c r="T6063" s="452"/>
      <c r="U6063" s="452"/>
      <c r="V6063" s="452"/>
      <c r="W6063" s="452"/>
    </row>
    <row r="6064" spans="19:23" ht="15" customHeight="1" x14ac:dyDescent="0.45">
      <c r="S6064" s="452"/>
      <c r="T6064" s="452"/>
      <c r="U6064" s="452"/>
      <c r="V6064" s="452"/>
      <c r="W6064" s="452"/>
    </row>
    <row r="6065" spans="19:23" ht="15" customHeight="1" x14ac:dyDescent="0.45">
      <c r="S6065" s="452"/>
      <c r="T6065" s="452"/>
      <c r="U6065" s="452"/>
      <c r="V6065" s="452"/>
      <c r="W6065" s="452"/>
    </row>
    <row r="6066" spans="19:23" ht="15" customHeight="1" x14ac:dyDescent="0.45">
      <c r="S6066" s="452"/>
      <c r="T6066" s="452"/>
      <c r="U6066" s="452"/>
      <c r="V6066" s="452"/>
      <c r="W6066" s="452"/>
    </row>
    <row r="6067" spans="19:23" ht="15" customHeight="1" x14ac:dyDescent="0.45">
      <c r="S6067" s="452"/>
      <c r="T6067" s="452"/>
      <c r="U6067" s="452"/>
      <c r="V6067" s="452"/>
      <c r="W6067" s="452"/>
    </row>
    <row r="6068" spans="19:23" ht="15" customHeight="1" x14ac:dyDescent="0.45">
      <c r="S6068" s="452"/>
      <c r="T6068" s="452"/>
      <c r="U6068" s="452"/>
      <c r="V6068" s="452"/>
      <c r="W6068" s="452"/>
    </row>
    <row r="6069" spans="19:23" ht="15" customHeight="1" x14ac:dyDescent="0.45">
      <c r="S6069" s="452"/>
      <c r="T6069" s="452"/>
      <c r="U6069" s="452"/>
      <c r="V6069" s="452"/>
      <c r="W6069" s="452"/>
    </row>
    <row r="6070" spans="19:23" ht="15" customHeight="1" x14ac:dyDescent="0.45">
      <c r="S6070" s="452"/>
      <c r="T6070" s="452"/>
      <c r="U6070" s="452"/>
      <c r="V6070" s="452"/>
      <c r="W6070" s="452"/>
    </row>
    <row r="6071" spans="19:23" ht="15" customHeight="1" x14ac:dyDescent="0.45">
      <c r="S6071" s="452"/>
      <c r="T6071" s="452"/>
      <c r="U6071" s="452"/>
      <c r="V6071" s="452"/>
      <c r="W6071" s="452"/>
    </row>
    <row r="6072" spans="19:23" ht="15" customHeight="1" x14ac:dyDescent="0.45">
      <c r="S6072" s="452"/>
      <c r="T6072" s="452"/>
      <c r="U6072" s="452"/>
      <c r="V6072" s="452"/>
      <c r="W6072" s="452"/>
    </row>
    <row r="6073" spans="19:23" ht="15" customHeight="1" x14ac:dyDescent="0.45">
      <c r="S6073" s="452"/>
      <c r="T6073" s="452"/>
      <c r="U6073" s="452"/>
      <c r="V6073" s="452"/>
      <c r="W6073" s="452"/>
    </row>
    <row r="6074" spans="19:23" ht="15" customHeight="1" x14ac:dyDescent="0.45">
      <c r="S6074" s="452"/>
      <c r="T6074" s="452"/>
      <c r="U6074" s="452"/>
      <c r="V6074" s="452"/>
      <c r="W6074" s="452"/>
    </row>
    <row r="6075" spans="19:23" ht="15" customHeight="1" x14ac:dyDescent="0.45">
      <c r="S6075" s="452"/>
      <c r="T6075" s="452"/>
      <c r="U6075" s="452"/>
      <c r="V6075" s="452"/>
      <c r="W6075" s="452"/>
    </row>
    <row r="6076" spans="19:23" ht="15" customHeight="1" x14ac:dyDescent="0.45">
      <c r="S6076" s="452"/>
      <c r="T6076" s="452"/>
      <c r="U6076" s="452"/>
      <c r="V6076" s="452"/>
      <c r="W6076" s="452"/>
    </row>
    <row r="6077" spans="19:23" ht="15" customHeight="1" x14ac:dyDescent="0.45">
      <c r="S6077" s="452"/>
      <c r="T6077" s="452"/>
      <c r="U6077" s="452"/>
      <c r="V6077" s="452"/>
      <c r="W6077" s="452"/>
    </row>
    <row r="6078" spans="19:23" ht="15" customHeight="1" x14ac:dyDescent="0.45">
      <c r="S6078" s="452"/>
      <c r="T6078" s="452"/>
      <c r="U6078" s="452"/>
      <c r="V6078" s="452"/>
      <c r="W6078" s="452"/>
    </row>
    <row r="6079" spans="19:23" ht="15" customHeight="1" x14ac:dyDescent="0.45">
      <c r="S6079" s="452"/>
      <c r="T6079" s="452"/>
      <c r="U6079" s="452"/>
      <c r="V6079" s="452"/>
      <c r="W6079" s="452"/>
    </row>
    <row r="6080" spans="19:23" ht="15" customHeight="1" x14ac:dyDescent="0.45">
      <c r="S6080" s="452"/>
      <c r="T6080" s="452"/>
      <c r="U6080" s="452"/>
      <c r="V6080" s="452"/>
      <c r="W6080" s="452"/>
    </row>
    <row r="6081" spans="19:23" ht="15" customHeight="1" x14ac:dyDescent="0.45">
      <c r="S6081" s="452"/>
      <c r="T6081" s="452"/>
      <c r="U6081" s="452"/>
      <c r="V6081" s="452"/>
      <c r="W6081" s="452"/>
    </row>
    <row r="6082" spans="19:23" ht="15" customHeight="1" x14ac:dyDescent="0.45">
      <c r="S6082" s="452"/>
      <c r="T6082" s="452"/>
      <c r="U6082" s="452"/>
      <c r="V6082" s="452"/>
      <c r="W6082" s="452"/>
    </row>
    <row r="6083" spans="19:23" ht="15" customHeight="1" x14ac:dyDescent="0.45">
      <c r="S6083" s="452"/>
      <c r="T6083" s="452"/>
      <c r="U6083" s="452"/>
      <c r="V6083" s="452"/>
      <c r="W6083" s="452"/>
    </row>
    <row r="6084" spans="19:23" ht="15" customHeight="1" x14ac:dyDescent="0.45">
      <c r="S6084" s="452"/>
      <c r="T6084" s="452"/>
      <c r="U6084" s="452"/>
      <c r="V6084" s="452"/>
      <c r="W6084" s="452"/>
    </row>
    <row r="6085" spans="19:23" ht="15" customHeight="1" x14ac:dyDescent="0.45">
      <c r="S6085" s="452"/>
      <c r="T6085" s="452"/>
      <c r="U6085" s="452"/>
      <c r="V6085" s="452"/>
      <c r="W6085" s="452"/>
    </row>
    <row r="6086" spans="19:23" ht="15" customHeight="1" x14ac:dyDescent="0.45">
      <c r="S6086" s="452"/>
      <c r="T6086" s="452"/>
      <c r="U6086" s="452"/>
      <c r="V6086" s="452"/>
      <c r="W6086" s="452"/>
    </row>
    <row r="6087" spans="19:23" ht="15" customHeight="1" x14ac:dyDescent="0.45">
      <c r="S6087" s="452"/>
      <c r="T6087" s="452"/>
      <c r="U6087" s="452"/>
      <c r="V6087" s="452"/>
      <c r="W6087" s="452"/>
    </row>
    <row r="6088" spans="19:23" ht="15" customHeight="1" x14ac:dyDescent="0.45">
      <c r="S6088" s="452"/>
      <c r="T6088" s="452"/>
      <c r="U6088" s="452"/>
      <c r="V6088" s="452"/>
      <c r="W6088" s="452"/>
    </row>
    <row r="6089" spans="19:23" ht="15" customHeight="1" x14ac:dyDescent="0.45">
      <c r="S6089" s="452"/>
      <c r="T6089" s="452"/>
      <c r="U6089" s="452"/>
      <c r="V6089" s="452"/>
      <c r="W6089" s="452"/>
    </row>
    <row r="6090" spans="19:23" ht="15" customHeight="1" x14ac:dyDescent="0.45">
      <c r="S6090" s="452"/>
      <c r="T6090" s="452"/>
      <c r="U6090" s="452"/>
      <c r="V6090" s="452"/>
      <c r="W6090" s="452"/>
    </row>
    <row r="6091" spans="19:23" ht="15" customHeight="1" x14ac:dyDescent="0.45">
      <c r="S6091" s="452"/>
      <c r="T6091" s="452"/>
      <c r="U6091" s="452"/>
      <c r="V6091" s="452"/>
      <c r="W6091" s="452"/>
    </row>
    <row r="6092" spans="19:23" ht="15" customHeight="1" x14ac:dyDescent="0.45">
      <c r="S6092" s="452"/>
      <c r="T6092" s="452"/>
      <c r="U6092" s="452"/>
      <c r="V6092" s="452"/>
      <c r="W6092" s="452"/>
    </row>
    <row r="6093" spans="19:23" ht="15" customHeight="1" x14ac:dyDescent="0.45">
      <c r="S6093" s="452"/>
      <c r="T6093" s="452"/>
      <c r="U6093" s="452"/>
      <c r="V6093" s="452"/>
      <c r="W6093" s="452"/>
    </row>
    <row r="6094" spans="19:23" ht="15" customHeight="1" x14ac:dyDescent="0.45">
      <c r="S6094" s="452"/>
      <c r="T6094" s="452"/>
      <c r="U6094" s="452"/>
      <c r="V6094" s="452"/>
      <c r="W6094" s="452"/>
    </row>
    <row r="6095" spans="19:23" ht="15" customHeight="1" x14ac:dyDescent="0.45">
      <c r="S6095" s="452"/>
      <c r="T6095" s="452"/>
      <c r="U6095" s="452"/>
      <c r="V6095" s="452"/>
      <c r="W6095" s="452"/>
    </row>
    <row r="6096" spans="19:23" ht="15" customHeight="1" x14ac:dyDescent="0.45">
      <c r="S6096" s="452"/>
      <c r="T6096" s="452"/>
      <c r="U6096" s="452"/>
      <c r="V6096" s="452"/>
      <c r="W6096" s="452"/>
    </row>
    <row r="6097" spans="19:23" ht="15" customHeight="1" x14ac:dyDescent="0.45">
      <c r="S6097" s="452"/>
      <c r="T6097" s="452"/>
      <c r="U6097" s="452"/>
      <c r="V6097" s="452"/>
      <c r="W6097" s="452"/>
    </row>
    <row r="6098" spans="19:23" ht="15" customHeight="1" x14ac:dyDescent="0.45">
      <c r="S6098" s="452"/>
      <c r="T6098" s="452"/>
      <c r="U6098" s="452"/>
      <c r="V6098" s="452"/>
      <c r="W6098" s="452"/>
    </row>
    <row r="6099" spans="19:23" ht="15" customHeight="1" x14ac:dyDescent="0.45">
      <c r="S6099" s="452"/>
      <c r="T6099" s="452"/>
      <c r="U6099" s="452"/>
      <c r="V6099" s="452"/>
      <c r="W6099" s="452"/>
    </row>
    <row r="6100" spans="19:23" ht="15" customHeight="1" x14ac:dyDescent="0.45">
      <c r="S6100" s="452"/>
      <c r="T6100" s="452"/>
      <c r="U6100" s="452"/>
      <c r="V6100" s="452"/>
      <c r="W6100" s="452"/>
    </row>
    <row r="6101" spans="19:23" ht="15" customHeight="1" x14ac:dyDescent="0.45">
      <c r="S6101" s="452"/>
      <c r="T6101" s="452"/>
      <c r="U6101" s="452"/>
      <c r="V6101" s="452"/>
      <c r="W6101" s="452"/>
    </row>
    <row r="6102" spans="19:23" ht="15" customHeight="1" x14ac:dyDescent="0.45">
      <c r="S6102" s="452"/>
      <c r="T6102" s="452"/>
      <c r="U6102" s="452"/>
      <c r="V6102" s="452"/>
      <c r="W6102" s="452"/>
    </row>
    <row r="6103" spans="19:23" ht="15" customHeight="1" x14ac:dyDescent="0.45">
      <c r="S6103" s="452"/>
      <c r="T6103" s="452"/>
      <c r="U6103" s="452"/>
      <c r="V6103" s="452"/>
      <c r="W6103" s="452"/>
    </row>
    <row r="6104" spans="19:23" ht="15" customHeight="1" x14ac:dyDescent="0.45">
      <c r="S6104" s="452"/>
      <c r="T6104" s="452"/>
      <c r="U6104" s="452"/>
      <c r="V6104" s="452"/>
      <c r="W6104" s="452"/>
    </row>
    <row r="6105" spans="19:23" ht="15" customHeight="1" x14ac:dyDescent="0.45">
      <c r="S6105" s="452"/>
      <c r="T6105" s="452"/>
      <c r="U6105" s="452"/>
      <c r="V6105" s="452"/>
      <c r="W6105" s="452"/>
    </row>
    <row r="6106" spans="19:23" ht="15" customHeight="1" x14ac:dyDescent="0.45">
      <c r="S6106" s="452"/>
      <c r="T6106" s="452"/>
      <c r="U6106" s="452"/>
      <c r="V6106" s="452"/>
      <c r="W6106" s="452"/>
    </row>
    <row r="6107" spans="19:23" ht="15" customHeight="1" x14ac:dyDescent="0.45">
      <c r="S6107" s="452"/>
      <c r="T6107" s="452"/>
      <c r="U6107" s="452"/>
      <c r="V6107" s="452"/>
      <c r="W6107" s="452"/>
    </row>
    <row r="6108" spans="19:23" ht="15" customHeight="1" x14ac:dyDescent="0.45">
      <c r="S6108" s="452"/>
      <c r="T6108" s="452"/>
      <c r="U6108" s="452"/>
      <c r="V6108" s="452"/>
      <c r="W6108" s="452"/>
    </row>
    <row r="6109" spans="19:23" ht="15" customHeight="1" x14ac:dyDescent="0.45">
      <c r="S6109" s="452"/>
      <c r="T6109" s="452"/>
      <c r="U6109" s="452"/>
      <c r="V6109" s="452"/>
      <c r="W6109" s="452"/>
    </row>
    <row r="6110" spans="19:23" ht="15" customHeight="1" x14ac:dyDescent="0.45">
      <c r="S6110" s="452"/>
      <c r="T6110" s="452"/>
      <c r="U6110" s="452"/>
      <c r="V6110" s="452"/>
      <c r="W6110" s="452"/>
    </row>
    <row r="6111" spans="19:23" ht="15" customHeight="1" x14ac:dyDescent="0.45">
      <c r="S6111" s="452"/>
      <c r="T6111" s="452"/>
      <c r="U6111" s="452"/>
      <c r="V6111" s="452"/>
      <c r="W6111" s="452"/>
    </row>
    <row r="6112" spans="19:23" ht="15" customHeight="1" x14ac:dyDescent="0.45">
      <c r="S6112" s="452"/>
      <c r="T6112" s="452"/>
      <c r="U6112" s="452"/>
      <c r="V6112" s="452"/>
      <c r="W6112" s="452"/>
    </row>
    <row r="6113" spans="19:23" ht="15" customHeight="1" x14ac:dyDescent="0.45">
      <c r="S6113" s="452"/>
      <c r="T6113" s="452"/>
      <c r="U6113" s="452"/>
      <c r="V6113" s="452"/>
      <c r="W6113" s="452"/>
    </row>
    <row r="6114" spans="19:23" ht="15" customHeight="1" x14ac:dyDescent="0.45">
      <c r="S6114" s="452"/>
      <c r="T6114" s="452"/>
      <c r="U6114" s="452"/>
      <c r="V6114" s="452"/>
      <c r="W6114" s="452"/>
    </row>
    <row r="6115" spans="19:23" ht="15" customHeight="1" x14ac:dyDescent="0.45">
      <c r="S6115" s="452"/>
      <c r="T6115" s="452"/>
      <c r="U6115" s="452"/>
      <c r="V6115" s="452"/>
      <c r="W6115" s="452"/>
    </row>
    <row r="6116" spans="19:23" ht="15" customHeight="1" x14ac:dyDescent="0.45">
      <c r="S6116" s="452"/>
      <c r="T6116" s="452"/>
      <c r="U6116" s="452"/>
      <c r="V6116" s="452"/>
      <c r="W6116" s="452"/>
    </row>
    <row r="6117" spans="19:23" ht="15" customHeight="1" x14ac:dyDescent="0.45">
      <c r="S6117" s="452"/>
      <c r="T6117" s="452"/>
      <c r="U6117" s="452"/>
      <c r="V6117" s="452"/>
      <c r="W6117" s="452"/>
    </row>
    <row r="6118" spans="19:23" ht="15" customHeight="1" x14ac:dyDescent="0.45">
      <c r="S6118" s="452"/>
      <c r="T6118" s="452"/>
      <c r="U6118" s="452"/>
      <c r="V6118" s="452"/>
      <c r="W6118" s="452"/>
    </row>
    <row r="6119" spans="19:23" ht="15" customHeight="1" x14ac:dyDescent="0.45">
      <c r="S6119" s="452"/>
      <c r="T6119" s="452"/>
      <c r="U6119" s="452"/>
      <c r="V6119" s="452"/>
      <c r="W6119" s="452"/>
    </row>
    <row r="6120" spans="19:23" ht="15" customHeight="1" x14ac:dyDescent="0.45">
      <c r="S6120" s="452"/>
      <c r="T6120" s="452"/>
      <c r="U6120" s="452"/>
      <c r="V6120" s="452"/>
      <c r="W6120" s="452"/>
    </row>
    <row r="6121" spans="19:23" ht="15" customHeight="1" x14ac:dyDescent="0.45">
      <c r="S6121" s="452"/>
      <c r="T6121" s="452"/>
      <c r="U6121" s="452"/>
      <c r="V6121" s="452"/>
      <c r="W6121" s="452"/>
    </row>
    <row r="6122" spans="19:23" ht="15" customHeight="1" x14ac:dyDescent="0.45">
      <c r="S6122" s="452"/>
      <c r="T6122" s="452"/>
      <c r="U6122" s="452"/>
      <c r="V6122" s="452"/>
      <c r="W6122" s="452"/>
    </row>
    <row r="6123" spans="19:23" ht="15" customHeight="1" x14ac:dyDescent="0.45">
      <c r="S6123" s="452"/>
      <c r="T6123" s="452"/>
      <c r="U6123" s="452"/>
      <c r="V6123" s="452"/>
      <c r="W6123" s="452"/>
    </row>
    <row r="6124" spans="19:23" ht="15" customHeight="1" x14ac:dyDescent="0.45">
      <c r="S6124" s="452"/>
      <c r="T6124" s="452"/>
      <c r="U6124" s="452"/>
      <c r="V6124" s="452"/>
      <c r="W6124" s="452"/>
    </row>
    <row r="6125" spans="19:23" ht="15" customHeight="1" x14ac:dyDescent="0.45">
      <c r="S6125" s="452"/>
      <c r="T6125" s="452"/>
      <c r="U6125" s="452"/>
      <c r="V6125" s="452"/>
      <c r="W6125" s="452"/>
    </row>
    <row r="6126" spans="19:23" ht="15" customHeight="1" x14ac:dyDescent="0.45">
      <c r="S6126" s="452"/>
      <c r="T6126" s="452"/>
      <c r="U6126" s="452"/>
      <c r="V6126" s="452"/>
      <c r="W6126" s="452"/>
    </row>
    <row r="6127" spans="19:23" ht="15" customHeight="1" x14ac:dyDescent="0.45">
      <c r="S6127" s="452"/>
      <c r="T6127" s="452"/>
      <c r="U6127" s="452"/>
      <c r="V6127" s="452"/>
      <c r="W6127" s="452"/>
    </row>
    <row r="6128" spans="19:23" ht="15" customHeight="1" x14ac:dyDescent="0.45">
      <c r="S6128" s="452"/>
      <c r="T6128" s="452"/>
      <c r="U6128" s="452"/>
      <c r="V6128" s="452"/>
      <c r="W6128" s="452"/>
    </row>
    <row r="6129" spans="19:23" ht="15" customHeight="1" x14ac:dyDescent="0.45">
      <c r="S6129" s="452"/>
      <c r="T6129" s="452"/>
      <c r="U6129" s="452"/>
      <c r="V6129" s="452"/>
      <c r="W6129" s="452"/>
    </row>
    <row r="6130" spans="19:23" ht="15" customHeight="1" x14ac:dyDescent="0.45">
      <c r="S6130" s="452"/>
      <c r="T6130" s="452"/>
      <c r="U6130" s="452"/>
      <c r="V6130" s="452"/>
      <c r="W6130" s="452"/>
    </row>
    <row r="6131" spans="19:23" ht="15" customHeight="1" x14ac:dyDescent="0.45">
      <c r="S6131" s="452"/>
      <c r="T6131" s="452"/>
      <c r="U6131" s="452"/>
      <c r="V6131" s="452"/>
      <c r="W6131" s="452"/>
    </row>
    <row r="6132" spans="19:23" ht="15" customHeight="1" x14ac:dyDescent="0.45">
      <c r="S6132" s="452"/>
      <c r="T6132" s="452"/>
      <c r="U6132" s="452"/>
      <c r="V6132" s="452"/>
      <c r="W6132" s="452"/>
    </row>
    <row r="6133" spans="19:23" ht="15" customHeight="1" x14ac:dyDescent="0.45">
      <c r="S6133" s="452"/>
      <c r="T6133" s="452"/>
      <c r="U6133" s="452"/>
      <c r="V6133" s="452"/>
      <c r="W6133" s="452"/>
    </row>
    <row r="6134" spans="19:23" ht="15" customHeight="1" x14ac:dyDescent="0.45">
      <c r="S6134" s="452"/>
      <c r="T6134" s="452"/>
      <c r="U6134" s="452"/>
      <c r="V6134" s="452"/>
      <c r="W6134" s="452"/>
    </row>
    <row r="6135" spans="19:23" ht="15" customHeight="1" x14ac:dyDescent="0.45">
      <c r="S6135" s="452"/>
      <c r="T6135" s="452"/>
      <c r="U6135" s="452"/>
      <c r="V6135" s="452"/>
      <c r="W6135" s="452"/>
    </row>
    <row r="6136" spans="19:23" ht="15" customHeight="1" x14ac:dyDescent="0.45">
      <c r="S6136" s="452"/>
      <c r="T6136" s="452"/>
      <c r="U6136" s="452"/>
      <c r="V6136" s="452"/>
      <c r="W6136" s="452"/>
    </row>
    <row r="6137" spans="19:23" ht="15" customHeight="1" x14ac:dyDescent="0.45">
      <c r="S6137" s="452"/>
      <c r="T6137" s="452"/>
      <c r="U6137" s="452"/>
      <c r="V6137" s="452"/>
      <c r="W6137" s="452"/>
    </row>
    <row r="6138" spans="19:23" ht="15" customHeight="1" x14ac:dyDescent="0.45">
      <c r="S6138" s="452"/>
      <c r="T6138" s="452"/>
      <c r="U6138" s="452"/>
      <c r="V6138" s="452"/>
      <c r="W6138" s="452"/>
    </row>
    <row r="6139" spans="19:23" ht="15" customHeight="1" x14ac:dyDescent="0.45">
      <c r="S6139" s="452"/>
      <c r="T6139" s="452"/>
      <c r="U6139" s="452"/>
      <c r="V6139" s="452"/>
      <c r="W6139" s="452"/>
    </row>
    <row r="6140" spans="19:23" ht="15" customHeight="1" x14ac:dyDescent="0.45">
      <c r="S6140" s="452"/>
      <c r="T6140" s="452"/>
      <c r="U6140" s="452"/>
      <c r="V6140" s="452"/>
      <c r="W6140" s="452"/>
    </row>
    <row r="6141" spans="19:23" ht="15" customHeight="1" x14ac:dyDescent="0.45">
      <c r="S6141" s="452"/>
      <c r="T6141" s="452"/>
      <c r="U6141" s="452"/>
      <c r="V6141" s="452"/>
      <c r="W6141" s="452"/>
    </row>
    <row r="6142" spans="19:23" ht="15" customHeight="1" x14ac:dyDescent="0.45">
      <c r="S6142" s="452"/>
      <c r="T6142" s="452"/>
      <c r="U6142" s="452"/>
      <c r="V6142" s="452"/>
      <c r="W6142" s="452"/>
    </row>
    <row r="6143" spans="19:23" ht="15" customHeight="1" x14ac:dyDescent="0.45">
      <c r="S6143" s="452"/>
      <c r="T6143" s="452"/>
      <c r="U6143" s="452"/>
      <c r="V6143" s="452"/>
      <c r="W6143" s="452"/>
    </row>
    <row r="6144" spans="19:23" ht="15" customHeight="1" x14ac:dyDescent="0.45">
      <c r="S6144" s="452"/>
      <c r="T6144" s="452"/>
      <c r="U6144" s="452"/>
      <c r="V6144" s="452"/>
      <c r="W6144" s="452"/>
    </row>
    <row r="6145" spans="19:23" ht="15" customHeight="1" x14ac:dyDescent="0.45">
      <c r="S6145" s="452"/>
      <c r="T6145" s="452"/>
      <c r="U6145" s="452"/>
      <c r="V6145" s="452"/>
      <c r="W6145" s="452"/>
    </row>
    <row r="6146" spans="19:23" ht="15" customHeight="1" x14ac:dyDescent="0.45">
      <c r="S6146" s="452"/>
      <c r="T6146" s="452"/>
      <c r="U6146" s="452"/>
      <c r="V6146" s="452"/>
      <c r="W6146" s="452"/>
    </row>
    <row r="6147" spans="19:23" ht="15" customHeight="1" x14ac:dyDescent="0.45">
      <c r="S6147" s="452"/>
      <c r="T6147" s="452"/>
      <c r="U6147" s="452"/>
      <c r="V6147" s="452"/>
      <c r="W6147" s="452"/>
    </row>
    <row r="6148" spans="19:23" ht="15" customHeight="1" x14ac:dyDescent="0.45">
      <c r="S6148" s="452"/>
      <c r="T6148" s="452"/>
      <c r="U6148" s="452"/>
      <c r="V6148" s="452"/>
      <c r="W6148" s="452"/>
    </row>
    <row r="6149" spans="19:23" ht="15" customHeight="1" x14ac:dyDescent="0.45">
      <c r="S6149" s="452"/>
      <c r="T6149" s="452"/>
      <c r="U6149" s="452"/>
      <c r="V6149" s="452"/>
      <c r="W6149" s="452"/>
    </row>
    <row r="6150" spans="19:23" ht="15" customHeight="1" x14ac:dyDescent="0.45">
      <c r="S6150" s="452"/>
      <c r="T6150" s="452"/>
      <c r="U6150" s="452"/>
      <c r="V6150" s="452"/>
      <c r="W6150" s="452"/>
    </row>
    <row r="6151" spans="19:23" ht="15" customHeight="1" x14ac:dyDescent="0.45">
      <c r="S6151" s="452"/>
      <c r="T6151" s="452"/>
      <c r="U6151" s="452"/>
      <c r="V6151" s="452"/>
      <c r="W6151" s="452"/>
    </row>
    <row r="6152" spans="19:23" ht="15" customHeight="1" x14ac:dyDescent="0.45">
      <c r="S6152" s="452"/>
      <c r="T6152" s="452"/>
      <c r="U6152" s="452"/>
      <c r="V6152" s="452"/>
      <c r="W6152" s="452"/>
    </row>
    <row r="6153" spans="19:23" ht="15" customHeight="1" x14ac:dyDescent="0.45">
      <c r="S6153" s="452"/>
      <c r="T6153" s="452"/>
      <c r="U6153" s="452"/>
      <c r="V6153" s="452"/>
      <c r="W6153" s="452"/>
    </row>
    <row r="6154" spans="19:23" ht="15" customHeight="1" x14ac:dyDescent="0.45">
      <c r="S6154" s="452"/>
      <c r="T6154" s="452"/>
      <c r="U6154" s="452"/>
      <c r="V6154" s="452"/>
      <c r="W6154" s="452"/>
    </row>
    <row r="6155" spans="19:23" ht="15" customHeight="1" x14ac:dyDescent="0.45">
      <c r="S6155" s="452"/>
      <c r="T6155" s="452"/>
      <c r="U6155" s="452"/>
      <c r="V6155" s="452"/>
      <c r="W6155" s="452"/>
    </row>
    <row r="6156" spans="19:23" ht="15" customHeight="1" x14ac:dyDescent="0.45">
      <c r="S6156" s="452"/>
      <c r="T6156" s="452"/>
      <c r="U6156" s="452"/>
      <c r="V6156" s="452"/>
      <c r="W6156" s="452"/>
    </row>
    <row r="6157" spans="19:23" ht="15" customHeight="1" x14ac:dyDescent="0.45">
      <c r="S6157" s="452"/>
      <c r="T6157" s="452"/>
      <c r="U6157" s="452"/>
      <c r="V6157" s="452"/>
      <c r="W6157" s="452"/>
    </row>
    <row r="6158" spans="19:23" ht="15" customHeight="1" x14ac:dyDescent="0.45">
      <c r="S6158" s="452"/>
      <c r="T6158" s="452"/>
      <c r="U6158" s="452"/>
      <c r="V6158" s="452"/>
      <c r="W6158" s="452"/>
    </row>
    <row r="6159" spans="19:23" ht="15" customHeight="1" x14ac:dyDescent="0.45">
      <c r="S6159" s="452"/>
      <c r="T6159" s="452"/>
      <c r="U6159" s="452"/>
      <c r="V6159" s="452"/>
      <c r="W6159" s="452"/>
    </row>
    <row r="6160" spans="19:23" ht="15" customHeight="1" x14ac:dyDescent="0.45">
      <c r="S6160" s="452"/>
      <c r="T6160" s="452"/>
      <c r="U6160" s="452"/>
      <c r="V6160" s="452"/>
      <c r="W6160" s="452"/>
    </row>
    <row r="6161" spans="19:23" ht="15" customHeight="1" x14ac:dyDescent="0.45">
      <c r="S6161" s="452"/>
      <c r="T6161" s="452"/>
      <c r="U6161" s="452"/>
      <c r="V6161" s="452"/>
      <c r="W6161" s="452"/>
    </row>
    <row r="6162" spans="19:23" ht="15" customHeight="1" x14ac:dyDescent="0.45">
      <c r="S6162" s="452"/>
      <c r="T6162" s="452"/>
      <c r="U6162" s="452"/>
      <c r="V6162" s="452"/>
      <c r="W6162" s="452"/>
    </row>
    <row r="6163" spans="19:23" ht="15" customHeight="1" x14ac:dyDescent="0.45">
      <c r="S6163" s="452"/>
      <c r="T6163" s="452"/>
      <c r="U6163" s="452"/>
      <c r="V6163" s="452"/>
      <c r="W6163" s="452"/>
    </row>
    <row r="6164" spans="19:23" ht="15" customHeight="1" x14ac:dyDescent="0.45">
      <c r="S6164" s="452"/>
      <c r="T6164" s="452"/>
      <c r="U6164" s="452"/>
      <c r="V6164" s="452"/>
      <c r="W6164" s="452"/>
    </row>
    <row r="6165" spans="19:23" ht="15" customHeight="1" x14ac:dyDescent="0.45">
      <c r="S6165" s="452"/>
      <c r="T6165" s="452"/>
      <c r="U6165" s="452"/>
      <c r="V6165" s="452"/>
      <c r="W6165" s="452"/>
    </row>
    <row r="6166" spans="19:23" ht="15" customHeight="1" x14ac:dyDescent="0.45">
      <c r="S6166" s="452"/>
      <c r="T6166" s="452"/>
      <c r="U6166" s="452"/>
      <c r="V6166" s="452"/>
      <c r="W6166" s="452"/>
    </row>
    <row r="6167" spans="19:23" ht="15" customHeight="1" x14ac:dyDescent="0.45">
      <c r="S6167" s="452"/>
      <c r="T6167" s="452"/>
      <c r="U6167" s="452"/>
      <c r="V6167" s="452"/>
      <c r="W6167" s="452"/>
    </row>
    <row r="6168" spans="19:23" ht="15" customHeight="1" x14ac:dyDescent="0.45">
      <c r="S6168" s="452"/>
      <c r="T6168" s="452"/>
      <c r="U6168" s="452"/>
      <c r="V6168" s="452"/>
      <c r="W6168" s="452"/>
    </row>
    <row r="6169" spans="19:23" ht="15" customHeight="1" x14ac:dyDescent="0.45">
      <c r="S6169" s="452"/>
      <c r="T6169" s="452"/>
      <c r="U6169" s="452"/>
      <c r="V6169" s="452"/>
      <c r="W6169" s="452"/>
    </row>
    <row r="6170" spans="19:23" ht="15" customHeight="1" x14ac:dyDescent="0.45">
      <c r="S6170" s="452"/>
      <c r="T6170" s="452"/>
      <c r="U6170" s="452"/>
      <c r="V6170" s="452"/>
      <c r="W6170" s="452"/>
    </row>
    <row r="6171" spans="19:23" ht="15" customHeight="1" x14ac:dyDescent="0.45">
      <c r="S6171" s="452"/>
      <c r="T6171" s="452"/>
      <c r="U6171" s="452"/>
      <c r="V6171" s="452"/>
      <c r="W6171" s="452"/>
    </row>
    <row r="6172" spans="19:23" ht="15" customHeight="1" x14ac:dyDescent="0.45">
      <c r="S6172" s="452"/>
      <c r="T6172" s="452"/>
      <c r="U6172" s="452"/>
      <c r="V6172" s="452"/>
      <c r="W6172" s="452"/>
    </row>
    <row r="6173" spans="19:23" ht="15" customHeight="1" x14ac:dyDescent="0.45">
      <c r="S6173" s="452"/>
      <c r="T6173" s="452"/>
      <c r="U6173" s="452"/>
      <c r="V6173" s="452"/>
      <c r="W6173" s="452"/>
    </row>
    <row r="6174" spans="19:23" ht="15" customHeight="1" x14ac:dyDescent="0.45">
      <c r="S6174" s="452"/>
      <c r="T6174" s="452"/>
      <c r="U6174" s="452"/>
      <c r="V6174" s="452"/>
      <c r="W6174" s="452"/>
    </row>
    <row r="6175" spans="19:23" ht="15" customHeight="1" x14ac:dyDescent="0.45">
      <c r="S6175" s="452"/>
      <c r="T6175" s="452"/>
      <c r="U6175" s="452"/>
      <c r="V6175" s="452"/>
      <c r="W6175" s="452"/>
    </row>
    <row r="6176" spans="19:23" ht="15" customHeight="1" x14ac:dyDescent="0.45">
      <c r="S6176" s="452"/>
      <c r="T6176" s="452"/>
      <c r="U6176" s="452"/>
      <c r="V6176" s="452"/>
      <c r="W6176" s="452"/>
    </row>
    <row r="6177" spans="19:23" ht="15" customHeight="1" x14ac:dyDescent="0.45">
      <c r="S6177" s="452"/>
      <c r="T6177" s="452"/>
      <c r="U6177" s="452"/>
      <c r="V6177" s="452"/>
      <c r="W6177" s="452"/>
    </row>
    <row r="6178" spans="19:23" ht="15" customHeight="1" x14ac:dyDescent="0.45">
      <c r="S6178" s="452"/>
      <c r="T6178" s="452"/>
      <c r="U6178" s="452"/>
      <c r="V6178" s="452"/>
      <c r="W6178" s="452"/>
    </row>
    <row r="6179" spans="19:23" ht="15" customHeight="1" x14ac:dyDescent="0.45">
      <c r="S6179" s="452"/>
      <c r="T6179" s="452"/>
      <c r="U6179" s="452"/>
      <c r="V6179" s="452"/>
      <c r="W6179" s="452"/>
    </row>
    <row r="6180" spans="19:23" ht="15" customHeight="1" x14ac:dyDescent="0.45">
      <c r="S6180" s="452"/>
      <c r="T6180" s="452"/>
      <c r="U6180" s="452"/>
      <c r="V6180" s="452"/>
      <c r="W6180" s="452"/>
    </row>
    <row r="6181" spans="19:23" ht="15" customHeight="1" x14ac:dyDescent="0.45">
      <c r="S6181" s="452"/>
      <c r="T6181" s="452"/>
      <c r="U6181" s="452"/>
      <c r="V6181" s="452"/>
      <c r="W6181" s="452"/>
    </row>
    <row r="6182" spans="19:23" ht="15" customHeight="1" x14ac:dyDescent="0.45">
      <c r="S6182" s="452"/>
      <c r="T6182" s="452"/>
      <c r="U6182" s="452"/>
      <c r="V6182" s="452"/>
      <c r="W6182" s="452"/>
    </row>
    <row r="6183" spans="19:23" ht="15" customHeight="1" x14ac:dyDescent="0.45">
      <c r="S6183" s="452"/>
      <c r="T6183" s="452"/>
      <c r="U6183" s="452"/>
      <c r="V6183" s="452"/>
      <c r="W6183" s="452"/>
    </row>
    <row r="6184" spans="19:23" ht="15" customHeight="1" x14ac:dyDescent="0.45">
      <c r="S6184" s="452"/>
      <c r="T6184" s="452"/>
      <c r="U6184" s="452"/>
      <c r="V6184" s="452"/>
      <c r="W6184" s="452"/>
    </row>
    <row r="6185" spans="19:23" ht="15" customHeight="1" x14ac:dyDescent="0.45">
      <c r="S6185" s="452"/>
      <c r="T6185" s="452"/>
      <c r="U6185" s="452"/>
      <c r="V6185" s="452"/>
      <c r="W6185" s="452"/>
    </row>
    <row r="6186" spans="19:23" ht="15" customHeight="1" x14ac:dyDescent="0.45">
      <c r="S6186" s="452"/>
      <c r="T6186" s="452"/>
      <c r="U6186" s="452"/>
      <c r="V6186" s="452"/>
      <c r="W6186" s="452"/>
    </row>
    <row r="6187" spans="19:23" ht="15" customHeight="1" x14ac:dyDescent="0.45">
      <c r="S6187" s="452"/>
      <c r="T6187" s="452"/>
      <c r="U6187" s="452"/>
      <c r="V6187" s="452"/>
      <c r="W6187" s="452"/>
    </row>
    <row r="6188" spans="19:23" ht="15" customHeight="1" x14ac:dyDescent="0.45">
      <c r="S6188" s="452"/>
      <c r="T6188" s="452"/>
      <c r="U6188" s="452"/>
      <c r="V6188" s="452"/>
      <c r="W6188" s="452"/>
    </row>
    <row r="6189" spans="19:23" ht="15" customHeight="1" x14ac:dyDescent="0.45">
      <c r="S6189" s="452"/>
      <c r="T6189" s="452"/>
      <c r="U6189" s="452"/>
      <c r="V6189" s="452"/>
      <c r="W6189" s="452"/>
    </row>
    <row r="6190" spans="19:23" ht="15" customHeight="1" x14ac:dyDescent="0.45">
      <c r="S6190" s="452"/>
      <c r="T6190" s="452"/>
      <c r="U6190" s="452"/>
      <c r="V6190" s="452"/>
      <c r="W6190" s="452"/>
    </row>
    <row r="6191" spans="19:23" ht="15" customHeight="1" x14ac:dyDescent="0.45">
      <c r="S6191" s="452"/>
      <c r="T6191" s="452"/>
      <c r="U6191" s="452"/>
      <c r="V6191" s="452"/>
      <c r="W6191" s="452"/>
    </row>
    <row r="6192" spans="19:23" ht="15" customHeight="1" x14ac:dyDescent="0.45">
      <c r="S6192" s="452"/>
      <c r="T6192" s="452"/>
      <c r="U6192" s="452"/>
      <c r="V6192" s="452"/>
      <c r="W6192" s="452"/>
    </row>
    <row r="6193" spans="19:23" ht="15" customHeight="1" x14ac:dyDescent="0.45">
      <c r="S6193" s="452"/>
      <c r="T6193" s="452"/>
      <c r="U6193" s="452"/>
      <c r="V6193" s="452"/>
      <c r="W6193" s="452"/>
    </row>
    <row r="6194" spans="19:23" ht="15" customHeight="1" x14ac:dyDescent="0.45">
      <c r="S6194" s="452"/>
      <c r="T6194" s="452"/>
      <c r="U6194" s="452"/>
      <c r="V6194" s="452"/>
      <c r="W6194" s="452"/>
    </row>
    <row r="6195" spans="19:23" ht="15" customHeight="1" x14ac:dyDescent="0.45">
      <c r="S6195" s="452"/>
      <c r="T6195" s="452"/>
      <c r="U6195" s="452"/>
      <c r="V6195" s="452"/>
      <c r="W6195" s="452"/>
    </row>
    <row r="6196" spans="19:23" ht="15" customHeight="1" x14ac:dyDescent="0.45">
      <c r="S6196" s="452"/>
      <c r="T6196" s="452"/>
      <c r="U6196" s="452"/>
      <c r="V6196" s="452"/>
      <c r="W6196" s="452"/>
    </row>
    <row r="6197" spans="19:23" ht="15" customHeight="1" x14ac:dyDescent="0.45">
      <c r="S6197" s="452"/>
      <c r="T6197" s="452"/>
      <c r="U6197" s="452"/>
      <c r="V6197" s="452"/>
      <c r="W6197" s="452"/>
    </row>
    <row r="6198" spans="19:23" ht="15" customHeight="1" x14ac:dyDescent="0.45">
      <c r="S6198" s="452"/>
      <c r="T6198" s="452"/>
      <c r="U6198" s="452"/>
      <c r="V6198" s="452"/>
      <c r="W6198" s="452"/>
    </row>
    <row r="6199" spans="19:23" ht="15" customHeight="1" x14ac:dyDescent="0.45">
      <c r="S6199" s="452"/>
      <c r="T6199" s="452"/>
      <c r="U6199" s="452"/>
      <c r="V6199" s="452"/>
      <c r="W6199" s="452"/>
    </row>
    <row r="6200" spans="19:23" ht="15" customHeight="1" x14ac:dyDescent="0.45">
      <c r="S6200" s="452"/>
      <c r="T6200" s="452"/>
      <c r="U6200" s="452"/>
      <c r="V6200" s="452"/>
      <c r="W6200" s="452"/>
    </row>
    <row r="6201" spans="19:23" ht="15" customHeight="1" x14ac:dyDescent="0.45">
      <c r="S6201" s="452"/>
      <c r="T6201" s="452"/>
      <c r="U6201" s="452"/>
      <c r="V6201" s="452"/>
      <c r="W6201" s="452"/>
    </row>
    <row r="6202" spans="19:23" ht="15" customHeight="1" x14ac:dyDescent="0.45">
      <c r="S6202" s="452"/>
      <c r="T6202" s="452"/>
      <c r="U6202" s="452"/>
      <c r="V6202" s="452"/>
      <c r="W6202" s="452"/>
    </row>
    <row r="6203" spans="19:23" ht="15" customHeight="1" x14ac:dyDescent="0.45">
      <c r="S6203" s="452"/>
      <c r="T6203" s="452"/>
      <c r="U6203" s="452"/>
      <c r="V6203" s="452"/>
      <c r="W6203" s="452"/>
    </row>
    <row r="6204" spans="19:23" ht="15" customHeight="1" x14ac:dyDescent="0.45">
      <c r="S6204" s="452"/>
      <c r="T6204" s="452"/>
      <c r="U6204" s="452"/>
      <c r="V6204" s="452"/>
      <c r="W6204" s="452"/>
    </row>
    <row r="6205" spans="19:23" ht="15" customHeight="1" x14ac:dyDescent="0.45">
      <c r="S6205" s="452"/>
      <c r="T6205" s="452"/>
      <c r="U6205" s="452"/>
      <c r="V6205" s="452"/>
      <c r="W6205" s="452"/>
    </row>
    <row r="6206" spans="19:23" ht="15" customHeight="1" x14ac:dyDescent="0.45">
      <c r="S6206" s="452"/>
      <c r="T6206" s="452"/>
      <c r="U6206" s="452"/>
      <c r="V6206" s="452"/>
      <c r="W6206" s="452"/>
    </row>
    <row r="6207" spans="19:23" ht="15" customHeight="1" x14ac:dyDescent="0.45">
      <c r="S6207" s="452"/>
      <c r="T6207" s="452"/>
      <c r="U6207" s="452"/>
      <c r="V6207" s="452"/>
      <c r="W6207" s="452"/>
    </row>
    <row r="6208" spans="19:23" ht="15" customHeight="1" x14ac:dyDescent="0.45">
      <c r="S6208" s="452"/>
      <c r="T6208" s="452"/>
      <c r="U6208" s="452"/>
      <c r="V6208" s="452"/>
      <c r="W6208" s="452"/>
    </row>
    <row r="6209" spans="19:23" ht="15" customHeight="1" x14ac:dyDescent="0.45">
      <c r="S6209" s="452"/>
      <c r="T6209" s="452"/>
      <c r="U6209" s="452"/>
      <c r="V6209" s="452"/>
      <c r="W6209" s="452"/>
    </row>
    <row r="6210" spans="19:23" ht="15" customHeight="1" x14ac:dyDescent="0.45">
      <c r="S6210" s="452"/>
      <c r="T6210" s="452"/>
      <c r="U6210" s="452"/>
      <c r="V6210" s="452"/>
      <c r="W6210" s="452"/>
    </row>
    <row r="6211" spans="19:23" ht="15" customHeight="1" x14ac:dyDescent="0.45">
      <c r="S6211" s="452"/>
      <c r="T6211" s="452"/>
      <c r="U6211" s="452"/>
      <c r="V6211" s="452"/>
      <c r="W6211" s="452"/>
    </row>
    <row r="6212" spans="19:23" ht="15" customHeight="1" x14ac:dyDescent="0.45">
      <c r="S6212" s="452"/>
      <c r="T6212" s="452"/>
      <c r="U6212" s="452"/>
      <c r="V6212" s="452"/>
      <c r="W6212" s="452"/>
    </row>
    <row r="6213" spans="19:23" ht="15" customHeight="1" x14ac:dyDescent="0.45">
      <c r="S6213" s="452"/>
      <c r="T6213" s="452"/>
      <c r="U6213" s="452"/>
      <c r="V6213" s="452"/>
      <c r="W6213" s="452"/>
    </row>
    <row r="6214" spans="19:23" ht="15" customHeight="1" x14ac:dyDescent="0.45">
      <c r="S6214" s="452"/>
      <c r="T6214" s="452"/>
      <c r="U6214" s="452"/>
      <c r="V6214" s="452"/>
      <c r="W6214" s="452"/>
    </row>
    <row r="6215" spans="19:23" ht="15" customHeight="1" x14ac:dyDescent="0.45">
      <c r="S6215" s="452"/>
      <c r="T6215" s="452"/>
      <c r="U6215" s="452"/>
      <c r="V6215" s="452"/>
      <c r="W6215" s="452"/>
    </row>
    <row r="6216" spans="19:23" ht="15" customHeight="1" x14ac:dyDescent="0.45">
      <c r="S6216" s="452"/>
      <c r="T6216" s="452"/>
      <c r="U6216" s="452"/>
      <c r="V6216" s="452"/>
      <c r="W6216" s="452"/>
    </row>
    <row r="6217" spans="19:23" ht="15" customHeight="1" x14ac:dyDescent="0.45">
      <c r="S6217" s="452"/>
      <c r="T6217" s="452"/>
      <c r="U6217" s="452"/>
      <c r="V6217" s="452"/>
      <c r="W6217" s="452"/>
    </row>
    <row r="6218" spans="19:23" ht="15" customHeight="1" x14ac:dyDescent="0.45">
      <c r="S6218" s="452"/>
      <c r="T6218" s="452"/>
      <c r="U6218" s="452"/>
      <c r="V6218" s="452"/>
      <c r="W6218" s="452"/>
    </row>
    <row r="6219" spans="19:23" ht="15" customHeight="1" x14ac:dyDescent="0.45">
      <c r="S6219" s="452"/>
      <c r="T6219" s="452"/>
      <c r="U6219" s="452"/>
      <c r="V6219" s="452"/>
      <c r="W6219" s="452"/>
    </row>
    <row r="6220" spans="19:23" ht="15" customHeight="1" x14ac:dyDescent="0.45">
      <c r="S6220" s="452"/>
      <c r="T6220" s="452"/>
      <c r="U6220" s="452"/>
      <c r="V6220" s="452"/>
      <c r="W6220" s="452"/>
    </row>
    <row r="6221" spans="19:23" ht="15" customHeight="1" x14ac:dyDescent="0.45">
      <c r="S6221" s="452"/>
      <c r="T6221" s="452"/>
      <c r="U6221" s="452"/>
      <c r="V6221" s="452"/>
      <c r="W6221" s="452"/>
    </row>
    <row r="6222" spans="19:23" ht="15" customHeight="1" x14ac:dyDescent="0.45">
      <c r="S6222" s="452"/>
      <c r="T6222" s="452"/>
      <c r="U6222" s="452"/>
      <c r="V6222" s="452"/>
      <c r="W6222" s="452"/>
    </row>
    <row r="6223" spans="19:23" ht="15" customHeight="1" x14ac:dyDescent="0.45">
      <c r="S6223" s="452"/>
      <c r="T6223" s="452"/>
      <c r="U6223" s="452"/>
      <c r="V6223" s="452"/>
      <c r="W6223" s="452"/>
    </row>
    <row r="6224" spans="19:23" ht="15" customHeight="1" x14ac:dyDescent="0.45">
      <c r="S6224" s="452"/>
      <c r="T6224" s="452"/>
      <c r="U6224" s="452"/>
      <c r="V6224" s="452"/>
      <c r="W6224" s="452"/>
    </row>
    <row r="6225" spans="19:23" ht="15" customHeight="1" x14ac:dyDescent="0.45">
      <c r="S6225" s="452"/>
      <c r="T6225" s="452"/>
      <c r="U6225" s="452"/>
      <c r="V6225" s="452"/>
      <c r="W6225" s="452"/>
    </row>
    <row r="6226" spans="19:23" ht="15" customHeight="1" x14ac:dyDescent="0.45">
      <c r="S6226" s="452"/>
      <c r="T6226" s="452"/>
      <c r="U6226" s="452"/>
      <c r="V6226" s="452"/>
      <c r="W6226" s="452"/>
    </row>
    <row r="6227" spans="19:23" ht="15" customHeight="1" x14ac:dyDescent="0.45">
      <c r="S6227" s="452"/>
      <c r="T6227" s="452"/>
      <c r="U6227" s="452"/>
      <c r="V6227" s="452"/>
      <c r="W6227" s="452"/>
    </row>
    <row r="6228" spans="19:23" ht="15" customHeight="1" x14ac:dyDescent="0.45">
      <c r="S6228" s="452"/>
      <c r="T6228" s="452"/>
      <c r="U6228" s="452"/>
      <c r="V6228" s="452"/>
      <c r="W6228" s="452"/>
    </row>
    <row r="6229" spans="19:23" ht="15" customHeight="1" x14ac:dyDescent="0.45">
      <c r="S6229" s="452"/>
      <c r="T6229" s="452"/>
      <c r="U6229" s="452"/>
      <c r="V6229" s="452"/>
      <c r="W6229" s="452"/>
    </row>
    <row r="6230" spans="19:23" ht="15" customHeight="1" x14ac:dyDescent="0.45">
      <c r="S6230" s="452"/>
      <c r="T6230" s="452"/>
      <c r="U6230" s="452"/>
      <c r="V6230" s="452"/>
      <c r="W6230" s="452"/>
    </row>
    <row r="6231" spans="19:23" ht="15" customHeight="1" x14ac:dyDescent="0.45">
      <c r="S6231" s="452"/>
      <c r="T6231" s="452"/>
      <c r="U6231" s="452"/>
      <c r="V6231" s="452"/>
      <c r="W6231" s="452"/>
    </row>
    <row r="6232" spans="19:23" ht="15" customHeight="1" x14ac:dyDescent="0.45">
      <c r="S6232" s="452"/>
      <c r="T6232" s="452"/>
      <c r="U6232" s="452"/>
      <c r="V6232" s="452"/>
      <c r="W6232" s="452"/>
    </row>
    <row r="6233" spans="19:23" ht="15" customHeight="1" x14ac:dyDescent="0.45">
      <c r="S6233" s="452"/>
      <c r="T6233" s="452"/>
      <c r="U6233" s="452"/>
      <c r="V6233" s="452"/>
      <c r="W6233" s="452"/>
    </row>
    <row r="6234" spans="19:23" ht="15" customHeight="1" x14ac:dyDescent="0.45">
      <c r="S6234" s="452"/>
      <c r="T6234" s="452"/>
      <c r="U6234" s="452"/>
      <c r="V6234" s="452"/>
      <c r="W6234" s="452"/>
    </row>
    <row r="6235" spans="19:23" ht="15" customHeight="1" x14ac:dyDescent="0.45">
      <c r="S6235" s="452"/>
      <c r="T6235" s="452"/>
      <c r="U6235" s="452"/>
      <c r="V6235" s="452"/>
      <c r="W6235" s="452"/>
    </row>
    <row r="6236" spans="19:23" ht="15" customHeight="1" x14ac:dyDescent="0.45">
      <c r="S6236" s="452"/>
      <c r="T6236" s="452"/>
      <c r="U6236" s="452"/>
      <c r="V6236" s="452"/>
      <c r="W6236" s="452"/>
    </row>
    <row r="6237" spans="19:23" ht="15" customHeight="1" x14ac:dyDescent="0.45">
      <c r="S6237" s="452"/>
      <c r="T6237" s="452"/>
      <c r="U6237" s="452"/>
      <c r="V6237" s="452"/>
      <c r="W6237" s="452"/>
    </row>
    <row r="6238" spans="19:23" ht="15" customHeight="1" x14ac:dyDescent="0.45">
      <c r="S6238" s="452"/>
      <c r="T6238" s="452"/>
      <c r="U6238" s="452"/>
      <c r="V6238" s="452"/>
      <c r="W6238" s="452"/>
    </row>
    <row r="6239" spans="19:23" ht="15" customHeight="1" x14ac:dyDescent="0.45">
      <c r="S6239" s="452"/>
      <c r="T6239" s="452"/>
      <c r="U6239" s="452"/>
      <c r="V6239" s="452"/>
      <c r="W6239" s="452"/>
    </row>
    <row r="6240" spans="19:23" ht="15" customHeight="1" x14ac:dyDescent="0.45">
      <c r="S6240" s="452"/>
      <c r="T6240" s="452"/>
      <c r="U6240" s="452"/>
      <c r="V6240" s="452"/>
      <c r="W6240" s="452"/>
    </row>
    <row r="6241" spans="19:23" ht="15" customHeight="1" x14ac:dyDescent="0.45">
      <c r="S6241" s="452"/>
      <c r="T6241" s="452"/>
      <c r="U6241" s="452"/>
      <c r="V6241" s="452"/>
      <c r="W6241" s="452"/>
    </row>
    <row r="6242" spans="19:23" ht="15" customHeight="1" x14ac:dyDescent="0.45">
      <c r="S6242" s="452"/>
      <c r="T6242" s="452"/>
      <c r="U6242" s="452"/>
      <c r="V6242" s="452"/>
      <c r="W6242" s="452"/>
    </row>
    <row r="6243" spans="19:23" ht="15" customHeight="1" x14ac:dyDescent="0.45">
      <c r="S6243" s="452"/>
      <c r="T6243" s="452"/>
      <c r="U6243" s="452"/>
      <c r="V6243" s="452"/>
      <c r="W6243" s="452"/>
    </row>
    <row r="6244" spans="19:23" ht="15" customHeight="1" x14ac:dyDescent="0.45">
      <c r="S6244" s="452"/>
      <c r="T6244" s="452"/>
      <c r="U6244" s="452"/>
      <c r="V6244" s="452"/>
      <c r="W6244" s="452"/>
    </row>
    <row r="6245" spans="19:23" ht="15" customHeight="1" x14ac:dyDescent="0.45">
      <c r="S6245" s="452"/>
      <c r="T6245" s="452"/>
      <c r="U6245" s="452"/>
      <c r="V6245" s="452"/>
      <c r="W6245" s="452"/>
    </row>
    <row r="6246" spans="19:23" ht="15" customHeight="1" x14ac:dyDescent="0.45">
      <c r="S6246" s="452"/>
      <c r="T6246" s="452"/>
      <c r="U6246" s="452"/>
      <c r="V6246" s="452"/>
      <c r="W6246" s="452"/>
    </row>
    <row r="6247" spans="19:23" ht="15" customHeight="1" x14ac:dyDescent="0.45">
      <c r="S6247" s="452"/>
      <c r="T6247" s="452"/>
      <c r="U6247" s="452"/>
      <c r="V6247" s="452"/>
      <c r="W6247" s="452"/>
    </row>
    <row r="6248" spans="19:23" ht="15" customHeight="1" x14ac:dyDescent="0.45">
      <c r="S6248" s="452"/>
      <c r="T6248" s="452"/>
      <c r="U6248" s="452"/>
      <c r="V6248" s="452"/>
      <c r="W6248" s="452"/>
    </row>
    <row r="6249" spans="19:23" ht="15" customHeight="1" x14ac:dyDescent="0.45">
      <c r="S6249" s="452"/>
      <c r="T6249" s="452"/>
      <c r="U6249" s="452"/>
      <c r="V6249" s="452"/>
      <c r="W6249" s="452"/>
    </row>
    <row r="6250" spans="19:23" ht="15" customHeight="1" x14ac:dyDescent="0.45">
      <c r="S6250" s="452"/>
      <c r="T6250" s="452"/>
      <c r="U6250" s="452"/>
      <c r="V6250" s="452"/>
      <c r="W6250" s="452"/>
    </row>
    <row r="6251" spans="19:23" ht="15" customHeight="1" x14ac:dyDescent="0.45">
      <c r="S6251" s="452"/>
      <c r="T6251" s="452"/>
      <c r="U6251" s="452"/>
      <c r="V6251" s="452"/>
      <c r="W6251" s="452"/>
    </row>
    <row r="6252" spans="19:23" ht="15" customHeight="1" x14ac:dyDescent="0.45">
      <c r="S6252" s="452"/>
      <c r="T6252" s="452"/>
      <c r="U6252" s="452"/>
      <c r="V6252" s="452"/>
      <c r="W6252" s="452"/>
    </row>
    <row r="6253" spans="19:23" ht="15" customHeight="1" x14ac:dyDescent="0.45">
      <c r="S6253" s="452"/>
      <c r="T6253" s="452"/>
      <c r="U6253" s="452"/>
      <c r="V6253" s="452"/>
      <c r="W6253" s="452"/>
    </row>
    <row r="6254" spans="19:23" ht="15" customHeight="1" x14ac:dyDescent="0.45">
      <c r="S6254" s="452"/>
      <c r="T6254" s="452"/>
      <c r="U6254" s="452"/>
      <c r="V6254" s="452"/>
      <c r="W6254" s="452"/>
    </row>
    <row r="6255" spans="19:23" ht="15" customHeight="1" x14ac:dyDescent="0.45">
      <c r="S6255" s="452"/>
      <c r="T6255" s="452"/>
      <c r="U6255" s="452"/>
      <c r="V6255" s="452"/>
      <c r="W6255" s="452"/>
    </row>
    <row r="6256" spans="19:23" ht="15" customHeight="1" x14ac:dyDescent="0.45">
      <c r="S6256" s="452"/>
      <c r="T6256" s="452"/>
      <c r="U6256" s="452"/>
      <c r="V6256" s="452"/>
      <c r="W6256" s="452"/>
    </row>
    <row r="6257" spans="19:23" ht="15" customHeight="1" x14ac:dyDescent="0.45">
      <c r="S6257" s="452"/>
      <c r="T6257" s="452"/>
      <c r="U6257" s="452"/>
      <c r="V6257" s="452"/>
      <c r="W6257" s="452"/>
    </row>
    <row r="6258" spans="19:23" ht="15" customHeight="1" x14ac:dyDescent="0.45">
      <c r="S6258" s="452"/>
      <c r="T6258" s="452"/>
      <c r="U6258" s="452"/>
      <c r="V6258" s="452"/>
      <c r="W6258" s="452"/>
    </row>
    <row r="6259" spans="19:23" ht="15" customHeight="1" x14ac:dyDescent="0.45">
      <c r="S6259" s="452"/>
      <c r="T6259" s="452"/>
      <c r="U6259" s="452"/>
      <c r="V6259" s="452"/>
      <c r="W6259" s="452"/>
    </row>
    <row r="6260" spans="19:23" ht="15" customHeight="1" x14ac:dyDescent="0.45">
      <c r="S6260" s="452"/>
      <c r="T6260" s="452"/>
      <c r="U6260" s="452"/>
      <c r="V6260" s="452"/>
      <c r="W6260" s="452"/>
    </row>
    <row r="6261" spans="19:23" ht="15" customHeight="1" x14ac:dyDescent="0.45">
      <c r="S6261" s="452"/>
      <c r="T6261" s="452"/>
      <c r="U6261" s="452"/>
      <c r="V6261" s="452"/>
      <c r="W6261" s="452"/>
    </row>
    <row r="6262" spans="19:23" ht="15" customHeight="1" x14ac:dyDescent="0.45">
      <c r="S6262" s="452"/>
      <c r="T6262" s="452"/>
      <c r="U6262" s="452"/>
      <c r="V6262" s="452"/>
      <c r="W6262" s="452"/>
    </row>
    <row r="6263" spans="19:23" ht="15" customHeight="1" x14ac:dyDescent="0.45">
      <c r="S6263" s="452"/>
      <c r="T6263" s="452"/>
      <c r="U6263" s="452"/>
      <c r="V6263" s="452"/>
      <c r="W6263" s="452"/>
    </row>
    <row r="6264" spans="19:23" ht="15" customHeight="1" x14ac:dyDescent="0.45">
      <c r="S6264" s="452"/>
      <c r="T6264" s="452"/>
      <c r="U6264" s="452"/>
      <c r="V6264" s="452"/>
      <c r="W6264" s="452"/>
    </row>
    <row r="6265" spans="19:23" ht="15" customHeight="1" x14ac:dyDescent="0.45">
      <c r="S6265" s="452"/>
      <c r="T6265" s="452"/>
      <c r="U6265" s="452"/>
      <c r="V6265" s="452"/>
      <c r="W6265" s="452"/>
    </row>
    <row r="6266" spans="19:23" ht="15" customHeight="1" x14ac:dyDescent="0.45">
      <c r="S6266" s="452"/>
      <c r="T6266" s="452"/>
      <c r="U6266" s="452"/>
      <c r="V6266" s="452"/>
      <c r="W6266" s="452"/>
    </row>
    <row r="6267" spans="19:23" ht="15" customHeight="1" x14ac:dyDescent="0.45">
      <c r="S6267" s="452"/>
      <c r="T6267" s="452"/>
      <c r="U6267" s="452"/>
      <c r="V6267" s="452"/>
      <c r="W6267" s="452"/>
    </row>
    <row r="6268" spans="19:23" ht="15" customHeight="1" x14ac:dyDescent="0.45">
      <c r="S6268" s="452"/>
      <c r="T6268" s="452"/>
      <c r="U6268" s="452"/>
      <c r="V6268" s="452"/>
      <c r="W6268" s="452"/>
    </row>
    <row r="6269" spans="19:23" ht="15" customHeight="1" x14ac:dyDescent="0.45">
      <c r="S6269" s="452"/>
      <c r="T6269" s="452"/>
      <c r="U6269" s="452"/>
      <c r="V6269" s="452"/>
      <c r="W6269" s="452"/>
    </row>
    <row r="6270" spans="19:23" ht="15" customHeight="1" x14ac:dyDescent="0.45">
      <c r="S6270" s="452"/>
      <c r="T6270" s="452"/>
      <c r="U6270" s="452"/>
      <c r="V6270" s="452"/>
      <c r="W6270" s="452"/>
    </row>
    <row r="6271" spans="19:23" ht="15" customHeight="1" x14ac:dyDescent="0.45">
      <c r="S6271" s="452"/>
      <c r="T6271" s="452"/>
      <c r="U6271" s="452"/>
      <c r="V6271" s="452"/>
      <c r="W6271" s="452"/>
    </row>
    <row r="6272" spans="19:23" ht="15" customHeight="1" x14ac:dyDescent="0.45">
      <c r="S6272" s="452"/>
      <c r="T6272" s="452"/>
      <c r="U6272" s="452"/>
      <c r="V6272" s="452"/>
      <c r="W6272" s="452"/>
    </row>
    <row r="6273" spans="19:23" ht="15" customHeight="1" x14ac:dyDescent="0.45">
      <c r="S6273" s="452"/>
      <c r="T6273" s="452"/>
      <c r="U6273" s="452"/>
      <c r="V6273" s="452"/>
      <c r="W6273" s="452"/>
    </row>
    <row r="6274" spans="19:23" ht="15" customHeight="1" x14ac:dyDescent="0.45">
      <c r="S6274" s="452"/>
      <c r="T6274" s="452"/>
      <c r="U6274" s="452"/>
      <c r="V6274" s="452"/>
      <c r="W6274" s="452"/>
    </row>
    <row r="6275" spans="19:23" ht="15" customHeight="1" x14ac:dyDescent="0.45">
      <c r="S6275" s="452"/>
      <c r="T6275" s="452"/>
      <c r="U6275" s="452"/>
      <c r="V6275" s="452"/>
      <c r="W6275" s="452"/>
    </row>
    <row r="6276" spans="19:23" ht="15" customHeight="1" x14ac:dyDescent="0.45">
      <c r="S6276" s="452"/>
      <c r="T6276" s="452"/>
      <c r="U6276" s="452"/>
      <c r="V6276" s="452"/>
      <c r="W6276" s="452"/>
    </row>
    <row r="6277" spans="19:23" ht="15" customHeight="1" x14ac:dyDescent="0.45">
      <c r="S6277" s="452"/>
      <c r="T6277" s="452"/>
      <c r="U6277" s="452"/>
      <c r="V6277" s="452"/>
      <c r="W6277" s="452"/>
    </row>
    <row r="6278" spans="19:23" ht="15" customHeight="1" x14ac:dyDescent="0.45">
      <c r="S6278" s="452"/>
      <c r="T6278" s="452"/>
      <c r="U6278" s="452"/>
      <c r="V6278" s="452"/>
      <c r="W6278" s="452"/>
    </row>
    <row r="6279" spans="19:23" ht="15" customHeight="1" x14ac:dyDescent="0.45">
      <c r="S6279" s="452"/>
      <c r="T6279" s="452"/>
      <c r="U6279" s="452"/>
      <c r="V6279" s="452"/>
      <c r="W6279" s="452"/>
    </row>
    <row r="6280" spans="19:23" ht="15" customHeight="1" x14ac:dyDescent="0.45">
      <c r="S6280" s="452"/>
      <c r="T6280" s="452"/>
      <c r="U6280" s="452"/>
      <c r="V6280" s="452"/>
      <c r="W6280" s="452"/>
    </row>
    <row r="6281" spans="19:23" ht="15" customHeight="1" x14ac:dyDescent="0.45">
      <c r="S6281" s="452"/>
      <c r="T6281" s="452"/>
      <c r="U6281" s="452"/>
      <c r="V6281" s="452"/>
      <c r="W6281" s="452"/>
    </row>
    <row r="6282" spans="19:23" ht="15" customHeight="1" x14ac:dyDescent="0.45">
      <c r="S6282" s="452"/>
      <c r="T6282" s="452"/>
      <c r="U6282" s="452"/>
      <c r="V6282" s="452"/>
      <c r="W6282" s="452"/>
    </row>
    <row r="6283" spans="19:23" ht="15" customHeight="1" x14ac:dyDescent="0.45">
      <c r="S6283" s="452"/>
      <c r="T6283" s="452"/>
      <c r="U6283" s="452"/>
      <c r="V6283" s="452"/>
      <c r="W6283" s="452"/>
    </row>
    <row r="6284" spans="19:23" ht="15" customHeight="1" x14ac:dyDescent="0.45">
      <c r="S6284" s="452"/>
      <c r="T6284" s="452"/>
      <c r="U6284" s="452"/>
      <c r="V6284" s="452"/>
      <c r="W6284" s="452"/>
    </row>
    <row r="6285" spans="19:23" ht="15" customHeight="1" x14ac:dyDescent="0.45">
      <c r="S6285" s="452"/>
      <c r="T6285" s="452"/>
      <c r="U6285" s="452"/>
      <c r="V6285" s="452"/>
      <c r="W6285" s="452"/>
    </row>
    <row r="6286" spans="19:23" ht="15" customHeight="1" x14ac:dyDescent="0.45">
      <c r="S6286" s="452"/>
      <c r="T6286" s="452"/>
      <c r="U6286" s="452"/>
      <c r="V6286" s="452"/>
      <c r="W6286" s="452"/>
    </row>
    <row r="6287" spans="19:23" ht="15" customHeight="1" x14ac:dyDescent="0.45">
      <c r="S6287" s="452"/>
      <c r="T6287" s="452"/>
      <c r="U6287" s="452"/>
      <c r="V6287" s="452"/>
      <c r="W6287" s="452"/>
    </row>
    <row r="6288" spans="19:23" ht="15" customHeight="1" x14ac:dyDescent="0.45">
      <c r="S6288" s="452"/>
      <c r="T6288" s="452"/>
      <c r="U6288" s="452"/>
      <c r="V6288" s="452"/>
      <c r="W6288" s="452"/>
    </row>
    <row r="6289" spans="19:23" ht="15" customHeight="1" x14ac:dyDescent="0.45">
      <c r="S6289" s="452"/>
      <c r="T6289" s="452"/>
      <c r="U6289" s="452"/>
      <c r="V6289" s="452"/>
      <c r="W6289" s="452"/>
    </row>
    <row r="6290" spans="19:23" ht="15" customHeight="1" x14ac:dyDescent="0.45">
      <c r="S6290" s="452"/>
      <c r="T6290" s="452"/>
      <c r="U6290" s="452"/>
      <c r="V6290" s="452"/>
      <c r="W6290" s="452"/>
    </row>
    <row r="6291" spans="19:23" ht="15" customHeight="1" x14ac:dyDescent="0.45">
      <c r="S6291" s="452"/>
      <c r="T6291" s="452"/>
      <c r="U6291" s="452"/>
      <c r="V6291" s="452"/>
      <c r="W6291" s="452"/>
    </row>
    <row r="6292" spans="19:23" ht="15" customHeight="1" x14ac:dyDescent="0.45">
      <c r="S6292" s="452"/>
      <c r="T6292" s="452"/>
      <c r="U6292" s="452"/>
      <c r="V6292" s="452"/>
      <c r="W6292" s="452"/>
    </row>
    <row r="6293" spans="19:23" ht="15" customHeight="1" x14ac:dyDescent="0.45">
      <c r="S6293" s="452"/>
      <c r="T6293" s="452"/>
      <c r="U6293" s="452"/>
      <c r="V6293" s="452"/>
      <c r="W6293" s="452"/>
    </row>
    <row r="6294" spans="19:23" ht="15" customHeight="1" x14ac:dyDescent="0.45">
      <c r="S6294" s="452"/>
      <c r="T6294" s="452"/>
      <c r="U6294" s="452"/>
      <c r="V6294" s="452"/>
      <c r="W6294" s="452"/>
    </row>
    <row r="6295" spans="19:23" ht="15" customHeight="1" x14ac:dyDescent="0.45">
      <c r="S6295" s="452"/>
      <c r="T6295" s="452"/>
      <c r="U6295" s="452"/>
      <c r="V6295" s="452"/>
      <c r="W6295" s="452"/>
    </row>
    <row r="6296" spans="19:23" ht="15" customHeight="1" x14ac:dyDescent="0.45">
      <c r="S6296" s="452"/>
      <c r="T6296" s="452"/>
      <c r="U6296" s="452"/>
      <c r="V6296" s="452"/>
      <c r="W6296" s="452"/>
    </row>
    <row r="6297" spans="19:23" ht="15" customHeight="1" x14ac:dyDescent="0.45">
      <c r="S6297" s="452"/>
      <c r="T6297" s="452"/>
      <c r="U6297" s="452"/>
      <c r="V6297" s="452"/>
      <c r="W6297" s="452"/>
    </row>
    <row r="6298" spans="19:23" ht="15" customHeight="1" x14ac:dyDescent="0.45">
      <c r="S6298" s="452"/>
      <c r="T6298" s="452"/>
      <c r="U6298" s="452"/>
      <c r="V6298" s="452"/>
      <c r="W6298" s="452"/>
    </row>
  </sheetData>
  <sheetProtection formatCells="0" formatColumns="0" formatRows="0" sort="0" autoFilter="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theme="8" tint="-0.249977111117893"/>
    <pageSetUpPr autoPageBreaks="0"/>
  </sheetPr>
  <dimension ref="A1:V242"/>
  <sheetViews>
    <sheetView showZeros="0" zoomScaleNormal="100" zoomScaleSheetLayoutView="100" workbookViewId="0">
      <pane ySplit="1" topLeftCell="A32" activePane="bottomLeft" state="frozen"/>
      <selection activeCell="T1" sqref="T1:W1048576"/>
      <selection pane="bottomLeft" activeCell="K245" sqref="K245"/>
    </sheetView>
  </sheetViews>
  <sheetFormatPr defaultColWidth="8.86328125" defaultRowHeight="11.65" x14ac:dyDescent="0.35"/>
  <cols>
    <col min="1" max="1" width="8.86328125" style="64" hidden="1" customWidth="1"/>
    <col min="2" max="2" width="3.86328125" style="64" customWidth="1"/>
    <col min="3" max="3" width="3.86328125" style="66" customWidth="1"/>
    <col min="4" max="4" width="20.86328125" style="64" customWidth="1"/>
    <col min="5" max="5" width="7.86328125" style="64" customWidth="1"/>
    <col min="6" max="6" width="7.1328125" style="64" customWidth="1"/>
    <col min="7" max="7" width="3.86328125" style="108" customWidth="1"/>
    <col min="8" max="8" width="1.86328125" style="64" customWidth="1"/>
    <col min="9" max="10" width="3.86328125" style="64" customWidth="1"/>
    <col min="11" max="11" width="20.86328125" style="64" customWidth="1"/>
    <col min="12" max="12" width="7.86328125" style="64" customWidth="1"/>
    <col min="13" max="13" width="7.1328125" style="66" customWidth="1"/>
    <col min="14" max="14" width="3.86328125" style="361" customWidth="1"/>
    <col min="15" max="15" width="8.86328125" style="64"/>
    <col min="16" max="17" width="8.86328125" style="64" customWidth="1"/>
    <col min="18" max="18" width="8.86328125" style="66" customWidth="1"/>
    <col min="19" max="19" width="8.86328125" style="64" customWidth="1"/>
    <col min="20" max="20" width="0" style="64" hidden="1" customWidth="1"/>
    <col min="21" max="16384" width="8.86328125" style="64"/>
  </cols>
  <sheetData>
    <row r="1" spans="1:19" ht="45" customHeight="1" x14ac:dyDescent="0.35">
      <c r="A1" s="201" t="str">
        <f>"UK ATHLETICS :: YOUTH DEVELOPMENT LEAGUE 2017 "</f>
        <v xml:space="preserve">UK ATHLETICS :: YOUTH DEVELOPMENT LEAGUE 2017 </v>
      </c>
      <c r="B1" s="223" t="str">
        <f>Dashboard!E1</f>
        <v>LOWER NORTH East 1 @ Doncaster</v>
      </c>
      <c r="D1" s="288"/>
      <c r="F1" s="67"/>
      <c r="G1" s="198"/>
      <c r="K1" s="202"/>
      <c r="L1" s="497">
        <f>Dashboard!E2</f>
        <v>43582</v>
      </c>
      <c r="M1" s="497"/>
      <c r="P1" s="82" t="s">
        <v>253</v>
      </c>
      <c r="Q1" s="70"/>
      <c r="R1" s="82">
        <f ca="1">SUM(R2:R241)</f>
        <v>22</v>
      </c>
      <c r="S1" s="82">
        <f ca="1">SUM(S2:S241)</f>
        <v>0</v>
      </c>
    </row>
    <row r="2" spans="1:19" x14ac:dyDescent="0.35">
      <c r="A2" s="111" t="s">
        <v>231</v>
      </c>
      <c r="B2" s="112" t="str">
        <f>IFERROR(VLOOKUP(A2,timetables,2,FALSE)&amp;" "&amp;VLOOKUP(A2,timetables,3,FALSE)&amp;" A","")</f>
        <v>Hammer U15 Boys A</v>
      </c>
      <c r="C2" s="112"/>
      <c r="F2" s="121"/>
      <c r="G2" s="198" t="str">
        <f ca="1">IFERROR(IF(OR(F4=0,F4="",F4="X"),"",IF(F4&gt;A11,"REC",IF(F4=A11,"=Rec",""))),"")</f>
        <v/>
      </c>
      <c r="I2" s="114" t="str">
        <f>IFERROR(VLOOKUP(A2,timetables,2,FALSE)&amp;" "&amp;VLOOKUP(A2,timetables,3,FALSE)&amp;" B","")</f>
        <v>Hammer U15 Boys B</v>
      </c>
      <c r="J2" s="115"/>
      <c r="P2" s="66" t="s">
        <v>53</v>
      </c>
      <c r="Q2" s="66" t="s">
        <v>54</v>
      </c>
    </row>
    <row r="3" spans="1:19" x14ac:dyDescent="0.35">
      <c r="A3" s="82"/>
      <c r="B3" s="45" t="s">
        <v>230</v>
      </c>
      <c r="C3" s="45" t="s">
        <v>159</v>
      </c>
      <c r="D3" s="47" t="s">
        <v>227</v>
      </c>
      <c r="E3" s="47" t="s">
        <v>228</v>
      </c>
      <c r="F3" s="45" t="s">
        <v>229</v>
      </c>
      <c r="G3" s="126" t="s">
        <v>55</v>
      </c>
      <c r="H3" s="47"/>
      <c r="I3" s="45" t="s">
        <v>230</v>
      </c>
      <c r="J3" s="45" t="s">
        <v>159</v>
      </c>
      <c r="K3" s="47" t="s">
        <v>227</v>
      </c>
      <c r="L3" s="47" t="s">
        <v>228</v>
      </c>
      <c r="M3" s="45" t="s">
        <v>229</v>
      </c>
      <c r="N3" s="126" t="s">
        <v>55</v>
      </c>
    </row>
    <row r="4" spans="1:19" x14ac:dyDescent="0.35">
      <c r="A4" s="66">
        <f>IFERROR(VLOOKUP(A2,Distance!A:B,2,FALSE),"")</f>
        <v>27</v>
      </c>
      <c r="B4" s="117">
        <f ca="1">IFERROR(INDIRECT(CONCATENATE("Distance!$d",A4)),"")</f>
        <v>1</v>
      </c>
      <c r="C4" s="117">
        <f ca="1">IFERROR(INDIRECT(CONCATENATE("Distance!$E",$A4)),"")</f>
        <v>33</v>
      </c>
      <c r="D4" s="183" t="str">
        <f ca="1">IFERROR(INDIRECT(CONCATENATE("Distance!$F",$A4)),"")</f>
        <v>RUTTER Aaron</v>
      </c>
      <c r="E4" s="64" t="str">
        <f t="shared" ref="E4:E11" ca="1" si="0">IFERROR(VLOOKUP(C4,teamlookup,5,FALSE),"")</f>
        <v>York</v>
      </c>
      <c r="F4" s="123">
        <f ca="1">IFERROR(INDIRECT(CONCATENATE("Distance!$H",A4)),"")</f>
        <v>29.94</v>
      </c>
      <c r="G4" s="108">
        <f ca="1">IFERROR(IF(F4&lt;A6,"",VLOOKUP(VLOOKUP(F4,A6:B9,2,TRUE),Points!$H$1:$I$5,2,FALSE)),"")</f>
        <v>4</v>
      </c>
      <c r="H4" s="67"/>
      <c r="I4" s="117">
        <f ca="1">IFERROR(INDIRECT(CONCATENATE("Distance!$j",A4)),"")</f>
        <v>1</v>
      </c>
      <c r="J4" s="117">
        <f ca="1">IFERROR(INDIRECT(CONCATENATE("Distance!$k",A4)),"")</f>
        <v>3</v>
      </c>
      <c r="K4" s="183" t="str">
        <f ca="1">IFERROR(INDIRECT(CONCATENATE("Distance!$L",$A4)),"")</f>
        <v>MEIGH William</v>
      </c>
      <c r="L4" s="64" t="str">
        <f t="shared" ref="L4:L11" ca="1" si="1">IFERROR(VLOOKUP(J4,teamlookup,5,FALSE),"")</f>
        <v>York</v>
      </c>
      <c r="M4" s="123">
        <f ca="1">IFERROR(INDIRECT(CONCATENATE("Distance!$T",A4)),"")</f>
        <v>14.53</v>
      </c>
      <c r="N4" s="108" t="str">
        <f ca="1">IFERROR(IF(M4&lt;A6,"",VLOOKUP(VLOOKUP(M4,A6:B9,2,TRUE),Points!$H$1:$I$5,2,FALSE)),"")</f>
        <v/>
      </c>
      <c r="P4" s="66">
        <f ca="1">IFERROR(IF(OR(C4=0,C4="",F4=0,F4="",F4="X"),0,VLOOKUP(B4,INDIRECT(MatchDay!$W$2),2,FALSE)),"")</f>
        <v>8</v>
      </c>
      <c r="Q4" s="66">
        <f ca="1">IFERROR(IF(OR(J4=0,J4="",M4=0,M4="",M4="X"),0,VLOOKUP(I4,INDIRECT(MatchDay!$W$2),3,FALSE)),"")</f>
        <v>6</v>
      </c>
      <c r="R4" s="219">
        <f ca="1">COUNTIF(C4,"&gt;0")</f>
        <v>1</v>
      </c>
      <c r="S4" s="66">
        <f ca="1">IFERROR(IF(C4&gt;88,1,0),0)</f>
        <v>0</v>
      </c>
    </row>
    <row r="5" spans="1:19" x14ac:dyDescent="0.35">
      <c r="A5" s="116" t="s">
        <v>55</v>
      </c>
      <c r="B5" s="117">
        <f ca="1">IFERROR(INDIRECT(CONCATENATE("Distance!$d",A4+1)),"")</f>
        <v>2</v>
      </c>
      <c r="C5" s="117">
        <f ca="1">IFERROR(INDIRECT(CONCATENATE("Distance!$E",$A4+1)),"")</f>
        <v>1</v>
      </c>
      <c r="D5" s="183" t="str">
        <f ca="1">IFERROR(INDIRECT(CONCATENATE("Distance!$F",$A4+1)),"")</f>
        <v>PEERS-WAIN Jacob</v>
      </c>
      <c r="E5" s="64" t="str">
        <f t="shared" ca="1" si="0"/>
        <v>C'field</v>
      </c>
      <c r="F5" s="123">
        <f ca="1">IFERROR(INDIRECT(CONCATENATE("Distance!$H",A4+1)),"")</f>
        <v>11.92</v>
      </c>
      <c r="G5" s="108" t="str">
        <f ca="1">IFERROR(IF(F5&lt;A6,"",VLOOKUP(VLOOKUP(F5,A6:B9,2,TRUE),Points!$H$1:$I$5,2,FALSE)),"")</f>
        <v/>
      </c>
      <c r="H5" s="67"/>
      <c r="I5" s="117">
        <f ca="1">IFERROR(INDIRECT(CONCATENATE("Distance!$j",A4+1)),"")</f>
        <v>2</v>
      </c>
      <c r="J5" s="117">
        <f ca="1">IFERROR(INDIRECT(CONCATENATE("Distance!$k",A4+1)),"")</f>
        <v>11</v>
      </c>
      <c r="K5" s="183" t="str">
        <f ca="1">IFERROR(INDIRECT(CONCATENATE("Distance!$L",$A4+1)),"")</f>
        <v>BETTNEY Thomas</v>
      </c>
      <c r="L5" s="64" t="str">
        <f t="shared" ca="1" si="1"/>
        <v>C'field</v>
      </c>
      <c r="M5" s="123">
        <f ca="1">IFERROR(INDIRECT(CONCATENATE("Distance!$T",A4+1)),"")</f>
        <v>8.83</v>
      </c>
      <c r="N5" s="108" t="str">
        <f ca="1">IFERROR(IF(M5&lt;A6,"",VLOOKUP(VLOOKUP(M5,A6:B9,2,TRUE),Points!$H$1:$I$5,2,FALSE)),"")</f>
        <v/>
      </c>
      <c r="P5" s="66">
        <f ca="1">IFERROR(IF(OR(C5=0,C5="",F5=0,F5="",F5="X"),0,VLOOKUP(B5,INDIRECT(MatchDay!$W$2),2,FALSE)),"")</f>
        <v>6</v>
      </c>
      <c r="Q5" s="66">
        <f ca="1">IFERROR(IF(OR(J5=0,J5="",M5=0,M5="",M5="X"),0,VLOOKUP(I5,INDIRECT(MatchDay!$W$2),3,FALSE)),"")</f>
        <v>4</v>
      </c>
    </row>
    <row r="6" spans="1:19" x14ac:dyDescent="0.35">
      <c r="A6" s="118">
        <f>IFERROR(VLOOKUP(A2,standards,6,FALSE),"-")</f>
        <v>27.15</v>
      </c>
      <c r="B6" s="117">
        <f ca="1">IFERROR(INDIRECT(CONCATENATE("Distance!$d",A4+2)),"")</f>
        <v>3</v>
      </c>
      <c r="C6" s="117">
        <f ca="1">IFERROR(INDIRECT(CONCATENATE("Distance!$E",$A4+2)),"")</f>
        <v>4</v>
      </c>
      <c r="D6" s="183" t="str">
        <f ca="1">IFERROR(INDIRECT(CONCATENATE("Distance!$F",$A4+2)),"")</f>
        <v>BELL Callum</v>
      </c>
      <c r="E6" s="64" t="str">
        <f t="shared" ca="1" si="0"/>
        <v>M'bro</v>
      </c>
      <c r="F6" s="123">
        <f ca="1">IFERROR(INDIRECT(CONCATENATE("Distance!$H",A4+2)),"")</f>
        <v>11.39</v>
      </c>
      <c r="G6" s="108" t="str">
        <f ca="1">IFERROR(IF(F6&lt;A6,"",VLOOKUP(VLOOKUP(F6,A6:B9,2,TRUE),Points!$H$1:$I$5,2,FALSE)),"")</f>
        <v/>
      </c>
      <c r="H6" s="67"/>
      <c r="I6" s="117">
        <f ca="1">IFERROR(INDIRECT(CONCATENATE("Distance!$j",A4+2)),"")</f>
        <v>3</v>
      </c>
      <c r="J6" s="117" t="str">
        <f ca="1">IFERROR(INDIRECT(CONCATENATE("Distance!$k",A4+2)),"")</f>
        <v/>
      </c>
      <c r="K6" s="183" t="str">
        <f ca="1">IFERROR(INDIRECT(CONCATENATE("Distance!$L",$A4+2)),"")</f>
        <v/>
      </c>
      <c r="L6" s="64" t="str">
        <f t="shared" ca="1" si="1"/>
        <v/>
      </c>
      <c r="M6" s="123" t="str">
        <f ca="1">IFERROR(INDIRECT(CONCATENATE("Distance!$T",A4+2)),"")</f>
        <v/>
      </c>
      <c r="N6" s="108" t="str">
        <f ca="1">IFERROR(IF(M6&lt;A6,"",VLOOKUP(VLOOKUP(M6,A6:B9,2,TRUE),Points!$H$1:$I$5,2,FALSE)),"")</f>
        <v/>
      </c>
      <c r="P6" s="66">
        <f ca="1">IFERROR(IF(OR(C6=0,C6="",F6=0,F6="",F6="X"),0,VLOOKUP(B6,INDIRECT(MatchDay!$W$2),2,FALSE)),"")</f>
        <v>5</v>
      </c>
      <c r="Q6" s="66">
        <f ca="1">IFERROR(IF(OR(J6=0,J6="",M6=0,M6="",M6="X"),0,VLOOKUP(I6,INDIRECT(MatchDay!$W$2),3,FALSE)),"")</f>
        <v>0</v>
      </c>
    </row>
    <row r="7" spans="1:19" x14ac:dyDescent="0.35">
      <c r="A7" s="118">
        <f>IFERROR(VLOOKUP(A2,standards,5,FALSE),"-")</f>
        <v>33.85</v>
      </c>
      <c r="B7" s="117">
        <f ca="1">IFERROR(INDIRECT(CONCATENATE("Distance!$d",A4+3)),"")</f>
        <v>4</v>
      </c>
      <c r="C7" s="117" t="str">
        <f ca="1">IFERROR(INDIRECT(CONCATENATE("Distance!$E",$A4+3)),"")</f>
        <v/>
      </c>
      <c r="D7" s="183" t="str">
        <f ca="1">IFERROR(INDIRECT(CONCATENATE("Distance!$F",$A4+3)),"")</f>
        <v/>
      </c>
      <c r="E7" s="64" t="str">
        <f t="shared" ca="1" si="0"/>
        <v/>
      </c>
      <c r="F7" s="123" t="str">
        <f ca="1">IFERROR(INDIRECT(CONCATENATE("Distance!$H",A4+3)),"")</f>
        <v/>
      </c>
      <c r="G7" s="108" t="str">
        <f ca="1">IFERROR(IF(F7&lt;A6,"",VLOOKUP(VLOOKUP(F7,A6:B9,2,TRUE),Points!$H$1:$I$5,2,FALSE)),"")</f>
        <v/>
      </c>
      <c r="H7" s="67"/>
      <c r="I7" s="117">
        <f ca="1">IFERROR(INDIRECT(CONCATENATE("Distance!$j",A4+3)),"")</f>
        <v>4</v>
      </c>
      <c r="J7" s="117" t="str">
        <f ca="1">IFERROR(INDIRECT(CONCATENATE("Distance!$k",A4+3)),"")</f>
        <v/>
      </c>
      <c r="K7" s="183" t="str">
        <f ca="1">IFERROR(INDIRECT(CONCATENATE("Distance!$L",$A4+3)),"")</f>
        <v/>
      </c>
      <c r="L7" s="64" t="str">
        <f t="shared" ca="1" si="1"/>
        <v/>
      </c>
      <c r="M7" s="123" t="str">
        <f ca="1">IFERROR(INDIRECT(CONCATENATE("Distance!$T",A4+3)),"")</f>
        <v/>
      </c>
      <c r="N7" s="108" t="str">
        <f ca="1">IFERROR(IF(M7&lt;A6,"",VLOOKUP(VLOOKUP(M7,A6:B9,2,TRUE),Points!$H$1:$I$5,2,FALSE)),"")</f>
        <v/>
      </c>
      <c r="P7" s="66">
        <f ca="1">IFERROR(IF(OR(C7=0,C7="",F7=0,F7="",F7="X"),0,VLOOKUP(B7,INDIRECT(MatchDay!$W$2),2,FALSE)),"")</f>
        <v>0</v>
      </c>
      <c r="Q7" s="66">
        <f ca="1">IFERROR(IF(OR(J7=0,J7="",M7=0,M7="",M7="X"),0,VLOOKUP(I7,INDIRECT(MatchDay!$W$2),3,FALSE)),"")</f>
        <v>0</v>
      </c>
    </row>
    <row r="8" spans="1:19" x14ac:dyDescent="0.35">
      <c r="A8" s="118">
        <f>IFERROR(VLOOKUP(A2,standards,4,FALSE),"-")</f>
        <v>41.25</v>
      </c>
      <c r="B8" s="117">
        <f ca="1">IFERROR(INDIRECT(CONCATENATE("Distance!$d",A4+4)),"")</f>
        <v>5</v>
      </c>
      <c r="C8" s="117" t="str">
        <f ca="1">IFERROR(INDIRECT(CONCATENATE("Distance!$E",$A4+4)),"")</f>
        <v/>
      </c>
      <c r="D8" s="183" t="str">
        <f ca="1">IFERROR(INDIRECT(CONCATENATE("Distance!$F",$A4+4)),"")</f>
        <v/>
      </c>
      <c r="E8" s="64" t="str">
        <f t="shared" ca="1" si="0"/>
        <v/>
      </c>
      <c r="F8" s="123" t="str">
        <f ca="1">IFERROR(INDIRECT(CONCATENATE("Distance!$H",A4+4)),"")</f>
        <v/>
      </c>
      <c r="G8" s="108" t="str">
        <f ca="1">IFERROR(IF(F8&lt;A6,"",VLOOKUP(VLOOKUP(F8,A6:B9,2,TRUE),Points!$H$1:$I$5,2,FALSE)),"")</f>
        <v/>
      </c>
      <c r="H8" s="67"/>
      <c r="I8" s="117">
        <f ca="1">IFERROR(INDIRECT(CONCATENATE("Distance!$j",A4+4)),"")</f>
        <v>5</v>
      </c>
      <c r="J8" s="117" t="str">
        <f ca="1">IFERROR(INDIRECT(CONCATENATE("Distance!$k",A4+4)),"")</f>
        <v/>
      </c>
      <c r="K8" s="183" t="str">
        <f ca="1">IFERROR(INDIRECT(CONCATENATE("Distance!$L",$A4+4)),"")</f>
        <v/>
      </c>
      <c r="L8" s="64" t="str">
        <f t="shared" ca="1" si="1"/>
        <v/>
      </c>
      <c r="M8" s="123" t="str">
        <f ca="1">IFERROR(INDIRECT(CONCATENATE("Distance!$T",A4+4)),"")</f>
        <v/>
      </c>
      <c r="N8" s="108" t="str">
        <f ca="1">IFERROR(IF(M8&lt;A6,"",VLOOKUP(VLOOKUP(M8,A6:B9,2,TRUE),Points!$H$1:$I$5,2,FALSE)),"")</f>
        <v/>
      </c>
      <c r="P8" s="66">
        <f ca="1">IFERROR(IF(OR(C8=0,C8="",F8=0,F8="",F8="X"),0,VLOOKUP(B8,INDIRECT(MatchDay!$W$2),2,FALSE)),"")</f>
        <v>0</v>
      </c>
      <c r="Q8" s="66">
        <f ca="1">IFERROR(IF(OR(J8=0,J8="",M8=0,M8="",M8="X"),0,VLOOKUP(I8,INDIRECT(MatchDay!$W$2),3,FALSE)),"")</f>
        <v>0</v>
      </c>
    </row>
    <row r="9" spans="1:19" x14ac:dyDescent="0.35">
      <c r="A9" s="118">
        <f>IFERROR(VLOOKUP(A2,standards,3,FALSE),"-")</f>
        <v>47.2</v>
      </c>
      <c r="B9" s="117">
        <f ca="1">IFERROR(INDIRECT(CONCATENATE("Distance!$d",A4+5)),"")</f>
        <v>6</v>
      </c>
      <c r="C9" s="117" t="str">
        <f ca="1">IFERROR(INDIRECT(CONCATENATE("Distance!$E",$A4+5)),"")</f>
        <v/>
      </c>
      <c r="D9" s="183" t="str">
        <f ca="1">IFERROR(INDIRECT(CONCATENATE("Distance!$F",$A4+5)),"")</f>
        <v/>
      </c>
      <c r="E9" s="64" t="str">
        <f t="shared" ca="1" si="0"/>
        <v/>
      </c>
      <c r="F9" s="123" t="str">
        <f ca="1">IFERROR(INDIRECT(CONCATENATE("Distance!$H",A4+5)),"")</f>
        <v/>
      </c>
      <c r="G9" s="108" t="str">
        <f ca="1">IFERROR(IF(F9&lt;A6,"",VLOOKUP(VLOOKUP(F9,A6:B9,2,TRUE),Points!$H$1:$I$5,2,FALSE)),"")</f>
        <v/>
      </c>
      <c r="H9" s="67"/>
      <c r="I9" s="117">
        <f ca="1">IFERROR(INDIRECT(CONCATENATE("Distance!$j",A4+5)),"")</f>
        <v>6</v>
      </c>
      <c r="J9" s="117" t="str">
        <f ca="1">IFERROR(INDIRECT(CONCATENATE("Distance!$k",A4+5)),"")</f>
        <v/>
      </c>
      <c r="K9" s="183" t="str">
        <f ca="1">IFERROR(INDIRECT(CONCATENATE("Distance!$L",$A4+5)),"")</f>
        <v/>
      </c>
      <c r="L9" s="64" t="str">
        <f t="shared" ca="1" si="1"/>
        <v/>
      </c>
      <c r="M9" s="123" t="str">
        <f ca="1">IFERROR(INDIRECT(CONCATENATE("Distance!$T",A4+5)),"")</f>
        <v/>
      </c>
      <c r="N9" s="108" t="str">
        <f ca="1">IFERROR(IF(M9&lt;A6,"",VLOOKUP(VLOOKUP(M9,A6:B9,2,TRUE),Points!$H$1:$I$5,2,FALSE)),"")</f>
        <v/>
      </c>
      <c r="P9" s="66">
        <f ca="1">IFERROR(IF(OR(C9=0,C9="",F9=0,F9="",F9="X"),0,VLOOKUP(B9,INDIRECT(MatchDay!$W$2),2,FALSE)),"")</f>
        <v>0</v>
      </c>
      <c r="Q9" s="66">
        <f ca="1">IFERROR(IF(OR(J9=0,J9="",M9=0,M9="",M9="X"),0,VLOOKUP(I9,INDIRECT(MatchDay!$W$2),3,FALSE)),"")</f>
        <v>0</v>
      </c>
    </row>
    <row r="10" spans="1:19" x14ac:dyDescent="0.35">
      <c r="A10" s="116" t="s">
        <v>204</v>
      </c>
      <c r="B10" s="117">
        <f ca="1">IFERROR(INDIRECT(CONCATENATE("Distance!$d",A4+6)),"")</f>
        <v>7</v>
      </c>
      <c r="C10" s="117" t="str">
        <f ca="1">IFERROR(INDIRECT(CONCATENATE("Distance!$E",$A4+6)),"")</f>
        <v/>
      </c>
      <c r="D10" s="183" t="str">
        <f ca="1">IFERROR(INDIRECT(CONCATENATE("Distance!$F",$A4+6)),"")</f>
        <v/>
      </c>
      <c r="E10" s="64" t="str">
        <f t="shared" ca="1" si="0"/>
        <v/>
      </c>
      <c r="F10" s="123" t="str">
        <f ca="1">IFERROR(INDIRECT(CONCATENATE("Distance!$H",A4+6)),"")</f>
        <v/>
      </c>
      <c r="G10" s="108" t="str">
        <f ca="1">IFERROR(IF(F10&lt;A6,"",VLOOKUP(VLOOKUP(F10,A6:B9,2,TRUE),Points!$H$1:$I$5,2,FALSE)),"")</f>
        <v/>
      </c>
      <c r="H10" s="67"/>
      <c r="I10" s="117">
        <f ca="1">IFERROR(INDIRECT(CONCATENATE("Distance!$j",A4+6)),"")</f>
        <v>7</v>
      </c>
      <c r="J10" s="117" t="str">
        <f ca="1">IFERROR(INDIRECT(CONCATENATE("Distance!$k",A4+6)),"")</f>
        <v/>
      </c>
      <c r="K10" s="183" t="str">
        <f ca="1">IFERROR(INDIRECT(CONCATENATE("Distance!$L",$A4+6)),"")</f>
        <v/>
      </c>
      <c r="L10" s="64" t="str">
        <f t="shared" ca="1" si="1"/>
        <v/>
      </c>
      <c r="M10" s="123" t="str">
        <f ca="1">IFERROR(INDIRECT(CONCATENATE("Distance!$T",A4+6)),"")</f>
        <v/>
      </c>
      <c r="N10" s="108" t="str">
        <f ca="1">IFERROR(IF(M10&lt;A6,"",VLOOKUP(VLOOKUP(M10,A6:B9,2,TRUE),Points!$H$1:$I$5,2,FALSE)),"")</f>
        <v/>
      </c>
      <c r="P10" s="66">
        <f ca="1">IFERROR(IF(OR(C10=0,C10="",F10=0,F10="",F10="X"),0,VLOOKUP(B10,INDIRECT(MatchDay!$W$2),2,FALSE)),"")</f>
        <v>0</v>
      </c>
      <c r="Q10" s="66">
        <f ca="1">IFERROR(IF(OR(J10=0,J10="",M10=0,M10="",M10="X"),0,VLOOKUP(I10,INDIRECT(MatchDay!$W$2),3,FALSE)),"")</f>
        <v>0</v>
      </c>
    </row>
    <row r="11" spans="1:19" x14ac:dyDescent="0.35">
      <c r="A11" s="116">
        <f>IFERROR(VLOOKUP(A2,records,5,FALSE),"")</f>
        <v>59.79</v>
      </c>
      <c r="B11" s="117">
        <f ca="1">IFERROR(INDIRECT(CONCATENATE("Distance!$d",A4+7)),"")</f>
        <v>8</v>
      </c>
      <c r="C11" s="117" t="str">
        <f ca="1">IFERROR(INDIRECT(CONCATENATE("Distance!$E",$A4+7)),"")</f>
        <v/>
      </c>
      <c r="D11" s="183" t="str">
        <f ca="1">IFERROR(INDIRECT(CONCATENATE("Distance!$F",$A4+7)),"")</f>
        <v/>
      </c>
      <c r="E11" s="64" t="str">
        <f t="shared" ca="1" si="0"/>
        <v/>
      </c>
      <c r="F11" s="123" t="str">
        <f ca="1">IFERROR(INDIRECT(CONCATENATE("Distance!$H",A4+7)),"")</f>
        <v/>
      </c>
      <c r="G11" s="108" t="str">
        <f ca="1">IFERROR(IF(F11&lt;A6,"",VLOOKUP(VLOOKUP(F11,A6:B9,2,TRUE),Points!$H$1:$I$5,2,FALSE)),"")</f>
        <v/>
      </c>
      <c r="H11" s="67"/>
      <c r="I11" s="117">
        <f ca="1">IFERROR(INDIRECT(CONCATENATE("Distance!$j",A4+7)),"")</f>
        <v>8</v>
      </c>
      <c r="J11" s="117" t="str">
        <f ca="1">IFERROR(INDIRECT(CONCATENATE("Distance!$k",A4+7)),"")</f>
        <v/>
      </c>
      <c r="K11" s="183" t="str">
        <f ca="1">IFERROR(INDIRECT(CONCATENATE("Distance!$L",$A4+7)),"")</f>
        <v/>
      </c>
      <c r="L11" s="64" t="str">
        <f t="shared" ca="1" si="1"/>
        <v/>
      </c>
      <c r="M11" s="123" t="str">
        <f ca="1">IFERROR(INDIRECT(CONCATENATE("Distance!$T",A4+7)),"")</f>
        <v/>
      </c>
      <c r="N11" s="108" t="str">
        <f ca="1">IFERROR(IF(M11&lt;A6,"",VLOOKUP(VLOOKUP(M11,A6:B9,2,TRUE),Points!$H$1:$I$5,2,FALSE)),"")</f>
        <v/>
      </c>
      <c r="P11" s="66">
        <f ca="1">IFERROR(IF(OR(C11=0,C11="",F11=0,F11="",F11="X"),0,VLOOKUP(B11,INDIRECT(MatchDay!$W$2),2,FALSE)),"")</f>
        <v>0</v>
      </c>
      <c r="Q11" s="66">
        <f ca="1">IFERROR(IF(OR(J11=0,J11="",M11=0,M11="",M11="X"),0,VLOOKUP(I11,INDIRECT(MatchDay!$W$2),3,FALSE)),"")</f>
        <v>0</v>
      </c>
    </row>
    <row r="13" spans="1:19" x14ac:dyDescent="0.35">
      <c r="A13" s="111" t="s">
        <v>232</v>
      </c>
      <c r="B13" s="112" t="str">
        <f>IFERROR(VLOOKUP(A13,timetables,2,FALSE)&amp;" "&amp;VLOOKUP(A13,timetables,3,FALSE)&amp;" A","")</f>
        <v>Hammer U15 Girls A</v>
      </c>
      <c r="C13" s="112"/>
      <c r="F13" s="121" t="str">
        <f ca="1">IFERROR(IF(OR(F15=0,F15="",F15="X"),"",IF(F15&gt;A22,"REC",IF(F15=A22,"=Rec",""))),"")</f>
        <v/>
      </c>
      <c r="G13" s="198" t="str">
        <f ca="1">IFERROR(IF(OR(F15=0,F15="",F15="X"),"",IF(F15&gt;A22,"REC",IF(F15=A22,"=Rec",""))),"")</f>
        <v/>
      </c>
      <c r="I13" s="114" t="str">
        <f>IFERROR(VLOOKUP(A13,timetables,2,FALSE)&amp;" "&amp;VLOOKUP(A13,timetables,3,FALSE)&amp;" B","")</f>
        <v>Hammer U15 Girls B</v>
      </c>
      <c r="J13" s="115"/>
      <c r="P13" s="66" t="s">
        <v>53</v>
      </c>
      <c r="Q13" s="66" t="s">
        <v>54</v>
      </c>
    </row>
    <row r="14" spans="1:19" x14ac:dyDescent="0.35">
      <c r="A14" s="82"/>
      <c r="B14" s="45" t="s">
        <v>230</v>
      </c>
      <c r="C14" s="45" t="s">
        <v>159</v>
      </c>
      <c r="D14" s="47" t="s">
        <v>227</v>
      </c>
      <c r="E14" s="47" t="s">
        <v>228</v>
      </c>
      <c r="F14" s="45" t="s">
        <v>229</v>
      </c>
      <c r="G14" s="126" t="s">
        <v>55</v>
      </c>
      <c r="H14" s="47"/>
      <c r="I14" s="45" t="s">
        <v>230</v>
      </c>
      <c r="J14" s="45" t="s">
        <v>159</v>
      </c>
      <c r="K14" s="47" t="s">
        <v>227</v>
      </c>
      <c r="L14" s="47" t="s">
        <v>228</v>
      </c>
      <c r="M14" s="45" t="s">
        <v>229</v>
      </c>
      <c r="N14" s="126" t="s">
        <v>55</v>
      </c>
    </row>
    <row r="15" spans="1:19" x14ac:dyDescent="0.35">
      <c r="A15" s="66">
        <f>IFERROR(VLOOKUP(A13,Distance!A:B,2,FALSE),"")</f>
        <v>59</v>
      </c>
      <c r="B15" s="117">
        <f ca="1">IFERROR(INDIRECT(CONCATENATE("Distance!$d",A15)),"")</f>
        <v>1</v>
      </c>
      <c r="C15" s="117">
        <f ca="1">IFERROR(INDIRECT(CONCATENATE("Distance!$E",A15)),"")</f>
        <v>5</v>
      </c>
      <c r="D15" s="183" t="str">
        <f ca="1">IFERROR(INDIRECT(CONCATENATE("Distance!$F",$A15)),"")</f>
        <v>LOVE Katie</v>
      </c>
      <c r="E15" s="64" t="str">
        <f t="shared" ref="E15:E22" ca="1" si="2">IFERROR(VLOOKUP(C15,teamlookup,5,FALSE),"")</f>
        <v>Scun</v>
      </c>
      <c r="F15" s="123">
        <f ca="1">IFERROR(INDIRECT(CONCATENATE("Distance!$H",A15)),"")</f>
        <v>30.77</v>
      </c>
      <c r="G15" s="108">
        <f ca="1">IFERROR(IF(F15&lt;A17,"",VLOOKUP(VLOOKUP(F15,A17:B20,2,TRUE),Points!$H$1:$I$5,2,FALSE)),"")</f>
        <v>4</v>
      </c>
      <c r="H15" s="67"/>
      <c r="I15" s="117">
        <f ca="1">IFERROR(INDIRECT(CONCATENATE("Distance!$j",A15)),"")</f>
        <v>1</v>
      </c>
      <c r="J15" s="117">
        <f ca="1">IFERROR(INDIRECT(CONCATENATE("Distance!$k",A15)),"")</f>
        <v>1</v>
      </c>
      <c r="K15" s="183" t="str">
        <f ca="1">IFERROR(INDIRECT(CONCATENATE("Distance!$L",$A15)),"")</f>
        <v>LABAN Ella</v>
      </c>
      <c r="L15" s="64" t="str">
        <f t="shared" ref="L15:L22" ca="1" si="3">IFERROR(VLOOKUP(J15,teamlookup,5,FALSE),"")</f>
        <v>C'field</v>
      </c>
      <c r="M15" s="123">
        <f ca="1">IFERROR(INDIRECT(CONCATENATE("Distance!$T",A15)),"")</f>
        <v>19.600000000000001</v>
      </c>
      <c r="N15" s="108" t="str">
        <f ca="1">IFERROR(IF(M15&lt;A17,"",VLOOKUP(VLOOKUP(M15,A17:B20,2,TRUE),Points!$H$1:$I$5,2,FALSE)),"")</f>
        <v/>
      </c>
      <c r="P15" s="66">
        <f ca="1">IFERROR(IF(OR(C15=0,C15="",F15=0,F15="",F15="X"),0,VLOOKUP(B15,INDIRECT(MatchDay!$W$2),2,FALSE)),"")</f>
        <v>8</v>
      </c>
      <c r="Q15" s="66">
        <f ca="1">IFERROR(IF(OR(J15=0,J15="",M15=0,M15="",M15="X"),0,VLOOKUP(I15,INDIRECT(MatchDay!$W$2),3,FALSE)),"")</f>
        <v>6</v>
      </c>
      <c r="R15" s="219">
        <f ca="1">COUNTIF(C15,"&gt;0")</f>
        <v>1</v>
      </c>
      <c r="S15" s="66">
        <f ca="1">IFERROR(IF(C15&gt;88,1,0),0)</f>
        <v>0</v>
      </c>
    </row>
    <row r="16" spans="1:19" x14ac:dyDescent="0.35">
      <c r="A16" s="116" t="s">
        <v>55</v>
      </c>
      <c r="B16" s="117">
        <f ca="1">IFERROR(INDIRECT(CONCATENATE("Distance!$d",A15+1)),"")</f>
        <v>2</v>
      </c>
      <c r="C16" s="117">
        <f ca="1">IFERROR(INDIRECT(CONCATENATE("Distance!$E",A15+1)),"")</f>
        <v>11</v>
      </c>
      <c r="D16" s="183" t="str">
        <f ca="1">IFERROR(INDIRECT(CONCATENATE("Distance!$F",$A15+1)),"")</f>
        <v>HIGHAM Ruby</v>
      </c>
      <c r="E16" s="64" t="str">
        <f t="shared" ca="1" si="2"/>
        <v>C'field</v>
      </c>
      <c r="F16" s="123">
        <f ca="1">IFERROR(INDIRECT(CONCATENATE("Distance!$H",A15+1)),"")</f>
        <v>20.57</v>
      </c>
      <c r="G16" s="108" t="str">
        <f ca="1">IFERROR(IF(F16&lt;A17,"",VLOOKUP(VLOOKUP(F16,A17:B20,2,TRUE),Points!$H$1:$I$5,2,FALSE)),"")</f>
        <v/>
      </c>
      <c r="H16" s="67"/>
      <c r="I16" s="117">
        <f ca="1">IFERROR(INDIRECT(CONCATENATE("Distance!$j",A15+1)),"")</f>
        <v>2</v>
      </c>
      <c r="J16" s="117">
        <f ca="1">IFERROR(INDIRECT(CONCATENATE("Distance!$k",A15+1)),"")</f>
        <v>55</v>
      </c>
      <c r="K16" s="183" t="str">
        <f ca="1">IFERROR(INDIRECT(CONCATENATE("Distance!$L",$A15+1)),"")</f>
        <v>BETTS Demi</v>
      </c>
      <c r="L16" s="64" t="str">
        <f t="shared" ca="1" si="3"/>
        <v>Scun</v>
      </c>
      <c r="M16" s="123">
        <f ca="1">IFERROR(INDIRECT(CONCATENATE("Distance!$T",A15+1)),"")</f>
        <v>11.51</v>
      </c>
      <c r="N16" s="108" t="str">
        <f ca="1">IFERROR(IF(M16&lt;A17,"",VLOOKUP(VLOOKUP(M16,A17:B20,2,TRUE),Points!$H$1:$I$5,2,FALSE)),"")</f>
        <v/>
      </c>
      <c r="P16" s="66">
        <f ca="1">IFERROR(IF(OR(C16=0,C16="",F16=0,F16="",F16="X"),0,VLOOKUP(B16,INDIRECT(MatchDay!$W$2),2,FALSE)),"")</f>
        <v>6</v>
      </c>
      <c r="Q16" s="66">
        <f ca="1">IFERROR(IF(OR(J16=0,J16="",M16=0,M16="",M16="X"),0,VLOOKUP(I16,INDIRECT(MatchDay!$W$2),3,FALSE)),"")</f>
        <v>4</v>
      </c>
    </row>
    <row r="17" spans="1:19" x14ac:dyDescent="0.35">
      <c r="A17" s="118">
        <f>IFERROR(VLOOKUP(A13,standards,6,FALSE),"-")</f>
        <v>24.05</v>
      </c>
      <c r="B17" s="117">
        <f ca="1">IFERROR(INDIRECT(CONCATENATE("Distance!$d",A15+2)),"")</f>
        <v>3</v>
      </c>
      <c r="C17" s="117">
        <f ca="1">IFERROR(INDIRECT(CONCATENATE("Distance!$E",A15+2)),"")</f>
        <v>22</v>
      </c>
      <c r="D17" s="183" t="str">
        <f ca="1">IFERROR(INDIRECT(CONCATENATE("Distance!$F",$A15+2)),"")</f>
        <v>PADDON Freya</v>
      </c>
      <c r="E17" s="64" t="str">
        <f t="shared" ca="1" si="2"/>
        <v>Sheff+D</v>
      </c>
      <c r="F17" s="123">
        <f ca="1">IFERROR(INDIRECT(CONCATENATE("Distance!$H",A15+2)),"")</f>
        <v>16.18</v>
      </c>
      <c r="G17" s="108" t="str">
        <f ca="1">IFERROR(IF(F17&lt;A17,"",VLOOKUP(VLOOKUP(F17,A17:B20,2,TRUE),Points!$H$1:$I$5,2,FALSE)),"")</f>
        <v/>
      </c>
      <c r="H17" s="67"/>
      <c r="I17" s="117">
        <f ca="1">IFERROR(INDIRECT(CONCATENATE("Distance!$j",A15+2)),"")</f>
        <v>3</v>
      </c>
      <c r="J17" s="117">
        <f ca="1">IFERROR(INDIRECT(CONCATENATE("Distance!$k",A15+2)),"")</f>
        <v>2</v>
      </c>
      <c r="K17" s="183" t="str">
        <f ca="1">IFERROR(INDIRECT(CONCATENATE("Distance!$L",$A15+2)),"")</f>
        <v>KYNOCH Ella</v>
      </c>
      <c r="L17" s="64" t="str">
        <f t="shared" ca="1" si="3"/>
        <v>Sheff+D</v>
      </c>
      <c r="M17" s="123">
        <f ca="1">IFERROR(INDIRECT(CONCATENATE("Distance!$T",A15+2)),"")</f>
        <v>7.09</v>
      </c>
      <c r="N17" s="108" t="str">
        <f ca="1">IFERROR(IF(M17&lt;A17,"",VLOOKUP(VLOOKUP(M17,A17:B20,2,TRUE),Points!$H$1:$I$5,2,FALSE)),"")</f>
        <v/>
      </c>
      <c r="P17" s="66">
        <f ca="1">IFERROR(IF(OR(C17=0,C17="",F17=0,F17="",F17="X"),0,VLOOKUP(B17,INDIRECT(MatchDay!$W$2),2,FALSE)),"")</f>
        <v>5</v>
      </c>
      <c r="Q17" s="66">
        <f ca="1">IFERROR(IF(OR(J17=0,J17="",M17=0,M17="",M17="X"),0,VLOOKUP(I17,INDIRECT(MatchDay!$W$2),3,FALSE)),"")</f>
        <v>3</v>
      </c>
    </row>
    <row r="18" spans="1:19" x14ac:dyDescent="0.35">
      <c r="A18" s="118">
        <f>IFERROR(VLOOKUP(A13,standards,5,FALSE),"-")</f>
        <v>31.6</v>
      </c>
      <c r="B18" s="117">
        <f ca="1">IFERROR(INDIRECT(CONCATENATE("Distance!$d",A15+3)),"")</f>
        <v>4</v>
      </c>
      <c r="C18" s="117" t="str">
        <f ca="1">IFERROR(INDIRECT(CONCATENATE("Distance!$E",A15+3)),"")</f>
        <v/>
      </c>
      <c r="D18" s="183" t="str">
        <f ca="1">IFERROR(INDIRECT(CONCATENATE("Distance!$F",$A15+3)),"")</f>
        <v/>
      </c>
      <c r="E18" s="64" t="str">
        <f t="shared" ca="1" si="2"/>
        <v/>
      </c>
      <c r="F18" s="123" t="str">
        <f ca="1">IFERROR(INDIRECT(CONCATENATE("Distance!$H",A15+3)),"")</f>
        <v/>
      </c>
      <c r="G18" s="108" t="str">
        <f ca="1">IFERROR(IF(F18&lt;A17,"",VLOOKUP(VLOOKUP(F18,A17:B20,2,TRUE),Points!$H$1:$I$5,2,FALSE)),"")</f>
        <v/>
      </c>
      <c r="H18" s="67"/>
      <c r="I18" s="117">
        <f ca="1">IFERROR(INDIRECT(CONCATENATE("Distance!$j",A15+3)),"")</f>
        <v>4</v>
      </c>
      <c r="J18" s="117" t="str">
        <f ca="1">IFERROR(INDIRECT(CONCATENATE("Distance!$k",A15+3)),"")</f>
        <v/>
      </c>
      <c r="K18" s="183" t="str">
        <f ca="1">IFERROR(INDIRECT(CONCATENATE("Distance!$L",$A15+3)),"")</f>
        <v/>
      </c>
      <c r="L18" s="64" t="str">
        <f t="shared" ca="1" si="3"/>
        <v/>
      </c>
      <c r="M18" s="123" t="str">
        <f ca="1">IFERROR(INDIRECT(CONCATENATE("Distance!$T",A15+3)),"")</f>
        <v/>
      </c>
      <c r="N18" s="108" t="str">
        <f ca="1">IFERROR(IF(M18&lt;A17,"",VLOOKUP(VLOOKUP(M18,A17:B20,2,TRUE),Points!$H$1:$I$5,2,FALSE)),"")</f>
        <v/>
      </c>
      <c r="P18" s="66">
        <f ca="1">IFERROR(IF(OR(C18=0,C18="",F18=0,F18="",F18="X"),0,VLOOKUP(B18,INDIRECT(MatchDay!$W$2),2,FALSE)),"")</f>
        <v>0</v>
      </c>
      <c r="Q18" s="66">
        <f ca="1">IFERROR(IF(OR(J18=0,J18="",M18=0,M18="",M18="X"),0,VLOOKUP(I18,INDIRECT(MatchDay!$W$2),3,FALSE)),"")</f>
        <v>0</v>
      </c>
    </row>
    <row r="19" spans="1:19" x14ac:dyDescent="0.35">
      <c r="A19" s="118">
        <f>IFERROR(VLOOKUP(A13,standards,4,FALSE),"-")</f>
        <v>39.200000000000003</v>
      </c>
      <c r="B19" s="117">
        <f ca="1">IFERROR(INDIRECT(CONCATENATE("Distance!$d",A15+4)),"")</f>
        <v>5</v>
      </c>
      <c r="C19" s="117" t="str">
        <f ca="1">IFERROR(INDIRECT(CONCATENATE("Distance!$E",A15+4)),"")</f>
        <v/>
      </c>
      <c r="D19" s="183" t="str">
        <f ca="1">IFERROR(INDIRECT(CONCATENATE("Distance!$F",$A15+4)),"")</f>
        <v/>
      </c>
      <c r="E19" s="64" t="str">
        <f t="shared" ca="1" si="2"/>
        <v/>
      </c>
      <c r="F19" s="123" t="str">
        <f ca="1">IFERROR(INDIRECT(CONCATENATE("Distance!$H",A15+4)),"")</f>
        <v/>
      </c>
      <c r="G19" s="108" t="str">
        <f ca="1">IFERROR(IF(F19&lt;A17,"",VLOOKUP(VLOOKUP(F19,A17:B20,2,TRUE),Points!$H$1:$I$5,2,FALSE)),"")</f>
        <v/>
      </c>
      <c r="H19" s="67"/>
      <c r="I19" s="117">
        <f ca="1">IFERROR(INDIRECT(CONCATENATE("Distance!$j",A15+4)),"")</f>
        <v>5</v>
      </c>
      <c r="J19" s="117" t="str">
        <f ca="1">IFERROR(INDIRECT(CONCATENATE("Distance!$k",A15+4)),"")</f>
        <v/>
      </c>
      <c r="K19" s="183" t="str">
        <f ca="1">IFERROR(INDIRECT(CONCATENATE("Distance!$L",$A15+4)),"")</f>
        <v/>
      </c>
      <c r="L19" s="64" t="str">
        <f t="shared" ca="1" si="3"/>
        <v/>
      </c>
      <c r="M19" s="123" t="str">
        <f ca="1">IFERROR(INDIRECT(CONCATENATE("Distance!$T",A15+4)),"")</f>
        <v/>
      </c>
      <c r="N19" s="108" t="str">
        <f ca="1">IFERROR(IF(M19&lt;A17,"",VLOOKUP(VLOOKUP(M19,A17:B20,2,TRUE),Points!$H$1:$I$5,2,FALSE)),"")</f>
        <v/>
      </c>
      <c r="P19" s="66">
        <f ca="1">IFERROR(IF(OR(C19=0,C19="",F19=0,F19="",F19="X"),0,VLOOKUP(B19,INDIRECT(MatchDay!$W$2),2,FALSE)),"")</f>
        <v>0</v>
      </c>
      <c r="Q19" s="66">
        <f ca="1">IFERROR(IF(OR(J19=0,J19="",M19=0,M19="",M19="X"),0,VLOOKUP(I19,INDIRECT(MatchDay!$W$2),3,FALSE)),"")</f>
        <v>0</v>
      </c>
    </row>
    <row r="20" spans="1:19" x14ac:dyDescent="0.35">
      <c r="A20" s="118">
        <f>IFERROR(VLOOKUP(A13,standards,3,FALSE),"-")</f>
        <v>44.6</v>
      </c>
      <c r="B20" s="117">
        <f ca="1">IFERROR(INDIRECT(CONCATENATE("Distance!$d",A15+5)),"")</f>
        <v>6</v>
      </c>
      <c r="C20" s="117" t="str">
        <f ca="1">IFERROR(INDIRECT(CONCATENATE("Distance!$E",A15+5)),"")</f>
        <v/>
      </c>
      <c r="D20" s="183" t="str">
        <f ca="1">IFERROR(INDIRECT(CONCATENATE("Distance!$F",$A15+5)),"")</f>
        <v/>
      </c>
      <c r="E20" s="64" t="str">
        <f t="shared" ca="1" si="2"/>
        <v/>
      </c>
      <c r="F20" s="123" t="str">
        <f ca="1">IFERROR(INDIRECT(CONCATENATE("Distance!$H",A15+5)),"")</f>
        <v/>
      </c>
      <c r="G20" s="108" t="str">
        <f ca="1">IFERROR(IF(F20&lt;A17,"",VLOOKUP(VLOOKUP(F20,A17:B20,2,TRUE),Points!$H$1:$I$5,2,FALSE)),"")</f>
        <v/>
      </c>
      <c r="H20" s="67"/>
      <c r="I20" s="117">
        <f ca="1">IFERROR(INDIRECT(CONCATENATE("Distance!$j",A15+5)),"")</f>
        <v>6</v>
      </c>
      <c r="J20" s="117" t="str">
        <f ca="1">IFERROR(INDIRECT(CONCATENATE("Distance!$k",A15+5)),"")</f>
        <v/>
      </c>
      <c r="K20" s="183" t="str">
        <f ca="1">IFERROR(INDIRECT(CONCATENATE("Distance!$L",$A15+5)),"")</f>
        <v/>
      </c>
      <c r="L20" s="64" t="str">
        <f t="shared" ca="1" si="3"/>
        <v/>
      </c>
      <c r="M20" s="123" t="str">
        <f ca="1">IFERROR(INDIRECT(CONCATENATE("Distance!$T",A15+5)),"")</f>
        <v/>
      </c>
      <c r="N20" s="108" t="str">
        <f ca="1">IFERROR(IF(M20&lt;A17,"",VLOOKUP(VLOOKUP(M20,A17:B20,2,TRUE),Points!$H$1:$I$5,2,FALSE)),"")</f>
        <v/>
      </c>
      <c r="P20" s="66">
        <f ca="1">IFERROR(IF(OR(C20=0,C20="",F20=0,F20="",F20="X"),0,VLOOKUP(B20,INDIRECT(MatchDay!$W$2),2,FALSE)),"")</f>
        <v>0</v>
      </c>
      <c r="Q20" s="66">
        <f ca="1">IFERROR(IF(OR(J20=0,J20="",M20=0,M20="",M20="X"),0,VLOOKUP(I20,INDIRECT(MatchDay!$W$2),3,FALSE)),"")</f>
        <v>0</v>
      </c>
    </row>
    <row r="21" spans="1:19" x14ac:dyDescent="0.35">
      <c r="A21" s="116" t="s">
        <v>204</v>
      </c>
      <c r="B21" s="117">
        <f ca="1">IFERROR(INDIRECT(CONCATENATE("Distance!$d",A15+6)),"")</f>
        <v>7</v>
      </c>
      <c r="C21" s="117" t="str">
        <f ca="1">IFERROR(INDIRECT(CONCATENATE("Distance!$E",A15+6)),"")</f>
        <v/>
      </c>
      <c r="D21" s="183" t="str">
        <f ca="1">IFERROR(INDIRECT(CONCATENATE("Distance!$F",$A15+6)),"")</f>
        <v/>
      </c>
      <c r="E21" s="64" t="str">
        <f t="shared" ca="1" si="2"/>
        <v/>
      </c>
      <c r="F21" s="123" t="str">
        <f ca="1">IFERROR(INDIRECT(CONCATENATE("Distance!$H",A15+6)),"")</f>
        <v/>
      </c>
      <c r="G21" s="108" t="str">
        <f ca="1">IFERROR(IF(F21&lt;A17,"",VLOOKUP(VLOOKUP(F21,A17:B20,2,TRUE),Points!$H$1:$I$5,2,FALSE)),"")</f>
        <v/>
      </c>
      <c r="H21" s="67"/>
      <c r="I21" s="117">
        <f ca="1">IFERROR(INDIRECT(CONCATENATE("Distance!$j",A15+6)),"")</f>
        <v>7</v>
      </c>
      <c r="J21" s="117" t="str">
        <f ca="1">IFERROR(INDIRECT(CONCATENATE("Distance!$k",A15+6)),"")</f>
        <v/>
      </c>
      <c r="K21" s="183" t="str">
        <f ca="1">IFERROR(INDIRECT(CONCATENATE("Distance!$L",$A15+6)),"")</f>
        <v/>
      </c>
      <c r="L21" s="64" t="str">
        <f t="shared" ca="1" si="3"/>
        <v/>
      </c>
      <c r="M21" s="123" t="str">
        <f ca="1">IFERROR(INDIRECT(CONCATENATE("Distance!$T",A15+6)),"")</f>
        <v/>
      </c>
      <c r="N21" s="108" t="str">
        <f ca="1">IFERROR(IF(M21&lt;A17,"",VLOOKUP(VLOOKUP(M21,A17:B20,2,TRUE),Points!$H$1:$I$5,2,FALSE)),"")</f>
        <v/>
      </c>
      <c r="P21" s="66">
        <f ca="1">IFERROR(IF(OR(C21=0,C21="",F21=0,F21="",F21="X"),0,VLOOKUP(B21,INDIRECT(MatchDay!$W$2),2,FALSE)),"")</f>
        <v>0</v>
      </c>
      <c r="Q21" s="66">
        <f ca="1">IFERROR(IF(OR(J21=0,J21="",M21=0,M21="",M21="X"),0,VLOOKUP(I21,INDIRECT(MatchDay!$W$2),3,FALSE)),"")</f>
        <v>0</v>
      </c>
    </row>
    <row r="22" spans="1:19" x14ac:dyDescent="0.35">
      <c r="A22" s="116">
        <f>IFERROR(VLOOKUP(A13,records,5,FALSE),"")</f>
        <v>55.15</v>
      </c>
      <c r="B22" s="117">
        <f ca="1">IFERROR(INDIRECT(CONCATENATE("Distance!$d",A15+7)),"")</f>
        <v>8</v>
      </c>
      <c r="C22" s="117" t="str">
        <f ca="1">IFERROR(INDIRECT(CONCATENATE("Distance!$E",A15+7)),"")</f>
        <v/>
      </c>
      <c r="D22" s="183" t="str">
        <f ca="1">IFERROR(INDIRECT(CONCATENATE("Distance!$F",$A15+7)),"")</f>
        <v/>
      </c>
      <c r="E22" s="64" t="str">
        <f t="shared" ca="1" si="2"/>
        <v/>
      </c>
      <c r="F22" s="123" t="str">
        <f ca="1">IFERROR(INDIRECT(CONCATENATE("Distance!$H",A15+7)),"")</f>
        <v/>
      </c>
      <c r="G22" s="108" t="str">
        <f ca="1">IFERROR(IF(F22&lt;A17,"",VLOOKUP(VLOOKUP(F22,A17:B20,2,TRUE),Points!$H$1:$I$5,2,FALSE)),"")</f>
        <v/>
      </c>
      <c r="H22" s="67"/>
      <c r="I22" s="117">
        <f ca="1">IFERROR(INDIRECT(CONCATENATE("Distance!$j",A15+7)),"")</f>
        <v>8</v>
      </c>
      <c r="J22" s="117" t="str">
        <f ca="1">IFERROR(INDIRECT(CONCATENATE("Distance!$k",A15+7)),"")</f>
        <v/>
      </c>
      <c r="K22" s="183" t="str">
        <f ca="1">IFERROR(INDIRECT(CONCATENATE("Distance!$L",$A15+7)),"")</f>
        <v/>
      </c>
      <c r="L22" s="64" t="str">
        <f t="shared" ca="1" si="3"/>
        <v/>
      </c>
      <c r="M22" s="123" t="str">
        <f ca="1">IFERROR(INDIRECT(CONCATENATE("Distance!$T",A15+7)),"")</f>
        <v/>
      </c>
      <c r="N22" s="108" t="str">
        <f ca="1">IFERROR(IF(M22&lt;A17,"",VLOOKUP(VLOOKUP(M22,A17:B20,2,TRUE),Points!$H$1:$I$5,2,FALSE)),"")</f>
        <v/>
      </c>
      <c r="P22" s="66">
        <f ca="1">IFERROR(IF(OR(C22=0,C22="",F22=0,F22="",F22="X"),0,VLOOKUP(B22,INDIRECT(MatchDay!$W$2),2,FALSE)),"")</f>
        <v>0</v>
      </c>
      <c r="Q22" s="66">
        <f ca="1">IFERROR(IF(OR(J22=0,J22="",M22=0,M22="",M22="X"),0,VLOOKUP(I22,INDIRECT(MatchDay!$W$2),3,FALSE)),"")</f>
        <v>0</v>
      </c>
    </row>
    <row r="24" spans="1:19" x14ac:dyDescent="0.35">
      <c r="A24" s="111" t="s">
        <v>236</v>
      </c>
      <c r="B24" s="112" t="str">
        <f>IFERROR(VLOOKUP(A24,timetables,2,FALSE)&amp;" "&amp;VLOOKUP(A24,timetables,3,FALSE)&amp;" A","")</f>
        <v>Shot U13 Girls A</v>
      </c>
      <c r="C24" s="112"/>
      <c r="F24" s="121" t="str">
        <f ca="1">IFERROR(IF(OR(F26=0,F26="",F26="X"),"",IF(F26&gt;A33,"REC",IF(F26=A33,"=Rec",""))),"")</f>
        <v/>
      </c>
      <c r="G24" s="198" t="str">
        <f ca="1">IFERROR(IF(OR(F26=0,F26="",F26="X"),"",IF(F26&gt;A33,"REC",IF(F26=A33,"=Rec",""))),"")</f>
        <v/>
      </c>
      <c r="I24" s="114" t="str">
        <f>IFERROR(VLOOKUP(A24,timetables,2,FALSE)&amp;" "&amp;VLOOKUP(A24,timetables,3,FALSE)&amp;" B","")</f>
        <v>Shot U13 Girls B</v>
      </c>
      <c r="J24" s="115"/>
      <c r="P24" s="66" t="s">
        <v>53</v>
      </c>
      <c r="Q24" s="66" t="s">
        <v>54</v>
      </c>
    </row>
    <row r="25" spans="1:19" x14ac:dyDescent="0.35">
      <c r="A25" s="82"/>
      <c r="B25" s="45" t="s">
        <v>230</v>
      </c>
      <c r="C25" s="45" t="s">
        <v>159</v>
      </c>
      <c r="D25" s="47" t="s">
        <v>227</v>
      </c>
      <c r="E25" s="47" t="s">
        <v>228</v>
      </c>
      <c r="F25" s="45" t="s">
        <v>229</v>
      </c>
      <c r="G25" s="126" t="s">
        <v>55</v>
      </c>
      <c r="H25" s="47"/>
      <c r="I25" s="45" t="s">
        <v>230</v>
      </c>
      <c r="J25" s="45" t="s">
        <v>159</v>
      </c>
      <c r="K25" s="47" t="s">
        <v>227</v>
      </c>
      <c r="L25" s="47" t="s">
        <v>228</v>
      </c>
      <c r="M25" s="45" t="s">
        <v>229</v>
      </c>
      <c r="N25" s="126" t="s">
        <v>55</v>
      </c>
    </row>
    <row r="26" spans="1:19" x14ac:dyDescent="0.35">
      <c r="A26" s="66">
        <f>IFERROR(VLOOKUP(A24,Distance!A:B,2,FALSE),"")</f>
        <v>91</v>
      </c>
      <c r="B26" s="117">
        <f ca="1">IFERROR(INDIRECT(CONCATENATE("Distance!$d",A26)),"")</f>
        <v>1</v>
      </c>
      <c r="C26" s="117">
        <f ca="1">IFERROR(INDIRECT(CONCATENATE("Distance!$E",A26)),"")</f>
        <v>3</v>
      </c>
      <c r="D26" s="183" t="str">
        <f ca="1">IFERROR(INDIRECT(CONCATENATE("Distance!$F",$A26)),"")</f>
        <v>CLAGUE Kathryn</v>
      </c>
      <c r="E26" s="64" t="str">
        <f t="shared" ref="E26:E33" ca="1" si="4">IFERROR(VLOOKUP(C26,teamlookup,5,FALSE),"")</f>
        <v>York</v>
      </c>
      <c r="F26" s="123">
        <f ca="1">IFERROR(INDIRECT(CONCATENATE("Distance!$H",A26)),"")</f>
        <v>8.7899999999999991</v>
      </c>
      <c r="G26" s="108">
        <f ca="1">IFERROR(IF(F26&lt;A28,"",VLOOKUP(VLOOKUP(F26,A28:B31,2,TRUE),Points!$H$1:$I$5,2,FALSE)),"")</f>
        <v>1</v>
      </c>
      <c r="H26" s="67"/>
      <c r="I26" s="117">
        <f ca="1">IFERROR(INDIRECT(CONCATENATE("Distance!$j",A26)),"")</f>
        <v>1</v>
      </c>
      <c r="J26" s="117">
        <f ca="1">IFERROR(INDIRECT(CONCATENATE("Distance!$k",A26)),"")</f>
        <v>33</v>
      </c>
      <c r="K26" s="183" t="str">
        <f ca="1">IFERROR(INDIRECT(CONCATENATE("Distance!$L",$A26)),"")</f>
        <v>WRIGHT Ella</v>
      </c>
      <c r="L26" s="64" t="str">
        <f t="shared" ref="L26:L33" ca="1" si="5">IFERROR(VLOOKUP(J26,teamlookup,5,FALSE),"")</f>
        <v>York</v>
      </c>
      <c r="M26" s="123">
        <f ca="1">IFERROR(INDIRECT(CONCATENATE("Distance!$T",A26)),"")</f>
        <v>7.51</v>
      </c>
      <c r="N26" s="108">
        <f ca="1">IFERROR(IF(M26&lt;A28,"",VLOOKUP(VLOOKUP(M26,A28:B31,2,TRUE),Points!$H$1:$I$5,2,FALSE)),"")</f>
        <v>3</v>
      </c>
      <c r="P26" s="66">
        <f ca="1">IFERROR(IF(OR(C26=0,C26="",F26=0,F26="",F26="X"),0,VLOOKUP(B26,INDIRECT(MatchDay!$W$2),2,FALSE)),"")</f>
        <v>8</v>
      </c>
      <c r="Q26" s="66">
        <f ca="1">IFERROR(IF(OR(J26=0,J26="",M26=0,M26="",M26="X"),0,VLOOKUP(I26,INDIRECT(MatchDay!$W$2),3,FALSE)),"")</f>
        <v>6</v>
      </c>
      <c r="R26" s="219">
        <f ca="1">COUNTIF(C26,"&gt;0")</f>
        <v>1</v>
      </c>
      <c r="S26" s="66">
        <f ca="1">IFERROR(IF(C26&gt;88,1,0),0)</f>
        <v>0</v>
      </c>
    </row>
    <row r="27" spans="1:19" x14ac:dyDescent="0.35">
      <c r="A27" s="116" t="s">
        <v>55</v>
      </c>
      <c r="B27" s="117">
        <f ca="1">IFERROR(INDIRECT(CONCATENATE("Distance!$d",A26+1)),"")</f>
        <v>2</v>
      </c>
      <c r="C27" s="117">
        <f ca="1">IFERROR(INDIRECT(CONCATENATE("Distance!$E",A26+1)),"")</f>
        <v>1</v>
      </c>
      <c r="D27" s="183" t="str">
        <f ca="1">IFERROR(INDIRECT(CONCATENATE("Distance!$F",$A26+1)),"")</f>
        <v>FELLOWS Isabelle</v>
      </c>
      <c r="E27" s="64" t="str">
        <f t="shared" ca="1" si="4"/>
        <v>C'field</v>
      </c>
      <c r="F27" s="123">
        <f ca="1">IFERROR(INDIRECT(CONCATENATE("Distance!$H",A26+1)),"")</f>
        <v>7.75</v>
      </c>
      <c r="G27" s="108">
        <f ca="1">IFERROR(IF(F27&lt;A28,"",VLOOKUP(VLOOKUP(F27,A28:B31,2,TRUE),Points!$H$1:$I$5,2,FALSE)),"")</f>
        <v>3</v>
      </c>
      <c r="H27" s="67"/>
      <c r="I27" s="117">
        <f ca="1">IFERROR(INDIRECT(CONCATENATE("Distance!$j",A26+1)),"")</f>
        <v>2</v>
      </c>
      <c r="J27" s="117">
        <f ca="1">IFERROR(INDIRECT(CONCATENATE("Distance!$k",A26+1)),"")</f>
        <v>11</v>
      </c>
      <c r="K27" s="183" t="str">
        <f ca="1">IFERROR(INDIRECT(CONCATENATE("Distance!$L",$A26+1)),"")</f>
        <v>HALL Lottie</v>
      </c>
      <c r="L27" s="64" t="str">
        <f t="shared" ca="1" si="5"/>
        <v>C'field</v>
      </c>
      <c r="M27" s="123">
        <f ca="1">IFERROR(INDIRECT(CONCATENATE("Distance!$T",A26+1)),"")</f>
        <v>6.9</v>
      </c>
      <c r="N27" s="108">
        <f ca="1">IFERROR(IF(M27&lt;A28,"",VLOOKUP(VLOOKUP(M27,A28:B31,2,TRUE),Points!$H$1:$I$5,2,FALSE)),"")</f>
        <v>4</v>
      </c>
      <c r="P27" s="66">
        <f ca="1">IFERROR(IF(OR(C27=0,C27="",F27=0,F27="",F27="X"),0,VLOOKUP(B27,INDIRECT(MatchDay!$W$2),2,FALSE)),"")</f>
        <v>6</v>
      </c>
      <c r="Q27" s="66">
        <f ca="1">IFERROR(IF(OR(J27=0,J27="",M27=0,M27="",M27="X"),0,VLOOKUP(I27,INDIRECT(MatchDay!$W$2),3,FALSE)),"")</f>
        <v>4</v>
      </c>
    </row>
    <row r="28" spans="1:19" x14ac:dyDescent="0.35">
      <c r="A28" s="118">
        <f>IFERROR(VLOOKUP(A24,standards,6,FALSE),"-")</f>
        <v>6.55</v>
      </c>
      <c r="B28" s="117">
        <f ca="1">IFERROR(INDIRECT(CONCATENATE("Distance!$d",A26+2)),"")</f>
        <v>3</v>
      </c>
      <c r="C28" s="117">
        <f ca="1">IFERROR(INDIRECT(CONCATENATE("Distance!$E",A26+2)),"")</f>
        <v>4</v>
      </c>
      <c r="D28" s="183" t="str">
        <f ca="1">IFERROR(INDIRECT(CONCATENATE("Distance!$F",$A26+2)),"")</f>
        <v>SEDGWICK Emma</v>
      </c>
      <c r="E28" s="64" t="str">
        <f t="shared" ca="1" si="4"/>
        <v>M'bro</v>
      </c>
      <c r="F28" s="123">
        <f ca="1">IFERROR(INDIRECT(CONCATENATE("Distance!$H",A26+2)),"")</f>
        <v>6.25</v>
      </c>
      <c r="G28" s="108" t="str">
        <f ca="1">IFERROR(IF(F28&lt;A28,"",VLOOKUP(VLOOKUP(F28,A28:B31,2,TRUE),Points!$H$1:$I$5,2,FALSE)),"")</f>
        <v/>
      </c>
      <c r="H28" s="67"/>
      <c r="I28" s="117">
        <f ca="1">IFERROR(INDIRECT(CONCATENATE("Distance!$j",A26+2)),"")</f>
        <v>3</v>
      </c>
      <c r="J28" s="117">
        <f ca="1">IFERROR(INDIRECT(CONCATENATE("Distance!$k",A26+2)),"")</f>
        <v>55</v>
      </c>
      <c r="K28" s="183" t="str">
        <f ca="1">IFERROR(INDIRECT(CONCATENATE("Distance!$L",$A26+2)),"")</f>
        <v>CRESSEY Evie</v>
      </c>
      <c r="L28" s="64" t="str">
        <f t="shared" ca="1" si="5"/>
        <v>Scun</v>
      </c>
      <c r="M28" s="123">
        <f ca="1">IFERROR(INDIRECT(CONCATENATE("Distance!$T",A26+2)),"")</f>
        <v>4.7300000000000004</v>
      </c>
      <c r="N28" s="108" t="str">
        <f ca="1">IFERROR(IF(M28&lt;A28,"",VLOOKUP(VLOOKUP(M28,A28:B31,2,TRUE),Points!$H$1:$I$5,2,FALSE)),"")</f>
        <v/>
      </c>
      <c r="P28" s="66">
        <f ca="1">IFERROR(IF(OR(C28=0,C28="",F28=0,F28="",F28="X"),0,VLOOKUP(B28,INDIRECT(MatchDay!$W$2),2,FALSE)),"")</f>
        <v>5</v>
      </c>
      <c r="Q28" s="66">
        <f ca="1">IFERROR(IF(OR(J28=0,J28="",M28=0,M28="",M28="X"),0,VLOOKUP(I28,INDIRECT(MatchDay!$W$2),3,FALSE)),"")</f>
        <v>3</v>
      </c>
    </row>
    <row r="29" spans="1:19" x14ac:dyDescent="0.35">
      <c r="A29" s="118">
        <f>IFERROR(VLOOKUP(A24,standards,5,FALSE),"-")</f>
        <v>7.25</v>
      </c>
      <c r="B29" s="117">
        <f ca="1">IFERROR(INDIRECT(CONCATENATE("Distance!$d",A26+3)),"")</f>
        <v>4</v>
      </c>
      <c r="C29" s="117">
        <f ca="1">IFERROR(INDIRECT(CONCATENATE("Distance!$E",A26+3)),"")</f>
        <v>5</v>
      </c>
      <c r="D29" s="183" t="str">
        <f ca="1">IFERROR(INDIRECT(CONCATENATE("Distance!$F",$A26+3)),"")</f>
        <v>HAYES Zara</v>
      </c>
      <c r="E29" s="64" t="str">
        <f t="shared" ca="1" si="4"/>
        <v>Scun</v>
      </c>
      <c r="F29" s="123">
        <f ca="1">IFERROR(INDIRECT(CONCATENATE("Distance!$H",A26+3)),"")</f>
        <v>5.65</v>
      </c>
      <c r="G29" s="108" t="str">
        <f ca="1">IFERROR(IF(F29&lt;A28,"",VLOOKUP(VLOOKUP(F29,A28:B31,2,TRUE),Points!$H$1:$I$5,2,FALSE)),"")</f>
        <v/>
      </c>
      <c r="H29" s="67"/>
      <c r="I29" s="117">
        <f ca="1">IFERROR(INDIRECT(CONCATENATE("Distance!$j",A26+3)),"")</f>
        <v>4</v>
      </c>
      <c r="J29" s="117" t="str">
        <f ca="1">IFERROR(INDIRECT(CONCATENATE("Distance!$k",A26+3)),"")</f>
        <v/>
      </c>
      <c r="K29" s="183" t="str">
        <f ca="1">IFERROR(INDIRECT(CONCATENATE("Distance!$L",$A26+3)),"")</f>
        <v/>
      </c>
      <c r="L29" s="64" t="str">
        <f t="shared" ca="1" si="5"/>
        <v/>
      </c>
      <c r="M29" s="123" t="str">
        <f ca="1">IFERROR(INDIRECT(CONCATENATE("Distance!$T",A26+3)),"")</f>
        <v/>
      </c>
      <c r="N29" s="108" t="str">
        <f ca="1">IFERROR(IF(M29&lt;A28,"",VLOOKUP(VLOOKUP(M29,A28:B31,2,TRUE),Points!$H$1:$I$5,2,FALSE)),"")</f>
        <v/>
      </c>
      <c r="P29" s="66">
        <f ca="1">IFERROR(IF(OR(C29=0,C29="",F29=0,F29="",F29="X"),0,VLOOKUP(B29,INDIRECT(MatchDay!$W$2),2,FALSE)),"")</f>
        <v>4</v>
      </c>
      <c r="Q29" s="66">
        <f ca="1">IFERROR(IF(OR(J29=0,J29="",M29=0,M29="",M29="X"),0,VLOOKUP(I29,INDIRECT(MatchDay!$W$2),3,FALSE)),"")</f>
        <v>0</v>
      </c>
    </row>
    <row r="30" spans="1:19" x14ac:dyDescent="0.35">
      <c r="A30" s="118">
        <f>IFERROR(VLOOKUP(A24,standards,4,FALSE),"-")</f>
        <v>7.9</v>
      </c>
      <c r="B30" s="117">
        <f ca="1">IFERROR(INDIRECT(CONCATENATE("Distance!$d",A26+4)),"")</f>
        <v>5</v>
      </c>
      <c r="C30" s="117">
        <f ca="1">IFERROR(INDIRECT(CONCATENATE("Distance!$E",A26+4)),"")</f>
        <v>22</v>
      </c>
      <c r="D30" s="183" t="str">
        <f ca="1">IFERROR(INDIRECT(CONCATENATE("Distance!$F",$A26+4)),"")</f>
        <v>SCOTT Violet</v>
      </c>
      <c r="E30" s="64" t="str">
        <f t="shared" ca="1" si="4"/>
        <v>Sheff+D</v>
      </c>
      <c r="F30" s="123">
        <f ca="1">IFERROR(INDIRECT(CONCATENATE("Distance!$H",A26+4)),"")</f>
        <v>3.59</v>
      </c>
      <c r="G30" s="108" t="str">
        <f ca="1">IFERROR(IF(F30&lt;A28,"",VLOOKUP(VLOOKUP(F30,A28:B31,2,TRUE),Points!$H$1:$I$5,2,FALSE)),"")</f>
        <v/>
      </c>
      <c r="H30" s="67"/>
      <c r="I30" s="117">
        <f ca="1">IFERROR(INDIRECT(CONCATENATE("Distance!$j",A26+4)),"")</f>
        <v>5</v>
      </c>
      <c r="J30" s="117" t="str">
        <f ca="1">IFERROR(INDIRECT(CONCATENATE("Distance!$k",A26+4)),"")</f>
        <v/>
      </c>
      <c r="K30" s="183" t="str">
        <f ca="1">IFERROR(INDIRECT(CONCATENATE("Distance!$L",$A26+4)),"")</f>
        <v/>
      </c>
      <c r="L30" s="64" t="str">
        <f t="shared" ca="1" si="5"/>
        <v/>
      </c>
      <c r="M30" s="123" t="str">
        <f ca="1">IFERROR(INDIRECT(CONCATENATE("Distance!$T",A26+4)),"")</f>
        <v/>
      </c>
      <c r="N30" s="108" t="str">
        <f ca="1">IFERROR(IF(M30&lt;A28,"",VLOOKUP(VLOOKUP(M30,A28:B31,2,TRUE),Points!$H$1:$I$5,2,FALSE)),"")</f>
        <v/>
      </c>
      <c r="P30" s="66">
        <f ca="1">IFERROR(IF(OR(C30=0,C30="",F30=0,F30="",F30="X"),0,VLOOKUP(B30,INDIRECT(MatchDay!$W$2),2,FALSE)),"")</f>
        <v>3</v>
      </c>
      <c r="Q30" s="66">
        <f ca="1">IFERROR(IF(OR(J30=0,J30="",M30=0,M30="",M30="X"),0,VLOOKUP(I30,INDIRECT(MatchDay!$W$2),3,FALSE)),"")</f>
        <v>0</v>
      </c>
    </row>
    <row r="31" spans="1:19" x14ac:dyDescent="0.35">
      <c r="A31" s="118">
        <f>IFERROR(VLOOKUP(A24,standards,3,FALSE),"-")</f>
        <v>8.4499999999999993</v>
      </c>
      <c r="B31" s="117">
        <f ca="1">IFERROR(INDIRECT(CONCATENATE("Distance!$d",A26+5)),"")</f>
        <v>6</v>
      </c>
      <c r="C31" s="117" t="str">
        <f ca="1">IFERROR(INDIRECT(CONCATENATE("Distance!$E",A26+5)),"")</f>
        <v/>
      </c>
      <c r="D31" s="183" t="str">
        <f ca="1">IFERROR(INDIRECT(CONCATENATE("Distance!$F",$A26+5)),"")</f>
        <v/>
      </c>
      <c r="E31" s="64" t="str">
        <f t="shared" ca="1" si="4"/>
        <v/>
      </c>
      <c r="F31" s="123" t="str">
        <f ca="1">IFERROR(INDIRECT(CONCATENATE("Distance!$H",A26+5)),"")</f>
        <v/>
      </c>
      <c r="G31" s="108" t="str">
        <f ca="1">IFERROR(IF(F31&lt;A28,"",VLOOKUP(VLOOKUP(F31,A28:B31,2,TRUE),Points!$H$1:$I$5,2,FALSE)),"")</f>
        <v/>
      </c>
      <c r="H31" s="67"/>
      <c r="I31" s="117">
        <f ca="1">IFERROR(INDIRECT(CONCATENATE("Distance!$j",A26+5)),"")</f>
        <v>6</v>
      </c>
      <c r="J31" s="117" t="str">
        <f ca="1">IFERROR(INDIRECT(CONCATENATE("Distance!$k",A26+5)),"")</f>
        <v/>
      </c>
      <c r="K31" s="183" t="str">
        <f ca="1">IFERROR(INDIRECT(CONCATENATE("Distance!$L",$A26+5)),"")</f>
        <v/>
      </c>
      <c r="L31" s="64" t="str">
        <f t="shared" ca="1" si="5"/>
        <v/>
      </c>
      <c r="M31" s="123" t="str">
        <f ca="1">IFERROR(INDIRECT(CONCATENATE("Distance!$T",A26+5)),"")</f>
        <v/>
      </c>
      <c r="N31" s="108" t="str">
        <f ca="1">IFERROR(IF(M31&lt;A28,"",VLOOKUP(VLOOKUP(M31,A28:B31,2,TRUE),Points!$H$1:$I$5,2,FALSE)),"")</f>
        <v/>
      </c>
      <c r="P31" s="66">
        <f ca="1">IFERROR(IF(OR(C31=0,C31="",F31=0,F31="",F31="X"),0,VLOOKUP(B31,INDIRECT(MatchDay!$W$2),2,FALSE)),"")</f>
        <v>0</v>
      </c>
      <c r="Q31" s="66">
        <f ca="1">IFERROR(IF(OR(J31=0,J31="",M31=0,M31="",M31="X"),0,VLOOKUP(I31,INDIRECT(MatchDay!$W$2),3,FALSE)),"")</f>
        <v>0</v>
      </c>
    </row>
    <row r="32" spans="1:19" x14ac:dyDescent="0.35">
      <c r="A32" s="116" t="s">
        <v>204</v>
      </c>
      <c r="B32" s="117">
        <f ca="1">IFERROR(INDIRECT(CONCATENATE("Distance!$d",A26+6)),"")</f>
        <v>7</v>
      </c>
      <c r="C32" s="117" t="str">
        <f ca="1">IFERROR(INDIRECT(CONCATENATE("Distance!$E",A26+6)),"")</f>
        <v/>
      </c>
      <c r="D32" s="183" t="str">
        <f ca="1">IFERROR(INDIRECT(CONCATENATE("Distance!$F",$A26+6)),"")</f>
        <v/>
      </c>
      <c r="E32" s="64" t="str">
        <f t="shared" ca="1" si="4"/>
        <v/>
      </c>
      <c r="F32" s="123" t="str">
        <f ca="1">IFERROR(INDIRECT(CONCATENATE("Distance!$H",A26+6)),"")</f>
        <v/>
      </c>
      <c r="G32" s="108" t="str">
        <f ca="1">IFERROR(IF(F32&lt;A28,"",VLOOKUP(VLOOKUP(F32,A28:B31,2,TRUE),Points!$H$1:$I$5,2,FALSE)),"")</f>
        <v/>
      </c>
      <c r="H32" s="67"/>
      <c r="I32" s="117">
        <f ca="1">IFERROR(INDIRECT(CONCATENATE("Distance!$j",A26+6)),"")</f>
        <v>7</v>
      </c>
      <c r="J32" s="117" t="str">
        <f ca="1">IFERROR(INDIRECT(CONCATENATE("Distance!$k",A26+6)),"")</f>
        <v/>
      </c>
      <c r="K32" s="183" t="str">
        <f ca="1">IFERROR(INDIRECT(CONCATENATE("Distance!$L",$A26+6)),"")</f>
        <v/>
      </c>
      <c r="L32" s="64" t="str">
        <f t="shared" ca="1" si="5"/>
        <v/>
      </c>
      <c r="M32" s="123" t="str">
        <f ca="1">IFERROR(INDIRECT(CONCATENATE("Distance!$T",A26+6)),"")</f>
        <v/>
      </c>
      <c r="N32" s="108" t="str">
        <f ca="1">IFERROR(IF(M32&lt;A28,"",VLOOKUP(VLOOKUP(M32,A28:B31,2,TRUE),Points!$H$1:$I$5,2,FALSE)),"")</f>
        <v/>
      </c>
      <c r="P32" s="66">
        <f ca="1">IFERROR(IF(OR(C32=0,C32="",F32=0,F32="",F32="X"),0,VLOOKUP(B32,INDIRECT(MatchDay!$W$2),2,FALSE)),"")</f>
        <v>0</v>
      </c>
      <c r="Q32" s="66">
        <f ca="1">IFERROR(IF(OR(J32=0,J32="",M32=0,M32="",M32="X"),0,VLOOKUP(I32,INDIRECT(MatchDay!$W$2),3,FALSE)),"")</f>
        <v>0</v>
      </c>
    </row>
    <row r="33" spans="1:19" x14ac:dyDescent="0.35">
      <c r="A33" s="116">
        <f>IFERROR(VLOOKUP(A24,records,5,FALSE),"")</f>
        <v>12.19</v>
      </c>
      <c r="B33" s="117">
        <f ca="1">IFERROR(INDIRECT(CONCATENATE("Distance!$d",A26+7)),"")</f>
        <v>8</v>
      </c>
      <c r="C33" s="117" t="str">
        <f ca="1">IFERROR(INDIRECT(CONCATENATE("Distance!$E",A26+7)),"")</f>
        <v/>
      </c>
      <c r="D33" s="183" t="str">
        <f ca="1">IFERROR(INDIRECT(CONCATENATE("Distance!$F",$A26+7)),"")</f>
        <v/>
      </c>
      <c r="E33" s="64" t="str">
        <f t="shared" ca="1" si="4"/>
        <v/>
      </c>
      <c r="F33" s="123" t="str">
        <f ca="1">IFERROR(INDIRECT(CONCATENATE("Distance!$H",A26+7)),"")</f>
        <v/>
      </c>
      <c r="G33" s="108" t="str">
        <f ca="1">IFERROR(IF(F33&lt;A28,"",VLOOKUP(VLOOKUP(F33,A28:B31,2,TRUE),Points!$H$1:$I$5,2,FALSE)),"")</f>
        <v/>
      </c>
      <c r="H33" s="67"/>
      <c r="I33" s="117">
        <f ca="1">IFERROR(INDIRECT(CONCATENATE("Distance!$j",A26+7)),"")</f>
        <v>8</v>
      </c>
      <c r="J33" s="117" t="str">
        <f ca="1">IFERROR(INDIRECT(CONCATENATE("Distance!$k",A26+7)),"")</f>
        <v/>
      </c>
      <c r="K33" s="183" t="str">
        <f ca="1">IFERROR(INDIRECT(CONCATENATE("Distance!$L",$A26+7)),"")</f>
        <v/>
      </c>
      <c r="L33" s="64" t="str">
        <f t="shared" ca="1" si="5"/>
        <v/>
      </c>
      <c r="M33" s="123" t="str">
        <f ca="1">IFERROR(INDIRECT(CONCATENATE("Distance!$T",A26+7)),"")</f>
        <v/>
      </c>
      <c r="N33" s="108" t="str">
        <f ca="1">IFERROR(IF(M33&lt;A28,"",VLOOKUP(VLOOKUP(M33,A28:B31,2,TRUE),Points!$H$1:$I$5,2,FALSE)),"")</f>
        <v/>
      </c>
      <c r="P33" s="66">
        <f ca="1">IFERROR(IF(OR(C33=0,C33="",F33=0,F33="",F33="X"),0,VLOOKUP(B33,INDIRECT(MatchDay!$W$2),2,FALSE)),"")</f>
        <v>0</v>
      </c>
      <c r="Q33" s="66">
        <f ca="1">IFERROR(IF(OR(J33=0,J33="",M33=0,M33="",M33="X"),0,VLOOKUP(I33,INDIRECT(MatchDay!$W$2),3,FALSE)),"")</f>
        <v>0</v>
      </c>
    </row>
    <row r="35" spans="1:19" x14ac:dyDescent="0.35">
      <c r="A35" s="111" t="s">
        <v>237</v>
      </c>
      <c r="B35" s="112" t="str">
        <f>IFERROR(VLOOKUP(A35,timetables,2,FALSE)&amp;" "&amp;VLOOKUP(A35,timetables,3,FALSE)&amp;" A","")</f>
        <v>Discus U15 Boys A</v>
      </c>
      <c r="C35" s="112"/>
      <c r="F35" s="121" t="str">
        <f ca="1">IFERROR(IF(OR(F37=0,F37="",F37="X"),"",IF(F37&gt;A44,"REC",IF(F37=A44,"=Rec",""))),"")</f>
        <v/>
      </c>
      <c r="G35" s="198" t="str">
        <f ca="1">IFERROR(IF(OR(F37=0,F37="",F37="X"),"",IF(F37&gt;A44,"REC",IF(F37=A44,"=Rec",""))),"")</f>
        <v/>
      </c>
      <c r="I35" s="114" t="str">
        <f>IFERROR(VLOOKUP(A35,timetables,2,FALSE)&amp;" "&amp;VLOOKUP(A35,timetables,3,FALSE)&amp;" B","")</f>
        <v>Discus U15 Boys B</v>
      </c>
      <c r="J35" s="115"/>
      <c r="P35" s="66" t="s">
        <v>53</v>
      </c>
      <c r="Q35" s="66" t="s">
        <v>54</v>
      </c>
    </row>
    <row r="36" spans="1:19" x14ac:dyDescent="0.35">
      <c r="A36" s="82"/>
      <c r="B36" s="45" t="s">
        <v>230</v>
      </c>
      <c r="C36" s="45" t="s">
        <v>159</v>
      </c>
      <c r="D36" s="47" t="s">
        <v>227</v>
      </c>
      <c r="E36" s="47" t="s">
        <v>228</v>
      </c>
      <c r="F36" s="45" t="s">
        <v>229</v>
      </c>
      <c r="G36" s="126" t="s">
        <v>55</v>
      </c>
      <c r="H36" s="47"/>
      <c r="I36" s="45" t="s">
        <v>230</v>
      </c>
      <c r="J36" s="45" t="s">
        <v>159</v>
      </c>
      <c r="K36" s="47" t="s">
        <v>227</v>
      </c>
      <c r="L36" s="47" t="s">
        <v>228</v>
      </c>
      <c r="M36" s="45" t="s">
        <v>229</v>
      </c>
      <c r="N36" s="126" t="s">
        <v>55</v>
      </c>
    </row>
    <row r="37" spans="1:19" x14ac:dyDescent="0.35">
      <c r="A37" s="66">
        <f>IFERROR(VLOOKUP(A35,Distance!A:B,2,FALSE),"")</f>
        <v>123</v>
      </c>
      <c r="B37" s="117">
        <f ca="1">IFERROR(INDIRECT(CONCATENATE("Distance!$d",A37)),"")</f>
        <v>1</v>
      </c>
      <c r="C37" s="117">
        <f ca="1">IFERROR(INDIRECT(CONCATENATE("Distance!$E",A37)),"")</f>
        <v>5</v>
      </c>
      <c r="D37" s="183" t="str">
        <f ca="1">IFERROR(INDIRECT(CONCATENATE("Distance!$F",$A37)),"")</f>
        <v>COOK Edwin</v>
      </c>
      <c r="E37" s="64" t="str">
        <f t="shared" ref="E37:E44" ca="1" si="6">IFERROR(VLOOKUP(C37,teamlookup,5,FALSE),"")</f>
        <v>Scun</v>
      </c>
      <c r="F37" s="123">
        <f ca="1">IFERROR(INDIRECT(CONCATENATE("Distance!$H",A37)),"")</f>
        <v>18.54</v>
      </c>
      <c r="G37" s="108" t="str">
        <f ca="1">IFERROR(IF(F37&lt;A39,"",VLOOKUP(VLOOKUP(F37,A39:B42,2,TRUE),Points!$H$1:$I$5,2,FALSE)),"")</f>
        <v/>
      </c>
      <c r="H37" s="67"/>
      <c r="I37" s="117">
        <f ca="1">IFERROR(INDIRECT(CONCATENATE("Distance!$j",A37)),"")</f>
        <v>1</v>
      </c>
      <c r="J37" s="117">
        <f ca="1">IFERROR(INDIRECT(CONCATENATE("Distance!$k",A37)),"")</f>
        <v>3</v>
      </c>
      <c r="K37" s="183" t="str">
        <f ca="1">IFERROR(INDIRECT(CONCATENATE("Distance!$L",$A37)),"")</f>
        <v>RHODES Ashton</v>
      </c>
      <c r="L37" s="64" t="str">
        <f t="shared" ref="L37:L44" ca="1" si="7">IFERROR(VLOOKUP(J37,teamlookup,5,FALSE),"")</f>
        <v>York</v>
      </c>
      <c r="M37" s="123">
        <f ca="1">IFERROR(INDIRECT(CONCATENATE("Distance!$T",A37)),"")</f>
        <v>15.79</v>
      </c>
      <c r="N37" s="108" t="str">
        <f ca="1">IFERROR(IF(M37&lt;A39,"",VLOOKUP(VLOOKUP(M37,A39:B42,2,TRUE),Points!$H$1:$I$5,2,FALSE)),"")</f>
        <v/>
      </c>
      <c r="P37" s="66">
        <f ca="1">IFERROR(IF(OR(C37=0,C37="",F37=0,F37="",F37="X"),0,VLOOKUP(B37,INDIRECT(MatchDay!$W$2),2,FALSE)),"")</f>
        <v>8</v>
      </c>
      <c r="Q37" s="66">
        <f ca="1">IFERROR(IF(OR(J37=0,J37="",M37=0,M37="",M37="X"),0,VLOOKUP(I37,INDIRECT(MatchDay!$W$2),3,FALSE)),"")</f>
        <v>6</v>
      </c>
      <c r="R37" s="219">
        <f ca="1">COUNTIF(C37,"&gt;0")</f>
        <v>1</v>
      </c>
      <c r="S37" s="66">
        <f ca="1">IFERROR(IF(C37&gt;88,1,0),0)</f>
        <v>0</v>
      </c>
    </row>
    <row r="38" spans="1:19" x14ac:dyDescent="0.35">
      <c r="A38" s="116" t="s">
        <v>55</v>
      </c>
      <c r="B38" s="117">
        <f ca="1">IFERROR(INDIRECT(CONCATENATE("Distance!$d",A37+1)),"")</f>
        <v>2</v>
      </c>
      <c r="C38" s="117">
        <f ca="1">IFERROR(INDIRECT(CONCATENATE("Distance!$E",A37+1)),"")</f>
        <v>1</v>
      </c>
      <c r="D38" s="183" t="str">
        <f ca="1">IFERROR(INDIRECT(CONCATENATE("Distance!$F",$A37+1)),"")</f>
        <v>COOPER Malachi</v>
      </c>
      <c r="E38" s="64" t="str">
        <f t="shared" ca="1" si="6"/>
        <v>C'field</v>
      </c>
      <c r="F38" s="123">
        <f ca="1">IFERROR(INDIRECT(CONCATENATE("Distance!$H",A37+1)),"")</f>
        <v>16.04</v>
      </c>
      <c r="G38" s="108" t="str">
        <f ca="1">IFERROR(IF(F38&lt;A39,"",VLOOKUP(VLOOKUP(F38,A39:B42,2,TRUE),Points!$H$1:$I$5,2,FALSE)),"")</f>
        <v/>
      </c>
      <c r="H38" s="67"/>
      <c r="I38" s="117">
        <f ca="1">IFERROR(INDIRECT(CONCATENATE("Distance!$j",A37+1)),"")</f>
        <v>2</v>
      </c>
      <c r="J38" s="117">
        <f ca="1">IFERROR(INDIRECT(CONCATENATE("Distance!$k",A37+1)),"")</f>
        <v>11</v>
      </c>
      <c r="K38" s="183" t="str">
        <f ca="1">IFERROR(INDIRECT(CONCATENATE("Distance!$L",$A37+1)),"")</f>
        <v>PEERS-WAIN Jacob</v>
      </c>
      <c r="L38" s="64" t="str">
        <f t="shared" ca="1" si="7"/>
        <v>C'field</v>
      </c>
      <c r="M38" s="123">
        <f ca="1">IFERROR(INDIRECT(CONCATENATE("Distance!$T",A37+1)),"")</f>
        <v>10.24</v>
      </c>
      <c r="N38" s="108" t="str">
        <f ca="1">IFERROR(IF(M38&lt;A39,"",VLOOKUP(VLOOKUP(M38,A39:B42,2,TRUE),Points!$H$1:$I$5,2,FALSE)),"")</f>
        <v/>
      </c>
      <c r="P38" s="66">
        <f ca="1">IFERROR(IF(OR(C38=0,C38="",F38=0,F38="",F38="X"),0,VLOOKUP(B38,INDIRECT(MatchDay!$W$2),2,FALSE)),"")</f>
        <v>6</v>
      </c>
      <c r="Q38" s="66">
        <f ca="1">IFERROR(IF(OR(J38=0,J38="",M38=0,M38="",M38="X"),0,VLOOKUP(I38,INDIRECT(MatchDay!$W$2),3,FALSE)),"")</f>
        <v>4</v>
      </c>
    </row>
    <row r="39" spans="1:19" x14ac:dyDescent="0.35">
      <c r="A39" s="118">
        <f>IFERROR(VLOOKUP(A35,standards,6,FALSE),"-")</f>
        <v>25.5</v>
      </c>
      <c r="B39" s="117">
        <f ca="1">IFERROR(INDIRECT(CONCATENATE("Distance!$d",A37+2)),"")</f>
        <v>3</v>
      </c>
      <c r="C39" s="117">
        <f ca="1">IFERROR(INDIRECT(CONCATENATE("Distance!$E",A37+2)),"")</f>
        <v>33</v>
      </c>
      <c r="D39" s="183" t="str">
        <f ca="1">IFERROR(INDIRECT(CONCATENATE("Distance!$F",$A37+2)),"")</f>
        <v>BROOKS Rory</v>
      </c>
      <c r="E39" s="64" t="str">
        <f t="shared" ca="1" si="6"/>
        <v>York</v>
      </c>
      <c r="F39" s="123">
        <f ca="1">IFERROR(INDIRECT(CONCATENATE("Distance!$H",A37+2)),"")</f>
        <v>15.91</v>
      </c>
      <c r="G39" s="108" t="str">
        <f ca="1">IFERROR(IF(F39&lt;A39,"",VLOOKUP(VLOOKUP(F39,A39:B42,2,TRUE),Points!$H$1:$I$5,2,FALSE)),"")</f>
        <v/>
      </c>
      <c r="H39" s="67"/>
      <c r="I39" s="117">
        <f ca="1">IFERROR(INDIRECT(CONCATENATE("Distance!$j",A37+2)),"")</f>
        <v>3</v>
      </c>
      <c r="J39" s="117">
        <f ca="1">IFERROR(INDIRECT(CONCATENATE("Distance!$k",A37+2)),"")</f>
        <v>22</v>
      </c>
      <c r="K39" s="183" t="str">
        <f ca="1">IFERROR(INDIRECT(CONCATENATE("Distance!$L",$A37+2)),"")</f>
        <v>KRIEL PARR George</v>
      </c>
      <c r="L39" s="64" t="str">
        <f t="shared" ca="1" si="7"/>
        <v>Sheff+D</v>
      </c>
      <c r="M39" s="123">
        <f ca="1">IFERROR(INDIRECT(CONCATENATE("Distance!$T",A37+2)),"")</f>
        <v>9.89</v>
      </c>
      <c r="N39" s="108" t="str">
        <f ca="1">IFERROR(IF(M39&lt;A39,"",VLOOKUP(VLOOKUP(M39,A39:B42,2,TRUE),Points!$H$1:$I$5,2,FALSE)),"")</f>
        <v/>
      </c>
      <c r="P39" s="66">
        <f ca="1">IFERROR(IF(OR(C39=0,C39="",F39=0,F39="",F39="X"),0,VLOOKUP(B39,INDIRECT(MatchDay!$W$2),2,FALSE)),"")</f>
        <v>5</v>
      </c>
      <c r="Q39" s="66">
        <f ca="1">IFERROR(IF(OR(J39=0,J39="",M39=0,M39="",M39="X"),0,VLOOKUP(I39,INDIRECT(MatchDay!$W$2),3,FALSE)),"")</f>
        <v>3</v>
      </c>
    </row>
    <row r="40" spans="1:19" x14ac:dyDescent="0.35">
      <c r="A40" s="118">
        <f>IFERROR(VLOOKUP(A35,standards,5,FALSE),"-")</f>
        <v>28.95</v>
      </c>
      <c r="B40" s="117">
        <f ca="1">IFERROR(INDIRECT(CONCATENATE("Distance!$d",A37+3)),"")</f>
        <v>4</v>
      </c>
      <c r="C40" s="117">
        <f ca="1">IFERROR(INDIRECT(CONCATENATE("Distance!$E",A37+3)),"")</f>
        <v>2</v>
      </c>
      <c r="D40" s="183" t="str">
        <f ca="1">IFERROR(INDIRECT(CONCATENATE("Distance!$F",$A37+3)),"")</f>
        <v>WAINWRIGHT James</v>
      </c>
      <c r="E40" s="64" t="str">
        <f t="shared" ca="1" si="6"/>
        <v>Sheff+D</v>
      </c>
      <c r="F40" s="123">
        <f ca="1">IFERROR(INDIRECT(CONCATENATE("Distance!$H",A37+3)),"")</f>
        <v>10.8</v>
      </c>
      <c r="G40" s="108" t="str">
        <f ca="1">IFERROR(IF(F40&lt;A39,"",VLOOKUP(VLOOKUP(F40,A39:B42,2,TRUE),Points!$H$1:$I$5,2,FALSE)),"")</f>
        <v/>
      </c>
      <c r="H40" s="67"/>
      <c r="I40" s="117">
        <f ca="1">IFERROR(INDIRECT(CONCATENATE("Distance!$j",A37+3)),"")</f>
        <v>4</v>
      </c>
      <c r="J40" s="117" t="str">
        <f ca="1">IFERROR(INDIRECT(CONCATENATE("Distance!$k",A37+3)),"")</f>
        <v/>
      </c>
      <c r="K40" s="183" t="str">
        <f ca="1">IFERROR(INDIRECT(CONCATENATE("Distance!$L",$A37+3)),"")</f>
        <v/>
      </c>
      <c r="L40" s="64" t="str">
        <f t="shared" ca="1" si="7"/>
        <v/>
      </c>
      <c r="M40" s="123" t="str">
        <f ca="1">IFERROR(INDIRECT(CONCATENATE("Distance!$T",A37+3)),"")</f>
        <v/>
      </c>
      <c r="N40" s="108" t="str">
        <f ca="1">IFERROR(IF(M40&lt;A39,"",VLOOKUP(VLOOKUP(M40,A39:B42,2,TRUE),Points!$H$1:$I$5,2,FALSE)),"")</f>
        <v/>
      </c>
      <c r="P40" s="66">
        <f ca="1">IFERROR(IF(OR(C40=0,C40="",F40=0,F40="",F40="X"),0,VLOOKUP(B40,INDIRECT(MatchDay!$W$2),2,FALSE)),"")</f>
        <v>4</v>
      </c>
      <c r="Q40" s="66">
        <f ca="1">IFERROR(IF(OR(J40=0,J40="",M40=0,M40="",M40="X"),0,VLOOKUP(I40,INDIRECT(MatchDay!$W$2),3,FALSE)),"")</f>
        <v>0</v>
      </c>
    </row>
    <row r="41" spans="1:19" x14ac:dyDescent="0.35">
      <c r="A41" s="118">
        <f>IFERROR(VLOOKUP(A35,standards,4,FALSE),"-")</f>
        <v>32.299999999999997</v>
      </c>
      <c r="B41" s="117">
        <f ca="1">IFERROR(INDIRECT(CONCATENATE("Distance!$d",A37+4)),"")</f>
        <v>5</v>
      </c>
      <c r="C41" s="117">
        <f ca="1">IFERROR(INDIRECT(CONCATENATE("Distance!$E",A37+4)),"")</f>
        <v>4</v>
      </c>
      <c r="D41" s="183" t="str">
        <f ca="1">IFERROR(INDIRECT(CONCATENATE("Distance!$F",$A37+4)),"")</f>
        <v>BELL Callum</v>
      </c>
      <c r="E41" s="64" t="str">
        <f t="shared" ca="1" si="6"/>
        <v>M'bro</v>
      </c>
      <c r="F41" s="123">
        <f ca="1">IFERROR(INDIRECT(CONCATENATE("Distance!$H",A37+4)),"")</f>
        <v>10.47</v>
      </c>
      <c r="G41" s="108" t="str">
        <f ca="1">IFERROR(IF(F41&lt;A39,"",VLOOKUP(VLOOKUP(F41,A39:B42,2,TRUE),Points!$H$1:$I$5,2,FALSE)),"")</f>
        <v/>
      </c>
      <c r="H41" s="67"/>
      <c r="I41" s="117">
        <f ca="1">IFERROR(INDIRECT(CONCATENATE("Distance!$j",A37+4)),"")</f>
        <v>5</v>
      </c>
      <c r="J41" s="117" t="str">
        <f ca="1">IFERROR(INDIRECT(CONCATENATE("Distance!$k",A37+4)),"")</f>
        <v/>
      </c>
      <c r="K41" s="183" t="str">
        <f ca="1">IFERROR(INDIRECT(CONCATENATE("Distance!$L",$A37+4)),"")</f>
        <v/>
      </c>
      <c r="L41" s="64" t="str">
        <f t="shared" ca="1" si="7"/>
        <v/>
      </c>
      <c r="M41" s="123" t="str">
        <f ca="1">IFERROR(INDIRECT(CONCATENATE("Distance!$T",A37+4)),"")</f>
        <v/>
      </c>
      <c r="N41" s="108" t="str">
        <f ca="1">IFERROR(IF(M41&lt;A39,"",VLOOKUP(VLOOKUP(M41,A39:B42,2,TRUE),Points!$H$1:$I$5,2,FALSE)),"")</f>
        <v/>
      </c>
      <c r="P41" s="66">
        <f ca="1">IFERROR(IF(OR(C41=0,C41="",F41=0,F41="",F41="X"),0,VLOOKUP(B41,INDIRECT(MatchDay!$W$2),2,FALSE)),"")</f>
        <v>3</v>
      </c>
      <c r="Q41" s="66">
        <f ca="1">IFERROR(IF(OR(J41=0,J41="",M41=0,M41="",M41="X"),0,VLOOKUP(I41,INDIRECT(MatchDay!$W$2),3,FALSE)),"")</f>
        <v>0</v>
      </c>
    </row>
    <row r="42" spans="1:19" x14ac:dyDescent="0.35">
      <c r="A42" s="118">
        <f>IFERROR(VLOOKUP(A35,standards,3,FALSE),"-")</f>
        <v>35.200000000000003</v>
      </c>
      <c r="B42" s="117">
        <f ca="1">IFERROR(INDIRECT(CONCATENATE("Distance!$d",A37+5)),"")</f>
        <v>6</v>
      </c>
      <c r="C42" s="117" t="str">
        <f ca="1">IFERROR(INDIRECT(CONCATENATE("Distance!$E",A37+5)),"")</f>
        <v/>
      </c>
      <c r="D42" s="183" t="str">
        <f ca="1">IFERROR(INDIRECT(CONCATENATE("Distance!$F",$A37+5)),"")</f>
        <v/>
      </c>
      <c r="E42" s="64" t="str">
        <f t="shared" ca="1" si="6"/>
        <v/>
      </c>
      <c r="F42" s="123" t="str">
        <f ca="1">IFERROR(INDIRECT(CONCATENATE("Distance!$H",A37+5)),"")</f>
        <v/>
      </c>
      <c r="G42" s="108" t="str">
        <f ca="1">IFERROR(IF(F42&lt;A39,"",VLOOKUP(VLOOKUP(F42,A39:B42,2,TRUE),Points!$H$1:$I$5,2,FALSE)),"")</f>
        <v/>
      </c>
      <c r="H42" s="67"/>
      <c r="I42" s="117">
        <f ca="1">IFERROR(INDIRECT(CONCATENATE("Distance!$j",A37+5)),"")</f>
        <v>6</v>
      </c>
      <c r="J42" s="117" t="str">
        <f ca="1">IFERROR(INDIRECT(CONCATENATE("Distance!$k",A37+5)),"")</f>
        <v/>
      </c>
      <c r="K42" s="183" t="str">
        <f ca="1">IFERROR(INDIRECT(CONCATENATE("Distance!$L",$A37+5)),"")</f>
        <v/>
      </c>
      <c r="L42" s="64" t="str">
        <f t="shared" ca="1" si="7"/>
        <v/>
      </c>
      <c r="M42" s="123" t="str">
        <f ca="1">IFERROR(INDIRECT(CONCATENATE("Distance!$T",A37+5)),"")</f>
        <v/>
      </c>
      <c r="N42" s="108" t="str">
        <f ca="1">IFERROR(IF(M42&lt;A39,"",VLOOKUP(VLOOKUP(M42,A39:B42,2,TRUE),Points!$H$1:$I$5,2,FALSE)),"")</f>
        <v/>
      </c>
      <c r="P42" s="66">
        <f ca="1">IFERROR(IF(OR(C42=0,C42="",F42=0,F42="",F42="X"),0,VLOOKUP(B42,INDIRECT(MatchDay!$W$2),2,FALSE)),"")</f>
        <v>0</v>
      </c>
      <c r="Q42" s="66">
        <f ca="1">IFERROR(IF(OR(J42=0,J42="",M42=0,M42="",M42="X"),0,VLOOKUP(I42,INDIRECT(MatchDay!$W$2),3,FALSE)),"")</f>
        <v>0</v>
      </c>
    </row>
    <row r="43" spans="1:19" x14ac:dyDescent="0.35">
      <c r="A43" s="116" t="s">
        <v>204</v>
      </c>
      <c r="B43" s="117">
        <f ca="1">IFERROR(INDIRECT(CONCATENATE("Distance!$d",A37+6)),"")</f>
        <v>7</v>
      </c>
      <c r="C43" s="117" t="str">
        <f ca="1">IFERROR(INDIRECT(CONCATENATE("Distance!$E",A37+6)),"")</f>
        <v/>
      </c>
      <c r="D43" s="183" t="str">
        <f ca="1">IFERROR(INDIRECT(CONCATENATE("Distance!$F",$A37+6)),"")</f>
        <v/>
      </c>
      <c r="E43" s="64" t="str">
        <f t="shared" ca="1" si="6"/>
        <v/>
      </c>
      <c r="F43" s="123" t="str">
        <f ca="1">IFERROR(INDIRECT(CONCATENATE("Distance!$H",A37+6)),"")</f>
        <v/>
      </c>
      <c r="G43" s="108" t="str">
        <f ca="1">IFERROR(IF(F43&lt;A39,"",VLOOKUP(VLOOKUP(F43,A39:B42,2,TRUE),Points!$H$1:$I$5,2,FALSE)),"")</f>
        <v/>
      </c>
      <c r="H43" s="67"/>
      <c r="I43" s="117">
        <f ca="1">IFERROR(INDIRECT(CONCATENATE("Distance!$j",A37+6)),"")</f>
        <v>7</v>
      </c>
      <c r="J43" s="117" t="str">
        <f ca="1">IFERROR(INDIRECT(CONCATENATE("Distance!$k",A37+6)),"")</f>
        <v/>
      </c>
      <c r="K43" s="183" t="str">
        <f ca="1">IFERROR(INDIRECT(CONCATENATE("Distance!$L",$A37+6)),"")</f>
        <v/>
      </c>
      <c r="L43" s="64" t="str">
        <f t="shared" ca="1" si="7"/>
        <v/>
      </c>
      <c r="M43" s="123" t="str">
        <f ca="1">IFERROR(INDIRECT(CONCATENATE("Distance!$T",A37+6)),"")</f>
        <v/>
      </c>
      <c r="N43" s="108" t="str">
        <f ca="1">IFERROR(IF(M43&lt;A39,"",VLOOKUP(VLOOKUP(M43,A39:B42,2,TRUE),Points!$H$1:$I$5,2,FALSE)),"")</f>
        <v/>
      </c>
      <c r="P43" s="66">
        <f ca="1">IFERROR(IF(OR(C43=0,C43="",F43=0,F43="",F43="X"),0,VLOOKUP(B43,INDIRECT(MatchDay!$W$2),2,FALSE)),"")</f>
        <v>0</v>
      </c>
      <c r="Q43" s="66">
        <f ca="1">IFERROR(IF(OR(J43=0,J43="",M43=0,M43="",M43="X"),0,VLOOKUP(I43,INDIRECT(MatchDay!$W$2),3,FALSE)),"")</f>
        <v>0</v>
      </c>
    </row>
    <row r="44" spans="1:19" x14ac:dyDescent="0.35">
      <c r="A44" s="116">
        <f>IFERROR(VLOOKUP(A35,records,5,FALSE),"")</f>
        <v>49.53</v>
      </c>
      <c r="B44" s="117">
        <f ca="1">IFERROR(INDIRECT(CONCATENATE("Distance!$d",A37+7)),"")</f>
        <v>8</v>
      </c>
      <c r="C44" s="117" t="str">
        <f ca="1">IFERROR(INDIRECT(CONCATENATE("Distance!$E",A37+7)),"")</f>
        <v/>
      </c>
      <c r="D44" s="183" t="str">
        <f ca="1">IFERROR(INDIRECT(CONCATENATE("Distance!$F",$A37+7)),"")</f>
        <v/>
      </c>
      <c r="E44" s="64" t="str">
        <f t="shared" ca="1" si="6"/>
        <v/>
      </c>
      <c r="F44" s="123" t="str">
        <f ca="1">IFERROR(INDIRECT(CONCATENATE("Distance!$H",A37+7)),"")</f>
        <v/>
      </c>
      <c r="G44" s="108" t="str">
        <f ca="1">IFERROR(IF(F44&lt;A39,"",VLOOKUP(VLOOKUP(F44,A39:B42,2,TRUE),Points!$H$1:$I$5,2,FALSE)),"")</f>
        <v/>
      </c>
      <c r="H44" s="67"/>
      <c r="I44" s="117">
        <f ca="1">IFERROR(INDIRECT(CONCATENATE("Distance!$j",A37+7)),"")</f>
        <v>8</v>
      </c>
      <c r="J44" s="117" t="str">
        <f ca="1">IFERROR(INDIRECT(CONCATENATE("Distance!$k",A37+7)),"")</f>
        <v/>
      </c>
      <c r="K44" s="183" t="str">
        <f ca="1">IFERROR(INDIRECT(CONCATENATE("Distance!$L",$A37+7)),"")</f>
        <v/>
      </c>
      <c r="L44" s="64" t="str">
        <f t="shared" ca="1" si="7"/>
        <v/>
      </c>
      <c r="M44" s="123" t="str">
        <f ca="1">IFERROR(INDIRECT(CONCATENATE("Distance!$T",A37+7)),"")</f>
        <v/>
      </c>
      <c r="N44" s="108" t="str">
        <f ca="1">IFERROR(IF(M44&lt;A39,"",VLOOKUP(VLOOKUP(M44,A39:B42,2,TRUE),Points!$H$1:$I$5,2,FALSE)),"")</f>
        <v/>
      </c>
      <c r="P44" s="66">
        <f ca="1">IFERROR(IF(OR(C44=0,C44="",F44=0,F44="",F44="X"),0,VLOOKUP(B44,INDIRECT(MatchDay!$W$2),2,FALSE)),"")</f>
        <v>0</v>
      </c>
      <c r="Q44" s="66">
        <f ca="1">IFERROR(IF(OR(J44=0,J44="",M44=0,M44="",M44="X"),0,VLOOKUP(I44,INDIRECT(MatchDay!$W$2),3,FALSE)),"")</f>
        <v>0</v>
      </c>
    </row>
    <row r="46" spans="1:19" x14ac:dyDescent="0.35">
      <c r="A46" s="111" t="s">
        <v>235</v>
      </c>
      <c r="B46" s="112" t="str">
        <f>IFERROR(VLOOKUP(A46,timetables,2,FALSE)&amp;" "&amp;VLOOKUP(A46,timetables,3,FALSE)&amp;" A","")</f>
        <v>Discus U15 Girls A</v>
      </c>
      <c r="C46" s="112"/>
      <c r="F46" s="121" t="str">
        <f ca="1">IFERROR(IF(OR(F48=0,F48="",F48="X"),"",IF(F48&gt;A55,"REC",IF(F48=A55,"=Rec",""))),"")</f>
        <v/>
      </c>
      <c r="G46" s="198" t="str">
        <f ca="1">IFERROR(IF(OR(F48=0,F48="",F48="X"),"",IF(F48&gt;A55,"REC",IF(F48=A55,"=Rec",""))),"")</f>
        <v/>
      </c>
      <c r="I46" s="114" t="str">
        <f>IFERROR(VLOOKUP(A46,timetables,2,FALSE)&amp;" "&amp;VLOOKUP(A46,timetables,3,FALSE)&amp;" B","")</f>
        <v>Discus U15 Girls B</v>
      </c>
      <c r="J46" s="115"/>
      <c r="P46" s="66" t="s">
        <v>53</v>
      </c>
      <c r="Q46" s="66" t="s">
        <v>54</v>
      </c>
    </row>
    <row r="47" spans="1:19" x14ac:dyDescent="0.35">
      <c r="A47" s="82"/>
      <c r="B47" s="45" t="s">
        <v>230</v>
      </c>
      <c r="C47" s="45" t="s">
        <v>159</v>
      </c>
      <c r="D47" s="47" t="s">
        <v>227</v>
      </c>
      <c r="E47" s="47" t="s">
        <v>228</v>
      </c>
      <c r="F47" s="45" t="s">
        <v>229</v>
      </c>
      <c r="G47" s="126" t="s">
        <v>55</v>
      </c>
      <c r="H47" s="47"/>
      <c r="I47" s="45" t="s">
        <v>230</v>
      </c>
      <c r="J47" s="45" t="s">
        <v>159</v>
      </c>
      <c r="K47" s="47" t="s">
        <v>227</v>
      </c>
      <c r="L47" s="47" t="s">
        <v>228</v>
      </c>
      <c r="M47" s="45" t="s">
        <v>229</v>
      </c>
      <c r="N47" s="126" t="s">
        <v>55</v>
      </c>
    </row>
    <row r="48" spans="1:19" x14ac:dyDescent="0.35">
      <c r="A48" s="66">
        <f>IFERROR(VLOOKUP(A46,Distance!A:B,2,FALSE),"")</f>
        <v>155</v>
      </c>
      <c r="B48" s="117">
        <f ca="1">IFERROR(INDIRECT(CONCATENATE("Distance!$d",A48)),"")</f>
        <v>1</v>
      </c>
      <c r="C48" s="117">
        <f ca="1">IFERROR(INDIRECT(CONCATENATE("Distance!$E",A48)),"")</f>
        <v>2</v>
      </c>
      <c r="D48" s="183" t="str">
        <f ca="1">IFERROR(INDIRECT(CONCATENATE("Distance!$F",$A48)),"")</f>
        <v>KYNOCH Ella</v>
      </c>
      <c r="E48" s="64" t="str">
        <f t="shared" ref="E48:E55" ca="1" si="8">IFERROR(VLOOKUP(C48,teamlookup,5,FALSE),"")</f>
        <v>Sheff+D</v>
      </c>
      <c r="F48" s="123">
        <f ca="1">IFERROR(INDIRECT(CONCATENATE("Distance!$H",A48)),"")</f>
        <v>28.23</v>
      </c>
      <c r="G48" s="108" t="str">
        <f ca="1">IFERROR(IF(F48&lt;A50,"",VLOOKUP(VLOOKUP(F48,A50:B53,2,TRUE),Points!$H$1:$I$5,2,FALSE)),"")</f>
        <v/>
      </c>
      <c r="H48" s="67"/>
      <c r="I48" s="117">
        <f ca="1">IFERROR(INDIRECT(CONCATENATE("Distance!$j",A48)),"")</f>
        <v>1</v>
      </c>
      <c r="J48" s="117">
        <f ca="1">IFERROR(INDIRECT(CONCATENATE("Distance!$k",A48)),"")</f>
        <v>22</v>
      </c>
      <c r="K48" s="183" t="str">
        <f ca="1">IFERROR(INDIRECT(CONCATENATE("Distance!$L",$A48)),"")</f>
        <v>JELONKIEWICZ Viktoria</v>
      </c>
      <c r="L48" s="64" t="str">
        <f t="shared" ref="L48:L55" ca="1" si="9">IFERROR(VLOOKUP(J48,teamlookup,5,FALSE),"")</f>
        <v>Sheff+D</v>
      </c>
      <c r="M48" s="123">
        <f ca="1">IFERROR(INDIRECT(CONCATENATE("Distance!$T",A48)),"")</f>
        <v>17.149999999999999</v>
      </c>
      <c r="N48" s="108" t="str">
        <f ca="1">IFERROR(IF(M48&lt;A50,"",VLOOKUP(VLOOKUP(M48,A50:B53,2,TRUE),Points!$H$1:$I$5,2,FALSE)),"")</f>
        <v/>
      </c>
      <c r="P48" s="66">
        <f ca="1">IFERROR(IF(OR(C48=0,C48="",F48=0,F48="",F48="X"),0,VLOOKUP(B48,INDIRECT(MatchDay!$W$2),2,FALSE)),"")</f>
        <v>8</v>
      </c>
      <c r="Q48" s="66">
        <f ca="1">IFERROR(IF(OR(J48=0,J48="",M48=0,M48="",M48="X"),0,VLOOKUP(I48,INDIRECT(MatchDay!$W$2),3,FALSE)),"")</f>
        <v>6</v>
      </c>
      <c r="R48" s="219">
        <f ca="1">COUNTIF(C48,"&gt;0")</f>
        <v>1</v>
      </c>
      <c r="S48" s="66">
        <f ca="1">IFERROR(IF(C48&gt;88,1,0),0)</f>
        <v>0</v>
      </c>
    </row>
    <row r="49" spans="1:19" x14ac:dyDescent="0.35">
      <c r="A49" s="116" t="s">
        <v>55</v>
      </c>
      <c r="B49" s="117">
        <f ca="1">IFERROR(INDIRECT(CONCATENATE("Distance!$d",A48+1)),"")</f>
        <v>2</v>
      </c>
      <c r="C49" s="117">
        <f ca="1">IFERROR(INDIRECT(CONCATENATE("Distance!$E",A48+1)),"")</f>
        <v>3</v>
      </c>
      <c r="D49" s="183" t="str">
        <f ca="1">IFERROR(INDIRECT(CONCATENATE("Distance!$F",$A48+1)),"")</f>
        <v>BROOKS Carmen</v>
      </c>
      <c r="E49" s="64" t="str">
        <f t="shared" ca="1" si="8"/>
        <v>York</v>
      </c>
      <c r="F49" s="123">
        <f ca="1">IFERROR(INDIRECT(CONCATENATE("Distance!$H",A48+1)),"")</f>
        <v>20.52</v>
      </c>
      <c r="G49" s="108" t="str">
        <f ca="1">IFERROR(IF(F49&lt;A50,"",VLOOKUP(VLOOKUP(F49,A50:B53,2,TRUE),Points!$H$1:$I$5,2,FALSE)),"")</f>
        <v/>
      </c>
      <c r="H49" s="67"/>
      <c r="I49" s="117">
        <f ca="1">IFERROR(INDIRECT(CONCATENATE("Distance!$j",A48+1)),"")</f>
        <v>2</v>
      </c>
      <c r="J49" s="117">
        <f ca="1">IFERROR(INDIRECT(CONCATENATE("Distance!$k",A48+1)),"")</f>
        <v>33</v>
      </c>
      <c r="K49" s="183" t="str">
        <f ca="1">IFERROR(INDIRECT(CONCATENATE("Distance!$L",$A48+1)),"")</f>
        <v>LEE Isabel</v>
      </c>
      <c r="L49" s="64" t="str">
        <f t="shared" ca="1" si="9"/>
        <v>York</v>
      </c>
      <c r="M49" s="123">
        <f ca="1">IFERROR(INDIRECT(CONCATENATE("Distance!$T",A48+1)),"")</f>
        <v>14.1</v>
      </c>
      <c r="N49" s="108" t="str">
        <f ca="1">IFERROR(IF(M49&lt;A50,"",VLOOKUP(VLOOKUP(M49,A50:B53,2,TRUE),Points!$H$1:$I$5,2,FALSE)),"")</f>
        <v/>
      </c>
      <c r="P49" s="66">
        <f ca="1">IFERROR(IF(OR(C49=0,C49="",F49=0,F49="",F49="X"),0,VLOOKUP(B49,INDIRECT(MatchDay!$W$2),2,FALSE)),"")</f>
        <v>6</v>
      </c>
      <c r="Q49" s="66">
        <f ca="1">IFERROR(IF(OR(J49=0,J49="",M49=0,M49="",M49="X"),0,VLOOKUP(I49,INDIRECT(MatchDay!$W$2),3,FALSE)),"")</f>
        <v>4</v>
      </c>
    </row>
    <row r="50" spans="1:19" x14ac:dyDescent="0.35">
      <c r="A50" s="118" t="str">
        <f>IFERROR(VLOOKUP(A46,standards,6,FALSE),"-")</f>
        <v>-</v>
      </c>
      <c r="B50" s="117">
        <f ca="1">IFERROR(INDIRECT(CONCATENATE("Distance!$d",A48+2)),"")</f>
        <v>3</v>
      </c>
      <c r="C50" s="117">
        <f ca="1">IFERROR(INDIRECT(CONCATENATE("Distance!$E",A48+2)),"")</f>
        <v>4</v>
      </c>
      <c r="D50" s="183" t="str">
        <f ca="1">IFERROR(INDIRECT(CONCATENATE("Distance!$F",$A48+2)),"")</f>
        <v>DORAN Bethany</v>
      </c>
      <c r="E50" s="64" t="str">
        <f t="shared" ca="1" si="8"/>
        <v>M'bro</v>
      </c>
      <c r="F50" s="123">
        <f ca="1">IFERROR(INDIRECT(CONCATENATE("Distance!$H",A48+2)),"")</f>
        <v>16.43</v>
      </c>
      <c r="G50" s="108" t="str">
        <f ca="1">IFERROR(IF(F50&lt;A50,"",VLOOKUP(VLOOKUP(F50,A50:B53,2,TRUE),Points!$H$1:$I$5,2,FALSE)),"")</f>
        <v/>
      </c>
      <c r="H50" s="67"/>
      <c r="I50" s="117">
        <f ca="1">IFERROR(INDIRECT(CONCATENATE("Distance!$j",A48+2)),"")</f>
        <v>3</v>
      </c>
      <c r="J50" s="117">
        <f ca="1">IFERROR(INDIRECT(CONCATENATE("Distance!$k",A48+2)),"")</f>
        <v>44</v>
      </c>
      <c r="K50" s="183" t="str">
        <f ca="1">IFERROR(INDIRECT(CONCATENATE("Distance!$L",$A48+2)),"")</f>
        <v>MANNION Grace</v>
      </c>
      <c r="L50" s="64" t="str">
        <f t="shared" ca="1" si="9"/>
        <v>M'bro</v>
      </c>
      <c r="M50" s="123">
        <f ca="1">IFERROR(INDIRECT(CONCATENATE("Distance!$T",A48+2)),"")</f>
        <v>11.92</v>
      </c>
      <c r="N50" s="108" t="str">
        <f ca="1">IFERROR(IF(M50&lt;A50,"",VLOOKUP(VLOOKUP(M50,A50:B53,2,TRUE),Points!$H$1:$I$5,2,FALSE)),"")</f>
        <v/>
      </c>
      <c r="P50" s="66">
        <f ca="1">IFERROR(IF(OR(C50=0,C50="",F50=0,F50="",F50="X"),0,VLOOKUP(B50,INDIRECT(MatchDay!$W$2),2,FALSE)),"")</f>
        <v>5</v>
      </c>
      <c r="Q50" s="66">
        <f ca="1">IFERROR(IF(OR(J50=0,J50="",M50=0,M50="",M50="X"),0,VLOOKUP(I50,INDIRECT(MatchDay!$W$2),3,FALSE)),"")</f>
        <v>3</v>
      </c>
    </row>
    <row r="51" spans="1:19" x14ac:dyDescent="0.35">
      <c r="A51" s="118" t="str">
        <f>IFERROR(VLOOKUP(A46,standards,5,FALSE),"-")</f>
        <v>-</v>
      </c>
      <c r="B51" s="117">
        <f ca="1">IFERROR(INDIRECT(CONCATENATE("Distance!$d",A48+3)),"")</f>
        <v>4</v>
      </c>
      <c r="C51" s="117">
        <f ca="1">IFERROR(INDIRECT(CONCATENATE("Distance!$E",A48+3)),"")</f>
        <v>5</v>
      </c>
      <c r="D51" s="183" t="str">
        <f ca="1">IFERROR(INDIRECT(CONCATENATE("Distance!$F",$A48+3)),"")</f>
        <v>THIRKETTLE Charlotte</v>
      </c>
      <c r="E51" s="64" t="str">
        <f t="shared" ca="1" si="8"/>
        <v>Scun</v>
      </c>
      <c r="F51" s="123">
        <f ca="1">IFERROR(INDIRECT(CONCATENATE("Distance!$H",A48+3)),"")</f>
        <v>15.65</v>
      </c>
      <c r="G51" s="108" t="str">
        <f ca="1">IFERROR(IF(F51&lt;A50,"",VLOOKUP(VLOOKUP(F51,A50:B53,2,TRUE),Points!$H$1:$I$5,2,FALSE)),"")</f>
        <v/>
      </c>
      <c r="H51" s="67"/>
      <c r="I51" s="117">
        <f ca="1">IFERROR(INDIRECT(CONCATENATE("Distance!$j",A48+3)),"")</f>
        <v>4</v>
      </c>
      <c r="J51" s="117">
        <f ca="1">IFERROR(INDIRECT(CONCATENATE("Distance!$k",A48+3)),"")</f>
        <v>11</v>
      </c>
      <c r="K51" s="183" t="str">
        <f ca="1">IFERROR(INDIRECT(CONCATENATE("Distance!$L",$A48+3)),"")</f>
        <v>HIGHAM Ruby</v>
      </c>
      <c r="L51" s="64" t="str">
        <f t="shared" ca="1" si="9"/>
        <v>C'field</v>
      </c>
      <c r="M51" s="123">
        <f ca="1">IFERROR(INDIRECT(CONCATENATE("Distance!$T",A48+3)),"")</f>
        <v>10.61</v>
      </c>
      <c r="N51" s="108" t="str">
        <f ca="1">IFERROR(IF(M51&lt;A50,"",VLOOKUP(VLOOKUP(M51,A50:B53,2,TRUE),Points!$H$1:$I$5,2,FALSE)),"")</f>
        <v/>
      </c>
      <c r="P51" s="66">
        <f ca="1">IFERROR(IF(OR(C51=0,C51="",F51=0,F51="",F51="X"),0,VLOOKUP(B51,INDIRECT(MatchDay!$W$2),2,FALSE)),"")</f>
        <v>4</v>
      </c>
      <c r="Q51" s="66">
        <f ca="1">IFERROR(IF(OR(J51=0,J51="",M51=0,M51="",M51="X"),0,VLOOKUP(I51,INDIRECT(MatchDay!$W$2),3,FALSE)),"")</f>
        <v>2</v>
      </c>
    </row>
    <row r="52" spans="1:19" x14ac:dyDescent="0.35">
      <c r="A52" s="118" t="str">
        <f>IFERROR(VLOOKUP(A46,standards,4,FALSE),"-")</f>
        <v>-</v>
      </c>
      <c r="B52" s="117">
        <f ca="1">IFERROR(INDIRECT(CONCATENATE("Distance!$d",A48+4)),"")</f>
        <v>5</v>
      </c>
      <c r="C52" s="117">
        <f ca="1">IFERROR(INDIRECT(CONCATENATE("Distance!$E",A48+4)),"")</f>
        <v>1</v>
      </c>
      <c r="D52" s="183" t="str">
        <f ca="1">IFERROR(INDIRECT(CONCATENATE("Distance!$F",$A48+4)),"")</f>
        <v>LABAN Ella</v>
      </c>
      <c r="E52" s="64" t="str">
        <f t="shared" ca="1" si="8"/>
        <v>C'field</v>
      </c>
      <c r="F52" s="123">
        <f ca="1">IFERROR(INDIRECT(CONCATENATE("Distance!$H",A48+4)),"")</f>
        <v>15.03</v>
      </c>
      <c r="G52" s="108" t="str">
        <f ca="1">IFERROR(IF(F52&lt;A50,"",VLOOKUP(VLOOKUP(F52,A50:B53,2,TRUE),Points!$H$1:$I$5,2,FALSE)),"")</f>
        <v/>
      </c>
      <c r="H52" s="67"/>
      <c r="I52" s="117">
        <f ca="1">IFERROR(INDIRECT(CONCATENATE("Distance!$j",A48+4)),"")</f>
        <v>5</v>
      </c>
      <c r="J52" s="117" t="str">
        <f ca="1">IFERROR(INDIRECT(CONCATENATE("Distance!$k",A48+4)),"")</f>
        <v/>
      </c>
      <c r="K52" s="183" t="str">
        <f ca="1">IFERROR(INDIRECT(CONCATENATE("Distance!$L",$A48+4)),"")</f>
        <v/>
      </c>
      <c r="L52" s="64" t="str">
        <f t="shared" ca="1" si="9"/>
        <v/>
      </c>
      <c r="M52" s="123" t="str">
        <f ca="1">IFERROR(INDIRECT(CONCATENATE("Distance!$T",A48+4)),"")</f>
        <v/>
      </c>
      <c r="N52" s="108" t="str">
        <f ca="1">IFERROR(IF(M52&lt;A50,"",VLOOKUP(VLOOKUP(M52,A50:B53,2,TRUE),Points!$H$1:$I$5,2,FALSE)),"")</f>
        <v/>
      </c>
      <c r="P52" s="66">
        <f ca="1">IFERROR(IF(OR(C52=0,C52="",F52=0,F52="",F52="X"),0,VLOOKUP(B52,INDIRECT(MatchDay!$W$2),2,FALSE)),"")</f>
        <v>3</v>
      </c>
      <c r="Q52" s="66">
        <f ca="1">IFERROR(IF(OR(J52=0,J52="",M52=0,M52="",M52="X"),0,VLOOKUP(I52,INDIRECT(MatchDay!$W$2),3,FALSE)),"")</f>
        <v>0</v>
      </c>
    </row>
    <row r="53" spans="1:19" x14ac:dyDescent="0.35">
      <c r="A53" s="118" t="str">
        <f>IFERROR(VLOOKUP(A46,standards,3,FALSE),"-")</f>
        <v>-</v>
      </c>
      <c r="B53" s="117">
        <f ca="1">IFERROR(INDIRECT(CONCATENATE("Distance!$d",A48+5)),"")</f>
        <v>6</v>
      </c>
      <c r="C53" s="117" t="str">
        <f ca="1">IFERROR(INDIRECT(CONCATENATE("Distance!$E",A48+5)),"")</f>
        <v/>
      </c>
      <c r="D53" s="183" t="str">
        <f ca="1">IFERROR(INDIRECT(CONCATENATE("Distance!$F",$A48+5)),"")</f>
        <v/>
      </c>
      <c r="E53" s="64" t="str">
        <f t="shared" ca="1" si="8"/>
        <v/>
      </c>
      <c r="F53" s="123" t="str">
        <f ca="1">IFERROR(INDIRECT(CONCATENATE("Distance!$H",A48+5)),"")</f>
        <v/>
      </c>
      <c r="G53" s="108" t="str">
        <f ca="1">IFERROR(IF(F53&lt;A50,"",VLOOKUP(VLOOKUP(F53,A50:B53,2,TRUE),Points!$H$1:$I$5,2,FALSE)),"")</f>
        <v/>
      </c>
      <c r="H53" s="67"/>
      <c r="I53" s="117">
        <f ca="1">IFERROR(INDIRECT(CONCATENATE("Distance!$j",A48+5)),"")</f>
        <v>6</v>
      </c>
      <c r="J53" s="117" t="str">
        <f ca="1">IFERROR(INDIRECT(CONCATENATE("Distance!$k",A48+5)),"")</f>
        <v/>
      </c>
      <c r="K53" s="183" t="str">
        <f ca="1">IFERROR(INDIRECT(CONCATENATE("Distance!$L",$A48+5)),"")</f>
        <v/>
      </c>
      <c r="L53" s="64" t="str">
        <f t="shared" ca="1" si="9"/>
        <v/>
      </c>
      <c r="M53" s="123" t="str">
        <f ca="1">IFERROR(INDIRECT(CONCATENATE("Distance!$T",A48+5)),"")</f>
        <v/>
      </c>
      <c r="N53" s="108" t="str">
        <f ca="1">IFERROR(IF(M53&lt;A50,"",VLOOKUP(VLOOKUP(M53,A50:B53,2,TRUE),Points!$H$1:$I$5,2,FALSE)),"")</f>
        <v/>
      </c>
      <c r="P53" s="66">
        <f ca="1">IFERROR(IF(OR(C53=0,C53="",F53=0,F53="",F53="X"),0,VLOOKUP(B53,INDIRECT(MatchDay!$W$2),2,FALSE)),"")</f>
        <v>0</v>
      </c>
      <c r="Q53" s="66">
        <f ca="1">IFERROR(IF(OR(J53=0,J53="",M53=0,M53="",M53="X"),0,VLOOKUP(I53,INDIRECT(MatchDay!$W$2),3,FALSE)),"")</f>
        <v>0</v>
      </c>
    </row>
    <row r="54" spans="1:19" x14ac:dyDescent="0.35">
      <c r="A54" s="116" t="s">
        <v>204</v>
      </c>
      <c r="B54" s="117">
        <f ca="1">IFERROR(INDIRECT(CONCATENATE("Distance!$d",A48+6)),"")</f>
        <v>7</v>
      </c>
      <c r="C54" s="117" t="str">
        <f ca="1">IFERROR(INDIRECT(CONCATENATE("Distance!$E",A48+6)),"")</f>
        <v/>
      </c>
      <c r="D54" s="183" t="str">
        <f ca="1">IFERROR(INDIRECT(CONCATENATE("Distance!$F",$A48+6)),"")</f>
        <v/>
      </c>
      <c r="E54" s="64" t="str">
        <f t="shared" ca="1" si="8"/>
        <v/>
      </c>
      <c r="F54" s="123" t="str">
        <f ca="1">IFERROR(INDIRECT(CONCATENATE("Distance!$H",A48+6)),"")</f>
        <v/>
      </c>
      <c r="G54" s="108" t="str">
        <f ca="1">IFERROR(IF(F54&lt;A50,"",VLOOKUP(VLOOKUP(F54,A50:B53,2,TRUE),Points!$H$1:$I$5,2,FALSE)),"")</f>
        <v/>
      </c>
      <c r="H54" s="67"/>
      <c r="I54" s="117">
        <f ca="1">IFERROR(INDIRECT(CONCATENATE("Distance!$j",A48+6)),"")</f>
        <v>7</v>
      </c>
      <c r="J54" s="117" t="str">
        <f ca="1">IFERROR(INDIRECT(CONCATENATE("Distance!$k",A48+6)),"")</f>
        <v/>
      </c>
      <c r="K54" s="183" t="str">
        <f ca="1">IFERROR(INDIRECT(CONCATENATE("Distance!$L",$A48+6)),"")</f>
        <v/>
      </c>
      <c r="L54" s="64" t="str">
        <f t="shared" ca="1" si="9"/>
        <v/>
      </c>
      <c r="M54" s="123" t="str">
        <f ca="1">IFERROR(INDIRECT(CONCATENATE("Distance!$T",A48+6)),"")</f>
        <v/>
      </c>
      <c r="N54" s="108" t="str">
        <f ca="1">IFERROR(IF(M54&lt;A50,"",VLOOKUP(VLOOKUP(M54,A50:B53,2,TRUE),Points!$H$1:$I$5,2,FALSE)),"")</f>
        <v/>
      </c>
      <c r="P54" s="66">
        <f ca="1">IFERROR(IF(OR(C54=0,C54="",F54=0,F54="",F54="X"),0,VLOOKUP(B54,INDIRECT(MatchDay!$W$2),2,FALSE)),"")</f>
        <v>0</v>
      </c>
      <c r="Q54" s="66">
        <f ca="1">IFERROR(IF(OR(J54=0,J54="",M54=0,M54="",M54="X"),0,VLOOKUP(I54,INDIRECT(MatchDay!$W$2),3,FALSE)),"")</f>
        <v>0</v>
      </c>
    </row>
    <row r="55" spans="1:19" x14ac:dyDescent="0.35">
      <c r="A55" s="116">
        <f>IFERROR(VLOOKUP(A46,records,5,FALSE),"")</f>
        <v>39.94</v>
      </c>
      <c r="B55" s="117">
        <f ca="1">IFERROR(INDIRECT(CONCATENATE("Distance!$d",A48+7)),"")</f>
        <v>8</v>
      </c>
      <c r="C55" s="117" t="str">
        <f ca="1">IFERROR(INDIRECT(CONCATENATE("Distance!$E",A48+7)),"")</f>
        <v/>
      </c>
      <c r="D55" s="183" t="str">
        <f ca="1">IFERROR(INDIRECT(CONCATENATE("Distance!$F",$A48+7)),"")</f>
        <v/>
      </c>
      <c r="E55" s="64" t="str">
        <f t="shared" ca="1" si="8"/>
        <v/>
      </c>
      <c r="F55" s="123" t="str">
        <f ca="1">IFERROR(INDIRECT(CONCATENATE("Distance!$H",A48+7)),"")</f>
        <v/>
      </c>
      <c r="G55" s="108" t="str">
        <f ca="1">IFERROR(IF(F55&lt;A50,"",VLOOKUP(VLOOKUP(F55,A50:B53,2,TRUE),Points!$H$1:$I$5,2,FALSE)),"")</f>
        <v/>
      </c>
      <c r="H55" s="67"/>
      <c r="I55" s="117">
        <f ca="1">IFERROR(INDIRECT(CONCATENATE("Distance!$j",A48+7)),"")</f>
        <v>8</v>
      </c>
      <c r="J55" s="117" t="str">
        <f ca="1">IFERROR(INDIRECT(CONCATENATE("Distance!$k",A48+7)),"")</f>
        <v/>
      </c>
      <c r="K55" s="183" t="str">
        <f ca="1">IFERROR(INDIRECT(CONCATENATE("Distance!$L",$A48+7)),"")</f>
        <v/>
      </c>
      <c r="L55" s="64" t="str">
        <f t="shared" ca="1" si="9"/>
        <v/>
      </c>
      <c r="M55" s="123" t="str">
        <f ca="1">IFERROR(INDIRECT(CONCATENATE("Distance!$T",A48+7)),"")</f>
        <v/>
      </c>
      <c r="N55" s="108" t="str">
        <f ca="1">IFERROR(IF(M55&lt;A50,"",VLOOKUP(VLOOKUP(M55,A50:B53,2,TRUE),Points!$H$1:$I$5,2,FALSE)),"")</f>
        <v/>
      </c>
      <c r="P55" s="66">
        <f ca="1">IFERROR(IF(OR(C55=0,C55="",F55=0,F55="",F55="X"),0,VLOOKUP(B55,INDIRECT(MatchDay!$W$2),2,FALSE)),"")</f>
        <v>0</v>
      </c>
      <c r="Q55" s="66">
        <f ca="1">IFERROR(IF(OR(J55=0,J55="",M55=0,M55="",M55="X"),0,VLOOKUP(I55,INDIRECT(MatchDay!$W$2),3,FALSE)),"")</f>
        <v>0</v>
      </c>
    </row>
    <row r="57" spans="1:19" x14ac:dyDescent="0.35">
      <c r="A57" s="111" t="s">
        <v>242</v>
      </c>
      <c r="B57" s="112" t="str">
        <f>IFERROR(VLOOKUP(A57,timetables,2,FALSE)&amp;" "&amp;VLOOKUP(A57,timetables,3,FALSE)&amp;" A","")</f>
        <v>Shot U15 Boys A</v>
      </c>
      <c r="C57" s="112"/>
      <c r="F57" s="121" t="str">
        <f ca="1">IFERROR(IF(OR(F59=0,F59="",F59="X"),"",IF(F59&gt;A66,"REC",IF(F59=A66,"=Rec",""))),"")</f>
        <v/>
      </c>
      <c r="G57" s="198" t="str">
        <f ca="1">IFERROR(IF(OR(F59=0,F59="",F59="X"),"",IF(F59&gt;A66,"REC",IF(F59=A66,"=Rec",""))),"")</f>
        <v/>
      </c>
      <c r="I57" s="114" t="str">
        <f>IFERROR(VLOOKUP(A57,timetables,2,FALSE)&amp;" "&amp;VLOOKUP(A57,timetables,3,FALSE)&amp;" B","")</f>
        <v>Shot U15 Boys B</v>
      </c>
      <c r="J57" s="115"/>
      <c r="P57" s="66" t="s">
        <v>53</v>
      </c>
      <c r="Q57" s="66" t="s">
        <v>54</v>
      </c>
    </row>
    <row r="58" spans="1:19" x14ac:dyDescent="0.35">
      <c r="A58" s="82"/>
      <c r="B58" s="45" t="s">
        <v>230</v>
      </c>
      <c r="C58" s="45" t="s">
        <v>159</v>
      </c>
      <c r="D58" s="47" t="s">
        <v>227</v>
      </c>
      <c r="E58" s="47" t="s">
        <v>228</v>
      </c>
      <c r="F58" s="45" t="s">
        <v>229</v>
      </c>
      <c r="G58" s="126" t="s">
        <v>55</v>
      </c>
      <c r="H58" s="47"/>
      <c r="I58" s="45" t="s">
        <v>230</v>
      </c>
      <c r="J58" s="45" t="s">
        <v>159</v>
      </c>
      <c r="K58" s="47" t="s">
        <v>227</v>
      </c>
      <c r="L58" s="47" t="s">
        <v>228</v>
      </c>
      <c r="M58" s="45" t="s">
        <v>229</v>
      </c>
      <c r="N58" s="126" t="s">
        <v>55</v>
      </c>
    </row>
    <row r="59" spans="1:19" x14ac:dyDescent="0.35">
      <c r="A59" s="66">
        <f>IFERROR(VLOOKUP(A57,Distance!A:B,2,FALSE),"")</f>
        <v>187</v>
      </c>
      <c r="B59" s="117">
        <f ca="1">IFERROR(INDIRECT(CONCATENATE("Distance!$d",A59)),"")</f>
        <v>1</v>
      </c>
      <c r="C59" s="117">
        <f ca="1">IFERROR(INDIRECT(CONCATENATE("Distance!$E",A59)),"")</f>
        <v>33</v>
      </c>
      <c r="D59" s="183" t="str">
        <f ca="1">IFERROR(INDIRECT(CONCATENATE("Distance!$F",$A59)),"")</f>
        <v>RUTTER Aaron</v>
      </c>
      <c r="E59" s="64" t="str">
        <f t="shared" ref="E59:E66" ca="1" si="10">IFERROR(VLOOKUP(C59,teamlookup,5,FALSE),"")</f>
        <v>York</v>
      </c>
      <c r="F59" s="123">
        <f ca="1">IFERROR(INDIRECT(CONCATENATE("Distance!$H",A59)),"")</f>
        <v>11.8</v>
      </c>
      <c r="G59" s="108">
        <f ca="1">IFERROR(IF(F59&lt;A61,"",VLOOKUP(VLOOKUP(F59,A61:B64,2,TRUE),Points!$H$1:$I$5,2,FALSE)),"")</f>
        <v>2</v>
      </c>
      <c r="H59" s="67"/>
      <c r="I59" s="117">
        <f ca="1">IFERROR(INDIRECT(CONCATENATE("Distance!$j",A59)),"")</f>
        <v>1</v>
      </c>
      <c r="J59" s="117">
        <f ca="1">IFERROR(INDIRECT(CONCATENATE("Distance!$k",A59)),"")</f>
        <v>3</v>
      </c>
      <c r="K59" s="183" t="str">
        <f ca="1">IFERROR(INDIRECT(CONCATENATE("Distance!$L",$A59)),"")</f>
        <v>MEIGH William</v>
      </c>
      <c r="L59" s="64" t="str">
        <f t="shared" ref="L59:L66" ca="1" si="11">IFERROR(VLOOKUP(J59,teamlookup,5,FALSE),"")</f>
        <v>York</v>
      </c>
      <c r="M59" s="123">
        <f ca="1">IFERROR(INDIRECT(CONCATENATE("Distance!$T",A59)),"")</f>
        <v>7.59</v>
      </c>
      <c r="N59" s="108" t="str">
        <f ca="1">IFERROR(IF(M59&lt;A61,"",VLOOKUP(VLOOKUP(M59,A61:B64,2,TRUE),Points!$H$1:$I$5,2,FALSE)),"")</f>
        <v/>
      </c>
      <c r="P59" s="66">
        <f ca="1">IFERROR(IF(OR(C59=0,C59="",F59=0,F59="",F59="X"),0,VLOOKUP(B59,INDIRECT(MatchDay!$W$2),2,FALSE)),"")</f>
        <v>8</v>
      </c>
      <c r="Q59" s="66">
        <f ca="1">IFERROR(IF(OR(J59=0,J59="",M59=0,M59="",M59="X"),0,VLOOKUP(I59,INDIRECT(MatchDay!$W$2),3,FALSE)),"")</f>
        <v>6</v>
      </c>
      <c r="R59" s="219">
        <f ca="1">COUNTIF(C59,"&gt;0")</f>
        <v>1</v>
      </c>
      <c r="S59" s="66">
        <f ca="1">IFERROR(IF(C59&gt;88,1,0),0)</f>
        <v>0</v>
      </c>
    </row>
    <row r="60" spans="1:19" x14ac:dyDescent="0.35">
      <c r="A60" s="116" t="s">
        <v>55</v>
      </c>
      <c r="B60" s="117">
        <f ca="1">IFERROR(INDIRECT(CONCATENATE("Distance!$d",A59+1)),"")</f>
        <v>2</v>
      </c>
      <c r="C60" s="117">
        <f ca="1">IFERROR(INDIRECT(CONCATENATE("Distance!$E",A59+1)),"")</f>
        <v>1</v>
      </c>
      <c r="D60" s="183" t="str">
        <f ca="1">IFERROR(INDIRECT(CONCATENATE("Distance!$F",$A59+1)),"")</f>
        <v>COOPER Malachi</v>
      </c>
      <c r="E60" s="64" t="str">
        <f t="shared" ca="1" si="10"/>
        <v>C'field</v>
      </c>
      <c r="F60" s="123">
        <f ca="1">IFERROR(INDIRECT(CONCATENATE("Distance!$H",A59+1)),"")</f>
        <v>8.33</v>
      </c>
      <c r="G60" s="108" t="str">
        <f ca="1">IFERROR(IF(F60&lt;A61,"",VLOOKUP(VLOOKUP(F60,A61:B64,2,TRUE),Points!$H$1:$I$5,2,FALSE)),"")</f>
        <v/>
      </c>
      <c r="H60" s="67"/>
      <c r="I60" s="117">
        <f ca="1">IFERROR(INDIRECT(CONCATENATE("Distance!$j",A59+1)),"")</f>
        <v>2</v>
      </c>
      <c r="J60" s="117">
        <f ca="1">IFERROR(INDIRECT(CONCATENATE("Distance!$k",A59+1)),"")</f>
        <v>11</v>
      </c>
      <c r="K60" s="183" t="str">
        <f ca="1">IFERROR(INDIRECT(CONCATENATE("Distance!$L",$A59+1)),"")</f>
        <v>MAZUREK Gracjan</v>
      </c>
      <c r="L60" s="64" t="str">
        <f t="shared" ca="1" si="11"/>
        <v>C'field</v>
      </c>
      <c r="M60" s="123">
        <f ca="1">IFERROR(INDIRECT(CONCATENATE("Distance!$T",A59+1)),"")</f>
        <v>6.25</v>
      </c>
      <c r="N60" s="108" t="str">
        <f ca="1">IFERROR(IF(M60&lt;A61,"",VLOOKUP(VLOOKUP(M60,A61:B64,2,TRUE),Points!$H$1:$I$5,2,FALSE)),"")</f>
        <v/>
      </c>
      <c r="P60" s="66">
        <f ca="1">IFERROR(IF(OR(C60=0,C60="",F60=0,F60="",F60="X"),0,VLOOKUP(B60,INDIRECT(MatchDay!$W$2),2,FALSE)),"")</f>
        <v>6</v>
      </c>
      <c r="Q60" s="66">
        <f ca="1">IFERROR(IF(OR(J60=0,J60="",M60=0,M60="",M60="X"),0,VLOOKUP(I60,INDIRECT(MatchDay!$W$2),3,FALSE)),"")</f>
        <v>4</v>
      </c>
    </row>
    <row r="61" spans="1:19" x14ac:dyDescent="0.35">
      <c r="A61" s="118">
        <f>IFERROR(VLOOKUP(A57,standards,6,FALSE),"-")</f>
        <v>10.1</v>
      </c>
      <c r="B61" s="117">
        <f ca="1">IFERROR(INDIRECT(CONCATENATE("Distance!$d",A59+2)),"")</f>
        <v>3</v>
      </c>
      <c r="C61" s="117">
        <f ca="1">IFERROR(INDIRECT(CONCATENATE("Distance!$E",A59+2)),"")</f>
        <v>2</v>
      </c>
      <c r="D61" s="183" t="str">
        <f ca="1">IFERROR(INDIRECT(CONCATENATE("Distance!$F",$A59+2)),"")</f>
        <v>LANE William</v>
      </c>
      <c r="E61" s="64" t="str">
        <f t="shared" ca="1" si="10"/>
        <v>Sheff+D</v>
      </c>
      <c r="F61" s="123">
        <f ca="1">IFERROR(INDIRECT(CONCATENATE("Distance!$H",A59+2)),"")</f>
        <v>8.14</v>
      </c>
      <c r="G61" s="108" t="str">
        <f ca="1">IFERROR(IF(F61&lt;A61,"",VLOOKUP(VLOOKUP(F61,A61:B64,2,TRUE),Points!$H$1:$I$5,2,FALSE)),"")</f>
        <v/>
      </c>
      <c r="H61" s="67"/>
      <c r="I61" s="117">
        <f ca="1">IFERROR(INDIRECT(CONCATENATE("Distance!$j",A59+2)),"")</f>
        <v>3</v>
      </c>
      <c r="J61" s="117">
        <f ca="1">IFERROR(INDIRECT(CONCATENATE("Distance!$k",A59+2)),"")</f>
        <v>44</v>
      </c>
      <c r="K61" s="183" t="str">
        <f ca="1">IFERROR(INDIRECT(CONCATENATE("Distance!$L",$A59+2)),"")</f>
        <v>KAYE Charlie</v>
      </c>
      <c r="L61" s="64" t="str">
        <f t="shared" ca="1" si="11"/>
        <v>M'bro</v>
      </c>
      <c r="M61" s="123">
        <f ca="1">IFERROR(INDIRECT(CONCATENATE("Distance!$T",A59+2)),"")</f>
        <v>4.67</v>
      </c>
      <c r="N61" s="108" t="str">
        <f ca="1">IFERROR(IF(M61&lt;A61,"",VLOOKUP(VLOOKUP(M61,A61:B64,2,TRUE),Points!$H$1:$I$5,2,FALSE)),"")</f>
        <v/>
      </c>
      <c r="P61" s="66">
        <f ca="1">IFERROR(IF(OR(C61=0,C61="",F61=0,F61="",F61="X"),0,VLOOKUP(B61,INDIRECT(MatchDay!$W$2),2,FALSE)),"")</f>
        <v>5</v>
      </c>
      <c r="Q61" s="66">
        <f ca="1">IFERROR(IF(OR(J61=0,J61="",M61=0,M61="",M61="X"),0,VLOOKUP(I61,INDIRECT(MatchDay!$W$2),3,FALSE)),"")</f>
        <v>3</v>
      </c>
    </row>
    <row r="62" spans="1:19" x14ac:dyDescent="0.35">
      <c r="A62" s="118">
        <f>IFERROR(VLOOKUP(A57,standards,5,FALSE),"-")</f>
        <v>11.1</v>
      </c>
      <c r="B62" s="117">
        <f ca="1">IFERROR(INDIRECT(CONCATENATE("Distance!$d",A59+3)),"")</f>
        <v>4</v>
      </c>
      <c r="C62" s="117">
        <f ca="1">IFERROR(INDIRECT(CONCATENATE("Distance!$E",A59+3)),"")</f>
        <v>5</v>
      </c>
      <c r="D62" s="183" t="str">
        <f ca="1">IFERROR(INDIRECT(CONCATENATE("Distance!$F",$A59+3)),"")</f>
        <v>COOK Edwin</v>
      </c>
      <c r="E62" s="64" t="str">
        <f t="shared" ca="1" si="10"/>
        <v>Scun</v>
      </c>
      <c r="F62" s="123">
        <f ca="1">IFERROR(INDIRECT(CONCATENATE("Distance!$H",A59+3)),"")</f>
        <v>7.89</v>
      </c>
      <c r="G62" s="108" t="str">
        <f ca="1">IFERROR(IF(F62&lt;A61,"",VLOOKUP(VLOOKUP(F62,A61:B64,2,TRUE),Points!$H$1:$I$5,2,FALSE)),"")</f>
        <v/>
      </c>
      <c r="H62" s="67"/>
      <c r="I62" s="117">
        <f ca="1">IFERROR(INDIRECT(CONCATENATE("Distance!$j",A59+3)),"")</f>
        <v>4</v>
      </c>
      <c r="J62" s="117" t="str">
        <f ca="1">IFERROR(INDIRECT(CONCATENATE("Distance!$k",A59+3)),"")</f>
        <v/>
      </c>
      <c r="K62" s="183" t="str">
        <f ca="1">IFERROR(INDIRECT(CONCATENATE("Distance!$L",$A59+3)),"")</f>
        <v/>
      </c>
      <c r="L62" s="64" t="str">
        <f t="shared" ca="1" si="11"/>
        <v/>
      </c>
      <c r="M62" s="123" t="str">
        <f ca="1">IFERROR(INDIRECT(CONCATENATE("Distance!$T",A59+3)),"")</f>
        <v/>
      </c>
      <c r="N62" s="108" t="str">
        <f ca="1">IFERROR(IF(M62&lt;A61,"",VLOOKUP(VLOOKUP(M62,A61:B64,2,TRUE),Points!$H$1:$I$5,2,FALSE)),"")</f>
        <v/>
      </c>
      <c r="P62" s="66">
        <f ca="1">IFERROR(IF(OR(C62=0,C62="",F62=0,F62="",F62="X"),0,VLOOKUP(B62,INDIRECT(MatchDay!$W$2),2,FALSE)),"")</f>
        <v>4</v>
      </c>
      <c r="Q62" s="66">
        <f ca="1">IFERROR(IF(OR(J62=0,J62="",M62=0,M62="",M62="X"),0,VLOOKUP(I62,INDIRECT(MatchDay!$W$2),3,FALSE)),"")</f>
        <v>0</v>
      </c>
    </row>
    <row r="63" spans="1:19" x14ac:dyDescent="0.35">
      <c r="A63" s="118">
        <f>IFERROR(VLOOKUP(A57,standards,4,FALSE),"-")</f>
        <v>11.8</v>
      </c>
      <c r="B63" s="117">
        <f ca="1">IFERROR(INDIRECT(CONCATENATE("Distance!$d",A59+4)),"")</f>
        <v>5</v>
      </c>
      <c r="C63" s="117">
        <f ca="1">IFERROR(INDIRECT(CONCATENATE("Distance!$E",A59+4)),"")</f>
        <v>4</v>
      </c>
      <c r="D63" s="183" t="str">
        <f ca="1">IFERROR(INDIRECT(CONCATENATE("Distance!$F",$A59+4)),"")</f>
        <v>IBEH Terrell</v>
      </c>
      <c r="E63" s="64" t="str">
        <f t="shared" ca="1" si="10"/>
        <v>M'bro</v>
      </c>
      <c r="F63" s="123">
        <f ca="1">IFERROR(INDIRECT(CONCATENATE("Distance!$H",A59+4)),"")</f>
        <v>5.76</v>
      </c>
      <c r="G63" s="108" t="str">
        <f ca="1">IFERROR(IF(F63&lt;A61,"",VLOOKUP(VLOOKUP(F63,A61:B64,2,TRUE),Points!$H$1:$I$5,2,FALSE)),"")</f>
        <v/>
      </c>
      <c r="H63" s="67"/>
      <c r="I63" s="117">
        <f ca="1">IFERROR(INDIRECT(CONCATENATE("Distance!$j",A59+4)),"")</f>
        <v>5</v>
      </c>
      <c r="J63" s="117" t="str">
        <f ca="1">IFERROR(INDIRECT(CONCATENATE("Distance!$k",A59+4)),"")</f>
        <v/>
      </c>
      <c r="K63" s="183" t="str">
        <f ca="1">IFERROR(INDIRECT(CONCATENATE("Distance!$L",$A59+4)),"")</f>
        <v/>
      </c>
      <c r="L63" s="64" t="str">
        <f t="shared" ca="1" si="11"/>
        <v/>
      </c>
      <c r="M63" s="123" t="str">
        <f ca="1">IFERROR(INDIRECT(CONCATENATE("Distance!$T",A59+4)),"")</f>
        <v/>
      </c>
      <c r="N63" s="108" t="str">
        <f ca="1">IFERROR(IF(M63&lt;A61,"",VLOOKUP(VLOOKUP(M63,A61:B64,2,TRUE),Points!$H$1:$I$5,2,FALSE)),"")</f>
        <v/>
      </c>
      <c r="P63" s="66">
        <f ca="1">IFERROR(IF(OR(C63=0,C63="",F63=0,F63="",F63="X"),0,VLOOKUP(B63,INDIRECT(MatchDay!$W$2),2,FALSE)),"")</f>
        <v>3</v>
      </c>
      <c r="Q63" s="66">
        <f ca="1">IFERROR(IF(OR(J63=0,J63="",M63=0,M63="",M63="X"),0,VLOOKUP(I63,INDIRECT(MatchDay!$W$2),3,FALSE)),"")</f>
        <v>0</v>
      </c>
    </row>
    <row r="64" spans="1:19" x14ac:dyDescent="0.35">
      <c r="A64" s="118">
        <f>IFERROR(VLOOKUP(A57,standards,3,FALSE),"-")</f>
        <v>12.45</v>
      </c>
      <c r="B64" s="117">
        <f ca="1">IFERROR(INDIRECT(CONCATENATE("Distance!$d",A59+5)),"")</f>
        <v>6</v>
      </c>
      <c r="C64" s="117" t="str">
        <f ca="1">IFERROR(INDIRECT(CONCATENATE("Distance!$E",A59+5)),"")</f>
        <v/>
      </c>
      <c r="D64" s="183" t="str">
        <f ca="1">IFERROR(INDIRECT(CONCATENATE("Distance!$F",$A59+5)),"")</f>
        <v/>
      </c>
      <c r="E64" s="64" t="str">
        <f t="shared" ca="1" si="10"/>
        <v/>
      </c>
      <c r="F64" s="123" t="str">
        <f ca="1">IFERROR(INDIRECT(CONCATENATE("Distance!$H",A59+5)),"")</f>
        <v/>
      </c>
      <c r="G64" s="108" t="str">
        <f ca="1">IFERROR(IF(F64&lt;A61,"",VLOOKUP(VLOOKUP(F64,A61:B64,2,TRUE),Points!$H$1:$I$5,2,FALSE)),"")</f>
        <v/>
      </c>
      <c r="H64" s="67"/>
      <c r="I64" s="117">
        <f ca="1">IFERROR(INDIRECT(CONCATENATE("Distance!$j",A59+5)),"")</f>
        <v>6</v>
      </c>
      <c r="J64" s="117" t="str">
        <f ca="1">IFERROR(INDIRECT(CONCATENATE("Distance!$k",A59+5)),"")</f>
        <v/>
      </c>
      <c r="K64" s="183" t="str">
        <f ca="1">IFERROR(INDIRECT(CONCATENATE("Distance!$L",$A59+5)),"")</f>
        <v/>
      </c>
      <c r="L64" s="64" t="str">
        <f t="shared" ca="1" si="11"/>
        <v/>
      </c>
      <c r="M64" s="123" t="str">
        <f ca="1">IFERROR(INDIRECT(CONCATENATE("Distance!$T",A59+5)),"")</f>
        <v/>
      </c>
      <c r="N64" s="108" t="str">
        <f ca="1">IFERROR(IF(M64&lt;A61,"",VLOOKUP(VLOOKUP(M64,A61:B64,2,TRUE),Points!$H$1:$I$5,2,FALSE)),"")</f>
        <v/>
      </c>
      <c r="P64" s="66">
        <f ca="1">IFERROR(IF(OR(C64=0,C64="",F64=0,F64="",F64="X"),0,VLOOKUP(B64,INDIRECT(MatchDay!$W$2),2,FALSE)),"")</f>
        <v>0</v>
      </c>
      <c r="Q64" s="66">
        <f ca="1">IFERROR(IF(OR(J64=0,J64="",M64=0,M64="",M64="X"),0,VLOOKUP(I64,INDIRECT(MatchDay!$W$2),3,FALSE)),"")</f>
        <v>0</v>
      </c>
    </row>
    <row r="65" spans="1:19" x14ac:dyDescent="0.35">
      <c r="A65" s="116" t="s">
        <v>204</v>
      </c>
      <c r="B65" s="117">
        <f ca="1">IFERROR(INDIRECT(CONCATENATE("Distance!$d",A59+6)),"")</f>
        <v>7</v>
      </c>
      <c r="C65" s="117" t="str">
        <f ca="1">IFERROR(INDIRECT(CONCATENATE("Distance!$E",A59+6)),"")</f>
        <v/>
      </c>
      <c r="D65" s="183" t="str">
        <f ca="1">IFERROR(INDIRECT(CONCATENATE("Distance!$F",$A59+6)),"")</f>
        <v/>
      </c>
      <c r="E65" s="64" t="str">
        <f t="shared" ca="1" si="10"/>
        <v/>
      </c>
      <c r="F65" s="123" t="str">
        <f ca="1">IFERROR(INDIRECT(CONCATENATE("Distance!$H",A59+6)),"")</f>
        <v/>
      </c>
      <c r="G65" s="108" t="str">
        <f ca="1">IFERROR(IF(F65&lt;A61,"",VLOOKUP(VLOOKUP(F65,A61:B64,2,TRUE),Points!$H$1:$I$5,2,FALSE)),"")</f>
        <v/>
      </c>
      <c r="H65" s="67"/>
      <c r="I65" s="117">
        <f ca="1">IFERROR(INDIRECT(CONCATENATE("Distance!$j",A59+6)),"")</f>
        <v>7</v>
      </c>
      <c r="J65" s="117" t="str">
        <f ca="1">IFERROR(INDIRECT(CONCATENATE("Distance!$k",A59+6)),"")</f>
        <v/>
      </c>
      <c r="K65" s="183" t="str">
        <f ca="1">IFERROR(INDIRECT(CONCATENATE("Distance!$L",$A59+6)),"")</f>
        <v/>
      </c>
      <c r="L65" s="64" t="str">
        <f t="shared" ca="1" si="11"/>
        <v/>
      </c>
      <c r="M65" s="123" t="str">
        <f ca="1">IFERROR(INDIRECT(CONCATENATE("Distance!$T",A59+6)),"")</f>
        <v/>
      </c>
      <c r="N65" s="108" t="str">
        <f ca="1">IFERROR(IF(M65&lt;A61,"",VLOOKUP(VLOOKUP(M65,A61:B64,2,TRUE),Points!$H$1:$I$5,2,FALSE)),"")</f>
        <v/>
      </c>
      <c r="P65" s="66">
        <f ca="1">IFERROR(IF(OR(C65=0,C65="",F65=0,F65="",F65="X"),0,VLOOKUP(B65,INDIRECT(MatchDay!$W$2),2,FALSE)),"")</f>
        <v>0</v>
      </c>
      <c r="Q65" s="66">
        <f ca="1">IFERROR(IF(OR(J65=0,J65="",M65=0,M65="",M65="X"),0,VLOOKUP(I65,INDIRECT(MatchDay!$W$2),3,FALSE)),"")</f>
        <v>0</v>
      </c>
    </row>
    <row r="66" spans="1:19" x14ac:dyDescent="0.35">
      <c r="A66" s="116">
        <f>IFERROR(VLOOKUP(A57,records,5,FALSE),"")</f>
        <v>15.49</v>
      </c>
      <c r="B66" s="117">
        <f ca="1">IFERROR(INDIRECT(CONCATENATE("Distance!$d",A59+7)),"")</f>
        <v>8</v>
      </c>
      <c r="C66" s="117" t="str">
        <f ca="1">IFERROR(INDIRECT(CONCATENATE("Distance!$E",A59+7)),"")</f>
        <v/>
      </c>
      <c r="D66" s="183" t="str">
        <f ca="1">IFERROR(INDIRECT(CONCATENATE("Distance!$F",$A59+7)),"")</f>
        <v/>
      </c>
      <c r="E66" s="64" t="str">
        <f t="shared" ca="1" si="10"/>
        <v/>
      </c>
      <c r="F66" s="123" t="str">
        <f ca="1">IFERROR(INDIRECT(CONCATENATE("Distance!$H",A59+7)),"")</f>
        <v/>
      </c>
      <c r="G66" s="108" t="str">
        <f ca="1">IFERROR(IF(F66&lt;A61,"",VLOOKUP(VLOOKUP(F66,A61:B64,2,TRUE),Points!$H$1:$I$5,2,FALSE)),"")</f>
        <v/>
      </c>
      <c r="H66" s="67"/>
      <c r="I66" s="117">
        <f ca="1">IFERROR(INDIRECT(CONCATENATE("Distance!$j",A59+7)),"")</f>
        <v>8</v>
      </c>
      <c r="J66" s="117" t="str">
        <f ca="1">IFERROR(INDIRECT(CONCATENATE("Distance!$k",A59+7)),"")</f>
        <v/>
      </c>
      <c r="K66" s="183" t="str">
        <f ca="1">IFERROR(INDIRECT(CONCATENATE("Distance!$L",$A59+7)),"")</f>
        <v/>
      </c>
      <c r="L66" s="64" t="str">
        <f t="shared" ca="1" si="11"/>
        <v/>
      </c>
      <c r="M66" s="123" t="str">
        <f ca="1">IFERROR(INDIRECT(CONCATENATE("Distance!$T",A59+7)),"")</f>
        <v/>
      </c>
      <c r="N66" s="108" t="str">
        <f ca="1">IFERROR(IF(M66&lt;A61,"",VLOOKUP(VLOOKUP(M66,A61:B64,2,TRUE),Points!$H$1:$I$5,2,FALSE)),"")</f>
        <v/>
      </c>
      <c r="P66" s="66">
        <f ca="1">IFERROR(IF(OR(C66=0,C66="",F66=0,F66="",F66="X"),0,VLOOKUP(B66,INDIRECT(MatchDay!$W$2),2,FALSE)),"")</f>
        <v>0</v>
      </c>
      <c r="Q66" s="66">
        <f ca="1">IFERROR(IF(OR(J66=0,J66="",M66=0,M66="",M66="X"),0,VLOOKUP(I66,INDIRECT(MatchDay!$W$2),3,FALSE)),"")</f>
        <v>0</v>
      </c>
    </row>
    <row r="68" spans="1:19" x14ac:dyDescent="0.35">
      <c r="A68" s="111" t="s">
        <v>243</v>
      </c>
      <c r="B68" s="112" t="str">
        <f>IFERROR(VLOOKUP(A68,timetables,2,FALSE)&amp;" "&amp;VLOOKUP(A68,timetables,3,FALSE)&amp;" A","")</f>
        <v>Javelin U15 Boys A</v>
      </c>
      <c r="C68" s="112"/>
      <c r="F68" s="121" t="str">
        <f ca="1">IFERROR(IF(OR(F70=0,F70="",F70="X"),"",IF(F70&gt;A77,"REC",IF(F70=A77,"=Rec",""))),"")</f>
        <v/>
      </c>
      <c r="G68" s="198" t="str">
        <f ca="1">IFERROR(IF(OR(F70=0,F70="",F70="X"),"",IF(F70&gt;A77,"REC",IF(F70=A77,"=Rec",""))),"")</f>
        <v/>
      </c>
      <c r="I68" s="114" t="str">
        <f>IFERROR(VLOOKUP(A68,timetables,2,FALSE)&amp;" "&amp;VLOOKUP(A68,timetables,3,FALSE)&amp;" B","")</f>
        <v>Javelin U15 Boys B</v>
      </c>
      <c r="J68" s="115"/>
      <c r="P68" s="66" t="s">
        <v>53</v>
      </c>
      <c r="Q68" s="66" t="s">
        <v>54</v>
      </c>
    </row>
    <row r="69" spans="1:19" x14ac:dyDescent="0.35">
      <c r="A69" s="82"/>
      <c r="B69" s="45" t="s">
        <v>230</v>
      </c>
      <c r="C69" s="45" t="s">
        <v>159</v>
      </c>
      <c r="D69" s="47" t="s">
        <v>227</v>
      </c>
      <c r="E69" s="47" t="s">
        <v>228</v>
      </c>
      <c r="F69" s="45" t="s">
        <v>229</v>
      </c>
      <c r="G69" s="126" t="s">
        <v>55</v>
      </c>
      <c r="H69" s="47"/>
      <c r="I69" s="45" t="s">
        <v>230</v>
      </c>
      <c r="J69" s="45" t="s">
        <v>159</v>
      </c>
      <c r="K69" s="47" t="s">
        <v>227</v>
      </c>
      <c r="L69" s="47" t="s">
        <v>228</v>
      </c>
      <c r="M69" s="45" t="s">
        <v>229</v>
      </c>
      <c r="N69" s="126" t="s">
        <v>55</v>
      </c>
    </row>
    <row r="70" spans="1:19" x14ac:dyDescent="0.35">
      <c r="A70" s="66">
        <f>IFERROR(VLOOKUP(A68,Distance!A:B,2,FALSE),"")</f>
        <v>219</v>
      </c>
      <c r="B70" s="117">
        <f ca="1">IFERROR(INDIRECT(CONCATENATE("Distance!$d",A70)),"")</f>
        <v>1</v>
      </c>
      <c r="C70" s="117">
        <f ca="1">IFERROR(INDIRECT(CONCATENATE("Distance!$E",A70)),"")</f>
        <v>5</v>
      </c>
      <c r="D70" s="183" t="str">
        <f ca="1">IFERROR(INDIRECT(CONCATENATE("Distance!$F",$A70)),"")</f>
        <v>COOK Edwin</v>
      </c>
      <c r="E70" s="64" t="str">
        <f t="shared" ref="E70:E77" ca="1" si="12">IFERROR(VLOOKUP(C70,teamlookup,5,FALSE),"")</f>
        <v>Scun</v>
      </c>
      <c r="F70" s="123">
        <f ca="1">IFERROR(INDIRECT(CONCATENATE("Distance!$H",A70)),"")</f>
        <v>20.81</v>
      </c>
      <c r="G70" s="108" t="str">
        <f ca="1">IFERROR(IF(F70&lt;A72,"",VLOOKUP(VLOOKUP(F70,A72:B75,2,TRUE),Points!$H$1:$I$5,2,FALSE)),"")</f>
        <v/>
      </c>
      <c r="H70" s="67"/>
      <c r="I70" s="117">
        <f ca="1">IFERROR(INDIRECT(CONCATENATE("Distance!$j",A70)),"")</f>
        <v>1</v>
      </c>
      <c r="J70" s="117">
        <f ca="1">IFERROR(INDIRECT(CONCATENATE("Distance!$k",A70)),"")</f>
        <v>33</v>
      </c>
      <c r="K70" s="183" t="str">
        <f ca="1">IFERROR(INDIRECT(CONCATENATE("Distance!$L",$A70)),"")</f>
        <v>BROOKS Rory</v>
      </c>
      <c r="L70" s="64" t="str">
        <f t="shared" ref="L70:L77" ca="1" si="13">IFERROR(VLOOKUP(J70,teamlookup,5,FALSE),"")</f>
        <v>York</v>
      </c>
      <c r="M70" s="123">
        <f ca="1">IFERROR(INDIRECT(CONCATENATE("Distance!$T",A70)),"")</f>
        <v>19.13</v>
      </c>
      <c r="N70" s="108" t="str">
        <f ca="1">IFERROR(IF(M70&lt;A72,"",VLOOKUP(VLOOKUP(M70,A72:B75,2,TRUE),Points!$H$1:$I$5,2,FALSE)),"")</f>
        <v/>
      </c>
      <c r="P70" s="66">
        <f ca="1">IFERROR(IF(OR(C70=0,C70="",F70=0,F70="",F70="X"),0,VLOOKUP(B70,INDIRECT(MatchDay!$W$2),2,FALSE)),"")</f>
        <v>8</v>
      </c>
      <c r="Q70" s="66">
        <f ca="1">IFERROR(IF(OR(J70=0,J70="",M70=0,M70="",M70="X"),0,VLOOKUP(I70,INDIRECT(MatchDay!$W$2),3,FALSE)),"")</f>
        <v>6</v>
      </c>
      <c r="R70" s="219">
        <f ca="1">COUNTIF(C70,"&gt;0")</f>
        <v>1</v>
      </c>
      <c r="S70" s="66">
        <f ca="1">IFERROR(IF(C70&gt;88,1,0),0)</f>
        <v>0</v>
      </c>
    </row>
    <row r="71" spans="1:19" x14ac:dyDescent="0.35">
      <c r="A71" s="116" t="s">
        <v>55</v>
      </c>
      <c r="B71" s="117">
        <f ca="1">IFERROR(INDIRECT(CONCATENATE("Distance!$d",A70+1)),"")</f>
        <v>2</v>
      </c>
      <c r="C71" s="117">
        <f ca="1">IFERROR(INDIRECT(CONCATENATE("Distance!$E",A70+1)),"")</f>
        <v>3</v>
      </c>
      <c r="D71" s="183" t="str">
        <f ca="1">IFERROR(INDIRECT(CONCATENATE("Distance!$F",$A70+1)),"")</f>
        <v>RHODES Ashton</v>
      </c>
      <c r="E71" s="64" t="str">
        <f t="shared" ca="1" si="12"/>
        <v>York</v>
      </c>
      <c r="F71" s="123">
        <f ca="1">IFERROR(INDIRECT(CONCATENATE("Distance!$H",A70+1)),"")</f>
        <v>20.329999999999998</v>
      </c>
      <c r="G71" s="108" t="str">
        <f ca="1">IFERROR(IF(F71&lt;A72,"",VLOOKUP(VLOOKUP(F71,A72:B75,2,TRUE),Points!$H$1:$I$5,2,FALSE)),"")</f>
        <v/>
      </c>
      <c r="H71" s="67"/>
      <c r="I71" s="117">
        <f ca="1">IFERROR(INDIRECT(CONCATENATE("Distance!$j",A70+1)),"")</f>
        <v>2</v>
      </c>
      <c r="J71" s="117">
        <f ca="1">IFERROR(INDIRECT(CONCATENATE("Distance!$k",A70+1)),"")</f>
        <v>11</v>
      </c>
      <c r="K71" s="183" t="str">
        <f ca="1">IFERROR(INDIRECT(CONCATENATE("Distance!$L",$A70+1)),"")</f>
        <v>SAS Reuben</v>
      </c>
      <c r="L71" s="64" t="str">
        <f t="shared" ca="1" si="13"/>
        <v>C'field</v>
      </c>
      <c r="M71" s="123">
        <f ca="1">IFERROR(INDIRECT(CONCATENATE("Distance!$T",A70+1)),"")</f>
        <v>14.43</v>
      </c>
      <c r="N71" s="108" t="str">
        <f ca="1">IFERROR(IF(M71&lt;A72,"",VLOOKUP(VLOOKUP(M71,A72:B75,2,TRUE),Points!$H$1:$I$5,2,FALSE)),"")</f>
        <v/>
      </c>
      <c r="P71" s="66">
        <f ca="1">IFERROR(IF(OR(C71=0,C71="",F71=0,F71="",F71="X"),0,VLOOKUP(B71,INDIRECT(MatchDay!$W$2),2,FALSE)),"")</f>
        <v>6</v>
      </c>
      <c r="Q71" s="66">
        <f ca="1">IFERROR(IF(OR(J71=0,J71="",M71=0,M71="",M71="X"),0,VLOOKUP(I71,INDIRECT(MatchDay!$W$2),3,FALSE)),"")</f>
        <v>4</v>
      </c>
    </row>
    <row r="72" spans="1:19" x14ac:dyDescent="0.35">
      <c r="A72" s="118">
        <f>IFERROR(VLOOKUP(A68,standards,6,FALSE),"-")</f>
        <v>32.6</v>
      </c>
      <c r="B72" s="117">
        <f ca="1">IFERROR(INDIRECT(CONCATENATE("Distance!$d",A70+2)),"")</f>
        <v>3</v>
      </c>
      <c r="C72" s="117">
        <f ca="1">IFERROR(INDIRECT(CONCATENATE("Distance!$E",A70+2)),"")</f>
        <v>2</v>
      </c>
      <c r="D72" s="183" t="str">
        <f ca="1">IFERROR(INDIRECT(CONCATENATE("Distance!$F",$A70+2)),"")</f>
        <v>COLLINI Joseph</v>
      </c>
      <c r="E72" s="64" t="str">
        <f t="shared" ca="1" si="12"/>
        <v>Sheff+D</v>
      </c>
      <c r="F72" s="123">
        <f ca="1">IFERROR(INDIRECT(CONCATENATE("Distance!$H",A70+2)),"")</f>
        <v>16.920000000000002</v>
      </c>
      <c r="G72" s="108" t="str">
        <f ca="1">IFERROR(IF(F72&lt;A72,"",VLOOKUP(VLOOKUP(F72,A72:B75,2,TRUE),Points!$H$1:$I$5,2,FALSE)),"")</f>
        <v/>
      </c>
      <c r="H72" s="67"/>
      <c r="I72" s="117">
        <f ca="1">IFERROR(INDIRECT(CONCATENATE("Distance!$j",A70+2)),"")</f>
        <v>3</v>
      </c>
      <c r="J72" s="117">
        <f ca="1">IFERROR(INDIRECT(CONCATENATE("Distance!$k",A70+2)),"")</f>
        <v>22</v>
      </c>
      <c r="K72" s="183" t="str">
        <f ca="1">IFERROR(INDIRECT(CONCATENATE("Distance!$L",$A70+2)),"")</f>
        <v>WAINWRIGHT James</v>
      </c>
      <c r="L72" s="64" t="str">
        <f t="shared" ca="1" si="13"/>
        <v>Sheff+D</v>
      </c>
      <c r="M72" s="123">
        <f ca="1">IFERROR(INDIRECT(CONCATENATE("Distance!$T",A70+2)),"")</f>
        <v>11.51</v>
      </c>
      <c r="N72" s="108" t="str">
        <f ca="1">IFERROR(IF(M72&lt;A72,"",VLOOKUP(VLOOKUP(M72,A72:B75,2,TRUE),Points!$H$1:$I$5,2,FALSE)),"")</f>
        <v/>
      </c>
      <c r="P72" s="66">
        <f ca="1">IFERROR(IF(OR(C72=0,C72="",F72=0,F72="",F72="X"),0,VLOOKUP(B72,INDIRECT(MatchDay!$W$2),2,FALSE)),"")</f>
        <v>5</v>
      </c>
      <c r="Q72" s="66">
        <f ca="1">IFERROR(IF(OR(J72=0,J72="",M72=0,M72="",M72="X"),0,VLOOKUP(I72,INDIRECT(MatchDay!$W$2),3,FALSE)),"")</f>
        <v>3</v>
      </c>
    </row>
    <row r="73" spans="1:19" x14ac:dyDescent="0.35">
      <c r="A73" s="118">
        <f>IFERROR(VLOOKUP(A68,standards,5,FALSE),"-")</f>
        <v>37.25</v>
      </c>
      <c r="B73" s="117">
        <f ca="1">IFERROR(INDIRECT(CONCATENATE("Distance!$d",A70+3)),"")</f>
        <v>4</v>
      </c>
      <c r="C73" s="117">
        <f ca="1">IFERROR(INDIRECT(CONCATENATE("Distance!$E",A70+3)),"")</f>
        <v>1</v>
      </c>
      <c r="D73" s="183" t="str">
        <f ca="1">IFERROR(INDIRECT(CONCATENATE("Distance!$F",$A70+3)),"")</f>
        <v>BETTNEY Thomas</v>
      </c>
      <c r="E73" s="64" t="str">
        <f t="shared" ca="1" si="12"/>
        <v>C'field</v>
      </c>
      <c r="F73" s="123">
        <f ca="1">IFERROR(INDIRECT(CONCATENATE("Distance!$H",A70+3)),"")</f>
        <v>15.02</v>
      </c>
      <c r="G73" s="108" t="str">
        <f ca="1">IFERROR(IF(F73&lt;A72,"",VLOOKUP(VLOOKUP(F73,A72:B75,2,TRUE),Points!$H$1:$I$5,2,FALSE)),"")</f>
        <v/>
      </c>
      <c r="H73" s="67"/>
      <c r="I73" s="117">
        <f ca="1">IFERROR(INDIRECT(CONCATENATE("Distance!$j",A70+3)),"")</f>
        <v>4</v>
      </c>
      <c r="J73" s="117">
        <f ca="1">IFERROR(INDIRECT(CONCATENATE("Distance!$k",A70+3)),"")</f>
        <v>55</v>
      </c>
      <c r="K73" s="183" t="str">
        <f ca="1">IFERROR(INDIRECT(CONCATENATE("Distance!$L",$A70+3)),"")</f>
        <v>OADES Matthew</v>
      </c>
      <c r="L73" s="64" t="str">
        <f t="shared" ca="1" si="13"/>
        <v>Scun</v>
      </c>
      <c r="M73" s="123">
        <f ca="1">IFERROR(INDIRECT(CONCATENATE("Distance!$T",A70+3)),"")</f>
        <v>10.09</v>
      </c>
      <c r="N73" s="108" t="str">
        <f ca="1">IFERROR(IF(M73&lt;A72,"",VLOOKUP(VLOOKUP(M73,A72:B75,2,TRUE),Points!$H$1:$I$5,2,FALSE)),"")</f>
        <v/>
      </c>
      <c r="P73" s="66">
        <f ca="1">IFERROR(IF(OR(C73=0,C73="",F73=0,F73="",F73="X"),0,VLOOKUP(B73,INDIRECT(MatchDay!$W$2),2,FALSE)),"")</f>
        <v>4</v>
      </c>
      <c r="Q73" s="66">
        <f ca="1">IFERROR(IF(OR(J73=0,J73="",M73=0,M73="",M73="X"),0,VLOOKUP(I73,INDIRECT(MatchDay!$W$2),3,FALSE)),"")</f>
        <v>2</v>
      </c>
    </row>
    <row r="74" spans="1:19" x14ac:dyDescent="0.35">
      <c r="A74" s="118">
        <f>IFERROR(VLOOKUP(A68,standards,4,FALSE),"-")</f>
        <v>40.85</v>
      </c>
      <c r="B74" s="117">
        <f ca="1">IFERROR(INDIRECT(CONCATENATE("Distance!$d",A70+4)),"")</f>
        <v>5</v>
      </c>
      <c r="C74" s="117" t="str">
        <f ca="1">IFERROR(INDIRECT(CONCATENATE("Distance!$E",A70+4)),"")</f>
        <v/>
      </c>
      <c r="D74" s="183" t="str">
        <f ca="1">IFERROR(INDIRECT(CONCATENATE("Distance!$F",$A70+4)),"")</f>
        <v/>
      </c>
      <c r="E74" s="64" t="str">
        <f t="shared" ca="1" si="12"/>
        <v/>
      </c>
      <c r="F74" s="123" t="str">
        <f ca="1">IFERROR(INDIRECT(CONCATENATE("Distance!$H",A70+4)),"")</f>
        <v/>
      </c>
      <c r="G74" s="108" t="str">
        <f ca="1">IFERROR(IF(F74&lt;A72,"",VLOOKUP(VLOOKUP(F74,A72:B75,2,TRUE),Points!$H$1:$I$5,2,FALSE)),"")</f>
        <v/>
      </c>
      <c r="H74" s="67"/>
      <c r="I74" s="117">
        <f ca="1">IFERROR(INDIRECT(CONCATENATE("Distance!$j",A70+4)),"")</f>
        <v>5</v>
      </c>
      <c r="J74" s="117" t="str">
        <f ca="1">IFERROR(INDIRECT(CONCATENATE("Distance!$k",A70+4)),"")</f>
        <v/>
      </c>
      <c r="K74" s="183" t="str">
        <f ca="1">IFERROR(INDIRECT(CONCATENATE("Distance!$L",$A70+4)),"")</f>
        <v/>
      </c>
      <c r="L74" s="64" t="str">
        <f t="shared" ca="1" si="13"/>
        <v/>
      </c>
      <c r="M74" s="123" t="str">
        <f ca="1">IFERROR(INDIRECT(CONCATENATE("Distance!$T",A70+4)),"")</f>
        <v/>
      </c>
      <c r="N74" s="108" t="str">
        <f ca="1">IFERROR(IF(M74&lt;A72,"",VLOOKUP(VLOOKUP(M74,A72:B75,2,TRUE),Points!$H$1:$I$5,2,FALSE)),"")</f>
        <v/>
      </c>
      <c r="P74" s="66">
        <f ca="1">IFERROR(IF(OR(C74=0,C74="",F74=0,F74="",F74="X"),0,VLOOKUP(B74,INDIRECT(MatchDay!$W$2),2,FALSE)),"")</f>
        <v>0</v>
      </c>
      <c r="Q74" s="66">
        <f ca="1">IFERROR(IF(OR(J74=0,J74="",M74=0,M74="",M74="X"),0,VLOOKUP(I74,INDIRECT(MatchDay!$W$2),3,FALSE)),"")</f>
        <v>0</v>
      </c>
    </row>
    <row r="75" spans="1:19" x14ac:dyDescent="0.35">
      <c r="A75" s="118">
        <f>IFERROR(VLOOKUP(A68,standards,3,FALSE),"-")</f>
        <v>44.35</v>
      </c>
      <c r="B75" s="117">
        <f ca="1">IFERROR(INDIRECT(CONCATENATE("Distance!$d",A70+5)),"")</f>
        <v>6</v>
      </c>
      <c r="C75" s="117" t="str">
        <f ca="1">IFERROR(INDIRECT(CONCATENATE("Distance!$E",A70+5)),"")</f>
        <v/>
      </c>
      <c r="D75" s="183" t="str">
        <f ca="1">IFERROR(INDIRECT(CONCATENATE("Distance!$F",$A70+5)),"")</f>
        <v/>
      </c>
      <c r="E75" s="64" t="str">
        <f t="shared" ca="1" si="12"/>
        <v/>
      </c>
      <c r="F75" s="123" t="str">
        <f ca="1">IFERROR(INDIRECT(CONCATENATE("Distance!$H",A70+5)),"")</f>
        <v/>
      </c>
      <c r="G75" s="108" t="str">
        <f ca="1">IFERROR(IF(F75&lt;A72,"",VLOOKUP(VLOOKUP(F75,A72:B75,2,TRUE),Points!$H$1:$I$5,2,FALSE)),"")</f>
        <v/>
      </c>
      <c r="H75" s="67"/>
      <c r="I75" s="117">
        <f ca="1">IFERROR(INDIRECT(CONCATENATE("Distance!$j",A70+5)),"")</f>
        <v>6</v>
      </c>
      <c r="J75" s="117" t="str">
        <f ca="1">IFERROR(INDIRECT(CONCATENATE("Distance!$k",A70+5)),"")</f>
        <v/>
      </c>
      <c r="K75" s="183" t="str">
        <f ca="1">IFERROR(INDIRECT(CONCATENATE("Distance!$L",$A70+5)),"")</f>
        <v/>
      </c>
      <c r="L75" s="64" t="str">
        <f t="shared" ca="1" si="13"/>
        <v/>
      </c>
      <c r="M75" s="123" t="str">
        <f ca="1">IFERROR(INDIRECT(CONCATENATE("Distance!$T",A70+5)),"")</f>
        <v/>
      </c>
      <c r="N75" s="108" t="str">
        <f ca="1">IFERROR(IF(M75&lt;A72,"",VLOOKUP(VLOOKUP(M75,A72:B75,2,TRUE),Points!$H$1:$I$5,2,FALSE)),"")</f>
        <v/>
      </c>
      <c r="P75" s="66">
        <f ca="1">IFERROR(IF(OR(C75=0,C75="",F75=0,F75="",F75="X"),0,VLOOKUP(B75,INDIRECT(MatchDay!$W$2),2,FALSE)),"")</f>
        <v>0</v>
      </c>
      <c r="Q75" s="66">
        <f ca="1">IFERROR(IF(OR(J75=0,J75="",M75=0,M75="",M75="X"),0,VLOOKUP(I75,INDIRECT(MatchDay!$W$2),3,FALSE)),"")</f>
        <v>0</v>
      </c>
    </row>
    <row r="76" spans="1:19" x14ac:dyDescent="0.35">
      <c r="A76" s="116" t="s">
        <v>204</v>
      </c>
      <c r="B76" s="117">
        <f ca="1">IFERROR(INDIRECT(CONCATENATE("Distance!$d",A70+6)),"")</f>
        <v>7</v>
      </c>
      <c r="C76" s="117" t="str">
        <f ca="1">IFERROR(INDIRECT(CONCATENATE("Distance!$E",A70+6)),"")</f>
        <v/>
      </c>
      <c r="D76" s="183" t="str">
        <f ca="1">IFERROR(INDIRECT(CONCATENATE("Distance!$F",$A70+6)),"")</f>
        <v/>
      </c>
      <c r="E76" s="64" t="str">
        <f t="shared" ca="1" si="12"/>
        <v/>
      </c>
      <c r="F76" s="123" t="str">
        <f ca="1">IFERROR(INDIRECT(CONCATENATE("Distance!$H",A70+6)),"")</f>
        <v/>
      </c>
      <c r="G76" s="108" t="str">
        <f ca="1">IFERROR(IF(F76&lt;A72,"",VLOOKUP(VLOOKUP(F76,A72:B75,2,TRUE),Points!$H$1:$I$5,2,FALSE)),"")</f>
        <v/>
      </c>
      <c r="H76" s="67"/>
      <c r="I76" s="117">
        <f ca="1">IFERROR(INDIRECT(CONCATENATE("Distance!$j",A70+6)),"")</f>
        <v>7</v>
      </c>
      <c r="J76" s="117" t="str">
        <f ca="1">IFERROR(INDIRECT(CONCATENATE("Distance!$k",A70+6)),"")</f>
        <v/>
      </c>
      <c r="K76" s="183" t="str">
        <f ca="1">IFERROR(INDIRECT(CONCATENATE("Distance!$L",$A70+6)),"")</f>
        <v/>
      </c>
      <c r="L76" s="64" t="str">
        <f t="shared" ca="1" si="13"/>
        <v/>
      </c>
      <c r="M76" s="123" t="str">
        <f ca="1">IFERROR(INDIRECT(CONCATENATE("Distance!$T",A70+6)),"")</f>
        <v/>
      </c>
      <c r="N76" s="108" t="str">
        <f ca="1">IFERROR(IF(M76&lt;A72,"",VLOOKUP(VLOOKUP(M76,A72:B75,2,TRUE),Points!$H$1:$I$5,2,FALSE)),"")</f>
        <v/>
      </c>
      <c r="P76" s="66">
        <f ca="1">IFERROR(IF(OR(C76=0,C76="",F76=0,F76="",F76="X"),0,VLOOKUP(B76,INDIRECT(MatchDay!$W$2),2,FALSE)),"")</f>
        <v>0</v>
      </c>
      <c r="Q76" s="66">
        <f ca="1">IFERROR(IF(OR(J76=0,J76="",M76=0,M76="",M76="X"),0,VLOOKUP(I76,INDIRECT(MatchDay!$W$2),3,FALSE)),"")</f>
        <v>0</v>
      </c>
    </row>
    <row r="77" spans="1:19" x14ac:dyDescent="0.35">
      <c r="A77" s="116">
        <f>IFERROR(VLOOKUP(A68,records,5,FALSE),"")</f>
        <v>61.4</v>
      </c>
      <c r="B77" s="117">
        <f ca="1">IFERROR(INDIRECT(CONCATENATE("Distance!$d",A70+7)),"")</f>
        <v>8</v>
      </c>
      <c r="C77" s="117" t="str">
        <f ca="1">IFERROR(INDIRECT(CONCATENATE("Distance!$E",A70+7)),"")</f>
        <v/>
      </c>
      <c r="D77" s="183" t="str">
        <f ca="1">IFERROR(INDIRECT(CONCATENATE("Distance!$F",$A70+7)),"")</f>
        <v/>
      </c>
      <c r="E77" s="64" t="str">
        <f t="shared" ca="1" si="12"/>
        <v/>
      </c>
      <c r="F77" s="123" t="str">
        <f ca="1">IFERROR(INDIRECT(CONCATENATE("Distance!$H",A70+7)),"")</f>
        <v/>
      </c>
      <c r="G77" s="108" t="str">
        <f ca="1">IFERROR(IF(F77&lt;A72,"",VLOOKUP(VLOOKUP(F77,A72:B75,2,TRUE),Points!$H$1:$I$5,2,FALSE)),"")</f>
        <v/>
      </c>
      <c r="H77" s="67"/>
      <c r="I77" s="117">
        <f ca="1">IFERROR(INDIRECT(CONCATENATE("Distance!$j",A70+7)),"")</f>
        <v>8</v>
      </c>
      <c r="J77" s="117" t="str">
        <f ca="1">IFERROR(INDIRECT(CONCATENATE("Distance!$k",A70+7)),"")</f>
        <v/>
      </c>
      <c r="K77" s="183" t="str">
        <f ca="1">IFERROR(INDIRECT(CONCATENATE("Distance!$L",$A70+7)),"")</f>
        <v/>
      </c>
      <c r="L77" s="64" t="str">
        <f t="shared" ca="1" si="13"/>
        <v/>
      </c>
      <c r="M77" s="123" t="str">
        <f ca="1">IFERROR(INDIRECT(CONCATENATE("Distance!$T",A70+7)),"")</f>
        <v/>
      </c>
      <c r="N77" s="108" t="str">
        <f ca="1">IFERROR(IF(M77&lt;A72,"",VLOOKUP(VLOOKUP(M77,A72:B75,2,TRUE),Points!$H$1:$I$5,2,FALSE)),"")</f>
        <v/>
      </c>
      <c r="P77" s="66">
        <f ca="1">IFERROR(IF(OR(C77=0,C77="",F77=0,F77="",F77="X"),0,VLOOKUP(B77,INDIRECT(MatchDay!$W$2),2,FALSE)),"")</f>
        <v>0</v>
      </c>
      <c r="Q77" s="66">
        <f ca="1">IFERROR(IF(OR(J77=0,J77="",M77=0,M77="",M77="X"),0,VLOOKUP(I77,INDIRECT(MatchDay!$W$2),3,FALSE)),"")</f>
        <v>0</v>
      </c>
    </row>
    <row r="79" spans="1:19" x14ac:dyDescent="0.35">
      <c r="A79" s="111" t="s">
        <v>244</v>
      </c>
      <c r="B79" s="112" t="str">
        <f>IFERROR(VLOOKUP(A79,timetables,2,FALSE)&amp;" "&amp;VLOOKUP(A79,timetables,3,FALSE)&amp;" A","")</f>
        <v>Javelin U15 Girls A</v>
      </c>
      <c r="C79" s="112"/>
      <c r="F79" s="121" t="str">
        <f ca="1">IFERROR(IF(OR(F81=0,F81="",F81="X"),"",IF(F81&gt;A88,"REC",IF(F81=A88,"=Rec",""))),"")</f>
        <v/>
      </c>
      <c r="G79" s="198" t="str">
        <f ca="1">IFERROR(IF(OR(F81=0,F81="",F81="X"),"",IF(F81&gt;A88,"REC",IF(F81=A88,"=Rec",""))),"")</f>
        <v/>
      </c>
      <c r="I79" s="114" t="str">
        <f>IFERROR(VLOOKUP(A79,timetables,2,FALSE)&amp;" "&amp;VLOOKUP(A79,timetables,3,FALSE)&amp;" B","")</f>
        <v>Javelin U15 Girls B</v>
      </c>
      <c r="J79" s="115"/>
      <c r="P79" s="66" t="s">
        <v>53</v>
      </c>
      <c r="Q79" s="66" t="s">
        <v>54</v>
      </c>
    </row>
    <row r="80" spans="1:19" x14ac:dyDescent="0.35">
      <c r="A80" s="82"/>
      <c r="B80" s="45" t="s">
        <v>230</v>
      </c>
      <c r="C80" s="45" t="s">
        <v>159</v>
      </c>
      <c r="D80" s="47" t="s">
        <v>227</v>
      </c>
      <c r="E80" s="47" t="s">
        <v>228</v>
      </c>
      <c r="F80" s="45" t="s">
        <v>229</v>
      </c>
      <c r="G80" s="126" t="s">
        <v>55</v>
      </c>
      <c r="H80" s="47"/>
      <c r="I80" s="45" t="s">
        <v>230</v>
      </c>
      <c r="J80" s="45" t="s">
        <v>159</v>
      </c>
      <c r="K80" s="47" t="s">
        <v>227</v>
      </c>
      <c r="L80" s="47" t="s">
        <v>228</v>
      </c>
      <c r="M80" s="45" t="s">
        <v>229</v>
      </c>
      <c r="N80" s="126" t="s">
        <v>55</v>
      </c>
    </row>
    <row r="81" spans="1:19" x14ac:dyDescent="0.35">
      <c r="A81" s="66">
        <f>IFERROR(VLOOKUP(A79,Distance!A:B,2,FALSE),"")</f>
        <v>251</v>
      </c>
      <c r="B81" s="117">
        <f ca="1">IFERROR(INDIRECT(CONCATENATE("Distance!$d",A81)),"")</f>
        <v>1</v>
      </c>
      <c r="C81" s="117">
        <f ca="1">IFERROR(INDIRECT(CONCATENATE("Distance!$E",A81)),"")</f>
        <v>2</v>
      </c>
      <c r="D81" s="183" t="str">
        <f ca="1">IFERROR(INDIRECT(CONCATENATE("Distance!$F",$A81)),"")</f>
        <v>PADDON Freya</v>
      </c>
      <c r="E81" s="64" t="str">
        <f t="shared" ref="E81:E88" ca="1" si="14">IFERROR(VLOOKUP(C81,teamlookup,5,FALSE),"")</f>
        <v>Sheff+D</v>
      </c>
      <c r="F81" s="123">
        <f ca="1">IFERROR(INDIRECT(CONCATENATE("Distance!$H",A81)),"")</f>
        <v>24.29</v>
      </c>
      <c r="G81" s="108">
        <f ca="1">IFERROR(IF(F81&lt;A83,"",VLOOKUP(VLOOKUP(F81,A83:B86,2,TRUE),Points!$H$1:$I$5,2,FALSE)),"")</f>
        <v>4</v>
      </c>
      <c r="H81" s="67"/>
      <c r="I81" s="117">
        <f ca="1">IFERROR(INDIRECT(CONCATENATE("Distance!$j",A81)),"")</f>
        <v>1</v>
      </c>
      <c r="J81" s="117">
        <f ca="1">IFERROR(INDIRECT(CONCATENATE("Distance!$k",A81)),"")</f>
        <v>22</v>
      </c>
      <c r="K81" s="183" t="str">
        <f ca="1">IFERROR(INDIRECT(CONCATENATE("Distance!$L",$A81)),"")</f>
        <v>PADDON Olivia</v>
      </c>
      <c r="L81" s="64" t="str">
        <f t="shared" ref="L81:L88" ca="1" si="15">IFERROR(VLOOKUP(J81,teamlookup,5,FALSE),"")</f>
        <v>Sheff+D</v>
      </c>
      <c r="M81" s="123">
        <f ca="1">IFERROR(INDIRECT(CONCATENATE("Distance!$T",A81)),"")</f>
        <v>21.25</v>
      </c>
      <c r="N81" s="108" t="str">
        <f ca="1">IFERROR(IF(M81&lt;A83,"",VLOOKUP(VLOOKUP(M81,A83:B86,2,TRUE),Points!$H$1:$I$5,2,FALSE)),"")</f>
        <v/>
      </c>
      <c r="P81" s="66">
        <f ca="1">IFERROR(IF(OR(C81=0,C81="",F81=0,F81="",F81="X"),0,VLOOKUP(B81,INDIRECT(MatchDay!$W$2),2,FALSE)),"")</f>
        <v>8</v>
      </c>
      <c r="Q81" s="66">
        <f ca="1">IFERROR(IF(OR(J81=0,J81="",M81=0,M81="",M81="X"),0,VLOOKUP(I81,INDIRECT(MatchDay!$W$2),3,FALSE)),"")</f>
        <v>6</v>
      </c>
      <c r="R81" s="219">
        <f ca="1">COUNTIF(C81,"&gt;0")</f>
        <v>1</v>
      </c>
      <c r="S81" s="66">
        <f ca="1">IFERROR(IF(C81&gt;88,1,0),0)</f>
        <v>0</v>
      </c>
    </row>
    <row r="82" spans="1:19" x14ac:dyDescent="0.35">
      <c r="A82" s="116" t="s">
        <v>55</v>
      </c>
      <c r="B82" s="117">
        <f ca="1">IFERROR(INDIRECT(CONCATENATE("Distance!$d",A81+1)),"")</f>
        <v>2</v>
      </c>
      <c r="C82" s="117">
        <f ca="1">IFERROR(INDIRECT(CONCATENATE("Distance!$E",A81+1)),"")</f>
        <v>1</v>
      </c>
      <c r="D82" s="183" t="str">
        <f ca="1">IFERROR(INDIRECT(CONCATENATE("Distance!$F",$A81+1)),"")</f>
        <v>BAINES Lily</v>
      </c>
      <c r="E82" s="64" t="str">
        <f t="shared" ca="1" si="14"/>
        <v>C'field</v>
      </c>
      <c r="F82" s="123">
        <f ca="1">IFERROR(INDIRECT(CONCATENATE("Distance!$H",A81+1)),"")</f>
        <v>23.48</v>
      </c>
      <c r="G82" s="108">
        <f ca="1">IFERROR(IF(F82&lt;A83,"",VLOOKUP(VLOOKUP(F82,A83:B86,2,TRUE),Points!$H$1:$I$5,2,FALSE)),"")</f>
        <v>4</v>
      </c>
      <c r="H82" s="67"/>
      <c r="I82" s="117">
        <f ca="1">IFERROR(INDIRECT(CONCATENATE("Distance!$j",A81+1)),"")</f>
        <v>2</v>
      </c>
      <c r="J82" s="117">
        <f ca="1">IFERROR(INDIRECT(CONCATENATE("Distance!$k",A81+1)),"")</f>
        <v>11</v>
      </c>
      <c r="K82" s="183" t="str">
        <f ca="1">IFERROR(INDIRECT(CONCATENATE("Distance!$L",$A81+1)),"")</f>
        <v>KIRKWOOD Eva</v>
      </c>
      <c r="L82" s="64" t="str">
        <f t="shared" ca="1" si="15"/>
        <v>C'field</v>
      </c>
      <c r="M82" s="123">
        <f ca="1">IFERROR(INDIRECT(CONCATENATE("Distance!$T",A81+1)),"")</f>
        <v>18.78</v>
      </c>
      <c r="N82" s="108" t="str">
        <f ca="1">IFERROR(IF(M82&lt;A83,"",VLOOKUP(VLOOKUP(M82,A83:B86,2,TRUE),Points!$H$1:$I$5,2,FALSE)),"")</f>
        <v/>
      </c>
      <c r="P82" s="66">
        <f ca="1">IFERROR(IF(OR(C82=0,C82="",F82=0,F82="",F82="X"),0,VLOOKUP(B82,INDIRECT(MatchDay!$W$2),2,FALSE)),"")</f>
        <v>6</v>
      </c>
      <c r="Q82" s="66">
        <f ca="1">IFERROR(IF(OR(J82=0,J82="",M82=0,M82="",M82="X"),0,VLOOKUP(I82,INDIRECT(MatchDay!$W$2),3,FALSE)),"")</f>
        <v>4</v>
      </c>
    </row>
    <row r="83" spans="1:19" x14ac:dyDescent="0.35">
      <c r="A83" s="118">
        <f>IFERROR(VLOOKUP(A79,standards,6,FALSE),"-")</f>
        <v>22.5</v>
      </c>
      <c r="B83" s="117">
        <f ca="1">IFERROR(INDIRECT(CONCATENATE("Distance!$d",A81+2)),"")</f>
        <v>3</v>
      </c>
      <c r="C83" s="117">
        <f ca="1">IFERROR(INDIRECT(CONCATENATE("Distance!$E",A81+2)),"")</f>
        <v>4</v>
      </c>
      <c r="D83" s="183" t="str">
        <f ca="1">IFERROR(INDIRECT(CONCATENATE("Distance!$F",$A81+2)),"")</f>
        <v>DORAN Bethany</v>
      </c>
      <c r="E83" s="64" t="str">
        <f t="shared" ca="1" si="14"/>
        <v>M'bro</v>
      </c>
      <c r="F83" s="123">
        <f ca="1">IFERROR(INDIRECT(CONCATENATE("Distance!$H",A81+2)),"")</f>
        <v>17.09</v>
      </c>
      <c r="G83" s="108" t="str">
        <f ca="1">IFERROR(IF(F83&lt;A83,"",VLOOKUP(VLOOKUP(F83,A83:B86,2,TRUE),Points!$H$1:$I$5,2,FALSE)),"")</f>
        <v/>
      </c>
      <c r="H83" s="67"/>
      <c r="I83" s="117">
        <f ca="1">IFERROR(INDIRECT(CONCATENATE("Distance!$j",A81+2)),"")</f>
        <v>3</v>
      </c>
      <c r="J83" s="117">
        <f ca="1">IFERROR(INDIRECT(CONCATENATE("Distance!$k",A81+2)),"")</f>
        <v>44</v>
      </c>
      <c r="K83" s="183" t="str">
        <f ca="1">IFERROR(INDIRECT(CONCATENATE("Distance!$L",$A81+2)),"")</f>
        <v>SULLOCK Amy</v>
      </c>
      <c r="L83" s="64" t="str">
        <f t="shared" ca="1" si="15"/>
        <v>M'bro</v>
      </c>
      <c r="M83" s="123">
        <f ca="1">IFERROR(INDIRECT(CONCATENATE("Distance!$T",A81+2)),"")</f>
        <v>16.690000000000001</v>
      </c>
      <c r="N83" s="108" t="str">
        <f ca="1">IFERROR(IF(M83&lt;A83,"",VLOOKUP(VLOOKUP(M83,A83:B86,2,TRUE),Points!$H$1:$I$5,2,FALSE)),"")</f>
        <v/>
      </c>
      <c r="P83" s="66">
        <f ca="1">IFERROR(IF(OR(C83=0,C83="",F83=0,F83="",F83="X"),0,VLOOKUP(B83,INDIRECT(MatchDay!$W$2),2,FALSE)),"")</f>
        <v>5</v>
      </c>
      <c r="Q83" s="66">
        <f ca="1">IFERROR(IF(OR(J83=0,J83="",M83=0,M83="",M83="X"),0,VLOOKUP(I83,INDIRECT(MatchDay!$W$2),3,FALSE)),"")</f>
        <v>3</v>
      </c>
    </row>
    <row r="84" spans="1:19" x14ac:dyDescent="0.35">
      <c r="A84" s="118">
        <f>IFERROR(VLOOKUP(A79,standards,5,FALSE),"-")</f>
        <v>26.75</v>
      </c>
      <c r="B84" s="117">
        <f ca="1">IFERROR(INDIRECT(CONCATENATE("Distance!$d",A81+3)),"")</f>
        <v>4</v>
      </c>
      <c r="C84" s="117">
        <f ca="1">IFERROR(INDIRECT(CONCATENATE("Distance!$E",A81+3)),"")</f>
        <v>33</v>
      </c>
      <c r="D84" s="183" t="str">
        <f ca="1">IFERROR(INDIRECT(CONCATENATE("Distance!$F",$A81+3)),"")</f>
        <v>HICKLING Rosie</v>
      </c>
      <c r="E84" s="64" t="str">
        <f t="shared" ca="1" si="14"/>
        <v>York</v>
      </c>
      <c r="F84" s="123">
        <f ca="1">IFERROR(INDIRECT(CONCATENATE("Distance!$H",A81+3)),"")</f>
        <v>13.89</v>
      </c>
      <c r="G84" s="108" t="str">
        <f ca="1">IFERROR(IF(F84&lt;A83,"",VLOOKUP(VLOOKUP(F84,A83:B86,2,TRUE),Points!$H$1:$I$5,2,FALSE)),"")</f>
        <v/>
      </c>
      <c r="H84" s="67"/>
      <c r="I84" s="117">
        <f ca="1">IFERROR(INDIRECT(CONCATENATE("Distance!$j",A81+3)),"")</f>
        <v>4</v>
      </c>
      <c r="J84" s="117">
        <f ca="1">IFERROR(INDIRECT(CONCATENATE("Distance!$k",A81+3)),"")</f>
        <v>3</v>
      </c>
      <c r="K84" s="183" t="str">
        <f ca="1">IFERROR(INDIRECT(CONCATENATE("Distance!$L",$A81+3)),"")</f>
        <v>CROSBY Alice</v>
      </c>
      <c r="L84" s="64" t="str">
        <f t="shared" ca="1" si="15"/>
        <v>York</v>
      </c>
      <c r="M84" s="123">
        <f ca="1">IFERROR(INDIRECT(CONCATENATE("Distance!$T",A81+3)),"")</f>
        <v>13.19</v>
      </c>
      <c r="N84" s="108" t="str">
        <f ca="1">IFERROR(IF(M84&lt;A83,"",VLOOKUP(VLOOKUP(M84,A83:B86,2,TRUE),Points!$H$1:$I$5,2,FALSE)),"")</f>
        <v/>
      </c>
      <c r="P84" s="66">
        <f ca="1">IFERROR(IF(OR(C84=0,C84="",F84=0,F84="",F84="X"),0,VLOOKUP(B84,INDIRECT(MatchDay!$W$2),2,FALSE)),"")</f>
        <v>4</v>
      </c>
      <c r="Q84" s="66">
        <f ca="1">IFERROR(IF(OR(J84=0,J84="",M84=0,M84="",M84="X"),0,VLOOKUP(I84,INDIRECT(MatchDay!$W$2),3,FALSE)),"")</f>
        <v>2</v>
      </c>
    </row>
    <row r="85" spans="1:19" x14ac:dyDescent="0.35">
      <c r="A85" s="118">
        <f>IFERROR(VLOOKUP(A79,standards,4,FALSE),"-")</f>
        <v>29.9</v>
      </c>
      <c r="B85" s="117">
        <f ca="1">IFERROR(INDIRECT(CONCATENATE("Distance!$d",A81+4)),"")</f>
        <v>5</v>
      </c>
      <c r="C85" s="117">
        <f ca="1">IFERROR(INDIRECT(CONCATENATE("Distance!$E",A81+4)),"")</f>
        <v>5</v>
      </c>
      <c r="D85" s="183" t="str">
        <f ca="1">IFERROR(INDIRECT(CONCATENATE("Distance!$F",$A81+4)),"")</f>
        <v>BETTS Demi</v>
      </c>
      <c r="E85" s="64" t="str">
        <f t="shared" ca="1" si="14"/>
        <v>Scun</v>
      </c>
      <c r="F85" s="123">
        <f ca="1">IFERROR(INDIRECT(CONCATENATE("Distance!$H",A81+4)),"")</f>
        <v>13.24</v>
      </c>
      <c r="G85" s="108" t="str">
        <f ca="1">IFERROR(IF(F85&lt;A83,"",VLOOKUP(VLOOKUP(F85,A83:B86,2,TRUE),Points!$H$1:$I$5,2,FALSE)),"")</f>
        <v/>
      </c>
      <c r="H85" s="67"/>
      <c r="I85" s="117">
        <f ca="1">IFERROR(INDIRECT(CONCATENATE("Distance!$j",A81+4)),"")</f>
        <v>5</v>
      </c>
      <c r="J85" s="117" t="str">
        <f ca="1">IFERROR(INDIRECT(CONCATENATE("Distance!$k",A81+4)),"")</f>
        <v/>
      </c>
      <c r="K85" s="183" t="str">
        <f ca="1">IFERROR(INDIRECT(CONCATENATE("Distance!$L",$A81+4)),"")</f>
        <v/>
      </c>
      <c r="L85" s="64" t="str">
        <f t="shared" ca="1" si="15"/>
        <v/>
      </c>
      <c r="M85" s="123" t="str">
        <f ca="1">IFERROR(INDIRECT(CONCATENATE("Distance!$T",A81+4)),"")</f>
        <v/>
      </c>
      <c r="N85" s="108" t="str">
        <f ca="1">IFERROR(IF(M85&lt;A83,"",VLOOKUP(VLOOKUP(M85,A83:B86,2,TRUE),Points!$H$1:$I$5,2,FALSE)),"")</f>
        <v/>
      </c>
      <c r="P85" s="66">
        <f ca="1">IFERROR(IF(OR(C85=0,C85="",F85=0,F85="",F85="X"),0,VLOOKUP(B85,INDIRECT(MatchDay!$W$2),2,FALSE)),"")</f>
        <v>3</v>
      </c>
      <c r="Q85" s="66">
        <f ca="1">IFERROR(IF(OR(J85=0,J85="",M85=0,M85="",M85="X"),0,VLOOKUP(I85,INDIRECT(MatchDay!$W$2),3,FALSE)),"")</f>
        <v>0</v>
      </c>
    </row>
    <row r="86" spans="1:19" x14ac:dyDescent="0.35">
      <c r="A86" s="118">
        <f>IFERROR(VLOOKUP(A79,standards,3,FALSE),"-")</f>
        <v>32.85</v>
      </c>
      <c r="B86" s="117">
        <f ca="1">IFERROR(INDIRECT(CONCATENATE("Distance!$d",A81+5)),"")</f>
        <v>6</v>
      </c>
      <c r="C86" s="117" t="str">
        <f ca="1">IFERROR(INDIRECT(CONCATENATE("Distance!$E",A81+5)),"")</f>
        <v/>
      </c>
      <c r="D86" s="183" t="str">
        <f ca="1">IFERROR(INDIRECT(CONCATENATE("Distance!$F",$A81+5)),"")</f>
        <v/>
      </c>
      <c r="E86" s="64" t="str">
        <f t="shared" ca="1" si="14"/>
        <v/>
      </c>
      <c r="F86" s="123" t="str">
        <f ca="1">IFERROR(INDIRECT(CONCATENATE("Distance!$H",A81+5)),"")</f>
        <v/>
      </c>
      <c r="G86" s="108" t="str">
        <f ca="1">IFERROR(IF(F86&lt;A83,"",VLOOKUP(VLOOKUP(F86,A83:B86,2,TRUE),Points!$H$1:$I$5,2,FALSE)),"")</f>
        <v/>
      </c>
      <c r="H86" s="67"/>
      <c r="I86" s="117">
        <f ca="1">IFERROR(INDIRECT(CONCATENATE("Distance!$j",A81+5)),"")</f>
        <v>6</v>
      </c>
      <c r="J86" s="117" t="str">
        <f ca="1">IFERROR(INDIRECT(CONCATENATE("Distance!$k",A81+5)),"")</f>
        <v/>
      </c>
      <c r="K86" s="183" t="str">
        <f ca="1">IFERROR(INDIRECT(CONCATENATE("Distance!$L",$A81+5)),"")</f>
        <v/>
      </c>
      <c r="L86" s="64" t="str">
        <f t="shared" ca="1" si="15"/>
        <v/>
      </c>
      <c r="M86" s="123" t="str">
        <f ca="1">IFERROR(INDIRECT(CONCATENATE("Distance!$T",A81+5)),"")</f>
        <v/>
      </c>
      <c r="N86" s="108" t="str">
        <f ca="1">IFERROR(IF(M86&lt;A83,"",VLOOKUP(VLOOKUP(M86,A83:B86,2,TRUE),Points!$H$1:$I$5,2,FALSE)),"")</f>
        <v/>
      </c>
      <c r="P86" s="66">
        <f ca="1">IFERROR(IF(OR(C86=0,C86="",F86=0,F86="",F86="X"),0,VLOOKUP(B86,INDIRECT(MatchDay!$W$2),2,FALSE)),"")</f>
        <v>0</v>
      </c>
      <c r="Q86" s="66">
        <f ca="1">IFERROR(IF(OR(J86=0,J86="",M86=0,M86="",M86="X"),0,VLOOKUP(I86,INDIRECT(MatchDay!$W$2),3,FALSE)),"")</f>
        <v>0</v>
      </c>
    </row>
    <row r="87" spans="1:19" x14ac:dyDescent="0.35">
      <c r="A87" s="116" t="s">
        <v>204</v>
      </c>
      <c r="B87" s="117">
        <f ca="1">IFERROR(INDIRECT(CONCATENATE("Distance!$d",A81+6)),"")</f>
        <v>7</v>
      </c>
      <c r="C87" s="117" t="str">
        <f ca="1">IFERROR(INDIRECT(CONCATENATE("Distance!$E",A81+6)),"")</f>
        <v/>
      </c>
      <c r="D87" s="183" t="str">
        <f ca="1">IFERROR(INDIRECT(CONCATENATE("Distance!$F",$A81+6)),"")</f>
        <v/>
      </c>
      <c r="E87" s="64" t="str">
        <f t="shared" ca="1" si="14"/>
        <v/>
      </c>
      <c r="F87" s="123" t="str">
        <f ca="1">IFERROR(INDIRECT(CONCATENATE("Distance!$H",A81+6)),"")</f>
        <v/>
      </c>
      <c r="G87" s="108" t="str">
        <f ca="1">IFERROR(IF(F87&lt;A83,"",VLOOKUP(VLOOKUP(F87,A83:B86,2,TRUE),Points!$H$1:$I$5,2,FALSE)),"")</f>
        <v/>
      </c>
      <c r="H87" s="67"/>
      <c r="I87" s="117">
        <f ca="1">IFERROR(INDIRECT(CONCATENATE("Distance!$j",A81+6)),"")</f>
        <v>7</v>
      </c>
      <c r="J87" s="117" t="str">
        <f ca="1">IFERROR(INDIRECT(CONCATENATE("Distance!$k",A81+6)),"")</f>
        <v/>
      </c>
      <c r="K87" s="183" t="str">
        <f ca="1">IFERROR(INDIRECT(CONCATENATE("Distance!$L",$A81+6)),"")</f>
        <v/>
      </c>
      <c r="L87" s="64" t="str">
        <f t="shared" ca="1" si="15"/>
        <v/>
      </c>
      <c r="M87" s="123" t="str">
        <f ca="1">IFERROR(INDIRECT(CONCATENATE("Distance!$T",A81+6)),"")</f>
        <v/>
      </c>
      <c r="N87" s="108" t="str">
        <f ca="1">IFERROR(IF(M87&lt;A83,"",VLOOKUP(VLOOKUP(M87,A83:B86,2,TRUE),Points!$H$1:$I$5,2,FALSE)),"")</f>
        <v/>
      </c>
      <c r="P87" s="66">
        <f ca="1">IFERROR(IF(OR(C87=0,C87="",F87=0,F87="",F87="X"),0,VLOOKUP(B87,INDIRECT(MatchDay!$W$2),2,FALSE)),"")</f>
        <v>0</v>
      </c>
      <c r="Q87" s="66">
        <f ca="1">IFERROR(IF(OR(J87=0,J87="",M87=0,M87="",M87="X"),0,VLOOKUP(I87,INDIRECT(MatchDay!$W$2),3,FALSE)),"")</f>
        <v>0</v>
      </c>
    </row>
    <row r="88" spans="1:19" x14ac:dyDescent="0.35">
      <c r="A88" s="116">
        <f>IFERROR(VLOOKUP(A79,records,5,FALSE),"")</f>
        <v>45.76</v>
      </c>
      <c r="B88" s="117">
        <f ca="1">IFERROR(INDIRECT(CONCATENATE("Distance!$d",A81+7)),"")</f>
        <v>8</v>
      </c>
      <c r="C88" s="117" t="str">
        <f ca="1">IFERROR(INDIRECT(CONCATENATE("Distance!$E",A81+7)),"")</f>
        <v/>
      </c>
      <c r="D88" s="183" t="str">
        <f ca="1">IFERROR(INDIRECT(CONCATENATE("Distance!$F",$A81+7)),"")</f>
        <v/>
      </c>
      <c r="E88" s="64" t="str">
        <f t="shared" ca="1" si="14"/>
        <v/>
      </c>
      <c r="F88" s="123" t="str">
        <f ca="1">IFERROR(INDIRECT(CONCATENATE("Distance!$H",A81+7)),"")</f>
        <v/>
      </c>
      <c r="G88" s="108" t="str">
        <f ca="1">IFERROR(IF(F88&lt;A83,"",VLOOKUP(VLOOKUP(F88,A83:B86,2,TRUE),Points!$H$1:$I$5,2,FALSE)),"")</f>
        <v/>
      </c>
      <c r="H88" s="67"/>
      <c r="I88" s="117">
        <f ca="1">IFERROR(INDIRECT(CONCATENATE("Distance!$j",A81+7)),"")</f>
        <v>8</v>
      </c>
      <c r="J88" s="117" t="str">
        <f ca="1">IFERROR(INDIRECT(CONCATENATE("Distance!$k",A81+7)),"")</f>
        <v/>
      </c>
      <c r="K88" s="183" t="str">
        <f ca="1">IFERROR(INDIRECT(CONCATENATE("Distance!$L",$A81+7)),"")</f>
        <v/>
      </c>
      <c r="L88" s="64" t="str">
        <f t="shared" ca="1" si="15"/>
        <v/>
      </c>
      <c r="M88" s="123" t="str">
        <f ca="1">IFERROR(INDIRECT(CONCATENATE("Distance!$T",A81+7)),"")</f>
        <v/>
      </c>
      <c r="N88" s="108" t="str">
        <f ca="1">IFERROR(IF(M88&lt;A83,"",VLOOKUP(VLOOKUP(M88,A83:B86,2,TRUE),Points!$H$1:$I$5,2,FALSE)),"")</f>
        <v/>
      </c>
      <c r="P88" s="66">
        <f ca="1">IFERROR(IF(OR(C88=0,C88="",F88=0,F88="",F88="X"),0,VLOOKUP(B88,INDIRECT(MatchDay!$W$2),2,FALSE)),"")</f>
        <v>0</v>
      </c>
      <c r="Q88" s="66">
        <f ca="1">IFERROR(IF(OR(J88=0,J88="",M88=0,M88="",M88="X"),0,VLOOKUP(I88,INDIRECT(MatchDay!$W$2),3,FALSE)),"")</f>
        <v>0</v>
      </c>
    </row>
    <row r="90" spans="1:19" x14ac:dyDescent="0.35">
      <c r="A90" s="111" t="s">
        <v>245</v>
      </c>
      <c r="B90" s="112" t="str">
        <f>IFERROR(VLOOKUP(A90,timetables,2,FALSE)&amp;" "&amp;VLOOKUP(A90,timetables,3,FALSE)&amp;" A","")</f>
        <v>Shot U13 Boys A</v>
      </c>
      <c r="C90" s="112"/>
      <c r="F90" s="121" t="str">
        <f ca="1">IFERROR(IF(OR(F92=0,F92="",F92="X"),"",IF(F92&gt;A99,"REC",IF(F92=A99,"=Rec",""))),"")</f>
        <v/>
      </c>
      <c r="G90" s="198" t="str">
        <f ca="1">IFERROR(IF(OR(F92=0,F92="",F92="X"),"",IF(F92&gt;A99,"REC",IF(F92=A99,"=Rec",""))),"")</f>
        <v/>
      </c>
      <c r="I90" s="114" t="str">
        <f>IFERROR(VLOOKUP(A90,timetables,2,FALSE)&amp;" "&amp;VLOOKUP(A90,timetables,3,FALSE)&amp;" B","")</f>
        <v>Shot U13 Boys B</v>
      </c>
      <c r="J90" s="115"/>
      <c r="P90" s="66" t="s">
        <v>53</v>
      </c>
      <c r="Q90" s="66" t="s">
        <v>54</v>
      </c>
    </row>
    <row r="91" spans="1:19" x14ac:dyDescent="0.35">
      <c r="A91" s="82"/>
      <c r="B91" s="45" t="s">
        <v>230</v>
      </c>
      <c r="C91" s="45" t="s">
        <v>159</v>
      </c>
      <c r="D91" s="47" t="s">
        <v>227</v>
      </c>
      <c r="E91" s="47" t="s">
        <v>228</v>
      </c>
      <c r="F91" s="45" t="s">
        <v>229</v>
      </c>
      <c r="G91" s="126" t="s">
        <v>55</v>
      </c>
      <c r="H91" s="47"/>
      <c r="I91" s="45" t="s">
        <v>230</v>
      </c>
      <c r="J91" s="45" t="s">
        <v>159</v>
      </c>
      <c r="K91" s="47" t="s">
        <v>227</v>
      </c>
      <c r="L91" s="47" t="s">
        <v>228</v>
      </c>
      <c r="M91" s="45" t="s">
        <v>229</v>
      </c>
      <c r="N91" s="126" t="s">
        <v>55</v>
      </c>
    </row>
    <row r="92" spans="1:19" x14ac:dyDescent="0.35">
      <c r="A92" s="66">
        <f>IFERROR(VLOOKUP(A90,Distance!A:B,2,FALSE),"")</f>
        <v>283</v>
      </c>
      <c r="B92" s="117">
        <f ca="1">IFERROR(INDIRECT(CONCATENATE("Distance!$d",A92)),"")</f>
        <v>1</v>
      </c>
      <c r="C92" s="117">
        <f ca="1">IFERROR(INDIRECT(CONCATENATE("Distance!$E",A92)),"")</f>
        <v>3</v>
      </c>
      <c r="D92" s="183" t="str">
        <f ca="1">IFERROR(INDIRECT(CONCATENATE("Distance!$F",$A92)),"")</f>
        <v>WALSH Lincoln</v>
      </c>
      <c r="E92" s="64" t="str">
        <f t="shared" ref="E92:E99" ca="1" si="16">IFERROR(VLOOKUP(C92,teamlookup,5,FALSE),"")</f>
        <v>York</v>
      </c>
      <c r="F92" s="123">
        <f ca="1">IFERROR(INDIRECT(CONCATENATE("Distance!$H",A92)),"")</f>
        <v>8.49</v>
      </c>
      <c r="G92" s="108">
        <f ca="1">IFERROR(IF(F92&lt;A94,"",VLOOKUP(VLOOKUP(F92,A94:B97,2,TRUE),Points!$H$1:$I$5,2,FALSE)),"")</f>
        <v>3</v>
      </c>
      <c r="H92" s="67"/>
      <c r="I92" s="117">
        <f ca="1">IFERROR(INDIRECT(CONCATENATE("Distance!$j",A92)),"")</f>
        <v>1</v>
      </c>
      <c r="J92" s="117">
        <f ca="1">IFERROR(INDIRECT(CONCATENATE("Distance!$k",A92)),"")</f>
        <v>33</v>
      </c>
      <c r="K92" s="183" t="str">
        <f ca="1">IFERROR(INDIRECT(CONCATENATE("Distance!$L",$A92)),"")</f>
        <v>ROTHWELL Noah</v>
      </c>
      <c r="L92" s="64" t="str">
        <f t="shared" ref="L92:L99" ca="1" si="17">IFERROR(VLOOKUP(J92,teamlookup,5,FALSE),"")</f>
        <v>York</v>
      </c>
      <c r="M92" s="123">
        <f ca="1">IFERROR(INDIRECT(CONCATENATE("Distance!$T",A92)),"")</f>
        <v>6.14</v>
      </c>
      <c r="N92" s="108" t="str">
        <f ca="1">IFERROR(IF(M92&lt;A94,"",VLOOKUP(VLOOKUP(M92,A94:B97,2,TRUE),Points!$H$1:$I$5,2,FALSE)),"")</f>
        <v/>
      </c>
      <c r="P92" s="66">
        <f ca="1">IFERROR(IF(OR(C92=0,C92="",F92=0,F92="",F92="X"),0,VLOOKUP(B92,INDIRECT(MatchDay!$W$2),2,FALSE)),"")</f>
        <v>8</v>
      </c>
      <c r="Q92" s="66">
        <f ca="1">IFERROR(IF(OR(J92=0,J92="",M92=0,M92="",M92="X"),0,VLOOKUP(I92,INDIRECT(MatchDay!$W$2),3,FALSE)),"")</f>
        <v>6</v>
      </c>
      <c r="R92" s="219">
        <f ca="1">COUNTIF(C92,"&gt;0")</f>
        <v>1</v>
      </c>
      <c r="S92" s="66">
        <f ca="1">IFERROR(IF(C92&gt;88,1,0),0)</f>
        <v>0</v>
      </c>
    </row>
    <row r="93" spans="1:19" x14ac:dyDescent="0.35">
      <c r="A93" s="116" t="s">
        <v>55</v>
      </c>
      <c r="B93" s="117">
        <f ca="1">IFERROR(INDIRECT(CONCATENATE("Distance!$d",A92+1)),"")</f>
        <v>2</v>
      </c>
      <c r="C93" s="117">
        <f ca="1">IFERROR(INDIRECT(CONCATENATE("Distance!$E",A92+1)),"")</f>
        <v>4</v>
      </c>
      <c r="D93" s="183" t="str">
        <f ca="1">IFERROR(INDIRECT(CONCATENATE("Distance!$F",$A92+1)),"")</f>
        <v>FRANCIS Stan</v>
      </c>
      <c r="E93" s="64" t="str">
        <f t="shared" ca="1" si="16"/>
        <v>M'bro</v>
      </c>
      <c r="F93" s="123">
        <f ca="1">IFERROR(INDIRECT(CONCATENATE("Distance!$H",A92+1)),"")</f>
        <v>6.45</v>
      </c>
      <c r="G93" s="108" t="str">
        <f ca="1">IFERROR(IF(F93&lt;A94,"",VLOOKUP(VLOOKUP(F93,A94:B97,2,TRUE),Points!$H$1:$I$5,2,FALSE)),"")</f>
        <v/>
      </c>
      <c r="H93" s="67"/>
      <c r="I93" s="117">
        <f ca="1">IFERROR(INDIRECT(CONCATENATE("Distance!$j",A92+1)),"")</f>
        <v>2</v>
      </c>
      <c r="J93" s="117">
        <f ca="1">IFERROR(INDIRECT(CONCATENATE("Distance!$k",A92+1)),"")</f>
        <v>2</v>
      </c>
      <c r="K93" s="183" t="str">
        <f ca="1">IFERROR(INDIRECT(CONCATENATE("Distance!$L",$A92+1)),"")</f>
        <v>HENNESSEY Thomas</v>
      </c>
      <c r="L93" s="64" t="str">
        <f t="shared" ca="1" si="17"/>
        <v>Sheff+D</v>
      </c>
      <c r="M93" s="123">
        <f ca="1">IFERROR(INDIRECT(CONCATENATE("Distance!$T",A92+1)),"")</f>
        <v>5.63</v>
      </c>
      <c r="N93" s="108" t="str">
        <f ca="1">IFERROR(IF(M93&lt;A94,"",VLOOKUP(VLOOKUP(M93,A94:B97,2,TRUE),Points!$H$1:$I$5,2,FALSE)),"")</f>
        <v/>
      </c>
      <c r="P93" s="66">
        <f ca="1">IFERROR(IF(OR(C93=0,C93="",F93=0,F93="",F93="X"),0,VLOOKUP(B93,INDIRECT(MatchDay!$W$2),2,FALSE)),"")</f>
        <v>6</v>
      </c>
      <c r="Q93" s="66">
        <f ca="1">IFERROR(IF(OR(J93=0,J93="",M93=0,M93="",M93="X"),0,VLOOKUP(I93,INDIRECT(MatchDay!$W$2),3,FALSE)),"")</f>
        <v>4</v>
      </c>
    </row>
    <row r="94" spans="1:19" x14ac:dyDescent="0.35">
      <c r="A94" s="118">
        <f>IFERROR(VLOOKUP(A90,standards,6,FALSE),"-")</f>
        <v>7.05</v>
      </c>
      <c r="B94" s="117">
        <f ca="1">IFERROR(INDIRECT(CONCATENATE("Distance!$d",A92+2)),"")</f>
        <v>3</v>
      </c>
      <c r="C94" s="117">
        <f ca="1">IFERROR(INDIRECT(CONCATENATE("Distance!$E",A92+2)),"")</f>
        <v>1</v>
      </c>
      <c r="D94" s="183" t="str">
        <f ca="1">IFERROR(INDIRECT(CONCATENATE("Distance!$F",$A92+2)),"")</f>
        <v>STOWELL Callum</v>
      </c>
      <c r="E94" s="64" t="str">
        <f t="shared" ca="1" si="16"/>
        <v>C'field</v>
      </c>
      <c r="F94" s="123">
        <f ca="1">IFERROR(INDIRECT(CONCATENATE("Distance!$H",A92+2)),"")</f>
        <v>5.71</v>
      </c>
      <c r="G94" s="108" t="str">
        <f ca="1">IFERROR(IF(F94&lt;A94,"",VLOOKUP(VLOOKUP(F94,A94:B97,2,TRUE),Points!$H$1:$I$5,2,FALSE)),"")</f>
        <v/>
      </c>
      <c r="H94" s="67"/>
      <c r="I94" s="117">
        <f ca="1">IFERROR(INDIRECT(CONCATENATE("Distance!$j",A92+2)),"")</f>
        <v>3</v>
      </c>
      <c r="J94" s="117">
        <f ca="1">IFERROR(INDIRECT(CONCATENATE("Distance!$k",A92+2)),"")</f>
        <v>55</v>
      </c>
      <c r="K94" s="183" t="str">
        <f ca="1">IFERROR(INDIRECT(CONCATENATE("Distance!$L",$A92+2)),"")</f>
        <v>PELL Nathan</v>
      </c>
      <c r="L94" s="64" t="str">
        <f t="shared" ca="1" si="17"/>
        <v>Scun</v>
      </c>
      <c r="M94" s="123">
        <f ca="1">IFERROR(INDIRECT(CONCATENATE("Distance!$T",A92+2)),"")</f>
        <v>4.32</v>
      </c>
      <c r="N94" s="108" t="str">
        <f ca="1">IFERROR(IF(M94&lt;A94,"",VLOOKUP(VLOOKUP(M94,A94:B97,2,TRUE),Points!$H$1:$I$5,2,FALSE)),"")</f>
        <v/>
      </c>
      <c r="P94" s="66">
        <f ca="1">IFERROR(IF(OR(C94=0,C94="",F94=0,F94="",F94="X"),0,VLOOKUP(B94,INDIRECT(MatchDay!$W$2),2,FALSE)),"")</f>
        <v>5</v>
      </c>
      <c r="Q94" s="66">
        <f ca="1">IFERROR(IF(OR(J94=0,J94="",M94=0,M94="",M94="X"),0,VLOOKUP(I94,INDIRECT(MatchDay!$W$2),3,FALSE)),"")</f>
        <v>3</v>
      </c>
    </row>
    <row r="95" spans="1:19" x14ac:dyDescent="0.35">
      <c r="A95" s="118">
        <f>IFERROR(VLOOKUP(A90,standards,5,FALSE),"-")</f>
        <v>7.95</v>
      </c>
      <c r="B95" s="117">
        <f ca="1">IFERROR(INDIRECT(CONCATENATE("Distance!$d",A92+3)),"")</f>
        <v>4</v>
      </c>
      <c r="C95" s="117">
        <f ca="1">IFERROR(INDIRECT(CONCATENATE("Distance!$E",A92+3)),"")</f>
        <v>22</v>
      </c>
      <c r="D95" s="183" t="str">
        <f ca="1">IFERROR(INDIRECT(CONCATENATE("Distance!$F",$A92+3)),"")</f>
        <v>COCKINGS Matthew</v>
      </c>
      <c r="E95" s="64" t="str">
        <f t="shared" ca="1" si="16"/>
        <v>Sheff+D</v>
      </c>
      <c r="F95" s="123">
        <f ca="1">IFERROR(INDIRECT(CONCATENATE("Distance!$H",A92+3)),"")</f>
        <v>5.66</v>
      </c>
      <c r="G95" s="108" t="str">
        <f ca="1">IFERROR(IF(F95&lt;A94,"",VLOOKUP(VLOOKUP(F95,A94:B97,2,TRUE),Points!$H$1:$I$5,2,FALSE)),"")</f>
        <v/>
      </c>
      <c r="H95" s="67"/>
      <c r="I95" s="117">
        <f ca="1">IFERROR(INDIRECT(CONCATENATE("Distance!$j",A92+3)),"")</f>
        <v>4</v>
      </c>
      <c r="J95" s="117">
        <f ca="1">IFERROR(INDIRECT(CONCATENATE("Distance!$k",A92+3)),"")</f>
        <v>11</v>
      </c>
      <c r="K95" s="183" t="str">
        <f ca="1">IFERROR(INDIRECT(CONCATENATE("Distance!$L",$A92+3)),"")</f>
        <v>DREW Matthew</v>
      </c>
      <c r="L95" s="64" t="str">
        <f t="shared" ca="1" si="17"/>
        <v>C'field</v>
      </c>
      <c r="M95" s="123">
        <f ca="1">IFERROR(INDIRECT(CONCATENATE("Distance!$T",A92+3)),"")</f>
        <v>3.9</v>
      </c>
      <c r="N95" s="108" t="str">
        <f ca="1">IFERROR(IF(M95&lt;A94,"",VLOOKUP(VLOOKUP(M95,A94:B97,2,TRUE),Points!$H$1:$I$5,2,FALSE)),"")</f>
        <v/>
      </c>
      <c r="P95" s="66">
        <f ca="1">IFERROR(IF(OR(C95=0,C95="",F95=0,F95="",F95="X"),0,VLOOKUP(B95,INDIRECT(MatchDay!$W$2),2,FALSE)),"")</f>
        <v>4</v>
      </c>
      <c r="Q95" s="66">
        <f ca="1">IFERROR(IF(OR(J95=0,J95="",M95=0,M95="",M95="X"),0,VLOOKUP(I95,INDIRECT(MatchDay!$W$2),3,FALSE)),"")</f>
        <v>2</v>
      </c>
    </row>
    <row r="96" spans="1:19" x14ac:dyDescent="0.35">
      <c r="A96" s="118">
        <f>IFERROR(VLOOKUP(A90,standards,4,FALSE),"-")</f>
        <v>8.5500000000000007</v>
      </c>
      <c r="B96" s="117">
        <f ca="1">IFERROR(INDIRECT(CONCATENATE("Distance!$d",A92+4)),"")</f>
        <v>5</v>
      </c>
      <c r="C96" s="117">
        <f ca="1">IFERROR(INDIRECT(CONCATENATE("Distance!$E",A92+4)),"")</f>
        <v>5</v>
      </c>
      <c r="D96" s="183" t="str">
        <f ca="1">IFERROR(INDIRECT(CONCATENATE("Distance!$F",$A92+4)),"")</f>
        <v>COOK Alexander</v>
      </c>
      <c r="E96" s="64" t="str">
        <f t="shared" ca="1" si="16"/>
        <v>Scun</v>
      </c>
      <c r="F96" s="123">
        <f ca="1">IFERROR(INDIRECT(CONCATENATE("Distance!$H",A92+4)),"")</f>
        <v>5.19</v>
      </c>
      <c r="G96" s="108" t="str">
        <f ca="1">IFERROR(IF(F96&lt;A94,"",VLOOKUP(VLOOKUP(F96,A94:B97,2,TRUE),Points!$H$1:$I$5,2,FALSE)),"")</f>
        <v/>
      </c>
      <c r="H96" s="67"/>
      <c r="I96" s="117">
        <f ca="1">IFERROR(INDIRECT(CONCATENATE("Distance!$j",A92+4)),"")</f>
        <v>5</v>
      </c>
      <c r="J96" s="117" t="str">
        <f ca="1">IFERROR(INDIRECT(CONCATENATE("Distance!$k",A92+4)),"")</f>
        <v/>
      </c>
      <c r="K96" s="183" t="str">
        <f ca="1">IFERROR(INDIRECT(CONCATENATE("Distance!$L",$A92+4)),"")</f>
        <v/>
      </c>
      <c r="L96" s="64" t="str">
        <f t="shared" ca="1" si="17"/>
        <v/>
      </c>
      <c r="M96" s="123" t="str">
        <f ca="1">IFERROR(INDIRECT(CONCATENATE("Distance!$T",A92+4)),"")</f>
        <v/>
      </c>
      <c r="N96" s="108" t="str">
        <f ca="1">IFERROR(IF(M96&lt;A94,"",VLOOKUP(VLOOKUP(M96,A94:B97,2,TRUE),Points!$H$1:$I$5,2,FALSE)),"")</f>
        <v/>
      </c>
      <c r="P96" s="66">
        <f ca="1">IFERROR(IF(OR(C96=0,C96="",F96=0,F96="",F96="X"),0,VLOOKUP(B96,INDIRECT(MatchDay!$W$2),2,FALSE)),"")</f>
        <v>3</v>
      </c>
      <c r="Q96" s="66">
        <f ca="1">IFERROR(IF(OR(J96=0,J96="",M96=0,M96="",M96="X"),0,VLOOKUP(I96,INDIRECT(MatchDay!$W$2),3,FALSE)),"")</f>
        <v>0</v>
      </c>
    </row>
    <row r="97" spans="1:19" x14ac:dyDescent="0.35">
      <c r="A97" s="118">
        <f>IFERROR(VLOOKUP(A90,standards,3,FALSE),"-")</f>
        <v>9.25</v>
      </c>
      <c r="B97" s="117">
        <f ca="1">IFERROR(INDIRECT(CONCATENATE("Distance!$d",A92+5)),"")</f>
        <v>6</v>
      </c>
      <c r="C97" s="117" t="str">
        <f ca="1">IFERROR(INDIRECT(CONCATENATE("Distance!$E",A92+5)),"")</f>
        <v/>
      </c>
      <c r="D97" s="183" t="str">
        <f ca="1">IFERROR(INDIRECT(CONCATENATE("Distance!$F",$A92+5)),"")</f>
        <v/>
      </c>
      <c r="E97" s="64" t="str">
        <f t="shared" ca="1" si="16"/>
        <v/>
      </c>
      <c r="F97" s="123" t="str">
        <f ca="1">IFERROR(INDIRECT(CONCATENATE("Distance!$H",A92+5)),"")</f>
        <v/>
      </c>
      <c r="G97" s="108" t="str">
        <f ca="1">IFERROR(IF(F97&lt;A94,"",VLOOKUP(VLOOKUP(F97,A94:B97,2,TRUE),Points!$H$1:$I$5,2,FALSE)),"")</f>
        <v/>
      </c>
      <c r="H97" s="67"/>
      <c r="I97" s="117">
        <f ca="1">IFERROR(INDIRECT(CONCATENATE("Distance!$j",A92+5)),"")</f>
        <v>6</v>
      </c>
      <c r="J97" s="117" t="str">
        <f ca="1">IFERROR(INDIRECT(CONCATENATE("Distance!$k",A92+5)),"")</f>
        <v/>
      </c>
      <c r="K97" s="183" t="str">
        <f ca="1">IFERROR(INDIRECT(CONCATENATE("Distance!$L",$A92+5)),"")</f>
        <v/>
      </c>
      <c r="L97" s="64" t="str">
        <f t="shared" ca="1" si="17"/>
        <v/>
      </c>
      <c r="M97" s="123" t="str">
        <f ca="1">IFERROR(INDIRECT(CONCATENATE("Distance!$T",A92+5)),"")</f>
        <v/>
      </c>
      <c r="N97" s="108" t="str">
        <f ca="1">IFERROR(IF(M97&lt;A94,"",VLOOKUP(VLOOKUP(M97,A94:B97,2,TRUE),Points!$H$1:$I$5,2,FALSE)),"")</f>
        <v/>
      </c>
      <c r="P97" s="66">
        <f ca="1">IFERROR(IF(OR(C97=0,C97="",F97=0,F97="",F97="X"),0,VLOOKUP(B97,INDIRECT(MatchDay!$W$2),2,FALSE)),"")</f>
        <v>0</v>
      </c>
      <c r="Q97" s="66">
        <f ca="1">IFERROR(IF(OR(J97=0,J97="",M97=0,M97="",M97="X"),0,VLOOKUP(I97,INDIRECT(MatchDay!$W$2),3,FALSE)),"")</f>
        <v>0</v>
      </c>
    </row>
    <row r="98" spans="1:19" x14ac:dyDescent="0.35">
      <c r="A98" s="116" t="s">
        <v>204</v>
      </c>
      <c r="B98" s="117">
        <f ca="1">IFERROR(INDIRECT(CONCATENATE("Distance!$d",A92+6)),"")</f>
        <v>7</v>
      </c>
      <c r="C98" s="117" t="str">
        <f ca="1">IFERROR(INDIRECT(CONCATENATE("Distance!$E",A92+6)),"")</f>
        <v/>
      </c>
      <c r="D98" s="183" t="str">
        <f ca="1">IFERROR(INDIRECT(CONCATENATE("Distance!$F",$A92+6)),"")</f>
        <v/>
      </c>
      <c r="E98" s="64" t="str">
        <f t="shared" ca="1" si="16"/>
        <v/>
      </c>
      <c r="F98" s="123" t="str">
        <f ca="1">IFERROR(INDIRECT(CONCATENATE("Distance!$H",A92+6)),"")</f>
        <v/>
      </c>
      <c r="G98" s="108" t="str">
        <f ca="1">IFERROR(IF(F98&lt;A94,"",VLOOKUP(VLOOKUP(F98,A94:B97,2,TRUE),Points!$H$1:$I$5,2,FALSE)),"")</f>
        <v/>
      </c>
      <c r="H98" s="67"/>
      <c r="I98" s="117">
        <f ca="1">IFERROR(INDIRECT(CONCATENATE("Distance!$j",A92+6)),"")</f>
        <v>7</v>
      </c>
      <c r="J98" s="117" t="str">
        <f ca="1">IFERROR(INDIRECT(CONCATENATE("Distance!$k",A92+6)),"")</f>
        <v/>
      </c>
      <c r="K98" s="183" t="str">
        <f ca="1">IFERROR(INDIRECT(CONCATENATE("Distance!$L",$A92+6)),"")</f>
        <v/>
      </c>
      <c r="L98" s="64" t="str">
        <f t="shared" ca="1" si="17"/>
        <v/>
      </c>
      <c r="M98" s="123" t="str">
        <f ca="1">IFERROR(INDIRECT(CONCATENATE("Distance!$T",A92+6)),"")</f>
        <v/>
      </c>
      <c r="N98" s="108" t="str">
        <f ca="1">IFERROR(IF(M98&lt;A94,"",VLOOKUP(VLOOKUP(M98,A94:B97,2,TRUE),Points!$H$1:$I$5,2,FALSE)),"")</f>
        <v/>
      </c>
      <c r="P98" s="66">
        <f ca="1">IFERROR(IF(OR(C98=0,C98="",F98=0,F98="",F98="X"),0,VLOOKUP(B98,INDIRECT(MatchDay!$W$2),2,FALSE)),"")</f>
        <v>0</v>
      </c>
      <c r="Q98" s="66">
        <f ca="1">IFERROR(IF(OR(J98=0,J98="",M98=0,M98="",M98="X"),0,VLOOKUP(I98,INDIRECT(MatchDay!$W$2),3,FALSE)),"")</f>
        <v>0</v>
      </c>
    </row>
    <row r="99" spans="1:19" x14ac:dyDescent="0.35">
      <c r="A99" s="116">
        <f>IFERROR(VLOOKUP(A90,records,5,FALSE),"")</f>
        <v>12.35</v>
      </c>
      <c r="B99" s="117">
        <f ca="1">IFERROR(INDIRECT(CONCATENATE("Distance!$d",A92+7)),"")</f>
        <v>8</v>
      </c>
      <c r="C99" s="117" t="str">
        <f ca="1">IFERROR(INDIRECT(CONCATENATE("Distance!$E",A92+7)),"")</f>
        <v/>
      </c>
      <c r="D99" s="183" t="str">
        <f ca="1">IFERROR(INDIRECT(CONCATENATE("Distance!$F",$A92+7)),"")</f>
        <v/>
      </c>
      <c r="E99" s="64" t="str">
        <f t="shared" ca="1" si="16"/>
        <v/>
      </c>
      <c r="F99" s="123" t="str">
        <f ca="1">IFERROR(INDIRECT(CONCATENATE("Distance!$H",A92+7)),"")</f>
        <v/>
      </c>
      <c r="G99" s="108" t="str">
        <f ca="1">IFERROR(IF(F99&lt;A94,"",VLOOKUP(VLOOKUP(F99,A94:B97,2,TRUE),Points!$H$1:$I$5,2,FALSE)),"")</f>
        <v/>
      </c>
      <c r="H99" s="67"/>
      <c r="I99" s="117">
        <f ca="1">IFERROR(INDIRECT(CONCATENATE("Distance!$j",A92+7)),"")</f>
        <v>8</v>
      </c>
      <c r="J99" s="117" t="str">
        <f ca="1">IFERROR(INDIRECT(CONCATENATE("Distance!$k",A92+7)),"")</f>
        <v/>
      </c>
      <c r="K99" s="183" t="str">
        <f ca="1">IFERROR(INDIRECT(CONCATENATE("Distance!$L",$A92+7)),"")</f>
        <v/>
      </c>
      <c r="L99" s="64" t="str">
        <f t="shared" ca="1" si="17"/>
        <v/>
      </c>
      <c r="M99" s="123" t="str">
        <f ca="1">IFERROR(INDIRECT(CONCATENATE("Distance!$T",A92+7)),"")</f>
        <v/>
      </c>
      <c r="N99" s="108" t="str">
        <f ca="1">IFERROR(IF(M99&lt;A94,"",VLOOKUP(VLOOKUP(M99,A94:B97,2,TRUE),Points!$H$1:$I$5,2,FALSE)),"")</f>
        <v/>
      </c>
      <c r="P99" s="66">
        <f ca="1">IFERROR(IF(OR(C99=0,C99="",F99=0,F99="",F99="X"),0,VLOOKUP(B99,INDIRECT(MatchDay!$W$2),2,FALSE)),"")</f>
        <v>0</v>
      </c>
      <c r="Q99" s="66">
        <f ca="1">IFERROR(IF(OR(J99=0,J99="",M99=0,M99="",M99="X"),0,VLOOKUP(I99,INDIRECT(MatchDay!$W$2),3,FALSE)),"")</f>
        <v>0</v>
      </c>
    </row>
    <row r="101" spans="1:19" x14ac:dyDescent="0.35">
      <c r="A101" s="111" t="s">
        <v>246</v>
      </c>
      <c r="B101" s="112" t="str">
        <f>IFERROR(VLOOKUP(A101,timetables,2,FALSE)&amp;" "&amp;VLOOKUP(A101,timetables,3,FALSE)&amp;" A","")</f>
        <v>Javelin U13 Boys A</v>
      </c>
      <c r="C101" s="112"/>
      <c r="F101" s="121" t="str">
        <f ca="1">IFERROR(IF(OR(F103=0,F103="",F103="X"),"",IF(F103&gt;A110,"REC",IF(F103=A110,"=Rec",""))),"")</f>
        <v/>
      </c>
      <c r="G101" s="198" t="str">
        <f ca="1">IFERROR(IF(OR(F103=0,F103="",F103="X"),"",IF(F103&gt;A110,"REC",IF(F103=A110,"=Rec",""))),"")</f>
        <v/>
      </c>
      <c r="I101" s="114" t="str">
        <f>IFERROR(VLOOKUP(A101,timetables,2,FALSE)&amp;" "&amp;VLOOKUP(A101,timetables,3,FALSE)&amp;" B","")</f>
        <v>Javelin U13 Boys B</v>
      </c>
      <c r="J101" s="115"/>
      <c r="P101" s="66" t="s">
        <v>53</v>
      </c>
      <c r="Q101" s="66" t="s">
        <v>54</v>
      </c>
    </row>
    <row r="102" spans="1:19" x14ac:dyDescent="0.35">
      <c r="A102" s="82"/>
      <c r="B102" s="45" t="s">
        <v>230</v>
      </c>
      <c r="C102" s="45" t="s">
        <v>159</v>
      </c>
      <c r="D102" s="47" t="s">
        <v>227</v>
      </c>
      <c r="E102" s="47" t="s">
        <v>228</v>
      </c>
      <c r="F102" s="45" t="s">
        <v>229</v>
      </c>
      <c r="G102" s="126" t="s">
        <v>55</v>
      </c>
      <c r="H102" s="47"/>
      <c r="I102" s="45" t="s">
        <v>230</v>
      </c>
      <c r="J102" s="45" t="s">
        <v>159</v>
      </c>
      <c r="K102" s="47" t="s">
        <v>227</v>
      </c>
      <c r="L102" s="47" t="s">
        <v>228</v>
      </c>
      <c r="M102" s="45" t="s">
        <v>229</v>
      </c>
      <c r="N102" s="126" t="s">
        <v>55</v>
      </c>
    </row>
    <row r="103" spans="1:19" x14ac:dyDescent="0.35">
      <c r="A103" s="66">
        <f>IFERROR(VLOOKUP(A101,Distance!A:B,2,FALSE),"")</f>
        <v>315</v>
      </c>
      <c r="B103" s="117">
        <f ca="1">IFERROR(INDIRECT(CONCATENATE("Distance!$d",A103)),"")</f>
        <v>1</v>
      </c>
      <c r="C103" s="117">
        <f ca="1">IFERROR(INDIRECT(CONCATENATE("Distance!$E",A103)),"")</f>
        <v>2</v>
      </c>
      <c r="D103" s="183" t="str">
        <f ca="1">IFERROR(INDIRECT(CONCATENATE("Distance!$F",$A103)),"")</f>
        <v>HENNESSEY Thomas</v>
      </c>
      <c r="E103" s="64" t="str">
        <f t="shared" ref="E103:E110" ca="1" si="18">IFERROR(VLOOKUP(C103,teamlookup,5,FALSE),"")</f>
        <v>Sheff+D</v>
      </c>
      <c r="F103" s="123">
        <f ca="1">IFERROR(INDIRECT(CONCATENATE("Distance!$H",A103)),"")</f>
        <v>27.83</v>
      </c>
      <c r="G103" s="108">
        <f ca="1">IFERROR(IF(F103&lt;A105,"",VLOOKUP(VLOOKUP(F103,A105:B108,2,TRUE),Points!$H$1:$I$5,2,FALSE)),"")</f>
        <v>3</v>
      </c>
      <c r="H103" s="67"/>
      <c r="I103" s="117">
        <f ca="1">IFERROR(INDIRECT(CONCATENATE("Distance!$j",A103)),"")</f>
        <v>1</v>
      </c>
      <c r="J103" s="117">
        <f ca="1">IFERROR(INDIRECT(CONCATENATE("Distance!$k",A103)),"")</f>
        <v>22</v>
      </c>
      <c r="K103" s="183" t="str">
        <f ca="1">IFERROR(INDIRECT(CONCATENATE("Distance!$L",$A103)),"")</f>
        <v>COCKINGS Matthew</v>
      </c>
      <c r="L103" s="64" t="str">
        <f t="shared" ref="L103:L110" ca="1" si="19">IFERROR(VLOOKUP(J103,teamlookup,5,FALSE),"")</f>
        <v>Sheff+D</v>
      </c>
      <c r="M103" s="123">
        <f ca="1">IFERROR(INDIRECT(CONCATENATE("Distance!$T",A103)),"")</f>
        <v>16.329999999999998</v>
      </c>
      <c r="N103" s="108" t="str">
        <f ca="1">IFERROR(IF(M103&lt;A105,"",VLOOKUP(VLOOKUP(M103,A105:B108,2,TRUE),Points!$H$1:$I$5,2,FALSE)),"")</f>
        <v/>
      </c>
      <c r="P103" s="66">
        <f ca="1">IFERROR(IF(OR(C103=0,C103="",F103=0,F103="",F103="X"),0,VLOOKUP(B103,INDIRECT(MatchDay!$W$2),2,FALSE)),"")</f>
        <v>8</v>
      </c>
      <c r="Q103" s="66">
        <f ca="1">IFERROR(IF(OR(J103=0,J103="",M103=0,M103="",M103="X"),0,VLOOKUP(I103,INDIRECT(MatchDay!$W$2),3,FALSE)),"")</f>
        <v>6</v>
      </c>
      <c r="R103" s="219">
        <f ca="1">COUNTIF(C103,"&gt;0")</f>
        <v>1</v>
      </c>
      <c r="S103" s="66">
        <f ca="1">IFERROR(IF(C103&gt;88,1,0),0)</f>
        <v>0</v>
      </c>
    </row>
    <row r="104" spans="1:19" x14ac:dyDescent="0.35">
      <c r="A104" s="116" t="s">
        <v>55</v>
      </c>
      <c r="B104" s="117">
        <f ca="1">IFERROR(INDIRECT(CONCATENATE("Distance!$d",A103+1)),"")</f>
        <v>2</v>
      </c>
      <c r="C104" s="117">
        <f ca="1">IFERROR(INDIRECT(CONCATENATE("Distance!$E",A103+1)),"")</f>
        <v>3</v>
      </c>
      <c r="D104" s="183" t="str">
        <f ca="1">IFERROR(INDIRECT(CONCATENATE("Distance!$F",$A103+1)),"")</f>
        <v>RUTTER Lewis</v>
      </c>
      <c r="E104" s="64" t="str">
        <f t="shared" ca="1" si="18"/>
        <v>York</v>
      </c>
      <c r="F104" s="123">
        <f ca="1">IFERROR(INDIRECT(CONCATENATE("Distance!$H",A103+1)),"")</f>
        <v>18.79</v>
      </c>
      <c r="G104" s="108" t="str">
        <f ca="1">IFERROR(IF(F104&lt;A105,"",VLOOKUP(VLOOKUP(F104,A105:B108,2,TRUE),Points!$H$1:$I$5,2,FALSE)),"")</f>
        <v/>
      </c>
      <c r="H104" s="67"/>
      <c r="I104" s="117">
        <f ca="1">IFERROR(INDIRECT(CONCATENATE("Distance!$j",A103+1)),"")</f>
        <v>2</v>
      </c>
      <c r="J104" s="117">
        <f ca="1">IFERROR(INDIRECT(CONCATENATE("Distance!$k",A103+1)),"")</f>
        <v>33</v>
      </c>
      <c r="K104" s="183" t="str">
        <f ca="1">IFERROR(INDIRECT(CONCATENATE("Distance!$L",$A103+1)),"")</f>
        <v>ROTHWELL Noah</v>
      </c>
      <c r="L104" s="64" t="str">
        <f t="shared" ca="1" si="19"/>
        <v>York</v>
      </c>
      <c r="M104" s="123">
        <f ca="1">IFERROR(INDIRECT(CONCATENATE("Distance!$T",A103+1)),"")</f>
        <v>14.45</v>
      </c>
      <c r="N104" s="108" t="str">
        <f ca="1">IFERROR(IF(M104&lt;A105,"",VLOOKUP(VLOOKUP(M104,A105:B108,2,TRUE),Points!$H$1:$I$5,2,FALSE)),"")</f>
        <v/>
      </c>
      <c r="P104" s="66">
        <f ca="1">IFERROR(IF(OR(C104=0,C104="",F104=0,F104="",F104="X"),0,VLOOKUP(B104,INDIRECT(MatchDay!$W$2),2,FALSE)),"")</f>
        <v>6</v>
      </c>
      <c r="Q104" s="66">
        <f ca="1">IFERROR(IF(OR(J104=0,J104="",M104=0,M104="",M104="X"),0,VLOOKUP(I104,INDIRECT(MatchDay!$W$2),3,FALSE)),"")</f>
        <v>4</v>
      </c>
    </row>
    <row r="105" spans="1:19" x14ac:dyDescent="0.35">
      <c r="A105" s="118">
        <f>IFERROR(VLOOKUP(A101,standards,6,FALSE),"-")</f>
        <v>21.3</v>
      </c>
      <c r="B105" s="117">
        <f ca="1">IFERROR(INDIRECT(CONCATENATE("Distance!$d",A103+2)),"")</f>
        <v>3</v>
      </c>
      <c r="C105" s="117">
        <f ca="1">IFERROR(INDIRECT(CONCATENATE("Distance!$E",A103+2)),"")</f>
        <v>5</v>
      </c>
      <c r="D105" s="183" t="str">
        <f ca="1">IFERROR(INDIRECT(CONCATENATE("Distance!$F",$A103+2)),"")</f>
        <v>COOK Alexander</v>
      </c>
      <c r="E105" s="64" t="str">
        <f t="shared" ca="1" si="18"/>
        <v>Scun</v>
      </c>
      <c r="F105" s="123">
        <f ca="1">IFERROR(INDIRECT(CONCATENATE("Distance!$H",A103+2)),"")</f>
        <v>16.600000000000001</v>
      </c>
      <c r="G105" s="108" t="str">
        <f ca="1">IFERROR(IF(F105&lt;A105,"",VLOOKUP(VLOOKUP(F105,A105:B108,2,TRUE),Points!$H$1:$I$5,2,FALSE)),"")</f>
        <v/>
      </c>
      <c r="H105" s="67"/>
      <c r="I105" s="117">
        <f ca="1">IFERROR(INDIRECT(CONCATENATE("Distance!$j",A103+2)),"")</f>
        <v>3</v>
      </c>
      <c r="J105" s="117">
        <f ca="1">IFERROR(INDIRECT(CONCATENATE("Distance!$k",A103+2)),"")</f>
        <v>55</v>
      </c>
      <c r="K105" s="183" t="str">
        <f ca="1">IFERROR(INDIRECT(CONCATENATE("Distance!$L",$A103+2)),"")</f>
        <v>PELL Nathan</v>
      </c>
      <c r="L105" s="64" t="str">
        <f t="shared" ca="1" si="19"/>
        <v>Scun</v>
      </c>
      <c r="M105" s="123">
        <f ca="1">IFERROR(INDIRECT(CONCATENATE("Distance!$T",A103+2)),"")</f>
        <v>11.57</v>
      </c>
      <c r="N105" s="108" t="str">
        <f ca="1">IFERROR(IF(M105&lt;A105,"",VLOOKUP(VLOOKUP(M105,A105:B108,2,TRUE),Points!$H$1:$I$5,2,FALSE)),"")</f>
        <v/>
      </c>
      <c r="P105" s="66">
        <f ca="1">IFERROR(IF(OR(C105=0,C105="",F105=0,F105="",F105="X"),0,VLOOKUP(B105,INDIRECT(MatchDay!$W$2),2,FALSE)),"")</f>
        <v>5</v>
      </c>
      <c r="Q105" s="66">
        <f ca="1">IFERROR(IF(OR(J105=0,J105="",M105=0,M105="",M105="X"),0,VLOOKUP(I105,INDIRECT(MatchDay!$W$2),3,FALSE)),"")</f>
        <v>3</v>
      </c>
    </row>
    <row r="106" spans="1:19" x14ac:dyDescent="0.35">
      <c r="A106" s="118">
        <f>IFERROR(VLOOKUP(A101,standards,5,FALSE),"-")</f>
        <v>26.1</v>
      </c>
      <c r="B106" s="117">
        <f ca="1">IFERROR(INDIRECT(CONCATENATE("Distance!$d",A103+3)),"")</f>
        <v>4</v>
      </c>
      <c r="C106" s="117">
        <f ca="1">IFERROR(INDIRECT(CONCATENATE("Distance!$E",A103+3)),"")</f>
        <v>4</v>
      </c>
      <c r="D106" s="183" t="str">
        <f ca="1">IFERROR(INDIRECT(CONCATENATE("Distance!$F",$A103+3)),"")</f>
        <v>MAYNARD Finley</v>
      </c>
      <c r="E106" s="64" t="str">
        <f t="shared" ca="1" si="18"/>
        <v>M'bro</v>
      </c>
      <c r="F106" s="123">
        <f ca="1">IFERROR(INDIRECT(CONCATENATE("Distance!$H",A103+3)),"")</f>
        <v>14.05</v>
      </c>
      <c r="G106" s="108" t="str">
        <f ca="1">IFERROR(IF(F106&lt;A105,"",VLOOKUP(VLOOKUP(F106,A105:B108,2,TRUE),Points!$H$1:$I$5,2,FALSE)),"")</f>
        <v/>
      </c>
      <c r="H106" s="67"/>
      <c r="I106" s="117">
        <f ca="1">IFERROR(INDIRECT(CONCATENATE("Distance!$j",A103+3)),"")</f>
        <v>4</v>
      </c>
      <c r="J106" s="117" t="str">
        <f ca="1">IFERROR(INDIRECT(CONCATENATE("Distance!$k",A103+3)),"")</f>
        <v/>
      </c>
      <c r="K106" s="183" t="str">
        <f ca="1">IFERROR(INDIRECT(CONCATENATE("Distance!$L",$A103+3)),"")</f>
        <v/>
      </c>
      <c r="L106" s="64" t="str">
        <f t="shared" ca="1" si="19"/>
        <v/>
      </c>
      <c r="M106" s="123" t="str">
        <f ca="1">IFERROR(INDIRECT(CONCATENATE("Distance!$T",A103+3)),"")</f>
        <v/>
      </c>
      <c r="N106" s="108" t="str">
        <f ca="1">IFERROR(IF(M106&lt;A105,"",VLOOKUP(VLOOKUP(M106,A105:B108,2,TRUE),Points!$H$1:$I$5,2,FALSE)),"")</f>
        <v/>
      </c>
      <c r="P106" s="66">
        <f ca="1">IFERROR(IF(OR(C106=0,C106="",F106=0,F106="",F106="X"),0,VLOOKUP(B106,INDIRECT(MatchDay!$W$2),2,FALSE)),"")</f>
        <v>4</v>
      </c>
      <c r="Q106" s="66">
        <f ca="1">IFERROR(IF(OR(J106=0,J106="",M106=0,M106="",M106="X"),0,VLOOKUP(I106,INDIRECT(MatchDay!$W$2),3,FALSE)),"")</f>
        <v>0</v>
      </c>
    </row>
    <row r="107" spans="1:19" x14ac:dyDescent="0.35">
      <c r="A107" s="118">
        <f>IFERROR(VLOOKUP(A101,standards,4,FALSE),"-")</f>
        <v>29</v>
      </c>
      <c r="B107" s="117">
        <f ca="1">IFERROR(INDIRECT(CONCATENATE("Distance!$d",A103+4)),"")</f>
        <v>5</v>
      </c>
      <c r="C107" s="117">
        <f ca="1">IFERROR(INDIRECT(CONCATENATE("Distance!$E",A103+4)),"")</f>
        <v>1</v>
      </c>
      <c r="D107" s="183" t="str">
        <f ca="1">IFERROR(INDIRECT(CONCATENATE("Distance!$F",$A103+4)),"")</f>
        <v>STOWELL Callum</v>
      </c>
      <c r="E107" s="64" t="str">
        <f t="shared" ca="1" si="18"/>
        <v>C'field</v>
      </c>
      <c r="F107" s="123">
        <f ca="1">IFERROR(INDIRECT(CONCATENATE("Distance!$H",A103+4)),"")</f>
        <v>12.32</v>
      </c>
      <c r="G107" s="108" t="str">
        <f ca="1">IFERROR(IF(F107&lt;A105,"",VLOOKUP(VLOOKUP(F107,A105:B108,2,TRUE),Points!$H$1:$I$5,2,FALSE)),"")</f>
        <v/>
      </c>
      <c r="H107" s="67"/>
      <c r="I107" s="117">
        <f ca="1">IFERROR(INDIRECT(CONCATENATE("Distance!$j",A103+4)),"")</f>
        <v>5</v>
      </c>
      <c r="J107" s="117" t="str">
        <f ca="1">IFERROR(INDIRECT(CONCATENATE("Distance!$k",A103+4)),"")</f>
        <v/>
      </c>
      <c r="K107" s="183" t="str">
        <f ca="1">IFERROR(INDIRECT(CONCATENATE("Distance!$L",$A103+4)),"")</f>
        <v/>
      </c>
      <c r="L107" s="64" t="str">
        <f t="shared" ca="1" si="19"/>
        <v/>
      </c>
      <c r="M107" s="123" t="str">
        <f ca="1">IFERROR(INDIRECT(CONCATENATE("Distance!$T",A103+4)),"")</f>
        <v/>
      </c>
      <c r="N107" s="108" t="str">
        <f ca="1">IFERROR(IF(M107&lt;A105,"",VLOOKUP(VLOOKUP(M107,A105:B108,2,TRUE),Points!$H$1:$I$5,2,FALSE)),"")</f>
        <v/>
      </c>
      <c r="P107" s="66">
        <f ca="1">IFERROR(IF(OR(C107=0,C107="",F107=0,F107="",F107="X"),0,VLOOKUP(B107,INDIRECT(MatchDay!$W$2),2,FALSE)),"")</f>
        <v>3</v>
      </c>
      <c r="Q107" s="66">
        <f ca="1">IFERROR(IF(OR(J107=0,J107="",M107=0,M107="",M107="X"),0,VLOOKUP(I107,INDIRECT(MatchDay!$W$2),3,FALSE)),"")</f>
        <v>0</v>
      </c>
    </row>
    <row r="108" spans="1:19" x14ac:dyDescent="0.35">
      <c r="A108" s="118">
        <f>IFERROR(VLOOKUP(A101,standards,3,FALSE),"-")</f>
        <v>31.15</v>
      </c>
      <c r="B108" s="117">
        <f ca="1">IFERROR(INDIRECT(CONCATENATE("Distance!$d",A103+5)),"")</f>
        <v>6</v>
      </c>
      <c r="C108" s="117" t="str">
        <f ca="1">IFERROR(INDIRECT(CONCATENATE("Distance!$E",A103+5)),"")</f>
        <v/>
      </c>
      <c r="D108" s="183" t="str">
        <f ca="1">IFERROR(INDIRECT(CONCATENATE("Distance!$F",$A103+5)),"")</f>
        <v/>
      </c>
      <c r="E108" s="64" t="str">
        <f t="shared" ca="1" si="18"/>
        <v/>
      </c>
      <c r="F108" s="123" t="str">
        <f ca="1">IFERROR(INDIRECT(CONCATENATE("Distance!$H",A103+5)),"")</f>
        <v/>
      </c>
      <c r="G108" s="108" t="str">
        <f ca="1">IFERROR(IF(F108&lt;A105,"",VLOOKUP(VLOOKUP(F108,A105:B108,2,TRUE),Points!$H$1:$I$5,2,FALSE)),"")</f>
        <v/>
      </c>
      <c r="H108" s="67"/>
      <c r="I108" s="117">
        <f ca="1">IFERROR(INDIRECT(CONCATENATE("Distance!$j",A103+5)),"")</f>
        <v>6</v>
      </c>
      <c r="J108" s="117" t="str">
        <f ca="1">IFERROR(INDIRECT(CONCATENATE("Distance!$k",A103+5)),"")</f>
        <v/>
      </c>
      <c r="K108" s="183" t="str">
        <f ca="1">IFERROR(INDIRECT(CONCATENATE("Distance!$L",$A103+5)),"")</f>
        <v/>
      </c>
      <c r="L108" s="64" t="str">
        <f t="shared" ca="1" si="19"/>
        <v/>
      </c>
      <c r="M108" s="123" t="str">
        <f ca="1">IFERROR(INDIRECT(CONCATENATE("Distance!$T",A103+5)),"")</f>
        <v/>
      </c>
      <c r="N108" s="108" t="str">
        <f ca="1">IFERROR(IF(M108&lt;A105,"",VLOOKUP(VLOOKUP(M108,A105:B108,2,TRUE),Points!$H$1:$I$5,2,FALSE)),"")</f>
        <v/>
      </c>
      <c r="P108" s="66">
        <f ca="1">IFERROR(IF(OR(C108=0,C108="",F108=0,F108="",F108="X"),0,VLOOKUP(B108,INDIRECT(MatchDay!$W$2),2,FALSE)),"")</f>
        <v>0</v>
      </c>
      <c r="Q108" s="66">
        <f ca="1">IFERROR(IF(OR(J108=0,J108="",M108=0,M108="",M108="X"),0,VLOOKUP(I108,INDIRECT(MatchDay!$W$2),3,FALSE)),"")</f>
        <v>0</v>
      </c>
    </row>
    <row r="109" spans="1:19" x14ac:dyDescent="0.35">
      <c r="A109" s="116" t="s">
        <v>204</v>
      </c>
      <c r="B109" s="117">
        <f ca="1">IFERROR(INDIRECT(CONCATENATE("Distance!$d",A103+6)),"")</f>
        <v>7</v>
      </c>
      <c r="C109" s="117" t="str">
        <f ca="1">IFERROR(INDIRECT(CONCATENATE("Distance!$E",A103+6)),"")</f>
        <v/>
      </c>
      <c r="D109" s="183" t="str">
        <f ca="1">IFERROR(INDIRECT(CONCATENATE("Distance!$F",$A103+6)),"")</f>
        <v/>
      </c>
      <c r="E109" s="64" t="str">
        <f t="shared" ca="1" si="18"/>
        <v/>
      </c>
      <c r="F109" s="123" t="str">
        <f ca="1">IFERROR(INDIRECT(CONCATENATE("Distance!$H",A103+6)),"")</f>
        <v/>
      </c>
      <c r="G109" s="108" t="str">
        <f ca="1">IFERROR(IF(F109&lt;A105,"",VLOOKUP(VLOOKUP(F109,A105:B108,2,TRUE),Points!$H$1:$I$5,2,FALSE)),"")</f>
        <v/>
      </c>
      <c r="H109" s="67"/>
      <c r="I109" s="117">
        <f ca="1">IFERROR(INDIRECT(CONCATENATE("Distance!$j",A103+6)),"")</f>
        <v>7</v>
      </c>
      <c r="J109" s="117" t="str">
        <f ca="1">IFERROR(INDIRECT(CONCATENATE("Distance!$k",A103+6)),"")</f>
        <v/>
      </c>
      <c r="K109" s="183" t="str">
        <f ca="1">IFERROR(INDIRECT(CONCATENATE("Distance!$L",$A103+6)),"")</f>
        <v/>
      </c>
      <c r="L109" s="64" t="str">
        <f t="shared" ca="1" si="19"/>
        <v/>
      </c>
      <c r="M109" s="123" t="str">
        <f ca="1">IFERROR(INDIRECT(CONCATENATE("Distance!$T",A103+6)),"")</f>
        <v/>
      </c>
      <c r="N109" s="108" t="str">
        <f ca="1">IFERROR(IF(M109&lt;A105,"",VLOOKUP(VLOOKUP(M109,A105:B108,2,TRUE),Points!$H$1:$I$5,2,FALSE)),"")</f>
        <v/>
      </c>
      <c r="P109" s="66">
        <f ca="1">IFERROR(IF(OR(C109=0,C109="",F109=0,F109="",F109="X"),0,VLOOKUP(B109,INDIRECT(MatchDay!$W$2),2,FALSE)),"")</f>
        <v>0</v>
      </c>
      <c r="Q109" s="66">
        <f ca="1">IFERROR(IF(OR(J109=0,J109="",M109=0,M109="",M109="X"),0,VLOOKUP(I109,INDIRECT(MatchDay!$W$2),3,FALSE)),"")</f>
        <v>0</v>
      </c>
    </row>
    <row r="110" spans="1:19" x14ac:dyDescent="0.35">
      <c r="A110" s="116">
        <f>IFERROR(VLOOKUP(A101,records,5,FALSE),"")</f>
        <v>48.28</v>
      </c>
      <c r="B110" s="117">
        <f ca="1">IFERROR(INDIRECT(CONCATENATE("Distance!$d",A103+7)),"")</f>
        <v>8</v>
      </c>
      <c r="C110" s="117" t="str">
        <f ca="1">IFERROR(INDIRECT(CONCATENATE("Distance!$E",A103+7)),"")</f>
        <v/>
      </c>
      <c r="D110" s="183" t="str">
        <f ca="1">IFERROR(INDIRECT(CONCATENATE("Distance!$F",$A103+7)),"")</f>
        <v/>
      </c>
      <c r="E110" s="64" t="str">
        <f t="shared" ca="1" si="18"/>
        <v/>
      </c>
      <c r="F110" s="123" t="str">
        <f ca="1">IFERROR(INDIRECT(CONCATENATE("Distance!$H",A103+7)),"")</f>
        <v/>
      </c>
      <c r="G110" s="108" t="str">
        <f ca="1">IFERROR(IF(F110&lt;A105,"",VLOOKUP(VLOOKUP(F110,A105:B108,2,TRUE),Points!$H$1:$I$5,2,FALSE)),"")</f>
        <v/>
      </c>
      <c r="H110" s="67"/>
      <c r="I110" s="117">
        <f ca="1">IFERROR(INDIRECT(CONCATENATE("Distance!$j",A103+7)),"")</f>
        <v>8</v>
      </c>
      <c r="J110" s="117" t="str">
        <f ca="1">IFERROR(INDIRECT(CONCATENATE("Distance!$k",A103+7)),"")</f>
        <v/>
      </c>
      <c r="K110" s="183" t="str">
        <f ca="1">IFERROR(INDIRECT(CONCATENATE("Distance!$L",$A103+7)),"")</f>
        <v/>
      </c>
      <c r="L110" s="64" t="str">
        <f t="shared" ca="1" si="19"/>
        <v/>
      </c>
      <c r="M110" s="123" t="str">
        <f ca="1">IFERROR(INDIRECT(CONCATENATE("Distance!$T",A103+7)),"")</f>
        <v/>
      </c>
      <c r="N110" s="108" t="str">
        <f ca="1">IFERROR(IF(M110&lt;A105,"",VLOOKUP(VLOOKUP(M110,A105:B108,2,TRUE),Points!$H$1:$I$5,2,FALSE)),"")</f>
        <v/>
      </c>
      <c r="P110" s="66">
        <f ca="1">IFERROR(IF(OR(C110=0,C110="",F110=0,F110="",F110="X"),0,VLOOKUP(B110,INDIRECT(MatchDay!$W$2),2,FALSE)),"")</f>
        <v>0</v>
      </c>
      <c r="Q110" s="66">
        <f ca="1">IFERROR(IF(OR(J110=0,J110="",M110=0,M110="",M110="X"),0,VLOOKUP(I110,INDIRECT(MatchDay!$W$2),3,FALSE)),"")</f>
        <v>0</v>
      </c>
    </row>
    <row r="112" spans="1:19" x14ac:dyDescent="0.35">
      <c r="A112" s="111" t="s">
        <v>247</v>
      </c>
      <c r="B112" s="112" t="str">
        <f>IFERROR(VLOOKUP(A112,timetables,2,FALSE)&amp;" "&amp;VLOOKUP(A112,timetables,3,FALSE)&amp;" A","")</f>
        <v>Shot U15 Girls A</v>
      </c>
      <c r="C112" s="112"/>
      <c r="F112" s="121" t="str">
        <f ca="1">IFERROR(IF(OR(F114=0,F114="",F114="X"),"",IF(F114&gt;A121,"REC",IF(F114=A121,"=Rec",""))),"")</f>
        <v/>
      </c>
      <c r="G112" s="198" t="str">
        <f ca="1">IFERROR(IF(OR(F114=0,F114="",F114="X"),"",IF(F114&gt;A121,"REC",IF(F114=A121,"=Rec",""))),"")</f>
        <v/>
      </c>
      <c r="I112" s="114" t="str">
        <f>IFERROR(VLOOKUP(A112,timetables,2,FALSE)&amp;" "&amp;VLOOKUP(A112,timetables,3,FALSE)&amp;" B","")</f>
        <v>Shot U15 Girls B</v>
      </c>
      <c r="J112" s="115"/>
      <c r="P112" s="66" t="s">
        <v>53</v>
      </c>
      <c r="Q112" s="66" t="s">
        <v>54</v>
      </c>
    </row>
    <row r="113" spans="1:19" x14ac:dyDescent="0.35">
      <c r="A113" s="82"/>
      <c r="B113" s="45" t="s">
        <v>230</v>
      </c>
      <c r="C113" s="45" t="s">
        <v>159</v>
      </c>
      <c r="D113" s="47" t="s">
        <v>227</v>
      </c>
      <c r="E113" s="47" t="s">
        <v>228</v>
      </c>
      <c r="F113" s="45" t="s">
        <v>229</v>
      </c>
      <c r="G113" s="126" t="s">
        <v>55</v>
      </c>
      <c r="H113" s="47"/>
      <c r="I113" s="45" t="s">
        <v>230</v>
      </c>
      <c r="J113" s="45" t="s">
        <v>159</v>
      </c>
      <c r="K113" s="47" t="s">
        <v>227</v>
      </c>
      <c r="L113" s="47" t="s">
        <v>228</v>
      </c>
      <c r="M113" s="45" t="s">
        <v>229</v>
      </c>
      <c r="N113" s="126" t="s">
        <v>55</v>
      </c>
    </row>
    <row r="114" spans="1:19" x14ac:dyDescent="0.35">
      <c r="A114" s="66">
        <f>IFERROR(VLOOKUP(A112,Distance!A:B,2,FALSE),"")</f>
        <v>347</v>
      </c>
      <c r="B114" s="117">
        <f ca="1">IFERROR(INDIRECT(CONCATENATE("Distance!$d",A114)),"")</f>
        <v>1</v>
      </c>
      <c r="C114" s="117">
        <f ca="1">IFERROR(INDIRECT(CONCATENATE("Distance!$E",A114)),"")</f>
        <v>2</v>
      </c>
      <c r="D114" s="183" t="str">
        <f ca="1">IFERROR(INDIRECT(CONCATENATE("Distance!$F",$A114)),"")</f>
        <v>ADEBAYO Daphney</v>
      </c>
      <c r="E114" s="64" t="str">
        <f t="shared" ref="E114:E121" ca="1" si="20">IFERROR(VLOOKUP(C114,teamlookup,5,FALSE),"")</f>
        <v>Sheff+D</v>
      </c>
      <c r="F114" s="123">
        <f ca="1">IFERROR(INDIRECT(CONCATENATE("Distance!$H",A114)),"")</f>
        <v>10.51</v>
      </c>
      <c r="G114" s="108">
        <f ca="1">IFERROR(IF(F114&lt;A116,"",VLOOKUP(VLOOKUP(F114,A116:B119,2,TRUE),Points!$H$1:$I$5,2,FALSE)),"")</f>
        <v>1</v>
      </c>
      <c r="H114" s="67"/>
      <c r="I114" s="117">
        <f ca="1">IFERROR(INDIRECT(CONCATENATE("Distance!$j",A114)),"")</f>
        <v>1</v>
      </c>
      <c r="J114" s="117">
        <f ca="1">IFERROR(INDIRECT(CONCATENATE("Distance!$k",A114)),"")</f>
        <v>22</v>
      </c>
      <c r="K114" s="183" t="str">
        <f ca="1">IFERROR(INDIRECT(CONCATENATE("Distance!$L",$A114)),"")</f>
        <v>KYNOCH Ella</v>
      </c>
      <c r="L114" s="64" t="str">
        <f t="shared" ref="L114:L121" ca="1" si="21">IFERROR(VLOOKUP(J114,teamlookup,5,FALSE),"")</f>
        <v>Sheff+D</v>
      </c>
      <c r="M114" s="123">
        <f ca="1">IFERROR(INDIRECT(CONCATENATE("Distance!$T",A114)),"")</f>
        <v>10.28</v>
      </c>
      <c r="N114" s="108">
        <f ca="1">IFERROR(IF(M114&lt;A116,"",VLOOKUP(VLOOKUP(M114,A116:B119,2,TRUE),Points!$H$1:$I$5,2,FALSE)),"")</f>
        <v>1</v>
      </c>
      <c r="P114" s="66">
        <f ca="1">IFERROR(IF(OR(C114=0,C114="",F114=0,F114="",F114="X"),0,VLOOKUP(B114,INDIRECT(MatchDay!$W$2),2,FALSE)),"")</f>
        <v>8</v>
      </c>
      <c r="Q114" s="66">
        <f ca="1">IFERROR(IF(OR(J114=0,J114="",M114=0,M114="",M114="X"),0,VLOOKUP(I114,INDIRECT(MatchDay!$W$2),3,FALSE)),"")</f>
        <v>6</v>
      </c>
      <c r="R114" s="219">
        <f ca="1">COUNTIF(C114,"&gt;0")</f>
        <v>1</v>
      </c>
      <c r="S114" s="66">
        <f ca="1">IFERROR(IF(C114&gt;88,1,0),0)</f>
        <v>0</v>
      </c>
    </row>
    <row r="115" spans="1:19" x14ac:dyDescent="0.35">
      <c r="A115" s="116" t="s">
        <v>55</v>
      </c>
      <c r="B115" s="117">
        <f ca="1">IFERROR(INDIRECT(CONCATENATE("Distance!$d",A114+1)),"")</f>
        <v>2</v>
      </c>
      <c r="C115" s="117">
        <f ca="1">IFERROR(INDIRECT(CONCATENATE("Distance!$E",A114+1)),"")</f>
        <v>3</v>
      </c>
      <c r="D115" s="183" t="str">
        <f ca="1">IFERROR(INDIRECT(CONCATENATE("Distance!$F",$A114+1)),"")</f>
        <v>BROOKS Carmen</v>
      </c>
      <c r="E115" s="64" t="str">
        <f t="shared" ca="1" si="20"/>
        <v>York</v>
      </c>
      <c r="F115" s="123">
        <f ca="1">IFERROR(INDIRECT(CONCATENATE("Distance!$H",A114+1)),"")</f>
        <v>10.01</v>
      </c>
      <c r="G115" s="108">
        <f ca="1">IFERROR(IF(F115&lt;A116,"",VLOOKUP(VLOOKUP(F115,A116:B119,2,TRUE),Points!$H$1:$I$5,2,FALSE)),"")</f>
        <v>2</v>
      </c>
      <c r="H115" s="67"/>
      <c r="I115" s="117">
        <f ca="1">IFERROR(INDIRECT(CONCATENATE("Distance!$j",A114+1)),"")</f>
        <v>2</v>
      </c>
      <c r="J115" s="117">
        <f ca="1">IFERROR(INDIRECT(CONCATENATE("Distance!$k",A114+1)),"")</f>
        <v>33</v>
      </c>
      <c r="K115" s="183" t="str">
        <f ca="1">IFERROR(INDIRECT(CONCATENATE("Distance!$L",$A114+1)),"")</f>
        <v>LEE Isabel</v>
      </c>
      <c r="L115" s="64" t="str">
        <f t="shared" ca="1" si="21"/>
        <v>York</v>
      </c>
      <c r="M115" s="123">
        <f ca="1">IFERROR(INDIRECT(CONCATENATE("Distance!$T",A114+1)),"")</f>
        <v>7.07</v>
      </c>
      <c r="N115" s="108" t="str">
        <f ca="1">IFERROR(IF(M115&lt;A116,"",VLOOKUP(VLOOKUP(M115,A116:B119,2,TRUE),Points!$H$1:$I$5,2,FALSE)),"")</f>
        <v/>
      </c>
      <c r="P115" s="66">
        <f ca="1">IFERROR(IF(OR(C115=0,C115="",F115=0,F115="",F115="X"),0,VLOOKUP(B115,INDIRECT(MatchDay!$W$2),2,FALSE)),"")</f>
        <v>6</v>
      </c>
      <c r="Q115" s="66">
        <f ca="1">IFERROR(IF(OR(J115=0,J115="",M115=0,M115="",M115="X"),0,VLOOKUP(I115,INDIRECT(MatchDay!$W$2),3,FALSE)),"")</f>
        <v>4</v>
      </c>
    </row>
    <row r="116" spans="1:19" x14ac:dyDescent="0.35">
      <c r="A116" s="118">
        <f>IFERROR(VLOOKUP(A112,standards,6,FALSE),"-")</f>
        <v>7.95</v>
      </c>
      <c r="B116" s="117">
        <f ca="1">IFERROR(INDIRECT(CONCATENATE("Distance!$d",A114+2)),"")</f>
        <v>3</v>
      </c>
      <c r="C116" s="117">
        <f ca="1">IFERROR(INDIRECT(CONCATENATE("Distance!$E",A114+2)),"")</f>
        <v>4</v>
      </c>
      <c r="D116" s="183" t="str">
        <f ca="1">IFERROR(INDIRECT(CONCATENATE("Distance!$F",$A114+2)),"")</f>
        <v>DORAN Bethany</v>
      </c>
      <c r="E116" s="64" t="str">
        <f t="shared" ca="1" si="20"/>
        <v>M'bro</v>
      </c>
      <c r="F116" s="123">
        <f ca="1">IFERROR(INDIRECT(CONCATENATE("Distance!$H",A114+2)),"")</f>
        <v>7.89</v>
      </c>
      <c r="G116" s="108" t="str">
        <f ca="1">IFERROR(IF(F116&lt;A116,"",VLOOKUP(VLOOKUP(F116,A116:B119,2,TRUE),Points!$H$1:$I$5,2,FALSE)),"")</f>
        <v/>
      </c>
      <c r="H116" s="67"/>
      <c r="I116" s="117">
        <f ca="1">IFERROR(INDIRECT(CONCATENATE("Distance!$j",A114+2)),"")</f>
        <v>3</v>
      </c>
      <c r="J116" s="117">
        <f ca="1">IFERROR(INDIRECT(CONCATENATE("Distance!$k",A114+2)),"")</f>
        <v>11</v>
      </c>
      <c r="K116" s="183" t="str">
        <f ca="1">IFERROR(INDIRECT(CONCATENATE("Distance!$L",$A114+2)),"")</f>
        <v>BAINES Lily</v>
      </c>
      <c r="L116" s="64" t="str">
        <f t="shared" ca="1" si="21"/>
        <v>C'field</v>
      </c>
      <c r="M116" s="123">
        <f ca="1">IFERROR(INDIRECT(CONCATENATE("Distance!$T",A114+2)),"")</f>
        <v>6.25</v>
      </c>
      <c r="N116" s="108" t="str">
        <f ca="1">IFERROR(IF(M116&lt;A116,"",VLOOKUP(VLOOKUP(M116,A116:B119,2,TRUE),Points!$H$1:$I$5,2,FALSE)),"")</f>
        <v/>
      </c>
      <c r="P116" s="66">
        <f ca="1">IFERROR(IF(OR(C116=0,C116="",F116=0,F116="",F116="X"),0,VLOOKUP(B116,INDIRECT(MatchDay!$W$2),2,FALSE)),"")</f>
        <v>5</v>
      </c>
      <c r="Q116" s="66">
        <f ca="1">IFERROR(IF(OR(J116=0,J116="",M116=0,M116="",M116="X"),0,VLOOKUP(I116,INDIRECT(MatchDay!$W$2),3,FALSE)),"")</f>
        <v>3</v>
      </c>
    </row>
    <row r="117" spans="1:19" x14ac:dyDescent="0.35">
      <c r="A117" s="118">
        <f>IFERROR(VLOOKUP(A112,standards,5,FALSE),"-")</f>
        <v>8.85</v>
      </c>
      <c r="B117" s="117">
        <f ca="1">IFERROR(INDIRECT(CONCATENATE("Distance!$d",A114+3)),"")</f>
        <v>4</v>
      </c>
      <c r="C117" s="117">
        <f ca="1">IFERROR(INDIRECT(CONCATENATE("Distance!$E",A114+3)),"")</f>
        <v>5</v>
      </c>
      <c r="D117" s="183" t="str">
        <f ca="1">IFERROR(INDIRECT(CONCATENATE("Distance!$F",$A114+3)),"")</f>
        <v>THIRKETTLE Charlotte</v>
      </c>
      <c r="E117" s="64" t="str">
        <f t="shared" ca="1" si="20"/>
        <v>Scun</v>
      </c>
      <c r="F117" s="123">
        <f ca="1">IFERROR(INDIRECT(CONCATENATE("Distance!$H",A114+3)),"")</f>
        <v>7.3</v>
      </c>
      <c r="G117" s="108" t="str">
        <f ca="1">IFERROR(IF(F117&lt;A116,"",VLOOKUP(VLOOKUP(F117,A116:B119,2,TRUE),Points!$H$1:$I$5,2,FALSE)),"")</f>
        <v/>
      </c>
      <c r="H117" s="67"/>
      <c r="I117" s="117">
        <f ca="1">IFERROR(INDIRECT(CONCATENATE("Distance!$j",A114+3)),"")</f>
        <v>4</v>
      </c>
      <c r="J117" s="117">
        <f ca="1">IFERROR(INDIRECT(CONCATENATE("Distance!$k",A114+3)),"")</f>
        <v>55</v>
      </c>
      <c r="K117" s="183" t="str">
        <f ca="1">IFERROR(INDIRECT(CONCATENATE("Distance!$L",$A114+3)),"")</f>
        <v>VICKERS Cerys</v>
      </c>
      <c r="L117" s="64" t="str">
        <f t="shared" ca="1" si="21"/>
        <v>Scun</v>
      </c>
      <c r="M117" s="123">
        <f ca="1">IFERROR(INDIRECT(CONCATENATE("Distance!$T",A114+3)),"")</f>
        <v>5.08</v>
      </c>
      <c r="N117" s="108" t="str">
        <f ca="1">IFERROR(IF(M117&lt;A116,"",VLOOKUP(VLOOKUP(M117,A116:B119,2,TRUE),Points!$H$1:$I$5,2,FALSE)),"")</f>
        <v/>
      </c>
      <c r="P117" s="66">
        <f ca="1">IFERROR(IF(OR(C117=0,C117="",F117=0,F117="",F117="X"),0,VLOOKUP(B117,INDIRECT(MatchDay!$W$2),2,FALSE)),"")</f>
        <v>4</v>
      </c>
      <c r="Q117" s="66">
        <f ca="1">IFERROR(IF(OR(J117=0,J117="",M117=0,M117="",M117="X"),0,VLOOKUP(I117,INDIRECT(MatchDay!$W$2),3,FALSE)),"")</f>
        <v>2</v>
      </c>
    </row>
    <row r="118" spans="1:19" x14ac:dyDescent="0.35">
      <c r="A118" s="118">
        <f>IFERROR(VLOOKUP(A112,standards,4,FALSE),"-")</f>
        <v>9.5</v>
      </c>
      <c r="B118" s="117">
        <f ca="1">IFERROR(INDIRECT(CONCATENATE("Distance!$d",A114+4)),"")</f>
        <v>5</v>
      </c>
      <c r="C118" s="117">
        <f ca="1">IFERROR(INDIRECT(CONCATENATE("Distance!$E",A114+4)),"")</f>
        <v>1</v>
      </c>
      <c r="D118" s="183" t="str">
        <f ca="1">IFERROR(INDIRECT(CONCATENATE("Distance!$F",$A114+4)),"")</f>
        <v>HIGHAM Ruby</v>
      </c>
      <c r="E118" s="64" t="str">
        <f t="shared" ca="1" si="20"/>
        <v>C'field</v>
      </c>
      <c r="F118" s="123">
        <f ca="1">IFERROR(INDIRECT(CONCATENATE("Distance!$H",A114+4)),"")</f>
        <v>6.45</v>
      </c>
      <c r="G118" s="108" t="str">
        <f ca="1">IFERROR(IF(F118&lt;A116,"",VLOOKUP(VLOOKUP(F118,A116:B119,2,TRUE),Points!$H$1:$I$5,2,FALSE)),"")</f>
        <v/>
      </c>
      <c r="H118" s="67"/>
      <c r="I118" s="117">
        <f ca="1">IFERROR(INDIRECT(CONCATENATE("Distance!$j",A114+4)),"")</f>
        <v>5</v>
      </c>
      <c r="J118" s="117" t="str">
        <f ca="1">IFERROR(INDIRECT(CONCATENATE("Distance!$k",A114+4)),"")</f>
        <v/>
      </c>
      <c r="K118" s="183" t="str">
        <f ca="1">IFERROR(INDIRECT(CONCATENATE("Distance!$L",$A114+4)),"")</f>
        <v/>
      </c>
      <c r="L118" s="64" t="str">
        <f t="shared" ca="1" si="21"/>
        <v/>
      </c>
      <c r="M118" s="123" t="str">
        <f ca="1">IFERROR(INDIRECT(CONCATENATE("Distance!$T",A114+4)),"")</f>
        <v/>
      </c>
      <c r="N118" s="108" t="str">
        <f ca="1">IFERROR(IF(M118&lt;A116,"",VLOOKUP(VLOOKUP(M118,A116:B119,2,TRUE),Points!$H$1:$I$5,2,FALSE)),"")</f>
        <v/>
      </c>
      <c r="P118" s="66">
        <f ca="1">IFERROR(IF(OR(C118=0,C118="",F118=0,F118="",F118="X"),0,VLOOKUP(B118,INDIRECT(MatchDay!$W$2),2,FALSE)),"")</f>
        <v>3</v>
      </c>
      <c r="Q118" s="66">
        <f ca="1">IFERROR(IF(OR(J118=0,J118="",M118=0,M118="",M118="X"),0,VLOOKUP(I118,INDIRECT(MatchDay!$W$2),3,FALSE)),"")</f>
        <v>0</v>
      </c>
    </row>
    <row r="119" spans="1:19" x14ac:dyDescent="0.35">
      <c r="A119" s="118">
        <f>IFERROR(VLOOKUP(A112,standards,3,FALSE),"-")</f>
        <v>10.15</v>
      </c>
      <c r="B119" s="117">
        <f ca="1">IFERROR(INDIRECT(CONCATENATE("Distance!$d",A114+5)),"")</f>
        <v>6</v>
      </c>
      <c r="C119" s="117" t="str">
        <f ca="1">IFERROR(INDIRECT(CONCATENATE("Distance!$E",A114+5)),"")</f>
        <v/>
      </c>
      <c r="D119" s="183" t="str">
        <f ca="1">IFERROR(INDIRECT(CONCATENATE("Distance!$F",$A114+5)),"")</f>
        <v/>
      </c>
      <c r="E119" s="64" t="str">
        <f t="shared" ca="1" si="20"/>
        <v/>
      </c>
      <c r="F119" s="123" t="str">
        <f ca="1">IFERROR(INDIRECT(CONCATENATE("Distance!$H",A114+5)),"")</f>
        <v/>
      </c>
      <c r="G119" s="108" t="str">
        <f ca="1">IFERROR(IF(F119&lt;A116,"",VLOOKUP(VLOOKUP(F119,A116:B119,2,TRUE),Points!$H$1:$I$5,2,FALSE)),"")</f>
        <v/>
      </c>
      <c r="H119" s="67"/>
      <c r="I119" s="117">
        <f ca="1">IFERROR(INDIRECT(CONCATENATE("Distance!$j",A114+5)),"")</f>
        <v>6</v>
      </c>
      <c r="J119" s="117" t="str">
        <f ca="1">IFERROR(INDIRECT(CONCATENATE("Distance!$k",A114+5)),"")</f>
        <v/>
      </c>
      <c r="K119" s="183" t="str">
        <f ca="1">IFERROR(INDIRECT(CONCATENATE("Distance!$L",$A114+5)),"")</f>
        <v/>
      </c>
      <c r="L119" s="64" t="str">
        <f t="shared" ca="1" si="21"/>
        <v/>
      </c>
      <c r="M119" s="123" t="str">
        <f ca="1">IFERROR(INDIRECT(CONCATENATE("Distance!$T",A114+5)),"")</f>
        <v/>
      </c>
      <c r="N119" s="108" t="str">
        <f ca="1">IFERROR(IF(M119&lt;A116,"",VLOOKUP(VLOOKUP(M119,A116:B119,2,TRUE),Points!$H$1:$I$5,2,FALSE)),"")</f>
        <v/>
      </c>
      <c r="P119" s="66">
        <f ca="1">IFERROR(IF(OR(C119=0,C119="",F119=0,F119="",F119="X"),0,VLOOKUP(B119,INDIRECT(MatchDay!$W$2),2,FALSE)),"")</f>
        <v>0</v>
      </c>
      <c r="Q119" s="66">
        <f ca="1">IFERROR(IF(OR(J119=0,J119="",M119=0,M119="",M119="X"),0,VLOOKUP(I119,INDIRECT(MatchDay!$W$2),3,FALSE)),"")</f>
        <v>0</v>
      </c>
    </row>
    <row r="120" spans="1:19" x14ac:dyDescent="0.35">
      <c r="A120" s="116" t="s">
        <v>204</v>
      </c>
      <c r="B120" s="117">
        <f ca="1">IFERROR(INDIRECT(CONCATENATE("Distance!$d",A114+6)),"")</f>
        <v>7</v>
      </c>
      <c r="C120" s="117" t="str">
        <f ca="1">IFERROR(INDIRECT(CONCATENATE("Distance!$E",A114+6)),"")</f>
        <v/>
      </c>
      <c r="D120" s="183" t="str">
        <f ca="1">IFERROR(INDIRECT(CONCATENATE("Distance!$F",$A114+6)),"")</f>
        <v/>
      </c>
      <c r="E120" s="64" t="str">
        <f t="shared" ca="1" si="20"/>
        <v/>
      </c>
      <c r="F120" s="123" t="str">
        <f ca="1">IFERROR(INDIRECT(CONCATENATE("Distance!$H",A114+6)),"")</f>
        <v/>
      </c>
      <c r="G120" s="108" t="str">
        <f ca="1">IFERROR(IF(F120&lt;A116,"",VLOOKUP(VLOOKUP(F120,A116:B119,2,TRUE),Points!$H$1:$I$5,2,FALSE)),"")</f>
        <v/>
      </c>
      <c r="H120" s="67"/>
      <c r="I120" s="117">
        <f ca="1">IFERROR(INDIRECT(CONCATENATE("Distance!$j",A114+6)),"")</f>
        <v>7</v>
      </c>
      <c r="J120" s="117" t="str">
        <f ca="1">IFERROR(INDIRECT(CONCATENATE("Distance!$k",A114+6)),"")</f>
        <v/>
      </c>
      <c r="K120" s="183" t="str">
        <f ca="1">IFERROR(INDIRECT(CONCATENATE("Distance!$L",$A114+6)),"")</f>
        <v/>
      </c>
      <c r="L120" s="64" t="str">
        <f t="shared" ca="1" si="21"/>
        <v/>
      </c>
      <c r="M120" s="123" t="str">
        <f ca="1">IFERROR(INDIRECT(CONCATENATE("Distance!$T",A114+6)),"")</f>
        <v/>
      </c>
      <c r="N120" s="108" t="str">
        <f ca="1">IFERROR(IF(M120&lt;A116,"",VLOOKUP(VLOOKUP(M120,A116:B119,2,TRUE),Points!$H$1:$I$5,2,FALSE)),"")</f>
        <v/>
      </c>
      <c r="P120" s="66">
        <f ca="1">IFERROR(IF(OR(C120=0,C120="",F120=0,F120="",F120="X"),0,VLOOKUP(B120,INDIRECT(MatchDay!$W$2),2,FALSE)),"")</f>
        <v>0</v>
      </c>
      <c r="Q120" s="66">
        <f ca="1">IFERROR(IF(OR(J120=0,J120="",M120=0,M120="",M120="X"),0,VLOOKUP(I120,INDIRECT(MatchDay!$W$2),3,FALSE)),"")</f>
        <v>0</v>
      </c>
    </row>
    <row r="121" spans="1:19" x14ac:dyDescent="0.35">
      <c r="A121" s="116">
        <f>IFERROR(VLOOKUP(A112,records,5,FALSE),"")</f>
        <v>13.72</v>
      </c>
      <c r="B121" s="117">
        <f ca="1">IFERROR(INDIRECT(CONCATENATE("Distance!$d",A114+7)),"")</f>
        <v>8</v>
      </c>
      <c r="C121" s="117" t="str">
        <f ca="1">IFERROR(INDIRECT(CONCATENATE("Distance!$E",A114+7)),"")</f>
        <v/>
      </c>
      <c r="D121" s="183" t="str">
        <f ca="1">IFERROR(INDIRECT(CONCATENATE("Distance!$F",$A114+7)),"")</f>
        <v/>
      </c>
      <c r="E121" s="64" t="str">
        <f t="shared" ca="1" si="20"/>
        <v/>
      </c>
      <c r="F121" s="123" t="str">
        <f ca="1">IFERROR(INDIRECT(CONCATENATE("Distance!$H",A114+7)),"")</f>
        <v/>
      </c>
      <c r="G121" s="108" t="str">
        <f ca="1">IFERROR(IF(F121&lt;A116,"",VLOOKUP(VLOOKUP(F121,A116:B119,2,TRUE),Points!$H$1:$I$5,2,FALSE)),"")</f>
        <v/>
      </c>
      <c r="H121" s="67"/>
      <c r="I121" s="117">
        <f ca="1">IFERROR(INDIRECT(CONCATENATE("Distance!$j",A114+7)),"")</f>
        <v>8</v>
      </c>
      <c r="J121" s="117" t="str">
        <f ca="1">IFERROR(INDIRECT(CONCATENATE("Distance!$k",A114+7)),"")</f>
        <v/>
      </c>
      <c r="K121" s="183" t="str">
        <f ca="1">IFERROR(INDIRECT(CONCATENATE("Distance!$L",$A114+7)),"")</f>
        <v/>
      </c>
      <c r="L121" s="64" t="str">
        <f t="shared" ca="1" si="21"/>
        <v/>
      </c>
      <c r="M121" s="123" t="str">
        <f ca="1">IFERROR(INDIRECT(CONCATENATE("Distance!$T",A114+7)),"")</f>
        <v/>
      </c>
      <c r="N121" s="108" t="str">
        <f ca="1">IFERROR(IF(M121&lt;A116,"",VLOOKUP(VLOOKUP(M121,A116:B119,2,TRUE),Points!$H$1:$I$5,2,FALSE)),"")</f>
        <v/>
      </c>
      <c r="P121" s="66">
        <f ca="1">IFERROR(IF(OR(C121=0,C121="",F121=0,F121="",F121="X"),0,VLOOKUP(B121,INDIRECT(MatchDay!$W$2),2,FALSE)),"")</f>
        <v>0</v>
      </c>
      <c r="Q121" s="66">
        <f ca="1">IFERROR(IF(OR(J121=0,J121="",M121=0,M121="",M121="X"),0,VLOOKUP(I121,INDIRECT(MatchDay!$W$2),3,FALSE)),"")</f>
        <v>0</v>
      </c>
    </row>
    <row r="123" spans="1:19" x14ac:dyDescent="0.35">
      <c r="A123" s="111" t="s">
        <v>248</v>
      </c>
      <c r="B123" s="112" t="str">
        <f>IFERROR(VLOOKUP(A123,timetables,2,FALSE)&amp;" "&amp;VLOOKUP(A123,timetables,3,FALSE)&amp;" A","")</f>
        <v>Javelin U13 Girls A</v>
      </c>
      <c r="C123" s="112"/>
      <c r="F123" s="121" t="str">
        <f ca="1">IFERROR(IF(OR(F125=0,F125="",F125="X"),"",IF(F125&gt;A132,"REC",IF(F125=A132,"=Rec",""))),"")</f>
        <v/>
      </c>
      <c r="G123" s="198" t="str">
        <f ca="1">IFERROR(IF(OR(F125=0,F125="",F125="X"),"",IF(F125&gt;A132,"REC",IF(F125=A132,"=Rec",""))),"")</f>
        <v/>
      </c>
      <c r="I123" s="114" t="str">
        <f>IFERROR(VLOOKUP(A123,timetables,2,FALSE)&amp;" "&amp;VLOOKUP(A123,timetables,3,FALSE)&amp;" B","")</f>
        <v>Javelin U13 Girls B</v>
      </c>
      <c r="J123" s="115"/>
      <c r="P123" s="66" t="s">
        <v>53</v>
      </c>
      <c r="Q123" s="66" t="s">
        <v>54</v>
      </c>
    </row>
    <row r="124" spans="1:19" x14ac:dyDescent="0.35">
      <c r="A124" s="82"/>
      <c r="B124" s="45" t="s">
        <v>230</v>
      </c>
      <c r="C124" s="45" t="s">
        <v>159</v>
      </c>
      <c r="D124" s="47" t="s">
        <v>227</v>
      </c>
      <c r="E124" s="47" t="s">
        <v>228</v>
      </c>
      <c r="F124" s="45" t="s">
        <v>229</v>
      </c>
      <c r="G124" s="126" t="s">
        <v>55</v>
      </c>
      <c r="H124" s="47"/>
      <c r="I124" s="45" t="s">
        <v>230</v>
      </c>
      <c r="J124" s="45" t="s">
        <v>159</v>
      </c>
      <c r="K124" s="47" t="s">
        <v>227</v>
      </c>
      <c r="L124" s="47" t="s">
        <v>228</v>
      </c>
      <c r="M124" s="45" t="s">
        <v>229</v>
      </c>
      <c r="N124" s="126" t="s">
        <v>55</v>
      </c>
    </row>
    <row r="125" spans="1:19" x14ac:dyDescent="0.35">
      <c r="A125" s="66">
        <f>IFERROR(VLOOKUP(A123,Distance!A:B,2,FALSE),"")</f>
        <v>379</v>
      </c>
      <c r="B125" s="117">
        <f ca="1">IFERROR(INDIRECT(CONCATENATE("Distance!$d",A125)),"")</f>
        <v>1</v>
      </c>
      <c r="C125" s="117">
        <f ca="1">IFERROR(INDIRECT(CONCATENATE("Distance!$E",A125)),"")</f>
        <v>1</v>
      </c>
      <c r="D125" s="183" t="str">
        <f ca="1">IFERROR(INDIRECT(CONCATENATE("Distance!$F",$A125)),"")</f>
        <v>FELLOWS Isabelle</v>
      </c>
      <c r="E125" s="64" t="str">
        <f t="shared" ref="E125:E132" ca="1" si="22">IFERROR(VLOOKUP(C125,teamlookup,5,FALSE),"")</f>
        <v>C'field</v>
      </c>
      <c r="F125" s="123">
        <f ca="1">IFERROR(INDIRECT(CONCATENATE("Distance!$H",A125)),"")</f>
        <v>29.04</v>
      </c>
      <c r="G125" s="108">
        <f ca="1">IFERROR(IF(F125&lt;A127,"",VLOOKUP(VLOOKUP(F125,A127:B130,2,TRUE),Points!$H$1:$I$5,2,FALSE)),"")</f>
        <v>1</v>
      </c>
      <c r="H125" s="67"/>
      <c r="I125" s="117">
        <f ca="1">IFERROR(INDIRECT(CONCATENATE("Distance!$j",A125)),"")</f>
        <v>1</v>
      </c>
      <c r="J125" s="117">
        <f ca="1">IFERROR(INDIRECT(CONCATENATE("Distance!$k",A125)),"")</f>
        <v>11</v>
      </c>
      <c r="K125" s="183" t="str">
        <f ca="1">IFERROR(INDIRECT(CONCATENATE("Distance!$L",$A125)),"")</f>
        <v>HALL Lottie</v>
      </c>
      <c r="L125" s="64" t="str">
        <f t="shared" ref="L125:L132" ca="1" si="23">IFERROR(VLOOKUP(J125,teamlookup,5,FALSE),"")</f>
        <v>C'field</v>
      </c>
      <c r="M125" s="123">
        <f ca="1">IFERROR(INDIRECT(CONCATENATE("Distance!$T",A125)),"")</f>
        <v>28.98</v>
      </c>
      <c r="N125" s="108">
        <f ca="1">IFERROR(IF(M125&lt;A127,"",VLOOKUP(VLOOKUP(M125,A127:B130,2,TRUE),Points!$H$1:$I$5,2,FALSE)),"")</f>
        <v>1</v>
      </c>
      <c r="P125" s="66">
        <f ca="1">IFERROR(IF(OR(C125=0,C125="",F125=0,F125="",F125="X"),0,VLOOKUP(B125,INDIRECT(MatchDay!$W$2),2,FALSE)),"")</f>
        <v>8</v>
      </c>
      <c r="Q125" s="66">
        <f ca="1">IFERROR(IF(OR(J125=0,J125="",M125=0,M125="",M125="X"),0,VLOOKUP(I125,INDIRECT(MatchDay!$W$2),3,FALSE)),"")</f>
        <v>6</v>
      </c>
      <c r="R125" s="219">
        <f ca="1">COUNTIF(C125,"&gt;0")</f>
        <v>1</v>
      </c>
      <c r="S125" s="66">
        <f ca="1">IFERROR(IF(C125&gt;88,1,0),0)</f>
        <v>0</v>
      </c>
    </row>
    <row r="126" spans="1:19" x14ac:dyDescent="0.35">
      <c r="A126" s="116" t="s">
        <v>55</v>
      </c>
      <c r="B126" s="117">
        <f ca="1">IFERROR(INDIRECT(CONCATENATE("Distance!$d",A125+1)),"")</f>
        <v>2</v>
      </c>
      <c r="C126" s="117">
        <f ca="1">IFERROR(INDIRECT(CONCATENATE("Distance!$E",A125+1)),"")</f>
        <v>3</v>
      </c>
      <c r="D126" s="183" t="str">
        <f ca="1">IFERROR(INDIRECT(CONCATENATE("Distance!$F",$A125+1)),"")</f>
        <v>CLAGUE Kathryn</v>
      </c>
      <c r="E126" s="64" t="str">
        <f t="shared" ca="1" si="22"/>
        <v>York</v>
      </c>
      <c r="F126" s="123">
        <f ca="1">IFERROR(INDIRECT(CONCATENATE("Distance!$H",A125+1)),"")</f>
        <v>24.68</v>
      </c>
      <c r="G126" s="108">
        <f ca="1">IFERROR(IF(F126&lt;A127,"",VLOOKUP(VLOOKUP(F126,A127:B130,2,TRUE),Points!$H$1:$I$5,2,FALSE)),"")</f>
        <v>2</v>
      </c>
      <c r="H126" s="67"/>
      <c r="I126" s="117">
        <f ca="1">IFERROR(INDIRECT(CONCATENATE("Distance!$j",A125+1)),"")</f>
        <v>2</v>
      </c>
      <c r="J126" s="117">
        <f ca="1">IFERROR(INDIRECT(CONCATENATE("Distance!$k",A125+1)),"")</f>
        <v>33</v>
      </c>
      <c r="K126" s="183" t="str">
        <f ca="1">IFERROR(INDIRECT(CONCATENATE("Distance!$L",$A125+1)),"")</f>
        <v>WRIGHT Ella</v>
      </c>
      <c r="L126" s="64" t="str">
        <f t="shared" ca="1" si="23"/>
        <v>York</v>
      </c>
      <c r="M126" s="123">
        <f ca="1">IFERROR(INDIRECT(CONCATENATE("Distance!$T",A125+1)),"")</f>
        <v>10.85</v>
      </c>
      <c r="N126" s="108" t="str">
        <f ca="1">IFERROR(IF(M126&lt;A127,"",VLOOKUP(VLOOKUP(M126,A127:B130,2,TRUE),Points!$H$1:$I$5,2,FALSE)),"")</f>
        <v/>
      </c>
      <c r="P126" s="66">
        <f ca="1">IFERROR(IF(OR(C126=0,C126="",F126=0,F126="",F126="X"),0,VLOOKUP(B126,INDIRECT(MatchDay!$W$2),2,FALSE)),"")</f>
        <v>6</v>
      </c>
      <c r="Q126" s="66">
        <f ca="1">IFERROR(IF(OR(J126=0,J126="",M126=0,M126="",M126="X"),0,VLOOKUP(I126,INDIRECT(MatchDay!$W$2),3,FALSE)),"")</f>
        <v>4</v>
      </c>
    </row>
    <row r="127" spans="1:19" x14ac:dyDescent="0.35">
      <c r="A127" s="118">
        <f>IFERROR(VLOOKUP(A123,standards,6,FALSE),"-")</f>
        <v>15.2</v>
      </c>
      <c r="B127" s="117">
        <f ca="1">IFERROR(INDIRECT(CONCATENATE("Distance!$d",A125+2)),"")</f>
        <v>3</v>
      </c>
      <c r="C127" s="117">
        <f ca="1">IFERROR(INDIRECT(CONCATENATE("Distance!$E",A125+2)),"")</f>
        <v>2</v>
      </c>
      <c r="D127" s="183" t="str">
        <f ca="1">IFERROR(INDIRECT(CONCATENATE("Distance!$F",$A125+2)),"")</f>
        <v>ROBERTS Eve</v>
      </c>
      <c r="E127" s="64" t="str">
        <f t="shared" ca="1" si="22"/>
        <v>Sheff+D</v>
      </c>
      <c r="F127" s="123">
        <f ca="1">IFERROR(INDIRECT(CONCATENATE("Distance!$H",A125+2)),"")</f>
        <v>13.37</v>
      </c>
      <c r="G127" s="108" t="str">
        <f ca="1">IFERROR(IF(F127&lt;A127,"",VLOOKUP(VLOOKUP(F127,A127:B130,2,TRUE),Points!$H$1:$I$5,2,FALSE)),"")</f>
        <v/>
      </c>
      <c r="H127" s="67"/>
      <c r="I127" s="117">
        <f ca="1">IFERROR(INDIRECT(CONCATENATE("Distance!$j",A125+2)),"")</f>
        <v>3</v>
      </c>
      <c r="J127" s="117" t="str">
        <f ca="1">IFERROR(INDIRECT(CONCATENATE("Distance!$k",A125+2)),"")</f>
        <v/>
      </c>
      <c r="K127" s="183" t="str">
        <f ca="1">IFERROR(INDIRECT(CONCATENATE("Distance!$L",$A125+2)),"")</f>
        <v/>
      </c>
      <c r="L127" s="64" t="str">
        <f t="shared" ca="1" si="23"/>
        <v/>
      </c>
      <c r="M127" s="123" t="str">
        <f ca="1">IFERROR(INDIRECT(CONCATENATE("Distance!$T",A125+2)),"")</f>
        <v/>
      </c>
      <c r="N127" s="108" t="str">
        <f ca="1">IFERROR(IF(M127&lt;A127,"",VLOOKUP(VLOOKUP(M127,A127:B130,2,TRUE),Points!$H$1:$I$5,2,FALSE)),"")</f>
        <v/>
      </c>
      <c r="P127" s="66">
        <f ca="1">IFERROR(IF(OR(C127=0,C127="",F127=0,F127="",F127="X"),0,VLOOKUP(B127,INDIRECT(MatchDay!$W$2),2,FALSE)),"")</f>
        <v>5</v>
      </c>
      <c r="Q127" s="66">
        <f ca="1">IFERROR(IF(OR(J127=0,J127="",M127=0,M127="",M127="X"),0,VLOOKUP(I127,INDIRECT(MatchDay!$W$2),3,FALSE)),"")</f>
        <v>0</v>
      </c>
    </row>
    <row r="128" spans="1:19" x14ac:dyDescent="0.35">
      <c r="A128" s="118">
        <f>IFERROR(VLOOKUP(A123,standards,5,FALSE),"-")</f>
        <v>19.100000000000001</v>
      </c>
      <c r="B128" s="117">
        <f ca="1">IFERROR(INDIRECT(CONCATENATE("Distance!$d",A125+3)),"")</f>
        <v>4</v>
      </c>
      <c r="C128" s="117" t="str">
        <f ca="1">IFERROR(INDIRECT(CONCATENATE("Distance!$E",A125+3)),"")</f>
        <v/>
      </c>
      <c r="D128" s="183" t="str">
        <f ca="1">IFERROR(INDIRECT(CONCATENATE("Distance!$F",$A125+3)),"")</f>
        <v/>
      </c>
      <c r="E128" s="64" t="str">
        <f t="shared" ca="1" si="22"/>
        <v/>
      </c>
      <c r="F128" s="123" t="str">
        <f ca="1">IFERROR(INDIRECT(CONCATENATE("Distance!$H",A125+3)),"")</f>
        <v/>
      </c>
      <c r="G128" s="108" t="str">
        <f ca="1">IFERROR(IF(F128&lt;A127,"",VLOOKUP(VLOOKUP(F128,A127:B130,2,TRUE),Points!$H$1:$I$5,2,FALSE)),"")</f>
        <v/>
      </c>
      <c r="H128" s="67"/>
      <c r="I128" s="117">
        <f ca="1">IFERROR(INDIRECT(CONCATENATE("Distance!$j",A125+3)),"")</f>
        <v>4</v>
      </c>
      <c r="J128" s="117" t="str">
        <f ca="1">IFERROR(INDIRECT(CONCATENATE("Distance!$k",A125+3)),"")</f>
        <v/>
      </c>
      <c r="K128" s="183" t="str">
        <f ca="1">IFERROR(INDIRECT(CONCATENATE("Distance!$L",$A125+3)),"")</f>
        <v/>
      </c>
      <c r="L128" s="64" t="str">
        <f t="shared" ca="1" si="23"/>
        <v/>
      </c>
      <c r="M128" s="123" t="str">
        <f ca="1">IFERROR(INDIRECT(CONCATENATE("Distance!$T",A125+3)),"")</f>
        <v/>
      </c>
      <c r="N128" s="108" t="str">
        <f ca="1">IFERROR(IF(M128&lt;A127,"",VLOOKUP(VLOOKUP(M128,A127:B130,2,TRUE),Points!$H$1:$I$5,2,FALSE)),"")</f>
        <v/>
      </c>
      <c r="P128" s="66">
        <f ca="1">IFERROR(IF(OR(C128=0,C128="",F128=0,F128="",F128="X"),0,VLOOKUP(B128,INDIRECT(MatchDay!$W$2),2,FALSE)),"")</f>
        <v>0</v>
      </c>
      <c r="Q128" s="66">
        <f ca="1">IFERROR(IF(OR(J128=0,J128="",M128=0,M128="",M128="X"),0,VLOOKUP(I128,INDIRECT(MatchDay!$W$2),3,FALSE)),"")</f>
        <v>0</v>
      </c>
    </row>
    <row r="129" spans="1:19" x14ac:dyDescent="0.35">
      <c r="A129" s="118">
        <f>IFERROR(VLOOKUP(A123,standards,4,FALSE),"-")</f>
        <v>21.85</v>
      </c>
      <c r="B129" s="117">
        <f ca="1">IFERROR(INDIRECT(CONCATENATE("Distance!$d",A125+4)),"")</f>
        <v>5</v>
      </c>
      <c r="C129" s="117" t="str">
        <f ca="1">IFERROR(INDIRECT(CONCATENATE("Distance!$E",A125+4)),"")</f>
        <v/>
      </c>
      <c r="D129" s="183" t="str">
        <f ca="1">IFERROR(INDIRECT(CONCATENATE("Distance!$F",$A125+4)),"")</f>
        <v/>
      </c>
      <c r="E129" s="64" t="str">
        <f t="shared" ca="1" si="22"/>
        <v/>
      </c>
      <c r="F129" s="123" t="str">
        <f ca="1">IFERROR(INDIRECT(CONCATENATE("Distance!$H",A125+4)),"")</f>
        <v/>
      </c>
      <c r="G129" s="108" t="str">
        <f ca="1">IFERROR(IF(F129&lt;A127,"",VLOOKUP(VLOOKUP(F129,A127:B130,2,TRUE),Points!$H$1:$I$5,2,FALSE)),"")</f>
        <v/>
      </c>
      <c r="H129" s="67"/>
      <c r="I129" s="117">
        <f ca="1">IFERROR(INDIRECT(CONCATENATE("Distance!$j",A125+4)),"")</f>
        <v>5</v>
      </c>
      <c r="J129" s="117" t="str">
        <f ca="1">IFERROR(INDIRECT(CONCATENATE("Distance!$k",A125+4)),"")</f>
        <v/>
      </c>
      <c r="K129" s="183" t="str">
        <f ca="1">IFERROR(INDIRECT(CONCATENATE("Distance!$L",$A125+4)),"")</f>
        <v/>
      </c>
      <c r="L129" s="64" t="str">
        <f t="shared" ca="1" si="23"/>
        <v/>
      </c>
      <c r="M129" s="123" t="str">
        <f ca="1">IFERROR(INDIRECT(CONCATENATE("Distance!$T",A125+4)),"")</f>
        <v/>
      </c>
      <c r="N129" s="108" t="str">
        <f ca="1">IFERROR(IF(M129&lt;A127,"",VLOOKUP(VLOOKUP(M129,A127:B130,2,TRUE),Points!$H$1:$I$5,2,FALSE)),"")</f>
        <v/>
      </c>
      <c r="P129" s="66">
        <f ca="1">IFERROR(IF(OR(C129=0,C129="",F129=0,F129="",F129="X"),0,VLOOKUP(B129,INDIRECT(MatchDay!$W$2),2,FALSE)),"")</f>
        <v>0</v>
      </c>
      <c r="Q129" s="66">
        <f ca="1">IFERROR(IF(OR(J129=0,J129="",M129=0,M129="",M129="X"),0,VLOOKUP(I129,INDIRECT(MatchDay!$W$2),3,FALSE)),"")</f>
        <v>0</v>
      </c>
    </row>
    <row r="130" spans="1:19" x14ac:dyDescent="0.35">
      <c r="A130" s="118">
        <f>IFERROR(VLOOKUP(A123,standards,3,FALSE),"-")</f>
        <v>24.75</v>
      </c>
      <c r="B130" s="117">
        <f ca="1">IFERROR(INDIRECT(CONCATENATE("Distance!$d",A125+5)),"")</f>
        <v>6</v>
      </c>
      <c r="C130" s="117" t="str">
        <f ca="1">IFERROR(INDIRECT(CONCATENATE("Distance!$E",A125+5)),"")</f>
        <v/>
      </c>
      <c r="D130" s="183" t="str">
        <f ca="1">IFERROR(INDIRECT(CONCATENATE("Distance!$F",$A125+5)),"")</f>
        <v/>
      </c>
      <c r="E130" s="64" t="str">
        <f t="shared" ca="1" si="22"/>
        <v/>
      </c>
      <c r="F130" s="123" t="str">
        <f ca="1">IFERROR(INDIRECT(CONCATENATE("Distance!$H",A125+5)),"")</f>
        <v/>
      </c>
      <c r="G130" s="108" t="str">
        <f ca="1">IFERROR(IF(F130&lt;A127,"",VLOOKUP(VLOOKUP(F130,A127:B130,2,TRUE),Points!$H$1:$I$5,2,FALSE)),"")</f>
        <v/>
      </c>
      <c r="H130" s="67"/>
      <c r="I130" s="117">
        <f ca="1">IFERROR(INDIRECT(CONCATENATE("Distance!$j",A125+5)),"")</f>
        <v>6</v>
      </c>
      <c r="J130" s="117" t="str">
        <f ca="1">IFERROR(INDIRECT(CONCATENATE("Distance!$k",A125+5)),"")</f>
        <v/>
      </c>
      <c r="K130" s="183" t="str">
        <f ca="1">IFERROR(INDIRECT(CONCATENATE("Distance!$L",$A125+5)),"")</f>
        <v/>
      </c>
      <c r="L130" s="64" t="str">
        <f t="shared" ca="1" si="23"/>
        <v/>
      </c>
      <c r="M130" s="123" t="str">
        <f ca="1">IFERROR(INDIRECT(CONCATENATE("Distance!$T",A125+5)),"")</f>
        <v/>
      </c>
      <c r="N130" s="108" t="str">
        <f ca="1">IFERROR(IF(M130&lt;A127,"",VLOOKUP(VLOOKUP(M130,A127:B130,2,TRUE),Points!$H$1:$I$5,2,FALSE)),"")</f>
        <v/>
      </c>
      <c r="P130" s="66">
        <f ca="1">IFERROR(IF(OR(C130=0,C130="",F130=0,F130="",F130="X"),0,VLOOKUP(B130,INDIRECT(MatchDay!$W$2),2,FALSE)),"")</f>
        <v>0</v>
      </c>
      <c r="Q130" s="66">
        <f ca="1">IFERROR(IF(OR(J130=0,J130="",M130=0,M130="",M130="X"),0,VLOOKUP(I130,INDIRECT(MatchDay!$W$2),3,FALSE)),"")</f>
        <v>0</v>
      </c>
    </row>
    <row r="131" spans="1:19" x14ac:dyDescent="0.35">
      <c r="A131" s="116" t="s">
        <v>204</v>
      </c>
      <c r="B131" s="117">
        <f ca="1">IFERROR(INDIRECT(CONCATENATE("Distance!$d",A125+6)),"")</f>
        <v>7</v>
      </c>
      <c r="C131" s="117" t="str">
        <f ca="1">IFERROR(INDIRECT(CONCATENATE("Distance!$E",A125+6)),"")</f>
        <v/>
      </c>
      <c r="D131" s="183" t="str">
        <f ca="1">IFERROR(INDIRECT(CONCATENATE("Distance!$F",$A125+6)),"")</f>
        <v/>
      </c>
      <c r="E131" s="64" t="str">
        <f t="shared" ca="1" si="22"/>
        <v/>
      </c>
      <c r="F131" s="123" t="str">
        <f ca="1">IFERROR(INDIRECT(CONCATENATE("Distance!$H",A125+6)),"")</f>
        <v/>
      </c>
      <c r="G131" s="108" t="str">
        <f ca="1">IFERROR(IF(F131&lt;A127,"",VLOOKUP(VLOOKUP(F131,A127:B130,2,TRUE),Points!$H$1:$I$5,2,FALSE)),"")</f>
        <v/>
      </c>
      <c r="H131" s="67"/>
      <c r="I131" s="117">
        <f ca="1">IFERROR(INDIRECT(CONCATENATE("Distance!$j",A125+6)),"")</f>
        <v>7</v>
      </c>
      <c r="J131" s="117" t="str">
        <f ca="1">IFERROR(INDIRECT(CONCATENATE("Distance!$k",A125+6)),"")</f>
        <v/>
      </c>
      <c r="K131" s="183" t="str">
        <f ca="1">IFERROR(INDIRECT(CONCATENATE("Distance!$L",$A125+6)),"")</f>
        <v/>
      </c>
      <c r="L131" s="64" t="str">
        <f t="shared" ca="1" si="23"/>
        <v/>
      </c>
      <c r="M131" s="123" t="str">
        <f ca="1">IFERROR(INDIRECT(CONCATENATE("Distance!$T",A125+6)),"")</f>
        <v/>
      </c>
      <c r="N131" s="108" t="str">
        <f ca="1">IFERROR(IF(M131&lt;A127,"",VLOOKUP(VLOOKUP(M131,A127:B130,2,TRUE),Points!$H$1:$I$5,2,FALSE)),"")</f>
        <v/>
      </c>
      <c r="P131" s="66">
        <f ca="1">IFERROR(IF(OR(C131=0,C131="",F131=0,F131="",F131="X"),0,VLOOKUP(B131,INDIRECT(MatchDay!$W$2),2,FALSE)),"")</f>
        <v>0</v>
      </c>
      <c r="Q131" s="66">
        <f ca="1">IFERROR(IF(OR(J131=0,J131="",M131=0,M131="",M131="X"),0,VLOOKUP(I131,INDIRECT(MatchDay!$W$2),3,FALSE)),"")</f>
        <v>0</v>
      </c>
    </row>
    <row r="132" spans="1:19" x14ac:dyDescent="0.35">
      <c r="A132" s="116">
        <f>IFERROR(VLOOKUP(A123,records,5,FALSE),"")</f>
        <v>41.04</v>
      </c>
      <c r="B132" s="117">
        <f ca="1">IFERROR(INDIRECT(CONCATENATE("Distance!$d",A125+7)),"")</f>
        <v>8</v>
      </c>
      <c r="C132" s="117" t="str">
        <f ca="1">IFERROR(INDIRECT(CONCATENATE("Distance!$E",A125+7)),"")</f>
        <v/>
      </c>
      <c r="D132" s="183" t="str">
        <f ca="1">IFERROR(INDIRECT(CONCATENATE("Distance!$F",$A125+7)),"")</f>
        <v/>
      </c>
      <c r="E132" s="64" t="str">
        <f t="shared" ca="1" si="22"/>
        <v/>
      </c>
      <c r="F132" s="123" t="str">
        <f ca="1">IFERROR(INDIRECT(CONCATENATE("Distance!$H",A125+7)),"")</f>
        <v/>
      </c>
      <c r="G132" s="108" t="str">
        <f ca="1">IFERROR(IF(F132&lt;A127,"",VLOOKUP(VLOOKUP(F132,A127:B130,2,TRUE),Points!$H$1:$I$5,2,FALSE)),"")</f>
        <v/>
      </c>
      <c r="H132" s="67"/>
      <c r="I132" s="117">
        <f ca="1">IFERROR(INDIRECT(CONCATENATE("Distance!$j",A125+7)),"")</f>
        <v>8</v>
      </c>
      <c r="J132" s="117" t="str">
        <f ca="1">IFERROR(INDIRECT(CONCATENATE("Distance!$k",A125+7)),"")</f>
        <v/>
      </c>
      <c r="K132" s="183" t="str">
        <f ca="1">IFERROR(INDIRECT(CONCATENATE("Distance!$L",$A125+7)),"")</f>
        <v/>
      </c>
      <c r="L132" s="64" t="str">
        <f t="shared" ca="1" si="23"/>
        <v/>
      </c>
      <c r="M132" s="123" t="str">
        <f ca="1">IFERROR(INDIRECT(CONCATENATE("Distance!$T",A125+7)),"")</f>
        <v/>
      </c>
      <c r="N132" s="108" t="str">
        <f ca="1">IFERROR(IF(M132&lt;A127,"",VLOOKUP(VLOOKUP(M132,A127:B130,2,TRUE),Points!$H$1:$I$5,2,FALSE)),"")</f>
        <v/>
      </c>
      <c r="P132" s="66">
        <f ca="1">IFERROR(IF(OR(C132=0,C132="",F132=0,F132="",F132="X"),0,VLOOKUP(B132,INDIRECT(MatchDay!$W$2),2,FALSE)),"")</f>
        <v>0</v>
      </c>
      <c r="Q132" s="66">
        <f ca="1">IFERROR(IF(OR(J132=0,J132="",M132=0,M132="",M132="X"),0,VLOOKUP(I132,INDIRECT(MatchDay!$W$2),3,FALSE)),"")</f>
        <v>0</v>
      </c>
    </row>
    <row r="134" spans="1:19" x14ac:dyDescent="0.35">
      <c r="A134" s="111" t="s">
        <v>297</v>
      </c>
      <c r="B134" s="112" t="str">
        <f>IFERROR(VLOOKUP(A134,timetables,2,FALSE)&amp;" "&amp;VLOOKUP(A134,timetables,3,FALSE)&amp;" A","")</f>
        <v>Long Jump U13 Boys A</v>
      </c>
      <c r="C134" s="112"/>
      <c r="F134" s="121" t="str">
        <f ca="1">IFERROR(IF(OR(F136=0,F136="",F136="X"),"",IF(F136&gt;A143,"REC",IF(F136=A143,"=Rec",""))),"")</f>
        <v/>
      </c>
      <c r="G134" s="198" t="str">
        <f ca="1">IFERROR(IF(OR(F136=0,F136="",F136="X"),"",IF(F136&gt;A143,"REC",IF(F136=A143,"=Rec",""))),"")</f>
        <v/>
      </c>
      <c r="I134" s="114" t="str">
        <f>IFERROR(VLOOKUP(A134,timetables,2,FALSE)&amp;" "&amp;VLOOKUP(A134,timetables,3,FALSE)&amp;" B","")</f>
        <v>Long Jump U13 Boys B</v>
      </c>
      <c r="J134" s="115"/>
      <c r="P134" s="66" t="s">
        <v>53</v>
      </c>
      <c r="Q134" s="66" t="s">
        <v>54</v>
      </c>
    </row>
    <row r="135" spans="1:19" x14ac:dyDescent="0.35">
      <c r="A135" s="82"/>
      <c r="B135" s="45" t="s">
        <v>230</v>
      </c>
      <c r="C135" s="45" t="s">
        <v>159</v>
      </c>
      <c r="D135" s="47" t="s">
        <v>227</v>
      </c>
      <c r="E135" s="47" t="s">
        <v>228</v>
      </c>
      <c r="F135" s="45" t="s">
        <v>229</v>
      </c>
      <c r="G135" s="126" t="s">
        <v>55</v>
      </c>
      <c r="H135" s="47"/>
      <c r="I135" s="45" t="s">
        <v>230</v>
      </c>
      <c r="J135" s="45" t="s">
        <v>159</v>
      </c>
      <c r="K135" s="47" t="s">
        <v>227</v>
      </c>
      <c r="L135" s="47" t="s">
        <v>228</v>
      </c>
      <c r="M135" s="45" t="s">
        <v>229</v>
      </c>
      <c r="N135" s="126" t="s">
        <v>55</v>
      </c>
    </row>
    <row r="136" spans="1:19" x14ac:dyDescent="0.35">
      <c r="A136" s="66">
        <f>IFERROR(VLOOKUP(A134,Distance!A:B,2,FALSE),"")</f>
        <v>411</v>
      </c>
      <c r="B136" s="117">
        <f ca="1">IFERROR(INDIRECT(CONCATENATE("Distance!$d",A136)),"")</f>
        <v>1</v>
      </c>
      <c r="C136" s="117">
        <f ca="1">IFERROR(INDIRECT(CONCATENATE("Distance!$E",A136)),"")</f>
        <v>33</v>
      </c>
      <c r="D136" s="183" t="str">
        <f ca="1">IFERROR(INDIRECT(CONCATENATE("Distance!$F",$A136)),"")</f>
        <v>PEARSON Adam</v>
      </c>
      <c r="E136" s="64" t="str">
        <f t="shared" ref="E136:E143" ca="1" si="24">IFERROR(VLOOKUP(C136,teamlookup,5,FALSE),"")</f>
        <v>York</v>
      </c>
      <c r="F136" s="123">
        <f ca="1">IFERROR(INDIRECT(CONCATENATE("Distance!$H",A136)),"")</f>
        <v>4.68</v>
      </c>
      <c r="G136" s="108">
        <f ca="1">IFERROR(IF(F136&lt;A138,"",VLOOKUP(VLOOKUP(F136,A138:B141,2,TRUE),Points!$H$1:$I$5,2,FALSE)),"")</f>
        <v>2</v>
      </c>
      <c r="H136" s="67"/>
      <c r="I136" s="117">
        <f ca="1">IFERROR(INDIRECT(CONCATENATE("Distance!$j",A136)),"")</f>
        <v>1</v>
      </c>
      <c r="J136" s="117">
        <f ca="1">IFERROR(INDIRECT(CONCATENATE("Distance!$k",A136)),"")</f>
        <v>2</v>
      </c>
      <c r="K136" s="183" t="str">
        <f ca="1">IFERROR(INDIRECT(CONCATENATE("Distance!$L",$A136)),"")</f>
        <v>CONNELLY George</v>
      </c>
      <c r="L136" s="64" t="str">
        <f t="shared" ref="L136:L143" ca="1" si="25">IFERROR(VLOOKUP(J136,teamlookup,5,FALSE),"")</f>
        <v>Sheff+D</v>
      </c>
      <c r="M136" s="123">
        <f ca="1">IFERROR(INDIRECT(CONCATENATE("Distance!$T",A136)),"")</f>
        <v>4.22</v>
      </c>
      <c r="N136" s="108">
        <f ca="1">IFERROR(IF(M136&lt;A138,"",VLOOKUP(VLOOKUP(M136,A138:B141,2,TRUE),Points!$H$1:$I$5,2,FALSE)),"")</f>
        <v>4</v>
      </c>
      <c r="P136" s="66">
        <f ca="1">IFERROR(IF(OR(C136=0,C136="",F136=0,F136="",F136="X"),0,VLOOKUP(B136,INDIRECT(MatchDay!$W$2),2,FALSE)),"")</f>
        <v>8</v>
      </c>
      <c r="Q136" s="66">
        <f ca="1">IFERROR(IF(OR(J136=0,J136="",M136=0,M136="",M136="X"),0,VLOOKUP(I136,INDIRECT(MatchDay!$W$2),3,FALSE)),"")</f>
        <v>6</v>
      </c>
      <c r="R136" s="219">
        <f ca="1">COUNTIF(C136,"&gt;0")</f>
        <v>1</v>
      </c>
      <c r="S136" s="66">
        <f ca="1">IFERROR(IF(C136&gt;88,1,0),0)</f>
        <v>0</v>
      </c>
    </row>
    <row r="137" spans="1:19" x14ac:dyDescent="0.35">
      <c r="A137" s="116" t="s">
        <v>55</v>
      </c>
      <c r="B137" s="117">
        <f ca="1">IFERROR(INDIRECT(CONCATENATE("Distance!$d",A136+1)),"")</f>
        <v>2</v>
      </c>
      <c r="C137" s="117">
        <f ca="1">IFERROR(INDIRECT(CONCATENATE("Distance!$E",A136+1)),"")</f>
        <v>22</v>
      </c>
      <c r="D137" s="183" t="str">
        <f ca="1">IFERROR(INDIRECT(CONCATENATE("Distance!$F",$A136+1)),"")</f>
        <v>REILLY Arthur</v>
      </c>
      <c r="E137" s="64" t="str">
        <f t="shared" ca="1" si="24"/>
        <v>Sheff+D</v>
      </c>
      <c r="F137" s="123">
        <f ca="1">IFERROR(INDIRECT(CONCATENATE("Distance!$H",A136+1)),"")</f>
        <v>4.28</v>
      </c>
      <c r="G137" s="108">
        <f ca="1">IFERROR(IF(F137&lt;A138,"",VLOOKUP(VLOOKUP(F137,A138:B141,2,TRUE),Points!$H$1:$I$5,2,FALSE)),"")</f>
        <v>4</v>
      </c>
      <c r="H137" s="67"/>
      <c r="I137" s="117">
        <f ca="1">IFERROR(INDIRECT(CONCATENATE("Distance!$j",A136+1)),"")</f>
        <v>2</v>
      </c>
      <c r="J137" s="117">
        <f ca="1">IFERROR(INDIRECT(CONCATENATE("Distance!$k",A136+1)),"")</f>
        <v>3</v>
      </c>
      <c r="K137" s="183" t="str">
        <f ca="1">IFERROR(INDIRECT(CONCATENATE("Distance!$L",$A136+1)),"")</f>
        <v>MARSHALL Syd</v>
      </c>
      <c r="L137" s="64" t="str">
        <f t="shared" ca="1" si="25"/>
        <v>York</v>
      </c>
      <c r="M137" s="123">
        <f ca="1">IFERROR(INDIRECT(CONCATENATE("Distance!$T",A136+1)),"")</f>
        <v>3.86</v>
      </c>
      <c r="N137" s="108" t="str">
        <f ca="1">IFERROR(IF(M137&lt;A138,"",VLOOKUP(VLOOKUP(M137,A138:B141,2,TRUE),Points!$H$1:$I$5,2,FALSE)),"")</f>
        <v/>
      </c>
      <c r="P137" s="66">
        <f ca="1">IFERROR(IF(OR(C137=0,C137="",F137=0,F137="",F137="X"),0,VLOOKUP(B137,INDIRECT(MatchDay!$W$2),2,FALSE)),"")</f>
        <v>6</v>
      </c>
      <c r="Q137" s="66">
        <f ca="1">IFERROR(IF(OR(J137=0,J137="",M137=0,M137="",M137="X"),0,VLOOKUP(I137,INDIRECT(MatchDay!$W$2),3,FALSE)),"")</f>
        <v>4</v>
      </c>
    </row>
    <row r="138" spans="1:19" x14ac:dyDescent="0.35">
      <c r="A138" s="118">
        <f>IFERROR(VLOOKUP(A134,standards,6,FALSE),"-")</f>
        <v>4.1500000000000004</v>
      </c>
      <c r="B138" s="117">
        <f ca="1">IFERROR(INDIRECT(CONCATENATE("Distance!$d",A136+2)),"")</f>
        <v>3</v>
      </c>
      <c r="C138" s="117">
        <f ca="1">IFERROR(INDIRECT(CONCATENATE("Distance!$E",A136+2)),"")</f>
        <v>44</v>
      </c>
      <c r="D138" s="183" t="str">
        <f ca="1">IFERROR(INDIRECT(CONCATENATE("Distance!$F",$A136+2)),"")</f>
        <v>CRAGGS George</v>
      </c>
      <c r="E138" s="64" t="str">
        <f t="shared" ca="1" si="24"/>
        <v>M'bro</v>
      </c>
      <c r="F138" s="123">
        <f ca="1">IFERROR(INDIRECT(CONCATENATE("Distance!$H",A136+2)),"")</f>
        <v>3.82</v>
      </c>
      <c r="G138" s="108" t="str">
        <f ca="1">IFERROR(IF(F138&lt;A138,"",VLOOKUP(VLOOKUP(F138,A138:B141,2,TRUE),Points!$H$1:$I$5,2,FALSE)),"")</f>
        <v/>
      </c>
      <c r="H138" s="67"/>
      <c r="I138" s="117">
        <f ca="1">IFERROR(INDIRECT(CONCATENATE("Distance!$j",A136+2)),"")</f>
        <v>3</v>
      </c>
      <c r="J138" s="117">
        <f ca="1">IFERROR(INDIRECT(CONCATENATE("Distance!$k",A136+2)),"")</f>
        <v>4</v>
      </c>
      <c r="K138" s="183" t="str">
        <f ca="1">IFERROR(INDIRECT(CONCATENATE("Distance!$L",$A136+2)),"")</f>
        <v>BAKER Edward</v>
      </c>
      <c r="L138" s="64" t="str">
        <f t="shared" ca="1" si="25"/>
        <v>M'bro</v>
      </c>
      <c r="M138" s="123">
        <f ca="1">IFERROR(INDIRECT(CONCATENATE("Distance!$T",A136+2)),"")</f>
        <v>3.19</v>
      </c>
      <c r="N138" s="108" t="str">
        <f ca="1">IFERROR(IF(M138&lt;A138,"",VLOOKUP(VLOOKUP(M138,A138:B141,2,TRUE),Points!$H$1:$I$5,2,FALSE)),"")</f>
        <v/>
      </c>
      <c r="P138" s="66">
        <f ca="1">IFERROR(IF(OR(C138=0,C138="",F138=0,F138="",F138="X"),0,VLOOKUP(B138,INDIRECT(MatchDay!$W$2),2,FALSE)),"")</f>
        <v>5</v>
      </c>
      <c r="Q138" s="66">
        <f ca="1">IFERROR(IF(OR(J138=0,J138="",M138=0,M138="",M138="X"),0,VLOOKUP(I138,INDIRECT(MatchDay!$W$2),3,FALSE)),"")</f>
        <v>3</v>
      </c>
    </row>
    <row r="139" spans="1:19" x14ac:dyDescent="0.35">
      <c r="A139" s="118">
        <f>IFERROR(VLOOKUP(A134,standards,5,FALSE),"-")</f>
        <v>4.4000000000000004</v>
      </c>
      <c r="B139" s="117">
        <f ca="1">IFERROR(INDIRECT(CONCATENATE("Distance!$d",A136+3)),"")</f>
        <v>4</v>
      </c>
      <c r="C139" s="117">
        <f ca="1">IFERROR(INDIRECT(CONCATENATE("Distance!$E",A136+3)),"")</f>
        <v>1</v>
      </c>
      <c r="D139" s="183" t="str">
        <f ca="1">IFERROR(INDIRECT(CONCATENATE("Distance!$F",$A136+3)),"")</f>
        <v>GASKIN Nathanael</v>
      </c>
      <c r="E139" s="64" t="str">
        <f t="shared" ca="1" si="24"/>
        <v>C'field</v>
      </c>
      <c r="F139" s="123">
        <f ca="1">IFERROR(INDIRECT(CONCATENATE("Distance!$H",A136+3)),"")</f>
        <v>3.81</v>
      </c>
      <c r="G139" s="108" t="str">
        <f ca="1">IFERROR(IF(F139&lt;A138,"",VLOOKUP(VLOOKUP(F139,A138:B141,2,TRUE),Points!$H$1:$I$5,2,FALSE)),"")</f>
        <v/>
      </c>
      <c r="H139" s="67"/>
      <c r="I139" s="117">
        <f ca="1">IFERROR(INDIRECT(CONCATENATE("Distance!$j",A136+3)),"")</f>
        <v>4</v>
      </c>
      <c r="J139" s="117">
        <f ca="1">IFERROR(INDIRECT(CONCATENATE("Distance!$k",A136+3)),"")</f>
        <v>11</v>
      </c>
      <c r="K139" s="183" t="str">
        <f ca="1">IFERROR(INDIRECT(CONCATENATE("Distance!$L",$A136+3)),"")</f>
        <v>DREW Matthew</v>
      </c>
      <c r="L139" s="64" t="str">
        <f t="shared" ca="1" si="25"/>
        <v>C'field</v>
      </c>
      <c r="M139" s="123">
        <f ca="1">IFERROR(INDIRECT(CONCATENATE("Distance!$T",A136+3)),"")</f>
        <v>2.72</v>
      </c>
      <c r="N139" s="108" t="str">
        <f ca="1">IFERROR(IF(M139&lt;A138,"",VLOOKUP(VLOOKUP(M139,A138:B141,2,TRUE),Points!$H$1:$I$5,2,FALSE)),"")</f>
        <v/>
      </c>
      <c r="P139" s="66">
        <f ca="1">IFERROR(IF(OR(C139=0,C139="",F139=0,F139="",F139="X"),0,VLOOKUP(B139,INDIRECT(MatchDay!$W$2),2,FALSE)),"")</f>
        <v>4</v>
      </c>
      <c r="Q139" s="66">
        <f ca="1">IFERROR(IF(OR(J139=0,J139="",M139=0,M139="",M139="X"),0,VLOOKUP(I139,INDIRECT(MatchDay!$W$2),3,FALSE)),"")</f>
        <v>2</v>
      </c>
    </row>
    <row r="140" spans="1:19" x14ac:dyDescent="0.35">
      <c r="A140" s="118">
        <f>IFERROR(VLOOKUP(A134,standards,4,FALSE),"-")</f>
        <v>4.55</v>
      </c>
      <c r="B140" s="117">
        <f ca="1">IFERROR(INDIRECT(CONCATENATE("Distance!$d",A136+4)),"")</f>
        <v>5</v>
      </c>
      <c r="C140" s="117">
        <f ca="1">IFERROR(INDIRECT(CONCATENATE("Distance!$E",A136+4)),"")</f>
        <v>5</v>
      </c>
      <c r="D140" s="183" t="str">
        <f ca="1">IFERROR(INDIRECT(CONCATENATE("Distance!$F",$A136+4)),"")</f>
        <v>LANGTON Cody</v>
      </c>
      <c r="E140" s="64" t="str">
        <f t="shared" ca="1" si="24"/>
        <v>Scun</v>
      </c>
      <c r="F140" s="123">
        <f ca="1">IFERROR(INDIRECT(CONCATENATE("Distance!$H",A136+4)),"")</f>
        <v>3.27</v>
      </c>
      <c r="G140" s="108" t="str">
        <f ca="1">IFERROR(IF(F140&lt;A138,"",VLOOKUP(VLOOKUP(F140,A138:B141,2,TRUE),Points!$H$1:$I$5,2,FALSE)),"")</f>
        <v/>
      </c>
      <c r="H140" s="67"/>
      <c r="I140" s="117">
        <f ca="1">IFERROR(INDIRECT(CONCATENATE("Distance!$j",A136+4)),"")</f>
        <v>5</v>
      </c>
      <c r="J140" s="117" t="str">
        <f ca="1">IFERROR(INDIRECT(CONCATENATE("Distance!$k",A136+4)),"")</f>
        <v/>
      </c>
      <c r="K140" s="183" t="str">
        <f ca="1">IFERROR(INDIRECT(CONCATENATE("Distance!$L",$A136+4)),"")</f>
        <v/>
      </c>
      <c r="L140" s="64" t="str">
        <f t="shared" ca="1" si="25"/>
        <v/>
      </c>
      <c r="M140" s="123" t="str">
        <f ca="1">IFERROR(INDIRECT(CONCATENATE("Distance!$T",A136+4)),"")</f>
        <v/>
      </c>
      <c r="N140" s="108" t="str">
        <f ca="1">IFERROR(IF(M140&lt;A138,"",VLOOKUP(VLOOKUP(M140,A138:B141,2,TRUE),Points!$H$1:$I$5,2,FALSE)),"")</f>
        <v/>
      </c>
      <c r="P140" s="66">
        <f ca="1">IFERROR(IF(OR(C140=0,C140="",F140=0,F140="",F140="X"),0,VLOOKUP(B140,INDIRECT(MatchDay!$W$2),2,FALSE)),"")</f>
        <v>3</v>
      </c>
      <c r="Q140" s="66">
        <f ca="1">IFERROR(IF(OR(J140=0,J140="",M140=0,M140="",M140="X"),0,VLOOKUP(I140,INDIRECT(MatchDay!$W$2),3,FALSE)),"")</f>
        <v>0</v>
      </c>
    </row>
    <row r="141" spans="1:19" x14ac:dyDescent="0.35">
      <c r="A141" s="118">
        <f>IFERROR(VLOOKUP(A134,standards,3,FALSE),"-")</f>
        <v>4.75</v>
      </c>
      <c r="B141" s="117">
        <f ca="1">IFERROR(INDIRECT(CONCATENATE("Distance!$d",A136+5)),"")</f>
        <v>6</v>
      </c>
      <c r="C141" s="117" t="str">
        <f ca="1">IFERROR(INDIRECT(CONCATENATE("Distance!$E",A136+5)),"")</f>
        <v/>
      </c>
      <c r="D141" s="183" t="str">
        <f ca="1">IFERROR(INDIRECT(CONCATENATE("Distance!$F",$A136+5)),"")</f>
        <v/>
      </c>
      <c r="E141" s="64" t="str">
        <f t="shared" ca="1" si="24"/>
        <v/>
      </c>
      <c r="F141" s="123" t="str">
        <f ca="1">IFERROR(INDIRECT(CONCATENATE("Distance!$H",A136+5)),"")</f>
        <v/>
      </c>
      <c r="G141" s="108" t="str">
        <f ca="1">IFERROR(IF(F141&lt;A138,"",VLOOKUP(VLOOKUP(F141,A138:B141,2,TRUE),Points!$H$1:$I$5,2,FALSE)),"")</f>
        <v/>
      </c>
      <c r="H141" s="67"/>
      <c r="I141" s="117">
        <f ca="1">IFERROR(INDIRECT(CONCATENATE("Distance!$j",A136+5)),"")</f>
        <v>6</v>
      </c>
      <c r="J141" s="117" t="str">
        <f ca="1">IFERROR(INDIRECT(CONCATENATE("Distance!$k",A136+5)),"")</f>
        <v/>
      </c>
      <c r="K141" s="183" t="str">
        <f ca="1">IFERROR(INDIRECT(CONCATENATE("Distance!$L",$A136+5)),"")</f>
        <v/>
      </c>
      <c r="L141" s="64" t="str">
        <f t="shared" ca="1" si="25"/>
        <v/>
      </c>
      <c r="M141" s="123" t="str">
        <f ca="1">IFERROR(INDIRECT(CONCATENATE("Distance!$T",A136+5)),"")</f>
        <v/>
      </c>
      <c r="N141" s="108" t="str">
        <f ca="1">IFERROR(IF(M141&lt;A138,"",VLOOKUP(VLOOKUP(M141,A138:B141,2,TRUE),Points!$H$1:$I$5,2,FALSE)),"")</f>
        <v/>
      </c>
      <c r="P141" s="66">
        <f ca="1">IFERROR(IF(OR(C141=0,C141="",F141=0,F141="",F141="X"),0,VLOOKUP(B141,INDIRECT(MatchDay!$W$2),2,FALSE)),"")</f>
        <v>0</v>
      </c>
      <c r="Q141" s="66">
        <f ca="1">IFERROR(IF(OR(J141=0,J141="",M141=0,M141="",M141="X"),0,VLOOKUP(I141,INDIRECT(MatchDay!$W$2),3,FALSE)),"")</f>
        <v>0</v>
      </c>
    </row>
    <row r="142" spans="1:19" x14ac:dyDescent="0.35">
      <c r="A142" s="116" t="s">
        <v>204</v>
      </c>
      <c r="B142" s="117">
        <f ca="1">IFERROR(INDIRECT(CONCATENATE("Distance!$d",A136+6)),"")</f>
        <v>7</v>
      </c>
      <c r="C142" s="117" t="str">
        <f ca="1">IFERROR(INDIRECT(CONCATENATE("Distance!$E",A136+6)),"")</f>
        <v/>
      </c>
      <c r="D142" s="183" t="str">
        <f ca="1">IFERROR(INDIRECT(CONCATENATE("Distance!$F",$A136+6)),"")</f>
        <v/>
      </c>
      <c r="E142" s="64" t="str">
        <f t="shared" ca="1" si="24"/>
        <v/>
      </c>
      <c r="F142" s="123" t="str">
        <f ca="1">IFERROR(INDIRECT(CONCATENATE("Distance!$H",A136+6)),"")</f>
        <v/>
      </c>
      <c r="G142" s="108" t="str">
        <f ca="1">IFERROR(IF(F142&lt;A138,"",VLOOKUP(VLOOKUP(F142,A138:B141,2,TRUE),Points!$H$1:$I$5,2,FALSE)),"")</f>
        <v/>
      </c>
      <c r="H142" s="67"/>
      <c r="I142" s="117">
        <f ca="1">IFERROR(INDIRECT(CONCATENATE("Distance!$j",A136+6)),"")</f>
        <v>7</v>
      </c>
      <c r="J142" s="117" t="str">
        <f ca="1">IFERROR(INDIRECT(CONCATENATE("Distance!$k",A136+6)),"")</f>
        <v/>
      </c>
      <c r="K142" s="183" t="str">
        <f ca="1">IFERROR(INDIRECT(CONCATENATE("Distance!$L",$A136+6)),"")</f>
        <v/>
      </c>
      <c r="L142" s="64" t="str">
        <f t="shared" ca="1" si="25"/>
        <v/>
      </c>
      <c r="M142" s="123" t="str">
        <f ca="1">IFERROR(INDIRECT(CONCATENATE("Distance!$T",A136+6)),"")</f>
        <v/>
      </c>
      <c r="N142" s="108" t="str">
        <f ca="1">IFERROR(IF(M142&lt;A138,"",VLOOKUP(VLOOKUP(M142,A138:B141,2,TRUE),Points!$H$1:$I$5,2,FALSE)),"")</f>
        <v/>
      </c>
      <c r="P142" s="66">
        <f ca="1">IFERROR(IF(OR(C142=0,C142="",F142=0,F142="",F142="X"),0,VLOOKUP(B142,INDIRECT(MatchDay!$W$2),2,FALSE)),"")</f>
        <v>0</v>
      </c>
      <c r="Q142" s="66">
        <f ca="1">IFERROR(IF(OR(J142=0,J142="",M142=0,M142="",M142="X"),0,VLOOKUP(I142,INDIRECT(MatchDay!$W$2),3,FALSE)),"")</f>
        <v>0</v>
      </c>
    </row>
    <row r="143" spans="1:19" x14ac:dyDescent="0.35">
      <c r="A143" s="116">
        <f>IFERROR(VLOOKUP(A134,records,5,FALSE),"")</f>
        <v>5.45</v>
      </c>
      <c r="B143" s="117">
        <f ca="1">IFERROR(INDIRECT(CONCATENATE("Distance!$d",A136+7)),"")</f>
        <v>8</v>
      </c>
      <c r="C143" s="117" t="str">
        <f ca="1">IFERROR(INDIRECT(CONCATENATE("Distance!$E",A136+7)),"")</f>
        <v/>
      </c>
      <c r="D143" s="183" t="str">
        <f ca="1">IFERROR(INDIRECT(CONCATENATE("Distance!$F",$A136+7)),"")</f>
        <v/>
      </c>
      <c r="E143" s="64" t="str">
        <f t="shared" ca="1" si="24"/>
        <v/>
      </c>
      <c r="F143" s="123" t="str">
        <f ca="1">IFERROR(INDIRECT(CONCATENATE("Distance!$H",A136+7)),"")</f>
        <v/>
      </c>
      <c r="G143" s="108" t="str">
        <f ca="1">IFERROR(IF(F143&lt;A138,"",VLOOKUP(VLOOKUP(F143,A138:B141,2,TRUE),Points!$H$1:$I$5,2,FALSE)),"")</f>
        <v/>
      </c>
      <c r="H143" s="67"/>
      <c r="I143" s="117">
        <f ca="1">IFERROR(INDIRECT(CONCATENATE("Distance!$j",A136+7)),"")</f>
        <v>8</v>
      </c>
      <c r="J143" s="117" t="str">
        <f ca="1">IFERROR(INDIRECT(CONCATENATE("Distance!$k",A136+7)),"")</f>
        <v/>
      </c>
      <c r="K143" s="183" t="str">
        <f ca="1">IFERROR(INDIRECT(CONCATENATE("Distance!$L",$A136+7)),"")</f>
        <v/>
      </c>
      <c r="L143" s="64" t="str">
        <f t="shared" ca="1" si="25"/>
        <v/>
      </c>
      <c r="M143" s="123" t="str">
        <f ca="1">IFERROR(INDIRECT(CONCATENATE("Distance!$T",A136+7)),"")</f>
        <v/>
      </c>
      <c r="N143" s="108" t="str">
        <f ca="1">IFERROR(IF(M143&lt;A138,"",VLOOKUP(VLOOKUP(M143,A138:B141,2,TRUE),Points!$H$1:$I$5,2,FALSE)),"")</f>
        <v/>
      </c>
      <c r="P143" s="66">
        <f ca="1">IFERROR(IF(OR(C143=0,C143="",F143=0,F143="",F143="X"),0,VLOOKUP(B143,INDIRECT(MatchDay!$W$2),2,FALSE)),"")</f>
        <v>0</v>
      </c>
      <c r="Q143" s="66">
        <f ca="1">IFERROR(IF(OR(J143=0,J143="",M143=0,M143="",M143="X"),0,VLOOKUP(I143,INDIRECT(MatchDay!$W$2),3,FALSE)),"")</f>
        <v>0</v>
      </c>
    </row>
    <row r="145" spans="1:19" x14ac:dyDescent="0.35">
      <c r="A145" s="111" t="s">
        <v>298</v>
      </c>
      <c r="B145" s="112" t="str">
        <f>IFERROR(VLOOKUP(A145,timetables,2,FALSE)&amp;" "&amp;VLOOKUP(A145,timetables,3,FALSE)&amp;" A","")</f>
        <v>Long Jump U15 Girls A</v>
      </c>
      <c r="C145" s="112"/>
      <c r="F145" s="121" t="str">
        <f ca="1">IFERROR(IF(OR(F147=0,F147="",F147="X"),"",IF(F147&gt;A154,"REC",IF(F147=A154,"=Rec",""))),"")</f>
        <v/>
      </c>
      <c r="G145" s="198" t="str">
        <f ca="1">IFERROR(IF(OR(F147=0,F147="",F147="X"),"",IF(F147&gt;A154,"REC",IF(F147=A154,"=Rec",""))),"")</f>
        <v/>
      </c>
      <c r="I145" s="114" t="str">
        <f>IFERROR(VLOOKUP(A145,timetables,2,FALSE)&amp;" "&amp;VLOOKUP(A145,timetables,3,FALSE)&amp;" B","")</f>
        <v>Long Jump U15 Girls B</v>
      </c>
      <c r="J145" s="115"/>
      <c r="P145" s="66" t="s">
        <v>53</v>
      </c>
      <c r="Q145" s="66" t="s">
        <v>54</v>
      </c>
    </row>
    <row r="146" spans="1:19" x14ac:dyDescent="0.35">
      <c r="A146" s="82"/>
      <c r="B146" s="45" t="s">
        <v>230</v>
      </c>
      <c r="C146" s="45" t="s">
        <v>159</v>
      </c>
      <c r="D146" s="47" t="s">
        <v>227</v>
      </c>
      <c r="E146" s="47" t="s">
        <v>228</v>
      </c>
      <c r="F146" s="45" t="s">
        <v>229</v>
      </c>
      <c r="G146" s="126" t="s">
        <v>55</v>
      </c>
      <c r="H146" s="47"/>
      <c r="I146" s="45" t="s">
        <v>230</v>
      </c>
      <c r="J146" s="45" t="s">
        <v>159</v>
      </c>
      <c r="K146" s="47" t="s">
        <v>227</v>
      </c>
      <c r="L146" s="47" t="s">
        <v>228</v>
      </c>
      <c r="M146" s="45" t="s">
        <v>229</v>
      </c>
      <c r="N146" s="126" t="s">
        <v>55</v>
      </c>
    </row>
    <row r="147" spans="1:19" x14ac:dyDescent="0.35">
      <c r="A147" s="66">
        <f>IFERROR(VLOOKUP(A145,Distance!A:B,2,FALSE),"")</f>
        <v>443</v>
      </c>
      <c r="B147" s="117">
        <f ca="1">IFERROR(INDIRECT(CONCATENATE("Distance!$d",A147)),"")</f>
        <v>1</v>
      </c>
      <c r="C147" s="117">
        <f ca="1">IFERROR(INDIRECT(CONCATENATE("Distance!$E",A147)),"")</f>
        <v>2</v>
      </c>
      <c r="D147" s="183" t="str">
        <f ca="1">IFERROR(INDIRECT(CONCATENATE("Distance!$F",$A147)),"")</f>
        <v>MYCROFT Tilly</v>
      </c>
      <c r="E147" s="64" t="str">
        <f t="shared" ref="E147:E154" ca="1" si="26">IFERROR(VLOOKUP(C147,teamlookup,5,FALSE),"")</f>
        <v>Sheff+D</v>
      </c>
      <c r="F147" s="123">
        <f ca="1">IFERROR(INDIRECT(CONCATENATE("Distance!$H",A147)),"")</f>
        <v>5.05</v>
      </c>
      <c r="G147" s="108">
        <f ca="1">IFERROR(IF(F147&lt;A149,"",VLOOKUP(VLOOKUP(F147,A149:B152,2,TRUE),Points!$H$1:$I$5,2,FALSE)),"")</f>
        <v>1</v>
      </c>
      <c r="H147" s="67"/>
      <c r="I147" s="117">
        <f ca="1">IFERROR(INDIRECT(CONCATENATE("Distance!$j",A147)),"")</f>
        <v>1</v>
      </c>
      <c r="J147" s="117">
        <f ca="1">IFERROR(INDIRECT(CONCATENATE("Distance!$k",A147)),"")</f>
        <v>22</v>
      </c>
      <c r="K147" s="183" t="str">
        <f ca="1">IFERROR(INDIRECT(CONCATENATE("Distance!$L",$A147)),"")</f>
        <v>ADEBAYO Daphney</v>
      </c>
      <c r="L147" s="64" t="str">
        <f t="shared" ref="L147:L154" ca="1" si="27">IFERROR(VLOOKUP(J147,teamlookup,5,FALSE),"")</f>
        <v>Sheff+D</v>
      </c>
      <c r="M147" s="123">
        <f ca="1">IFERROR(INDIRECT(CONCATENATE("Distance!$T",A147)),"")</f>
        <v>4.8099999999999996</v>
      </c>
      <c r="N147" s="108">
        <f ca="1">IFERROR(IF(M147&lt;A149,"",VLOOKUP(VLOOKUP(M147,A149:B152,2,TRUE),Points!$H$1:$I$5,2,FALSE)),"")</f>
        <v>3</v>
      </c>
      <c r="P147" s="66">
        <f ca="1">IFERROR(IF(OR(C147=0,C147="",F147=0,F147="",F147="X"),0,VLOOKUP(B147,INDIRECT(MatchDay!$W$2),2,FALSE)),"")</f>
        <v>8</v>
      </c>
      <c r="Q147" s="66">
        <f ca="1">IFERROR(IF(OR(J147=0,J147="",M147=0,M147="",M147="X"),0,VLOOKUP(I147,INDIRECT(MatchDay!$W$2),3,FALSE)),"")</f>
        <v>6</v>
      </c>
      <c r="R147" s="219">
        <f ca="1">COUNTIF(C147,"&gt;0")</f>
        <v>1</v>
      </c>
      <c r="S147" s="66">
        <f ca="1">IFERROR(IF(C147&gt;88,1,0),0)</f>
        <v>0</v>
      </c>
    </row>
    <row r="148" spans="1:19" x14ac:dyDescent="0.35">
      <c r="A148" s="116" t="s">
        <v>55</v>
      </c>
      <c r="B148" s="117">
        <f ca="1">IFERROR(INDIRECT(CONCATENATE("Distance!$d",A147+1)),"")</f>
        <v>2</v>
      </c>
      <c r="C148" s="117">
        <f ca="1">IFERROR(INDIRECT(CONCATENATE("Distance!$E",A147+1)),"")</f>
        <v>3</v>
      </c>
      <c r="D148" s="183" t="str">
        <f ca="1">IFERROR(INDIRECT(CONCATENATE("Distance!$F",$A147+1)),"")</f>
        <v>HASTIE Eve</v>
      </c>
      <c r="E148" s="64" t="str">
        <f t="shared" ca="1" si="26"/>
        <v>York</v>
      </c>
      <c r="F148" s="123">
        <f ca="1">IFERROR(INDIRECT(CONCATENATE("Distance!$H",A147+1)),"")</f>
        <v>4.7</v>
      </c>
      <c r="G148" s="108">
        <f ca="1">IFERROR(IF(F148&lt;A149,"",VLOOKUP(VLOOKUP(F148,A149:B152,2,TRUE),Points!$H$1:$I$5,2,FALSE)),"")</f>
        <v>3</v>
      </c>
      <c r="H148" s="67"/>
      <c r="I148" s="117">
        <f ca="1">IFERROR(INDIRECT(CONCATENATE("Distance!$j",A147+1)),"")</f>
        <v>2</v>
      </c>
      <c r="J148" s="117">
        <f ca="1">IFERROR(INDIRECT(CONCATENATE("Distance!$k",A147+1)),"")</f>
        <v>33</v>
      </c>
      <c r="K148" s="183" t="str">
        <f ca="1">IFERROR(INDIRECT(CONCATENATE("Distance!$L",$A147+1)),"")</f>
        <v>MAUDE Charlotte</v>
      </c>
      <c r="L148" s="64" t="str">
        <f t="shared" ca="1" si="27"/>
        <v>York</v>
      </c>
      <c r="M148" s="123">
        <f ca="1">IFERROR(INDIRECT(CONCATENATE("Distance!$T",A147+1)),"")</f>
        <v>4.24</v>
      </c>
      <c r="N148" s="108" t="str">
        <f ca="1">IFERROR(IF(M148&lt;A149,"",VLOOKUP(VLOOKUP(M148,A149:B152,2,TRUE),Points!$H$1:$I$5,2,FALSE)),"")</f>
        <v/>
      </c>
      <c r="P148" s="66">
        <f ca="1">IFERROR(IF(OR(C148=0,C148="",F148=0,F148="",F148="X"),0,VLOOKUP(B148,INDIRECT(MatchDay!$W$2),2,FALSE)),"")</f>
        <v>6</v>
      </c>
      <c r="Q148" s="66">
        <f ca="1">IFERROR(IF(OR(J148=0,J148="",M148=0,M148="",M148="X"),0,VLOOKUP(I148,INDIRECT(MatchDay!$W$2),3,FALSE)),"")</f>
        <v>4</v>
      </c>
    </row>
    <row r="149" spans="1:19" x14ac:dyDescent="0.35">
      <c r="A149" s="118">
        <f>IFERROR(VLOOKUP(A145,standards,6,FALSE),"-")</f>
        <v>4.4800000000000004</v>
      </c>
      <c r="B149" s="117">
        <f ca="1">IFERROR(INDIRECT(CONCATENATE("Distance!$d",A147+2)),"")</f>
        <v>3</v>
      </c>
      <c r="C149" s="117">
        <f ca="1">IFERROR(INDIRECT(CONCATENATE("Distance!$E",A147+2)),"")</f>
        <v>44</v>
      </c>
      <c r="D149" s="183" t="str">
        <f ca="1">IFERROR(INDIRECT(CONCATENATE("Distance!$F",$A147+2)),"")</f>
        <v>MANNION Grace</v>
      </c>
      <c r="E149" s="64" t="str">
        <f t="shared" ca="1" si="26"/>
        <v>M'bro</v>
      </c>
      <c r="F149" s="123">
        <f ca="1">IFERROR(INDIRECT(CONCATENATE("Distance!$H",A147+2)),"")</f>
        <v>3.87</v>
      </c>
      <c r="G149" s="108" t="str">
        <f ca="1">IFERROR(IF(F149&lt;A149,"",VLOOKUP(VLOOKUP(F149,A149:B152,2,TRUE),Points!$H$1:$I$5,2,FALSE)),"")</f>
        <v/>
      </c>
      <c r="H149" s="67"/>
      <c r="I149" s="117">
        <f ca="1">IFERROR(INDIRECT(CONCATENATE("Distance!$j",A147+2)),"")</f>
        <v>3</v>
      </c>
      <c r="J149" s="117">
        <f ca="1">IFERROR(INDIRECT(CONCATENATE("Distance!$k",A147+2)),"")</f>
        <v>4</v>
      </c>
      <c r="K149" s="183" t="str">
        <f ca="1">IFERROR(INDIRECT(CONCATENATE("Distance!$L",$A147+2)),"")</f>
        <v>PYE Naiomi</v>
      </c>
      <c r="L149" s="64" t="str">
        <f t="shared" ca="1" si="27"/>
        <v>M'bro</v>
      </c>
      <c r="M149" s="123">
        <f ca="1">IFERROR(INDIRECT(CONCATENATE("Distance!$T",A147+2)),"")</f>
        <v>3.57</v>
      </c>
      <c r="N149" s="108" t="str">
        <f ca="1">IFERROR(IF(M149&lt;A149,"",VLOOKUP(VLOOKUP(M149,A149:B152,2,TRUE),Points!$H$1:$I$5,2,FALSE)),"")</f>
        <v/>
      </c>
      <c r="P149" s="66">
        <f ca="1">IFERROR(IF(OR(C149=0,C149="",F149=0,F149="",F149="X"),0,VLOOKUP(B149,INDIRECT(MatchDay!$W$2),2,FALSE)),"")</f>
        <v>5</v>
      </c>
      <c r="Q149" s="66">
        <f ca="1">IFERROR(IF(OR(J149=0,J149="",M149=0,M149="",M149="X"),0,VLOOKUP(I149,INDIRECT(MatchDay!$W$2),3,FALSE)),"")</f>
        <v>3</v>
      </c>
    </row>
    <row r="150" spans="1:19" x14ac:dyDescent="0.35">
      <c r="A150" s="118">
        <f>IFERROR(VLOOKUP(A145,standards,5,FALSE),"-")</f>
        <v>4.7</v>
      </c>
      <c r="B150" s="117">
        <f ca="1">IFERROR(INDIRECT(CONCATENATE("Distance!$d",A147+3)),"")</f>
        <v>4</v>
      </c>
      <c r="C150" s="117">
        <f ca="1">IFERROR(INDIRECT(CONCATENATE("Distance!$E",A147+3)),"")</f>
        <v>1</v>
      </c>
      <c r="D150" s="183" t="str">
        <f ca="1">IFERROR(INDIRECT(CONCATENATE("Distance!$F",$A147+3)),"")</f>
        <v>BRIDDON Missy</v>
      </c>
      <c r="E150" s="64" t="str">
        <f t="shared" ca="1" si="26"/>
        <v>C'field</v>
      </c>
      <c r="F150" s="123">
        <f ca="1">IFERROR(INDIRECT(CONCATENATE("Distance!$H",A147+3)),"")</f>
        <v>3.82</v>
      </c>
      <c r="G150" s="108" t="str">
        <f ca="1">IFERROR(IF(F150&lt;A149,"",VLOOKUP(VLOOKUP(F150,A149:B152,2,TRUE),Points!$H$1:$I$5,2,FALSE)),"")</f>
        <v/>
      </c>
      <c r="H150" s="67"/>
      <c r="I150" s="117">
        <f ca="1">IFERROR(INDIRECT(CONCATENATE("Distance!$j",A147+3)),"")</f>
        <v>4</v>
      </c>
      <c r="J150" s="117">
        <f ca="1">IFERROR(INDIRECT(CONCATENATE("Distance!$k",A147+3)),"")</f>
        <v>11</v>
      </c>
      <c r="K150" s="183" t="str">
        <f ca="1">IFERROR(INDIRECT(CONCATENATE("Distance!$L",$A147+3)),"")</f>
        <v>ROGERS Emily</v>
      </c>
      <c r="L150" s="64" t="str">
        <f t="shared" ca="1" si="27"/>
        <v>C'field</v>
      </c>
      <c r="M150" s="123">
        <f ca="1">IFERROR(INDIRECT(CONCATENATE("Distance!$T",A147+3)),"")</f>
        <v>3.49</v>
      </c>
      <c r="N150" s="108" t="str">
        <f ca="1">IFERROR(IF(M150&lt;A149,"",VLOOKUP(VLOOKUP(M150,A149:B152,2,TRUE),Points!$H$1:$I$5,2,FALSE)),"")</f>
        <v/>
      </c>
      <c r="P150" s="66">
        <f ca="1">IFERROR(IF(OR(C150=0,C150="",F150=0,F150="",F150="X"),0,VLOOKUP(B150,INDIRECT(MatchDay!$W$2),2,FALSE)),"")</f>
        <v>4</v>
      </c>
      <c r="Q150" s="66">
        <f ca="1">IFERROR(IF(OR(J150=0,J150="",M150=0,M150="",M150="X"),0,VLOOKUP(I150,INDIRECT(MatchDay!$W$2),3,FALSE)),"")</f>
        <v>2</v>
      </c>
    </row>
    <row r="151" spans="1:19" x14ac:dyDescent="0.35">
      <c r="A151" s="118">
        <f>IFERROR(VLOOKUP(A145,standards,4,FALSE),"-")</f>
        <v>4.9000000000000004</v>
      </c>
      <c r="B151" s="117">
        <f ca="1">IFERROR(INDIRECT(CONCATENATE("Distance!$d",A147+4)),"")</f>
        <v>5</v>
      </c>
      <c r="C151" s="117">
        <f ca="1">IFERROR(INDIRECT(CONCATENATE("Distance!$E",A147+4)),"")</f>
        <v>55</v>
      </c>
      <c r="D151" s="183" t="str">
        <f ca="1">IFERROR(INDIRECT(CONCATENATE("Distance!$F",$A147+4)),"")</f>
        <v>WHITTAKER Millie</v>
      </c>
      <c r="E151" s="64" t="str">
        <f t="shared" ca="1" si="26"/>
        <v>Scun</v>
      </c>
      <c r="F151" s="123">
        <f ca="1">IFERROR(INDIRECT(CONCATENATE("Distance!$H",A147+4)),"")</f>
        <v>3.24</v>
      </c>
      <c r="G151" s="108" t="str">
        <f ca="1">IFERROR(IF(F151&lt;A149,"",VLOOKUP(VLOOKUP(F151,A149:B152,2,TRUE),Points!$H$1:$I$5,2,FALSE)),"")</f>
        <v/>
      </c>
      <c r="H151" s="67"/>
      <c r="I151" s="117">
        <f ca="1">IFERROR(INDIRECT(CONCATENATE("Distance!$j",A147+4)),"")</f>
        <v>5</v>
      </c>
      <c r="J151" s="117">
        <f ca="1">IFERROR(INDIRECT(CONCATENATE("Distance!$k",A147+4)),"")</f>
        <v>5</v>
      </c>
      <c r="K151" s="183" t="str">
        <f ca="1">IFERROR(INDIRECT(CONCATENATE("Distance!$L",$A147+4)),"")</f>
        <v>LINGARD Alice</v>
      </c>
      <c r="L151" s="64" t="str">
        <f t="shared" ca="1" si="27"/>
        <v>Scun</v>
      </c>
      <c r="M151" s="123">
        <f ca="1">IFERROR(INDIRECT(CONCATENATE("Distance!$T",A147+4)),"")</f>
        <v>3.11</v>
      </c>
      <c r="N151" s="108" t="str">
        <f ca="1">IFERROR(IF(M151&lt;A149,"",VLOOKUP(VLOOKUP(M151,A149:B152,2,TRUE),Points!$H$1:$I$5,2,FALSE)),"")</f>
        <v/>
      </c>
      <c r="P151" s="66">
        <f ca="1">IFERROR(IF(OR(C151=0,C151="",F151=0,F151="",F151="X"),0,VLOOKUP(B151,INDIRECT(MatchDay!$W$2),2,FALSE)),"")</f>
        <v>3</v>
      </c>
      <c r="Q151" s="66">
        <f ca="1">IFERROR(IF(OR(J151=0,J151="",M151=0,M151="",M151="X"),0,VLOOKUP(I151,INDIRECT(MatchDay!$W$2),3,FALSE)),"")</f>
        <v>1</v>
      </c>
    </row>
    <row r="152" spans="1:19" x14ac:dyDescent="0.35">
      <c r="A152" s="118">
        <f>IFERROR(VLOOKUP(A145,standards,3,FALSE),"-")</f>
        <v>5.05</v>
      </c>
      <c r="B152" s="117">
        <f ca="1">IFERROR(INDIRECT(CONCATENATE("Distance!$d",A147+5)),"")</f>
        <v>6</v>
      </c>
      <c r="C152" s="117" t="str">
        <f ca="1">IFERROR(INDIRECT(CONCATENATE("Distance!$E",A147+5)),"")</f>
        <v/>
      </c>
      <c r="D152" s="183" t="str">
        <f ca="1">IFERROR(INDIRECT(CONCATENATE("Distance!$F",$A147+5)),"")</f>
        <v/>
      </c>
      <c r="E152" s="64" t="str">
        <f t="shared" ca="1" si="26"/>
        <v/>
      </c>
      <c r="F152" s="123" t="str">
        <f ca="1">IFERROR(INDIRECT(CONCATENATE("Distance!$H",A147+5)),"")</f>
        <v/>
      </c>
      <c r="G152" s="108" t="str">
        <f ca="1">IFERROR(IF(F152&lt;A149,"",VLOOKUP(VLOOKUP(F152,A149:B152,2,TRUE),Points!$H$1:$I$5,2,FALSE)),"")</f>
        <v/>
      </c>
      <c r="H152" s="67"/>
      <c r="I152" s="117">
        <f ca="1">IFERROR(INDIRECT(CONCATENATE("Distance!$j",A147+5)),"")</f>
        <v>6</v>
      </c>
      <c r="J152" s="117" t="str">
        <f ca="1">IFERROR(INDIRECT(CONCATENATE("Distance!$k",A147+5)),"")</f>
        <v/>
      </c>
      <c r="K152" s="183" t="str">
        <f ca="1">IFERROR(INDIRECT(CONCATENATE("Distance!$L",$A147+5)),"")</f>
        <v/>
      </c>
      <c r="L152" s="64" t="str">
        <f t="shared" ca="1" si="27"/>
        <v/>
      </c>
      <c r="M152" s="123" t="str">
        <f ca="1">IFERROR(INDIRECT(CONCATENATE("Distance!$T",A147+5)),"")</f>
        <v/>
      </c>
      <c r="N152" s="108" t="str">
        <f ca="1">IFERROR(IF(M152&lt;A149,"",VLOOKUP(VLOOKUP(M152,A149:B152,2,TRUE),Points!$H$1:$I$5,2,FALSE)),"")</f>
        <v/>
      </c>
      <c r="P152" s="66">
        <f ca="1">IFERROR(IF(OR(C152=0,C152="",F152=0,F152="",F152="X"),0,VLOOKUP(B152,INDIRECT(MatchDay!$W$2),2,FALSE)),"")</f>
        <v>0</v>
      </c>
      <c r="Q152" s="66">
        <f ca="1">IFERROR(IF(OR(J152=0,J152="",M152=0,M152="",M152="X"),0,VLOOKUP(I152,INDIRECT(MatchDay!$W$2),3,FALSE)),"")</f>
        <v>0</v>
      </c>
    </row>
    <row r="153" spans="1:19" x14ac:dyDescent="0.35">
      <c r="A153" s="116" t="s">
        <v>204</v>
      </c>
      <c r="B153" s="117">
        <f ca="1">IFERROR(INDIRECT(CONCATENATE("Distance!$d",A147+6)),"")</f>
        <v>7</v>
      </c>
      <c r="C153" s="117" t="str">
        <f ca="1">IFERROR(INDIRECT(CONCATENATE("Distance!$E",A147+6)),"")</f>
        <v/>
      </c>
      <c r="D153" s="183" t="str">
        <f ca="1">IFERROR(INDIRECT(CONCATENATE("Distance!$F",$A147+6)),"")</f>
        <v/>
      </c>
      <c r="E153" s="64" t="str">
        <f t="shared" ca="1" si="26"/>
        <v/>
      </c>
      <c r="F153" s="123" t="str">
        <f ca="1">IFERROR(INDIRECT(CONCATENATE("Distance!$H",A147+6)),"")</f>
        <v/>
      </c>
      <c r="G153" s="108" t="str">
        <f ca="1">IFERROR(IF(F153&lt;A149,"",VLOOKUP(VLOOKUP(F153,A149:B152,2,TRUE),Points!$H$1:$I$5,2,FALSE)),"")</f>
        <v/>
      </c>
      <c r="H153" s="67"/>
      <c r="I153" s="117">
        <f ca="1">IFERROR(INDIRECT(CONCATENATE("Distance!$j",A147+6)),"")</f>
        <v>7</v>
      </c>
      <c r="J153" s="117" t="str">
        <f ca="1">IFERROR(INDIRECT(CONCATENATE("Distance!$k",A147+6)),"")</f>
        <v/>
      </c>
      <c r="K153" s="183" t="str">
        <f ca="1">IFERROR(INDIRECT(CONCATENATE("Distance!$L",$A147+6)),"")</f>
        <v/>
      </c>
      <c r="L153" s="64" t="str">
        <f t="shared" ca="1" si="27"/>
        <v/>
      </c>
      <c r="M153" s="123" t="str">
        <f ca="1">IFERROR(INDIRECT(CONCATENATE("Distance!$T",A147+6)),"")</f>
        <v/>
      </c>
      <c r="N153" s="108" t="str">
        <f ca="1">IFERROR(IF(M153&lt;A149,"",VLOOKUP(VLOOKUP(M153,A149:B152,2,TRUE),Points!$H$1:$I$5,2,FALSE)),"")</f>
        <v/>
      </c>
      <c r="P153" s="66">
        <f ca="1">IFERROR(IF(OR(C153=0,C153="",F153=0,F153="",F153="X"),0,VLOOKUP(B153,INDIRECT(MatchDay!$W$2),2,FALSE)),"")</f>
        <v>0</v>
      </c>
      <c r="Q153" s="66">
        <f ca="1">IFERROR(IF(OR(J153=0,J153="",M153=0,M153="",M153="X"),0,VLOOKUP(I153,INDIRECT(MatchDay!$W$2),3,FALSE)),"")</f>
        <v>0</v>
      </c>
    </row>
    <row r="154" spans="1:19" x14ac:dyDescent="0.35">
      <c r="A154" s="116">
        <f>IFERROR(VLOOKUP(A145,records,5,FALSE),"")</f>
        <v>5.63</v>
      </c>
      <c r="B154" s="117">
        <f ca="1">IFERROR(INDIRECT(CONCATENATE("Distance!$d",A147+7)),"")</f>
        <v>8</v>
      </c>
      <c r="C154" s="117" t="str">
        <f ca="1">IFERROR(INDIRECT(CONCATENATE("Distance!$E",A147+7)),"")</f>
        <v/>
      </c>
      <c r="D154" s="183" t="str">
        <f ca="1">IFERROR(INDIRECT(CONCATENATE("Distance!$F",$A147+7)),"")</f>
        <v/>
      </c>
      <c r="E154" s="64" t="str">
        <f t="shared" ca="1" si="26"/>
        <v/>
      </c>
      <c r="F154" s="123" t="str">
        <f ca="1">IFERROR(INDIRECT(CONCATENATE("Distance!$H",A147+7)),"")</f>
        <v/>
      </c>
      <c r="G154" s="108" t="str">
        <f ca="1">IFERROR(IF(F154&lt;A149,"",VLOOKUP(VLOOKUP(F154,A149:B152,2,TRUE),Points!$H$1:$I$5,2,FALSE)),"")</f>
        <v/>
      </c>
      <c r="H154" s="67"/>
      <c r="I154" s="117">
        <f ca="1">IFERROR(INDIRECT(CONCATENATE("Distance!$j",A147+7)),"")</f>
        <v>8</v>
      </c>
      <c r="J154" s="117" t="str">
        <f ca="1">IFERROR(INDIRECT(CONCATENATE("Distance!$k",A147+7)),"")</f>
        <v/>
      </c>
      <c r="K154" s="183" t="str">
        <f ca="1">IFERROR(INDIRECT(CONCATENATE("Distance!$L",$A147+7)),"")</f>
        <v/>
      </c>
      <c r="L154" s="64" t="str">
        <f t="shared" ca="1" si="27"/>
        <v/>
      </c>
      <c r="M154" s="123" t="str">
        <f ca="1">IFERROR(INDIRECT(CONCATENATE("Distance!$T",A147+7)),"")</f>
        <v/>
      </c>
      <c r="N154" s="108" t="str">
        <f ca="1">IFERROR(IF(M154&lt;A149,"",VLOOKUP(VLOOKUP(M154,A149:B152,2,TRUE),Points!$H$1:$I$5,2,FALSE)),"")</f>
        <v/>
      </c>
      <c r="P154" s="66">
        <f ca="1">IFERROR(IF(OR(C154=0,C154="",F154=0,F154="",F154="X"),0,VLOOKUP(B154,INDIRECT(MatchDay!$W$2),2,FALSE)),"")</f>
        <v>0</v>
      </c>
      <c r="Q154" s="66">
        <f ca="1">IFERROR(IF(OR(J154=0,J154="",M154=0,M154="",M154="X"),0,VLOOKUP(I154,INDIRECT(MatchDay!$W$2),3,FALSE)),"")</f>
        <v>0</v>
      </c>
    </row>
    <row r="156" spans="1:19" x14ac:dyDescent="0.35">
      <c r="A156" s="111" t="s">
        <v>299</v>
      </c>
      <c r="B156" s="112" t="str">
        <f>IFERROR(VLOOKUP(A156,timetables,2,FALSE)&amp;" "&amp;VLOOKUP(A156,timetables,3,FALSE)&amp;" A","")</f>
        <v>Long Jump U13 Girls A</v>
      </c>
      <c r="C156" s="112"/>
      <c r="F156" s="121" t="str">
        <f ca="1">IFERROR(IF(OR(F158=0,F158="",F158="X"),"",IF(F158&gt;A165,"REC",IF(F158=A165,"=Rec",""))),"")</f>
        <v/>
      </c>
      <c r="G156" s="198" t="str">
        <f ca="1">IFERROR(IF(OR(F158=0,F158="",F158="X"),"",IF(F158&gt;A165,"REC",IF(F158=A165,"=Rec",""))),"")</f>
        <v/>
      </c>
      <c r="I156" s="114" t="str">
        <f>IFERROR(VLOOKUP(A156,timetables,2,FALSE)&amp;" "&amp;VLOOKUP(A156,timetables,3,FALSE)&amp;" B","")</f>
        <v>Long Jump U13 Girls B</v>
      </c>
      <c r="J156" s="115"/>
      <c r="P156" s="66" t="s">
        <v>53</v>
      </c>
      <c r="Q156" s="66" t="s">
        <v>54</v>
      </c>
    </row>
    <row r="157" spans="1:19" x14ac:dyDescent="0.35">
      <c r="A157" s="82"/>
      <c r="B157" s="45" t="s">
        <v>230</v>
      </c>
      <c r="C157" s="45" t="s">
        <v>159</v>
      </c>
      <c r="D157" s="47" t="s">
        <v>227</v>
      </c>
      <c r="E157" s="47" t="s">
        <v>228</v>
      </c>
      <c r="F157" s="45" t="s">
        <v>229</v>
      </c>
      <c r="G157" s="126" t="s">
        <v>55</v>
      </c>
      <c r="H157" s="47"/>
      <c r="I157" s="45" t="s">
        <v>230</v>
      </c>
      <c r="J157" s="45" t="s">
        <v>159</v>
      </c>
      <c r="K157" s="47" t="s">
        <v>227</v>
      </c>
      <c r="L157" s="47" t="s">
        <v>228</v>
      </c>
      <c r="M157" s="45" t="s">
        <v>229</v>
      </c>
      <c r="N157" s="126" t="s">
        <v>55</v>
      </c>
    </row>
    <row r="158" spans="1:19" x14ac:dyDescent="0.35">
      <c r="A158" s="66">
        <f>IFERROR(VLOOKUP(A156,Distance!A:B,2,FALSE),"")</f>
        <v>475</v>
      </c>
      <c r="B158" s="117">
        <f ca="1">IFERROR(INDIRECT(CONCATENATE("Distance!$d",A158)),"")</f>
        <v>1</v>
      </c>
      <c r="C158" s="117">
        <f ca="1">IFERROR(INDIRECT(CONCATENATE("Distance!$E",A158)),"")</f>
        <v>3</v>
      </c>
      <c r="D158" s="183" t="str">
        <f ca="1">IFERROR(INDIRECT(CONCATENATE("Distance!$F",$A158)),"")</f>
        <v>MAUDE Emily</v>
      </c>
      <c r="E158" s="64" t="str">
        <f t="shared" ref="E158:E165" ca="1" si="28">IFERROR(VLOOKUP(C158,teamlookup,5,FALSE),"")</f>
        <v>York</v>
      </c>
      <c r="F158" s="123">
        <f ca="1">IFERROR(INDIRECT(CONCATENATE("Distance!$H",A158)),"")</f>
        <v>4.78</v>
      </c>
      <c r="G158" s="108">
        <f ca="1">IFERROR(IF(F158&lt;A160,"",VLOOKUP(VLOOKUP(F158,A160:B163,2,TRUE),Points!$H$1:$I$5,2,FALSE)),"")</f>
        <v>1</v>
      </c>
      <c r="H158" s="67"/>
      <c r="I158" s="117">
        <f ca="1">IFERROR(INDIRECT(CONCATENATE("Distance!$j",A158)),"")</f>
        <v>1</v>
      </c>
      <c r="J158" s="117">
        <f ca="1">IFERROR(INDIRECT(CONCATENATE("Distance!$k",A158)),"")</f>
        <v>33</v>
      </c>
      <c r="K158" s="183" t="str">
        <f ca="1">IFERROR(INDIRECT(CONCATENATE("Distance!$L",$A158)),"")</f>
        <v>WRIGHT Ella</v>
      </c>
      <c r="L158" s="64" t="str">
        <f t="shared" ref="L158:L165" ca="1" si="29">IFERROR(VLOOKUP(J158,teamlookup,5,FALSE),"")</f>
        <v>York</v>
      </c>
      <c r="M158" s="123">
        <f ca="1">IFERROR(INDIRECT(CONCATENATE("Distance!$T",A158)),"")</f>
        <v>3.79</v>
      </c>
      <c r="N158" s="108" t="str">
        <f ca="1">IFERROR(IF(M158&lt;A160,"",VLOOKUP(VLOOKUP(M158,A160:B163,2,TRUE),Points!$H$1:$I$5,2,FALSE)),"")</f>
        <v/>
      </c>
      <c r="P158" s="66">
        <f ca="1">IFERROR(IF(OR(C158=0,C158="",F158=0,F158="",F158="X"),0,VLOOKUP(B158,INDIRECT(MatchDay!$W$2),2,FALSE)),"")</f>
        <v>8</v>
      </c>
      <c r="Q158" s="66">
        <f ca="1">IFERROR(IF(OR(J158=0,J158="",M158=0,M158="",M158="X"),0,VLOOKUP(I158,INDIRECT(MatchDay!$W$2),3,FALSE)),"")</f>
        <v>6</v>
      </c>
      <c r="R158" s="219">
        <f ca="1">COUNTIF(C158,"&gt;0")</f>
        <v>1</v>
      </c>
      <c r="S158" s="66">
        <f ca="1">IFERROR(IF(C158&gt;88,1,0),0)</f>
        <v>0</v>
      </c>
    </row>
    <row r="159" spans="1:19" x14ac:dyDescent="0.35">
      <c r="A159" s="116" t="s">
        <v>55</v>
      </c>
      <c r="B159" s="117">
        <f ca="1">IFERROR(INDIRECT(CONCATENATE("Distance!$d",A158+1)),"")</f>
        <v>2</v>
      </c>
      <c r="C159" s="117">
        <f ca="1">IFERROR(INDIRECT(CONCATENATE("Distance!$E",A158+1)),"")</f>
        <v>1</v>
      </c>
      <c r="D159" s="183" t="str">
        <f ca="1">IFERROR(INDIRECT(CONCATENATE("Distance!$F",$A158+1)),"")</f>
        <v>FELLOWS Isabelle</v>
      </c>
      <c r="E159" s="64" t="str">
        <f t="shared" ca="1" si="28"/>
        <v>C'field</v>
      </c>
      <c r="F159" s="123">
        <f ca="1">IFERROR(INDIRECT(CONCATENATE("Distance!$H",A158+1)),"")</f>
        <v>3.9</v>
      </c>
      <c r="G159" s="108" t="str">
        <f ca="1">IFERROR(IF(F159&lt;A160,"",VLOOKUP(VLOOKUP(F159,A160:B163,2,TRUE),Points!$H$1:$I$5,2,FALSE)),"")</f>
        <v/>
      </c>
      <c r="H159" s="67"/>
      <c r="I159" s="117">
        <f ca="1">IFERROR(INDIRECT(CONCATENATE("Distance!$j",A158+1)),"")</f>
        <v>2</v>
      </c>
      <c r="J159" s="117">
        <f ca="1">IFERROR(INDIRECT(CONCATENATE("Distance!$k",A158+1)),"")</f>
        <v>11</v>
      </c>
      <c r="K159" s="183" t="str">
        <f ca="1">IFERROR(INDIRECT(CONCATENATE("Distance!$L",$A158+1)),"")</f>
        <v>HUMPHREYS Melissa</v>
      </c>
      <c r="L159" s="64" t="str">
        <f t="shared" ca="1" si="29"/>
        <v>C'field</v>
      </c>
      <c r="M159" s="123">
        <f ca="1">IFERROR(INDIRECT(CONCATENATE("Distance!$T",A158+1)),"")</f>
        <v>3.67</v>
      </c>
      <c r="N159" s="108" t="str">
        <f ca="1">IFERROR(IF(M159&lt;A160,"",VLOOKUP(VLOOKUP(M159,A160:B163,2,TRUE),Points!$H$1:$I$5,2,FALSE)),"")</f>
        <v/>
      </c>
      <c r="P159" s="66">
        <f ca="1">IFERROR(IF(OR(C159=0,C159="",F159=0,F159="",F159="X"),0,VLOOKUP(B159,INDIRECT(MatchDay!$W$2),2,FALSE)),"")</f>
        <v>6</v>
      </c>
      <c r="Q159" s="66">
        <f ca="1">IFERROR(IF(OR(J159=0,J159="",M159=0,M159="",M159="X"),0,VLOOKUP(I159,INDIRECT(MatchDay!$W$2),3,FALSE)),"")</f>
        <v>4</v>
      </c>
    </row>
    <row r="160" spans="1:19" x14ac:dyDescent="0.35">
      <c r="A160" s="118">
        <f>IFERROR(VLOOKUP(A156,standards,6,FALSE),"-")</f>
        <v>3.95</v>
      </c>
      <c r="B160" s="117">
        <f ca="1">IFERROR(INDIRECT(CONCATENATE("Distance!$d",A158+2)),"")</f>
        <v>3</v>
      </c>
      <c r="C160" s="117">
        <f ca="1">IFERROR(INDIRECT(CONCATENATE("Distance!$E",A158+2)),"")</f>
        <v>4</v>
      </c>
      <c r="D160" s="183" t="str">
        <f ca="1">IFERROR(INDIRECT(CONCATENATE("Distance!$F",$A158+2)),"")</f>
        <v>WILMOT Amy</v>
      </c>
      <c r="E160" s="64" t="str">
        <f t="shared" ca="1" si="28"/>
        <v>M'bro</v>
      </c>
      <c r="F160" s="123">
        <f ca="1">IFERROR(INDIRECT(CONCATENATE("Distance!$H",A158+2)),"")</f>
        <v>3.56</v>
      </c>
      <c r="G160" s="108" t="str">
        <f ca="1">IFERROR(IF(F160&lt;A160,"",VLOOKUP(VLOOKUP(F160,A160:B163,2,TRUE),Points!$H$1:$I$5,2,FALSE)),"")</f>
        <v/>
      </c>
      <c r="H160" s="67"/>
      <c r="I160" s="117">
        <f ca="1">IFERROR(INDIRECT(CONCATENATE("Distance!$j",A158+2)),"")</f>
        <v>3</v>
      </c>
      <c r="J160" s="117">
        <f ca="1">IFERROR(INDIRECT(CONCATENATE("Distance!$k",A158+2)),"")</f>
        <v>44</v>
      </c>
      <c r="K160" s="183" t="str">
        <f ca="1">IFERROR(INDIRECT(CONCATENATE("Distance!$L",$A158+2)),"")</f>
        <v>SULLOCK Beth</v>
      </c>
      <c r="L160" s="64" t="str">
        <f t="shared" ca="1" si="29"/>
        <v>M'bro</v>
      </c>
      <c r="M160" s="123">
        <f ca="1">IFERROR(INDIRECT(CONCATENATE("Distance!$T",A158+2)),"")</f>
        <v>3.53</v>
      </c>
      <c r="N160" s="108" t="str">
        <f ca="1">IFERROR(IF(M160&lt;A160,"",VLOOKUP(VLOOKUP(M160,A160:B163,2,TRUE),Points!$H$1:$I$5,2,FALSE)),"")</f>
        <v/>
      </c>
      <c r="P160" s="66">
        <f ca="1">IFERROR(IF(OR(C160=0,C160="",F160=0,F160="",F160="X"),0,VLOOKUP(B160,INDIRECT(MatchDay!$W$2),2,FALSE)),"")</f>
        <v>5</v>
      </c>
      <c r="Q160" s="66">
        <f ca="1">IFERROR(IF(OR(J160=0,J160="",M160=0,M160="",M160="X"),0,VLOOKUP(I160,INDIRECT(MatchDay!$W$2),3,FALSE)),"")</f>
        <v>3</v>
      </c>
    </row>
    <row r="161" spans="1:19" x14ac:dyDescent="0.35">
      <c r="A161" s="118">
        <f>IFERROR(VLOOKUP(A156,standards,5,FALSE),"-")</f>
        <v>4.2</v>
      </c>
      <c r="B161" s="117">
        <f ca="1">IFERROR(INDIRECT(CONCATENATE("Distance!$d",A158+3)),"")</f>
        <v>4</v>
      </c>
      <c r="C161" s="117">
        <f ca="1">IFERROR(INDIRECT(CONCATENATE("Distance!$E",A158+3)),"")</f>
        <v>5</v>
      </c>
      <c r="D161" s="183" t="str">
        <f ca="1">IFERROR(INDIRECT(CONCATENATE("Distance!$F",$A158+3)),"")</f>
        <v>STOW Libby</v>
      </c>
      <c r="E161" s="64" t="str">
        <f t="shared" ca="1" si="28"/>
        <v>Scun</v>
      </c>
      <c r="F161" s="123">
        <f ca="1">IFERROR(INDIRECT(CONCATENATE("Distance!$H",A158+3)),"")</f>
        <v>3.27</v>
      </c>
      <c r="G161" s="108" t="str">
        <f ca="1">IFERROR(IF(F161&lt;A160,"",VLOOKUP(VLOOKUP(F161,A160:B163,2,TRUE),Points!$H$1:$I$5,2,FALSE)),"")</f>
        <v/>
      </c>
      <c r="H161" s="67"/>
      <c r="I161" s="117">
        <f ca="1">IFERROR(INDIRECT(CONCATENATE("Distance!$j",A158+3)),"")</f>
        <v>4</v>
      </c>
      <c r="J161" s="117">
        <f ca="1">IFERROR(INDIRECT(CONCATENATE("Distance!$k",A158+3)),"")</f>
        <v>2</v>
      </c>
      <c r="K161" s="183" t="str">
        <f ca="1">IFERROR(INDIRECT(CONCATENATE("Distance!$L",$A158+3)),"")</f>
        <v>COOPER Amy</v>
      </c>
      <c r="L161" s="64" t="str">
        <f t="shared" ca="1" si="29"/>
        <v>Sheff+D</v>
      </c>
      <c r="M161" s="123">
        <f ca="1">IFERROR(INDIRECT(CONCATENATE("Distance!$T",A158+3)),"")</f>
        <v>3.01</v>
      </c>
      <c r="N161" s="108" t="str">
        <f ca="1">IFERROR(IF(M161&lt;A160,"",VLOOKUP(VLOOKUP(M161,A160:B163,2,TRUE),Points!$H$1:$I$5,2,FALSE)),"")</f>
        <v/>
      </c>
      <c r="P161" s="66">
        <f ca="1">IFERROR(IF(OR(C161=0,C161="",F161=0,F161="",F161="X"),0,VLOOKUP(B161,INDIRECT(MatchDay!$W$2),2,FALSE)),"")</f>
        <v>4</v>
      </c>
      <c r="Q161" s="66">
        <f ca="1">IFERROR(IF(OR(J161=0,J161="",M161=0,M161="",M161="X"),0,VLOOKUP(I161,INDIRECT(MatchDay!$W$2),3,FALSE)),"")</f>
        <v>2</v>
      </c>
    </row>
    <row r="162" spans="1:19" x14ac:dyDescent="0.35">
      <c r="A162" s="118">
        <f>IFERROR(VLOOKUP(A156,standards,4,FALSE),"-")</f>
        <v>4.3499999999999996</v>
      </c>
      <c r="B162" s="117">
        <f ca="1">IFERROR(INDIRECT(CONCATENATE("Distance!$d",A158+4)),"")</f>
        <v>5</v>
      </c>
      <c r="C162" s="117">
        <f ca="1">IFERROR(INDIRECT(CONCATENATE("Distance!$E",A158+4)),"")</f>
        <v>22</v>
      </c>
      <c r="D162" s="183" t="str">
        <f ca="1">IFERROR(INDIRECT(CONCATENATE("Distance!$F",$A158+4)),"")</f>
        <v>GROVE Abigail</v>
      </c>
      <c r="E162" s="64" t="str">
        <f t="shared" ca="1" si="28"/>
        <v>Sheff+D</v>
      </c>
      <c r="F162" s="123">
        <f ca="1">IFERROR(INDIRECT(CONCATENATE("Distance!$H",A158+4)),"")</f>
        <v>3.05</v>
      </c>
      <c r="G162" s="108" t="str">
        <f ca="1">IFERROR(IF(F162&lt;A160,"",VLOOKUP(VLOOKUP(F162,A160:B163,2,TRUE),Points!$H$1:$I$5,2,FALSE)),"")</f>
        <v/>
      </c>
      <c r="H162" s="67"/>
      <c r="I162" s="117">
        <f ca="1">IFERROR(INDIRECT(CONCATENATE("Distance!$j",A158+4)),"")</f>
        <v>5</v>
      </c>
      <c r="J162" s="117">
        <f ca="1">IFERROR(INDIRECT(CONCATENATE("Distance!$k",A158+4)),"")</f>
        <v>55</v>
      </c>
      <c r="K162" s="183" t="str">
        <f ca="1">IFERROR(INDIRECT(CONCATENATE("Distance!$L",$A158+4)),"")</f>
        <v>HAYES Zara</v>
      </c>
      <c r="L162" s="64" t="str">
        <f t="shared" ca="1" si="29"/>
        <v>Scun</v>
      </c>
      <c r="M162" s="123">
        <f ca="1">IFERROR(INDIRECT(CONCATENATE("Distance!$T",A158+4)),"")</f>
        <v>2.98</v>
      </c>
      <c r="N162" s="108" t="str">
        <f ca="1">IFERROR(IF(M162&lt;A160,"",VLOOKUP(VLOOKUP(M162,A160:B163,2,TRUE),Points!$H$1:$I$5,2,FALSE)),"")</f>
        <v/>
      </c>
      <c r="P162" s="66">
        <f ca="1">IFERROR(IF(OR(C162=0,C162="",F162=0,F162="",F162="X"),0,VLOOKUP(B162,INDIRECT(MatchDay!$W$2),2,FALSE)),"")</f>
        <v>3</v>
      </c>
      <c r="Q162" s="66">
        <f ca="1">IFERROR(IF(OR(J162=0,J162="",M162=0,M162="",M162="X"),0,VLOOKUP(I162,INDIRECT(MatchDay!$W$2),3,FALSE)),"")</f>
        <v>1</v>
      </c>
    </row>
    <row r="163" spans="1:19" x14ac:dyDescent="0.35">
      <c r="A163" s="118">
        <f>IFERROR(VLOOKUP(A156,standards,3,FALSE),"-")</f>
        <v>4.5</v>
      </c>
      <c r="B163" s="117">
        <f ca="1">IFERROR(INDIRECT(CONCATENATE("Distance!$d",A158+5)),"")</f>
        <v>6</v>
      </c>
      <c r="C163" s="117" t="str">
        <f ca="1">IFERROR(INDIRECT(CONCATENATE("Distance!$E",A158+5)),"")</f>
        <v/>
      </c>
      <c r="D163" s="183" t="str">
        <f ca="1">IFERROR(INDIRECT(CONCATENATE("Distance!$F",$A158+5)),"")</f>
        <v/>
      </c>
      <c r="E163" s="64" t="str">
        <f t="shared" ca="1" si="28"/>
        <v/>
      </c>
      <c r="F163" s="123" t="str">
        <f ca="1">IFERROR(INDIRECT(CONCATENATE("Distance!$H",A158+5)),"")</f>
        <v/>
      </c>
      <c r="G163" s="108" t="str">
        <f ca="1">IFERROR(IF(F163&lt;A160,"",VLOOKUP(VLOOKUP(F163,A160:B163,2,TRUE),Points!$H$1:$I$5,2,FALSE)),"")</f>
        <v/>
      </c>
      <c r="H163" s="67"/>
      <c r="I163" s="117">
        <f ca="1">IFERROR(INDIRECT(CONCATENATE("Distance!$j",A158+5)),"")</f>
        <v>6</v>
      </c>
      <c r="J163" s="117" t="str">
        <f ca="1">IFERROR(INDIRECT(CONCATENATE("Distance!$k",A158+5)),"")</f>
        <v/>
      </c>
      <c r="K163" s="183" t="str">
        <f ca="1">IFERROR(INDIRECT(CONCATENATE("Distance!$L",$A158+5)),"")</f>
        <v/>
      </c>
      <c r="L163" s="64" t="str">
        <f t="shared" ca="1" si="29"/>
        <v/>
      </c>
      <c r="M163" s="123" t="str">
        <f ca="1">IFERROR(INDIRECT(CONCATENATE("Distance!$T",A158+5)),"")</f>
        <v/>
      </c>
      <c r="N163" s="108" t="str">
        <f ca="1">IFERROR(IF(M163&lt;A160,"",VLOOKUP(VLOOKUP(M163,A160:B163,2,TRUE),Points!$H$1:$I$5,2,FALSE)),"")</f>
        <v/>
      </c>
      <c r="P163" s="66">
        <f ca="1">IFERROR(IF(OR(C163=0,C163="",F163=0,F163="",F163="X"),0,VLOOKUP(B163,INDIRECT(MatchDay!$W$2),2,FALSE)),"")</f>
        <v>0</v>
      </c>
      <c r="Q163" s="66">
        <f ca="1">IFERROR(IF(OR(J163=0,J163="",M163=0,M163="",M163="X"),0,VLOOKUP(I163,INDIRECT(MatchDay!$W$2),3,FALSE)),"")</f>
        <v>0</v>
      </c>
    </row>
    <row r="164" spans="1:19" x14ac:dyDescent="0.35">
      <c r="A164" s="116" t="s">
        <v>204</v>
      </c>
      <c r="B164" s="117">
        <f ca="1">IFERROR(INDIRECT(CONCATENATE("Distance!$d",A158+6)),"")</f>
        <v>7</v>
      </c>
      <c r="C164" s="117" t="str">
        <f ca="1">IFERROR(INDIRECT(CONCATENATE("Distance!$E",A158+6)),"")</f>
        <v/>
      </c>
      <c r="D164" s="183" t="str">
        <f ca="1">IFERROR(INDIRECT(CONCATENATE("Distance!$F",$A158+6)),"")</f>
        <v/>
      </c>
      <c r="E164" s="64" t="str">
        <f t="shared" ca="1" si="28"/>
        <v/>
      </c>
      <c r="F164" s="123" t="str">
        <f ca="1">IFERROR(INDIRECT(CONCATENATE("Distance!$H",A158+6)),"")</f>
        <v/>
      </c>
      <c r="G164" s="108" t="str">
        <f ca="1">IFERROR(IF(F164&lt;A160,"",VLOOKUP(VLOOKUP(F164,A160:B163,2,TRUE),Points!$H$1:$I$5,2,FALSE)),"")</f>
        <v/>
      </c>
      <c r="H164" s="67"/>
      <c r="I164" s="117">
        <f ca="1">IFERROR(INDIRECT(CONCATENATE("Distance!$j",A158+6)),"")</f>
        <v>7</v>
      </c>
      <c r="J164" s="117" t="str">
        <f ca="1">IFERROR(INDIRECT(CONCATENATE("Distance!$k",A158+6)),"")</f>
        <v/>
      </c>
      <c r="K164" s="183" t="str">
        <f ca="1">IFERROR(INDIRECT(CONCATENATE("Distance!$L",$A158+6)),"")</f>
        <v/>
      </c>
      <c r="L164" s="64" t="str">
        <f t="shared" ca="1" si="29"/>
        <v/>
      </c>
      <c r="M164" s="123" t="str">
        <f ca="1">IFERROR(INDIRECT(CONCATENATE("Distance!$T",A158+6)),"")</f>
        <v/>
      </c>
      <c r="N164" s="108" t="str">
        <f ca="1">IFERROR(IF(M164&lt;A160,"",VLOOKUP(VLOOKUP(M164,A160:B163,2,TRUE),Points!$H$1:$I$5,2,FALSE)),"")</f>
        <v/>
      </c>
      <c r="P164" s="66">
        <f ca="1">IFERROR(IF(OR(C164=0,C164="",F164=0,F164="",F164="X"),0,VLOOKUP(B164,INDIRECT(MatchDay!$W$2),2,FALSE)),"")</f>
        <v>0</v>
      </c>
      <c r="Q164" s="66">
        <f ca="1">IFERROR(IF(OR(J164=0,J164="",M164=0,M164="",M164="X"),0,VLOOKUP(I164,INDIRECT(MatchDay!$W$2),3,FALSE)),"")</f>
        <v>0</v>
      </c>
    </row>
    <row r="165" spans="1:19" x14ac:dyDescent="0.35">
      <c r="A165" s="116">
        <f>IFERROR(VLOOKUP(A156,records,5,FALSE),"")</f>
        <v>5.16</v>
      </c>
      <c r="B165" s="117">
        <f ca="1">IFERROR(INDIRECT(CONCATENATE("Distance!$d",A158+7)),"")</f>
        <v>8</v>
      </c>
      <c r="C165" s="117" t="str">
        <f ca="1">IFERROR(INDIRECT(CONCATENATE("Distance!$E",A158+7)),"")</f>
        <v/>
      </c>
      <c r="D165" s="183" t="str">
        <f ca="1">IFERROR(INDIRECT(CONCATENATE("Distance!$F",$A158+7)),"")</f>
        <v/>
      </c>
      <c r="E165" s="64" t="str">
        <f t="shared" ca="1" si="28"/>
        <v/>
      </c>
      <c r="F165" s="123" t="str">
        <f ca="1">IFERROR(INDIRECT(CONCATENATE("Distance!$H",A158+7)),"")</f>
        <v/>
      </c>
      <c r="G165" s="108" t="str">
        <f ca="1">IFERROR(IF(F165&lt;A160,"",VLOOKUP(VLOOKUP(F165,A160:B163,2,TRUE),Points!$H$1:$I$5,2,FALSE)),"")</f>
        <v/>
      </c>
      <c r="H165" s="67"/>
      <c r="I165" s="117">
        <f ca="1">IFERROR(INDIRECT(CONCATENATE("Distance!$j",A158+7)),"")</f>
        <v>8</v>
      </c>
      <c r="J165" s="117" t="str">
        <f ca="1">IFERROR(INDIRECT(CONCATENATE("Distance!$k",A158+7)),"")</f>
        <v/>
      </c>
      <c r="K165" s="183" t="str">
        <f ca="1">IFERROR(INDIRECT(CONCATENATE("Distance!$L",$A158+7)),"")</f>
        <v/>
      </c>
      <c r="L165" s="64" t="str">
        <f t="shared" ca="1" si="29"/>
        <v/>
      </c>
      <c r="M165" s="123" t="str">
        <f ca="1">IFERROR(INDIRECT(CONCATENATE("Distance!$T",A158+7)),"")</f>
        <v/>
      </c>
      <c r="N165" s="108" t="str">
        <f ca="1">IFERROR(IF(M165&lt;A160,"",VLOOKUP(VLOOKUP(M165,A160:B163,2,TRUE),Points!$H$1:$I$5,2,FALSE)),"")</f>
        <v/>
      </c>
      <c r="P165" s="66">
        <f ca="1">IFERROR(IF(OR(C165=0,C165="",F165=0,F165="",F165="X"),0,VLOOKUP(B165,INDIRECT(MatchDay!$W$2),2,FALSE)),"")</f>
        <v>0</v>
      </c>
      <c r="Q165" s="66">
        <f ca="1">IFERROR(IF(OR(J165=0,J165="",M165=0,M165="",M165="X"),0,VLOOKUP(I165,INDIRECT(MatchDay!$W$2),3,FALSE)),"")</f>
        <v>0</v>
      </c>
    </row>
    <row r="167" spans="1:19" x14ac:dyDescent="0.35">
      <c r="A167" s="111" t="s">
        <v>300</v>
      </c>
      <c r="B167" s="112" t="str">
        <f>IFERROR(VLOOKUP(A167,timetables,2,FALSE)&amp;" "&amp;VLOOKUP(A167,timetables,3,FALSE)&amp;" A","")</f>
        <v>Long Jump U15 Boys A</v>
      </c>
      <c r="C167" s="112"/>
      <c r="F167" s="121" t="str">
        <f ca="1">IFERROR(IF(OR(F169=0,F169="",F169="X"),"",IF(F169&gt;A176,"REC",IF(F169=A176,"=Rec",""))),"")</f>
        <v/>
      </c>
      <c r="G167" s="198" t="str">
        <f ca="1">IFERROR(IF(OR(F169=0,F169="",F169="X"),"",IF(F169&gt;A176,"REC",IF(F169=A176,"=Rec",""))),"")</f>
        <v/>
      </c>
      <c r="I167" s="114" t="str">
        <f>IFERROR(VLOOKUP(A167,timetables,2,FALSE)&amp;" "&amp;VLOOKUP(A167,timetables,3,FALSE)&amp;" B","")</f>
        <v>Long Jump U15 Boys B</v>
      </c>
      <c r="J167" s="115"/>
      <c r="P167" s="66" t="s">
        <v>53</v>
      </c>
      <c r="Q167" s="66" t="s">
        <v>54</v>
      </c>
    </row>
    <row r="168" spans="1:19" x14ac:dyDescent="0.35">
      <c r="A168" s="82"/>
      <c r="B168" s="45" t="s">
        <v>230</v>
      </c>
      <c r="C168" s="45" t="s">
        <v>159</v>
      </c>
      <c r="D168" s="47" t="s">
        <v>227</v>
      </c>
      <c r="E168" s="47" t="s">
        <v>228</v>
      </c>
      <c r="F168" s="45" t="s">
        <v>229</v>
      </c>
      <c r="G168" s="126" t="s">
        <v>55</v>
      </c>
      <c r="H168" s="47"/>
      <c r="I168" s="45" t="s">
        <v>230</v>
      </c>
      <c r="J168" s="45" t="s">
        <v>159</v>
      </c>
      <c r="K168" s="47" t="s">
        <v>227</v>
      </c>
      <c r="L168" s="47" t="s">
        <v>228</v>
      </c>
      <c r="M168" s="45" t="s">
        <v>229</v>
      </c>
      <c r="N168" s="126" t="s">
        <v>55</v>
      </c>
    </row>
    <row r="169" spans="1:19" x14ac:dyDescent="0.35">
      <c r="A169" s="66">
        <f>IFERROR(VLOOKUP(A167,Distance!A:B,2,FALSE),"")</f>
        <v>507</v>
      </c>
      <c r="B169" s="117">
        <f ca="1">IFERROR(INDIRECT(CONCATENATE("Distance!$d",A169)),"")</f>
        <v>1</v>
      </c>
      <c r="C169" s="117">
        <f ca="1">IFERROR(INDIRECT(CONCATENATE("Distance!$E",A169)),"")</f>
        <v>2</v>
      </c>
      <c r="D169" s="183" t="str">
        <f ca="1">IFERROR(INDIRECT(CONCATENATE("Distance!$F",$A169)),"")</f>
        <v>BENTLEY Tom</v>
      </c>
      <c r="E169" s="64" t="str">
        <f t="shared" ref="E169:E176" ca="1" si="30">IFERROR(VLOOKUP(C169,teamlookup,5,FALSE),"")</f>
        <v>Sheff+D</v>
      </c>
      <c r="F169" s="123">
        <f ca="1">IFERROR(INDIRECT(CONCATENATE("Distance!$H",A169)),"")</f>
        <v>4.92</v>
      </c>
      <c r="G169" s="108" t="str">
        <f ca="1">IFERROR(IF(F169&lt;A171,"",VLOOKUP(VLOOKUP(F169,A171:B174,2,TRUE),Points!$H$1:$I$5,2,FALSE)),"")</f>
        <v/>
      </c>
      <c r="H169" s="67"/>
      <c r="I169" s="117">
        <f ca="1">IFERROR(INDIRECT(CONCATENATE("Distance!$j",A169)),"")</f>
        <v>1</v>
      </c>
      <c r="J169" s="117">
        <f ca="1">IFERROR(INDIRECT(CONCATENATE("Distance!$k",A169)),"")</f>
        <v>11</v>
      </c>
      <c r="K169" s="183" t="str">
        <f ca="1">IFERROR(INDIRECT(CONCATENATE("Distance!$L",$A169)),"")</f>
        <v>FOOT James</v>
      </c>
      <c r="L169" s="64" t="str">
        <f t="shared" ref="L169:L176" ca="1" si="31">IFERROR(VLOOKUP(J169,teamlookup,5,FALSE),"")</f>
        <v>C'field</v>
      </c>
      <c r="M169" s="123">
        <f ca="1">IFERROR(INDIRECT(CONCATENATE("Distance!$T",A169)),"")</f>
        <v>4.1710000000000003</v>
      </c>
      <c r="N169" s="108" t="str">
        <f ca="1">IFERROR(IF(M169&lt;A171,"",VLOOKUP(VLOOKUP(M169,A171:B174,2,TRUE),Points!$H$1:$I$5,2,FALSE)),"")</f>
        <v/>
      </c>
      <c r="P169" s="66">
        <f ca="1">IFERROR(IF(OR(C169=0,C169="",F169=0,F169="",F169="X"),0,VLOOKUP(B169,INDIRECT(MatchDay!$W$2),2,FALSE)),"")</f>
        <v>8</v>
      </c>
      <c r="Q169" s="66">
        <f ca="1">IFERROR(IF(OR(J169=0,J169="",M169=0,M169="",M169="X"),0,VLOOKUP(I169,INDIRECT(MatchDay!$W$2),3,FALSE)),"")</f>
        <v>6</v>
      </c>
      <c r="R169" s="219">
        <f ca="1">COUNTIF(C169,"&gt;0")</f>
        <v>1</v>
      </c>
      <c r="S169" s="66">
        <f ca="1">IFERROR(IF(C169&gt;88,1,0),0)</f>
        <v>0</v>
      </c>
    </row>
    <row r="170" spans="1:19" x14ac:dyDescent="0.35">
      <c r="A170" s="116" t="s">
        <v>55</v>
      </c>
      <c r="B170" s="117">
        <f ca="1">IFERROR(INDIRECT(CONCATENATE("Distance!$d",A169+1)),"")</f>
        <v>2</v>
      </c>
      <c r="C170" s="117">
        <f ca="1">IFERROR(INDIRECT(CONCATENATE("Distance!$E",A169+1)),"")</f>
        <v>1</v>
      </c>
      <c r="D170" s="183" t="str">
        <f ca="1">IFERROR(INDIRECT(CONCATENATE("Distance!$F",$A169+1)),"")</f>
        <v>FOGDEN Ben</v>
      </c>
      <c r="E170" s="64" t="str">
        <f t="shared" ca="1" si="30"/>
        <v>C'field</v>
      </c>
      <c r="F170" s="123">
        <f ca="1">IFERROR(INDIRECT(CONCATENATE("Distance!$H",A169+1)),"")</f>
        <v>4.83</v>
      </c>
      <c r="G170" s="108" t="str">
        <f ca="1">IFERROR(IF(F170&lt;A171,"",VLOOKUP(VLOOKUP(F170,A171:B174,2,TRUE),Points!$H$1:$I$5,2,FALSE)),"")</f>
        <v/>
      </c>
      <c r="H170" s="67"/>
      <c r="I170" s="117">
        <f ca="1">IFERROR(INDIRECT(CONCATENATE("Distance!$j",A169+1)),"")</f>
        <v>2</v>
      </c>
      <c r="J170" s="117">
        <f ca="1">IFERROR(INDIRECT(CONCATENATE("Distance!$k",A169+1)),"")</f>
        <v>33</v>
      </c>
      <c r="K170" s="183" t="str">
        <f ca="1">IFERROR(INDIRECT(CONCATENATE("Distance!$L",$A169+1)),"")</f>
        <v>LANSFORD Hollis</v>
      </c>
      <c r="L170" s="64" t="str">
        <f t="shared" ca="1" si="31"/>
        <v>York</v>
      </c>
      <c r="M170" s="123">
        <f ca="1">IFERROR(INDIRECT(CONCATENATE("Distance!$T",A169+1)),"")</f>
        <v>4.17</v>
      </c>
      <c r="N170" s="108" t="str">
        <f ca="1">IFERROR(IF(M170&lt;A171,"",VLOOKUP(VLOOKUP(M170,A171:B174,2,TRUE),Points!$H$1:$I$5,2,FALSE)),"")</f>
        <v/>
      </c>
      <c r="P170" s="66">
        <f ca="1">IFERROR(IF(OR(C170=0,C170="",F170=0,F170="",F170="X"),0,VLOOKUP(B170,INDIRECT(MatchDay!$W$2),2,FALSE)),"")</f>
        <v>6</v>
      </c>
      <c r="Q170" s="66">
        <f ca="1">IFERROR(IF(OR(J170=0,J170="",M170=0,M170="",M170="X"),0,VLOOKUP(I170,INDIRECT(MatchDay!$W$2),3,FALSE)),"")</f>
        <v>4</v>
      </c>
    </row>
    <row r="171" spans="1:19" x14ac:dyDescent="0.35">
      <c r="A171" s="118">
        <f>IFERROR(VLOOKUP(A167,standards,6,FALSE),"-")</f>
        <v>5</v>
      </c>
      <c r="B171" s="117">
        <f ca="1">IFERROR(INDIRECT(CONCATENATE("Distance!$d",A169+2)),"")</f>
        <v>3</v>
      </c>
      <c r="C171" s="117">
        <f ca="1">IFERROR(INDIRECT(CONCATENATE("Distance!$E",A169+2)),"")</f>
        <v>4</v>
      </c>
      <c r="D171" s="183" t="str">
        <f ca="1">IFERROR(INDIRECT(CONCATENATE("Distance!$F",$A169+2)),"")</f>
        <v>CHINNERY Norton</v>
      </c>
      <c r="E171" s="64" t="str">
        <f t="shared" ca="1" si="30"/>
        <v>M'bro</v>
      </c>
      <c r="F171" s="123">
        <f ca="1">IFERROR(INDIRECT(CONCATENATE("Distance!$H",A169+2)),"")</f>
        <v>4.6100000000000003</v>
      </c>
      <c r="G171" s="108" t="str">
        <f ca="1">IFERROR(IF(F171&lt;A171,"",VLOOKUP(VLOOKUP(F171,A171:B174,2,TRUE),Points!$H$1:$I$5,2,FALSE)),"")</f>
        <v/>
      </c>
      <c r="H171" s="67"/>
      <c r="I171" s="117">
        <f ca="1">IFERROR(INDIRECT(CONCATENATE("Distance!$j",A169+2)),"")</f>
        <v>3</v>
      </c>
      <c r="J171" s="117">
        <f ca="1">IFERROR(INDIRECT(CONCATENATE("Distance!$k",A169+2)),"")</f>
        <v>22</v>
      </c>
      <c r="K171" s="183" t="str">
        <f ca="1">IFERROR(INDIRECT(CONCATENATE("Distance!$L",$A169+2)),"")</f>
        <v>SCOTT Leni</v>
      </c>
      <c r="L171" s="64" t="str">
        <f t="shared" ca="1" si="31"/>
        <v>Sheff+D</v>
      </c>
      <c r="M171" s="123">
        <f ca="1">IFERROR(INDIRECT(CONCATENATE("Distance!$T",A169+2)),"")</f>
        <v>4.1100000000000003</v>
      </c>
      <c r="N171" s="108" t="str">
        <f ca="1">IFERROR(IF(M171&lt;A171,"",VLOOKUP(VLOOKUP(M171,A171:B174,2,TRUE),Points!$H$1:$I$5,2,FALSE)),"")</f>
        <v/>
      </c>
      <c r="P171" s="66">
        <f ca="1">IFERROR(IF(OR(C171=0,C171="",F171=0,F171="",F171="X"),0,VLOOKUP(B171,INDIRECT(MatchDay!$W$2),2,FALSE)),"")</f>
        <v>5</v>
      </c>
      <c r="Q171" s="66">
        <f ca="1">IFERROR(IF(OR(J171=0,J171="",M171=0,M171="",M171="X"),0,VLOOKUP(I171,INDIRECT(MatchDay!$W$2),3,FALSE)),"")</f>
        <v>3</v>
      </c>
    </row>
    <row r="172" spans="1:19" x14ac:dyDescent="0.35">
      <c r="A172" s="118">
        <f>IFERROR(VLOOKUP(A167,standards,5,FALSE),"-")</f>
        <v>5.3</v>
      </c>
      <c r="B172" s="117">
        <f ca="1">IFERROR(INDIRECT(CONCATENATE("Distance!$d",A169+3)),"")</f>
        <v>4</v>
      </c>
      <c r="C172" s="117">
        <f ca="1">IFERROR(INDIRECT(CONCATENATE("Distance!$E",A169+3)),"")</f>
        <v>3</v>
      </c>
      <c r="D172" s="183" t="str">
        <f ca="1">IFERROR(INDIRECT(CONCATENATE("Distance!$F",$A169+3)),"")</f>
        <v>COOK Harry</v>
      </c>
      <c r="E172" s="64" t="str">
        <f t="shared" ca="1" si="30"/>
        <v>York</v>
      </c>
      <c r="F172" s="123">
        <f ca="1">IFERROR(INDIRECT(CONCATENATE("Distance!$H",A169+3)),"")</f>
        <v>4.41</v>
      </c>
      <c r="G172" s="108" t="str">
        <f ca="1">IFERROR(IF(F172&lt;A171,"",VLOOKUP(VLOOKUP(F172,A171:B174,2,TRUE),Points!$H$1:$I$5,2,FALSE)),"")</f>
        <v/>
      </c>
      <c r="H172" s="67"/>
      <c r="I172" s="117">
        <f ca="1">IFERROR(INDIRECT(CONCATENATE("Distance!$j",A169+3)),"")</f>
        <v>4</v>
      </c>
      <c r="J172" s="117">
        <f ca="1">IFERROR(INDIRECT(CONCATENATE("Distance!$k",A169+3)),"")</f>
        <v>44</v>
      </c>
      <c r="K172" s="183" t="str">
        <f ca="1">IFERROR(INDIRECT(CONCATENATE("Distance!$L",$A169+3)),"")</f>
        <v>IBEH Terrell</v>
      </c>
      <c r="L172" s="64" t="str">
        <f t="shared" ca="1" si="31"/>
        <v>M'bro</v>
      </c>
      <c r="M172" s="123">
        <f ca="1">IFERROR(INDIRECT(CONCATENATE("Distance!$T",A169+3)),"")</f>
        <v>3.75</v>
      </c>
      <c r="N172" s="108" t="str">
        <f ca="1">IFERROR(IF(M172&lt;A171,"",VLOOKUP(VLOOKUP(M172,A171:B174,2,TRUE),Points!$H$1:$I$5,2,FALSE)),"")</f>
        <v/>
      </c>
      <c r="P172" s="66">
        <f ca="1">IFERROR(IF(OR(C172=0,C172="",F172=0,F172="",F172="X"),0,VLOOKUP(B172,INDIRECT(MatchDay!$W$2),2,FALSE)),"")</f>
        <v>4</v>
      </c>
      <c r="Q172" s="66">
        <f ca="1">IFERROR(IF(OR(J172=0,J172="",M172=0,M172="",M172="X"),0,VLOOKUP(I172,INDIRECT(MatchDay!$W$2),3,FALSE)),"")</f>
        <v>2</v>
      </c>
    </row>
    <row r="173" spans="1:19" x14ac:dyDescent="0.35">
      <c r="A173" s="118">
        <f>IFERROR(VLOOKUP(A167,standards,4,FALSE),"-")</f>
        <v>5.55</v>
      </c>
      <c r="B173" s="117">
        <f ca="1">IFERROR(INDIRECT(CONCATENATE("Distance!$d",A169+4)),"")</f>
        <v>5</v>
      </c>
      <c r="C173" s="117" t="str">
        <f ca="1">IFERROR(INDIRECT(CONCATENATE("Distance!$E",A169+4)),"")</f>
        <v/>
      </c>
      <c r="D173" s="183" t="str">
        <f ca="1">IFERROR(INDIRECT(CONCATENATE("Distance!$F",$A169+4)),"")</f>
        <v/>
      </c>
      <c r="E173" s="64" t="str">
        <f t="shared" ca="1" si="30"/>
        <v/>
      </c>
      <c r="F173" s="123" t="str">
        <f ca="1">IFERROR(INDIRECT(CONCATENATE("Distance!$H",A169+4)),"")</f>
        <v/>
      </c>
      <c r="G173" s="108" t="str">
        <f ca="1">IFERROR(IF(F173&lt;A171,"",VLOOKUP(VLOOKUP(F173,A171:B174,2,TRUE),Points!$H$1:$I$5,2,FALSE)),"")</f>
        <v/>
      </c>
      <c r="H173" s="67"/>
      <c r="I173" s="117">
        <f ca="1">IFERROR(INDIRECT(CONCATENATE("Distance!$j",A169+4)),"")</f>
        <v>5</v>
      </c>
      <c r="J173" s="117" t="str">
        <f ca="1">IFERROR(INDIRECT(CONCATENATE("Distance!$k",A169+4)),"")</f>
        <v/>
      </c>
      <c r="K173" s="183" t="str">
        <f ca="1">IFERROR(INDIRECT(CONCATENATE("Distance!$L",$A169+4)),"")</f>
        <v/>
      </c>
      <c r="L173" s="64" t="str">
        <f t="shared" ca="1" si="31"/>
        <v/>
      </c>
      <c r="M173" s="123" t="str">
        <f ca="1">IFERROR(INDIRECT(CONCATENATE("Distance!$T",A169+4)),"")</f>
        <v/>
      </c>
      <c r="N173" s="108" t="str">
        <f ca="1">IFERROR(IF(M173&lt;A171,"",VLOOKUP(VLOOKUP(M173,A171:B174,2,TRUE),Points!$H$1:$I$5,2,FALSE)),"")</f>
        <v/>
      </c>
      <c r="P173" s="66">
        <f ca="1">IFERROR(IF(OR(C173=0,C173="",F173=0,F173="",F173="X"),0,VLOOKUP(B173,INDIRECT(MatchDay!$W$2),2,FALSE)),"")</f>
        <v>0</v>
      </c>
      <c r="Q173" s="66">
        <f ca="1">IFERROR(IF(OR(J173=0,J173="",M173=0,M173="",M173="X"),0,VLOOKUP(I173,INDIRECT(MatchDay!$W$2),3,FALSE)),"")</f>
        <v>0</v>
      </c>
    </row>
    <row r="174" spans="1:19" x14ac:dyDescent="0.35">
      <c r="A174" s="118">
        <f>IFERROR(VLOOKUP(A167,standards,3,FALSE),"-")</f>
        <v>5.75</v>
      </c>
      <c r="B174" s="117">
        <f ca="1">IFERROR(INDIRECT(CONCATENATE("Distance!$d",A169+5)),"")</f>
        <v>6</v>
      </c>
      <c r="C174" s="117" t="str">
        <f ca="1">IFERROR(INDIRECT(CONCATENATE("Distance!$E",A169+5)),"")</f>
        <v/>
      </c>
      <c r="D174" s="183" t="str">
        <f ca="1">IFERROR(INDIRECT(CONCATENATE("Distance!$F",$A169+5)),"")</f>
        <v/>
      </c>
      <c r="E174" s="64" t="str">
        <f t="shared" ca="1" si="30"/>
        <v/>
      </c>
      <c r="F174" s="123" t="str">
        <f ca="1">IFERROR(INDIRECT(CONCATENATE("Distance!$H",A169+5)),"")</f>
        <v/>
      </c>
      <c r="G174" s="108" t="str">
        <f ca="1">IFERROR(IF(F174&lt;A171,"",VLOOKUP(VLOOKUP(F174,A171:B174,2,TRUE),Points!$H$1:$I$5,2,FALSE)),"")</f>
        <v/>
      </c>
      <c r="H174" s="67"/>
      <c r="I174" s="117">
        <f ca="1">IFERROR(INDIRECT(CONCATENATE("Distance!$j",A169+5)),"")</f>
        <v>6</v>
      </c>
      <c r="J174" s="117" t="str">
        <f ca="1">IFERROR(INDIRECT(CONCATENATE("Distance!$k",A169+5)),"")</f>
        <v/>
      </c>
      <c r="K174" s="183" t="str">
        <f ca="1">IFERROR(INDIRECT(CONCATENATE("Distance!$L",$A169+5)),"")</f>
        <v/>
      </c>
      <c r="L174" s="64" t="str">
        <f t="shared" ca="1" si="31"/>
        <v/>
      </c>
      <c r="M174" s="123" t="str">
        <f ca="1">IFERROR(INDIRECT(CONCATENATE("Distance!$T",A169+5)),"")</f>
        <v/>
      </c>
      <c r="N174" s="108" t="str">
        <f ca="1">IFERROR(IF(M174&lt;A171,"",VLOOKUP(VLOOKUP(M174,A171:B174,2,TRUE),Points!$H$1:$I$5,2,FALSE)),"")</f>
        <v/>
      </c>
      <c r="P174" s="66">
        <f ca="1">IFERROR(IF(OR(C174=0,C174="",F174=0,F174="",F174="X"),0,VLOOKUP(B174,INDIRECT(MatchDay!$W$2),2,FALSE)),"")</f>
        <v>0</v>
      </c>
      <c r="Q174" s="66">
        <f ca="1">IFERROR(IF(OR(J174=0,J174="",M174=0,M174="",M174="X"),0,VLOOKUP(I174,INDIRECT(MatchDay!$W$2),3,FALSE)),"")</f>
        <v>0</v>
      </c>
    </row>
    <row r="175" spans="1:19" x14ac:dyDescent="0.35">
      <c r="A175" s="116" t="s">
        <v>204</v>
      </c>
      <c r="B175" s="117">
        <f ca="1">IFERROR(INDIRECT(CONCATENATE("Distance!$d",A169+6)),"")</f>
        <v>7</v>
      </c>
      <c r="C175" s="117" t="str">
        <f ca="1">IFERROR(INDIRECT(CONCATENATE("Distance!$E",A169+6)),"")</f>
        <v/>
      </c>
      <c r="D175" s="183" t="str">
        <f ca="1">IFERROR(INDIRECT(CONCATENATE("Distance!$F",$A169+6)),"")</f>
        <v/>
      </c>
      <c r="E175" s="64" t="str">
        <f t="shared" ca="1" si="30"/>
        <v/>
      </c>
      <c r="F175" s="123" t="str">
        <f ca="1">IFERROR(INDIRECT(CONCATENATE("Distance!$H",A169+6)),"")</f>
        <v/>
      </c>
      <c r="G175" s="108" t="str">
        <f ca="1">IFERROR(IF(F175&lt;A171,"",VLOOKUP(VLOOKUP(F175,A171:B174,2,TRUE),Points!$H$1:$I$5,2,FALSE)),"")</f>
        <v/>
      </c>
      <c r="H175" s="67"/>
      <c r="I175" s="117">
        <f ca="1">IFERROR(INDIRECT(CONCATENATE("Distance!$j",A169+6)),"")</f>
        <v>7</v>
      </c>
      <c r="J175" s="117" t="str">
        <f ca="1">IFERROR(INDIRECT(CONCATENATE("Distance!$k",A169+6)),"")</f>
        <v/>
      </c>
      <c r="K175" s="183" t="str">
        <f ca="1">IFERROR(INDIRECT(CONCATENATE("Distance!$L",$A169+6)),"")</f>
        <v/>
      </c>
      <c r="L175" s="64" t="str">
        <f t="shared" ca="1" si="31"/>
        <v/>
      </c>
      <c r="M175" s="123" t="str">
        <f ca="1">IFERROR(INDIRECT(CONCATENATE("Distance!$T",A169+6)),"")</f>
        <v/>
      </c>
      <c r="N175" s="108" t="str">
        <f ca="1">IFERROR(IF(M175&lt;A171,"",VLOOKUP(VLOOKUP(M175,A171:B174,2,TRUE),Points!$H$1:$I$5,2,FALSE)),"")</f>
        <v/>
      </c>
      <c r="P175" s="66">
        <f ca="1">IFERROR(IF(OR(C175=0,C175="",F175=0,F175="",F175="X"),0,VLOOKUP(B175,INDIRECT(MatchDay!$W$2),2,FALSE)),"")</f>
        <v>0</v>
      </c>
      <c r="Q175" s="66">
        <f ca="1">IFERROR(IF(OR(J175=0,J175="",M175=0,M175="",M175="X"),0,VLOOKUP(I175,INDIRECT(MatchDay!$W$2),3,FALSE)),"")</f>
        <v>0</v>
      </c>
    </row>
    <row r="176" spans="1:19" x14ac:dyDescent="0.35">
      <c r="A176" s="116">
        <f>IFERROR(VLOOKUP(A167,records,5,FALSE),"")</f>
        <v>6.82</v>
      </c>
      <c r="B176" s="117">
        <f ca="1">IFERROR(INDIRECT(CONCATENATE("Distance!$d",A169+7)),"")</f>
        <v>8</v>
      </c>
      <c r="C176" s="117" t="str">
        <f ca="1">IFERROR(INDIRECT(CONCATENATE("Distance!$E",A169+7)),"")</f>
        <v/>
      </c>
      <c r="D176" s="183" t="str">
        <f ca="1">IFERROR(INDIRECT(CONCATENATE("Distance!$F",$A169+7)),"")</f>
        <v/>
      </c>
      <c r="E176" s="64" t="str">
        <f t="shared" ca="1" si="30"/>
        <v/>
      </c>
      <c r="F176" s="123" t="str">
        <f ca="1">IFERROR(INDIRECT(CONCATENATE("Distance!$H",A169+7)),"")</f>
        <v/>
      </c>
      <c r="G176" s="108" t="str">
        <f ca="1">IFERROR(IF(F176&lt;A171,"",VLOOKUP(VLOOKUP(F176,A171:B174,2,TRUE),Points!$H$1:$I$5,2,FALSE)),"")</f>
        <v/>
      </c>
      <c r="H176" s="67"/>
      <c r="I176" s="117">
        <f ca="1">IFERROR(INDIRECT(CONCATENATE("Distance!$j",A169+7)),"")</f>
        <v>8</v>
      </c>
      <c r="J176" s="117" t="str">
        <f ca="1">IFERROR(INDIRECT(CONCATENATE("Distance!$k",A169+7)),"")</f>
        <v/>
      </c>
      <c r="K176" s="183" t="str">
        <f ca="1">IFERROR(INDIRECT(CONCATENATE("Distance!$L",$A169+7)),"")</f>
        <v/>
      </c>
      <c r="L176" s="64" t="str">
        <f t="shared" ca="1" si="31"/>
        <v/>
      </c>
      <c r="M176" s="123" t="str">
        <f ca="1">IFERROR(INDIRECT(CONCATENATE("Distance!$T",A169+7)),"")</f>
        <v/>
      </c>
      <c r="N176" s="108" t="str">
        <f ca="1">IFERROR(IF(M176&lt;A171,"",VLOOKUP(VLOOKUP(M176,A171:B174,2,TRUE),Points!$H$1:$I$5,2,FALSE)),"")</f>
        <v/>
      </c>
      <c r="P176" s="66">
        <f ca="1">IFERROR(IF(OR(C176=0,C176="",F176=0,F176="",F176="X"),0,VLOOKUP(B176,INDIRECT(MatchDay!$W$2),2,FALSE)),"")</f>
        <v>0</v>
      </c>
      <c r="Q176" s="66">
        <f ca="1">IFERROR(IF(OR(J176=0,J176="",M176=0,M176="",M176="X"),0,VLOOKUP(I176,INDIRECT(MatchDay!$W$2),3,FALSE)),"")</f>
        <v>0</v>
      </c>
    </row>
    <row r="178" spans="1:20" x14ac:dyDescent="0.35">
      <c r="A178" s="111" t="s">
        <v>233</v>
      </c>
      <c r="B178" s="112" t="str">
        <f>IFERROR(VLOOKUP(A178,timetables,2,FALSE)&amp;" "&amp;VLOOKUP(A178,timetables,3,FALSE)&amp;" A","")</f>
        <v>High Jump U15 Girls A</v>
      </c>
      <c r="C178" s="112"/>
      <c r="F178" s="121" t="str">
        <f ca="1">IFERROR(IF(OR(F180=0,F180="",F180="X"),"",IF(F180&gt;A187,"REC",IF(F180=A187,"=Rec",""))),"")</f>
        <v/>
      </c>
      <c r="G178" s="198" t="str">
        <f ca="1">IFERROR(IF(OR(F180=0,F180="",F180="X"),"",IF(F180&gt;A187,"REC",IF(F180=A187,"=Rec",""))),"")</f>
        <v/>
      </c>
      <c r="I178" s="114" t="str">
        <f>IFERROR(VLOOKUP(A178,timetables,2,FALSE)&amp;" "&amp;VLOOKUP(A178,timetables,3,FALSE)&amp;" B","")</f>
        <v>High Jump U15 Girls B</v>
      </c>
      <c r="J178" s="115"/>
      <c r="P178" s="66" t="s">
        <v>53</v>
      </c>
      <c r="Q178" s="66" t="s">
        <v>54</v>
      </c>
    </row>
    <row r="179" spans="1:20" x14ac:dyDescent="0.35">
      <c r="A179" s="82"/>
      <c r="B179" s="45" t="s">
        <v>230</v>
      </c>
      <c r="C179" s="45" t="s">
        <v>159</v>
      </c>
      <c r="D179" s="47" t="s">
        <v>227</v>
      </c>
      <c r="E179" s="47" t="s">
        <v>228</v>
      </c>
      <c r="F179" s="45" t="s">
        <v>229</v>
      </c>
      <c r="G179" s="126" t="s">
        <v>55</v>
      </c>
      <c r="H179" s="47"/>
      <c r="I179" s="45" t="s">
        <v>230</v>
      </c>
      <c r="J179" s="45" t="s">
        <v>159</v>
      </c>
      <c r="K179" s="47" t="s">
        <v>227</v>
      </c>
      <c r="L179" s="47" t="s">
        <v>228</v>
      </c>
      <c r="M179" s="45" t="s">
        <v>229</v>
      </c>
      <c r="N179" s="126" t="s">
        <v>55</v>
      </c>
    </row>
    <row r="180" spans="1:20" x14ac:dyDescent="0.35">
      <c r="A180" s="66">
        <f>IFERROR(VLOOKUP(A178,Height!A:B,2,FALSE),"")</f>
        <v>27</v>
      </c>
      <c r="B180" s="117">
        <f ca="1">IFERROR(INDIRECT(CONCATENATE("Height!$d",A180)),"")</f>
        <v>1</v>
      </c>
      <c r="C180" s="117">
        <f ca="1">IFERROR(INDIRECT(CONCATENATE("Height!$E",A180)),"")</f>
        <v>1</v>
      </c>
      <c r="D180" s="183" t="str">
        <f ca="1">IFERROR(INDIRECT(CONCATENATE("Height!$F",$A180)),"")</f>
        <v>MOODY Hannah</v>
      </c>
      <c r="E180" s="64" t="str">
        <f t="shared" ref="E180:E187" ca="1" si="32">IFERROR(VLOOKUP(C180,teamlookup,5,FALSE),"")</f>
        <v>C'field</v>
      </c>
      <c r="F180" s="123">
        <f ca="1">IFERROR(INDIRECT(CONCATENATE("Height!$H",A180)),"")</f>
        <v>1.55</v>
      </c>
      <c r="G180" s="108">
        <f ca="1">IFERROR(IF(F180&lt;A182,"",VLOOKUP(VLOOKUP(F180,A182:T185,20,TRUE),Points!$H$1:$I$8,2,FALSE)),"")</f>
        <v>2</v>
      </c>
      <c r="H180" s="67"/>
      <c r="I180" s="117">
        <f ca="1">IFERROR(INDIRECT(CONCATENATE("Height!$j",A180)),"")</f>
        <v>1</v>
      </c>
      <c r="J180" s="117">
        <f ca="1">IFERROR(INDIRECT(CONCATENATE("Height!$L",A180)),"")</f>
        <v>22</v>
      </c>
      <c r="K180" s="183" t="str">
        <f ca="1">IFERROR(INDIRECT(CONCATENATE("Height!$N",$A180)),"")</f>
        <v>MYCROFT Tilly</v>
      </c>
      <c r="L180" s="64" t="str">
        <f t="shared" ref="L180:L187" ca="1" si="33">IFERROR(VLOOKUP(J180,teamlookup,5,FALSE),"")</f>
        <v>Sheff+D</v>
      </c>
      <c r="M180" s="123">
        <f ca="1">IFERROR(INDIRECT(CONCATENATE("Height!$Z",A180)),"")</f>
        <v>1.45</v>
      </c>
      <c r="N180" s="108">
        <f ca="1">IFERROR(IF(M180&lt;A182,"",VLOOKUP(VLOOKUP(M180,A182:T185,20,TRUE),Points!$H$1:$I$8,2,FALSE)),"")</f>
        <v>4</v>
      </c>
      <c r="P180" s="66">
        <f ca="1">IFERROR(IF(OR(C180=0,C180="",F180=0,F180="",F180="X"),0,VLOOKUP(B180,INDIRECT(MatchDay!$W$2),2,FALSE)),"")</f>
        <v>8</v>
      </c>
      <c r="Q180" s="66">
        <f ca="1">IFERROR(IF(OR(J180=0,J180="",M180=0,M180="",M180="X"),0,VLOOKUP(I180,INDIRECT(MatchDay!$W$2),3,FALSE)),"")</f>
        <v>6</v>
      </c>
      <c r="R180" s="219">
        <f ca="1">COUNTIF(C180,"&gt;0")</f>
        <v>1</v>
      </c>
      <c r="S180" s="66">
        <f ca="1">IFERROR(IF(C180&gt;88,1,0),0)</f>
        <v>0</v>
      </c>
      <c r="T180" s="148"/>
    </row>
    <row r="181" spans="1:20" x14ac:dyDescent="0.35">
      <c r="A181" s="116" t="s">
        <v>55</v>
      </c>
      <c r="B181" s="117">
        <f ca="1">IFERROR(INDIRECT(CONCATENATE("Height!$d",A180+1)),"")</f>
        <v>2</v>
      </c>
      <c r="C181" s="117">
        <f ca="1">IFERROR(INDIRECT(CONCATENATE("Height!$E",A180+1)),"")</f>
        <v>3</v>
      </c>
      <c r="D181" s="183" t="str">
        <f ca="1">IFERROR(INDIRECT(CONCATENATE("Height!$F",$A180+1)),"")</f>
        <v>HOGG Frances</v>
      </c>
      <c r="E181" s="64" t="str">
        <f t="shared" ca="1" si="32"/>
        <v>York</v>
      </c>
      <c r="F181" s="123">
        <f ca="1">IFERROR(INDIRECT(CONCATENATE("Height!$H",A180+1)),"")</f>
        <v>1.5</v>
      </c>
      <c r="G181" s="108">
        <f ca="1">IFERROR(IF(F181&lt;A182,"",VLOOKUP(VLOOKUP(F181,A182:T185,20,TRUE),Points!$H$1:$I$8,2,FALSE)),"")</f>
        <v>3</v>
      </c>
      <c r="H181" s="67"/>
      <c r="I181" s="117">
        <f ca="1">IFERROR(INDIRECT(CONCATENATE("Height!$j",A180+1)),"")</f>
        <v>2</v>
      </c>
      <c r="J181" s="117">
        <f ca="1">IFERROR(INDIRECT(CONCATENATE("Height!$L",A180+1)),"")</f>
        <v>33</v>
      </c>
      <c r="K181" s="183" t="str">
        <f ca="1">IFERROR(INDIRECT(CONCATENATE("Height!$N",$A180+1)),"")</f>
        <v>TWEDDLE Bella</v>
      </c>
      <c r="L181" s="64" t="str">
        <f t="shared" ca="1" si="33"/>
        <v>York</v>
      </c>
      <c r="M181" s="123">
        <f ca="1">IFERROR(INDIRECT(CONCATENATE("Height!$Z",A180+1)),"")</f>
        <v>1.4</v>
      </c>
      <c r="N181" s="108" t="str">
        <f ca="1">IFERROR(IF(M181&lt;A182,"",VLOOKUP(VLOOKUP(M181,A182:T185,20,TRUE),Points!$H$1:$I$8,2,FALSE)),"")</f>
        <v/>
      </c>
      <c r="P181" s="66">
        <f ca="1">IFERROR(IF(OR(C181=0,C181="",F181=0,F181="",F181="X"),0,VLOOKUP(B181,INDIRECT(MatchDay!$W$2),2,FALSE)),"")</f>
        <v>6</v>
      </c>
      <c r="Q181" s="66">
        <f ca="1">IFERROR(IF(OR(J181=0,J181="",M181=0,M181="",M181="X"),0,VLOOKUP(I181,INDIRECT(MatchDay!$W$2),3,FALSE)),"")</f>
        <v>4</v>
      </c>
    </row>
    <row r="182" spans="1:20" x14ac:dyDescent="0.35">
      <c r="A182" s="118">
        <f>IFERROR(VLOOKUP(A178,standards,6,FALSE),"-")</f>
        <v>1.41</v>
      </c>
      <c r="B182" s="117">
        <f ca="1">IFERROR(INDIRECT(CONCATENATE("Height!$d",A180+2)),"")</f>
        <v>3</v>
      </c>
      <c r="C182" s="117">
        <f ca="1">IFERROR(INDIRECT(CONCATENATE("Height!$E",A180+2)),"")</f>
        <v>2</v>
      </c>
      <c r="D182" s="183" t="str">
        <f ca="1">IFERROR(INDIRECT(CONCATENATE("Height!$F",$A180+2)),"")</f>
        <v>WOODHOUSE Polly</v>
      </c>
      <c r="E182" s="64" t="str">
        <f t="shared" ca="1" si="32"/>
        <v>Sheff+D</v>
      </c>
      <c r="F182" s="123">
        <f ca="1">IFERROR(INDIRECT(CONCATENATE("Height!$H",A180+2)),"")</f>
        <v>1.5</v>
      </c>
      <c r="G182" s="108">
        <f ca="1">IFERROR(IF(F182&lt;A182,"",VLOOKUP(VLOOKUP(F182,A182:T185,20,TRUE),Points!$H$1:$I$8,2,FALSE)),"")</f>
        <v>3</v>
      </c>
      <c r="H182" s="67"/>
      <c r="I182" s="117" t="str">
        <f ca="1">IFERROR(INDIRECT(CONCATENATE("Height!$j",A180+2)),"")</f>
        <v/>
      </c>
      <c r="J182" s="117" t="str">
        <f ca="1">IFERROR(INDIRECT(CONCATENATE("Height!$L",A180+2)),"")</f>
        <v/>
      </c>
      <c r="K182" s="183" t="str">
        <f ca="1">IFERROR(INDIRECT(CONCATENATE("Height!$N",$A180+2)),"")</f>
        <v/>
      </c>
      <c r="L182" s="64" t="str">
        <f t="shared" ca="1" si="33"/>
        <v/>
      </c>
      <c r="M182" s="123">
        <f ca="1">IFERROR(INDIRECT(CONCATENATE("Height!$Z",A180+2)),"")</f>
        <v>0</v>
      </c>
      <c r="N182" s="108" t="str">
        <f ca="1">IFERROR(IF(M182&lt;A182,"",VLOOKUP(VLOOKUP(M182,A182:T185,20,TRUE),Points!$H$1:$I$8,2,FALSE)),"")</f>
        <v/>
      </c>
      <c r="P182" s="66">
        <f ca="1">IFERROR(IF(OR(C182=0,C182="",F182=0,F182="",F182="X"),0,VLOOKUP(B182,INDIRECT(MatchDay!$W$2),2,FALSE)),"")</f>
        <v>5</v>
      </c>
      <c r="Q182" s="66">
        <f ca="1">IFERROR(IF(OR(J182=0,J182="",M182=0,M182="",M182="X"),0,VLOOKUP(I182,INDIRECT(MatchDay!$W$2),3,FALSE)),"")</f>
        <v>0</v>
      </c>
      <c r="T182" s="64">
        <v>3</v>
      </c>
    </row>
    <row r="183" spans="1:20" x14ac:dyDescent="0.35">
      <c r="A183" s="118">
        <f>IFERROR(VLOOKUP(A178,standards,5,FALSE),"-")</f>
        <v>1.49</v>
      </c>
      <c r="B183" s="117" t="str">
        <f ca="1">IFERROR(INDIRECT(CONCATENATE("Height!$d",A180+3)),"")</f>
        <v/>
      </c>
      <c r="C183" s="117" t="str">
        <f ca="1">IFERROR(INDIRECT(CONCATENATE("Height!$E",A180+3)),"")</f>
        <v/>
      </c>
      <c r="D183" s="183" t="str">
        <f ca="1">IFERROR(INDIRECT(CONCATENATE("Height!$F",$A180+3)),"")</f>
        <v/>
      </c>
      <c r="E183" s="64" t="str">
        <f t="shared" ca="1" si="32"/>
        <v/>
      </c>
      <c r="F183" s="123">
        <f ca="1">IFERROR(INDIRECT(CONCATENATE("Height!$H",A180+3)),"")</f>
        <v>0</v>
      </c>
      <c r="G183" s="108" t="str">
        <f ca="1">IFERROR(IF(F183&lt;A182,"",VLOOKUP(VLOOKUP(F183,A182:T185,20,TRUE),Points!$H$1:$I$8,2,FALSE)),"")</f>
        <v/>
      </c>
      <c r="H183" s="67"/>
      <c r="I183" s="117" t="str">
        <f ca="1">IFERROR(INDIRECT(CONCATENATE("Height!$j",A180+3)),"")</f>
        <v/>
      </c>
      <c r="J183" s="117" t="str">
        <f ca="1">IFERROR(INDIRECT(CONCATENATE("Height!$L",A180+3)),"")</f>
        <v/>
      </c>
      <c r="K183" s="183" t="str">
        <f ca="1">IFERROR(INDIRECT(CONCATENATE("Height!$N",$A180+3)),"")</f>
        <v/>
      </c>
      <c r="L183" s="64" t="str">
        <f t="shared" ca="1" si="33"/>
        <v/>
      </c>
      <c r="M183" s="123">
        <f ca="1">IFERROR(INDIRECT(CONCATENATE("Height!$Z",A180+3)),"")</f>
        <v>0</v>
      </c>
      <c r="N183" s="108" t="str">
        <f ca="1">IFERROR(IF(M183&lt;A182,"",VLOOKUP(VLOOKUP(M183,A182:T185,20,TRUE),Points!$H$1:$I$8,2,FALSE)),"")</f>
        <v/>
      </c>
      <c r="P183" s="66">
        <f ca="1">IFERROR(IF(OR(C183=0,C183="",F183=0,F183="",F183="X"),0,VLOOKUP(B183,INDIRECT(MatchDay!$W$2),2,FALSE)),"")</f>
        <v>0</v>
      </c>
      <c r="Q183" s="66">
        <f ca="1">IFERROR(IF(OR(J183=0,J183="",M183=0,M183="",M183="X"),0,VLOOKUP(I183,INDIRECT(MatchDay!$W$2),3,FALSE)),"")</f>
        <v>0</v>
      </c>
      <c r="T183" s="64">
        <v>4</v>
      </c>
    </row>
    <row r="184" spans="1:20" x14ac:dyDescent="0.35">
      <c r="A184" s="118">
        <f>IFERROR(VLOOKUP(A178,standards,4,FALSE),"-")</f>
        <v>1.54</v>
      </c>
      <c r="B184" s="117" t="str">
        <f ca="1">IFERROR(INDIRECT(CONCATENATE("Height!$d",A180+4)),"")</f>
        <v/>
      </c>
      <c r="C184" s="117" t="str">
        <f ca="1">IFERROR(INDIRECT(CONCATENATE("Height!$E",A180+4)),"")</f>
        <v/>
      </c>
      <c r="D184" s="183" t="str">
        <f ca="1">IFERROR(INDIRECT(CONCATENATE("Height!$F",$A180+4)),"")</f>
        <v/>
      </c>
      <c r="E184" s="64" t="str">
        <f t="shared" ca="1" si="32"/>
        <v/>
      </c>
      <c r="F184" s="123">
        <f ca="1">IFERROR(INDIRECT(CONCATENATE("Height!$H",A180+4)),"")</f>
        <v>0</v>
      </c>
      <c r="G184" s="108" t="str">
        <f ca="1">IFERROR(IF(F184&lt;A182,"",VLOOKUP(VLOOKUP(F184,A182:T185,20,TRUE),Points!$H$1:$I$8,2,FALSE)),"")</f>
        <v/>
      </c>
      <c r="H184" s="67"/>
      <c r="I184" s="117" t="str">
        <f ca="1">IFERROR(INDIRECT(CONCATENATE("Height!$j",A180+4)),"")</f>
        <v/>
      </c>
      <c r="J184" s="117" t="str">
        <f ca="1">IFERROR(INDIRECT(CONCATENATE("Height!$L",A180+4)),"")</f>
        <v/>
      </c>
      <c r="K184" s="183" t="str">
        <f ca="1">IFERROR(INDIRECT(CONCATENATE("Height!$N",$A180+4)),"")</f>
        <v/>
      </c>
      <c r="L184" s="64" t="str">
        <f t="shared" ca="1" si="33"/>
        <v/>
      </c>
      <c r="M184" s="123">
        <f ca="1">IFERROR(INDIRECT(CONCATENATE("Height!$Z",A180+4)),"")</f>
        <v>0</v>
      </c>
      <c r="N184" s="108" t="str">
        <f ca="1">IFERROR(IF(M184&lt;A182,"",VLOOKUP(VLOOKUP(M184,A182:T185,20,TRUE),Points!$H$1:$I$8,2,FALSE)),"")</f>
        <v/>
      </c>
      <c r="P184" s="66">
        <f ca="1">IFERROR(IF(OR(C184=0,C184="",F184=0,F184="",F184="X"),0,VLOOKUP(B184,INDIRECT(MatchDay!$W$2),2,FALSE)),"")</f>
        <v>0</v>
      </c>
      <c r="Q184" s="66">
        <f ca="1">IFERROR(IF(OR(J184=0,J184="",M184=0,M184="",M184="X"),0,VLOOKUP(I184,INDIRECT(MatchDay!$W$2),3,FALSE)),"")</f>
        <v>0</v>
      </c>
      <c r="T184" s="64">
        <v>5</v>
      </c>
    </row>
    <row r="185" spans="1:20" x14ac:dyDescent="0.35">
      <c r="A185" s="118">
        <f>IFERROR(VLOOKUP(A178,standards,3,FALSE),"-")</f>
        <v>1.57</v>
      </c>
      <c r="B185" s="117" t="str">
        <f ca="1">IFERROR(INDIRECT(CONCATENATE("Height!$d",A180+5)),"")</f>
        <v/>
      </c>
      <c r="C185" s="117" t="str">
        <f ca="1">IFERROR(INDIRECT(CONCATENATE("Height!$E",A180+5)),"")</f>
        <v/>
      </c>
      <c r="D185" s="183" t="str">
        <f ca="1">IFERROR(INDIRECT(CONCATENATE("Height!$F",$A180+5)),"")</f>
        <v/>
      </c>
      <c r="E185" s="64" t="str">
        <f t="shared" ca="1" si="32"/>
        <v/>
      </c>
      <c r="F185" s="123">
        <f ca="1">IFERROR(INDIRECT(CONCATENATE("Height!$H",A180+5)),"")</f>
        <v>0</v>
      </c>
      <c r="G185" s="108" t="str">
        <f ca="1">IFERROR(IF(F185&lt;A182,"",VLOOKUP(VLOOKUP(F185,A182:T185,20,TRUE),Points!$H$1:$I$8,2,FALSE)),"")</f>
        <v/>
      </c>
      <c r="H185" s="67"/>
      <c r="I185" s="117" t="str">
        <f ca="1">IFERROR(INDIRECT(CONCATENATE("Height!$j",A180+5)),"")</f>
        <v/>
      </c>
      <c r="J185" s="117" t="str">
        <f ca="1">IFERROR(INDIRECT(CONCATENATE("Height!$L",A180+5)),"")</f>
        <v/>
      </c>
      <c r="K185" s="183" t="str">
        <f ca="1">IFERROR(INDIRECT(CONCATENATE("Height!$N",$A180+5)),"")</f>
        <v/>
      </c>
      <c r="L185" s="64" t="str">
        <f t="shared" ca="1" si="33"/>
        <v/>
      </c>
      <c r="M185" s="123">
        <f ca="1">IFERROR(INDIRECT(CONCATENATE("Height!$Z",A180+5)),"")</f>
        <v>0</v>
      </c>
      <c r="N185" s="108" t="str">
        <f ca="1">IFERROR(IF(M185&lt;A182,"",VLOOKUP(VLOOKUP(M185,A182:T185,20,TRUE),Points!$H$1:$I$8,2,FALSE)),"")</f>
        <v/>
      </c>
      <c r="P185" s="66">
        <f ca="1">IFERROR(IF(OR(C185=0,C185="",F185=0,F185="",F185="X"),0,VLOOKUP(B185,INDIRECT(MatchDay!$W$2),2,FALSE)),"")</f>
        <v>0</v>
      </c>
      <c r="Q185" s="66">
        <f ca="1">IFERROR(IF(OR(J185=0,J185="",M185=0,M185="",M185="X"),0,VLOOKUP(I185,INDIRECT(MatchDay!$W$2),3,FALSE)),"")</f>
        <v>0</v>
      </c>
      <c r="T185" s="64">
        <v>6</v>
      </c>
    </row>
    <row r="186" spans="1:20" x14ac:dyDescent="0.35">
      <c r="A186" s="116" t="s">
        <v>204</v>
      </c>
      <c r="B186" s="117" t="str">
        <f ca="1">IFERROR(INDIRECT(CONCATENATE("Height!$d",A180+6)),"")</f>
        <v/>
      </c>
      <c r="C186" s="117" t="str">
        <f ca="1">IFERROR(INDIRECT(CONCATENATE("Height!$E",A180+6)),"")</f>
        <v/>
      </c>
      <c r="D186" s="183" t="str">
        <f ca="1">IFERROR(INDIRECT(CONCATENATE("Height!$F",$A180+6)),"")</f>
        <v/>
      </c>
      <c r="E186" s="64" t="str">
        <f t="shared" ca="1" si="32"/>
        <v/>
      </c>
      <c r="F186" s="123">
        <f ca="1">IFERROR(INDIRECT(CONCATENATE("Height!$H",A180+6)),"")</f>
        <v>0</v>
      </c>
      <c r="G186" s="108" t="str">
        <f ca="1">IFERROR(IF(F186&lt;A182,"",VLOOKUP(VLOOKUP(F186,A182:T185,20,TRUE),Points!$H$1:$I$8,2,FALSE)),"")</f>
        <v/>
      </c>
      <c r="H186" s="67"/>
      <c r="I186" s="117" t="str">
        <f ca="1">IFERROR(INDIRECT(CONCATENATE("Height!$j",A180+6)),"")</f>
        <v/>
      </c>
      <c r="J186" s="117" t="str">
        <f ca="1">IFERROR(INDIRECT(CONCATENATE("Height!$L",A180+6)),"")</f>
        <v/>
      </c>
      <c r="K186" s="183" t="str">
        <f ca="1">IFERROR(INDIRECT(CONCATENATE("Height!$N",$A180+6)),"")</f>
        <v/>
      </c>
      <c r="L186" s="64" t="str">
        <f t="shared" ca="1" si="33"/>
        <v/>
      </c>
      <c r="M186" s="123">
        <f ca="1">IFERROR(INDIRECT(CONCATENATE("Height!$Z",A180+6)),"")</f>
        <v>0</v>
      </c>
      <c r="N186" s="108" t="str">
        <f ca="1">IFERROR(IF(M186&lt;A182,"",VLOOKUP(VLOOKUP(M186,A182:T185,20,TRUE),Points!$H$1:$I$8,2,FALSE)),"")</f>
        <v/>
      </c>
      <c r="P186" s="66">
        <f ca="1">IFERROR(IF(OR(C186=0,C186="",F186=0,F186="",F186="X"),0,VLOOKUP(B186,INDIRECT(MatchDay!$W$2),2,FALSE)),"")</f>
        <v>0</v>
      </c>
      <c r="Q186" s="66">
        <f ca="1">IFERROR(IF(OR(J186=0,J186="",M186=0,M186="",M186="X"),0,VLOOKUP(I186,INDIRECT(MatchDay!$W$2),3,FALSE)),"")</f>
        <v>0</v>
      </c>
    </row>
    <row r="187" spans="1:20" x14ac:dyDescent="0.35">
      <c r="A187" s="116">
        <f>IFERROR(VLOOKUP(A178,records,5,FALSE),"")</f>
        <v>1.73</v>
      </c>
      <c r="B187" s="117" t="str">
        <f ca="1">IFERROR(INDIRECT(CONCATENATE("Height!$d",A180+7)),"")</f>
        <v/>
      </c>
      <c r="C187" s="117" t="str">
        <f ca="1">IFERROR(INDIRECT(CONCATENATE("Height!$E",A180+7)),"")</f>
        <v/>
      </c>
      <c r="D187" s="183" t="str">
        <f ca="1">IFERROR(INDIRECT(CONCATENATE("Height!$F",$A180+7)),"")</f>
        <v/>
      </c>
      <c r="E187" s="64" t="str">
        <f t="shared" ca="1" si="32"/>
        <v/>
      </c>
      <c r="F187" s="123">
        <f ca="1">IFERROR(INDIRECT(CONCATENATE("Height!$H",A180+7)),"")</f>
        <v>0</v>
      </c>
      <c r="G187" s="108" t="str">
        <f ca="1">IFERROR(IF(F187&lt;A182,"",VLOOKUP(VLOOKUP(F187,A182:T185,20,TRUE),Points!$H$1:$I$8,2,FALSE)),"")</f>
        <v/>
      </c>
      <c r="H187" s="67"/>
      <c r="I187" s="117" t="str">
        <f ca="1">IFERROR(INDIRECT(CONCATENATE("Height!$j",A180+7)),"")</f>
        <v/>
      </c>
      <c r="J187" s="117" t="str">
        <f ca="1">IFERROR(INDIRECT(CONCATENATE("Height!$L",A180+7)),"")</f>
        <v/>
      </c>
      <c r="K187" s="183" t="str">
        <f ca="1">IFERROR(INDIRECT(CONCATENATE("Height!$N",$A180+7)),"")</f>
        <v/>
      </c>
      <c r="L187" s="64" t="str">
        <f t="shared" ca="1" si="33"/>
        <v/>
      </c>
      <c r="M187" s="123">
        <f ca="1">IFERROR(INDIRECT(CONCATENATE("Height!$Z",A180+7)),"")</f>
        <v>0</v>
      </c>
      <c r="N187" s="108" t="str">
        <f ca="1">IFERROR(IF(M187&lt;A182,"",VLOOKUP(VLOOKUP(M187,A182:T185,20,TRUE),Points!$H$1:$I$8,2,FALSE)),"")</f>
        <v/>
      </c>
      <c r="P187" s="66">
        <f ca="1">IFERROR(IF(OR(C187=0,C187="",F187=0,F187="",F187="X"),0,VLOOKUP(B187,INDIRECT(MatchDay!$W$2),2,FALSE)),"")</f>
        <v>0</v>
      </c>
      <c r="Q187" s="66">
        <f ca="1">IFERROR(IF(OR(J187=0,J187="",M187=0,M187="",M187="X"),0,VLOOKUP(I187,INDIRECT(MatchDay!$W$2),3,FALSE)),"")</f>
        <v>0</v>
      </c>
    </row>
    <row r="189" spans="1:20" x14ac:dyDescent="0.35">
      <c r="A189" s="111" t="s">
        <v>234</v>
      </c>
      <c r="B189" s="112" t="str">
        <f>IFERROR(VLOOKUP(A189,timetables,2,FALSE)&amp;" "&amp;VLOOKUP(A189,timetables,3,FALSE)&amp;" A","")</f>
        <v>High Jump U13 Boys A</v>
      </c>
      <c r="C189" s="112"/>
      <c r="F189" s="121" t="str">
        <f ca="1">IFERROR(IF(OR(F191=0,F191="",F191="X"),"",IF(F191&gt;A198,"REC",IF(F191=A198,"=Rec",""))),"")</f>
        <v/>
      </c>
      <c r="G189" s="198" t="str">
        <f ca="1">IFERROR(IF(OR(F191=0,F191="",F191="X"),"",IF(F191&gt;A198,"REC",IF(F191=A198,"=Rec",""))),"")</f>
        <v/>
      </c>
      <c r="I189" s="114" t="str">
        <f>IFERROR(VLOOKUP(A189,timetables,2,FALSE)&amp;" "&amp;VLOOKUP(A189,timetables,3,FALSE)&amp;" B","")</f>
        <v>High Jump U13 Boys B</v>
      </c>
      <c r="J189" s="115"/>
      <c r="P189" s="66" t="s">
        <v>53</v>
      </c>
      <c r="Q189" s="66" t="s">
        <v>54</v>
      </c>
    </row>
    <row r="190" spans="1:20" x14ac:dyDescent="0.35">
      <c r="A190" s="82"/>
      <c r="B190" s="45" t="s">
        <v>230</v>
      </c>
      <c r="C190" s="45" t="s">
        <v>159</v>
      </c>
      <c r="D190" s="47" t="s">
        <v>227</v>
      </c>
      <c r="E190" s="47" t="s">
        <v>228</v>
      </c>
      <c r="F190" s="45" t="s">
        <v>229</v>
      </c>
      <c r="G190" s="126" t="s">
        <v>55</v>
      </c>
      <c r="H190" s="47"/>
      <c r="I190" s="45" t="s">
        <v>230</v>
      </c>
      <c r="J190" s="45" t="s">
        <v>159</v>
      </c>
      <c r="K190" s="47" t="s">
        <v>227</v>
      </c>
      <c r="L190" s="47" t="s">
        <v>228</v>
      </c>
      <c r="M190" s="45" t="s">
        <v>229</v>
      </c>
      <c r="N190" s="126" t="s">
        <v>55</v>
      </c>
    </row>
    <row r="191" spans="1:20" x14ac:dyDescent="0.35">
      <c r="A191" s="66">
        <f>IFERROR(VLOOKUP(A189,Height!A:B,2,FALSE),"")</f>
        <v>59</v>
      </c>
      <c r="B191" s="117" t="str">
        <f ca="1">IFERROR(INDIRECT(CONCATENATE("Height!$d",A191)),"")</f>
        <v>1=</v>
      </c>
      <c r="C191" s="117">
        <f ca="1">IFERROR(INDIRECT(CONCATENATE("Height!$E",A191)),"")</f>
        <v>2</v>
      </c>
      <c r="D191" s="183" t="str">
        <f ca="1">IFERROR(INDIRECT(CONCATENATE("Height!$F",$A191)),"")</f>
        <v>MAY Rudi</v>
      </c>
      <c r="E191" s="64" t="str">
        <f t="shared" ref="E191:E198" ca="1" si="34">IFERROR(VLOOKUP(C191,teamlookup,5,FALSE),"")</f>
        <v>Sheff+D</v>
      </c>
      <c r="F191" s="123">
        <f ca="1">IFERROR(INDIRECT(CONCATENATE("Height!$H",A191)),"")</f>
        <v>1.2</v>
      </c>
      <c r="G191" s="108" t="str">
        <f ca="1">IFERROR(IF(F191&lt;A193,"",VLOOKUP(VLOOKUP(F191,A193:T196,20,TRUE),Points!$H$1:$I$8,2,FALSE)),"")</f>
        <v/>
      </c>
      <c r="H191" s="67"/>
      <c r="I191" s="117">
        <f ca="1">IFERROR(INDIRECT(CONCATENATE("Height!$j",A191)),"")</f>
        <v>1</v>
      </c>
      <c r="J191" s="117">
        <f ca="1">IFERROR(INDIRECT(CONCATENATE("Height!$L",A191)),"")</f>
        <v>22</v>
      </c>
      <c r="K191" s="183" t="str">
        <f ca="1">IFERROR(INDIRECT(CONCATENATE("Height!$N",$A191)),"")</f>
        <v>COCKINGS Matthew</v>
      </c>
      <c r="L191" s="64" t="str">
        <f t="shared" ref="L191:L198" ca="1" si="35">IFERROR(VLOOKUP(J191,teamlookup,5,FALSE),"")</f>
        <v>Sheff+D</v>
      </c>
      <c r="M191" s="123">
        <f ca="1">IFERROR(INDIRECT(CONCATENATE("Height!$Z",A191)),"")</f>
        <v>1.2</v>
      </c>
      <c r="N191" s="108" t="str">
        <f ca="1">IFERROR(IF(M191&lt;A193,"",VLOOKUP(VLOOKUP(M191,A193:T196,20,TRUE),Points!$H$1:$I$8,2,FALSE)),"")</f>
        <v/>
      </c>
      <c r="P191" s="66">
        <f ca="1">IFERROR(IF(OR(C191=0,C191="",F191=0,F191="",F191="X"),0,VLOOKUP(B191,INDIRECT(MatchDay!$W$2),2,FALSE)),"")</f>
        <v>7</v>
      </c>
      <c r="Q191" s="66">
        <f ca="1">IFERROR(IF(OR(J191=0,J191="",M191=0,M191="",M191="X"),0,VLOOKUP(I191,INDIRECT(MatchDay!$W$2),3,FALSE)),"")</f>
        <v>6</v>
      </c>
      <c r="R191" s="219">
        <f ca="1">COUNTIF(C191,"&gt;0")</f>
        <v>1</v>
      </c>
      <c r="S191" s="66">
        <f ca="1">IFERROR(IF(C191&gt;88,1,0),0)</f>
        <v>0</v>
      </c>
    </row>
    <row r="192" spans="1:20" x14ac:dyDescent="0.35">
      <c r="A192" s="116" t="s">
        <v>55</v>
      </c>
      <c r="B192" s="117" t="str">
        <f ca="1">IFERROR(INDIRECT(CONCATENATE("Height!$d",A191+1)),"")</f>
        <v>1=</v>
      </c>
      <c r="C192" s="117">
        <f ca="1">IFERROR(INDIRECT(CONCATENATE("Height!$E",A191+1)),"")</f>
        <v>3</v>
      </c>
      <c r="D192" s="183" t="str">
        <f ca="1">IFERROR(INDIRECT(CONCATENATE("Height!$F",$A191+1)),"")</f>
        <v>BASTOW Isaac</v>
      </c>
      <c r="E192" s="64" t="str">
        <f t="shared" ca="1" si="34"/>
        <v>York</v>
      </c>
      <c r="F192" s="123">
        <f ca="1">IFERROR(INDIRECT(CONCATENATE("Height!$H",A191+1)),"")</f>
        <v>1.2</v>
      </c>
      <c r="G192" s="108" t="str">
        <f ca="1">IFERROR(IF(F192&lt;A193,"",VLOOKUP(VLOOKUP(F192,A193:T196,20,TRUE),Points!$H$1:$I$8,2,FALSE)),"")</f>
        <v/>
      </c>
      <c r="H192" s="67"/>
      <c r="I192" s="117">
        <f ca="1">IFERROR(INDIRECT(CONCATENATE("Height!$j",A191+1)),"")</f>
        <v>2</v>
      </c>
      <c r="J192" s="117">
        <f ca="1">IFERROR(INDIRECT(CONCATENATE("Height!$L",A191+1)),"")</f>
        <v>33</v>
      </c>
      <c r="K192" s="183" t="str">
        <f ca="1">IFERROR(INDIRECT(CONCATENATE("Height!$N",$A191+1)),"")</f>
        <v>JONES Alex</v>
      </c>
      <c r="L192" s="64" t="str">
        <f t="shared" ca="1" si="35"/>
        <v>York</v>
      </c>
      <c r="M192" s="123">
        <f ca="1">IFERROR(INDIRECT(CONCATENATE("Height!$Z",A191+1)),"")</f>
        <v>1.05</v>
      </c>
      <c r="N192" s="108" t="str">
        <f ca="1">IFERROR(IF(M192&lt;A193,"",VLOOKUP(VLOOKUP(M192,A193:T196,20,TRUE),Points!$H$1:$I$8,2,FALSE)),"")</f>
        <v/>
      </c>
      <c r="P192" s="66">
        <f ca="1">IFERROR(IF(OR(C192=0,C192="",F192=0,F192="",F192="X"),0,VLOOKUP(B192,INDIRECT(MatchDay!$W$2),2,FALSE)),"")</f>
        <v>7</v>
      </c>
      <c r="Q192" s="66">
        <f ca="1">IFERROR(IF(OR(J192=0,J192="",M192=0,M192="",M192="X"),0,VLOOKUP(I192,INDIRECT(MatchDay!$W$2),3,FALSE)),"")</f>
        <v>4</v>
      </c>
    </row>
    <row r="193" spans="1:22" x14ac:dyDescent="0.35">
      <c r="A193" s="118">
        <f>IFERROR(VLOOKUP(A189,standards,6,FALSE),"-")</f>
        <v>1.3</v>
      </c>
      <c r="B193" s="117">
        <f ca="1">IFERROR(INDIRECT(CONCATENATE("Height!$d",A191+2)),"")</f>
        <v>3</v>
      </c>
      <c r="C193" s="117">
        <f ca="1">IFERROR(INDIRECT(CONCATENATE("Height!$E",A191+2)),"")</f>
        <v>1</v>
      </c>
      <c r="D193" s="183" t="str">
        <f ca="1">IFERROR(INDIRECT(CONCATENATE("Height!$F",$A191+2)),"")</f>
        <v>LOWE Seth</v>
      </c>
      <c r="E193" s="64" t="str">
        <f t="shared" ca="1" si="34"/>
        <v>C'field</v>
      </c>
      <c r="F193" s="123">
        <f ca="1">IFERROR(INDIRECT(CONCATENATE("Height!$H",A191+2)),"")</f>
        <v>1.05</v>
      </c>
      <c r="G193" s="108" t="str">
        <f ca="1">IFERROR(IF(F193&lt;A193,"",VLOOKUP(VLOOKUP(F193,A193:T196,20,TRUE),Points!$H$1:$I$8,2,FALSE)),"")</f>
        <v/>
      </c>
      <c r="H193" s="67"/>
      <c r="I193" s="117" t="str">
        <f ca="1">IFERROR(INDIRECT(CONCATENATE("Height!$j",A191+2)),"")</f>
        <v/>
      </c>
      <c r="J193" s="117" t="str">
        <f ca="1">IFERROR(INDIRECT(CONCATENATE("Height!$L",A191+2)),"")</f>
        <v/>
      </c>
      <c r="K193" s="183" t="str">
        <f ca="1">IFERROR(INDIRECT(CONCATENATE("Height!$N",$A191+2)),"")</f>
        <v/>
      </c>
      <c r="L193" s="64" t="str">
        <f t="shared" ca="1" si="35"/>
        <v/>
      </c>
      <c r="M193" s="123">
        <f ca="1">IFERROR(INDIRECT(CONCATENATE("Height!$Z",A191+2)),"")</f>
        <v>0</v>
      </c>
      <c r="N193" s="108" t="str">
        <f ca="1">IFERROR(IF(M193&lt;A193,"",VLOOKUP(VLOOKUP(M193,A193:T196,20,TRUE),Points!$H$1:$I$8,2,FALSE)),"")</f>
        <v/>
      </c>
      <c r="P193" s="66">
        <f ca="1">IFERROR(IF(OR(C193=0,C193="",F193=0,F193="",F193="X"),0,VLOOKUP(B193,INDIRECT(MatchDay!$W$2),2,FALSE)),"")</f>
        <v>5</v>
      </c>
      <c r="Q193" s="66">
        <f ca="1">IFERROR(IF(OR(J193=0,J193="",M193=0,M193="",M193="X"),0,VLOOKUP(I193,INDIRECT(MatchDay!$W$2),3,FALSE)),"")</f>
        <v>0</v>
      </c>
      <c r="T193" s="64">
        <v>3</v>
      </c>
    </row>
    <row r="194" spans="1:22" x14ac:dyDescent="0.35">
      <c r="A194" s="118">
        <f>IFERROR(VLOOKUP(A189,standards,5,FALSE),"-")</f>
        <v>1.35</v>
      </c>
      <c r="B194" s="117">
        <f ca="1">IFERROR(INDIRECT(CONCATENATE("Height!$d",A191+3)),"")</f>
        <v>4</v>
      </c>
      <c r="C194" s="117">
        <f ca="1">IFERROR(INDIRECT(CONCATENATE("Height!$E",A191+3)),"")</f>
        <v>5</v>
      </c>
      <c r="D194" s="183" t="str">
        <f ca="1">IFERROR(INDIRECT(CONCATENATE("Height!$F",$A191+3)),"")</f>
        <v>OADES James</v>
      </c>
      <c r="E194" s="64" t="str">
        <f t="shared" ca="1" si="34"/>
        <v>Scun</v>
      </c>
      <c r="F194" s="123" t="str">
        <f ca="1">IFERROR(INDIRECT(CONCATENATE("Height!$H",A191+3)),"")</f>
        <v>X</v>
      </c>
      <c r="G194" s="108" t="str">
        <f ca="1">IFERROR(IF(F194&lt;A193,"",VLOOKUP(VLOOKUP(F194,A193:T196,20,TRUE),Points!$H$1:$I$8,2,FALSE)),"")</f>
        <v/>
      </c>
      <c r="H194" s="67"/>
      <c r="I194" s="117" t="str">
        <f ca="1">IFERROR(INDIRECT(CONCATENATE("Height!$j",A191+3)),"")</f>
        <v/>
      </c>
      <c r="J194" s="117" t="str">
        <f ca="1">IFERROR(INDIRECT(CONCATENATE("Height!$L",A191+3)),"")</f>
        <v/>
      </c>
      <c r="K194" s="183" t="str">
        <f ca="1">IFERROR(INDIRECT(CONCATENATE("Height!$N",$A191+3)),"")</f>
        <v/>
      </c>
      <c r="L194" s="64" t="str">
        <f t="shared" ca="1" si="35"/>
        <v/>
      </c>
      <c r="M194" s="123">
        <f ca="1">IFERROR(INDIRECT(CONCATENATE("Height!$Z",A191+3)),"")</f>
        <v>0</v>
      </c>
      <c r="N194" s="108" t="str">
        <f ca="1">IFERROR(IF(M194&lt;A193,"",VLOOKUP(VLOOKUP(M194,A193:T196,20,TRUE),Points!$H$1:$I$8,2,FALSE)),"")</f>
        <v/>
      </c>
      <c r="P194" s="66">
        <f ca="1">IFERROR(IF(OR(C194=0,C194="",F194=0,F194="",F194="X"),0,VLOOKUP(B194,INDIRECT(MatchDay!$W$2),2,FALSE)),"")</f>
        <v>0</v>
      </c>
      <c r="Q194" s="66">
        <f ca="1">IFERROR(IF(OR(J194=0,J194="",M194=0,M194="",M194="X"),0,VLOOKUP(I194,INDIRECT(MatchDay!$W$2),3,FALSE)),"")</f>
        <v>0</v>
      </c>
      <c r="T194" s="64">
        <v>4</v>
      </c>
    </row>
    <row r="195" spans="1:22" x14ac:dyDescent="0.35">
      <c r="A195" s="118">
        <f>IFERROR(VLOOKUP(A189,standards,4,FALSE),"-")</f>
        <v>1.41</v>
      </c>
      <c r="B195" s="117" t="str">
        <f ca="1">IFERROR(INDIRECT(CONCATENATE("Height!$d",A191+4)),"")</f>
        <v/>
      </c>
      <c r="C195" s="117" t="str">
        <f ca="1">IFERROR(INDIRECT(CONCATENATE("Height!$E",A191+4)),"")</f>
        <v/>
      </c>
      <c r="D195" s="183" t="str">
        <f ca="1">IFERROR(INDIRECT(CONCATENATE("Height!$F",$A191+4)),"")</f>
        <v/>
      </c>
      <c r="E195" s="64" t="str">
        <f t="shared" ca="1" si="34"/>
        <v/>
      </c>
      <c r="F195" s="123">
        <f ca="1">IFERROR(INDIRECT(CONCATENATE("Height!$H",A191+4)),"")</f>
        <v>0</v>
      </c>
      <c r="G195" s="108" t="str">
        <f ca="1">IFERROR(IF(F195&lt;A193,"",VLOOKUP(VLOOKUP(F195,A193:T196,20,TRUE),Points!$H$1:$I$8,2,FALSE)),"")</f>
        <v/>
      </c>
      <c r="H195" s="67"/>
      <c r="I195" s="117" t="str">
        <f ca="1">IFERROR(INDIRECT(CONCATENATE("Height!$j",A191+4)),"")</f>
        <v/>
      </c>
      <c r="J195" s="117" t="str">
        <f ca="1">IFERROR(INDIRECT(CONCATENATE("Height!$L",A191+4)),"")</f>
        <v/>
      </c>
      <c r="K195" s="183" t="str">
        <f ca="1">IFERROR(INDIRECT(CONCATENATE("Height!$N",$A191+4)),"")</f>
        <v/>
      </c>
      <c r="L195" s="64" t="str">
        <f t="shared" ca="1" si="35"/>
        <v/>
      </c>
      <c r="M195" s="123">
        <f ca="1">IFERROR(INDIRECT(CONCATENATE("Height!$Z",A191+4)),"")</f>
        <v>0</v>
      </c>
      <c r="N195" s="108" t="str">
        <f ca="1">IFERROR(IF(M195&lt;A193,"",VLOOKUP(VLOOKUP(M195,A193:T196,20,TRUE),Points!$H$1:$I$8,2,FALSE)),"")</f>
        <v/>
      </c>
      <c r="P195" s="66">
        <f ca="1">IFERROR(IF(OR(C195=0,C195="",F195=0,F195="",F195="X"),0,VLOOKUP(B195,INDIRECT(MatchDay!$W$2),2,FALSE)),"")</f>
        <v>0</v>
      </c>
      <c r="Q195" s="66">
        <f ca="1">IFERROR(IF(OR(J195=0,J195="",M195=0,M195="",M195="X"),0,VLOOKUP(I195,INDIRECT(MatchDay!$W$2),3,FALSE)),"")</f>
        <v>0</v>
      </c>
      <c r="T195" s="64">
        <v>5</v>
      </c>
    </row>
    <row r="196" spans="1:22" x14ac:dyDescent="0.35">
      <c r="A196" s="118">
        <f>IFERROR(VLOOKUP(A189,standards,3,FALSE),"-")</f>
        <v>1.47</v>
      </c>
      <c r="B196" s="117" t="str">
        <f ca="1">IFERROR(INDIRECT(CONCATENATE("Height!$d",A191+5)),"")</f>
        <v/>
      </c>
      <c r="C196" s="117" t="str">
        <f ca="1">IFERROR(INDIRECT(CONCATENATE("Height!$E",A191+5)),"")</f>
        <v/>
      </c>
      <c r="D196" s="183" t="str">
        <f ca="1">IFERROR(INDIRECT(CONCATENATE("Height!$F",$A191+5)),"")</f>
        <v/>
      </c>
      <c r="E196" s="64" t="str">
        <f t="shared" ca="1" si="34"/>
        <v/>
      </c>
      <c r="F196" s="123">
        <f ca="1">IFERROR(INDIRECT(CONCATENATE("Height!$H",A191+5)),"")</f>
        <v>0</v>
      </c>
      <c r="G196" s="108" t="str">
        <f ca="1">IFERROR(IF(F196&lt;A193,"",VLOOKUP(VLOOKUP(F196,A193:T196,20,TRUE),Points!$H$1:$I$8,2,FALSE)),"")</f>
        <v/>
      </c>
      <c r="H196" s="67"/>
      <c r="I196" s="117" t="str">
        <f ca="1">IFERROR(INDIRECT(CONCATENATE("Height!$j",A191+5)),"")</f>
        <v/>
      </c>
      <c r="J196" s="117" t="str">
        <f ca="1">IFERROR(INDIRECT(CONCATENATE("Height!$L",A191+5)),"")</f>
        <v/>
      </c>
      <c r="K196" s="183" t="str">
        <f ca="1">IFERROR(INDIRECT(CONCATENATE("Height!$N",$A191+5)),"")</f>
        <v/>
      </c>
      <c r="L196" s="64" t="str">
        <f t="shared" ca="1" si="35"/>
        <v/>
      </c>
      <c r="M196" s="123">
        <f ca="1">IFERROR(INDIRECT(CONCATENATE("Height!$Z",A191+5)),"")</f>
        <v>0</v>
      </c>
      <c r="N196" s="108" t="str">
        <f ca="1">IFERROR(IF(M196&lt;A193,"",VLOOKUP(VLOOKUP(M196,A193:T196,20,TRUE),Points!$H$1:$I$8,2,FALSE)),"")</f>
        <v/>
      </c>
      <c r="P196" s="66">
        <f ca="1">IFERROR(IF(OR(C196=0,C196="",F196=0,F196="",F196="X"),0,VLOOKUP(B196,INDIRECT(MatchDay!$W$2),2,FALSE)),"")</f>
        <v>0</v>
      </c>
      <c r="Q196" s="66">
        <f ca="1">IFERROR(IF(OR(J196=0,J196="",M196=0,M196="",M196="X"),0,VLOOKUP(I196,INDIRECT(MatchDay!$W$2),3,FALSE)),"")</f>
        <v>0</v>
      </c>
      <c r="T196" s="64">
        <v>6</v>
      </c>
    </row>
    <row r="197" spans="1:22" x14ac:dyDescent="0.35">
      <c r="A197" s="116" t="s">
        <v>204</v>
      </c>
      <c r="B197" s="117" t="str">
        <f ca="1">IFERROR(INDIRECT(CONCATENATE("Height!$d",A191+6)),"")</f>
        <v/>
      </c>
      <c r="C197" s="117" t="str">
        <f ca="1">IFERROR(INDIRECT(CONCATENATE("Height!$E",A191+6)),"")</f>
        <v/>
      </c>
      <c r="D197" s="183" t="str">
        <f ca="1">IFERROR(INDIRECT(CONCATENATE("Height!$F",$A191+6)),"")</f>
        <v/>
      </c>
      <c r="E197" s="64" t="str">
        <f t="shared" ca="1" si="34"/>
        <v/>
      </c>
      <c r="F197" s="123">
        <f ca="1">IFERROR(INDIRECT(CONCATENATE("Height!$H",A191+6)),"")</f>
        <v>0</v>
      </c>
      <c r="G197" s="108" t="str">
        <f ca="1">IFERROR(IF(F197&lt;A193,"",VLOOKUP(VLOOKUP(F197,A193:T196,20,TRUE),Points!$H$1:$I$8,2,FALSE)),"")</f>
        <v/>
      </c>
      <c r="H197" s="67"/>
      <c r="I197" s="117" t="str">
        <f ca="1">IFERROR(INDIRECT(CONCATENATE("Height!$j",A191+6)),"")</f>
        <v/>
      </c>
      <c r="J197" s="117" t="str">
        <f ca="1">IFERROR(INDIRECT(CONCATENATE("Height!$L",A191+6)),"")</f>
        <v/>
      </c>
      <c r="K197" s="183" t="str">
        <f ca="1">IFERROR(INDIRECT(CONCATENATE("Height!$N",$A191+6)),"")</f>
        <v/>
      </c>
      <c r="L197" s="64" t="str">
        <f t="shared" ca="1" si="35"/>
        <v/>
      </c>
      <c r="M197" s="123">
        <f ca="1">IFERROR(INDIRECT(CONCATENATE("Height!$Z",A191+6)),"")</f>
        <v>0</v>
      </c>
      <c r="N197" s="108" t="str">
        <f ca="1">IFERROR(IF(M197&lt;A193,"",VLOOKUP(VLOOKUP(M197,A193:T196,20,TRUE),Points!$H$1:$I$8,2,FALSE)),"")</f>
        <v/>
      </c>
      <c r="P197" s="66">
        <f ca="1">IFERROR(IF(OR(C197=0,C197="",F197=0,F197="",F197="X"),0,VLOOKUP(B197,INDIRECT(MatchDay!$W$2),2,FALSE)),"")</f>
        <v>0</v>
      </c>
      <c r="Q197" s="66">
        <f ca="1">IFERROR(IF(OR(J197=0,J197="",M197=0,M197="",M197="X"),0,VLOOKUP(I197,INDIRECT(MatchDay!$W$2),3,FALSE)),"")</f>
        <v>0</v>
      </c>
    </row>
    <row r="198" spans="1:22" x14ac:dyDescent="0.35">
      <c r="A198" s="116">
        <f>IFERROR(VLOOKUP(A189,records,5,FALSE),"")</f>
        <v>1.64</v>
      </c>
      <c r="B198" s="117" t="str">
        <f ca="1">IFERROR(INDIRECT(CONCATENATE("Height!$d",A191+7)),"")</f>
        <v/>
      </c>
      <c r="C198" s="117" t="str">
        <f ca="1">IFERROR(INDIRECT(CONCATENATE("Height!$E",A191+7)),"")</f>
        <v/>
      </c>
      <c r="D198" s="183" t="str">
        <f ca="1">IFERROR(INDIRECT(CONCATENATE("Height!$F",$A191+7)),"")</f>
        <v/>
      </c>
      <c r="E198" s="64" t="str">
        <f t="shared" ca="1" si="34"/>
        <v/>
      </c>
      <c r="F198" s="123">
        <f ca="1">IFERROR(INDIRECT(CONCATENATE("Height!$H",A191+7)),"")</f>
        <v>0</v>
      </c>
      <c r="G198" s="108" t="str">
        <f ca="1">IFERROR(IF(F198&lt;A193,"",VLOOKUP(VLOOKUP(F198,A193:T196,20,TRUE),Points!$H$1:$I$8,2,FALSE)),"")</f>
        <v/>
      </c>
      <c r="H198" s="67"/>
      <c r="I198" s="117" t="str">
        <f ca="1">IFERROR(INDIRECT(CONCATENATE("Height!$j",A191+7)),"")</f>
        <v/>
      </c>
      <c r="J198" s="117" t="str">
        <f ca="1">IFERROR(INDIRECT(CONCATENATE("Height!$L",A191+7)),"")</f>
        <v/>
      </c>
      <c r="K198" s="183" t="str">
        <f ca="1">IFERROR(INDIRECT(CONCATENATE("Height!$N",$A191+7)),"")</f>
        <v/>
      </c>
      <c r="L198" s="64" t="str">
        <f t="shared" ca="1" si="35"/>
        <v/>
      </c>
      <c r="M198" s="123">
        <f ca="1">IFERROR(INDIRECT(CONCATENATE("Height!$Z",A191+7)),"")</f>
        <v>0</v>
      </c>
      <c r="N198" s="108" t="str">
        <f ca="1">IFERROR(IF(M198&lt;A193,"",VLOOKUP(VLOOKUP(M198,A193:T196,20,TRUE),Points!$H$1:$I$8,2,FALSE)),"")</f>
        <v/>
      </c>
      <c r="P198" s="66">
        <f ca="1">IFERROR(IF(OR(C198=0,C198="",F198=0,F198="",F198="X"),0,VLOOKUP(B198,INDIRECT(MatchDay!$W$2),2,FALSE)),"")</f>
        <v>0</v>
      </c>
      <c r="Q198" s="66">
        <f ca="1">IFERROR(IF(OR(J198=0,J198="",M198=0,M198="",M198="X"),0,VLOOKUP(I198,INDIRECT(MatchDay!$W$2),3,FALSE)),"")</f>
        <v>0</v>
      </c>
    </row>
    <row r="200" spans="1:22" x14ac:dyDescent="0.35">
      <c r="A200" s="111" t="s">
        <v>238</v>
      </c>
      <c r="B200" s="112" t="str">
        <f>IFERROR(VLOOKUP(A200,timetables,2,FALSE)&amp;" "&amp;VLOOKUP(A200,timetables,3,FALSE)&amp;" A","")</f>
        <v>High Jump U13 Girls A</v>
      </c>
      <c r="C200" s="112"/>
      <c r="F200" s="121" t="str">
        <f ca="1">IFERROR(IF(OR(F202=0,F202="",F202="X"),"",IF(F202&gt;A209,"REC",IF(F202=A209,"=Rec",""))),"")</f>
        <v/>
      </c>
      <c r="G200" s="198" t="str">
        <f ca="1">IFERROR(IF(OR(F202=0,F202="",F202="X"),"",IF(F202&gt;A209,"REC",IF(F202=A209,"=Rec",""))),"")</f>
        <v/>
      </c>
      <c r="I200" s="114" t="str">
        <f>IFERROR(VLOOKUP(A200,timetables,2,FALSE)&amp;" "&amp;VLOOKUP(A200,timetables,3,FALSE)&amp;" B","")</f>
        <v>High Jump U13 Girls B</v>
      </c>
      <c r="J200" s="115"/>
      <c r="P200" s="66" t="s">
        <v>53</v>
      </c>
      <c r="Q200" s="66" t="s">
        <v>54</v>
      </c>
    </row>
    <row r="201" spans="1:22" x14ac:dyDescent="0.35">
      <c r="A201" s="82"/>
      <c r="B201" s="45" t="s">
        <v>230</v>
      </c>
      <c r="C201" s="45" t="s">
        <v>159</v>
      </c>
      <c r="D201" s="47" t="s">
        <v>227</v>
      </c>
      <c r="E201" s="47" t="s">
        <v>228</v>
      </c>
      <c r="F201" s="45" t="s">
        <v>229</v>
      </c>
      <c r="G201" s="126" t="s">
        <v>55</v>
      </c>
      <c r="H201" s="47"/>
      <c r="I201" s="45" t="s">
        <v>230</v>
      </c>
      <c r="J201" s="45" t="s">
        <v>159</v>
      </c>
      <c r="K201" s="47" t="s">
        <v>227</v>
      </c>
      <c r="L201" s="47" t="s">
        <v>228</v>
      </c>
      <c r="M201" s="45" t="s">
        <v>229</v>
      </c>
      <c r="N201" s="126" t="s">
        <v>55</v>
      </c>
    </row>
    <row r="202" spans="1:22" x14ac:dyDescent="0.35">
      <c r="A202" s="66">
        <f>IFERROR(VLOOKUP(A200,Height!A:B,2,FALSE),"")</f>
        <v>91</v>
      </c>
      <c r="B202" s="117">
        <f ca="1">IFERROR(INDIRECT(CONCATENATE("Height!$d",A202)),"")</f>
        <v>1</v>
      </c>
      <c r="C202" s="117">
        <f ca="1">IFERROR(INDIRECT(CONCATENATE("Height!$E",A202)),"")</f>
        <v>33</v>
      </c>
      <c r="D202" s="183" t="str">
        <f ca="1">IFERROR(INDIRECT(CONCATENATE("Height!$F",$A202)),"")</f>
        <v>POUNDER Esme</v>
      </c>
      <c r="E202" s="64" t="str">
        <f t="shared" ref="E202:E209" ca="1" si="36">IFERROR(VLOOKUP(C202,teamlookup,5,FALSE),"")</f>
        <v>York</v>
      </c>
      <c r="F202" s="123">
        <f ca="1">IFERROR(INDIRECT(CONCATENATE("Height!$H",A202)),"")</f>
        <v>1.41</v>
      </c>
      <c r="G202" s="108">
        <f ca="1">IFERROR(IF(F202&lt;A204,"",VLOOKUP(VLOOKUP(F202,A204:T207,20,TRUE),Points!$H$1:$I$8,2,FALSE)),"")</f>
        <v>1</v>
      </c>
      <c r="H202" s="67"/>
      <c r="I202" s="117">
        <f ca="1">IFERROR(INDIRECT(CONCATENATE("Height!$j",A202)),"")</f>
        <v>1</v>
      </c>
      <c r="J202" s="117">
        <f ca="1">IFERROR(INDIRECT(CONCATENATE("Height!$L",A202)),"")</f>
        <v>3</v>
      </c>
      <c r="K202" s="183" t="str">
        <f ca="1">IFERROR(INDIRECT(CONCATENATE("Height!$N",$A202)),"")</f>
        <v>CLAGUE Kathryn</v>
      </c>
      <c r="L202" s="64" t="str">
        <f t="shared" ref="L202:L209" ca="1" si="37">IFERROR(VLOOKUP(J202,teamlookup,5,FALSE),"")</f>
        <v>York</v>
      </c>
      <c r="M202" s="123">
        <f ca="1">IFERROR(INDIRECT(CONCATENATE("Height!$Z",A202)),"")</f>
        <v>1.3</v>
      </c>
      <c r="N202" s="108">
        <f ca="1">IFERROR(IF(M202&lt;A204,"",VLOOKUP(VLOOKUP(M202,A204:T207,20,TRUE),Points!$H$1:$I$8,2,FALSE)),"")</f>
        <v>3</v>
      </c>
      <c r="P202" s="66">
        <f ca="1">IFERROR(IF(OR(C202=0,C202="",F202=0,F202="",F202="X"),0,VLOOKUP(B202,INDIRECT(MatchDay!$W$2),2,FALSE)),"")</f>
        <v>8</v>
      </c>
      <c r="Q202" s="66">
        <f ca="1">IFERROR(IF(OR(J202=0,J202="",M202=0,M202="",M202="X"),0,VLOOKUP(I202,INDIRECT(MatchDay!$W$2),3,FALSE)),"")</f>
        <v>6</v>
      </c>
      <c r="R202" s="219">
        <f ca="1">COUNTIF(C202,"&gt;0")</f>
        <v>1</v>
      </c>
      <c r="S202" s="66">
        <f ca="1">IFERROR(IF(C202&gt;88,1,0),0)</f>
        <v>0</v>
      </c>
    </row>
    <row r="203" spans="1:22" x14ac:dyDescent="0.35">
      <c r="A203" s="116" t="s">
        <v>55</v>
      </c>
      <c r="B203" s="117">
        <f ca="1">IFERROR(INDIRECT(CONCATENATE("Height!$d",A202+1)),"")</f>
        <v>2</v>
      </c>
      <c r="C203" s="117">
        <f ca="1">IFERROR(INDIRECT(CONCATENATE("Height!$E",A202+1)),"")</f>
        <v>11</v>
      </c>
      <c r="D203" s="183" t="str">
        <f ca="1">IFERROR(INDIRECT(CONCATENATE("Height!$F",$A202+1)),"")</f>
        <v>STANILAND Charlotte</v>
      </c>
      <c r="E203" s="64" t="str">
        <f t="shared" ca="1" si="36"/>
        <v>C'field</v>
      </c>
      <c r="F203" s="123">
        <f ca="1">IFERROR(INDIRECT(CONCATENATE("Height!$H",A202+1)),"")</f>
        <v>1.3</v>
      </c>
      <c r="G203" s="108">
        <f ca="1">IFERROR(IF(F203&lt;A204,"",VLOOKUP(VLOOKUP(F203,A204:T207,20,TRUE),Points!$H$1:$I$8,2,FALSE)),"")</f>
        <v>3</v>
      </c>
      <c r="H203" s="67"/>
      <c r="I203" s="117">
        <f ca="1">IFERROR(INDIRECT(CONCATENATE("Height!$j",A202+1)),"")</f>
        <v>2</v>
      </c>
      <c r="J203" s="117">
        <f ca="1">IFERROR(INDIRECT(CONCATENATE("Height!$L",A202+1)),"")</f>
        <v>1</v>
      </c>
      <c r="K203" s="183" t="str">
        <f ca="1">IFERROR(INDIRECT(CONCATENATE("Height!$N",$A202+1)),"")</f>
        <v>HUMPHREYS Melissa</v>
      </c>
      <c r="L203" s="64" t="str">
        <f t="shared" ca="1" si="37"/>
        <v>C'field</v>
      </c>
      <c r="M203" s="123">
        <f ca="1">IFERROR(INDIRECT(CONCATENATE("Height!$Z",A202+1)),"")</f>
        <v>1.3</v>
      </c>
      <c r="N203" s="108">
        <f ca="1">IFERROR(IF(M203&lt;A204,"",VLOOKUP(VLOOKUP(M203,A204:T207,20,TRUE),Points!$H$1:$I$8,2,FALSE)),"")</f>
        <v>3</v>
      </c>
      <c r="P203" s="66">
        <f ca="1">IFERROR(IF(OR(C203=0,C203="",F203=0,F203="",F203="X"),0,VLOOKUP(B203,INDIRECT(MatchDay!$W$2),2,FALSE)),"")</f>
        <v>6</v>
      </c>
      <c r="Q203" s="66">
        <f ca="1">IFERROR(IF(OR(J203=0,J203="",M203=0,M203="",M203="X"),0,VLOOKUP(I203,INDIRECT(MatchDay!$W$2),3,FALSE)),"")</f>
        <v>4</v>
      </c>
      <c r="V203" s="148"/>
    </row>
    <row r="204" spans="1:22" x14ac:dyDescent="0.35">
      <c r="A204" s="118">
        <f>IFERROR(VLOOKUP(A200,standards,6,FALSE),"-")</f>
        <v>1.25</v>
      </c>
      <c r="B204" s="117">
        <f ca="1">IFERROR(INDIRECT(CONCATENATE("Height!$d",A202+2)),"")</f>
        <v>3</v>
      </c>
      <c r="C204" s="117">
        <f ca="1">IFERROR(INDIRECT(CONCATENATE("Height!$E",A202+2)),"")</f>
        <v>2</v>
      </c>
      <c r="D204" s="183" t="str">
        <f ca="1">IFERROR(INDIRECT(CONCATENATE("Height!$F",$A202+2)),"")</f>
        <v>ROBERTS Eve</v>
      </c>
      <c r="E204" s="64" t="str">
        <f t="shared" ca="1" si="36"/>
        <v>Sheff+D</v>
      </c>
      <c r="F204" s="123">
        <f ca="1">IFERROR(INDIRECT(CONCATENATE("Height!$H",A202+2)),"")</f>
        <v>1.2</v>
      </c>
      <c r="G204" s="108" t="str">
        <f ca="1">IFERROR(IF(F204&lt;A204,"",VLOOKUP(VLOOKUP(F204,A204:T207,20,TRUE),Points!$H$1:$I$8,2,FALSE)),"")</f>
        <v/>
      </c>
      <c r="H204" s="67"/>
      <c r="I204" s="117">
        <f ca="1">IFERROR(INDIRECT(CONCATENATE("Height!$j",A202+2)),"")</f>
        <v>3</v>
      </c>
      <c r="J204" s="117">
        <f ca="1">IFERROR(INDIRECT(CONCATENATE("Height!$L",A202+2)),"")</f>
        <v>22</v>
      </c>
      <c r="K204" s="183" t="str">
        <f ca="1">IFERROR(INDIRECT(CONCATENATE("Height!$N",$A202+2)),"")</f>
        <v>HARTLEY Eleanor</v>
      </c>
      <c r="L204" s="64" t="str">
        <f t="shared" ca="1" si="37"/>
        <v>Sheff+D</v>
      </c>
      <c r="M204" s="123">
        <f ca="1">IFERROR(INDIRECT(CONCATENATE("Height!$Z",A202+2)),"")</f>
        <v>1.2</v>
      </c>
      <c r="N204" s="108" t="str">
        <f ca="1">IFERROR(IF(M204&lt;A204,"",VLOOKUP(VLOOKUP(M204,A204:T207,20,TRUE),Points!$H$1:$I$8,2,FALSE)),"")</f>
        <v/>
      </c>
      <c r="P204" s="66">
        <f ca="1">IFERROR(IF(OR(C204=0,C204="",F204=0,F204="",F204="X"),0,VLOOKUP(B204,INDIRECT(MatchDay!$W$2),2,FALSE)),"")</f>
        <v>5</v>
      </c>
      <c r="Q204" s="66">
        <f ca="1">IFERROR(IF(OR(J204=0,J204="",M204=0,M204="",M204="X"),0,VLOOKUP(I204,INDIRECT(MatchDay!$W$2),3,FALSE)),"")</f>
        <v>3</v>
      </c>
      <c r="T204" s="64">
        <v>3</v>
      </c>
    </row>
    <row r="205" spans="1:22" x14ac:dyDescent="0.35">
      <c r="A205" s="118">
        <f>IFERROR(VLOOKUP(A200,standards,5,FALSE),"-")</f>
        <v>1.3</v>
      </c>
      <c r="B205" s="117" t="str">
        <f ca="1">IFERROR(INDIRECT(CONCATENATE("Height!$d",A202+3)),"")</f>
        <v/>
      </c>
      <c r="C205" s="117" t="str">
        <f ca="1">IFERROR(INDIRECT(CONCATENATE("Height!$E",A202+3)),"")</f>
        <v/>
      </c>
      <c r="D205" s="183" t="str">
        <f ca="1">IFERROR(INDIRECT(CONCATENATE("Height!$F",$A202+3)),"")</f>
        <v/>
      </c>
      <c r="E205" s="64" t="str">
        <f t="shared" ca="1" si="36"/>
        <v/>
      </c>
      <c r="F205" s="123">
        <f ca="1">IFERROR(INDIRECT(CONCATENATE("Height!$H",A202+3)),"")</f>
        <v>0</v>
      </c>
      <c r="G205" s="108" t="str">
        <f ca="1">IFERROR(IF(F205&lt;A204,"",VLOOKUP(VLOOKUP(F205,A204:T207,20,TRUE),Points!$H$1:$I$8,2,FALSE)),"")</f>
        <v/>
      </c>
      <c r="H205" s="67"/>
      <c r="I205" s="117" t="str">
        <f ca="1">IFERROR(INDIRECT(CONCATENATE("Height!$j",A202+3)),"")</f>
        <v/>
      </c>
      <c r="J205" s="117" t="str">
        <f ca="1">IFERROR(INDIRECT(CONCATENATE("Height!$L",A202+3)),"")</f>
        <v/>
      </c>
      <c r="K205" s="183" t="str">
        <f ca="1">IFERROR(INDIRECT(CONCATENATE("Height!$N",$A202+3)),"")</f>
        <v/>
      </c>
      <c r="L205" s="64" t="str">
        <f t="shared" ca="1" si="37"/>
        <v/>
      </c>
      <c r="M205" s="123">
        <f ca="1">IFERROR(INDIRECT(CONCATENATE("Height!$Z",A202+3)),"")</f>
        <v>0</v>
      </c>
      <c r="N205" s="108" t="str">
        <f ca="1">IFERROR(IF(M205&lt;A204,"",VLOOKUP(VLOOKUP(M205,A204:T207,20,TRUE),Points!$H$1:$I$8,2,FALSE)),"")</f>
        <v/>
      </c>
      <c r="P205" s="66">
        <f ca="1">IFERROR(IF(OR(C205=0,C205="",F205=0,F205="",F205="X"),0,VLOOKUP(B205,INDIRECT(MatchDay!$W$2),2,FALSE)),"")</f>
        <v>0</v>
      </c>
      <c r="Q205" s="66">
        <f ca="1">IFERROR(IF(OR(J205=0,J205="",M205=0,M205="",M205="X"),0,VLOOKUP(I205,INDIRECT(MatchDay!$W$2),3,FALSE)),"")</f>
        <v>0</v>
      </c>
      <c r="T205" s="64">
        <v>4</v>
      </c>
    </row>
    <row r="206" spans="1:22" x14ac:dyDescent="0.35">
      <c r="A206" s="118">
        <f>IFERROR(VLOOKUP(A200,standards,4,FALSE),"-")</f>
        <v>1.35</v>
      </c>
      <c r="B206" s="117" t="str">
        <f ca="1">IFERROR(INDIRECT(CONCATENATE("Height!$d",A202+4)),"")</f>
        <v/>
      </c>
      <c r="C206" s="117" t="str">
        <f ca="1">IFERROR(INDIRECT(CONCATENATE("Height!$E",A202+4)),"")</f>
        <v/>
      </c>
      <c r="D206" s="183" t="str">
        <f ca="1">IFERROR(INDIRECT(CONCATENATE("Height!$F",$A202+4)),"")</f>
        <v/>
      </c>
      <c r="E206" s="64" t="str">
        <f t="shared" ca="1" si="36"/>
        <v/>
      </c>
      <c r="F206" s="123">
        <f ca="1">IFERROR(INDIRECT(CONCATENATE("Height!$H",A202+4)),"")</f>
        <v>0</v>
      </c>
      <c r="G206" s="108" t="str">
        <f ca="1">IFERROR(IF(F206&lt;A204,"",VLOOKUP(VLOOKUP(F206,A204:T207,20,TRUE),Points!$H$1:$I$8,2,FALSE)),"")</f>
        <v/>
      </c>
      <c r="H206" s="67"/>
      <c r="I206" s="117" t="str">
        <f ca="1">IFERROR(INDIRECT(CONCATENATE("Height!$j",A202+4)),"")</f>
        <v/>
      </c>
      <c r="J206" s="117" t="str">
        <f ca="1">IFERROR(INDIRECT(CONCATENATE("Height!$L",A202+4)),"")</f>
        <v/>
      </c>
      <c r="K206" s="183" t="str">
        <f ca="1">IFERROR(INDIRECT(CONCATENATE("Height!$N",$A202+4)),"")</f>
        <v/>
      </c>
      <c r="L206" s="64" t="str">
        <f t="shared" ca="1" si="37"/>
        <v/>
      </c>
      <c r="M206" s="123">
        <f ca="1">IFERROR(INDIRECT(CONCATENATE("Height!$Z",A202+4)),"")</f>
        <v>0</v>
      </c>
      <c r="N206" s="108" t="str">
        <f ca="1">IFERROR(IF(M206&lt;A204,"",VLOOKUP(VLOOKUP(M206,A204:T207,20,TRUE),Points!$H$1:$I$8,2,FALSE)),"")</f>
        <v/>
      </c>
      <c r="P206" s="66">
        <f ca="1">IFERROR(IF(OR(C206=0,C206="",F206=0,F206="",F206="X"),0,VLOOKUP(B206,INDIRECT(MatchDay!$W$2),2,FALSE)),"")</f>
        <v>0</v>
      </c>
      <c r="Q206" s="66">
        <f ca="1">IFERROR(IF(OR(J206=0,J206="",M206=0,M206="",M206="X"),0,VLOOKUP(I206,INDIRECT(MatchDay!$W$2),3,FALSE)),"")</f>
        <v>0</v>
      </c>
      <c r="T206" s="64">
        <v>5</v>
      </c>
    </row>
    <row r="207" spans="1:22" x14ac:dyDescent="0.35">
      <c r="A207" s="118">
        <f>IFERROR(VLOOKUP(A200,standards,3,FALSE),"-")</f>
        <v>1.4</v>
      </c>
      <c r="B207" s="117" t="str">
        <f ca="1">IFERROR(INDIRECT(CONCATENATE("Height!$d",A202+5)),"")</f>
        <v/>
      </c>
      <c r="C207" s="117" t="str">
        <f ca="1">IFERROR(INDIRECT(CONCATENATE("Height!$E",A202+5)),"")</f>
        <v/>
      </c>
      <c r="D207" s="183" t="str">
        <f ca="1">IFERROR(INDIRECT(CONCATENATE("Height!$F",$A202+5)),"")</f>
        <v/>
      </c>
      <c r="E207" s="64" t="str">
        <f t="shared" ca="1" si="36"/>
        <v/>
      </c>
      <c r="F207" s="123">
        <f ca="1">IFERROR(INDIRECT(CONCATENATE("Height!$H",A202+5)),"")</f>
        <v>0</v>
      </c>
      <c r="G207" s="108" t="str">
        <f ca="1">IFERROR(IF(F207&lt;A204,"",VLOOKUP(VLOOKUP(F207,A204:T207,20,TRUE),Points!$H$1:$I$8,2,FALSE)),"")</f>
        <v/>
      </c>
      <c r="H207" s="67"/>
      <c r="I207" s="117" t="str">
        <f ca="1">IFERROR(INDIRECT(CONCATENATE("Height!$j",A202+5)),"")</f>
        <v/>
      </c>
      <c r="J207" s="117" t="str">
        <f ca="1">IFERROR(INDIRECT(CONCATENATE("Height!$L",A202+5)),"")</f>
        <v/>
      </c>
      <c r="K207" s="183" t="str">
        <f ca="1">IFERROR(INDIRECT(CONCATENATE("Height!$N",$A202+5)),"")</f>
        <v/>
      </c>
      <c r="L207" s="64" t="str">
        <f t="shared" ca="1" si="37"/>
        <v/>
      </c>
      <c r="M207" s="123">
        <f ca="1">IFERROR(INDIRECT(CONCATENATE("Height!$Z",A202+5)),"")</f>
        <v>0</v>
      </c>
      <c r="N207" s="108" t="str">
        <f ca="1">IFERROR(IF(M207&lt;A204,"",VLOOKUP(VLOOKUP(M207,A204:T207,20,TRUE),Points!$H$1:$I$8,2,FALSE)),"")</f>
        <v/>
      </c>
      <c r="P207" s="66">
        <f ca="1">IFERROR(IF(OR(C207=0,C207="",F207=0,F207="",F207="X"),0,VLOOKUP(B207,INDIRECT(MatchDay!$W$2),2,FALSE)),"")</f>
        <v>0</v>
      </c>
      <c r="Q207" s="66">
        <f ca="1">IFERROR(IF(OR(J207=0,J207="",M207=0,M207="",M207="X"),0,VLOOKUP(I207,INDIRECT(MatchDay!$W$2),3,FALSE)),"")</f>
        <v>0</v>
      </c>
      <c r="T207" s="64">
        <v>6</v>
      </c>
    </row>
    <row r="208" spans="1:22" x14ac:dyDescent="0.35">
      <c r="A208" s="116" t="s">
        <v>204</v>
      </c>
      <c r="B208" s="117" t="str">
        <f ca="1">IFERROR(INDIRECT(CONCATENATE("Height!$d",A202+6)),"")</f>
        <v/>
      </c>
      <c r="C208" s="117" t="str">
        <f ca="1">IFERROR(INDIRECT(CONCATENATE("Height!$E",A202+6)),"")</f>
        <v/>
      </c>
      <c r="D208" s="183" t="str">
        <f ca="1">IFERROR(INDIRECT(CONCATENATE("Height!$F",$A202+6)),"")</f>
        <v/>
      </c>
      <c r="E208" s="64" t="str">
        <f t="shared" ca="1" si="36"/>
        <v/>
      </c>
      <c r="F208" s="123">
        <f ca="1">IFERROR(INDIRECT(CONCATENATE("Height!$H",A202+6)),"")</f>
        <v>0</v>
      </c>
      <c r="G208" s="108" t="str">
        <f ca="1">IFERROR(IF(F208&lt;A204,"",VLOOKUP(VLOOKUP(F208,A204:T207,20,TRUE),Points!$H$1:$I$8,2,FALSE)),"")</f>
        <v/>
      </c>
      <c r="H208" s="67"/>
      <c r="I208" s="117" t="str">
        <f ca="1">IFERROR(INDIRECT(CONCATENATE("Height!$j",A202+6)),"")</f>
        <v/>
      </c>
      <c r="J208" s="117" t="str">
        <f ca="1">IFERROR(INDIRECT(CONCATENATE("Height!$L",A202+6)),"")</f>
        <v/>
      </c>
      <c r="K208" s="183" t="str">
        <f ca="1">IFERROR(INDIRECT(CONCATENATE("Height!$N",$A202+6)),"")</f>
        <v/>
      </c>
      <c r="L208" s="64" t="str">
        <f t="shared" ca="1" si="37"/>
        <v/>
      </c>
      <c r="M208" s="123">
        <f ca="1">IFERROR(INDIRECT(CONCATENATE("Height!$Z",A202+6)),"")</f>
        <v>0</v>
      </c>
      <c r="N208" s="108" t="str">
        <f ca="1">IFERROR(IF(M208&lt;A204,"",VLOOKUP(VLOOKUP(M208,A204:T207,20,TRUE),Points!$H$1:$I$8,2,FALSE)),"")</f>
        <v/>
      </c>
      <c r="P208" s="66">
        <f ca="1">IFERROR(IF(OR(C208=0,C208="",F208=0,F208="",F208="X"),0,VLOOKUP(B208,INDIRECT(MatchDay!$W$2),2,FALSE)),"")</f>
        <v>0</v>
      </c>
      <c r="Q208" s="66">
        <f ca="1">IFERROR(IF(OR(J208=0,J208="",M208=0,M208="",M208="X"),0,VLOOKUP(I208,INDIRECT(MatchDay!$W$2),3,FALSE)),"")</f>
        <v>0</v>
      </c>
    </row>
    <row r="209" spans="1:20" x14ac:dyDescent="0.35">
      <c r="A209" s="116">
        <f>IFERROR(VLOOKUP(A200,records,5,FALSE),"")</f>
        <v>1.6</v>
      </c>
      <c r="B209" s="117" t="str">
        <f ca="1">IFERROR(INDIRECT(CONCATENATE("Height!$d",A202+7)),"")</f>
        <v/>
      </c>
      <c r="C209" s="117" t="str">
        <f ca="1">IFERROR(INDIRECT(CONCATENATE("Height!$E",A202+7)),"")</f>
        <v/>
      </c>
      <c r="D209" s="183" t="str">
        <f ca="1">IFERROR(INDIRECT(CONCATENATE("Height!$F",$A202+7)),"")</f>
        <v/>
      </c>
      <c r="E209" s="64" t="str">
        <f t="shared" ca="1" si="36"/>
        <v/>
      </c>
      <c r="F209" s="123">
        <f ca="1">IFERROR(INDIRECT(CONCATENATE("Height!$H",A202+7)),"")</f>
        <v>0</v>
      </c>
      <c r="G209" s="108" t="str">
        <f ca="1">IFERROR(IF(F209&lt;A204,"",VLOOKUP(VLOOKUP(F209,A204:T207,20,TRUE),Points!$H$1:$I$8,2,FALSE)),"")</f>
        <v/>
      </c>
      <c r="H209" s="67"/>
      <c r="I209" s="117" t="str">
        <f ca="1">IFERROR(INDIRECT(CONCATENATE("Height!$j",A202+7)),"")</f>
        <v/>
      </c>
      <c r="J209" s="117" t="str">
        <f ca="1">IFERROR(INDIRECT(CONCATENATE("Height!$L",A202+7)),"")</f>
        <v/>
      </c>
      <c r="K209" s="183" t="str">
        <f ca="1">IFERROR(INDIRECT(CONCATENATE("Height!$N",$A202+7)),"")</f>
        <v/>
      </c>
      <c r="L209" s="64" t="str">
        <f t="shared" ca="1" si="37"/>
        <v/>
      </c>
      <c r="M209" s="123">
        <f ca="1">IFERROR(INDIRECT(CONCATENATE("Height!$Z",A202+7)),"")</f>
        <v>0</v>
      </c>
      <c r="N209" s="108" t="str">
        <f ca="1">IFERROR(IF(M209&lt;A204,"",VLOOKUP(VLOOKUP(M209,A204:T207,20,TRUE),Points!$H$1:$I$8,2,FALSE)),"")</f>
        <v/>
      </c>
      <c r="P209" s="66">
        <f ca="1">IFERROR(IF(OR(C209=0,C209="",F209=0,F209="",F209="X"),0,VLOOKUP(B209,INDIRECT(MatchDay!$W$2),2,FALSE)),"")</f>
        <v>0</v>
      </c>
      <c r="Q209" s="66">
        <f ca="1">IFERROR(IF(OR(J209=0,J209="",M209=0,M209="",M209="X"),0,VLOOKUP(I209,INDIRECT(MatchDay!$W$2),3,FALSE)),"")</f>
        <v>0</v>
      </c>
    </row>
    <row r="211" spans="1:20" x14ac:dyDescent="0.35">
      <c r="A211" s="111" t="s">
        <v>239</v>
      </c>
      <c r="B211" s="112" t="str">
        <f>IFERROR(VLOOKUP(A211,timetables,2,FALSE)&amp;" "&amp;VLOOKUP(A211,timetables,3,FALSE)&amp;" A","")</f>
        <v>Pole Vault U15 Boys A</v>
      </c>
      <c r="C211" s="112"/>
      <c r="F211" s="121" t="str">
        <f ca="1">IFERROR(IF(OR(F213=0,F213="",F213="X"),"",IF(F213&gt;A220,"REC",IF(F213=A220,"=Rec",""))),"")</f>
        <v/>
      </c>
      <c r="G211" s="198" t="str">
        <f ca="1">IFERROR(IF(OR(F213=0,F213="",F213="X"),"",IF(F213&gt;A220,"REC",IF(F213=A220,"=Rec",""))),"")</f>
        <v/>
      </c>
      <c r="I211" s="114" t="str">
        <f>IFERROR(VLOOKUP(A211,timetables,2,FALSE)&amp;" "&amp;VLOOKUP(A211,timetables,3,FALSE)&amp;" B","")</f>
        <v>Pole Vault U15 Boys B</v>
      </c>
      <c r="J211" s="115"/>
      <c r="P211" s="66" t="s">
        <v>53</v>
      </c>
      <c r="Q211" s="66" t="s">
        <v>54</v>
      </c>
    </row>
    <row r="212" spans="1:20" x14ac:dyDescent="0.35">
      <c r="A212" s="82"/>
      <c r="B212" s="45" t="s">
        <v>230</v>
      </c>
      <c r="C212" s="45" t="s">
        <v>159</v>
      </c>
      <c r="D212" s="47" t="s">
        <v>227</v>
      </c>
      <c r="E212" s="47" t="s">
        <v>228</v>
      </c>
      <c r="F212" s="45" t="s">
        <v>229</v>
      </c>
      <c r="G212" s="126" t="s">
        <v>55</v>
      </c>
      <c r="H212" s="47"/>
      <c r="I212" s="45" t="s">
        <v>230</v>
      </c>
      <c r="J212" s="45" t="s">
        <v>159</v>
      </c>
      <c r="K212" s="47" t="s">
        <v>227</v>
      </c>
      <c r="L212" s="47" t="s">
        <v>228</v>
      </c>
      <c r="M212" s="45" t="s">
        <v>229</v>
      </c>
      <c r="N212" s="126" t="s">
        <v>55</v>
      </c>
    </row>
    <row r="213" spans="1:20" x14ac:dyDescent="0.35">
      <c r="A213" s="66">
        <f>IFERROR(VLOOKUP(A211,Height!A:B,2,FALSE),"")</f>
        <v>123</v>
      </c>
      <c r="B213" s="117">
        <f ca="1">IFERROR(INDIRECT(CONCATENATE("Height!$d",A213)),"")</f>
        <v>1</v>
      </c>
      <c r="C213" s="117">
        <f ca="1">IFERROR(INDIRECT(CONCATENATE("Height!$E",A213)),"")</f>
        <v>2</v>
      </c>
      <c r="D213" s="183" t="str">
        <f ca="1">IFERROR(INDIRECT(CONCATENATE("Height!$F",$A213)),"")</f>
        <v>LANE William</v>
      </c>
      <c r="E213" s="64" t="str">
        <f t="shared" ref="E213:E220" ca="1" si="38">IFERROR(VLOOKUP(C213,teamlookup,5,FALSE),"")</f>
        <v>Sheff+D</v>
      </c>
      <c r="F213" s="123">
        <f ca="1">IFERROR(INDIRECT(CONCATENATE("Height!$H",A213)),"")</f>
        <v>3</v>
      </c>
      <c r="G213" s="108">
        <f ca="1">IFERROR(IF(F213&lt;A215,"",VLOOKUP(VLOOKUP(F213,A215:T218,20,TRUE),Points!$H$1:$I$8,2,FALSE)),"")</f>
        <v>3</v>
      </c>
      <c r="H213" s="67"/>
      <c r="I213" s="117" t="str">
        <f ca="1">IFERROR(INDIRECT(CONCATENATE("Height!$j",A213)),"")</f>
        <v/>
      </c>
      <c r="J213" s="117" t="str">
        <f ca="1">IFERROR(INDIRECT(CONCATENATE("Height!$L",A213)),"")</f>
        <v/>
      </c>
      <c r="K213" s="183" t="str">
        <f ca="1">IFERROR(INDIRECT(CONCATENATE("Height!$N",$A213)),"")</f>
        <v/>
      </c>
      <c r="L213" s="64" t="str">
        <f t="shared" ref="L213:L220" ca="1" si="39">IFERROR(VLOOKUP(J213,teamlookup,5,FALSE),"")</f>
        <v/>
      </c>
      <c r="M213" s="123">
        <f ca="1">IFERROR(INDIRECT(CONCATENATE("Height!$Z",A213)),"")</f>
        <v>0</v>
      </c>
      <c r="N213" s="108" t="str">
        <f ca="1">IFERROR(IF(M213&lt;A215,"",VLOOKUP(VLOOKUP(M213,A215:T218,20,TRUE),Points!$H$1:$I$8,2,FALSE)),"")</f>
        <v/>
      </c>
      <c r="P213" s="66">
        <f ca="1">IFERROR(IF(OR(C213=0,C213="",F213=0,F213="",F213="X"),0,VLOOKUP(B213,INDIRECT(MatchDay!$W$2),2,FALSE)),"")</f>
        <v>8</v>
      </c>
      <c r="Q213" s="66">
        <f ca="1">IFERROR(IF(OR(J213=0,J213="",M213=0,M213="",M213="X"),0,VLOOKUP(I213,INDIRECT(MatchDay!$W$2),3,FALSE)),"")</f>
        <v>0</v>
      </c>
      <c r="R213" s="219">
        <f ca="1">COUNTIF(C213,"&gt;0")</f>
        <v>1</v>
      </c>
      <c r="S213" s="66">
        <f ca="1">IFERROR(IF(C213&gt;88,1,0),0)</f>
        <v>0</v>
      </c>
    </row>
    <row r="214" spans="1:20" x14ac:dyDescent="0.35">
      <c r="A214" s="116" t="s">
        <v>55</v>
      </c>
      <c r="B214" s="117">
        <f ca="1">IFERROR(INDIRECT(CONCATENATE("Height!$d",A213+1)),"")</f>
        <v>2</v>
      </c>
      <c r="C214" s="117">
        <f ca="1">IFERROR(INDIRECT(CONCATENATE("Height!$E",A213+1)),"")</f>
        <v>3</v>
      </c>
      <c r="D214" s="183" t="str">
        <f ca="1">IFERROR(INDIRECT(CONCATENATE("Height!$F",$A213+1)),"")</f>
        <v>BOWSHER James</v>
      </c>
      <c r="E214" s="64" t="str">
        <f t="shared" ca="1" si="38"/>
        <v>York</v>
      </c>
      <c r="F214" s="123">
        <f ca="1">IFERROR(INDIRECT(CONCATENATE("Height!$H",A213+1)),"")</f>
        <v>2.1</v>
      </c>
      <c r="G214" s="108" t="str">
        <f ca="1">IFERROR(IF(F214&lt;A215,"",VLOOKUP(VLOOKUP(F214,A215:T218,20,TRUE),Points!$H$1:$I$8,2,FALSE)),"")</f>
        <v/>
      </c>
      <c r="H214" s="67"/>
      <c r="I214" s="117" t="str">
        <f ca="1">IFERROR(INDIRECT(CONCATENATE("Height!$j",A213+1)),"")</f>
        <v/>
      </c>
      <c r="J214" s="117" t="str">
        <f ca="1">IFERROR(INDIRECT(CONCATENATE("Height!$L",A213+1)),"")</f>
        <v/>
      </c>
      <c r="K214" s="183" t="str">
        <f ca="1">IFERROR(INDIRECT(CONCATENATE("Height!$N",$A213+1)),"")</f>
        <v/>
      </c>
      <c r="L214" s="64" t="str">
        <f t="shared" ca="1" si="39"/>
        <v/>
      </c>
      <c r="M214" s="123">
        <f ca="1">IFERROR(INDIRECT(CONCATENATE("Height!$Z",A213+1)),"")</f>
        <v>0</v>
      </c>
      <c r="N214" s="108" t="str">
        <f ca="1">IFERROR(IF(M214&lt;A215,"",VLOOKUP(VLOOKUP(M214,A215:T218,20,TRUE),Points!$H$1:$I$8,2,FALSE)),"")</f>
        <v/>
      </c>
      <c r="P214" s="66">
        <f ca="1">IFERROR(IF(OR(C214=0,C214="",F214=0,F214="",F214="X"),0,VLOOKUP(B214,INDIRECT(MatchDay!$W$2),2,FALSE)),"")</f>
        <v>6</v>
      </c>
      <c r="Q214" s="66">
        <f ca="1">IFERROR(IF(OR(J214=0,J214="",M214=0,M214="",M214="X"),0,VLOOKUP(I214,INDIRECT(MatchDay!$W$2),3,FALSE)),"")</f>
        <v>0</v>
      </c>
    </row>
    <row r="215" spans="1:20" x14ac:dyDescent="0.35">
      <c r="A215" s="118">
        <f>IFERROR(VLOOKUP(A211,standards,6,FALSE),"-")</f>
        <v>2.4</v>
      </c>
      <c r="B215" s="117" t="str">
        <f ca="1">IFERROR(INDIRECT(CONCATENATE("Height!$d",A213+2)),"")</f>
        <v/>
      </c>
      <c r="C215" s="117" t="str">
        <f ca="1">IFERROR(INDIRECT(CONCATENATE("Height!$E",A213+2)),"")</f>
        <v/>
      </c>
      <c r="D215" s="183" t="str">
        <f ca="1">IFERROR(INDIRECT(CONCATENATE("Height!$F",$A213+2)),"")</f>
        <v/>
      </c>
      <c r="E215" s="64" t="str">
        <f t="shared" ca="1" si="38"/>
        <v/>
      </c>
      <c r="F215" s="123">
        <f ca="1">IFERROR(INDIRECT(CONCATENATE("Height!$H",A213+2)),"")</f>
        <v>0</v>
      </c>
      <c r="G215" s="108" t="str">
        <f ca="1">IFERROR(IF(F215&lt;A215,"",VLOOKUP(VLOOKUP(F215,A215:T218,20,TRUE),Points!$H$1:$I$8,2,FALSE)),"")</f>
        <v/>
      </c>
      <c r="H215" s="67"/>
      <c r="I215" s="117" t="str">
        <f ca="1">IFERROR(INDIRECT(CONCATENATE("Height!$j",A213+2)),"")</f>
        <v/>
      </c>
      <c r="J215" s="117" t="str">
        <f ca="1">IFERROR(INDIRECT(CONCATENATE("Height!$L",A213+2)),"")</f>
        <v/>
      </c>
      <c r="K215" s="183" t="str">
        <f ca="1">IFERROR(INDIRECT(CONCATENATE("Height!$N",$A213+2)),"")</f>
        <v/>
      </c>
      <c r="L215" s="64" t="str">
        <f t="shared" ca="1" si="39"/>
        <v/>
      </c>
      <c r="M215" s="123">
        <f ca="1">IFERROR(INDIRECT(CONCATENATE("Height!$Z",A213+2)),"")</f>
        <v>0</v>
      </c>
      <c r="N215" s="108" t="str">
        <f ca="1">IFERROR(IF(M215&lt;A215,"",VLOOKUP(VLOOKUP(M215,A215:T218,20,TRUE),Points!$H$1:$I$8,2,FALSE)),"")</f>
        <v/>
      </c>
      <c r="P215" s="66">
        <f ca="1">IFERROR(IF(OR(C215=0,C215="",F215=0,F215="",F215="X"),0,VLOOKUP(B215,INDIRECT(MatchDay!$W$2),2,FALSE)),"")</f>
        <v>0</v>
      </c>
      <c r="Q215" s="66">
        <f ca="1">IFERROR(IF(OR(J215=0,J215="",M215=0,M215="",M215="X"),0,VLOOKUP(I215,INDIRECT(MatchDay!$W$2),3,FALSE)),"")</f>
        <v>0</v>
      </c>
      <c r="T215" s="64">
        <v>3</v>
      </c>
    </row>
    <row r="216" spans="1:20" x14ac:dyDescent="0.35">
      <c r="A216" s="118">
        <f>IFERROR(VLOOKUP(A211,standards,5,FALSE),"-")</f>
        <v>2.85</v>
      </c>
      <c r="B216" s="117" t="str">
        <f ca="1">IFERROR(INDIRECT(CONCATENATE("Height!$d",A213+3)),"")</f>
        <v/>
      </c>
      <c r="C216" s="117" t="str">
        <f ca="1">IFERROR(INDIRECT(CONCATENATE("Height!$E",A213+3)),"")</f>
        <v/>
      </c>
      <c r="D216" s="183" t="str">
        <f ca="1">IFERROR(INDIRECT(CONCATENATE("Height!$F",$A213+3)),"")</f>
        <v/>
      </c>
      <c r="E216" s="64" t="str">
        <f t="shared" ca="1" si="38"/>
        <v/>
      </c>
      <c r="F216" s="123">
        <f ca="1">IFERROR(INDIRECT(CONCATENATE("Height!$H",A213+3)),"")</f>
        <v>0</v>
      </c>
      <c r="G216" s="108" t="str">
        <f ca="1">IFERROR(IF(F216&lt;A215,"",VLOOKUP(VLOOKUP(F216,A215:T218,20,TRUE),Points!$H$1:$I$8,2,FALSE)),"")</f>
        <v/>
      </c>
      <c r="H216" s="67"/>
      <c r="I216" s="117" t="str">
        <f ca="1">IFERROR(INDIRECT(CONCATENATE("Height!$j",A213+3)),"")</f>
        <v/>
      </c>
      <c r="J216" s="117" t="str">
        <f ca="1">IFERROR(INDIRECT(CONCATENATE("Height!$L",A213+3)),"")</f>
        <v/>
      </c>
      <c r="K216" s="183" t="str">
        <f ca="1">IFERROR(INDIRECT(CONCATENATE("Height!$N",$A213+3)),"")</f>
        <v/>
      </c>
      <c r="L216" s="64" t="str">
        <f t="shared" ca="1" si="39"/>
        <v/>
      </c>
      <c r="M216" s="123">
        <f ca="1">IFERROR(INDIRECT(CONCATENATE("Height!$Z",A213+3)),"")</f>
        <v>0</v>
      </c>
      <c r="N216" s="108" t="str">
        <f ca="1">IFERROR(IF(M216&lt;A215,"",VLOOKUP(VLOOKUP(M216,A215:T218,20,TRUE),Points!$H$1:$I$8,2,FALSE)),"")</f>
        <v/>
      </c>
      <c r="P216" s="66">
        <f ca="1">IFERROR(IF(OR(C216=0,C216="",F216=0,F216="",F216="X"),0,VLOOKUP(B216,INDIRECT(MatchDay!$W$2),2,FALSE)),"")</f>
        <v>0</v>
      </c>
      <c r="Q216" s="66">
        <f ca="1">IFERROR(IF(OR(J216=0,J216="",M216=0,M216="",M216="X"),0,VLOOKUP(I216,INDIRECT(MatchDay!$W$2),3,FALSE)),"")</f>
        <v>0</v>
      </c>
      <c r="T216" s="64">
        <v>4</v>
      </c>
    </row>
    <row r="217" spans="1:20" x14ac:dyDescent="0.35">
      <c r="A217" s="118">
        <f>IFERROR(VLOOKUP(A211,standards,4,FALSE),"-")</f>
        <v>3.2</v>
      </c>
      <c r="B217" s="117" t="str">
        <f ca="1">IFERROR(INDIRECT(CONCATENATE("Height!$d",A213+4)),"")</f>
        <v/>
      </c>
      <c r="C217" s="117" t="str">
        <f ca="1">IFERROR(INDIRECT(CONCATENATE("Height!$E",A213+4)),"")</f>
        <v/>
      </c>
      <c r="D217" s="183" t="str">
        <f ca="1">IFERROR(INDIRECT(CONCATENATE("Height!$F",$A213+4)),"")</f>
        <v/>
      </c>
      <c r="E217" s="64" t="str">
        <f t="shared" ca="1" si="38"/>
        <v/>
      </c>
      <c r="F217" s="123">
        <f ca="1">IFERROR(INDIRECT(CONCATENATE("Height!$H",A213+4)),"")</f>
        <v>0</v>
      </c>
      <c r="G217" s="108" t="str">
        <f ca="1">IFERROR(IF(F217&lt;A215,"",VLOOKUP(VLOOKUP(F217,A215:T218,20,TRUE),Points!$H$1:$I$8,2,FALSE)),"")</f>
        <v/>
      </c>
      <c r="H217" s="67"/>
      <c r="I217" s="117" t="str">
        <f ca="1">IFERROR(INDIRECT(CONCATENATE("Height!$j",A213+4)),"")</f>
        <v/>
      </c>
      <c r="J217" s="117" t="str">
        <f ca="1">IFERROR(INDIRECT(CONCATENATE("Height!$L",A213+4)),"")</f>
        <v/>
      </c>
      <c r="K217" s="183" t="str">
        <f ca="1">IFERROR(INDIRECT(CONCATENATE("Height!$N",$A213+4)),"")</f>
        <v/>
      </c>
      <c r="L217" s="64" t="str">
        <f t="shared" ca="1" si="39"/>
        <v/>
      </c>
      <c r="M217" s="123">
        <f ca="1">IFERROR(INDIRECT(CONCATENATE("Height!$Z",A213+4)),"")</f>
        <v>0</v>
      </c>
      <c r="N217" s="108" t="str">
        <f ca="1">IFERROR(IF(M217&lt;A215,"",VLOOKUP(VLOOKUP(M217,A215:T218,20,TRUE),Points!$H$1:$I$8,2,FALSE)),"")</f>
        <v/>
      </c>
      <c r="P217" s="66">
        <f ca="1">IFERROR(IF(OR(C217=0,C217="",F217=0,F217="",F217="X"),0,VLOOKUP(B217,INDIRECT(MatchDay!$W$2),2,FALSE)),"")</f>
        <v>0</v>
      </c>
      <c r="Q217" s="66">
        <f ca="1">IFERROR(IF(OR(J217=0,J217="",M217=0,M217="",M217="X"),0,VLOOKUP(I217,INDIRECT(MatchDay!$W$2),3,FALSE)),"")</f>
        <v>0</v>
      </c>
      <c r="T217" s="64">
        <v>5</v>
      </c>
    </row>
    <row r="218" spans="1:20" x14ac:dyDescent="0.35">
      <c r="A218" s="118">
        <f>IFERROR(VLOOKUP(A211,standards,3,FALSE),"-")</f>
        <v>3.45</v>
      </c>
      <c r="B218" s="117" t="str">
        <f ca="1">IFERROR(INDIRECT(CONCATENATE("Height!$d",A213+5)),"")</f>
        <v/>
      </c>
      <c r="C218" s="117" t="str">
        <f ca="1">IFERROR(INDIRECT(CONCATENATE("Height!$E",A213+5)),"")</f>
        <v/>
      </c>
      <c r="D218" s="183" t="str">
        <f ca="1">IFERROR(INDIRECT(CONCATENATE("Height!$F",$A213+5)),"")</f>
        <v/>
      </c>
      <c r="E218" s="64" t="str">
        <f t="shared" ca="1" si="38"/>
        <v/>
      </c>
      <c r="F218" s="123">
        <f ca="1">IFERROR(INDIRECT(CONCATENATE("Height!$H",A213+5)),"")</f>
        <v>0</v>
      </c>
      <c r="G218" s="108" t="str">
        <f ca="1">IFERROR(IF(F218&lt;A215,"",VLOOKUP(VLOOKUP(F218,A215:T218,20,TRUE),Points!$H$1:$I$8,2,FALSE)),"")</f>
        <v/>
      </c>
      <c r="H218" s="67"/>
      <c r="I218" s="117" t="str">
        <f ca="1">IFERROR(INDIRECT(CONCATENATE("Height!$j",A213+5)),"")</f>
        <v/>
      </c>
      <c r="J218" s="117" t="str">
        <f ca="1">IFERROR(INDIRECT(CONCATENATE("Height!$L",A213+5)),"")</f>
        <v/>
      </c>
      <c r="K218" s="183" t="str">
        <f ca="1">IFERROR(INDIRECT(CONCATENATE("Height!$N",$A213+5)),"")</f>
        <v/>
      </c>
      <c r="L218" s="64" t="str">
        <f t="shared" ca="1" si="39"/>
        <v/>
      </c>
      <c r="M218" s="123">
        <f ca="1">IFERROR(INDIRECT(CONCATENATE("Height!$Z",A213+5)),"")</f>
        <v>0</v>
      </c>
      <c r="N218" s="108" t="str">
        <f ca="1">IFERROR(IF(M218&lt;A215,"",VLOOKUP(VLOOKUP(M218,A215:T218,20,TRUE),Points!$H$1:$I$8,2,FALSE)),"")</f>
        <v/>
      </c>
      <c r="P218" s="66">
        <f ca="1">IFERROR(IF(OR(C218=0,C218="",F218=0,F218="",F218="X"),0,VLOOKUP(B218,INDIRECT(MatchDay!$W$2),2,FALSE)),"")</f>
        <v>0</v>
      </c>
      <c r="Q218" s="66">
        <f ca="1">IFERROR(IF(OR(J218=0,J218="",M218=0,M218="",M218="X"),0,VLOOKUP(I218,INDIRECT(MatchDay!$W$2),3,FALSE)),"")</f>
        <v>0</v>
      </c>
      <c r="T218" s="64">
        <v>6</v>
      </c>
    </row>
    <row r="219" spans="1:20" x14ac:dyDescent="0.35">
      <c r="A219" s="116" t="s">
        <v>204</v>
      </c>
      <c r="B219" s="117" t="str">
        <f ca="1">IFERROR(INDIRECT(CONCATENATE("Height!$d",A213+6)),"")</f>
        <v/>
      </c>
      <c r="C219" s="117" t="str">
        <f ca="1">IFERROR(INDIRECT(CONCATENATE("Height!$E",A213+6)),"")</f>
        <v/>
      </c>
      <c r="D219" s="183" t="str">
        <f ca="1">IFERROR(INDIRECT(CONCATENATE("Height!$F",$A213+6)),"")</f>
        <v/>
      </c>
      <c r="E219" s="64" t="str">
        <f t="shared" ca="1" si="38"/>
        <v/>
      </c>
      <c r="F219" s="123">
        <f ca="1">IFERROR(INDIRECT(CONCATENATE("Height!$H",A213+6)),"")</f>
        <v>0</v>
      </c>
      <c r="G219" s="108" t="str">
        <f ca="1">IFERROR(IF(F219&lt;A215,"",VLOOKUP(VLOOKUP(F219,A215:T218,20,TRUE),Points!$H$1:$I$8,2,FALSE)),"")</f>
        <v/>
      </c>
      <c r="H219" s="67"/>
      <c r="I219" s="117" t="str">
        <f ca="1">IFERROR(INDIRECT(CONCATENATE("Height!$j",A213+6)),"")</f>
        <v/>
      </c>
      <c r="J219" s="117" t="str">
        <f ca="1">IFERROR(INDIRECT(CONCATENATE("Height!$L",A213+6)),"")</f>
        <v/>
      </c>
      <c r="K219" s="183" t="str">
        <f ca="1">IFERROR(INDIRECT(CONCATENATE("Height!$N",$A213+6)),"")</f>
        <v/>
      </c>
      <c r="L219" s="64" t="str">
        <f t="shared" ca="1" si="39"/>
        <v/>
      </c>
      <c r="M219" s="123">
        <f ca="1">IFERROR(INDIRECT(CONCATENATE("Height!$Z",A213+6)),"")</f>
        <v>0</v>
      </c>
      <c r="N219" s="108" t="str">
        <f ca="1">IFERROR(IF(M219&lt;A215,"",VLOOKUP(VLOOKUP(M219,A215:T218,20,TRUE),Points!$H$1:$I$8,2,FALSE)),"")</f>
        <v/>
      </c>
      <c r="P219" s="66">
        <f ca="1">IFERROR(IF(OR(C219=0,C219="",F219=0,F219="",F219="X"),0,VLOOKUP(B219,INDIRECT(MatchDay!$W$2),2,FALSE)),"")</f>
        <v>0</v>
      </c>
      <c r="Q219" s="66">
        <f ca="1">IFERROR(IF(OR(J219=0,J219="",M219=0,M219="",M219="X"),0,VLOOKUP(I219,INDIRECT(MatchDay!$W$2),3,FALSE)),"")</f>
        <v>0</v>
      </c>
    </row>
    <row r="220" spans="1:20" x14ac:dyDescent="0.35">
      <c r="A220" s="116">
        <f>IFERROR(VLOOKUP(A211,records,5,FALSE),"")</f>
        <v>4.32</v>
      </c>
      <c r="B220" s="117" t="str">
        <f ca="1">IFERROR(INDIRECT(CONCATENATE("Height!$d",A213+7)),"")</f>
        <v/>
      </c>
      <c r="C220" s="117" t="str">
        <f ca="1">IFERROR(INDIRECT(CONCATENATE("Height!$E",A213+7)),"")</f>
        <v/>
      </c>
      <c r="D220" s="183" t="str">
        <f ca="1">IFERROR(INDIRECT(CONCATENATE("Height!$F",$A213+7)),"")</f>
        <v/>
      </c>
      <c r="E220" s="64" t="str">
        <f t="shared" ca="1" si="38"/>
        <v/>
      </c>
      <c r="F220" s="123">
        <f ca="1">IFERROR(INDIRECT(CONCATENATE("Height!$H",A213+7)),"")</f>
        <v>0</v>
      </c>
      <c r="G220" s="108" t="str">
        <f ca="1">IFERROR(IF(F220&lt;A215,"",VLOOKUP(VLOOKUP(F220,A215:T218,20,TRUE),Points!$H$1:$I$8,2,FALSE)),"")</f>
        <v/>
      </c>
      <c r="H220" s="67"/>
      <c r="I220" s="117" t="str">
        <f ca="1">IFERROR(INDIRECT(CONCATENATE("Height!$j",A213+7)),"")</f>
        <v/>
      </c>
      <c r="J220" s="117" t="str">
        <f ca="1">IFERROR(INDIRECT(CONCATENATE("Height!$L",A213+7)),"")</f>
        <v/>
      </c>
      <c r="K220" s="183" t="str">
        <f ca="1">IFERROR(INDIRECT(CONCATENATE("Height!$N",$A213+7)),"")</f>
        <v/>
      </c>
      <c r="L220" s="64" t="str">
        <f t="shared" ca="1" si="39"/>
        <v/>
      </c>
      <c r="M220" s="123">
        <f ca="1">IFERROR(INDIRECT(CONCATENATE("Height!$Z",A213+7)),"")</f>
        <v>0</v>
      </c>
      <c r="N220" s="108" t="str">
        <f ca="1">IFERROR(IF(M220&lt;A215,"",VLOOKUP(VLOOKUP(M220,A215:T218,20,TRUE),Points!$H$1:$I$8,2,FALSE)),"")</f>
        <v/>
      </c>
      <c r="P220" s="66">
        <f ca="1">IFERROR(IF(OR(C220=0,C220="",F220=0,F220="",F220="X"),0,VLOOKUP(B220,INDIRECT(MatchDay!$W$2),2,FALSE)),"")</f>
        <v>0</v>
      </c>
      <c r="Q220" s="66">
        <f ca="1">IFERROR(IF(OR(J220=0,J220="",M220=0,M220="",M220="X"),0,VLOOKUP(I220,INDIRECT(MatchDay!$W$2),3,FALSE)),"")</f>
        <v>0</v>
      </c>
    </row>
    <row r="222" spans="1:20" x14ac:dyDescent="0.35">
      <c r="A222" s="111" t="s">
        <v>240</v>
      </c>
      <c r="B222" s="112" t="str">
        <f>IFERROR(VLOOKUP(A222,timetables,2,FALSE)&amp;" "&amp;VLOOKUP(A222,timetables,3,FALSE)&amp;" A","")</f>
        <v>Pole Vault U15 Girls A</v>
      </c>
      <c r="C222" s="112"/>
      <c r="F222" s="121" t="str">
        <f ca="1">IFERROR(IF(OR(F224=0,F224="",F224="X"),"",IF(F224&gt;A231,"REC",IF(F224=A231,"=Rec",""))),"")</f>
        <v/>
      </c>
      <c r="G222" s="198" t="str">
        <f ca="1">IFERROR(IF(OR(F224=0,F224="",F224="X"),"",IF(F224&gt;A231,"REC",IF(F224=A231,"=Rec",""))),"")</f>
        <v/>
      </c>
      <c r="I222" s="114" t="str">
        <f>IFERROR(VLOOKUP(A222,timetables,2,FALSE)&amp;" "&amp;VLOOKUP(A222,timetables,3,FALSE)&amp;" B","")</f>
        <v>Pole Vault U15 Girls B</v>
      </c>
      <c r="J222" s="115"/>
      <c r="P222" s="66" t="s">
        <v>53</v>
      </c>
      <c r="Q222" s="66" t="s">
        <v>54</v>
      </c>
    </row>
    <row r="223" spans="1:20" x14ac:dyDescent="0.35">
      <c r="A223" s="82"/>
      <c r="B223" s="45" t="s">
        <v>230</v>
      </c>
      <c r="C223" s="45" t="s">
        <v>159</v>
      </c>
      <c r="D223" s="47" t="s">
        <v>227</v>
      </c>
      <c r="E223" s="47" t="s">
        <v>228</v>
      </c>
      <c r="F223" s="45" t="s">
        <v>229</v>
      </c>
      <c r="G223" s="126" t="s">
        <v>55</v>
      </c>
      <c r="H223" s="47"/>
      <c r="I223" s="45" t="s">
        <v>230</v>
      </c>
      <c r="J223" s="45" t="s">
        <v>159</v>
      </c>
      <c r="K223" s="47" t="s">
        <v>227</v>
      </c>
      <c r="L223" s="47" t="s">
        <v>228</v>
      </c>
      <c r="M223" s="45" t="s">
        <v>229</v>
      </c>
      <c r="N223" s="126" t="s">
        <v>55</v>
      </c>
    </row>
    <row r="224" spans="1:20" x14ac:dyDescent="0.35">
      <c r="A224" s="66">
        <f>IFERROR(VLOOKUP(A222,Height!A:B,2,FALSE),"")</f>
        <v>155</v>
      </c>
      <c r="B224" s="117">
        <f ca="1">IFERROR(INDIRECT(CONCATENATE("Height!$d",A224)),"")</f>
        <v>1</v>
      </c>
      <c r="C224" s="117">
        <f ca="1">IFERROR(INDIRECT(CONCATENATE("Height!$E",A224)),"")</f>
        <v>1</v>
      </c>
      <c r="D224" s="183" t="str">
        <f ca="1">IFERROR(INDIRECT(CONCATENATE("Height!$F",$A224)),"")</f>
        <v>MOODY Hannah</v>
      </c>
      <c r="E224" s="64" t="str">
        <f t="shared" ref="E224:E231" ca="1" si="40">IFERROR(VLOOKUP(C224,teamlookup,5,FALSE),"")</f>
        <v>C'field</v>
      </c>
      <c r="F224" s="123">
        <f ca="1">IFERROR(INDIRECT(CONCATENATE("Height!$H",A224)),"")</f>
        <v>2.5</v>
      </c>
      <c r="G224" s="108">
        <f ca="1">IFERROR(IF(F224&lt;A226,"",VLOOKUP(VLOOKUP(F224,A226:T229,20,TRUE),Points!$H$1:$I$8,2,FALSE)),"")</f>
        <v>3</v>
      </c>
      <c r="H224" s="67"/>
      <c r="I224" s="117">
        <f ca="1">IFERROR(INDIRECT(CONCATENATE("Height!$j",A224)),"")</f>
        <v>1</v>
      </c>
      <c r="J224" s="117">
        <f ca="1">IFERROR(INDIRECT(CONCATENATE("Height!$L",A224)),"")</f>
        <v>11</v>
      </c>
      <c r="K224" s="183" t="str">
        <f ca="1">IFERROR(INDIRECT(CONCATENATE("Height!$N",$A224)),"")</f>
        <v>PROCTOR Alicia</v>
      </c>
      <c r="L224" s="64" t="str">
        <f t="shared" ref="L224:L231" ca="1" si="41">IFERROR(VLOOKUP(J224,teamlookup,5,FALSE),"")</f>
        <v>C'field</v>
      </c>
      <c r="M224" s="123" t="str">
        <f ca="1">IFERROR(INDIRECT(CONCATENATE("Height!$Z",A224)),"")</f>
        <v>X</v>
      </c>
      <c r="N224" s="108" t="str">
        <f ca="1">IFERROR(IF(M224&lt;A226,"",VLOOKUP(VLOOKUP(M224,A226:T229,20,TRUE),Points!$H$1:$I$8,2,FALSE)),"")</f>
        <v/>
      </c>
      <c r="P224" s="66">
        <f ca="1">IFERROR(IF(OR(C224=0,C224="",F224=0,F224="",F224="X"),0,VLOOKUP(B224,INDIRECT(MatchDay!$W$2),2,FALSE)),"")</f>
        <v>8</v>
      </c>
      <c r="Q224" s="66">
        <f ca="1">IFERROR(IF(OR(J224=0,J224="",M224=0,M224="",M224="X"),0,VLOOKUP(I224,INDIRECT(MatchDay!$W$2),3,FALSE)),"")</f>
        <v>0</v>
      </c>
      <c r="R224" s="219">
        <f ca="1">COUNTIF(C224,"&gt;0")</f>
        <v>1</v>
      </c>
      <c r="S224" s="66">
        <f ca="1">IFERROR(IF(C224&gt;88,1,0),0)</f>
        <v>0</v>
      </c>
    </row>
    <row r="225" spans="1:20" x14ac:dyDescent="0.35">
      <c r="A225" s="116" t="s">
        <v>55</v>
      </c>
      <c r="B225" s="117">
        <f ca="1">IFERROR(INDIRECT(CONCATENATE("Height!$d",A224+1)),"")</f>
        <v>2</v>
      </c>
      <c r="C225" s="117">
        <f ca="1">IFERROR(INDIRECT(CONCATENATE("Height!$E",A224+1)),"")</f>
        <v>33</v>
      </c>
      <c r="D225" s="183" t="str">
        <f ca="1">IFERROR(INDIRECT(CONCATENATE("Height!$F",$A224+1)),"")</f>
        <v>LEE Isabel</v>
      </c>
      <c r="E225" s="64" t="str">
        <f t="shared" ca="1" si="40"/>
        <v>York</v>
      </c>
      <c r="F225" s="123" t="str">
        <f ca="1">IFERROR(INDIRECT(CONCATENATE("Height!$H",A224+1)),"")</f>
        <v>X</v>
      </c>
      <c r="G225" s="108" t="str">
        <f ca="1">IFERROR(IF(F225&lt;A226,"",VLOOKUP(VLOOKUP(F225,A226:T229,20,TRUE),Points!$H$1:$I$8,2,FALSE)),"")</f>
        <v/>
      </c>
      <c r="H225" s="67"/>
      <c r="I225" s="117" t="str">
        <f ca="1">IFERROR(INDIRECT(CONCATENATE("Height!$j",A224+1)),"")</f>
        <v/>
      </c>
      <c r="J225" s="117" t="str">
        <f ca="1">IFERROR(INDIRECT(CONCATENATE("Height!$L",A224+1)),"")</f>
        <v/>
      </c>
      <c r="K225" s="183" t="str">
        <f ca="1">IFERROR(INDIRECT(CONCATENATE("Height!$N",$A224+1)),"")</f>
        <v/>
      </c>
      <c r="L225" s="64" t="str">
        <f t="shared" ca="1" si="41"/>
        <v/>
      </c>
      <c r="M225" s="123">
        <f ca="1">IFERROR(INDIRECT(CONCATENATE("Height!$Z",A224+1)),"")</f>
        <v>0</v>
      </c>
      <c r="N225" s="108" t="str">
        <f ca="1">IFERROR(IF(M225&lt;A226,"",VLOOKUP(VLOOKUP(M225,A226:T229,20,TRUE),Points!$H$1:$I$8,2,FALSE)),"")</f>
        <v/>
      </c>
      <c r="P225" s="66">
        <f ca="1">IFERROR(IF(OR(C225=0,C225="",F225=0,F225="",F225="X"),0,VLOOKUP(B225,INDIRECT(MatchDay!$W$2),2,FALSE)),"")</f>
        <v>0</v>
      </c>
      <c r="Q225" s="66">
        <f ca="1">IFERROR(IF(OR(J225=0,J225="",M225=0,M225="",M225="X"),0,VLOOKUP(I225,INDIRECT(MatchDay!$W$2),3,FALSE)),"")</f>
        <v>0</v>
      </c>
    </row>
    <row r="226" spans="1:20" x14ac:dyDescent="0.35">
      <c r="A226" s="118">
        <f>IFERROR(VLOOKUP(A222,standards,6,FALSE),"-")</f>
        <v>2.2000000000000002</v>
      </c>
      <c r="B226" s="117" t="str">
        <f ca="1">IFERROR(INDIRECT(CONCATENATE("Height!$d",A224+2)),"")</f>
        <v/>
      </c>
      <c r="C226" s="117" t="str">
        <f ca="1">IFERROR(INDIRECT(CONCATENATE("Height!$E",A224+2)),"")</f>
        <v/>
      </c>
      <c r="D226" s="183" t="str">
        <f ca="1">IFERROR(INDIRECT(CONCATENATE("Height!$F",$A224+2)),"")</f>
        <v/>
      </c>
      <c r="E226" s="64" t="str">
        <f t="shared" ca="1" si="40"/>
        <v/>
      </c>
      <c r="F226" s="123">
        <f ca="1">IFERROR(INDIRECT(CONCATENATE("Height!$H",A224+2)),"")</f>
        <v>0</v>
      </c>
      <c r="G226" s="108" t="str">
        <f ca="1">IFERROR(IF(F226&lt;A226,"",VLOOKUP(VLOOKUP(F226,A226:T229,20,TRUE),Points!$H$1:$I$8,2,FALSE)),"")</f>
        <v/>
      </c>
      <c r="H226" s="67"/>
      <c r="I226" s="117" t="str">
        <f ca="1">IFERROR(INDIRECT(CONCATENATE("Height!$j",A224+2)),"")</f>
        <v/>
      </c>
      <c r="J226" s="117" t="str">
        <f ca="1">IFERROR(INDIRECT(CONCATENATE("Height!$L",A224+2)),"")</f>
        <v/>
      </c>
      <c r="K226" s="183" t="str">
        <f ca="1">IFERROR(INDIRECT(CONCATENATE("Height!$N",$A224+2)),"")</f>
        <v/>
      </c>
      <c r="L226" s="64" t="str">
        <f t="shared" ca="1" si="41"/>
        <v/>
      </c>
      <c r="M226" s="123">
        <f ca="1">IFERROR(INDIRECT(CONCATENATE("Height!$Z",A224+2)),"")</f>
        <v>0</v>
      </c>
      <c r="N226" s="108" t="str">
        <f ca="1">IFERROR(IF(M226&lt;A226,"",VLOOKUP(VLOOKUP(M226,A226:T229,20,TRUE),Points!$H$1:$I$8,2,FALSE)),"")</f>
        <v/>
      </c>
      <c r="P226" s="66">
        <f ca="1">IFERROR(IF(OR(C226=0,C226="",F226=0,F226="",F226="X"),0,VLOOKUP(B226,INDIRECT(MatchDay!$W$2),2,FALSE)),"")</f>
        <v>0</v>
      </c>
      <c r="Q226" s="66">
        <f ca="1">IFERROR(IF(OR(J226=0,J226="",M226=0,M226="",M226="X"),0,VLOOKUP(I226,INDIRECT(MatchDay!$W$2),3,FALSE)),"")</f>
        <v>0</v>
      </c>
      <c r="T226" s="64">
        <v>3</v>
      </c>
    </row>
    <row r="227" spans="1:20" x14ac:dyDescent="0.35">
      <c r="A227" s="118">
        <f>IFERROR(VLOOKUP(A222,standards,5,FALSE),"-")</f>
        <v>2.5</v>
      </c>
      <c r="B227" s="117" t="str">
        <f ca="1">IFERROR(INDIRECT(CONCATENATE("Height!$d",A224+3)),"")</f>
        <v/>
      </c>
      <c r="C227" s="117" t="str">
        <f ca="1">IFERROR(INDIRECT(CONCATENATE("Height!$E",A224+3)),"")</f>
        <v/>
      </c>
      <c r="D227" s="183" t="str">
        <f ca="1">IFERROR(INDIRECT(CONCATENATE("Height!$F",$A224+3)),"")</f>
        <v/>
      </c>
      <c r="E227" s="64" t="str">
        <f t="shared" ca="1" si="40"/>
        <v/>
      </c>
      <c r="F227" s="123">
        <f ca="1">IFERROR(INDIRECT(CONCATENATE("Height!$H",A224+3)),"")</f>
        <v>0</v>
      </c>
      <c r="G227" s="108" t="str">
        <f ca="1">IFERROR(IF(F227&lt;A226,"",VLOOKUP(VLOOKUP(F227,A226:T229,20,TRUE),Points!$H$1:$I$8,2,FALSE)),"")</f>
        <v/>
      </c>
      <c r="H227" s="67"/>
      <c r="I227" s="117" t="str">
        <f ca="1">IFERROR(INDIRECT(CONCATENATE("Height!$j",A224+3)),"")</f>
        <v/>
      </c>
      <c r="J227" s="117" t="str">
        <f ca="1">IFERROR(INDIRECT(CONCATENATE("Height!$L",A224+3)),"")</f>
        <v/>
      </c>
      <c r="K227" s="183" t="str">
        <f ca="1">IFERROR(INDIRECT(CONCATENATE("Height!$N",$A224+3)),"")</f>
        <v/>
      </c>
      <c r="L227" s="64" t="str">
        <f t="shared" ca="1" si="41"/>
        <v/>
      </c>
      <c r="M227" s="123">
        <f ca="1">IFERROR(INDIRECT(CONCATENATE("Height!$Z",A224+3)),"")</f>
        <v>0</v>
      </c>
      <c r="N227" s="108" t="str">
        <f ca="1">IFERROR(IF(M227&lt;A226,"",VLOOKUP(VLOOKUP(M227,A226:T229,20,TRUE),Points!$H$1:$I$8,2,FALSE)),"")</f>
        <v/>
      </c>
      <c r="P227" s="66">
        <f ca="1">IFERROR(IF(OR(C227=0,C227="",F227=0,F227="",F227="X"),0,VLOOKUP(B227,INDIRECT(MatchDay!$W$2),2,FALSE)),"")</f>
        <v>0</v>
      </c>
      <c r="Q227" s="66">
        <f ca="1">IFERROR(IF(OR(J227=0,J227="",M227=0,M227="",M227="X"),0,VLOOKUP(I227,INDIRECT(MatchDay!$W$2),3,FALSE)),"")</f>
        <v>0</v>
      </c>
      <c r="T227" s="64">
        <v>4</v>
      </c>
    </row>
    <row r="228" spans="1:20" x14ac:dyDescent="0.35">
      <c r="A228" s="118">
        <f>IFERROR(VLOOKUP(A222,standards,4,FALSE),"-")</f>
        <v>2.8</v>
      </c>
      <c r="B228" s="117" t="str">
        <f ca="1">IFERROR(INDIRECT(CONCATENATE("Height!$d",A224+4)),"")</f>
        <v/>
      </c>
      <c r="C228" s="117" t="str">
        <f ca="1">IFERROR(INDIRECT(CONCATENATE("Height!$E",A224+4)),"")</f>
        <v/>
      </c>
      <c r="D228" s="183" t="str">
        <f ca="1">IFERROR(INDIRECT(CONCATENATE("Height!$F",$A224+4)),"")</f>
        <v/>
      </c>
      <c r="E228" s="64" t="str">
        <f t="shared" ca="1" si="40"/>
        <v/>
      </c>
      <c r="F228" s="123">
        <f ca="1">IFERROR(INDIRECT(CONCATENATE("Height!$H",A224+4)),"")</f>
        <v>0</v>
      </c>
      <c r="G228" s="108" t="str">
        <f ca="1">IFERROR(IF(F228&lt;A226,"",VLOOKUP(VLOOKUP(F228,A226:T229,20,TRUE),Points!$H$1:$I$8,2,FALSE)),"")</f>
        <v/>
      </c>
      <c r="H228" s="67"/>
      <c r="I228" s="117" t="str">
        <f ca="1">IFERROR(INDIRECT(CONCATENATE("Height!$j",A224+4)),"")</f>
        <v/>
      </c>
      <c r="J228" s="117" t="str">
        <f ca="1">IFERROR(INDIRECT(CONCATENATE("Height!$L",A224+4)),"")</f>
        <v/>
      </c>
      <c r="K228" s="183" t="str">
        <f ca="1">IFERROR(INDIRECT(CONCATENATE("Height!$N",$A224+4)),"")</f>
        <v/>
      </c>
      <c r="L228" s="64" t="str">
        <f t="shared" ca="1" si="41"/>
        <v/>
      </c>
      <c r="M228" s="123">
        <f ca="1">IFERROR(INDIRECT(CONCATENATE("Height!$Z",A224+4)),"")</f>
        <v>0</v>
      </c>
      <c r="N228" s="108" t="str">
        <f ca="1">IFERROR(IF(M228&lt;A226,"",VLOOKUP(VLOOKUP(M228,A226:T229,20,TRUE),Points!$H$1:$I$8,2,FALSE)),"")</f>
        <v/>
      </c>
      <c r="P228" s="66">
        <f ca="1">IFERROR(IF(OR(C228=0,C228="",F228=0,F228="",F228="X"),0,VLOOKUP(B228,INDIRECT(MatchDay!$W$2),2,FALSE)),"")</f>
        <v>0</v>
      </c>
      <c r="Q228" s="66">
        <f ca="1">IFERROR(IF(OR(J228=0,J228="",M228=0,M228="",M228="X"),0,VLOOKUP(I228,INDIRECT(MatchDay!$W$2),3,FALSE)),"")</f>
        <v>0</v>
      </c>
      <c r="T228" s="64">
        <v>5</v>
      </c>
    </row>
    <row r="229" spans="1:20" x14ac:dyDescent="0.35">
      <c r="A229" s="118">
        <f>IFERROR(VLOOKUP(A222,standards,3,FALSE),"-")</f>
        <v>3.1</v>
      </c>
      <c r="B229" s="117" t="str">
        <f ca="1">IFERROR(INDIRECT(CONCATENATE("Height!$d",A224+5)),"")</f>
        <v/>
      </c>
      <c r="C229" s="117" t="str">
        <f ca="1">IFERROR(INDIRECT(CONCATENATE("Height!$E",A224+5)),"")</f>
        <v/>
      </c>
      <c r="D229" s="183" t="str">
        <f ca="1">IFERROR(INDIRECT(CONCATENATE("Height!$F",$A224+5)),"")</f>
        <v/>
      </c>
      <c r="E229" s="64" t="str">
        <f t="shared" ca="1" si="40"/>
        <v/>
      </c>
      <c r="F229" s="123">
        <f ca="1">IFERROR(INDIRECT(CONCATENATE("Height!$H",A224+5)),"")</f>
        <v>0</v>
      </c>
      <c r="G229" s="108" t="str">
        <f ca="1">IFERROR(IF(F229&lt;A226,"",VLOOKUP(VLOOKUP(F229,A226:T229,20,TRUE),Points!$H$1:$I$8,2,FALSE)),"")</f>
        <v/>
      </c>
      <c r="H229" s="67"/>
      <c r="I229" s="117" t="str">
        <f ca="1">IFERROR(INDIRECT(CONCATENATE("Height!$j",A224+5)),"")</f>
        <v/>
      </c>
      <c r="J229" s="117" t="str">
        <f ca="1">IFERROR(INDIRECT(CONCATENATE("Height!$L",A224+5)),"")</f>
        <v/>
      </c>
      <c r="K229" s="183" t="str">
        <f ca="1">IFERROR(INDIRECT(CONCATENATE("Height!$N",$A224+5)),"")</f>
        <v/>
      </c>
      <c r="L229" s="64" t="str">
        <f t="shared" ca="1" si="41"/>
        <v/>
      </c>
      <c r="M229" s="123">
        <f ca="1">IFERROR(INDIRECT(CONCATENATE("Height!$Z",A224+5)),"")</f>
        <v>0</v>
      </c>
      <c r="N229" s="108" t="str">
        <f ca="1">IFERROR(IF(M229&lt;A226,"",VLOOKUP(VLOOKUP(M229,A226:T229,20,TRUE),Points!$H$1:$I$8,2,FALSE)),"")</f>
        <v/>
      </c>
      <c r="P229" s="66">
        <f ca="1">IFERROR(IF(OR(C229=0,C229="",F229=0,F229="",F229="X"),0,VLOOKUP(B229,INDIRECT(MatchDay!$W$2),2,FALSE)),"")</f>
        <v>0</v>
      </c>
      <c r="Q229" s="66">
        <f ca="1">IFERROR(IF(OR(J229=0,J229="",M229=0,M229="",M229="X"),0,VLOOKUP(I229,INDIRECT(MatchDay!$W$2),3,FALSE)),"")</f>
        <v>0</v>
      </c>
      <c r="T229" s="64">
        <v>6</v>
      </c>
    </row>
    <row r="230" spans="1:20" x14ac:dyDescent="0.35">
      <c r="A230" s="116" t="s">
        <v>204</v>
      </c>
      <c r="B230" s="117" t="str">
        <f ca="1">IFERROR(INDIRECT(CONCATENATE("Height!$d",A224+6)),"")</f>
        <v/>
      </c>
      <c r="C230" s="117" t="str">
        <f ca="1">IFERROR(INDIRECT(CONCATENATE("Height!$E",A224+6)),"")</f>
        <v/>
      </c>
      <c r="D230" s="183" t="str">
        <f ca="1">IFERROR(INDIRECT(CONCATENATE("Height!$F",$A224+6)),"")</f>
        <v/>
      </c>
      <c r="E230" s="64" t="str">
        <f t="shared" ca="1" si="40"/>
        <v/>
      </c>
      <c r="F230" s="123">
        <f ca="1">IFERROR(INDIRECT(CONCATENATE("Height!$H",A224+6)),"")</f>
        <v>0</v>
      </c>
      <c r="G230" s="108" t="str">
        <f ca="1">IFERROR(IF(F230&lt;A226,"",VLOOKUP(VLOOKUP(F230,A226:T229,20,TRUE),Points!$H$1:$I$8,2,FALSE)),"")</f>
        <v/>
      </c>
      <c r="H230" s="67"/>
      <c r="I230" s="117" t="str">
        <f ca="1">IFERROR(INDIRECT(CONCATENATE("Height!$j",A224+6)),"")</f>
        <v/>
      </c>
      <c r="J230" s="117" t="str">
        <f ca="1">IFERROR(INDIRECT(CONCATENATE("Height!$L",A224+6)),"")</f>
        <v/>
      </c>
      <c r="K230" s="183" t="str">
        <f ca="1">IFERROR(INDIRECT(CONCATENATE("Height!$N",$A224+6)),"")</f>
        <v/>
      </c>
      <c r="L230" s="64" t="str">
        <f t="shared" ca="1" si="41"/>
        <v/>
      </c>
      <c r="M230" s="123">
        <f ca="1">IFERROR(INDIRECT(CONCATENATE("Height!$Z",A224+6)),"")</f>
        <v>0</v>
      </c>
      <c r="N230" s="108" t="str">
        <f ca="1">IFERROR(IF(M230&lt;A226,"",VLOOKUP(VLOOKUP(M230,A226:T229,20,TRUE),Points!$H$1:$I$8,2,FALSE)),"")</f>
        <v/>
      </c>
      <c r="P230" s="66">
        <f ca="1">IFERROR(IF(OR(C230=0,C230="",F230=0,F230="",F230="X"),0,VLOOKUP(B230,INDIRECT(MatchDay!$W$2),2,FALSE)),"")</f>
        <v>0</v>
      </c>
      <c r="Q230" s="66">
        <f ca="1">IFERROR(IF(OR(J230=0,J230="",M230=0,M230="",M230="X"),0,VLOOKUP(I230,INDIRECT(MatchDay!$W$2),3,FALSE)),"")</f>
        <v>0</v>
      </c>
    </row>
    <row r="231" spans="1:20" x14ac:dyDescent="0.35">
      <c r="A231" s="116">
        <f>IFERROR(VLOOKUP(A222,records,5,FALSE),"")</f>
        <v>3.42</v>
      </c>
      <c r="B231" s="117" t="str">
        <f ca="1">IFERROR(INDIRECT(CONCATENATE("Height!$d",A224+7)),"")</f>
        <v/>
      </c>
      <c r="C231" s="117" t="str">
        <f ca="1">IFERROR(INDIRECT(CONCATENATE("Height!$E",A224+7)),"")</f>
        <v/>
      </c>
      <c r="D231" s="183" t="str">
        <f ca="1">IFERROR(INDIRECT(CONCATENATE("Height!$F",$A224+7)),"")</f>
        <v/>
      </c>
      <c r="E231" s="64" t="str">
        <f t="shared" ca="1" si="40"/>
        <v/>
      </c>
      <c r="F231" s="123">
        <f ca="1">IFERROR(INDIRECT(CONCATENATE("Height!$H",A224+7)),"")</f>
        <v>0</v>
      </c>
      <c r="G231" s="108" t="str">
        <f ca="1">IFERROR(IF(F231&lt;A226,"",VLOOKUP(VLOOKUP(F231,A226:T229,20,TRUE),Points!$H$1:$I$8,2,FALSE)),"")</f>
        <v/>
      </c>
      <c r="H231" s="67"/>
      <c r="I231" s="117" t="str">
        <f ca="1">IFERROR(INDIRECT(CONCATENATE("Height!$j",A224+7)),"")</f>
        <v/>
      </c>
      <c r="J231" s="117" t="str">
        <f ca="1">IFERROR(INDIRECT(CONCATENATE("Height!$L",A224+7)),"")</f>
        <v/>
      </c>
      <c r="K231" s="183" t="str">
        <f ca="1">IFERROR(INDIRECT(CONCATENATE("Height!$N",$A224+7)),"")</f>
        <v/>
      </c>
      <c r="L231" s="64" t="str">
        <f t="shared" ca="1" si="41"/>
        <v/>
      </c>
      <c r="M231" s="123">
        <f ca="1">IFERROR(INDIRECT(CONCATENATE("Height!$Z",A224+7)),"")</f>
        <v>0</v>
      </c>
      <c r="N231" s="108" t="str">
        <f ca="1">IFERROR(IF(M231&lt;A226,"",VLOOKUP(VLOOKUP(M231,A226:T229,20,TRUE),Points!$H$1:$I$8,2,FALSE)),"")</f>
        <v/>
      </c>
      <c r="P231" s="66">
        <f ca="1">IFERROR(IF(OR(C231=0,C231="",F231=0,F231="",F231="X"),0,VLOOKUP(B231,INDIRECT(MatchDay!$W$2),2,FALSE)),"")</f>
        <v>0</v>
      </c>
      <c r="Q231" s="66">
        <f ca="1">IFERROR(IF(OR(J231=0,J231="",M231=0,M231="",M231="X"),0,VLOOKUP(I231,INDIRECT(MatchDay!$W$2),3,FALSE)),"")</f>
        <v>0</v>
      </c>
    </row>
    <row r="233" spans="1:20" x14ac:dyDescent="0.35">
      <c r="A233" s="111" t="s">
        <v>241</v>
      </c>
      <c r="B233" s="112" t="str">
        <f>IFERROR(VLOOKUP(A233,timetables,2,FALSE)&amp;" "&amp;VLOOKUP(A233,timetables,3,FALSE)&amp;" A","")</f>
        <v>High Jump U15 Boys A</v>
      </c>
      <c r="C233" s="112"/>
      <c r="F233" s="121" t="str">
        <f ca="1">IFERROR(IF(OR(F235=0,F235="",F235="X"),"",IF(F235&gt;A242,"REC",IF(F235=A242,"=Rec",""))),"")</f>
        <v/>
      </c>
      <c r="G233" s="198" t="str">
        <f ca="1">IFERROR(IF(OR(F235=0,F235="",F235="X"),"",IF(F235&gt;A242,"REC",IF(F235=A242,"=Rec",""))),"")</f>
        <v/>
      </c>
      <c r="I233" s="114" t="str">
        <f>IFERROR(VLOOKUP(A233,timetables,2,FALSE)&amp;" "&amp;VLOOKUP(A233,timetables,3,FALSE)&amp;" B","")</f>
        <v>High Jump U15 Boys B</v>
      </c>
      <c r="J233" s="115"/>
      <c r="P233" s="66" t="s">
        <v>53</v>
      </c>
      <c r="Q233" s="66" t="s">
        <v>54</v>
      </c>
    </row>
    <row r="234" spans="1:20" x14ac:dyDescent="0.35">
      <c r="A234" s="82"/>
      <c r="B234" s="45" t="s">
        <v>230</v>
      </c>
      <c r="C234" s="45" t="s">
        <v>159</v>
      </c>
      <c r="D234" s="47" t="s">
        <v>227</v>
      </c>
      <c r="E234" s="47" t="s">
        <v>228</v>
      </c>
      <c r="F234" s="45" t="s">
        <v>229</v>
      </c>
      <c r="G234" s="126" t="s">
        <v>55</v>
      </c>
      <c r="H234" s="47"/>
      <c r="I234" s="45" t="s">
        <v>230</v>
      </c>
      <c r="J234" s="45" t="s">
        <v>159</v>
      </c>
      <c r="K234" s="47" t="s">
        <v>227</v>
      </c>
      <c r="L234" s="47" t="s">
        <v>228</v>
      </c>
      <c r="M234" s="45" t="s">
        <v>229</v>
      </c>
      <c r="N234" s="126" t="s">
        <v>55</v>
      </c>
    </row>
    <row r="235" spans="1:20" x14ac:dyDescent="0.35">
      <c r="A235" s="66">
        <f>IFERROR(VLOOKUP(A233,Height!A:B,2,FALSE),"")</f>
        <v>187</v>
      </c>
      <c r="B235" s="117">
        <f ca="1">IFERROR(INDIRECT(CONCATENATE("Height!$d",A235)),"")</f>
        <v>1</v>
      </c>
      <c r="C235" s="117">
        <f ca="1">IFERROR(INDIRECT(CONCATENATE("Height!$E",A235)),"")</f>
        <v>3</v>
      </c>
      <c r="D235" s="183" t="str">
        <f ca="1">IFERROR(INDIRECT(CONCATENATE("Height!$F",$A235)),"")</f>
        <v>HENSON Isaac</v>
      </c>
      <c r="E235" s="64" t="str">
        <f t="shared" ref="E235:E241" ca="1" si="42">IFERROR(VLOOKUP(C235,teamlookup,5,FALSE),"")</f>
        <v>York</v>
      </c>
      <c r="F235" s="123">
        <f ca="1">IFERROR(INDIRECT(CONCATENATE("Height!$H",A235)),"")</f>
        <v>1.35</v>
      </c>
      <c r="G235" s="108" t="str">
        <f ca="1">IFERROR(IF(F235&lt;A237,"",VLOOKUP(VLOOKUP(F235,A237:T240,20,TRUE),Points!$H$1:$I$8,2,FALSE)),"")</f>
        <v/>
      </c>
      <c r="H235" s="67"/>
      <c r="I235" s="117">
        <f ca="1">IFERROR(INDIRECT(CONCATENATE("Height!$j",A235)),"")</f>
        <v>1</v>
      </c>
      <c r="J235" s="117">
        <f ca="1">IFERROR(INDIRECT(CONCATENATE("Height!$L",A235)),"")</f>
        <v>1</v>
      </c>
      <c r="K235" s="183" t="str">
        <f ca="1">IFERROR(INDIRECT(CONCATENATE("Height!$N",$A235)),"")</f>
        <v>PEERS-WAIN Jacob</v>
      </c>
      <c r="L235" s="64" t="str">
        <f t="shared" ref="L235:L242" ca="1" si="43">IFERROR(VLOOKUP(J235,teamlookup,5,FALSE),"")</f>
        <v>C'field</v>
      </c>
      <c r="M235" s="123">
        <f ca="1">IFERROR(INDIRECT(CONCATENATE("Height!$Z",A235)),"")</f>
        <v>1.25</v>
      </c>
      <c r="N235" s="108" t="str">
        <f ca="1">IFERROR(IF(M235&lt;A237,"",VLOOKUP(VLOOKUP(M235,A237:T240,20,TRUE),Points!$H$1:$I$8,2,FALSE)),"")</f>
        <v/>
      </c>
      <c r="P235" s="66">
        <f ca="1">IFERROR(IF(OR(C235=0,C235="",F235=0,F235="",F235="X"),0,VLOOKUP(B235,INDIRECT(MatchDay!$W$2),2,FALSE)),"")</f>
        <v>8</v>
      </c>
      <c r="Q235" s="66">
        <f ca="1">IFERROR(IF(OR(J235=0,J235="",M235=0,M235="",M235="X"),0,VLOOKUP(I235,INDIRECT(MatchDay!$W$2),3,FALSE)),"")</f>
        <v>6</v>
      </c>
      <c r="R235" s="219">
        <f ca="1">COUNTIF(C235,"&gt;0")</f>
        <v>1</v>
      </c>
      <c r="S235" s="66">
        <f ca="1">IFERROR(IF(C235&gt;88,1,0),0)</f>
        <v>0</v>
      </c>
    </row>
    <row r="236" spans="1:20" x14ac:dyDescent="0.35">
      <c r="A236" s="116" t="s">
        <v>55</v>
      </c>
      <c r="B236" s="117">
        <f ca="1">IFERROR(INDIRECT(CONCATENATE("Height!$d",A235+1)),"")</f>
        <v>2</v>
      </c>
      <c r="C236" s="117">
        <f ca="1">IFERROR(INDIRECT(CONCATENATE("Height!$E",A235+1)),"")</f>
        <v>11</v>
      </c>
      <c r="D236" s="183" t="str">
        <f ca="1">IFERROR(INDIRECT(CONCATENATE("Height!$F",$A235+1)),"")</f>
        <v>FOOT James</v>
      </c>
      <c r="E236" s="64" t="str">
        <f t="shared" ca="1" si="42"/>
        <v>C'field</v>
      </c>
      <c r="F236" s="123">
        <f ca="1">IFERROR(INDIRECT(CONCATENATE("Height!$H",A235+1)),"")</f>
        <v>1.35</v>
      </c>
      <c r="G236" s="108" t="str">
        <f ca="1">IFERROR(IF(F236&lt;A237,"",VLOOKUP(VLOOKUP(F236,A237:T240,20,TRUE),Points!$H$1:$I$8,2,FALSE)),"")</f>
        <v/>
      </c>
      <c r="H236" s="67"/>
      <c r="I236" s="117" t="str">
        <f ca="1">IFERROR(INDIRECT(CONCATENATE("Height!$j",A235+1)),"")</f>
        <v/>
      </c>
      <c r="J236" s="117" t="str">
        <f ca="1">IFERROR(INDIRECT(CONCATENATE("Height!$L",A235+1)),"")</f>
        <v/>
      </c>
      <c r="K236" s="183" t="str">
        <f ca="1">IFERROR(INDIRECT(CONCATENATE("Height!$N",$A235+1)),"")</f>
        <v/>
      </c>
      <c r="L236" s="64" t="str">
        <f t="shared" ca="1" si="43"/>
        <v/>
      </c>
      <c r="M236" s="123">
        <f ca="1">IFERROR(INDIRECT(CONCATENATE("Height!$Z",A235+1)),"")</f>
        <v>0</v>
      </c>
      <c r="N236" s="108" t="str">
        <f ca="1">IFERROR(IF(M236&lt;A237,"",VLOOKUP(VLOOKUP(M236,A237:T240,20,TRUE),Points!$H$1:$I$8,2,FALSE)),"")</f>
        <v/>
      </c>
      <c r="P236" s="66">
        <f ca="1">IFERROR(IF(OR(C236=0,C236="",F236=0,F236="",F236="X"),0,VLOOKUP(B236,INDIRECT(MatchDay!$W$2),2,FALSE)),"")</f>
        <v>6</v>
      </c>
      <c r="Q236" s="66">
        <f ca="1">IFERROR(IF(OR(J236=0,J236="",M236=0,M236="",M236="X"),0,VLOOKUP(I236,INDIRECT(MatchDay!$W$2),3,FALSE)),"")</f>
        <v>0</v>
      </c>
    </row>
    <row r="237" spans="1:20" x14ac:dyDescent="0.35">
      <c r="A237" s="118">
        <f>IFERROR(VLOOKUP(A233,standards,6,FALSE),"-")</f>
        <v>1.55</v>
      </c>
      <c r="B237" s="117">
        <f ca="1">IFERROR(INDIRECT(CONCATENATE("Height!$d",A235+2)),"")</f>
        <v>3</v>
      </c>
      <c r="C237" s="117">
        <f ca="1">IFERROR(INDIRECT(CONCATENATE("Height!$E",A235+2)),"")</f>
        <v>2</v>
      </c>
      <c r="D237" s="183" t="str">
        <f ca="1">IFERROR(INDIRECT(CONCATENATE("Height!$F",$A235+2)),"")</f>
        <v>LANE William</v>
      </c>
      <c r="E237" s="64" t="str">
        <f t="shared" ca="1" si="42"/>
        <v>Sheff+D</v>
      </c>
      <c r="F237" s="123">
        <f ca="1">IFERROR(INDIRECT(CONCATENATE("Height!$H",A235+2)),"")</f>
        <v>1.25</v>
      </c>
      <c r="G237" s="108" t="str">
        <f ca="1">IFERROR(IF(F237&lt;A237,"",VLOOKUP(VLOOKUP(F237,A237:T240,20,TRUE),Points!$H$1:$I$8,2,FALSE)),"")</f>
        <v/>
      </c>
      <c r="H237" s="67"/>
      <c r="I237" s="117" t="str">
        <f ca="1">IFERROR(INDIRECT(CONCATENATE("Height!$j",A235+2)),"")</f>
        <v/>
      </c>
      <c r="J237" s="117" t="str">
        <f ca="1">IFERROR(INDIRECT(CONCATENATE("Height!$L",A235+2)),"")</f>
        <v/>
      </c>
      <c r="K237" s="183" t="str">
        <f ca="1">IFERROR(INDIRECT(CONCATENATE("Height!$N",$A235+2)),"")</f>
        <v/>
      </c>
      <c r="L237" s="64" t="str">
        <f t="shared" ca="1" si="43"/>
        <v/>
      </c>
      <c r="M237" s="123">
        <f ca="1">IFERROR(INDIRECT(CONCATENATE("Height!$Z",A235+2)),"")</f>
        <v>0</v>
      </c>
      <c r="N237" s="108" t="str">
        <f ca="1">IFERROR(IF(M237&lt;A237,"",VLOOKUP(VLOOKUP(M237,A237:T240,20,TRUE),Points!$H$1:$I$8,2,FALSE)),"")</f>
        <v/>
      </c>
      <c r="P237" s="66">
        <f ca="1">IFERROR(IF(OR(C237=0,C237="",F237=0,F237="",F237="X"),0,VLOOKUP(B237,INDIRECT(MatchDay!$W$2),2,FALSE)),"")</f>
        <v>5</v>
      </c>
      <c r="Q237" s="66">
        <f ca="1">IFERROR(IF(OR(J237=0,J237="",M237=0,M237="",M237="X"),0,VLOOKUP(I237,INDIRECT(MatchDay!$W$2),3,FALSE)),"")</f>
        <v>0</v>
      </c>
      <c r="T237" s="64">
        <v>3</v>
      </c>
    </row>
    <row r="238" spans="1:20" x14ac:dyDescent="0.35">
      <c r="A238" s="118">
        <f>IFERROR(VLOOKUP(A233,standards,5,FALSE),"-")</f>
        <v>1.6</v>
      </c>
      <c r="B238" s="117" t="str">
        <f ca="1">IFERROR(INDIRECT(CONCATENATE("Height!$d",A235+3)),"")</f>
        <v/>
      </c>
      <c r="C238" s="117" t="str">
        <f ca="1">IFERROR(INDIRECT(CONCATENATE("Height!$E",A235+3)),"")</f>
        <v/>
      </c>
      <c r="D238" s="183" t="str">
        <f ca="1">IFERROR(INDIRECT(CONCATENATE("Height!$F",$A235+3)),"")</f>
        <v/>
      </c>
      <c r="E238" s="64" t="str">
        <f t="shared" ca="1" si="42"/>
        <v/>
      </c>
      <c r="F238" s="123">
        <f ca="1">IFERROR(INDIRECT(CONCATENATE("Height!$H",A235+3)),"")</f>
        <v>0</v>
      </c>
      <c r="G238" s="108" t="str">
        <f ca="1">IFERROR(IF(F238&lt;A237,"",VLOOKUP(VLOOKUP(F238,A237:T240,20,TRUE),Points!$H$1:$I$8,2,FALSE)),"")</f>
        <v/>
      </c>
      <c r="H238" s="67"/>
      <c r="I238" s="117" t="str">
        <f ca="1">IFERROR(INDIRECT(CONCATENATE("Height!$j",A235+3)),"")</f>
        <v/>
      </c>
      <c r="J238" s="117" t="str">
        <f ca="1">IFERROR(INDIRECT(CONCATENATE("Height!$L",A235+3)),"")</f>
        <v/>
      </c>
      <c r="K238" s="183" t="str">
        <f ca="1">IFERROR(INDIRECT(CONCATENATE("Height!$N",$A235+3)),"")</f>
        <v/>
      </c>
      <c r="L238" s="64" t="str">
        <f t="shared" ca="1" si="43"/>
        <v/>
      </c>
      <c r="M238" s="123">
        <f ca="1">IFERROR(INDIRECT(CONCATENATE("Height!$Z",A235+3)),"")</f>
        <v>0</v>
      </c>
      <c r="N238" s="108" t="str">
        <f ca="1">IFERROR(IF(M238&lt;A237,"",VLOOKUP(VLOOKUP(M238,A237:T240,20,TRUE),Points!$H$1:$I$8,2,FALSE)),"")</f>
        <v/>
      </c>
      <c r="P238" s="66">
        <f ca="1">IFERROR(IF(OR(C238=0,C238="",F238=0,F238="",F238="X"),0,VLOOKUP(B238,INDIRECT(MatchDay!$W$2),2,FALSE)),"")</f>
        <v>0</v>
      </c>
      <c r="Q238" s="66">
        <f ca="1">IFERROR(IF(OR(J238=0,J238="",M238=0,M238="",M238="X"),0,VLOOKUP(I238,INDIRECT(MatchDay!$W$2),3,FALSE)),"")</f>
        <v>0</v>
      </c>
      <c r="T238" s="64">
        <v>4</v>
      </c>
    </row>
    <row r="239" spans="1:20" x14ac:dyDescent="0.35">
      <c r="A239" s="118">
        <f>IFERROR(VLOOKUP(A233,standards,4,FALSE),"-")</f>
        <v>1.67</v>
      </c>
      <c r="B239" s="117" t="str">
        <f ca="1">IFERROR(INDIRECT(CONCATENATE("Height!$d",A235+4)),"")</f>
        <v/>
      </c>
      <c r="C239" s="117" t="str">
        <f ca="1">IFERROR(INDIRECT(CONCATENATE("Height!$E",A235+4)),"")</f>
        <v/>
      </c>
      <c r="D239" s="183" t="str">
        <f ca="1">IFERROR(INDIRECT(CONCATENATE("Height!$F",$A235+4)),"")</f>
        <v/>
      </c>
      <c r="E239" s="64" t="str">
        <f t="shared" ca="1" si="42"/>
        <v/>
      </c>
      <c r="F239" s="123">
        <f ca="1">IFERROR(INDIRECT(CONCATENATE("Height!$H",A235+4)),"")</f>
        <v>0</v>
      </c>
      <c r="G239" s="108" t="str">
        <f ca="1">IFERROR(IF(F239&lt;A237,"",VLOOKUP(VLOOKUP(F239,A237:T240,20,TRUE),Points!$H$1:$I$8,2,FALSE)),"")</f>
        <v/>
      </c>
      <c r="H239" s="67"/>
      <c r="I239" s="117" t="str">
        <f ca="1">IFERROR(INDIRECT(CONCATENATE("Height!$j",A235+4)),"")</f>
        <v/>
      </c>
      <c r="J239" s="117" t="str">
        <f ca="1">IFERROR(INDIRECT(CONCATENATE("Height!$L",A235+4)),"")</f>
        <v/>
      </c>
      <c r="K239" s="183" t="str">
        <f ca="1">IFERROR(INDIRECT(CONCATENATE("Height!$N",$A235+4)),"")</f>
        <v/>
      </c>
      <c r="L239" s="64" t="str">
        <f t="shared" ca="1" si="43"/>
        <v/>
      </c>
      <c r="M239" s="123">
        <f ca="1">IFERROR(INDIRECT(CONCATENATE("Height!$Z",A235+4)),"")</f>
        <v>0</v>
      </c>
      <c r="N239" s="108" t="str">
        <f ca="1">IFERROR(IF(M239&lt;A237,"",VLOOKUP(VLOOKUP(M239,A237:T240,20,TRUE),Points!$H$1:$I$8,2,FALSE)),"")</f>
        <v/>
      </c>
      <c r="P239" s="66">
        <f ca="1">IFERROR(IF(OR(C239=0,C239="",F239=0,F239="",F239="X"),0,VLOOKUP(B239,INDIRECT(MatchDay!$W$2),2,FALSE)),"")</f>
        <v>0</v>
      </c>
      <c r="Q239" s="66">
        <f ca="1">IFERROR(IF(OR(J239=0,J239="",M239=0,M239="",M239="X"),0,VLOOKUP(I239,INDIRECT(MatchDay!$W$2),3,FALSE)),"")</f>
        <v>0</v>
      </c>
      <c r="T239" s="64">
        <v>5</v>
      </c>
    </row>
    <row r="240" spans="1:20" x14ac:dyDescent="0.35">
      <c r="A240" s="118">
        <f>IFERROR(VLOOKUP(A233,standards,3,FALSE),"-")</f>
        <v>1.72</v>
      </c>
      <c r="B240" s="117" t="str">
        <f ca="1">IFERROR(INDIRECT(CONCATENATE("Height!$d",A235+5)),"")</f>
        <v/>
      </c>
      <c r="C240" s="117" t="str">
        <f ca="1">IFERROR(INDIRECT(CONCATENATE("Height!$E",A235+5)),"")</f>
        <v/>
      </c>
      <c r="D240" s="183" t="str">
        <f ca="1">IFERROR(INDIRECT(CONCATENATE("Height!$F",$A235+5)),"")</f>
        <v/>
      </c>
      <c r="E240" s="64" t="str">
        <f t="shared" ca="1" si="42"/>
        <v/>
      </c>
      <c r="F240" s="123">
        <f ca="1">IFERROR(INDIRECT(CONCATENATE("Height!$H",A235+5)),"")</f>
        <v>0</v>
      </c>
      <c r="G240" s="108" t="str">
        <f ca="1">IFERROR(IF(F240&lt;A237,"",VLOOKUP(VLOOKUP(F240,A237:T240,20,TRUE),Points!$H$1:$I$8,2,FALSE)),"")</f>
        <v/>
      </c>
      <c r="H240" s="67"/>
      <c r="I240" s="117" t="str">
        <f ca="1">IFERROR(INDIRECT(CONCATENATE("Height!$j",A235+5)),"")</f>
        <v/>
      </c>
      <c r="J240" s="117" t="str">
        <f ca="1">IFERROR(INDIRECT(CONCATENATE("Height!$L",A235+5)),"")</f>
        <v/>
      </c>
      <c r="K240" s="183" t="str">
        <f ca="1">IFERROR(INDIRECT(CONCATENATE("Height!$N",$A235+5)),"")</f>
        <v/>
      </c>
      <c r="L240" s="64" t="str">
        <f t="shared" ca="1" si="43"/>
        <v/>
      </c>
      <c r="M240" s="123">
        <f ca="1">IFERROR(INDIRECT(CONCATENATE("Height!$Z",A235+5)),"")</f>
        <v>0</v>
      </c>
      <c r="N240" s="108" t="str">
        <f ca="1">IFERROR(IF(M240&lt;A237,"",VLOOKUP(VLOOKUP(M240,A237:T240,20,TRUE),Points!$H$1:$I$8,2,FALSE)),"")</f>
        <v/>
      </c>
      <c r="P240" s="66">
        <f ca="1">IFERROR(IF(OR(C240=0,C240="",F240=0,F240="",F240="X"),0,VLOOKUP(B240,INDIRECT(MatchDay!$W$2),2,FALSE)),"")</f>
        <v>0</v>
      </c>
      <c r="Q240" s="66">
        <f ca="1">IFERROR(IF(OR(J240=0,J240="",M240=0,M240="",M240="X"),0,VLOOKUP(I240,INDIRECT(MatchDay!$W$2),3,FALSE)),"")</f>
        <v>0</v>
      </c>
      <c r="T240" s="64">
        <v>6</v>
      </c>
    </row>
    <row r="241" spans="1:17" x14ac:dyDescent="0.35">
      <c r="A241" s="116" t="s">
        <v>204</v>
      </c>
      <c r="B241" s="117" t="str">
        <f ca="1">IFERROR(INDIRECT(CONCATENATE("Height!$d",A235+6)),"")</f>
        <v/>
      </c>
      <c r="C241" s="117" t="str">
        <f ca="1">IFERROR(INDIRECT(CONCATENATE("Height!$E",A235+6)),"")</f>
        <v/>
      </c>
      <c r="D241" s="183" t="str">
        <f ca="1">IFERROR(INDIRECT(CONCATENATE("Height!$F",$A235+6)),"")</f>
        <v/>
      </c>
      <c r="E241" s="64" t="str">
        <f t="shared" ca="1" si="42"/>
        <v/>
      </c>
      <c r="F241" s="123">
        <f ca="1">IFERROR(INDIRECT(CONCATENATE("Height!$H",A235+6)),"")</f>
        <v>0</v>
      </c>
      <c r="G241" s="108" t="str">
        <f ca="1">IFERROR(IF(F241&lt;A237,"",VLOOKUP(VLOOKUP(F241,A237:T240,20,TRUE),Points!$H$1:$I$8,2,FALSE)),"")</f>
        <v/>
      </c>
      <c r="H241" s="67"/>
      <c r="I241" s="117" t="str">
        <f ca="1">IFERROR(INDIRECT(CONCATENATE("Height!$j",A235+6)),"")</f>
        <v/>
      </c>
      <c r="J241" s="117" t="str">
        <f ca="1">IFERROR(INDIRECT(CONCATENATE("Height!$L",A235+6)),"")</f>
        <v/>
      </c>
      <c r="K241" s="183" t="str">
        <f ca="1">IFERROR(INDIRECT(CONCATENATE("Height!$N",$A235+6)),"")</f>
        <v/>
      </c>
      <c r="L241" s="64" t="str">
        <f t="shared" ca="1" si="43"/>
        <v/>
      </c>
      <c r="M241" s="123">
        <f ca="1">IFERROR(INDIRECT(CONCATENATE("Height!$Z",A235+6)),"")</f>
        <v>0</v>
      </c>
      <c r="N241" s="108" t="str">
        <f ca="1">IFERROR(IF(M241&lt;A237,"",VLOOKUP(VLOOKUP(M241,A237:T240,20,TRUE),Points!$H$1:$I$8,2,FALSE)),"")</f>
        <v/>
      </c>
      <c r="P241" s="66">
        <f ca="1">IFERROR(IF(OR(C241=0,C241="",F241=0,F241="",F241="X"),0,VLOOKUP(B241,INDIRECT(MatchDay!$W$2),2,FALSE)),"")</f>
        <v>0</v>
      </c>
      <c r="Q241" s="66">
        <f ca="1">IFERROR(IF(OR(J241=0,J241="",M241=0,M241="",M241="X"),0,VLOOKUP(I241,INDIRECT(MatchDay!$W$2),3,FALSE)),"")</f>
        <v>0</v>
      </c>
    </row>
    <row r="242" spans="1:17" x14ac:dyDescent="0.35">
      <c r="A242" s="116" t="str">
        <f>IFERROR(VLOOKUP(#REF!,records,5,FALSE),"")</f>
        <v/>
      </c>
      <c r="B242" s="117" t="str">
        <f ca="1">IFERROR(INDIRECT(CONCATENATE("Height!$d",A235+7)),"")</f>
        <v/>
      </c>
      <c r="C242" s="117" t="str">
        <f ca="1">IFERROR(INDIRECT(CONCATENATE("Height!$E",A235+7)),"")</f>
        <v/>
      </c>
      <c r="D242" s="183" t="str">
        <f ca="1">IFERROR(INDIRECT(CONCATENATE("Height!$F",$A235+7)),"")</f>
        <v/>
      </c>
      <c r="E242" s="64" t="str">
        <f t="shared" ref="E242" ca="1" si="44">IFERROR(VLOOKUP(C242,teamlookup,5,FALSE),"")</f>
        <v/>
      </c>
      <c r="F242" s="123">
        <f ca="1">IFERROR(INDIRECT(CONCATENATE("Height!$H",A235+7)),"")</f>
        <v>0</v>
      </c>
      <c r="G242" s="108" t="str">
        <f ca="1">IFERROR(IF(F242&lt;A237,"",VLOOKUP(VLOOKUP(F242,A237:T240,20,TRUE),Points!$H$1:$I$8,2,FALSE)),"")</f>
        <v/>
      </c>
      <c r="H242" s="67"/>
      <c r="I242" s="117" t="str">
        <f ca="1">IFERROR(INDIRECT(CONCATENATE("Height!$j",A235+7)),"")</f>
        <v/>
      </c>
      <c r="J242" s="117" t="str">
        <f ca="1">IFERROR(INDIRECT(CONCATENATE("Height!$L",A235+7)),"")</f>
        <v/>
      </c>
      <c r="K242" s="183" t="str">
        <f ca="1">IFERROR(INDIRECT(CONCATENATE("Height!$N",$A235+7)),"")</f>
        <v/>
      </c>
      <c r="L242" s="64" t="str">
        <f t="shared" ca="1" si="43"/>
        <v/>
      </c>
      <c r="M242" s="123">
        <f ca="1">IFERROR(INDIRECT(CONCATENATE("Height!$Z",A235+7)),"")</f>
        <v>0</v>
      </c>
      <c r="N242" s="108" t="str">
        <f ca="1">IFERROR(IF(M242&lt;A237,"",VLOOKUP(VLOOKUP(M242,A237:T240,20,TRUE),Points!$H$1:$I$8,2,FALSE)),"")</f>
        <v/>
      </c>
      <c r="P242" s="66">
        <f ca="1">IFERROR(IF(OR(C242=0,C242="",F242=0,F242="",F242="X"),0,VLOOKUP(B242,INDIRECT(MatchDay!$W$2),2,FALSE)),"")</f>
        <v>0</v>
      </c>
      <c r="Q242" s="66">
        <f ca="1">IFERROR(IF(OR(J242=0,J242="",M242=0,M242="",M242="X"),0,VLOOKUP(I242,INDIRECT(MatchDay!$W$2),3,FALSE)),"")</f>
        <v>0</v>
      </c>
    </row>
  </sheetData>
  <sheetProtection algorithmName="SHA-512" hashValue="oxrdX1IYxBnA1bOk/7MTv2yuZqJ5VRKAY4aeVO1s6UpPZDxXVK3YkhIiVs3/R7Qr8Ktiyb+Bd0ZhPBmnP3V8Zg==" saltValue="PJ0G4LVXRnzN8M0bY8+c4Q==" spinCount="100000" sheet="1" objects="1" scenarios="1" formatCells="0" formatColumns="0" formatRows="0" sort="0" autoFilter="0"/>
  <autoFilter ref="B1:B242" xr:uid="{00000000-0009-0000-0000-00001300000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5" manualBreakCount="5">
    <brk id="45" min="1" max="13" man="1"/>
    <brk id="89" min="1" max="13" man="1"/>
    <brk id="133" min="1" max="13" man="1"/>
    <brk id="177" min="1" max="13" man="1"/>
    <brk id="221" min="1" max="1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FFFF00"/>
  </sheetPr>
  <dimension ref="A1:HQ194"/>
  <sheetViews>
    <sheetView showZeros="0" zoomScale="80" zoomScaleNormal="80" workbookViewId="0">
      <pane ySplit="2" topLeftCell="A3" activePane="bottomLeft" state="frozen"/>
      <selection activeCell="K3" sqref="K3:N3"/>
      <selection pane="bottomLeft" activeCell="GV1" sqref="GV1:GY1048576"/>
    </sheetView>
  </sheetViews>
  <sheetFormatPr defaultColWidth="8.86328125" defaultRowHeight="15" customHeight="1" x14ac:dyDescent="0.45"/>
  <cols>
    <col min="1" max="1" width="24.86328125" style="155" customWidth="1"/>
    <col min="2" max="2" width="3.86328125" style="159" customWidth="1"/>
    <col min="3" max="3" width="3.86328125" style="166" customWidth="1"/>
    <col min="4" max="6" width="3.86328125" style="159" customWidth="1"/>
    <col min="7" max="7" width="3.86328125" style="166" customWidth="1"/>
    <col min="8" max="9" width="3.86328125" style="159" customWidth="1"/>
    <col min="10" max="12" width="3.86328125" style="159" hidden="1" customWidth="1"/>
    <col min="13" max="17" width="3.86328125" style="159" customWidth="1"/>
    <col min="18" max="18" width="3.86328125" style="159" hidden="1" customWidth="1"/>
    <col min="19" max="22" width="3.86328125" style="159" customWidth="1"/>
    <col min="23" max="26" width="8.86328125" style="155" hidden="1" customWidth="1"/>
    <col min="27" max="27" width="24.86328125" style="155" customWidth="1"/>
    <col min="28" max="28" width="3.86328125" style="159" customWidth="1"/>
    <col min="29" max="29" width="3.86328125" style="166" customWidth="1"/>
    <col min="30" max="32" width="3.86328125" style="159" customWidth="1"/>
    <col min="33" max="33" width="3.86328125" style="166" customWidth="1"/>
    <col min="34" max="35" width="3.86328125" style="159" customWidth="1"/>
    <col min="36" max="38" width="3.86328125" style="159" hidden="1" customWidth="1"/>
    <col min="39" max="43" width="3.86328125" style="159" customWidth="1"/>
    <col min="44" max="44" width="3.86328125" style="159" hidden="1" customWidth="1"/>
    <col min="45" max="48" width="3.86328125" style="159" customWidth="1"/>
    <col min="49" max="52" width="8.86328125" style="155" hidden="1" customWidth="1"/>
    <col min="53" max="53" width="24.86328125" style="155" customWidth="1"/>
    <col min="54" max="54" width="3.86328125" style="159" customWidth="1"/>
    <col min="55" max="55" width="3.86328125" style="166" customWidth="1"/>
    <col min="56" max="58" width="3.86328125" style="159" customWidth="1"/>
    <col min="59" max="59" width="3.86328125" style="166" customWidth="1"/>
    <col min="60" max="61" width="3.86328125" style="159" customWidth="1"/>
    <col min="62" max="64" width="3.86328125" style="159" hidden="1" customWidth="1"/>
    <col min="65" max="69" width="3.86328125" style="159" customWidth="1"/>
    <col min="70" max="70" width="3.86328125" style="159" hidden="1" customWidth="1"/>
    <col min="71" max="74" width="3.86328125" style="159" customWidth="1"/>
    <col min="75" max="78" width="8.86328125" style="155" hidden="1" customWidth="1"/>
    <col min="79" max="79" width="24.86328125" style="155" customWidth="1"/>
    <col min="80" max="80" width="3.86328125" style="159" customWidth="1"/>
    <col min="81" max="81" width="3.86328125" style="166" customWidth="1"/>
    <col min="82" max="84" width="3.86328125" style="159" customWidth="1"/>
    <col min="85" max="85" width="3.86328125" style="166" customWidth="1"/>
    <col min="86" max="87" width="3.86328125" style="159" customWidth="1"/>
    <col min="88" max="90" width="3.86328125" style="159" hidden="1" customWidth="1"/>
    <col min="91" max="95" width="3.86328125" style="159" customWidth="1"/>
    <col min="96" max="96" width="3.86328125" style="159" hidden="1" customWidth="1"/>
    <col min="97" max="100" width="3.86328125" style="159" customWidth="1"/>
    <col min="101" max="104" width="9.1328125" style="155" hidden="1" customWidth="1"/>
    <col min="105" max="105" width="24.86328125" style="155" customWidth="1"/>
    <col min="106" max="106" width="3.86328125" style="159" customWidth="1"/>
    <col min="107" max="107" width="3.86328125" style="166" customWidth="1"/>
    <col min="108" max="110" width="3.86328125" style="159" customWidth="1"/>
    <col min="111" max="111" width="3.86328125" style="166" customWidth="1"/>
    <col min="112" max="113" width="3.86328125" style="159" customWidth="1"/>
    <col min="114" max="116" width="3.86328125" style="159" hidden="1" customWidth="1"/>
    <col min="117" max="121" width="3.86328125" style="159" customWidth="1"/>
    <col min="122" max="122" width="3.86328125" style="159" hidden="1" customWidth="1"/>
    <col min="123" max="126" width="3.86328125" style="159" customWidth="1"/>
    <col min="127" max="130" width="9.1328125" style="155" hidden="1" customWidth="1"/>
    <col min="131" max="131" width="24.86328125" style="155" customWidth="1"/>
    <col min="132" max="132" width="3.86328125" style="159" customWidth="1"/>
    <col min="133" max="133" width="3.86328125" style="166" customWidth="1"/>
    <col min="134" max="136" width="3.86328125" style="159" customWidth="1"/>
    <col min="137" max="137" width="3.86328125" style="166" customWidth="1"/>
    <col min="138" max="139" width="3.86328125" style="159" customWidth="1"/>
    <col min="140" max="142" width="3.86328125" style="159" hidden="1" customWidth="1"/>
    <col min="143" max="147" width="3.86328125" style="159" customWidth="1"/>
    <col min="148" max="148" width="3.86328125" style="159" hidden="1" customWidth="1"/>
    <col min="149" max="152" width="3.86328125" style="159" customWidth="1"/>
    <col min="153" max="156" width="9.1328125" style="155" hidden="1" customWidth="1"/>
    <col min="157" max="157" width="24.86328125" style="155" customWidth="1"/>
    <col min="158" max="158" width="3.86328125" style="159" customWidth="1"/>
    <col min="159" max="159" width="3.86328125" style="166" customWidth="1"/>
    <col min="160" max="162" width="3.86328125" style="159" customWidth="1"/>
    <col min="163" max="163" width="3.86328125" style="166" customWidth="1"/>
    <col min="164" max="165" width="3.86328125" style="159" customWidth="1"/>
    <col min="166" max="168" width="3.86328125" style="159" hidden="1" customWidth="1"/>
    <col min="169" max="173" width="3.86328125" style="159" customWidth="1"/>
    <col min="174" max="174" width="3.86328125" style="159" hidden="1" customWidth="1"/>
    <col min="175" max="178" width="3.86328125" style="159" customWidth="1"/>
    <col min="179" max="182" width="9.1328125" style="155" hidden="1" customWidth="1"/>
    <col min="183" max="183" width="24.86328125" style="155" customWidth="1"/>
    <col min="184" max="184" width="3.86328125" style="159" customWidth="1"/>
    <col min="185" max="185" width="3.86328125" style="166" customWidth="1"/>
    <col min="186" max="188" width="3.86328125" style="159" customWidth="1"/>
    <col min="189" max="189" width="3.86328125" style="166" customWidth="1"/>
    <col min="190" max="191" width="3.86328125" style="159" customWidth="1"/>
    <col min="192" max="194" width="3.86328125" style="159" hidden="1" customWidth="1"/>
    <col min="195" max="199" width="3.86328125" style="159" customWidth="1"/>
    <col min="200" max="200" width="3.86328125" style="159" hidden="1" customWidth="1"/>
    <col min="201" max="204" width="3.86328125" style="159" customWidth="1"/>
    <col min="205" max="205" width="9.1328125" style="155" hidden="1" customWidth="1"/>
    <col min="206" max="207" width="9.1328125" style="155" customWidth="1"/>
    <col min="226" max="16384" width="8.86328125" style="155"/>
  </cols>
  <sheetData>
    <row r="1" spans="1:207" ht="18.75" customHeight="1" x14ac:dyDescent="0.45">
      <c r="A1" s="188" t="str">
        <f>MatchDay!C13</f>
        <v>Chesterfield &amp; District AC</v>
      </c>
      <c r="B1" s="168"/>
      <c r="C1" s="163"/>
      <c r="D1" s="168"/>
      <c r="E1" s="154"/>
      <c r="F1" s="168"/>
      <c r="G1" s="163"/>
      <c r="H1" s="168"/>
      <c r="I1" s="154"/>
      <c r="J1" s="154">
        <f>MatchDay!B13</f>
        <v>1</v>
      </c>
      <c r="K1" s="154">
        <f>J1*11</f>
        <v>11</v>
      </c>
      <c r="L1" s="154" t="str">
        <f>IF(MatchDay!$C$2="UPPER",MatchDay!#REF!,"")</f>
        <v/>
      </c>
      <c r="M1" s="168" t="str">
        <f>IF(MatchDay!$C$2="UPPER",L1&amp;L1,"")</f>
        <v/>
      </c>
      <c r="N1" s="154">
        <v>1</v>
      </c>
      <c r="O1" s="168">
        <v>2</v>
      </c>
      <c r="P1" s="154">
        <v>3</v>
      </c>
      <c r="Q1" s="168">
        <v>4</v>
      </c>
      <c r="R1" s="154" t="str">
        <f>IF(MatchDay!$C$2="UPPER","A","")</f>
        <v/>
      </c>
      <c r="S1" s="154" t="str">
        <f>IF(MatchDay!$C$2="UPPER","B","")</f>
        <v/>
      </c>
      <c r="T1" s="168" t="str">
        <f>IF(MatchDay!$C$2="UPPER","C","")</f>
        <v/>
      </c>
      <c r="U1" s="154" t="str">
        <f>IF(MatchDay!$C$2="UPPER","D","")</f>
        <v/>
      </c>
      <c r="V1" s="172"/>
      <c r="AA1" s="188" t="str">
        <f>MatchDay!C14</f>
        <v>City of Sheffield &amp; Dearne AC</v>
      </c>
      <c r="AB1" s="174"/>
      <c r="AC1" s="163"/>
      <c r="AD1" s="174"/>
      <c r="AE1" s="154"/>
      <c r="AF1" s="174"/>
      <c r="AG1" s="163"/>
      <c r="AH1" s="174"/>
      <c r="AI1" s="154"/>
      <c r="AJ1" s="154">
        <f>MatchDay!B14</f>
        <v>2</v>
      </c>
      <c r="AK1" s="154">
        <f>AJ1*11</f>
        <v>22</v>
      </c>
      <c r="AL1" s="154" t="str">
        <f>IF(MatchDay!$C$2="UPPER",MatchDay!#REF!,"")</f>
        <v/>
      </c>
      <c r="AM1" s="174" t="str">
        <f>IF(MatchDay!$C$2="UPPER",AL1&amp;AL1,"")</f>
        <v/>
      </c>
      <c r="AN1" s="154">
        <v>1</v>
      </c>
      <c r="AO1" s="174">
        <v>2</v>
      </c>
      <c r="AP1" s="154">
        <v>3</v>
      </c>
      <c r="AQ1" s="174">
        <v>4</v>
      </c>
      <c r="AR1" s="154" t="str">
        <f>IF(MatchDay!$C$2="UPPER","A","")</f>
        <v/>
      </c>
      <c r="AS1" s="154" t="str">
        <f>IF(MatchDay!$C$2="UPPER","B","")</f>
        <v/>
      </c>
      <c r="AT1" s="174" t="str">
        <f>IF(MatchDay!$C$2="UPPER","C","")</f>
        <v/>
      </c>
      <c r="AU1" s="154" t="str">
        <f>IF(MatchDay!$C$2="UPPER","D","")</f>
        <v/>
      </c>
      <c r="AV1" s="178"/>
      <c r="BA1" s="188" t="str">
        <f>MatchDay!C15</f>
        <v>City of York AC</v>
      </c>
      <c r="BB1" s="168"/>
      <c r="BC1" s="163"/>
      <c r="BD1" s="168"/>
      <c r="BE1" s="154"/>
      <c r="BF1" s="168"/>
      <c r="BG1" s="163"/>
      <c r="BH1" s="168"/>
      <c r="BI1" s="154"/>
      <c r="BJ1" s="154">
        <f>MatchDay!B15</f>
        <v>3</v>
      </c>
      <c r="BK1" s="154">
        <f>BJ1*11</f>
        <v>33</v>
      </c>
      <c r="BL1" s="154" t="str">
        <f>IF(MatchDay!$C$2="UPPER",MatchDay!#REF!,"")</f>
        <v/>
      </c>
      <c r="BM1" s="168" t="str">
        <f>IF(MatchDay!$C$2="UPPER",BL1&amp;BL1,"")</f>
        <v/>
      </c>
      <c r="BN1" s="154">
        <v>1</v>
      </c>
      <c r="BO1" s="168">
        <v>2</v>
      </c>
      <c r="BP1" s="154">
        <v>3</v>
      </c>
      <c r="BQ1" s="168">
        <v>4</v>
      </c>
      <c r="BR1" s="154" t="str">
        <f>IF(MatchDay!$C$2="UPPER","A","")</f>
        <v/>
      </c>
      <c r="BS1" s="154" t="str">
        <f>IF(MatchDay!$C$2="UPPER","B","")</f>
        <v/>
      </c>
      <c r="BT1" s="168" t="str">
        <f>IF(MatchDay!$C$2="UPPER","C","")</f>
        <v/>
      </c>
      <c r="BU1" s="154" t="str">
        <f>IF(MatchDay!$C$2="UPPER","D","")</f>
        <v/>
      </c>
      <c r="BV1" s="172"/>
      <c r="CA1" s="188" t="str">
        <f>MatchDay!C16</f>
        <v>Middlesbrough AC (Mandale)</v>
      </c>
      <c r="CB1" s="174"/>
      <c r="CC1" s="163"/>
      <c r="CD1" s="174"/>
      <c r="CE1" s="154"/>
      <c r="CF1" s="174"/>
      <c r="CG1" s="163"/>
      <c r="CH1" s="174"/>
      <c r="CI1" s="154"/>
      <c r="CJ1" s="154">
        <f>MatchDay!B16</f>
        <v>4</v>
      </c>
      <c r="CK1" s="154">
        <f>CJ1*11</f>
        <v>44</v>
      </c>
      <c r="CL1" s="154" t="str">
        <f>IF(MatchDay!$C$2="UPPER",MatchDay!#REF!,"")</f>
        <v/>
      </c>
      <c r="CM1" s="174" t="str">
        <f>IF(MatchDay!$C$2="UPPER",CL1&amp;CL1,"")</f>
        <v/>
      </c>
      <c r="CN1" s="154">
        <v>1</v>
      </c>
      <c r="CO1" s="174">
        <v>2</v>
      </c>
      <c r="CP1" s="154">
        <v>3</v>
      </c>
      <c r="CQ1" s="174">
        <v>4</v>
      </c>
      <c r="CR1" s="154" t="str">
        <f>IF(MatchDay!$C$2="UPPER","A","")</f>
        <v/>
      </c>
      <c r="CS1" s="154" t="str">
        <f>IF(MatchDay!$C$2="UPPER","B","")</f>
        <v/>
      </c>
      <c r="CT1" s="174" t="str">
        <f>IF(MatchDay!$C$2="UPPER","C","")</f>
        <v/>
      </c>
      <c r="CU1" s="154" t="str">
        <f>IF(MatchDay!$C$2="UPPER","D","")</f>
        <v/>
      </c>
      <c r="CV1" s="178"/>
      <c r="DA1" s="188" t="str">
        <f>MatchDay!C17</f>
        <v>Scunthorpe &amp; District AC</v>
      </c>
      <c r="DB1" s="168"/>
      <c r="DC1" s="163"/>
      <c r="DD1" s="168"/>
      <c r="DE1" s="154"/>
      <c r="DF1" s="168"/>
      <c r="DG1" s="163"/>
      <c r="DH1" s="168"/>
      <c r="DI1" s="154"/>
      <c r="DJ1" s="154">
        <f>MatchDay!B17</f>
        <v>5</v>
      </c>
      <c r="DK1" s="154">
        <f>DJ1*11</f>
        <v>55</v>
      </c>
      <c r="DL1" s="154" t="str">
        <f>IF(MatchDay!$C$2="UPPER",MatchDay!#REF!,"")</f>
        <v/>
      </c>
      <c r="DM1" s="168" t="str">
        <f>IF(MatchDay!$C$2="UPPER",DL1&amp;DL1,"")</f>
        <v/>
      </c>
      <c r="DN1" s="154">
        <v>1</v>
      </c>
      <c r="DO1" s="168">
        <v>2</v>
      </c>
      <c r="DP1" s="154">
        <v>3</v>
      </c>
      <c r="DQ1" s="168">
        <v>4</v>
      </c>
      <c r="DR1" s="154" t="str">
        <f>IF(MatchDay!$C$2="UPPER","A","")</f>
        <v/>
      </c>
      <c r="DS1" s="154" t="str">
        <f>IF(MatchDay!$C$2="UPPER","B","")</f>
        <v/>
      </c>
      <c r="DT1" s="168" t="str">
        <f>IF(MatchDay!$C$2="UPPER","C","")</f>
        <v/>
      </c>
      <c r="DU1" s="154" t="str">
        <f>IF(MatchDay!$C$2="UPPER","D","")</f>
        <v/>
      </c>
      <c r="DV1" s="172"/>
      <c r="EA1" s="188" t="str">
        <f>MatchDay!C18</f>
        <v/>
      </c>
      <c r="EB1" s="174"/>
      <c r="EC1" s="163"/>
      <c r="ED1" s="174"/>
      <c r="EE1" s="154"/>
      <c r="EF1" s="174"/>
      <c r="EG1" s="163"/>
      <c r="EH1" s="174"/>
      <c r="EI1" s="154"/>
      <c r="EJ1" s="154" t="str">
        <f>MatchDay!B18</f>
        <v>-</v>
      </c>
      <c r="EK1" s="154" t="e">
        <f>EJ1*11</f>
        <v>#VALUE!</v>
      </c>
      <c r="EL1" s="154" t="str">
        <f>IF(MatchDay!$C$2="UPPER",MatchDay!#REF!,"")</f>
        <v/>
      </c>
      <c r="EM1" s="174" t="str">
        <f>IF(MatchDay!$C$2="UPPER",EL1&amp;EL1,"")</f>
        <v/>
      </c>
      <c r="EN1" s="154">
        <v>1</v>
      </c>
      <c r="EO1" s="174">
        <v>2</v>
      </c>
      <c r="EP1" s="154">
        <v>3</v>
      </c>
      <c r="EQ1" s="174">
        <v>4</v>
      </c>
      <c r="ER1" s="154" t="str">
        <f>IF(MatchDay!$C$2="UPPER","A","")</f>
        <v/>
      </c>
      <c r="ES1" s="154" t="str">
        <f>IF(MatchDay!$C$2="UPPER","B","")</f>
        <v/>
      </c>
      <c r="ET1" s="174" t="str">
        <f>IF(MatchDay!$C$2="UPPER","C","")</f>
        <v/>
      </c>
      <c r="EU1" s="154" t="str">
        <f>IF(MatchDay!$C$2="UPPER","D","")</f>
        <v/>
      </c>
      <c r="EV1" s="178"/>
      <c r="FA1" s="188" t="str">
        <f>MatchDay!C19</f>
        <v/>
      </c>
      <c r="FB1" s="168"/>
      <c r="FC1" s="163"/>
      <c r="FD1" s="168"/>
      <c r="FE1" s="154"/>
      <c r="FF1" s="168"/>
      <c r="FG1" s="163"/>
      <c r="FH1" s="168"/>
      <c r="FI1" s="154"/>
      <c r="FJ1" s="154" t="str">
        <f>MatchDay!B19</f>
        <v>-</v>
      </c>
      <c r="FK1" s="154" t="str">
        <f>IFERROR(FJ1*11,"-")</f>
        <v>-</v>
      </c>
      <c r="FL1" s="154" t="str">
        <f>IF(MatchDay!$C$2="UPPER",MatchDay!Q19,"")</f>
        <v/>
      </c>
      <c r="FM1" s="168" t="str">
        <f>IF(MatchDay!$C$2="UPPER",FL1&amp;FL1,"")</f>
        <v/>
      </c>
      <c r="FN1" s="154">
        <v>1</v>
      </c>
      <c r="FO1" s="168">
        <v>2</v>
      </c>
      <c r="FP1" s="154">
        <v>3</v>
      </c>
      <c r="FQ1" s="168">
        <v>4</v>
      </c>
      <c r="FR1" s="154" t="str">
        <f>IF(MatchDay!$C$2="UPPER","A","")</f>
        <v/>
      </c>
      <c r="FS1" s="154" t="str">
        <f>IF(MatchDay!$C$2="UPPER","B","")</f>
        <v/>
      </c>
      <c r="FT1" s="168" t="str">
        <f>IF(MatchDay!$C$2="UPPER","C","")</f>
        <v/>
      </c>
      <c r="FU1" s="154" t="str">
        <f>IF(MatchDay!$C$2="UPPER","D","")</f>
        <v/>
      </c>
      <c r="FV1" s="172"/>
      <c r="GA1" s="188" t="str">
        <f>MatchDay!C20</f>
        <v/>
      </c>
      <c r="GB1" s="174"/>
      <c r="GC1" s="163"/>
      <c r="GD1" s="174"/>
      <c r="GE1" s="154"/>
      <c r="GF1" s="174"/>
      <c r="GG1" s="163"/>
      <c r="GH1" s="174"/>
      <c r="GI1" s="154"/>
      <c r="GJ1" s="154" t="str">
        <f>MatchDay!B20</f>
        <v>-</v>
      </c>
      <c r="GK1" s="154" t="str">
        <f>IFERROR(GJ1*11,"-")</f>
        <v>-</v>
      </c>
      <c r="GL1" s="154" t="str">
        <f>IF(MatchDay!$C$2="UPPER",MatchDay!Q20,"")</f>
        <v/>
      </c>
      <c r="GM1" s="174" t="str">
        <f>IF(MatchDay!$C$2="UPPER",GL1&amp;GL1,"")</f>
        <v/>
      </c>
      <c r="GN1" s="154">
        <v>1</v>
      </c>
      <c r="GO1" s="174">
        <v>2</v>
      </c>
      <c r="GP1" s="154">
        <v>3</v>
      </c>
      <c r="GQ1" s="174">
        <v>4</v>
      </c>
      <c r="GR1" s="154" t="str">
        <f>IF(MatchDay!$C$2="UPPER","A","")</f>
        <v/>
      </c>
      <c r="GS1" s="154" t="str">
        <f>IF(MatchDay!$C$2="UPPER","B","")</f>
        <v/>
      </c>
      <c r="GT1" s="174" t="str">
        <f>IF(MatchDay!$C$2="UPPER","C","")</f>
        <v/>
      </c>
      <c r="GU1" s="154" t="str">
        <f>IF(MatchDay!$C$2="UPPER","D","")</f>
        <v/>
      </c>
      <c r="GV1" s="178"/>
    </row>
    <row r="2" spans="1:207" ht="90" customHeight="1" x14ac:dyDescent="0.45">
      <c r="A2" s="167">
        <f>MatchDay!B13</f>
        <v>1</v>
      </c>
      <c r="B2" s="169" t="s">
        <v>532</v>
      </c>
      <c r="C2" s="162" t="s">
        <v>535</v>
      </c>
      <c r="D2" s="169" t="s">
        <v>533</v>
      </c>
      <c r="E2" s="156" t="s">
        <v>531</v>
      </c>
      <c r="F2" s="169">
        <v>800</v>
      </c>
      <c r="G2" s="162" t="s">
        <v>536</v>
      </c>
      <c r="H2" s="169" t="s">
        <v>534</v>
      </c>
      <c r="I2" s="156" t="s">
        <v>526</v>
      </c>
      <c r="J2" s="156">
        <v>3000</v>
      </c>
      <c r="K2" s="156" t="s">
        <v>525</v>
      </c>
      <c r="L2" s="156" t="s">
        <v>527</v>
      </c>
      <c r="M2" s="169" t="s">
        <v>25</v>
      </c>
      <c r="N2" s="156" t="s">
        <v>21</v>
      </c>
      <c r="O2" s="169" t="s">
        <v>28</v>
      </c>
      <c r="P2" s="156" t="s">
        <v>24</v>
      </c>
      <c r="Q2" s="169" t="s">
        <v>22</v>
      </c>
      <c r="R2" s="156" t="s">
        <v>528</v>
      </c>
      <c r="S2" s="156" t="s">
        <v>23</v>
      </c>
      <c r="T2" s="169" t="s">
        <v>27</v>
      </c>
      <c r="U2" s="156" t="s">
        <v>529</v>
      </c>
      <c r="V2" s="173" t="s">
        <v>530</v>
      </c>
      <c r="AA2" s="167">
        <f>MatchDay!B14</f>
        <v>2</v>
      </c>
      <c r="AB2" s="175" t="s">
        <v>532</v>
      </c>
      <c r="AC2" s="162" t="s">
        <v>535</v>
      </c>
      <c r="AD2" s="175" t="s">
        <v>533</v>
      </c>
      <c r="AE2" s="156" t="s">
        <v>531</v>
      </c>
      <c r="AF2" s="175">
        <v>800</v>
      </c>
      <c r="AG2" s="162" t="s">
        <v>536</v>
      </c>
      <c r="AH2" s="175" t="s">
        <v>534</v>
      </c>
      <c r="AI2" s="156" t="s">
        <v>526</v>
      </c>
      <c r="AJ2" s="156">
        <v>3000</v>
      </c>
      <c r="AK2" s="156" t="s">
        <v>525</v>
      </c>
      <c r="AL2" s="156" t="s">
        <v>527</v>
      </c>
      <c r="AM2" s="175" t="s">
        <v>25</v>
      </c>
      <c r="AN2" s="156" t="s">
        <v>21</v>
      </c>
      <c r="AO2" s="175" t="s">
        <v>28</v>
      </c>
      <c r="AP2" s="156" t="s">
        <v>24</v>
      </c>
      <c r="AQ2" s="175" t="s">
        <v>22</v>
      </c>
      <c r="AR2" s="156" t="s">
        <v>528</v>
      </c>
      <c r="AS2" s="156" t="s">
        <v>23</v>
      </c>
      <c r="AT2" s="175" t="s">
        <v>27</v>
      </c>
      <c r="AU2" s="156" t="s">
        <v>529</v>
      </c>
      <c r="AV2" s="179" t="s">
        <v>530</v>
      </c>
      <c r="BA2" s="167">
        <f>MatchDay!B15</f>
        <v>3</v>
      </c>
      <c r="BB2" s="169" t="s">
        <v>532</v>
      </c>
      <c r="BC2" s="162" t="s">
        <v>535</v>
      </c>
      <c r="BD2" s="169" t="s">
        <v>533</v>
      </c>
      <c r="BE2" s="156" t="s">
        <v>531</v>
      </c>
      <c r="BF2" s="169">
        <v>800</v>
      </c>
      <c r="BG2" s="162" t="s">
        <v>536</v>
      </c>
      <c r="BH2" s="169" t="s">
        <v>534</v>
      </c>
      <c r="BI2" s="156" t="s">
        <v>526</v>
      </c>
      <c r="BJ2" s="156">
        <v>3000</v>
      </c>
      <c r="BK2" s="156" t="s">
        <v>525</v>
      </c>
      <c r="BL2" s="156" t="s">
        <v>527</v>
      </c>
      <c r="BM2" s="169" t="s">
        <v>25</v>
      </c>
      <c r="BN2" s="156" t="s">
        <v>21</v>
      </c>
      <c r="BO2" s="169" t="s">
        <v>28</v>
      </c>
      <c r="BP2" s="156" t="s">
        <v>24</v>
      </c>
      <c r="BQ2" s="169" t="s">
        <v>22</v>
      </c>
      <c r="BR2" s="156" t="s">
        <v>528</v>
      </c>
      <c r="BS2" s="156" t="s">
        <v>23</v>
      </c>
      <c r="BT2" s="169" t="s">
        <v>27</v>
      </c>
      <c r="BU2" s="156" t="s">
        <v>529</v>
      </c>
      <c r="BV2" s="173" t="s">
        <v>530</v>
      </c>
      <c r="CA2" s="167">
        <f>MatchDay!B16</f>
        <v>4</v>
      </c>
      <c r="CB2" s="175" t="s">
        <v>532</v>
      </c>
      <c r="CC2" s="162" t="s">
        <v>535</v>
      </c>
      <c r="CD2" s="175" t="s">
        <v>533</v>
      </c>
      <c r="CE2" s="156" t="s">
        <v>531</v>
      </c>
      <c r="CF2" s="175">
        <v>800</v>
      </c>
      <c r="CG2" s="162" t="s">
        <v>536</v>
      </c>
      <c r="CH2" s="175" t="s">
        <v>534</v>
      </c>
      <c r="CI2" s="156" t="s">
        <v>526</v>
      </c>
      <c r="CJ2" s="156">
        <v>3000</v>
      </c>
      <c r="CK2" s="156" t="s">
        <v>525</v>
      </c>
      <c r="CL2" s="156" t="s">
        <v>527</v>
      </c>
      <c r="CM2" s="175" t="s">
        <v>25</v>
      </c>
      <c r="CN2" s="156" t="s">
        <v>21</v>
      </c>
      <c r="CO2" s="175" t="s">
        <v>28</v>
      </c>
      <c r="CP2" s="156" t="s">
        <v>24</v>
      </c>
      <c r="CQ2" s="175" t="s">
        <v>22</v>
      </c>
      <c r="CR2" s="156" t="s">
        <v>528</v>
      </c>
      <c r="CS2" s="156" t="s">
        <v>23</v>
      </c>
      <c r="CT2" s="175" t="s">
        <v>27</v>
      </c>
      <c r="CU2" s="156" t="s">
        <v>529</v>
      </c>
      <c r="CV2" s="179" t="s">
        <v>530</v>
      </c>
      <c r="DA2" s="167">
        <f>MatchDay!B17</f>
        <v>5</v>
      </c>
      <c r="DB2" s="169" t="s">
        <v>532</v>
      </c>
      <c r="DC2" s="162" t="s">
        <v>535</v>
      </c>
      <c r="DD2" s="169" t="s">
        <v>533</v>
      </c>
      <c r="DE2" s="156" t="s">
        <v>531</v>
      </c>
      <c r="DF2" s="169">
        <v>800</v>
      </c>
      <c r="DG2" s="162" t="s">
        <v>536</v>
      </c>
      <c r="DH2" s="169" t="s">
        <v>534</v>
      </c>
      <c r="DI2" s="156" t="s">
        <v>526</v>
      </c>
      <c r="DJ2" s="156">
        <v>3000</v>
      </c>
      <c r="DK2" s="156" t="s">
        <v>525</v>
      </c>
      <c r="DL2" s="156" t="s">
        <v>527</v>
      </c>
      <c r="DM2" s="169" t="s">
        <v>25</v>
      </c>
      <c r="DN2" s="156" t="s">
        <v>21</v>
      </c>
      <c r="DO2" s="169" t="s">
        <v>28</v>
      </c>
      <c r="DP2" s="156" t="s">
        <v>24</v>
      </c>
      <c r="DQ2" s="169" t="s">
        <v>22</v>
      </c>
      <c r="DR2" s="156" t="s">
        <v>528</v>
      </c>
      <c r="DS2" s="156" t="s">
        <v>23</v>
      </c>
      <c r="DT2" s="169" t="s">
        <v>27</v>
      </c>
      <c r="DU2" s="156" t="s">
        <v>529</v>
      </c>
      <c r="DV2" s="173" t="s">
        <v>530</v>
      </c>
      <c r="EA2" s="167" t="str">
        <f>MatchDay!B18</f>
        <v>-</v>
      </c>
      <c r="EB2" s="175" t="s">
        <v>532</v>
      </c>
      <c r="EC2" s="162" t="s">
        <v>535</v>
      </c>
      <c r="ED2" s="175" t="s">
        <v>533</v>
      </c>
      <c r="EE2" s="156" t="s">
        <v>531</v>
      </c>
      <c r="EF2" s="175">
        <v>800</v>
      </c>
      <c r="EG2" s="162" t="s">
        <v>536</v>
      </c>
      <c r="EH2" s="175" t="s">
        <v>534</v>
      </c>
      <c r="EI2" s="156" t="s">
        <v>526</v>
      </c>
      <c r="EJ2" s="156">
        <v>3000</v>
      </c>
      <c r="EK2" s="156" t="s">
        <v>525</v>
      </c>
      <c r="EL2" s="156" t="s">
        <v>527</v>
      </c>
      <c r="EM2" s="175" t="s">
        <v>25</v>
      </c>
      <c r="EN2" s="156" t="s">
        <v>21</v>
      </c>
      <c r="EO2" s="175" t="s">
        <v>28</v>
      </c>
      <c r="EP2" s="156" t="s">
        <v>24</v>
      </c>
      <c r="EQ2" s="175" t="s">
        <v>22</v>
      </c>
      <c r="ER2" s="156" t="s">
        <v>528</v>
      </c>
      <c r="ES2" s="156" t="s">
        <v>23</v>
      </c>
      <c r="ET2" s="175" t="s">
        <v>27</v>
      </c>
      <c r="EU2" s="156" t="s">
        <v>529</v>
      </c>
      <c r="EV2" s="179" t="s">
        <v>530</v>
      </c>
      <c r="FA2" s="167" t="str">
        <f>MatchDay!B19</f>
        <v>-</v>
      </c>
      <c r="FB2" s="169" t="s">
        <v>532</v>
      </c>
      <c r="FC2" s="162" t="s">
        <v>535</v>
      </c>
      <c r="FD2" s="169" t="s">
        <v>533</v>
      </c>
      <c r="FE2" s="156" t="s">
        <v>531</v>
      </c>
      <c r="FF2" s="169">
        <v>800</v>
      </c>
      <c r="FG2" s="162" t="s">
        <v>536</v>
      </c>
      <c r="FH2" s="169" t="s">
        <v>534</v>
      </c>
      <c r="FI2" s="156" t="s">
        <v>526</v>
      </c>
      <c r="FJ2" s="156">
        <v>3000</v>
      </c>
      <c r="FK2" s="156" t="s">
        <v>525</v>
      </c>
      <c r="FL2" s="156" t="s">
        <v>527</v>
      </c>
      <c r="FM2" s="169" t="s">
        <v>25</v>
      </c>
      <c r="FN2" s="156" t="s">
        <v>21</v>
      </c>
      <c r="FO2" s="169" t="s">
        <v>28</v>
      </c>
      <c r="FP2" s="156" t="s">
        <v>24</v>
      </c>
      <c r="FQ2" s="169" t="s">
        <v>22</v>
      </c>
      <c r="FR2" s="156" t="s">
        <v>528</v>
      </c>
      <c r="FS2" s="156" t="s">
        <v>23</v>
      </c>
      <c r="FT2" s="169" t="s">
        <v>27</v>
      </c>
      <c r="FU2" s="156" t="s">
        <v>529</v>
      </c>
      <c r="FV2" s="173" t="s">
        <v>530</v>
      </c>
      <c r="GA2" s="167" t="str">
        <f>MatchDay!B20</f>
        <v>-</v>
      </c>
      <c r="GB2" s="175" t="s">
        <v>532</v>
      </c>
      <c r="GC2" s="162" t="s">
        <v>535</v>
      </c>
      <c r="GD2" s="175" t="s">
        <v>533</v>
      </c>
      <c r="GE2" s="156" t="s">
        <v>531</v>
      </c>
      <c r="GF2" s="175">
        <v>800</v>
      </c>
      <c r="GG2" s="162" t="s">
        <v>536</v>
      </c>
      <c r="GH2" s="175" t="s">
        <v>534</v>
      </c>
      <c r="GI2" s="156" t="s">
        <v>526</v>
      </c>
      <c r="GJ2" s="156">
        <v>3000</v>
      </c>
      <c r="GK2" s="156" t="s">
        <v>525</v>
      </c>
      <c r="GL2" s="156" t="s">
        <v>527</v>
      </c>
      <c r="GM2" s="175" t="s">
        <v>25</v>
      </c>
      <c r="GN2" s="156" t="s">
        <v>21</v>
      </c>
      <c r="GO2" s="175" t="s">
        <v>28</v>
      </c>
      <c r="GP2" s="156" t="s">
        <v>24</v>
      </c>
      <c r="GQ2" s="175" t="s">
        <v>22</v>
      </c>
      <c r="GR2" s="156" t="s">
        <v>528</v>
      </c>
      <c r="GS2" s="156" t="s">
        <v>23</v>
      </c>
      <c r="GT2" s="175" t="s">
        <v>27</v>
      </c>
      <c r="GU2" s="156" t="s">
        <v>529</v>
      </c>
      <c r="GV2" s="179" t="s">
        <v>530</v>
      </c>
    </row>
    <row r="3" spans="1:207" ht="16.5" customHeight="1" x14ac:dyDescent="0.45">
      <c r="A3" s="161" t="s">
        <v>545</v>
      </c>
      <c r="B3" s="170"/>
      <c r="C3" s="164"/>
      <c r="D3" s="170"/>
      <c r="E3" s="160"/>
      <c r="F3" s="170"/>
      <c r="G3" s="164"/>
      <c r="H3" s="170"/>
      <c r="I3" s="160"/>
      <c r="J3" s="160"/>
      <c r="K3" s="160"/>
      <c r="L3" s="160"/>
      <c r="M3" s="170"/>
      <c r="N3" s="160"/>
      <c r="O3" s="170"/>
      <c r="P3" s="160"/>
      <c r="Q3" s="170"/>
      <c r="R3" s="160"/>
      <c r="S3" s="160"/>
      <c r="T3" s="170"/>
      <c r="U3" s="160"/>
      <c r="V3" s="170"/>
      <c r="AA3" s="161" t="s">
        <v>545</v>
      </c>
      <c r="AB3" s="176"/>
      <c r="AC3" s="164"/>
      <c r="AD3" s="176"/>
      <c r="AE3" s="160"/>
      <c r="AF3" s="176"/>
      <c r="AG3" s="164"/>
      <c r="AH3" s="176"/>
      <c r="AI3" s="160"/>
      <c r="AJ3" s="160"/>
      <c r="AK3" s="160"/>
      <c r="AL3" s="160"/>
      <c r="AM3" s="176"/>
      <c r="AN3" s="160"/>
      <c r="AO3" s="176"/>
      <c r="AP3" s="160"/>
      <c r="AQ3" s="176"/>
      <c r="AR3" s="160"/>
      <c r="AS3" s="160"/>
      <c r="AT3" s="176"/>
      <c r="AU3" s="160"/>
      <c r="AV3" s="176"/>
      <c r="BA3" s="161" t="s">
        <v>545</v>
      </c>
      <c r="BB3" s="170"/>
      <c r="BC3" s="164"/>
      <c r="BD3" s="170"/>
      <c r="BE3" s="160"/>
      <c r="BF3" s="170"/>
      <c r="BG3" s="164"/>
      <c r="BH3" s="170"/>
      <c r="BI3" s="160"/>
      <c r="BJ3" s="160"/>
      <c r="BK3" s="160"/>
      <c r="BL3" s="160"/>
      <c r="BM3" s="170"/>
      <c r="BN3" s="160"/>
      <c r="BO3" s="170"/>
      <c r="BP3" s="160"/>
      <c r="BQ3" s="170"/>
      <c r="BR3" s="160"/>
      <c r="BS3" s="160"/>
      <c r="BT3" s="170"/>
      <c r="BU3" s="160"/>
      <c r="BV3" s="170"/>
      <c r="CA3" s="161" t="s">
        <v>545</v>
      </c>
      <c r="CB3" s="176"/>
      <c r="CC3" s="164"/>
      <c r="CD3" s="176"/>
      <c r="CE3" s="160"/>
      <c r="CF3" s="176"/>
      <c r="CG3" s="164"/>
      <c r="CH3" s="176"/>
      <c r="CI3" s="160"/>
      <c r="CJ3" s="160"/>
      <c r="CK3" s="160"/>
      <c r="CL3" s="160"/>
      <c r="CM3" s="176"/>
      <c r="CN3" s="160"/>
      <c r="CO3" s="176"/>
      <c r="CP3" s="160"/>
      <c r="CQ3" s="176"/>
      <c r="CR3" s="160"/>
      <c r="CS3" s="160"/>
      <c r="CT3" s="176"/>
      <c r="CU3" s="160"/>
      <c r="CV3" s="176"/>
      <c r="DA3" s="161" t="s">
        <v>545</v>
      </c>
      <c r="DB3" s="170"/>
      <c r="DC3" s="164"/>
      <c r="DD3" s="170"/>
      <c r="DE3" s="160"/>
      <c r="DF3" s="170"/>
      <c r="DG3" s="164"/>
      <c r="DH3" s="170"/>
      <c r="DI3" s="160"/>
      <c r="DJ3" s="160"/>
      <c r="DK3" s="160"/>
      <c r="DL3" s="160"/>
      <c r="DM3" s="170"/>
      <c r="DN3" s="160"/>
      <c r="DO3" s="170"/>
      <c r="DP3" s="160"/>
      <c r="DQ3" s="170"/>
      <c r="DR3" s="160"/>
      <c r="DS3" s="160"/>
      <c r="DT3" s="170"/>
      <c r="DU3" s="160"/>
      <c r="DV3" s="170"/>
      <c r="EA3" s="161" t="s">
        <v>545</v>
      </c>
      <c r="EB3" s="176"/>
      <c r="EC3" s="164"/>
      <c r="ED3" s="176"/>
      <c r="EE3" s="160"/>
      <c r="EF3" s="176"/>
      <c r="EG3" s="164"/>
      <c r="EH3" s="176"/>
      <c r="EI3" s="160"/>
      <c r="EJ3" s="160"/>
      <c r="EK3" s="160"/>
      <c r="EL3" s="160"/>
      <c r="EM3" s="176"/>
      <c r="EN3" s="160"/>
      <c r="EO3" s="176"/>
      <c r="EP3" s="160"/>
      <c r="EQ3" s="176"/>
      <c r="ER3" s="160"/>
      <c r="ES3" s="160"/>
      <c r="ET3" s="176"/>
      <c r="EU3" s="160"/>
      <c r="EV3" s="176"/>
      <c r="FA3" s="161" t="s">
        <v>545</v>
      </c>
      <c r="FB3" s="170"/>
      <c r="FC3" s="164"/>
      <c r="FD3" s="170"/>
      <c r="FE3" s="160"/>
      <c r="FF3" s="170"/>
      <c r="FG3" s="164"/>
      <c r="FH3" s="170"/>
      <c r="FI3" s="160"/>
      <c r="FJ3" s="160"/>
      <c r="FK3" s="160"/>
      <c r="FL3" s="160"/>
      <c r="FM3" s="170"/>
      <c r="FN3" s="160"/>
      <c r="FO3" s="170"/>
      <c r="FP3" s="160"/>
      <c r="FQ3" s="170"/>
      <c r="FR3" s="160"/>
      <c r="FS3" s="160"/>
      <c r="FT3" s="170"/>
      <c r="FU3" s="160"/>
      <c r="FV3" s="170"/>
      <c r="GA3" s="161" t="s">
        <v>545</v>
      </c>
      <c r="GB3" s="176"/>
      <c r="GC3" s="164"/>
      <c r="GD3" s="176"/>
      <c r="GE3" s="160"/>
      <c r="GF3" s="176"/>
      <c r="GG3" s="164"/>
      <c r="GH3" s="176"/>
      <c r="GI3" s="160"/>
      <c r="GJ3" s="160"/>
      <c r="GK3" s="160"/>
      <c r="GL3" s="160"/>
      <c r="GM3" s="176"/>
      <c r="GN3" s="160"/>
      <c r="GO3" s="176"/>
      <c r="GP3" s="160"/>
      <c r="GQ3" s="176"/>
      <c r="GR3" s="160"/>
      <c r="GS3" s="160"/>
      <c r="GT3" s="176"/>
      <c r="GU3" s="160"/>
      <c r="GV3" s="176"/>
    </row>
    <row r="4" spans="1:207" ht="16.5" customHeight="1" x14ac:dyDescent="0.45">
      <c r="A4" s="157" t="s">
        <v>916</v>
      </c>
      <c r="B4" s="171"/>
      <c r="C4" s="165"/>
      <c r="D4" s="171"/>
      <c r="E4" s="158"/>
      <c r="F4" s="171"/>
      <c r="G4" s="165"/>
      <c r="H4" s="171"/>
      <c r="I4" s="158"/>
      <c r="J4" s="180"/>
      <c r="K4" s="180"/>
      <c r="L4" s="180"/>
      <c r="M4" s="171"/>
      <c r="N4" s="158"/>
      <c r="O4" s="171"/>
      <c r="P4" s="158"/>
      <c r="Q4" s="171"/>
      <c r="R4" s="180"/>
      <c r="S4" s="158"/>
      <c r="T4" s="171"/>
      <c r="U4" s="158"/>
      <c r="V4" s="171"/>
      <c r="W4" s="155">
        <f t="shared" ref="W4:W35" si="0">COUNTA(B4:T4)</f>
        <v>0</v>
      </c>
      <c r="X4" s="155">
        <f t="shared" ref="X4:X35" si="1">COUNTA(U4:V4)</f>
        <v>0</v>
      </c>
      <c r="Y4" s="155">
        <f>IF(MatchDay!$C$2="LOWER",COUNTA(F4:H4),0)</f>
        <v>0</v>
      </c>
      <c r="AA4" s="157" t="s">
        <v>916</v>
      </c>
      <c r="AB4" s="177"/>
      <c r="AC4" s="165"/>
      <c r="AD4" s="177"/>
      <c r="AE4" s="158"/>
      <c r="AF4" s="177"/>
      <c r="AG4" s="165"/>
      <c r="AH4" s="177"/>
      <c r="AI4" s="158"/>
      <c r="AJ4" s="180"/>
      <c r="AK4" s="180"/>
      <c r="AL4" s="180"/>
      <c r="AM4" s="177"/>
      <c r="AN4" s="158"/>
      <c r="AO4" s="177"/>
      <c r="AP4" s="158"/>
      <c r="AQ4" s="177"/>
      <c r="AR4" s="180"/>
      <c r="AS4" s="158"/>
      <c r="AT4" s="177"/>
      <c r="AU4" s="158"/>
      <c r="AV4" s="177"/>
      <c r="AW4" s="155">
        <f t="shared" ref="AW4:AW35" si="2">COUNTA(AB4:AT4)</f>
        <v>0</v>
      </c>
      <c r="AX4" s="155">
        <f t="shared" ref="AX4:AX35" si="3">COUNTA(AU4:AV4)</f>
        <v>0</v>
      </c>
      <c r="AY4" s="155">
        <f>IF(MatchDay!$C$2="LOWER",COUNTA(AF4:AH4),0)</f>
        <v>0</v>
      </c>
      <c r="BA4" s="157" t="s">
        <v>916</v>
      </c>
      <c r="BB4" s="171"/>
      <c r="BC4" s="165"/>
      <c r="BD4" s="171"/>
      <c r="BE4" s="158"/>
      <c r="BF4" s="171"/>
      <c r="BG4" s="165"/>
      <c r="BH4" s="171"/>
      <c r="BI4" s="158"/>
      <c r="BJ4" s="180"/>
      <c r="BK4" s="180"/>
      <c r="BL4" s="180"/>
      <c r="BM4" s="171"/>
      <c r="BN4" s="158"/>
      <c r="BO4" s="171"/>
      <c r="BP4" s="158"/>
      <c r="BQ4" s="171"/>
      <c r="BR4" s="180"/>
      <c r="BS4" s="158"/>
      <c r="BT4" s="171"/>
      <c r="BU4" s="158"/>
      <c r="BV4" s="171"/>
      <c r="BW4" s="155">
        <f t="shared" ref="BW4:BW35" si="4">COUNTA(BB4:BT4)</f>
        <v>0</v>
      </c>
      <c r="BX4" s="155">
        <f t="shared" ref="BX4:BX35" si="5">COUNTA(BU4:BV4)</f>
        <v>0</v>
      </c>
      <c r="BY4" s="155">
        <f>IF(MatchDay!$C$2="LOWER",COUNTA(BF4:BH4),0)</f>
        <v>0</v>
      </c>
      <c r="CA4" s="157" t="s">
        <v>916</v>
      </c>
      <c r="CB4" s="177"/>
      <c r="CC4" s="165"/>
      <c r="CD4" s="177"/>
      <c r="CE4" s="158"/>
      <c r="CF4" s="177"/>
      <c r="CG4" s="165"/>
      <c r="CH4" s="177"/>
      <c r="CI4" s="158"/>
      <c r="CJ4" s="180"/>
      <c r="CK4" s="180"/>
      <c r="CL4" s="180"/>
      <c r="CM4" s="177"/>
      <c r="CN4" s="158"/>
      <c r="CO4" s="177"/>
      <c r="CP4" s="158"/>
      <c r="CQ4" s="177"/>
      <c r="CR4" s="180"/>
      <c r="CS4" s="158"/>
      <c r="CT4" s="177"/>
      <c r="CU4" s="158"/>
      <c r="CV4" s="177"/>
      <c r="CW4" s="155">
        <f t="shared" ref="CW4:CW35" si="6">COUNTA(CB4:CT4)</f>
        <v>0</v>
      </c>
      <c r="CX4" s="155">
        <f t="shared" ref="CX4:CX35" si="7">COUNTA(CU4:CV4)</f>
        <v>0</v>
      </c>
      <c r="CY4" s="155">
        <f>IF(MatchDay!$C$2="LOWER",COUNTA(CF4:CH4),0)</f>
        <v>0</v>
      </c>
      <c r="DA4" s="157" t="s">
        <v>916</v>
      </c>
      <c r="DB4" s="171"/>
      <c r="DC4" s="165"/>
      <c r="DD4" s="171"/>
      <c r="DE4" s="158"/>
      <c r="DF4" s="171"/>
      <c r="DG4" s="165"/>
      <c r="DH4" s="171"/>
      <c r="DI4" s="158"/>
      <c r="DJ4" s="180"/>
      <c r="DK4" s="180"/>
      <c r="DL4" s="180"/>
      <c r="DM4" s="171"/>
      <c r="DN4" s="158"/>
      <c r="DO4" s="171"/>
      <c r="DP4" s="158"/>
      <c r="DQ4" s="171"/>
      <c r="DR4" s="180"/>
      <c r="DS4" s="158"/>
      <c r="DT4" s="171"/>
      <c r="DU4" s="158"/>
      <c r="DV4" s="171"/>
      <c r="DW4" s="155">
        <f t="shared" ref="DW4:DW35" si="8">COUNTA(DB4:DT4)</f>
        <v>0</v>
      </c>
      <c r="DX4" s="155">
        <f t="shared" ref="DX4:DX35" si="9">COUNTA(DU4:DV4)</f>
        <v>0</v>
      </c>
      <c r="DY4" s="155">
        <f>IF(MatchDay!$C$2="LOWER",COUNTA(DF4:DH4),0)</f>
        <v>0</v>
      </c>
      <c r="EA4" s="157" t="s">
        <v>916</v>
      </c>
      <c r="EB4" s="177"/>
      <c r="EC4" s="165"/>
      <c r="ED4" s="177"/>
      <c r="EE4" s="158"/>
      <c r="EF4" s="177"/>
      <c r="EG4" s="165"/>
      <c r="EH4" s="177"/>
      <c r="EI4" s="158"/>
      <c r="EJ4" s="180"/>
      <c r="EK4" s="180"/>
      <c r="EL4" s="180"/>
      <c r="EM4" s="177"/>
      <c r="EN4" s="158"/>
      <c r="EO4" s="177"/>
      <c r="EP4" s="158"/>
      <c r="EQ4" s="177"/>
      <c r="ER4" s="180"/>
      <c r="ES4" s="158"/>
      <c r="ET4" s="177"/>
      <c r="EU4" s="158"/>
      <c r="EV4" s="177"/>
      <c r="EW4" s="155">
        <f t="shared" ref="EW4:EW35" si="10">COUNTA(EB4:ET4)</f>
        <v>0</v>
      </c>
      <c r="EX4" s="155">
        <f t="shared" ref="EX4:EX35" si="11">COUNTA(EU4:EV4)</f>
        <v>0</v>
      </c>
      <c r="EY4" s="155">
        <f>IF(MatchDay!$C$2="LOWER",COUNTA(EF4:EH4),0)</f>
        <v>0</v>
      </c>
      <c r="FA4" s="157" t="s">
        <v>916</v>
      </c>
      <c r="FB4" s="171"/>
      <c r="FC4" s="165"/>
      <c r="FD4" s="171"/>
      <c r="FE4" s="158"/>
      <c r="FF4" s="171"/>
      <c r="FG4" s="165"/>
      <c r="FH4" s="171"/>
      <c r="FI4" s="158"/>
      <c r="FJ4" s="180"/>
      <c r="FK4" s="180"/>
      <c r="FL4" s="180"/>
      <c r="FM4" s="171"/>
      <c r="FN4" s="158"/>
      <c r="FO4" s="171"/>
      <c r="FP4" s="158"/>
      <c r="FQ4" s="171"/>
      <c r="FR4" s="180"/>
      <c r="FS4" s="158"/>
      <c r="FT4" s="171"/>
      <c r="FU4" s="158"/>
      <c r="FV4" s="171"/>
      <c r="FW4" s="155">
        <f t="shared" ref="FW4:FW35" si="12">COUNTA(FB4:FT4)</f>
        <v>0</v>
      </c>
      <c r="FX4" s="155">
        <f t="shared" ref="FX4:FX35" si="13">COUNTA(FU4:FV4)</f>
        <v>0</v>
      </c>
      <c r="FY4" s="155">
        <f>IF(MatchDay!$C$2="LOWER",COUNTA(FF4:FH4),0)</f>
        <v>0</v>
      </c>
      <c r="GA4" s="157" t="s">
        <v>916</v>
      </c>
      <c r="GB4" s="177"/>
      <c r="GC4" s="165"/>
      <c r="GD4" s="177"/>
      <c r="GE4" s="158"/>
      <c r="GF4" s="177"/>
      <c r="GG4" s="165"/>
      <c r="GH4" s="177"/>
      <c r="GI4" s="158"/>
      <c r="GJ4" s="180"/>
      <c r="GK4" s="180"/>
      <c r="GL4" s="180"/>
      <c r="GM4" s="177"/>
      <c r="GN4" s="158"/>
      <c r="GO4" s="177"/>
      <c r="GP4" s="158"/>
      <c r="GQ4" s="177"/>
      <c r="GR4" s="180"/>
      <c r="GS4" s="158"/>
      <c r="GT4" s="177"/>
      <c r="GU4" s="158"/>
      <c r="GV4" s="177"/>
      <c r="GW4" s="155">
        <f t="shared" ref="GW4:GW35" si="14">COUNTA(GB4:GT4)</f>
        <v>0</v>
      </c>
      <c r="GX4" s="155">
        <f t="shared" ref="GX4:GX35" si="15">COUNTA(GU4:GV4)</f>
        <v>0</v>
      </c>
      <c r="GY4" s="155">
        <f>IF(MatchDay!$C$2="LOWER",COUNTA(GF4:GH4),0)</f>
        <v>0</v>
      </c>
    </row>
    <row r="5" spans="1:207" ht="16.5" customHeight="1" x14ac:dyDescent="0.45">
      <c r="A5" s="157" t="s">
        <v>912</v>
      </c>
      <c r="B5" s="171"/>
      <c r="C5" s="165"/>
      <c r="D5" s="171"/>
      <c r="E5" s="158"/>
      <c r="F5" s="171"/>
      <c r="G5" s="165"/>
      <c r="H5" s="171"/>
      <c r="I5" s="158"/>
      <c r="J5" s="180"/>
      <c r="K5" s="180"/>
      <c r="L5" s="180"/>
      <c r="M5" s="171"/>
      <c r="N5" s="158"/>
      <c r="O5" s="171"/>
      <c r="P5" s="158"/>
      <c r="Q5" s="171"/>
      <c r="R5" s="180"/>
      <c r="S5" s="158"/>
      <c r="T5" s="171"/>
      <c r="U5" s="158"/>
      <c r="V5" s="171"/>
      <c r="W5" s="155">
        <f t="shared" si="0"/>
        <v>0</v>
      </c>
      <c r="X5" s="155">
        <f t="shared" si="1"/>
        <v>0</v>
      </c>
      <c r="Y5" s="155">
        <f>IF(MatchDay!$C$2="LOWER",COUNTA(F5:H5),0)</f>
        <v>0</v>
      </c>
      <c r="AA5" s="157" t="s">
        <v>912</v>
      </c>
      <c r="AB5" s="177"/>
      <c r="AC5" s="165"/>
      <c r="AD5" s="177"/>
      <c r="AE5" s="158"/>
      <c r="AF5" s="177"/>
      <c r="AG5" s="165"/>
      <c r="AH5" s="177"/>
      <c r="AI5" s="158"/>
      <c r="AJ5" s="180"/>
      <c r="AK5" s="180"/>
      <c r="AL5" s="180"/>
      <c r="AM5" s="177"/>
      <c r="AN5" s="158"/>
      <c r="AO5" s="177"/>
      <c r="AP5" s="158"/>
      <c r="AQ5" s="177"/>
      <c r="AR5" s="180"/>
      <c r="AS5" s="158"/>
      <c r="AT5" s="177"/>
      <c r="AU5" s="158"/>
      <c r="AV5" s="177"/>
      <c r="AW5" s="155">
        <f t="shared" si="2"/>
        <v>0</v>
      </c>
      <c r="AX5" s="155">
        <f t="shared" si="3"/>
        <v>0</v>
      </c>
      <c r="AY5" s="155">
        <f>IF(MatchDay!$C$2="LOWER",COUNTA(AF5:AH5),0)</f>
        <v>0</v>
      </c>
      <c r="BA5" s="157" t="s">
        <v>912</v>
      </c>
      <c r="BB5" s="171"/>
      <c r="BC5" s="165"/>
      <c r="BD5" s="171"/>
      <c r="BE5" s="158"/>
      <c r="BF5" s="171"/>
      <c r="BG5" s="165"/>
      <c r="BH5" s="171"/>
      <c r="BI5" s="158"/>
      <c r="BJ5" s="180"/>
      <c r="BK5" s="180"/>
      <c r="BL5" s="180"/>
      <c r="BM5" s="171"/>
      <c r="BN5" s="158"/>
      <c r="BO5" s="171"/>
      <c r="BP5" s="158"/>
      <c r="BQ5" s="171"/>
      <c r="BR5" s="180"/>
      <c r="BS5" s="158"/>
      <c r="BT5" s="171"/>
      <c r="BU5" s="158"/>
      <c r="BV5" s="171"/>
      <c r="BW5" s="155">
        <f t="shared" si="4"/>
        <v>0</v>
      </c>
      <c r="BX5" s="155">
        <f t="shared" si="5"/>
        <v>0</v>
      </c>
      <c r="BY5" s="155">
        <f>IF(MatchDay!$C$2="LOWER",COUNTA(BF5:BH5),0)</f>
        <v>0</v>
      </c>
      <c r="CA5" s="157" t="s">
        <v>912</v>
      </c>
      <c r="CB5" s="177"/>
      <c r="CC5" s="165"/>
      <c r="CD5" s="177"/>
      <c r="CE5" s="158"/>
      <c r="CF5" s="177"/>
      <c r="CG5" s="165"/>
      <c r="CH5" s="177"/>
      <c r="CI5" s="158"/>
      <c r="CJ5" s="180"/>
      <c r="CK5" s="180"/>
      <c r="CL5" s="180"/>
      <c r="CM5" s="177"/>
      <c r="CN5" s="158"/>
      <c r="CO5" s="177"/>
      <c r="CP5" s="158"/>
      <c r="CQ5" s="177"/>
      <c r="CR5" s="180"/>
      <c r="CS5" s="158"/>
      <c r="CT5" s="177"/>
      <c r="CU5" s="158"/>
      <c r="CV5" s="177"/>
      <c r="CW5" s="155">
        <f t="shared" si="6"/>
        <v>0</v>
      </c>
      <c r="CX5" s="155">
        <f t="shared" si="7"/>
        <v>0</v>
      </c>
      <c r="CY5" s="155">
        <f>IF(MatchDay!$C$2="LOWER",COUNTA(CF5:CH5),0)</f>
        <v>0</v>
      </c>
      <c r="DA5" s="157" t="s">
        <v>912</v>
      </c>
      <c r="DB5" s="171"/>
      <c r="DC5" s="165"/>
      <c r="DD5" s="171"/>
      <c r="DE5" s="158"/>
      <c r="DF5" s="171"/>
      <c r="DG5" s="165"/>
      <c r="DH5" s="171"/>
      <c r="DI5" s="158"/>
      <c r="DJ5" s="180"/>
      <c r="DK5" s="180"/>
      <c r="DL5" s="180"/>
      <c r="DM5" s="171"/>
      <c r="DN5" s="158"/>
      <c r="DO5" s="171"/>
      <c r="DP5" s="158"/>
      <c r="DQ5" s="171"/>
      <c r="DR5" s="180"/>
      <c r="DS5" s="158"/>
      <c r="DT5" s="171"/>
      <c r="DU5" s="158"/>
      <c r="DV5" s="171"/>
      <c r="DW5" s="155">
        <f t="shared" si="8"/>
        <v>0</v>
      </c>
      <c r="DX5" s="155">
        <f t="shared" si="9"/>
        <v>0</v>
      </c>
      <c r="DY5" s="155">
        <f>IF(MatchDay!$C$2="LOWER",COUNTA(DF5:DH5),0)</f>
        <v>0</v>
      </c>
      <c r="EA5" s="157" t="s">
        <v>912</v>
      </c>
      <c r="EB5" s="177"/>
      <c r="EC5" s="165"/>
      <c r="ED5" s="177"/>
      <c r="EE5" s="158"/>
      <c r="EF5" s="177"/>
      <c r="EG5" s="165"/>
      <c r="EH5" s="177"/>
      <c r="EI5" s="158"/>
      <c r="EJ5" s="180"/>
      <c r="EK5" s="180"/>
      <c r="EL5" s="180"/>
      <c r="EM5" s="177"/>
      <c r="EN5" s="158"/>
      <c r="EO5" s="177"/>
      <c r="EP5" s="158"/>
      <c r="EQ5" s="177"/>
      <c r="ER5" s="180"/>
      <c r="ES5" s="158"/>
      <c r="ET5" s="177"/>
      <c r="EU5" s="158"/>
      <c r="EV5" s="177"/>
      <c r="EW5" s="155">
        <f t="shared" si="10"/>
        <v>0</v>
      </c>
      <c r="EX5" s="155">
        <f t="shared" si="11"/>
        <v>0</v>
      </c>
      <c r="EY5" s="155">
        <f>IF(MatchDay!$C$2="LOWER",COUNTA(EF5:EH5),0)</f>
        <v>0</v>
      </c>
      <c r="FA5" s="157" t="s">
        <v>912</v>
      </c>
      <c r="FB5" s="171"/>
      <c r="FC5" s="165"/>
      <c r="FD5" s="171"/>
      <c r="FE5" s="158"/>
      <c r="FF5" s="171"/>
      <c r="FG5" s="165"/>
      <c r="FH5" s="171"/>
      <c r="FI5" s="158"/>
      <c r="FJ5" s="180"/>
      <c r="FK5" s="180"/>
      <c r="FL5" s="180"/>
      <c r="FM5" s="171"/>
      <c r="FN5" s="158"/>
      <c r="FO5" s="171"/>
      <c r="FP5" s="158"/>
      <c r="FQ5" s="171"/>
      <c r="FR5" s="180"/>
      <c r="FS5" s="158"/>
      <c r="FT5" s="171"/>
      <c r="FU5" s="158"/>
      <c r="FV5" s="171"/>
      <c r="FW5" s="155">
        <f t="shared" si="12"/>
        <v>0</v>
      </c>
      <c r="FX5" s="155">
        <f t="shared" si="13"/>
        <v>0</v>
      </c>
      <c r="FY5" s="155">
        <f>IF(MatchDay!$C$2="LOWER",COUNTA(FF5:FH5),0)</f>
        <v>0</v>
      </c>
      <c r="GA5" s="157" t="s">
        <v>912</v>
      </c>
      <c r="GB5" s="177"/>
      <c r="GC5" s="165"/>
      <c r="GD5" s="177"/>
      <c r="GE5" s="158"/>
      <c r="GF5" s="177"/>
      <c r="GG5" s="165"/>
      <c r="GH5" s="177"/>
      <c r="GI5" s="158"/>
      <c r="GJ5" s="180"/>
      <c r="GK5" s="180"/>
      <c r="GL5" s="180"/>
      <c r="GM5" s="177"/>
      <c r="GN5" s="158"/>
      <c r="GO5" s="177"/>
      <c r="GP5" s="158"/>
      <c r="GQ5" s="177"/>
      <c r="GR5" s="180"/>
      <c r="GS5" s="158"/>
      <c r="GT5" s="177"/>
      <c r="GU5" s="158"/>
      <c r="GV5" s="177"/>
      <c r="GW5" s="155">
        <f t="shared" si="14"/>
        <v>0</v>
      </c>
      <c r="GX5" s="155">
        <f t="shared" si="15"/>
        <v>0</v>
      </c>
      <c r="GY5" s="155">
        <f>IF(MatchDay!$C$2="LOWER",COUNTA(GF5:GH5),0)</f>
        <v>0</v>
      </c>
    </row>
    <row r="6" spans="1:207" ht="16.5" customHeight="1" x14ac:dyDescent="0.45">
      <c r="A6" s="157" t="s">
        <v>912</v>
      </c>
      <c r="B6" s="171"/>
      <c r="C6" s="165"/>
      <c r="D6" s="171"/>
      <c r="E6" s="158"/>
      <c r="F6" s="171"/>
      <c r="G6" s="165"/>
      <c r="H6" s="171"/>
      <c r="I6" s="158"/>
      <c r="J6" s="180"/>
      <c r="K6" s="180"/>
      <c r="L6" s="180"/>
      <c r="M6" s="171"/>
      <c r="N6" s="158"/>
      <c r="O6" s="171"/>
      <c r="P6" s="158"/>
      <c r="Q6" s="171"/>
      <c r="R6" s="180"/>
      <c r="S6" s="158"/>
      <c r="T6" s="171"/>
      <c r="U6" s="158"/>
      <c r="V6" s="171"/>
      <c r="W6" s="155">
        <f t="shared" si="0"/>
        <v>0</v>
      </c>
      <c r="X6" s="155">
        <f t="shared" si="1"/>
        <v>0</v>
      </c>
      <c r="Y6" s="155">
        <f>IF(MatchDay!$C$2="LOWER",COUNTA(F6:H6),0)</f>
        <v>0</v>
      </c>
      <c r="AA6" s="157" t="s">
        <v>912</v>
      </c>
      <c r="AB6" s="177"/>
      <c r="AC6" s="165"/>
      <c r="AD6" s="177"/>
      <c r="AE6" s="158"/>
      <c r="AF6" s="177"/>
      <c r="AG6" s="165"/>
      <c r="AH6" s="177"/>
      <c r="AI6" s="158"/>
      <c r="AJ6" s="180"/>
      <c r="AK6" s="180"/>
      <c r="AL6" s="180"/>
      <c r="AM6" s="177"/>
      <c r="AN6" s="158"/>
      <c r="AO6" s="177"/>
      <c r="AP6" s="158"/>
      <c r="AQ6" s="177"/>
      <c r="AR6" s="180"/>
      <c r="AS6" s="158"/>
      <c r="AT6" s="177"/>
      <c r="AU6" s="158"/>
      <c r="AV6" s="177"/>
      <c r="AW6" s="155">
        <f t="shared" si="2"/>
        <v>0</v>
      </c>
      <c r="AX6" s="155">
        <f t="shared" si="3"/>
        <v>0</v>
      </c>
      <c r="AY6" s="155">
        <f>IF(MatchDay!$C$2="LOWER",COUNTA(AF6:AH6),0)</f>
        <v>0</v>
      </c>
      <c r="BA6" s="157" t="s">
        <v>912</v>
      </c>
      <c r="BB6" s="171"/>
      <c r="BC6" s="165"/>
      <c r="BD6" s="171"/>
      <c r="BE6" s="158"/>
      <c r="BF6" s="171"/>
      <c r="BG6" s="165"/>
      <c r="BH6" s="171"/>
      <c r="BI6" s="158"/>
      <c r="BJ6" s="180"/>
      <c r="BK6" s="180"/>
      <c r="BL6" s="180"/>
      <c r="BM6" s="171"/>
      <c r="BN6" s="158"/>
      <c r="BO6" s="171"/>
      <c r="BP6" s="158"/>
      <c r="BQ6" s="171"/>
      <c r="BR6" s="180"/>
      <c r="BS6" s="158"/>
      <c r="BT6" s="171"/>
      <c r="BU6" s="158"/>
      <c r="BV6" s="171"/>
      <c r="BW6" s="155">
        <f t="shared" si="4"/>
        <v>0</v>
      </c>
      <c r="BX6" s="155">
        <f t="shared" si="5"/>
        <v>0</v>
      </c>
      <c r="BY6" s="155">
        <f>IF(MatchDay!$C$2="LOWER",COUNTA(BF6:BH6),0)</f>
        <v>0</v>
      </c>
      <c r="CA6" s="157" t="s">
        <v>912</v>
      </c>
      <c r="CB6" s="177"/>
      <c r="CC6" s="165"/>
      <c r="CD6" s="177"/>
      <c r="CE6" s="158"/>
      <c r="CF6" s="177"/>
      <c r="CG6" s="165"/>
      <c r="CH6" s="177"/>
      <c r="CI6" s="158"/>
      <c r="CJ6" s="180"/>
      <c r="CK6" s="180"/>
      <c r="CL6" s="180"/>
      <c r="CM6" s="177"/>
      <c r="CN6" s="158"/>
      <c r="CO6" s="177"/>
      <c r="CP6" s="158"/>
      <c r="CQ6" s="177"/>
      <c r="CR6" s="180"/>
      <c r="CS6" s="158"/>
      <c r="CT6" s="177"/>
      <c r="CU6" s="158"/>
      <c r="CV6" s="177"/>
      <c r="CW6" s="155">
        <f t="shared" si="6"/>
        <v>0</v>
      </c>
      <c r="CX6" s="155">
        <f t="shared" si="7"/>
        <v>0</v>
      </c>
      <c r="CY6" s="155">
        <f>IF(MatchDay!$C$2="LOWER",COUNTA(CF6:CH6),0)</f>
        <v>0</v>
      </c>
      <c r="DA6" s="157" t="s">
        <v>912</v>
      </c>
      <c r="DB6" s="171"/>
      <c r="DC6" s="165"/>
      <c r="DD6" s="171"/>
      <c r="DE6" s="158"/>
      <c r="DF6" s="171"/>
      <c r="DG6" s="165"/>
      <c r="DH6" s="171"/>
      <c r="DI6" s="158"/>
      <c r="DJ6" s="180"/>
      <c r="DK6" s="180"/>
      <c r="DL6" s="180"/>
      <c r="DM6" s="171"/>
      <c r="DN6" s="158"/>
      <c r="DO6" s="171"/>
      <c r="DP6" s="158"/>
      <c r="DQ6" s="171"/>
      <c r="DR6" s="180"/>
      <c r="DS6" s="158"/>
      <c r="DT6" s="171"/>
      <c r="DU6" s="158"/>
      <c r="DV6" s="171"/>
      <c r="DW6" s="155">
        <f t="shared" si="8"/>
        <v>0</v>
      </c>
      <c r="DX6" s="155">
        <f t="shared" si="9"/>
        <v>0</v>
      </c>
      <c r="DY6" s="155">
        <f>IF(MatchDay!$C$2="LOWER",COUNTA(DF6:DH6),0)</f>
        <v>0</v>
      </c>
      <c r="EA6" s="157" t="s">
        <v>912</v>
      </c>
      <c r="EB6" s="177"/>
      <c r="EC6" s="165"/>
      <c r="ED6" s="177"/>
      <c r="EE6" s="158"/>
      <c r="EF6" s="177"/>
      <c r="EG6" s="165"/>
      <c r="EH6" s="177"/>
      <c r="EI6" s="158"/>
      <c r="EJ6" s="180"/>
      <c r="EK6" s="180"/>
      <c r="EL6" s="180"/>
      <c r="EM6" s="177"/>
      <c r="EN6" s="158"/>
      <c r="EO6" s="177"/>
      <c r="EP6" s="158"/>
      <c r="EQ6" s="177"/>
      <c r="ER6" s="180"/>
      <c r="ES6" s="158"/>
      <c r="ET6" s="177"/>
      <c r="EU6" s="158"/>
      <c r="EV6" s="177"/>
      <c r="EW6" s="155">
        <f t="shared" si="10"/>
        <v>0</v>
      </c>
      <c r="EX6" s="155">
        <f t="shared" si="11"/>
        <v>0</v>
      </c>
      <c r="EY6" s="155">
        <f>IF(MatchDay!$C$2="LOWER",COUNTA(EF6:EH6),0)</f>
        <v>0</v>
      </c>
      <c r="FA6" s="157" t="s">
        <v>912</v>
      </c>
      <c r="FB6" s="171"/>
      <c r="FC6" s="165"/>
      <c r="FD6" s="171"/>
      <c r="FE6" s="158"/>
      <c r="FF6" s="171"/>
      <c r="FG6" s="165"/>
      <c r="FH6" s="171"/>
      <c r="FI6" s="158"/>
      <c r="FJ6" s="180"/>
      <c r="FK6" s="180"/>
      <c r="FL6" s="180"/>
      <c r="FM6" s="171"/>
      <c r="FN6" s="158"/>
      <c r="FO6" s="171"/>
      <c r="FP6" s="158"/>
      <c r="FQ6" s="171"/>
      <c r="FR6" s="180"/>
      <c r="FS6" s="158"/>
      <c r="FT6" s="171"/>
      <c r="FU6" s="158"/>
      <c r="FV6" s="171"/>
      <c r="FW6" s="155">
        <f t="shared" si="12"/>
        <v>0</v>
      </c>
      <c r="FX6" s="155">
        <f t="shared" si="13"/>
        <v>0</v>
      </c>
      <c r="FY6" s="155">
        <f>IF(MatchDay!$C$2="LOWER",COUNTA(FF6:FH6),0)</f>
        <v>0</v>
      </c>
      <c r="GA6" s="157" t="s">
        <v>912</v>
      </c>
      <c r="GB6" s="177"/>
      <c r="GC6" s="165"/>
      <c r="GD6" s="177"/>
      <c r="GE6" s="158"/>
      <c r="GF6" s="177"/>
      <c r="GG6" s="165"/>
      <c r="GH6" s="177"/>
      <c r="GI6" s="158"/>
      <c r="GJ6" s="180"/>
      <c r="GK6" s="180"/>
      <c r="GL6" s="180"/>
      <c r="GM6" s="177"/>
      <c r="GN6" s="158"/>
      <c r="GO6" s="177"/>
      <c r="GP6" s="158"/>
      <c r="GQ6" s="177"/>
      <c r="GR6" s="180"/>
      <c r="GS6" s="158"/>
      <c r="GT6" s="177"/>
      <c r="GU6" s="158"/>
      <c r="GV6" s="177"/>
      <c r="GW6" s="155">
        <f t="shared" si="14"/>
        <v>0</v>
      </c>
      <c r="GX6" s="155">
        <f t="shared" si="15"/>
        <v>0</v>
      </c>
      <c r="GY6" s="155">
        <f>IF(MatchDay!$C$2="LOWER",COUNTA(GF6:GH6),0)</f>
        <v>0</v>
      </c>
    </row>
    <row r="7" spans="1:207" ht="16.5" customHeight="1" x14ac:dyDescent="0.45">
      <c r="A7" s="157" t="s">
        <v>912</v>
      </c>
      <c r="B7" s="171"/>
      <c r="C7" s="165"/>
      <c r="D7" s="171"/>
      <c r="E7" s="158"/>
      <c r="F7" s="171"/>
      <c r="G7" s="165"/>
      <c r="H7" s="171"/>
      <c r="I7" s="158"/>
      <c r="J7" s="180"/>
      <c r="K7" s="180"/>
      <c r="L7" s="180"/>
      <c r="M7" s="171"/>
      <c r="N7" s="158"/>
      <c r="O7" s="171"/>
      <c r="P7" s="158"/>
      <c r="Q7" s="171"/>
      <c r="R7" s="180"/>
      <c r="S7" s="158"/>
      <c r="T7" s="171"/>
      <c r="U7" s="158"/>
      <c r="V7" s="171"/>
      <c r="W7" s="155">
        <f t="shared" si="0"/>
        <v>0</v>
      </c>
      <c r="X7" s="155">
        <f t="shared" si="1"/>
        <v>0</v>
      </c>
      <c r="Y7" s="155">
        <f>IF(MatchDay!$C$2="LOWER",COUNTA(F7:H7),0)</f>
        <v>0</v>
      </c>
      <c r="AA7" s="157" t="s">
        <v>912</v>
      </c>
      <c r="AB7" s="177"/>
      <c r="AC7" s="165"/>
      <c r="AD7" s="177"/>
      <c r="AE7" s="158"/>
      <c r="AF7" s="177"/>
      <c r="AG7" s="165"/>
      <c r="AH7" s="177"/>
      <c r="AI7" s="158"/>
      <c r="AJ7" s="180"/>
      <c r="AK7" s="180"/>
      <c r="AL7" s="180"/>
      <c r="AM7" s="177"/>
      <c r="AN7" s="158"/>
      <c r="AO7" s="177"/>
      <c r="AP7" s="158"/>
      <c r="AQ7" s="177"/>
      <c r="AR7" s="180"/>
      <c r="AS7" s="158"/>
      <c r="AT7" s="177"/>
      <c r="AU7" s="158"/>
      <c r="AV7" s="177"/>
      <c r="AW7" s="155">
        <f t="shared" si="2"/>
        <v>0</v>
      </c>
      <c r="AX7" s="155">
        <f t="shared" si="3"/>
        <v>0</v>
      </c>
      <c r="AY7" s="155">
        <f>IF(MatchDay!$C$2="LOWER",COUNTA(AF7:AH7),0)</f>
        <v>0</v>
      </c>
      <c r="BA7" s="157" t="s">
        <v>912</v>
      </c>
      <c r="BB7" s="171"/>
      <c r="BC7" s="165"/>
      <c r="BD7" s="171"/>
      <c r="BE7" s="158"/>
      <c r="BF7" s="171"/>
      <c r="BG7" s="165"/>
      <c r="BH7" s="171"/>
      <c r="BI7" s="158"/>
      <c r="BJ7" s="180"/>
      <c r="BK7" s="180"/>
      <c r="BL7" s="180"/>
      <c r="BM7" s="171"/>
      <c r="BN7" s="158"/>
      <c r="BO7" s="171"/>
      <c r="BP7" s="158"/>
      <c r="BQ7" s="171"/>
      <c r="BR7" s="180"/>
      <c r="BS7" s="158"/>
      <c r="BT7" s="171"/>
      <c r="BU7" s="158"/>
      <c r="BV7" s="171"/>
      <c r="BW7" s="155">
        <f t="shared" si="4"/>
        <v>0</v>
      </c>
      <c r="BX7" s="155">
        <f t="shared" si="5"/>
        <v>0</v>
      </c>
      <c r="BY7" s="155">
        <f>IF(MatchDay!$C$2="LOWER",COUNTA(BF7:BH7),0)</f>
        <v>0</v>
      </c>
      <c r="CA7" s="157" t="s">
        <v>912</v>
      </c>
      <c r="CB7" s="177"/>
      <c r="CC7" s="165"/>
      <c r="CD7" s="177"/>
      <c r="CE7" s="158"/>
      <c r="CF7" s="177"/>
      <c r="CG7" s="165"/>
      <c r="CH7" s="177"/>
      <c r="CI7" s="158"/>
      <c r="CJ7" s="180"/>
      <c r="CK7" s="180"/>
      <c r="CL7" s="180"/>
      <c r="CM7" s="177"/>
      <c r="CN7" s="158"/>
      <c r="CO7" s="177"/>
      <c r="CP7" s="158"/>
      <c r="CQ7" s="177"/>
      <c r="CR7" s="180"/>
      <c r="CS7" s="158"/>
      <c r="CT7" s="177"/>
      <c r="CU7" s="158"/>
      <c r="CV7" s="177"/>
      <c r="CW7" s="155">
        <f t="shared" si="6"/>
        <v>0</v>
      </c>
      <c r="CX7" s="155">
        <f t="shared" si="7"/>
        <v>0</v>
      </c>
      <c r="CY7" s="155">
        <f>IF(MatchDay!$C$2="LOWER",COUNTA(CF7:CH7),0)</f>
        <v>0</v>
      </c>
      <c r="DA7" s="157" t="s">
        <v>912</v>
      </c>
      <c r="DB7" s="171"/>
      <c r="DC7" s="165"/>
      <c r="DD7" s="171"/>
      <c r="DE7" s="158"/>
      <c r="DF7" s="171"/>
      <c r="DG7" s="165"/>
      <c r="DH7" s="171"/>
      <c r="DI7" s="158"/>
      <c r="DJ7" s="180"/>
      <c r="DK7" s="180"/>
      <c r="DL7" s="180"/>
      <c r="DM7" s="171"/>
      <c r="DN7" s="158"/>
      <c r="DO7" s="171"/>
      <c r="DP7" s="158"/>
      <c r="DQ7" s="171"/>
      <c r="DR7" s="180"/>
      <c r="DS7" s="158"/>
      <c r="DT7" s="171"/>
      <c r="DU7" s="158"/>
      <c r="DV7" s="171"/>
      <c r="DW7" s="155">
        <f t="shared" si="8"/>
        <v>0</v>
      </c>
      <c r="DX7" s="155">
        <f t="shared" si="9"/>
        <v>0</v>
      </c>
      <c r="DY7" s="155">
        <f>IF(MatchDay!$C$2="LOWER",COUNTA(DF7:DH7),0)</f>
        <v>0</v>
      </c>
      <c r="EA7" s="157" t="s">
        <v>912</v>
      </c>
      <c r="EB7" s="177"/>
      <c r="EC7" s="165"/>
      <c r="ED7" s="177"/>
      <c r="EE7" s="158"/>
      <c r="EF7" s="177"/>
      <c r="EG7" s="165"/>
      <c r="EH7" s="177"/>
      <c r="EI7" s="158"/>
      <c r="EJ7" s="180"/>
      <c r="EK7" s="180"/>
      <c r="EL7" s="180"/>
      <c r="EM7" s="177"/>
      <c r="EN7" s="158"/>
      <c r="EO7" s="177"/>
      <c r="EP7" s="158"/>
      <c r="EQ7" s="177"/>
      <c r="ER7" s="180"/>
      <c r="ES7" s="158"/>
      <c r="ET7" s="177"/>
      <c r="EU7" s="158"/>
      <c r="EV7" s="177"/>
      <c r="EW7" s="155">
        <f t="shared" si="10"/>
        <v>0</v>
      </c>
      <c r="EX7" s="155">
        <f t="shared" si="11"/>
        <v>0</v>
      </c>
      <c r="EY7" s="155">
        <f>IF(MatchDay!$C$2="LOWER",COUNTA(EF7:EH7),0)</f>
        <v>0</v>
      </c>
      <c r="FA7" s="157" t="s">
        <v>912</v>
      </c>
      <c r="FB7" s="171"/>
      <c r="FC7" s="165"/>
      <c r="FD7" s="171"/>
      <c r="FE7" s="158"/>
      <c r="FF7" s="171"/>
      <c r="FG7" s="165"/>
      <c r="FH7" s="171"/>
      <c r="FI7" s="158"/>
      <c r="FJ7" s="180"/>
      <c r="FK7" s="180"/>
      <c r="FL7" s="180"/>
      <c r="FM7" s="171"/>
      <c r="FN7" s="158"/>
      <c r="FO7" s="171"/>
      <c r="FP7" s="158"/>
      <c r="FQ7" s="171"/>
      <c r="FR7" s="180"/>
      <c r="FS7" s="158"/>
      <c r="FT7" s="171"/>
      <c r="FU7" s="158"/>
      <c r="FV7" s="171"/>
      <c r="FW7" s="155">
        <f t="shared" si="12"/>
        <v>0</v>
      </c>
      <c r="FX7" s="155">
        <f t="shared" si="13"/>
        <v>0</v>
      </c>
      <c r="FY7" s="155">
        <f>IF(MatchDay!$C$2="LOWER",COUNTA(FF7:FH7),0)</f>
        <v>0</v>
      </c>
      <c r="GA7" s="157" t="s">
        <v>912</v>
      </c>
      <c r="GB7" s="177"/>
      <c r="GC7" s="165"/>
      <c r="GD7" s="177"/>
      <c r="GE7" s="158"/>
      <c r="GF7" s="177"/>
      <c r="GG7" s="165"/>
      <c r="GH7" s="177"/>
      <c r="GI7" s="158"/>
      <c r="GJ7" s="180"/>
      <c r="GK7" s="180"/>
      <c r="GL7" s="180"/>
      <c r="GM7" s="177"/>
      <c r="GN7" s="158"/>
      <c r="GO7" s="177"/>
      <c r="GP7" s="158"/>
      <c r="GQ7" s="177"/>
      <c r="GR7" s="180"/>
      <c r="GS7" s="158"/>
      <c r="GT7" s="177"/>
      <c r="GU7" s="158"/>
      <c r="GV7" s="177"/>
      <c r="GW7" s="155">
        <f t="shared" si="14"/>
        <v>0</v>
      </c>
      <c r="GX7" s="155">
        <f t="shared" si="15"/>
        <v>0</v>
      </c>
      <c r="GY7" s="155">
        <f>IF(MatchDay!$C$2="LOWER",COUNTA(GF7:GH7),0)</f>
        <v>0</v>
      </c>
    </row>
    <row r="8" spans="1:207" ht="16.5" customHeight="1" x14ac:dyDescent="0.45">
      <c r="A8" s="157" t="s">
        <v>912</v>
      </c>
      <c r="B8" s="171"/>
      <c r="C8" s="165"/>
      <c r="D8" s="171"/>
      <c r="E8" s="158"/>
      <c r="F8" s="171"/>
      <c r="G8" s="165"/>
      <c r="H8" s="171"/>
      <c r="I8" s="158"/>
      <c r="J8" s="180"/>
      <c r="K8" s="180"/>
      <c r="L8" s="180"/>
      <c r="M8" s="171"/>
      <c r="N8" s="158"/>
      <c r="O8" s="171"/>
      <c r="P8" s="158"/>
      <c r="Q8" s="171"/>
      <c r="R8" s="180"/>
      <c r="S8" s="158"/>
      <c r="T8" s="171"/>
      <c r="U8" s="158"/>
      <c r="V8" s="171"/>
      <c r="W8" s="155">
        <f t="shared" si="0"/>
        <v>0</v>
      </c>
      <c r="X8" s="155">
        <f t="shared" si="1"/>
        <v>0</v>
      </c>
      <c r="Y8" s="155">
        <f>IF(MatchDay!$C$2="LOWER",COUNTA(F8:H8),0)</f>
        <v>0</v>
      </c>
      <c r="AA8" s="157" t="s">
        <v>912</v>
      </c>
      <c r="AB8" s="177"/>
      <c r="AC8" s="165"/>
      <c r="AD8" s="177"/>
      <c r="AE8" s="158"/>
      <c r="AF8" s="177"/>
      <c r="AG8" s="165"/>
      <c r="AH8" s="177"/>
      <c r="AI8" s="158"/>
      <c r="AJ8" s="180"/>
      <c r="AK8" s="180"/>
      <c r="AL8" s="180"/>
      <c r="AM8" s="177"/>
      <c r="AN8" s="158"/>
      <c r="AO8" s="177"/>
      <c r="AP8" s="158"/>
      <c r="AQ8" s="177"/>
      <c r="AR8" s="180"/>
      <c r="AS8" s="158"/>
      <c r="AT8" s="177"/>
      <c r="AU8" s="158"/>
      <c r="AV8" s="177"/>
      <c r="AW8" s="155">
        <f t="shared" si="2"/>
        <v>0</v>
      </c>
      <c r="AX8" s="155">
        <f t="shared" si="3"/>
        <v>0</v>
      </c>
      <c r="AY8" s="155">
        <f>IF(MatchDay!$C$2="LOWER",COUNTA(AF8:AH8),0)</f>
        <v>0</v>
      </c>
      <c r="BA8" s="157" t="s">
        <v>912</v>
      </c>
      <c r="BB8" s="171"/>
      <c r="BC8" s="165"/>
      <c r="BD8" s="171"/>
      <c r="BE8" s="158"/>
      <c r="BF8" s="171"/>
      <c r="BG8" s="165"/>
      <c r="BH8" s="171"/>
      <c r="BI8" s="158"/>
      <c r="BJ8" s="180"/>
      <c r="BK8" s="180"/>
      <c r="BL8" s="180"/>
      <c r="BM8" s="171"/>
      <c r="BN8" s="158"/>
      <c r="BO8" s="171"/>
      <c r="BP8" s="158"/>
      <c r="BQ8" s="171"/>
      <c r="BR8" s="180"/>
      <c r="BS8" s="158"/>
      <c r="BT8" s="171"/>
      <c r="BU8" s="158"/>
      <c r="BV8" s="171"/>
      <c r="BW8" s="155">
        <f t="shared" si="4"/>
        <v>0</v>
      </c>
      <c r="BX8" s="155">
        <f t="shared" si="5"/>
        <v>0</v>
      </c>
      <c r="BY8" s="155">
        <f>IF(MatchDay!$C$2="LOWER",COUNTA(BF8:BH8),0)</f>
        <v>0</v>
      </c>
      <c r="CA8" s="157" t="s">
        <v>912</v>
      </c>
      <c r="CB8" s="177"/>
      <c r="CC8" s="165"/>
      <c r="CD8" s="177"/>
      <c r="CE8" s="158"/>
      <c r="CF8" s="177"/>
      <c r="CG8" s="165"/>
      <c r="CH8" s="177"/>
      <c r="CI8" s="158"/>
      <c r="CJ8" s="180"/>
      <c r="CK8" s="180"/>
      <c r="CL8" s="180"/>
      <c r="CM8" s="177"/>
      <c r="CN8" s="158"/>
      <c r="CO8" s="177"/>
      <c r="CP8" s="158"/>
      <c r="CQ8" s="177"/>
      <c r="CR8" s="180"/>
      <c r="CS8" s="158"/>
      <c r="CT8" s="177"/>
      <c r="CU8" s="158"/>
      <c r="CV8" s="177"/>
      <c r="CW8" s="155">
        <f t="shared" si="6"/>
        <v>0</v>
      </c>
      <c r="CX8" s="155">
        <f t="shared" si="7"/>
        <v>0</v>
      </c>
      <c r="CY8" s="155">
        <f>IF(MatchDay!$C$2="LOWER",COUNTA(CF8:CH8),0)</f>
        <v>0</v>
      </c>
      <c r="DA8" s="157" t="s">
        <v>912</v>
      </c>
      <c r="DB8" s="171"/>
      <c r="DC8" s="165"/>
      <c r="DD8" s="171"/>
      <c r="DE8" s="158"/>
      <c r="DF8" s="171"/>
      <c r="DG8" s="165"/>
      <c r="DH8" s="171"/>
      <c r="DI8" s="158"/>
      <c r="DJ8" s="180"/>
      <c r="DK8" s="180"/>
      <c r="DL8" s="180"/>
      <c r="DM8" s="171"/>
      <c r="DN8" s="158"/>
      <c r="DO8" s="171"/>
      <c r="DP8" s="158"/>
      <c r="DQ8" s="171"/>
      <c r="DR8" s="180"/>
      <c r="DS8" s="158"/>
      <c r="DT8" s="171"/>
      <c r="DU8" s="158"/>
      <c r="DV8" s="171"/>
      <c r="DW8" s="155">
        <f t="shared" si="8"/>
        <v>0</v>
      </c>
      <c r="DX8" s="155">
        <f t="shared" si="9"/>
        <v>0</v>
      </c>
      <c r="DY8" s="155">
        <f>IF(MatchDay!$C$2="LOWER",COUNTA(DF8:DH8),0)</f>
        <v>0</v>
      </c>
      <c r="EA8" s="157" t="s">
        <v>912</v>
      </c>
      <c r="EB8" s="177"/>
      <c r="EC8" s="165"/>
      <c r="ED8" s="177"/>
      <c r="EE8" s="158"/>
      <c r="EF8" s="177"/>
      <c r="EG8" s="165"/>
      <c r="EH8" s="177"/>
      <c r="EI8" s="158"/>
      <c r="EJ8" s="180"/>
      <c r="EK8" s="180"/>
      <c r="EL8" s="180"/>
      <c r="EM8" s="177"/>
      <c r="EN8" s="158"/>
      <c r="EO8" s="177"/>
      <c r="EP8" s="158"/>
      <c r="EQ8" s="177"/>
      <c r="ER8" s="180"/>
      <c r="ES8" s="158"/>
      <c r="ET8" s="177"/>
      <c r="EU8" s="158"/>
      <c r="EV8" s="177"/>
      <c r="EW8" s="155">
        <f t="shared" si="10"/>
        <v>0</v>
      </c>
      <c r="EX8" s="155">
        <f t="shared" si="11"/>
        <v>0</v>
      </c>
      <c r="EY8" s="155">
        <f>IF(MatchDay!$C$2="LOWER",COUNTA(EF8:EH8),0)</f>
        <v>0</v>
      </c>
      <c r="FA8" s="157" t="s">
        <v>912</v>
      </c>
      <c r="FB8" s="171"/>
      <c r="FC8" s="165"/>
      <c r="FD8" s="171"/>
      <c r="FE8" s="158"/>
      <c r="FF8" s="171"/>
      <c r="FG8" s="165"/>
      <c r="FH8" s="171"/>
      <c r="FI8" s="158"/>
      <c r="FJ8" s="180"/>
      <c r="FK8" s="180"/>
      <c r="FL8" s="180"/>
      <c r="FM8" s="171"/>
      <c r="FN8" s="158"/>
      <c r="FO8" s="171"/>
      <c r="FP8" s="158"/>
      <c r="FQ8" s="171"/>
      <c r="FR8" s="180"/>
      <c r="FS8" s="158"/>
      <c r="FT8" s="171"/>
      <c r="FU8" s="158"/>
      <c r="FV8" s="171"/>
      <c r="FW8" s="155">
        <f t="shared" si="12"/>
        <v>0</v>
      </c>
      <c r="FX8" s="155">
        <f t="shared" si="13"/>
        <v>0</v>
      </c>
      <c r="FY8" s="155">
        <f>IF(MatchDay!$C$2="LOWER",COUNTA(FF8:FH8),0)</f>
        <v>0</v>
      </c>
      <c r="GA8" s="157" t="s">
        <v>912</v>
      </c>
      <c r="GB8" s="177"/>
      <c r="GC8" s="165"/>
      <c r="GD8" s="177"/>
      <c r="GE8" s="158"/>
      <c r="GF8" s="177"/>
      <c r="GG8" s="165"/>
      <c r="GH8" s="177"/>
      <c r="GI8" s="158"/>
      <c r="GJ8" s="180"/>
      <c r="GK8" s="180"/>
      <c r="GL8" s="180"/>
      <c r="GM8" s="177"/>
      <c r="GN8" s="158"/>
      <c r="GO8" s="177"/>
      <c r="GP8" s="158"/>
      <c r="GQ8" s="177"/>
      <c r="GR8" s="180"/>
      <c r="GS8" s="158"/>
      <c r="GT8" s="177"/>
      <c r="GU8" s="158"/>
      <c r="GV8" s="177"/>
      <c r="GW8" s="155">
        <f t="shared" si="14"/>
        <v>0</v>
      </c>
      <c r="GX8" s="155">
        <f t="shared" si="15"/>
        <v>0</v>
      </c>
      <c r="GY8" s="155">
        <f>IF(MatchDay!$C$2="LOWER",COUNTA(GF8:GH8),0)</f>
        <v>0</v>
      </c>
    </row>
    <row r="9" spans="1:207" ht="16.5" customHeight="1" x14ac:dyDescent="0.45">
      <c r="A9" s="157" t="s">
        <v>912</v>
      </c>
      <c r="B9" s="171"/>
      <c r="C9" s="165"/>
      <c r="D9" s="171"/>
      <c r="E9" s="158"/>
      <c r="F9" s="171"/>
      <c r="G9" s="165"/>
      <c r="H9" s="171"/>
      <c r="I9" s="158"/>
      <c r="J9" s="180"/>
      <c r="K9" s="180"/>
      <c r="L9" s="180"/>
      <c r="M9" s="171"/>
      <c r="N9" s="158"/>
      <c r="O9" s="171"/>
      <c r="P9" s="158"/>
      <c r="Q9" s="171"/>
      <c r="R9" s="180"/>
      <c r="S9" s="158"/>
      <c r="T9" s="171"/>
      <c r="U9" s="158"/>
      <c r="V9" s="171"/>
      <c r="W9" s="155">
        <f t="shared" si="0"/>
        <v>0</v>
      </c>
      <c r="X9" s="155">
        <f t="shared" si="1"/>
        <v>0</v>
      </c>
      <c r="Y9" s="155">
        <f>IF(MatchDay!$C$2="LOWER",COUNTA(F9:H9),0)</f>
        <v>0</v>
      </c>
      <c r="AA9" s="157" t="s">
        <v>912</v>
      </c>
      <c r="AB9" s="177"/>
      <c r="AC9" s="165"/>
      <c r="AD9" s="177"/>
      <c r="AE9" s="158"/>
      <c r="AF9" s="177"/>
      <c r="AG9" s="165"/>
      <c r="AH9" s="177"/>
      <c r="AI9" s="158"/>
      <c r="AJ9" s="180"/>
      <c r="AK9" s="180"/>
      <c r="AL9" s="180"/>
      <c r="AM9" s="177"/>
      <c r="AN9" s="158"/>
      <c r="AO9" s="177"/>
      <c r="AP9" s="158"/>
      <c r="AQ9" s="177"/>
      <c r="AR9" s="180"/>
      <c r="AS9" s="158"/>
      <c r="AT9" s="177"/>
      <c r="AU9" s="158"/>
      <c r="AV9" s="177"/>
      <c r="AW9" s="155">
        <f t="shared" si="2"/>
        <v>0</v>
      </c>
      <c r="AX9" s="155">
        <f t="shared" si="3"/>
        <v>0</v>
      </c>
      <c r="AY9" s="155">
        <f>IF(MatchDay!$C$2="LOWER",COUNTA(AF9:AH9),0)</f>
        <v>0</v>
      </c>
      <c r="BA9" s="157" t="s">
        <v>912</v>
      </c>
      <c r="BB9" s="171"/>
      <c r="BC9" s="165"/>
      <c r="BD9" s="171"/>
      <c r="BE9" s="158"/>
      <c r="BF9" s="171"/>
      <c r="BG9" s="165"/>
      <c r="BH9" s="171"/>
      <c r="BI9" s="158"/>
      <c r="BJ9" s="180"/>
      <c r="BK9" s="180"/>
      <c r="BL9" s="180"/>
      <c r="BM9" s="171"/>
      <c r="BN9" s="158"/>
      <c r="BO9" s="171"/>
      <c r="BP9" s="158"/>
      <c r="BQ9" s="171"/>
      <c r="BR9" s="180"/>
      <c r="BS9" s="158"/>
      <c r="BT9" s="171"/>
      <c r="BU9" s="158"/>
      <c r="BV9" s="171"/>
      <c r="BW9" s="155">
        <f t="shared" si="4"/>
        <v>0</v>
      </c>
      <c r="BX9" s="155">
        <f t="shared" si="5"/>
        <v>0</v>
      </c>
      <c r="BY9" s="155">
        <f>IF(MatchDay!$C$2="LOWER",COUNTA(BF9:BH9),0)</f>
        <v>0</v>
      </c>
      <c r="CA9" s="157" t="s">
        <v>912</v>
      </c>
      <c r="CB9" s="177"/>
      <c r="CC9" s="165"/>
      <c r="CD9" s="177"/>
      <c r="CE9" s="158"/>
      <c r="CF9" s="177"/>
      <c r="CG9" s="165"/>
      <c r="CH9" s="177"/>
      <c r="CI9" s="158"/>
      <c r="CJ9" s="180"/>
      <c r="CK9" s="180"/>
      <c r="CL9" s="180"/>
      <c r="CM9" s="177"/>
      <c r="CN9" s="158"/>
      <c r="CO9" s="177"/>
      <c r="CP9" s="158"/>
      <c r="CQ9" s="177"/>
      <c r="CR9" s="180"/>
      <c r="CS9" s="158"/>
      <c r="CT9" s="177"/>
      <c r="CU9" s="158"/>
      <c r="CV9" s="177"/>
      <c r="CW9" s="155">
        <f t="shared" si="6"/>
        <v>0</v>
      </c>
      <c r="CX9" s="155">
        <f t="shared" si="7"/>
        <v>0</v>
      </c>
      <c r="CY9" s="155">
        <f>IF(MatchDay!$C$2="LOWER",COUNTA(CF9:CH9),0)</f>
        <v>0</v>
      </c>
      <c r="DA9" s="157" t="s">
        <v>912</v>
      </c>
      <c r="DB9" s="171"/>
      <c r="DC9" s="165"/>
      <c r="DD9" s="171"/>
      <c r="DE9" s="158"/>
      <c r="DF9" s="171"/>
      <c r="DG9" s="165"/>
      <c r="DH9" s="171"/>
      <c r="DI9" s="158"/>
      <c r="DJ9" s="180"/>
      <c r="DK9" s="180"/>
      <c r="DL9" s="180"/>
      <c r="DM9" s="171"/>
      <c r="DN9" s="158"/>
      <c r="DO9" s="171"/>
      <c r="DP9" s="158"/>
      <c r="DQ9" s="171"/>
      <c r="DR9" s="180"/>
      <c r="DS9" s="158"/>
      <c r="DT9" s="171"/>
      <c r="DU9" s="158"/>
      <c r="DV9" s="171"/>
      <c r="DW9" s="155">
        <f t="shared" si="8"/>
        <v>0</v>
      </c>
      <c r="DX9" s="155">
        <f t="shared" si="9"/>
        <v>0</v>
      </c>
      <c r="DY9" s="155">
        <f>IF(MatchDay!$C$2="LOWER",COUNTA(DF9:DH9),0)</f>
        <v>0</v>
      </c>
      <c r="EA9" s="157" t="s">
        <v>912</v>
      </c>
      <c r="EB9" s="177"/>
      <c r="EC9" s="165"/>
      <c r="ED9" s="177"/>
      <c r="EE9" s="158"/>
      <c r="EF9" s="177"/>
      <c r="EG9" s="165"/>
      <c r="EH9" s="177"/>
      <c r="EI9" s="158"/>
      <c r="EJ9" s="180"/>
      <c r="EK9" s="180"/>
      <c r="EL9" s="180"/>
      <c r="EM9" s="177"/>
      <c r="EN9" s="158"/>
      <c r="EO9" s="177"/>
      <c r="EP9" s="158"/>
      <c r="EQ9" s="177"/>
      <c r="ER9" s="180"/>
      <c r="ES9" s="158"/>
      <c r="ET9" s="177"/>
      <c r="EU9" s="158"/>
      <c r="EV9" s="177"/>
      <c r="EW9" s="155">
        <f t="shared" si="10"/>
        <v>0</v>
      </c>
      <c r="EX9" s="155">
        <f t="shared" si="11"/>
        <v>0</v>
      </c>
      <c r="EY9" s="155">
        <f>IF(MatchDay!$C$2="LOWER",COUNTA(EF9:EH9),0)</f>
        <v>0</v>
      </c>
      <c r="FA9" s="157" t="s">
        <v>912</v>
      </c>
      <c r="FB9" s="171"/>
      <c r="FC9" s="165"/>
      <c r="FD9" s="171"/>
      <c r="FE9" s="158"/>
      <c r="FF9" s="171"/>
      <c r="FG9" s="165"/>
      <c r="FH9" s="171"/>
      <c r="FI9" s="158"/>
      <c r="FJ9" s="180"/>
      <c r="FK9" s="180"/>
      <c r="FL9" s="180"/>
      <c r="FM9" s="171"/>
      <c r="FN9" s="158"/>
      <c r="FO9" s="171"/>
      <c r="FP9" s="158"/>
      <c r="FQ9" s="171"/>
      <c r="FR9" s="180"/>
      <c r="FS9" s="158"/>
      <c r="FT9" s="171"/>
      <c r="FU9" s="158"/>
      <c r="FV9" s="171"/>
      <c r="FW9" s="155">
        <f t="shared" si="12"/>
        <v>0</v>
      </c>
      <c r="FX9" s="155">
        <f t="shared" si="13"/>
        <v>0</v>
      </c>
      <c r="FY9" s="155">
        <f>IF(MatchDay!$C$2="LOWER",COUNTA(FF9:FH9),0)</f>
        <v>0</v>
      </c>
      <c r="GA9" s="157" t="s">
        <v>912</v>
      </c>
      <c r="GB9" s="177"/>
      <c r="GC9" s="165"/>
      <c r="GD9" s="177"/>
      <c r="GE9" s="158"/>
      <c r="GF9" s="177"/>
      <c r="GG9" s="165"/>
      <c r="GH9" s="177"/>
      <c r="GI9" s="158"/>
      <c r="GJ9" s="180"/>
      <c r="GK9" s="180"/>
      <c r="GL9" s="180"/>
      <c r="GM9" s="177"/>
      <c r="GN9" s="158"/>
      <c r="GO9" s="177"/>
      <c r="GP9" s="158"/>
      <c r="GQ9" s="177"/>
      <c r="GR9" s="180"/>
      <c r="GS9" s="158"/>
      <c r="GT9" s="177"/>
      <c r="GU9" s="158"/>
      <c r="GV9" s="177"/>
      <c r="GW9" s="155">
        <f t="shared" si="14"/>
        <v>0</v>
      </c>
      <c r="GX9" s="155">
        <f t="shared" si="15"/>
        <v>0</v>
      </c>
      <c r="GY9" s="155">
        <f>IF(MatchDay!$C$2="LOWER",COUNTA(GF9:GH9),0)</f>
        <v>0</v>
      </c>
    </row>
    <row r="10" spans="1:207" ht="16.5" customHeight="1" x14ac:dyDescent="0.45">
      <c r="A10" s="157" t="s">
        <v>912</v>
      </c>
      <c r="B10" s="171"/>
      <c r="C10" s="165"/>
      <c r="D10" s="171"/>
      <c r="E10" s="158"/>
      <c r="F10" s="171"/>
      <c r="G10" s="165"/>
      <c r="H10" s="171"/>
      <c r="I10" s="158"/>
      <c r="J10" s="180"/>
      <c r="K10" s="180"/>
      <c r="L10" s="180"/>
      <c r="M10" s="171"/>
      <c r="N10" s="158"/>
      <c r="O10" s="171"/>
      <c r="P10" s="158"/>
      <c r="Q10" s="171"/>
      <c r="R10" s="180"/>
      <c r="S10" s="158"/>
      <c r="T10" s="171"/>
      <c r="U10" s="158"/>
      <c r="V10" s="171"/>
      <c r="W10" s="155">
        <f t="shared" si="0"/>
        <v>0</v>
      </c>
      <c r="X10" s="155">
        <f t="shared" si="1"/>
        <v>0</v>
      </c>
      <c r="Y10" s="155">
        <f>IF(MatchDay!$C$2="LOWER",COUNTA(F10:H10),0)</f>
        <v>0</v>
      </c>
      <c r="AA10" s="157" t="s">
        <v>912</v>
      </c>
      <c r="AB10" s="177"/>
      <c r="AC10" s="165"/>
      <c r="AD10" s="177"/>
      <c r="AE10" s="158"/>
      <c r="AF10" s="177"/>
      <c r="AG10" s="165"/>
      <c r="AH10" s="177"/>
      <c r="AI10" s="158"/>
      <c r="AJ10" s="180"/>
      <c r="AK10" s="180"/>
      <c r="AL10" s="180"/>
      <c r="AM10" s="177"/>
      <c r="AN10" s="158"/>
      <c r="AO10" s="177"/>
      <c r="AP10" s="158"/>
      <c r="AQ10" s="177"/>
      <c r="AR10" s="180"/>
      <c r="AS10" s="158"/>
      <c r="AT10" s="177"/>
      <c r="AU10" s="158"/>
      <c r="AV10" s="177"/>
      <c r="AW10" s="155">
        <f t="shared" si="2"/>
        <v>0</v>
      </c>
      <c r="AX10" s="155">
        <f t="shared" si="3"/>
        <v>0</v>
      </c>
      <c r="AY10" s="155">
        <f>IF(MatchDay!$C$2="LOWER",COUNTA(AF10:AH10),0)</f>
        <v>0</v>
      </c>
      <c r="BA10" s="157" t="s">
        <v>912</v>
      </c>
      <c r="BB10" s="171"/>
      <c r="BC10" s="165"/>
      <c r="BD10" s="171"/>
      <c r="BE10" s="158"/>
      <c r="BF10" s="171"/>
      <c r="BG10" s="165"/>
      <c r="BH10" s="171"/>
      <c r="BI10" s="158"/>
      <c r="BJ10" s="180"/>
      <c r="BK10" s="180"/>
      <c r="BL10" s="180"/>
      <c r="BM10" s="171"/>
      <c r="BN10" s="158"/>
      <c r="BO10" s="171"/>
      <c r="BP10" s="158"/>
      <c r="BQ10" s="171"/>
      <c r="BR10" s="180"/>
      <c r="BS10" s="158"/>
      <c r="BT10" s="171"/>
      <c r="BU10" s="158"/>
      <c r="BV10" s="171"/>
      <c r="BW10" s="155">
        <f t="shared" si="4"/>
        <v>0</v>
      </c>
      <c r="BX10" s="155">
        <f t="shared" si="5"/>
        <v>0</v>
      </c>
      <c r="BY10" s="155">
        <f>IF(MatchDay!$C$2="LOWER",COUNTA(BF10:BH10),0)</f>
        <v>0</v>
      </c>
      <c r="CA10" s="157" t="s">
        <v>912</v>
      </c>
      <c r="CB10" s="177"/>
      <c r="CC10" s="165"/>
      <c r="CD10" s="177"/>
      <c r="CE10" s="158"/>
      <c r="CF10" s="177"/>
      <c r="CG10" s="165"/>
      <c r="CH10" s="177"/>
      <c r="CI10" s="158"/>
      <c r="CJ10" s="180"/>
      <c r="CK10" s="180"/>
      <c r="CL10" s="180"/>
      <c r="CM10" s="177"/>
      <c r="CN10" s="158"/>
      <c r="CO10" s="177"/>
      <c r="CP10" s="158"/>
      <c r="CQ10" s="177"/>
      <c r="CR10" s="180"/>
      <c r="CS10" s="158"/>
      <c r="CT10" s="177"/>
      <c r="CU10" s="158"/>
      <c r="CV10" s="177"/>
      <c r="CW10" s="155">
        <f t="shared" si="6"/>
        <v>0</v>
      </c>
      <c r="CX10" s="155">
        <f t="shared" si="7"/>
        <v>0</v>
      </c>
      <c r="CY10" s="155">
        <f>IF(MatchDay!$C$2="LOWER",COUNTA(CF10:CH10),0)</f>
        <v>0</v>
      </c>
      <c r="DA10" s="157" t="s">
        <v>912</v>
      </c>
      <c r="DB10" s="171"/>
      <c r="DC10" s="165"/>
      <c r="DD10" s="171"/>
      <c r="DE10" s="158"/>
      <c r="DF10" s="171"/>
      <c r="DG10" s="165"/>
      <c r="DH10" s="171"/>
      <c r="DI10" s="158"/>
      <c r="DJ10" s="180"/>
      <c r="DK10" s="180"/>
      <c r="DL10" s="180"/>
      <c r="DM10" s="171"/>
      <c r="DN10" s="158"/>
      <c r="DO10" s="171"/>
      <c r="DP10" s="158"/>
      <c r="DQ10" s="171"/>
      <c r="DR10" s="180"/>
      <c r="DS10" s="158"/>
      <c r="DT10" s="171"/>
      <c r="DU10" s="158"/>
      <c r="DV10" s="171"/>
      <c r="DW10" s="155">
        <f t="shared" si="8"/>
        <v>0</v>
      </c>
      <c r="DX10" s="155">
        <f t="shared" si="9"/>
        <v>0</v>
      </c>
      <c r="DY10" s="155">
        <f>IF(MatchDay!$C$2="LOWER",COUNTA(DF10:DH10),0)</f>
        <v>0</v>
      </c>
      <c r="EA10" s="157" t="s">
        <v>912</v>
      </c>
      <c r="EB10" s="177"/>
      <c r="EC10" s="165"/>
      <c r="ED10" s="177"/>
      <c r="EE10" s="158"/>
      <c r="EF10" s="177"/>
      <c r="EG10" s="165"/>
      <c r="EH10" s="177"/>
      <c r="EI10" s="158"/>
      <c r="EJ10" s="180"/>
      <c r="EK10" s="180"/>
      <c r="EL10" s="180"/>
      <c r="EM10" s="177"/>
      <c r="EN10" s="158"/>
      <c r="EO10" s="177"/>
      <c r="EP10" s="158"/>
      <c r="EQ10" s="177"/>
      <c r="ER10" s="180"/>
      <c r="ES10" s="158"/>
      <c r="ET10" s="177"/>
      <c r="EU10" s="158"/>
      <c r="EV10" s="177"/>
      <c r="EW10" s="155">
        <f t="shared" si="10"/>
        <v>0</v>
      </c>
      <c r="EX10" s="155">
        <f t="shared" si="11"/>
        <v>0</v>
      </c>
      <c r="EY10" s="155">
        <f>IF(MatchDay!$C$2="LOWER",COUNTA(EF10:EH10),0)</f>
        <v>0</v>
      </c>
      <c r="FA10" s="157" t="s">
        <v>912</v>
      </c>
      <c r="FB10" s="171"/>
      <c r="FC10" s="165"/>
      <c r="FD10" s="171"/>
      <c r="FE10" s="158"/>
      <c r="FF10" s="171"/>
      <c r="FG10" s="165"/>
      <c r="FH10" s="171"/>
      <c r="FI10" s="158"/>
      <c r="FJ10" s="180"/>
      <c r="FK10" s="180"/>
      <c r="FL10" s="180"/>
      <c r="FM10" s="171"/>
      <c r="FN10" s="158"/>
      <c r="FO10" s="171"/>
      <c r="FP10" s="158"/>
      <c r="FQ10" s="171"/>
      <c r="FR10" s="180"/>
      <c r="FS10" s="158"/>
      <c r="FT10" s="171"/>
      <c r="FU10" s="158"/>
      <c r="FV10" s="171"/>
      <c r="FW10" s="155">
        <f t="shared" si="12"/>
        <v>0</v>
      </c>
      <c r="FX10" s="155">
        <f t="shared" si="13"/>
        <v>0</v>
      </c>
      <c r="FY10" s="155">
        <f>IF(MatchDay!$C$2="LOWER",COUNTA(FF10:FH10),0)</f>
        <v>0</v>
      </c>
      <c r="GA10" s="157" t="s">
        <v>912</v>
      </c>
      <c r="GB10" s="177"/>
      <c r="GC10" s="165"/>
      <c r="GD10" s="177"/>
      <c r="GE10" s="158"/>
      <c r="GF10" s="177"/>
      <c r="GG10" s="165"/>
      <c r="GH10" s="177"/>
      <c r="GI10" s="158"/>
      <c r="GJ10" s="180"/>
      <c r="GK10" s="180"/>
      <c r="GL10" s="180"/>
      <c r="GM10" s="177"/>
      <c r="GN10" s="158"/>
      <c r="GO10" s="177"/>
      <c r="GP10" s="158"/>
      <c r="GQ10" s="177"/>
      <c r="GR10" s="180"/>
      <c r="GS10" s="158"/>
      <c r="GT10" s="177"/>
      <c r="GU10" s="158"/>
      <c r="GV10" s="177"/>
      <c r="GW10" s="155">
        <f t="shared" si="14"/>
        <v>0</v>
      </c>
      <c r="GX10" s="155">
        <f t="shared" si="15"/>
        <v>0</v>
      </c>
      <c r="GY10" s="155">
        <f>IF(MatchDay!$C$2="LOWER",COUNTA(GF10:GH10),0)</f>
        <v>0</v>
      </c>
    </row>
    <row r="11" spans="1:207" ht="16.5" customHeight="1" x14ac:dyDescent="0.45">
      <c r="A11" s="157" t="s">
        <v>912</v>
      </c>
      <c r="B11" s="171"/>
      <c r="C11" s="165"/>
      <c r="D11" s="171"/>
      <c r="E11" s="158"/>
      <c r="F11" s="171"/>
      <c r="G11" s="165"/>
      <c r="H11" s="171"/>
      <c r="I11" s="158"/>
      <c r="J11" s="180"/>
      <c r="K11" s="180"/>
      <c r="L11" s="180"/>
      <c r="M11" s="171"/>
      <c r="N11" s="158"/>
      <c r="O11" s="171"/>
      <c r="P11" s="158"/>
      <c r="Q11" s="171"/>
      <c r="R11" s="180"/>
      <c r="S11" s="158"/>
      <c r="T11" s="171"/>
      <c r="U11" s="158"/>
      <c r="V11" s="171"/>
      <c r="W11" s="155">
        <f t="shared" si="0"/>
        <v>0</v>
      </c>
      <c r="X11" s="155">
        <f t="shared" si="1"/>
        <v>0</v>
      </c>
      <c r="Y11" s="155">
        <f>IF(MatchDay!$C$2="LOWER",COUNTA(F11:H11),0)</f>
        <v>0</v>
      </c>
      <c r="AA11" s="157" t="s">
        <v>912</v>
      </c>
      <c r="AB11" s="177"/>
      <c r="AC11" s="165"/>
      <c r="AD11" s="177"/>
      <c r="AE11" s="158"/>
      <c r="AF11" s="177"/>
      <c r="AG11" s="165"/>
      <c r="AH11" s="177"/>
      <c r="AI11" s="158"/>
      <c r="AJ11" s="180"/>
      <c r="AK11" s="180"/>
      <c r="AL11" s="180"/>
      <c r="AM11" s="177"/>
      <c r="AN11" s="158"/>
      <c r="AO11" s="177"/>
      <c r="AP11" s="158"/>
      <c r="AQ11" s="177"/>
      <c r="AR11" s="180"/>
      <c r="AS11" s="158"/>
      <c r="AT11" s="177"/>
      <c r="AU11" s="158"/>
      <c r="AV11" s="177"/>
      <c r="AW11" s="155">
        <f t="shared" si="2"/>
        <v>0</v>
      </c>
      <c r="AX11" s="155">
        <f t="shared" si="3"/>
        <v>0</v>
      </c>
      <c r="AY11" s="155">
        <f>IF(MatchDay!$C$2="LOWER",COUNTA(AF11:AH11),0)</f>
        <v>0</v>
      </c>
      <c r="BA11" s="157" t="s">
        <v>912</v>
      </c>
      <c r="BB11" s="171"/>
      <c r="BC11" s="165"/>
      <c r="BD11" s="171"/>
      <c r="BE11" s="158"/>
      <c r="BF11" s="171"/>
      <c r="BG11" s="165"/>
      <c r="BH11" s="171"/>
      <c r="BI11" s="158"/>
      <c r="BJ11" s="180"/>
      <c r="BK11" s="180"/>
      <c r="BL11" s="180"/>
      <c r="BM11" s="171"/>
      <c r="BN11" s="158"/>
      <c r="BO11" s="171"/>
      <c r="BP11" s="158"/>
      <c r="BQ11" s="171"/>
      <c r="BR11" s="180"/>
      <c r="BS11" s="158"/>
      <c r="BT11" s="171"/>
      <c r="BU11" s="158"/>
      <c r="BV11" s="171"/>
      <c r="BW11" s="155">
        <f t="shared" si="4"/>
        <v>0</v>
      </c>
      <c r="BX11" s="155">
        <f t="shared" si="5"/>
        <v>0</v>
      </c>
      <c r="BY11" s="155">
        <f>IF(MatchDay!$C$2="LOWER",COUNTA(BF11:BH11),0)</f>
        <v>0</v>
      </c>
      <c r="CA11" s="157" t="s">
        <v>912</v>
      </c>
      <c r="CB11" s="177"/>
      <c r="CC11" s="165"/>
      <c r="CD11" s="177"/>
      <c r="CE11" s="158"/>
      <c r="CF11" s="177"/>
      <c r="CG11" s="165"/>
      <c r="CH11" s="177"/>
      <c r="CI11" s="158"/>
      <c r="CJ11" s="180"/>
      <c r="CK11" s="180"/>
      <c r="CL11" s="180"/>
      <c r="CM11" s="177"/>
      <c r="CN11" s="158"/>
      <c r="CO11" s="177"/>
      <c r="CP11" s="158"/>
      <c r="CQ11" s="177"/>
      <c r="CR11" s="180"/>
      <c r="CS11" s="158"/>
      <c r="CT11" s="177"/>
      <c r="CU11" s="158"/>
      <c r="CV11" s="177"/>
      <c r="CW11" s="155">
        <f t="shared" si="6"/>
        <v>0</v>
      </c>
      <c r="CX11" s="155">
        <f t="shared" si="7"/>
        <v>0</v>
      </c>
      <c r="CY11" s="155">
        <f>IF(MatchDay!$C$2="LOWER",COUNTA(CF11:CH11),0)</f>
        <v>0</v>
      </c>
      <c r="DA11" s="157" t="s">
        <v>912</v>
      </c>
      <c r="DB11" s="171"/>
      <c r="DC11" s="165"/>
      <c r="DD11" s="171"/>
      <c r="DE11" s="158"/>
      <c r="DF11" s="171"/>
      <c r="DG11" s="165"/>
      <c r="DH11" s="171"/>
      <c r="DI11" s="158"/>
      <c r="DJ11" s="180"/>
      <c r="DK11" s="180"/>
      <c r="DL11" s="180"/>
      <c r="DM11" s="171"/>
      <c r="DN11" s="158"/>
      <c r="DO11" s="171"/>
      <c r="DP11" s="158"/>
      <c r="DQ11" s="171"/>
      <c r="DR11" s="180"/>
      <c r="DS11" s="158"/>
      <c r="DT11" s="171"/>
      <c r="DU11" s="158"/>
      <c r="DV11" s="171"/>
      <c r="DW11" s="155">
        <f t="shared" si="8"/>
        <v>0</v>
      </c>
      <c r="DX11" s="155">
        <f t="shared" si="9"/>
        <v>0</v>
      </c>
      <c r="DY11" s="155">
        <f>IF(MatchDay!$C$2="LOWER",COUNTA(DF11:DH11),0)</f>
        <v>0</v>
      </c>
      <c r="EA11" s="157" t="s">
        <v>912</v>
      </c>
      <c r="EB11" s="177"/>
      <c r="EC11" s="165"/>
      <c r="ED11" s="177"/>
      <c r="EE11" s="158"/>
      <c r="EF11" s="177"/>
      <c r="EG11" s="165"/>
      <c r="EH11" s="177"/>
      <c r="EI11" s="158"/>
      <c r="EJ11" s="180"/>
      <c r="EK11" s="180"/>
      <c r="EL11" s="180"/>
      <c r="EM11" s="177"/>
      <c r="EN11" s="158"/>
      <c r="EO11" s="177"/>
      <c r="EP11" s="158"/>
      <c r="EQ11" s="177"/>
      <c r="ER11" s="180"/>
      <c r="ES11" s="158"/>
      <c r="ET11" s="177"/>
      <c r="EU11" s="158"/>
      <c r="EV11" s="177"/>
      <c r="EW11" s="155">
        <f t="shared" si="10"/>
        <v>0</v>
      </c>
      <c r="EX11" s="155">
        <f t="shared" si="11"/>
        <v>0</v>
      </c>
      <c r="EY11" s="155">
        <f>IF(MatchDay!$C$2="LOWER",COUNTA(EF11:EH11),0)</f>
        <v>0</v>
      </c>
      <c r="FA11" s="157" t="s">
        <v>912</v>
      </c>
      <c r="FB11" s="171"/>
      <c r="FC11" s="165"/>
      <c r="FD11" s="171"/>
      <c r="FE11" s="158"/>
      <c r="FF11" s="171"/>
      <c r="FG11" s="165"/>
      <c r="FH11" s="171"/>
      <c r="FI11" s="158"/>
      <c r="FJ11" s="180"/>
      <c r="FK11" s="180"/>
      <c r="FL11" s="180"/>
      <c r="FM11" s="171"/>
      <c r="FN11" s="158"/>
      <c r="FO11" s="171"/>
      <c r="FP11" s="158"/>
      <c r="FQ11" s="171"/>
      <c r="FR11" s="180"/>
      <c r="FS11" s="158"/>
      <c r="FT11" s="171"/>
      <c r="FU11" s="158"/>
      <c r="FV11" s="171"/>
      <c r="FW11" s="155">
        <f t="shared" si="12"/>
        <v>0</v>
      </c>
      <c r="FX11" s="155">
        <f t="shared" si="13"/>
        <v>0</v>
      </c>
      <c r="FY11" s="155">
        <f>IF(MatchDay!$C$2="LOWER",COUNTA(FF11:FH11),0)</f>
        <v>0</v>
      </c>
      <c r="GA11" s="157" t="s">
        <v>912</v>
      </c>
      <c r="GB11" s="177"/>
      <c r="GC11" s="165"/>
      <c r="GD11" s="177"/>
      <c r="GE11" s="158"/>
      <c r="GF11" s="177"/>
      <c r="GG11" s="165"/>
      <c r="GH11" s="177"/>
      <c r="GI11" s="158"/>
      <c r="GJ11" s="180"/>
      <c r="GK11" s="180"/>
      <c r="GL11" s="180"/>
      <c r="GM11" s="177"/>
      <c r="GN11" s="158"/>
      <c r="GO11" s="177"/>
      <c r="GP11" s="158"/>
      <c r="GQ11" s="177"/>
      <c r="GR11" s="180"/>
      <c r="GS11" s="158"/>
      <c r="GT11" s="177"/>
      <c r="GU11" s="158"/>
      <c r="GV11" s="177"/>
      <c r="GW11" s="155">
        <f t="shared" si="14"/>
        <v>0</v>
      </c>
      <c r="GX11" s="155">
        <f t="shared" si="15"/>
        <v>0</v>
      </c>
      <c r="GY11" s="155">
        <f>IF(MatchDay!$C$2="LOWER",COUNTA(GF11:GH11),0)</f>
        <v>0</v>
      </c>
    </row>
    <row r="12" spans="1:207" ht="16.5" customHeight="1" x14ac:dyDescent="0.45">
      <c r="A12" s="157" t="s">
        <v>912</v>
      </c>
      <c r="B12" s="171"/>
      <c r="C12" s="165"/>
      <c r="D12" s="171"/>
      <c r="E12" s="158"/>
      <c r="F12" s="171"/>
      <c r="G12" s="165"/>
      <c r="H12" s="171"/>
      <c r="I12" s="158"/>
      <c r="J12" s="180"/>
      <c r="K12" s="180"/>
      <c r="L12" s="180"/>
      <c r="M12" s="171"/>
      <c r="N12" s="158"/>
      <c r="O12" s="171"/>
      <c r="P12" s="158"/>
      <c r="Q12" s="171"/>
      <c r="R12" s="180"/>
      <c r="S12" s="158"/>
      <c r="T12" s="171"/>
      <c r="U12" s="158"/>
      <c r="V12" s="171"/>
      <c r="W12" s="155">
        <f t="shared" si="0"/>
        <v>0</v>
      </c>
      <c r="X12" s="155">
        <f t="shared" si="1"/>
        <v>0</v>
      </c>
      <c r="Y12" s="155">
        <f>IF(MatchDay!$C$2="LOWER",COUNTA(F12:H12),0)</f>
        <v>0</v>
      </c>
      <c r="AA12" s="157" t="s">
        <v>912</v>
      </c>
      <c r="AB12" s="177"/>
      <c r="AC12" s="165"/>
      <c r="AD12" s="177"/>
      <c r="AE12" s="158"/>
      <c r="AF12" s="177"/>
      <c r="AG12" s="165"/>
      <c r="AH12" s="177"/>
      <c r="AI12" s="158"/>
      <c r="AJ12" s="180"/>
      <c r="AK12" s="180"/>
      <c r="AL12" s="180"/>
      <c r="AM12" s="177"/>
      <c r="AN12" s="158"/>
      <c r="AO12" s="177"/>
      <c r="AP12" s="158"/>
      <c r="AQ12" s="177"/>
      <c r="AR12" s="180"/>
      <c r="AS12" s="158"/>
      <c r="AT12" s="177"/>
      <c r="AU12" s="158"/>
      <c r="AV12" s="177"/>
      <c r="AW12" s="155">
        <f t="shared" si="2"/>
        <v>0</v>
      </c>
      <c r="AX12" s="155">
        <f t="shared" si="3"/>
        <v>0</v>
      </c>
      <c r="AY12" s="155">
        <f>IF(MatchDay!$C$2="LOWER",COUNTA(AF12:AH12),0)</f>
        <v>0</v>
      </c>
      <c r="BA12" s="157" t="s">
        <v>912</v>
      </c>
      <c r="BB12" s="171"/>
      <c r="BC12" s="165"/>
      <c r="BD12" s="171"/>
      <c r="BE12" s="158"/>
      <c r="BF12" s="171"/>
      <c r="BG12" s="165"/>
      <c r="BH12" s="171"/>
      <c r="BI12" s="158"/>
      <c r="BJ12" s="180"/>
      <c r="BK12" s="180"/>
      <c r="BL12" s="180"/>
      <c r="BM12" s="171"/>
      <c r="BN12" s="158"/>
      <c r="BO12" s="171"/>
      <c r="BP12" s="158"/>
      <c r="BQ12" s="171"/>
      <c r="BR12" s="180"/>
      <c r="BS12" s="158"/>
      <c r="BT12" s="171"/>
      <c r="BU12" s="158"/>
      <c r="BV12" s="171"/>
      <c r="BW12" s="155">
        <f t="shared" si="4"/>
        <v>0</v>
      </c>
      <c r="BX12" s="155">
        <f t="shared" si="5"/>
        <v>0</v>
      </c>
      <c r="BY12" s="155">
        <f>IF(MatchDay!$C$2="LOWER",COUNTA(BF12:BH12),0)</f>
        <v>0</v>
      </c>
      <c r="CA12" s="157" t="s">
        <v>912</v>
      </c>
      <c r="CB12" s="177"/>
      <c r="CC12" s="165"/>
      <c r="CD12" s="177"/>
      <c r="CE12" s="158"/>
      <c r="CF12" s="177"/>
      <c r="CG12" s="165"/>
      <c r="CH12" s="177"/>
      <c r="CI12" s="158"/>
      <c r="CJ12" s="180"/>
      <c r="CK12" s="180"/>
      <c r="CL12" s="180"/>
      <c r="CM12" s="177"/>
      <c r="CN12" s="158"/>
      <c r="CO12" s="177"/>
      <c r="CP12" s="158"/>
      <c r="CQ12" s="177"/>
      <c r="CR12" s="180"/>
      <c r="CS12" s="158"/>
      <c r="CT12" s="177"/>
      <c r="CU12" s="158"/>
      <c r="CV12" s="177"/>
      <c r="CW12" s="155">
        <f t="shared" si="6"/>
        <v>0</v>
      </c>
      <c r="CX12" s="155">
        <f t="shared" si="7"/>
        <v>0</v>
      </c>
      <c r="CY12" s="155">
        <f>IF(MatchDay!$C$2="LOWER",COUNTA(CF12:CH12),0)</f>
        <v>0</v>
      </c>
      <c r="DA12" s="157" t="s">
        <v>912</v>
      </c>
      <c r="DB12" s="171"/>
      <c r="DC12" s="165"/>
      <c r="DD12" s="171"/>
      <c r="DE12" s="158"/>
      <c r="DF12" s="171"/>
      <c r="DG12" s="165"/>
      <c r="DH12" s="171"/>
      <c r="DI12" s="158"/>
      <c r="DJ12" s="180"/>
      <c r="DK12" s="180"/>
      <c r="DL12" s="180"/>
      <c r="DM12" s="171"/>
      <c r="DN12" s="158"/>
      <c r="DO12" s="171"/>
      <c r="DP12" s="158"/>
      <c r="DQ12" s="171"/>
      <c r="DR12" s="180"/>
      <c r="DS12" s="158"/>
      <c r="DT12" s="171"/>
      <c r="DU12" s="158"/>
      <c r="DV12" s="171"/>
      <c r="DW12" s="155">
        <f t="shared" si="8"/>
        <v>0</v>
      </c>
      <c r="DX12" s="155">
        <f t="shared" si="9"/>
        <v>0</v>
      </c>
      <c r="DY12" s="155">
        <f>IF(MatchDay!$C$2="LOWER",COUNTA(DF12:DH12),0)</f>
        <v>0</v>
      </c>
      <c r="EA12" s="157" t="s">
        <v>912</v>
      </c>
      <c r="EB12" s="177"/>
      <c r="EC12" s="165"/>
      <c r="ED12" s="177"/>
      <c r="EE12" s="158"/>
      <c r="EF12" s="177"/>
      <c r="EG12" s="165"/>
      <c r="EH12" s="177"/>
      <c r="EI12" s="158"/>
      <c r="EJ12" s="180"/>
      <c r="EK12" s="180"/>
      <c r="EL12" s="180"/>
      <c r="EM12" s="177"/>
      <c r="EN12" s="158"/>
      <c r="EO12" s="177"/>
      <c r="EP12" s="158"/>
      <c r="EQ12" s="177"/>
      <c r="ER12" s="180"/>
      <c r="ES12" s="158"/>
      <c r="ET12" s="177"/>
      <c r="EU12" s="158"/>
      <c r="EV12" s="177"/>
      <c r="EW12" s="155">
        <f t="shared" si="10"/>
        <v>0</v>
      </c>
      <c r="EX12" s="155">
        <f t="shared" si="11"/>
        <v>0</v>
      </c>
      <c r="EY12" s="155">
        <f>IF(MatchDay!$C$2="LOWER",COUNTA(EF12:EH12),0)</f>
        <v>0</v>
      </c>
      <c r="FA12" s="157" t="s">
        <v>912</v>
      </c>
      <c r="FB12" s="171"/>
      <c r="FC12" s="165"/>
      <c r="FD12" s="171"/>
      <c r="FE12" s="158"/>
      <c r="FF12" s="171"/>
      <c r="FG12" s="165"/>
      <c r="FH12" s="171"/>
      <c r="FI12" s="158"/>
      <c r="FJ12" s="180"/>
      <c r="FK12" s="180"/>
      <c r="FL12" s="180"/>
      <c r="FM12" s="171"/>
      <c r="FN12" s="158"/>
      <c r="FO12" s="171"/>
      <c r="FP12" s="158"/>
      <c r="FQ12" s="171"/>
      <c r="FR12" s="180"/>
      <c r="FS12" s="158"/>
      <c r="FT12" s="171"/>
      <c r="FU12" s="158"/>
      <c r="FV12" s="171"/>
      <c r="FW12" s="155">
        <f t="shared" si="12"/>
        <v>0</v>
      </c>
      <c r="FX12" s="155">
        <f t="shared" si="13"/>
        <v>0</v>
      </c>
      <c r="FY12" s="155">
        <f>IF(MatchDay!$C$2="LOWER",COUNTA(FF12:FH12),0)</f>
        <v>0</v>
      </c>
      <c r="GA12" s="157" t="s">
        <v>912</v>
      </c>
      <c r="GB12" s="177"/>
      <c r="GC12" s="165"/>
      <c r="GD12" s="177"/>
      <c r="GE12" s="158"/>
      <c r="GF12" s="177"/>
      <c r="GG12" s="165"/>
      <c r="GH12" s="177"/>
      <c r="GI12" s="158"/>
      <c r="GJ12" s="180"/>
      <c r="GK12" s="180"/>
      <c r="GL12" s="180"/>
      <c r="GM12" s="177"/>
      <c r="GN12" s="158"/>
      <c r="GO12" s="177"/>
      <c r="GP12" s="158"/>
      <c r="GQ12" s="177"/>
      <c r="GR12" s="180"/>
      <c r="GS12" s="158"/>
      <c r="GT12" s="177"/>
      <c r="GU12" s="158"/>
      <c r="GV12" s="177"/>
      <c r="GW12" s="155">
        <f t="shared" si="14"/>
        <v>0</v>
      </c>
      <c r="GX12" s="155">
        <f t="shared" si="15"/>
        <v>0</v>
      </c>
      <c r="GY12" s="155">
        <f>IF(MatchDay!$C$2="LOWER",COUNTA(GF12:GH12),0)</f>
        <v>0</v>
      </c>
    </row>
    <row r="13" spans="1:207" ht="16.5" customHeight="1" x14ac:dyDescent="0.45">
      <c r="A13" s="157" t="s">
        <v>912</v>
      </c>
      <c r="B13" s="171"/>
      <c r="C13" s="165"/>
      <c r="D13" s="171"/>
      <c r="E13" s="158"/>
      <c r="F13" s="171"/>
      <c r="G13" s="165"/>
      <c r="H13" s="171"/>
      <c r="I13" s="158"/>
      <c r="J13" s="180"/>
      <c r="K13" s="180"/>
      <c r="L13" s="180"/>
      <c r="M13" s="171"/>
      <c r="N13" s="158"/>
      <c r="O13" s="171"/>
      <c r="P13" s="158"/>
      <c r="Q13" s="171"/>
      <c r="R13" s="180"/>
      <c r="S13" s="158"/>
      <c r="T13" s="171"/>
      <c r="U13" s="158"/>
      <c r="V13" s="171"/>
      <c r="W13" s="155">
        <f t="shared" si="0"/>
        <v>0</v>
      </c>
      <c r="X13" s="155">
        <f t="shared" si="1"/>
        <v>0</v>
      </c>
      <c r="Y13" s="155">
        <f>IF(MatchDay!$C$2="LOWER",COUNTA(F13:H13),0)</f>
        <v>0</v>
      </c>
      <c r="AA13" s="157" t="s">
        <v>912</v>
      </c>
      <c r="AB13" s="177"/>
      <c r="AC13" s="165"/>
      <c r="AD13" s="177"/>
      <c r="AE13" s="158"/>
      <c r="AF13" s="177"/>
      <c r="AG13" s="165"/>
      <c r="AH13" s="177"/>
      <c r="AI13" s="158"/>
      <c r="AJ13" s="180"/>
      <c r="AK13" s="180"/>
      <c r="AL13" s="180"/>
      <c r="AM13" s="177"/>
      <c r="AN13" s="158"/>
      <c r="AO13" s="177"/>
      <c r="AP13" s="158"/>
      <c r="AQ13" s="177"/>
      <c r="AR13" s="180"/>
      <c r="AS13" s="158"/>
      <c r="AT13" s="177"/>
      <c r="AU13" s="158"/>
      <c r="AV13" s="177"/>
      <c r="AW13" s="155">
        <f t="shared" si="2"/>
        <v>0</v>
      </c>
      <c r="AX13" s="155">
        <f t="shared" si="3"/>
        <v>0</v>
      </c>
      <c r="AY13" s="155">
        <f>IF(MatchDay!$C$2="LOWER",COUNTA(AF13:AH13),0)</f>
        <v>0</v>
      </c>
      <c r="BA13" s="157" t="s">
        <v>912</v>
      </c>
      <c r="BB13" s="171"/>
      <c r="BC13" s="165"/>
      <c r="BD13" s="171"/>
      <c r="BE13" s="158"/>
      <c r="BF13" s="171"/>
      <c r="BG13" s="165"/>
      <c r="BH13" s="171"/>
      <c r="BI13" s="158"/>
      <c r="BJ13" s="180"/>
      <c r="BK13" s="180"/>
      <c r="BL13" s="180"/>
      <c r="BM13" s="171"/>
      <c r="BN13" s="158"/>
      <c r="BO13" s="171"/>
      <c r="BP13" s="158"/>
      <c r="BQ13" s="171"/>
      <c r="BR13" s="180"/>
      <c r="BS13" s="158"/>
      <c r="BT13" s="171"/>
      <c r="BU13" s="158"/>
      <c r="BV13" s="171"/>
      <c r="BW13" s="155">
        <f t="shared" si="4"/>
        <v>0</v>
      </c>
      <c r="BX13" s="155">
        <f t="shared" si="5"/>
        <v>0</v>
      </c>
      <c r="BY13" s="155">
        <f>IF(MatchDay!$C$2="LOWER",COUNTA(BF13:BH13),0)</f>
        <v>0</v>
      </c>
      <c r="CA13" s="157" t="s">
        <v>912</v>
      </c>
      <c r="CB13" s="177"/>
      <c r="CC13" s="165"/>
      <c r="CD13" s="177"/>
      <c r="CE13" s="158"/>
      <c r="CF13" s="177"/>
      <c r="CG13" s="165"/>
      <c r="CH13" s="177"/>
      <c r="CI13" s="158"/>
      <c r="CJ13" s="180"/>
      <c r="CK13" s="180"/>
      <c r="CL13" s="180"/>
      <c r="CM13" s="177"/>
      <c r="CN13" s="158"/>
      <c r="CO13" s="177"/>
      <c r="CP13" s="158"/>
      <c r="CQ13" s="177"/>
      <c r="CR13" s="180"/>
      <c r="CS13" s="158"/>
      <c r="CT13" s="177"/>
      <c r="CU13" s="158"/>
      <c r="CV13" s="177"/>
      <c r="CW13" s="155">
        <f t="shared" si="6"/>
        <v>0</v>
      </c>
      <c r="CX13" s="155">
        <f t="shared" si="7"/>
        <v>0</v>
      </c>
      <c r="CY13" s="155">
        <f>IF(MatchDay!$C$2="LOWER",COUNTA(CF13:CH13),0)</f>
        <v>0</v>
      </c>
      <c r="DA13" s="157" t="s">
        <v>912</v>
      </c>
      <c r="DB13" s="171"/>
      <c r="DC13" s="165"/>
      <c r="DD13" s="171"/>
      <c r="DE13" s="158"/>
      <c r="DF13" s="171"/>
      <c r="DG13" s="165"/>
      <c r="DH13" s="171"/>
      <c r="DI13" s="158"/>
      <c r="DJ13" s="180"/>
      <c r="DK13" s="180"/>
      <c r="DL13" s="180"/>
      <c r="DM13" s="171"/>
      <c r="DN13" s="158"/>
      <c r="DO13" s="171"/>
      <c r="DP13" s="158"/>
      <c r="DQ13" s="171"/>
      <c r="DR13" s="180"/>
      <c r="DS13" s="158"/>
      <c r="DT13" s="171"/>
      <c r="DU13" s="158"/>
      <c r="DV13" s="171"/>
      <c r="DW13" s="155">
        <f t="shared" si="8"/>
        <v>0</v>
      </c>
      <c r="DX13" s="155">
        <f t="shared" si="9"/>
        <v>0</v>
      </c>
      <c r="DY13" s="155">
        <f>IF(MatchDay!$C$2="LOWER",COUNTA(DF13:DH13),0)</f>
        <v>0</v>
      </c>
      <c r="EA13" s="157" t="s">
        <v>912</v>
      </c>
      <c r="EB13" s="177"/>
      <c r="EC13" s="165"/>
      <c r="ED13" s="177"/>
      <c r="EE13" s="158"/>
      <c r="EF13" s="177"/>
      <c r="EG13" s="165"/>
      <c r="EH13" s="177"/>
      <c r="EI13" s="158"/>
      <c r="EJ13" s="180"/>
      <c r="EK13" s="180"/>
      <c r="EL13" s="180"/>
      <c r="EM13" s="177"/>
      <c r="EN13" s="158"/>
      <c r="EO13" s="177"/>
      <c r="EP13" s="158"/>
      <c r="EQ13" s="177"/>
      <c r="ER13" s="180"/>
      <c r="ES13" s="158"/>
      <c r="ET13" s="177"/>
      <c r="EU13" s="158"/>
      <c r="EV13" s="177"/>
      <c r="EW13" s="155">
        <f t="shared" si="10"/>
        <v>0</v>
      </c>
      <c r="EX13" s="155">
        <f t="shared" si="11"/>
        <v>0</v>
      </c>
      <c r="EY13" s="155">
        <f>IF(MatchDay!$C$2="LOWER",COUNTA(EF13:EH13),0)</f>
        <v>0</v>
      </c>
      <c r="FA13" s="157" t="s">
        <v>912</v>
      </c>
      <c r="FB13" s="171"/>
      <c r="FC13" s="165"/>
      <c r="FD13" s="171"/>
      <c r="FE13" s="158"/>
      <c r="FF13" s="171"/>
      <c r="FG13" s="165"/>
      <c r="FH13" s="171"/>
      <c r="FI13" s="158"/>
      <c r="FJ13" s="180"/>
      <c r="FK13" s="180"/>
      <c r="FL13" s="180"/>
      <c r="FM13" s="171"/>
      <c r="FN13" s="158"/>
      <c r="FO13" s="171"/>
      <c r="FP13" s="158"/>
      <c r="FQ13" s="171"/>
      <c r="FR13" s="180"/>
      <c r="FS13" s="158"/>
      <c r="FT13" s="171"/>
      <c r="FU13" s="158"/>
      <c r="FV13" s="171"/>
      <c r="FW13" s="155">
        <f t="shared" si="12"/>
        <v>0</v>
      </c>
      <c r="FX13" s="155">
        <f t="shared" si="13"/>
        <v>0</v>
      </c>
      <c r="FY13" s="155">
        <f>IF(MatchDay!$C$2="LOWER",COUNTA(FF13:FH13),0)</f>
        <v>0</v>
      </c>
      <c r="GA13" s="157" t="s">
        <v>912</v>
      </c>
      <c r="GB13" s="177"/>
      <c r="GC13" s="165"/>
      <c r="GD13" s="177"/>
      <c r="GE13" s="158"/>
      <c r="GF13" s="177"/>
      <c r="GG13" s="165"/>
      <c r="GH13" s="177"/>
      <c r="GI13" s="158"/>
      <c r="GJ13" s="180"/>
      <c r="GK13" s="180"/>
      <c r="GL13" s="180"/>
      <c r="GM13" s="177"/>
      <c r="GN13" s="158"/>
      <c r="GO13" s="177"/>
      <c r="GP13" s="158"/>
      <c r="GQ13" s="177"/>
      <c r="GR13" s="180"/>
      <c r="GS13" s="158"/>
      <c r="GT13" s="177"/>
      <c r="GU13" s="158"/>
      <c r="GV13" s="177"/>
      <c r="GW13" s="155">
        <f t="shared" si="14"/>
        <v>0</v>
      </c>
      <c r="GX13" s="155">
        <f t="shared" si="15"/>
        <v>0</v>
      </c>
      <c r="GY13" s="155">
        <f>IF(MatchDay!$C$2="LOWER",COUNTA(GF13:GH13),0)</f>
        <v>0</v>
      </c>
    </row>
    <row r="14" spans="1:207" ht="16.5" customHeight="1" x14ac:dyDescent="0.45">
      <c r="A14" s="157" t="s">
        <v>912</v>
      </c>
      <c r="B14" s="171"/>
      <c r="C14" s="165"/>
      <c r="D14" s="171"/>
      <c r="E14" s="158"/>
      <c r="F14" s="171"/>
      <c r="G14" s="165"/>
      <c r="H14" s="171"/>
      <c r="I14" s="158"/>
      <c r="J14" s="180"/>
      <c r="K14" s="180"/>
      <c r="L14" s="180"/>
      <c r="M14" s="171"/>
      <c r="N14" s="158"/>
      <c r="O14" s="171"/>
      <c r="P14" s="158"/>
      <c r="Q14" s="171"/>
      <c r="R14" s="180"/>
      <c r="S14" s="158"/>
      <c r="T14" s="171"/>
      <c r="U14" s="158"/>
      <c r="V14" s="171"/>
      <c r="W14" s="155">
        <f t="shared" si="0"/>
        <v>0</v>
      </c>
      <c r="X14" s="155">
        <f t="shared" si="1"/>
        <v>0</v>
      </c>
      <c r="Y14" s="155">
        <f>IF(MatchDay!$C$2="LOWER",COUNTA(F14:H14),0)</f>
        <v>0</v>
      </c>
      <c r="AA14" s="157" t="s">
        <v>912</v>
      </c>
      <c r="AB14" s="177"/>
      <c r="AC14" s="165"/>
      <c r="AD14" s="177"/>
      <c r="AE14" s="158"/>
      <c r="AF14" s="177"/>
      <c r="AG14" s="165"/>
      <c r="AH14" s="177"/>
      <c r="AI14" s="158"/>
      <c r="AJ14" s="180"/>
      <c r="AK14" s="180"/>
      <c r="AL14" s="180"/>
      <c r="AM14" s="177"/>
      <c r="AN14" s="158"/>
      <c r="AO14" s="177"/>
      <c r="AP14" s="158"/>
      <c r="AQ14" s="177"/>
      <c r="AR14" s="180"/>
      <c r="AS14" s="158"/>
      <c r="AT14" s="177"/>
      <c r="AU14" s="158"/>
      <c r="AV14" s="177"/>
      <c r="AW14" s="155">
        <f t="shared" si="2"/>
        <v>0</v>
      </c>
      <c r="AX14" s="155">
        <f t="shared" si="3"/>
        <v>0</v>
      </c>
      <c r="AY14" s="155">
        <f>IF(MatchDay!$C$2="LOWER",COUNTA(AF14:AH14),0)</f>
        <v>0</v>
      </c>
      <c r="BA14" s="157" t="s">
        <v>912</v>
      </c>
      <c r="BB14" s="171"/>
      <c r="BC14" s="165"/>
      <c r="BD14" s="171"/>
      <c r="BE14" s="158"/>
      <c r="BF14" s="171"/>
      <c r="BG14" s="165"/>
      <c r="BH14" s="171"/>
      <c r="BI14" s="158"/>
      <c r="BJ14" s="180"/>
      <c r="BK14" s="180"/>
      <c r="BL14" s="180"/>
      <c r="BM14" s="171"/>
      <c r="BN14" s="158"/>
      <c r="BO14" s="171"/>
      <c r="BP14" s="158"/>
      <c r="BQ14" s="171"/>
      <c r="BR14" s="180"/>
      <c r="BS14" s="158"/>
      <c r="BT14" s="171"/>
      <c r="BU14" s="158"/>
      <c r="BV14" s="171"/>
      <c r="BW14" s="155">
        <f t="shared" si="4"/>
        <v>0</v>
      </c>
      <c r="BX14" s="155">
        <f t="shared" si="5"/>
        <v>0</v>
      </c>
      <c r="BY14" s="155">
        <f>IF(MatchDay!$C$2="LOWER",COUNTA(BF14:BH14),0)</f>
        <v>0</v>
      </c>
      <c r="CA14" s="157" t="s">
        <v>912</v>
      </c>
      <c r="CB14" s="177"/>
      <c r="CC14" s="165"/>
      <c r="CD14" s="177"/>
      <c r="CE14" s="158"/>
      <c r="CF14" s="177"/>
      <c r="CG14" s="165"/>
      <c r="CH14" s="177"/>
      <c r="CI14" s="158"/>
      <c r="CJ14" s="180"/>
      <c r="CK14" s="180"/>
      <c r="CL14" s="180"/>
      <c r="CM14" s="177"/>
      <c r="CN14" s="158"/>
      <c r="CO14" s="177"/>
      <c r="CP14" s="158"/>
      <c r="CQ14" s="177"/>
      <c r="CR14" s="180"/>
      <c r="CS14" s="158"/>
      <c r="CT14" s="177"/>
      <c r="CU14" s="158"/>
      <c r="CV14" s="177"/>
      <c r="CW14" s="155">
        <f t="shared" si="6"/>
        <v>0</v>
      </c>
      <c r="CX14" s="155">
        <f t="shared" si="7"/>
        <v>0</v>
      </c>
      <c r="CY14" s="155">
        <f>IF(MatchDay!$C$2="LOWER",COUNTA(CF14:CH14),0)</f>
        <v>0</v>
      </c>
      <c r="DA14" s="157" t="s">
        <v>912</v>
      </c>
      <c r="DB14" s="171"/>
      <c r="DC14" s="165"/>
      <c r="DD14" s="171"/>
      <c r="DE14" s="158"/>
      <c r="DF14" s="171"/>
      <c r="DG14" s="165"/>
      <c r="DH14" s="171"/>
      <c r="DI14" s="158"/>
      <c r="DJ14" s="180"/>
      <c r="DK14" s="180"/>
      <c r="DL14" s="180"/>
      <c r="DM14" s="171"/>
      <c r="DN14" s="158"/>
      <c r="DO14" s="171"/>
      <c r="DP14" s="158"/>
      <c r="DQ14" s="171"/>
      <c r="DR14" s="180"/>
      <c r="DS14" s="158"/>
      <c r="DT14" s="171"/>
      <c r="DU14" s="158"/>
      <c r="DV14" s="171"/>
      <c r="DW14" s="155">
        <f t="shared" si="8"/>
        <v>0</v>
      </c>
      <c r="DX14" s="155">
        <f t="shared" si="9"/>
        <v>0</v>
      </c>
      <c r="DY14" s="155">
        <f>IF(MatchDay!$C$2="LOWER",COUNTA(DF14:DH14),0)</f>
        <v>0</v>
      </c>
      <c r="EA14" s="157" t="s">
        <v>912</v>
      </c>
      <c r="EB14" s="177"/>
      <c r="EC14" s="165"/>
      <c r="ED14" s="177"/>
      <c r="EE14" s="158"/>
      <c r="EF14" s="177"/>
      <c r="EG14" s="165"/>
      <c r="EH14" s="177"/>
      <c r="EI14" s="158"/>
      <c r="EJ14" s="180"/>
      <c r="EK14" s="180"/>
      <c r="EL14" s="180"/>
      <c r="EM14" s="177"/>
      <c r="EN14" s="158"/>
      <c r="EO14" s="177"/>
      <c r="EP14" s="158"/>
      <c r="EQ14" s="177"/>
      <c r="ER14" s="180"/>
      <c r="ES14" s="158"/>
      <c r="ET14" s="177"/>
      <c r="EU14" s="158"/>
      <c r="EV14" s="177"/>
      <c r="EW14" s="155">
        <f t="shared" si="10"/>
        <v>0</v>
      </c>
      <c r="EX14" s="155">
        <f t="shared" si="11"/>
        <v>0</v>
      </c>
      <c r="EY14" s="155">
        <f>IF(MatchDay!$C$2="LOWER",COUNTA(EF14:EH14),0)</f>
        <v>0</v>
      </c>
      <c r="FA14" s="157" t="s">
        <v>912</v>
      </c>
      <c r="FB14" s="171"/>
      <c r="FC14" s="165"/>
      <c r="FD14" s="171"/>
      <c r="FE14" s="158"/>
      <c r="FF14" s="171"/>
      <c r="FG14" s="165"/>
      <c r="FH14" s="171"/>
      <c r="FI14" s="158"/>
      <c r="FJ14" s="180"/>
      <c r="FK14" s="180"/>
      <c r="FL14" s="180"/>
      <c r="FM14" s="171"/>
      <c r="FN14" s="158"/>
      <c r="FO14" s="171"/>
      <c r="FP14" s="158"/>
      <c r="FQ14" s="171"/>
      <c r="FR14" s="180"/>
      <c r="FS14" s="158"/>
      <c r="FT14" s="171"/>
      <c r="FU14" s="158"/>
      <c r="FV14" s="171"/>
      <c r="FW14" s="155">
        <f t="shared" si="12"/>
        <v>0</v>
      </c>
      <c r="FX14" s="155">
        <f t="shared" si="13"/>
        <v>0</v>
      </c>
      <c r="FY14" s="155">
        <f>IF(MatchDay!$C$2="LOWER",COUNTA(FF14:FH14),0)</f>
        <v>0</v>
      </c>
      <c r="GA14" s="157" t="s">
        <v>912</v>
      </c>
      <c r="GB14" s="177"/>
      <c r="GC14" s="165"/>
      <c r="GD14" s="177"/>
      <c r="GE14" s="158"/>
      <c r="GF14" s="177"/>
      <c r="GG14" s="165"/>
      <c r="GH14" s="177"/>
      <c r="GI14" s="158"/>
      <c r="GJ14" s="180"/>
      <c r="GK14" s="180"/>
      <c r="GL14" s="180"/>
      <c r="GM14" s="177"/>
      <c r="GN14" s="158"/>
      <c r="GO14" s="177"/>
      <c r="GP14" s="158"/>
      <c r="GQ14" s="177"/>
      <c r="GR14" s="180"/>
      <c r="GS14" s="158"/>
      <c r="GT14" s="177"/>
      <c r="GU14" s="158"/>
      <c r="GV14" s="177"/>
      <c r="GW14" s="155">
        <f t="shared" si="14"/>
        <v>0</v>
      </c>
      <c r="GX14" s="155">
        <f t="shared" si="15"/>
        <v>0</v>
      </c>
      <c r="GY14" s="155">
        <f>IF(MatchDay!$C$2="LOWER",COUNTA(GF14:GH14),0)</f>
        <v>0</v>
      </c>
    </row>
    <row r="15" spans="1:207" ht="16.5" customHeight="1" x14ac:dyDescent="0.45">
      <c r="A15" s="157" t="s">
        <v>912</v>
      </c>
      <c r="B15" s="171"/>
      <c r="C15" s="165"/>
      <c r="D15" s="171"/>
      <c r="E15" s="158"/>
      <c r="F15" s="171"/>
      <c r="G15" s="165"/>
      <c r="H15" s="171"/>
      <c r="I15" s="158"/>
      <c r="J15" s="180"/>
      <c r="K15" s="180"/>
      <c r="L15" s="180"/>
      <c r="M15" s="171"/>
      <c r="N15" s="158"/>
      <c r="O15" s="171"/>
      <c r="P15" s="158"/>
      <c r="Q15" s="171"/>
      <c r="R15" s="180"/>
      <c r="S15" s="158"/>
      <c r="T15" s="171"/>
      <c r="U15" s="158"/>
      <c r="V15" s="171"/>
      <c r="W15" s="155">
        <f t="shared" si="0"/>
        <v>0</v>
      </c>
      <c r="X15" s="155">
        <f t="shared" si="1"/>
        <v>0</v>
      </c>
      <c r="Y15" s="155">
        <f>IF(MatchDay!$C$2="LOWER",COUNTA(F15:H15),0)</f>
        <v>0</v>
      </c>
      <c r="AA15" s="157" t="s">
        <v>912</v>
      </c>
      <c r="AB15" s="177"/>
      <c r="AC15" s="165"/>
      <c r="AD15" s="177"/>
      <c r="AE15" s="158"/>
      <c r="AF15" s="177"/>
      <c r="AG15" s="165"/>
      <c r="AH15" s="177"/>
      <c r="AI15" s="158"/>
      <c r="AJ15" s="180"/>
      <c r="AK15" s="180"/>
      <c r="AL15" s="180"/>
      <c r="AM15" s="177"/>
      <c r="AN15" s="158"/>
      <c r="AO15" s="177"/>
      <c r="AP15" s="158"/>
      <c r="AQ15" s="177"/>
      <c r="AR15" s="180"/>
      <c r="AS15" s="158"/>
      <c r="AT15" s="177"/>
      <c r="AU15" s="158"/>
      <c r="AV15" s="177"/>
      <c r="AW15" s="155">
        <f t="shared" si="2"/>
        <v>0</v>
      </c>
      <c r="AX15" s="155">
        <f t="shared" si="3"/>
        <v>0</v>
      </c>
      <c r="AY15" s="155">
        <f>IF(MatchDay!$C$2="LOWER",COUNTA(AF15:AH15),0)</f>
        <v>0</v>
      </c>
      <c r="BA15" s="157" t="s">
        <v>912</v>
      </c>
      <c r="BB15" s="171"/>
      <c r="BC15" s="165"/>
      <c r="BD15" s="171"/>
      <c r="BE15" s="158"/>
      <c r="BF15" s="171"/>
      <c r="BG15" s="165"/>
      <c r="BH15" s="171"/>
      <c r="BI15" s="158"/>
      <c r="BJ15" s="180"/>
      <c r="BK15" s="180"/>
      <c r="BL15" s="180"/>
      <c r="BM15" s="171"/>
      <c r="BN15" s="158"/>
      <c r="BO15" s="171"/>
      <c r="BP15" s="158"/>
      <c r="BQ15" s="171"/>
      <c r="BR15" s="180"/>
      <c r="BS15" s="158"/>
      <c r="BT15" s="171"/>
      <c r="BU15" s="158"/>
      <c r="BV15" s="171"/>
      <c r="BW15" s="155">
        <f t="shared" si="4"/>
        <v>0</v>
      </c>
      <c r="BX15" s="155">
        <f t="shared" si="5"/>
        <v>0</v>
      </c>
      <c r="BY15" s="155">
        <f>IF(MatchDay!$C$2="LOWER",COUNTA(BF15:BH15),0)</f>
        <v>0</v>
      </c>
      <c r="CA15" s="157" t="s">
        <v>912</v>
      </c>
      <c r="CB15" s="177"/>
      <c r="CC15" s="165"/>
      <c r="CD15" s="177"/>
      <c r="CE15" s="158"/>
      <c r="CF15" s="177"/>
      <c r="CG15" s="165"/>
      <c r="CH15" s="177"/>
      <c r="CI15" s="158"/>
      <c r="CJ15" s="180"/>
      <c r="CK15" s="180"/>
      <c r="CL15" s="180"/>
      <c r="CM15" s="177"/>
      <c r="CN15" s="158"/>
      <c r="CO15" s="177"/>
      <c r="CP15" s="158"/>
      <c r="CQ15" s="177"/>
      <c r="CR15" s="180"/>
      <c r="CS15" s="158"/>
      <c r="CT15" s="177"/>
      <c r="CU15" s="158"/>
      <c r="CV15" s="177"/>
      <c r="CW15" s="155">
        <f t="shared" si="6"/>
        <v>0</v>
      </c>
      <c r="CX15" s="155">
        <f t="shared" si="7"/>
        <v>0</v>
      </c>
      <c r="CY15" s="155">
        <f>IF(MatchDay!$C$2="LOWER",COUNTA(CF15:CH15),0)</f>
        <v>0</v>
      </c>
      <c r="DA15" s="157" t="s">
        <v>912</v>
      </c>
      <c r="DB15" s="171"/>
      <c r="DC15" s="165"/>
      <c r="DD15" s="171"/>
      <c r="DE15" s="158"/>
      <c r="DF15" s="171"/>
      <c r="DG15" s="165"/>
      <c r="DH15" s="171"/>
      <c r="DI15" s="158"/>
      <c r="DJ15" s="180"/>
      <c r="DK15" s="180"/>
      <c r="DL15" s="180"/>
      <c r="DM15" s="171"/>
      <c r="DN15" s="158"/>
      <c r="DO15" s="171"/>
      <c r="DP15" s="158"/>
      <c r="DQ15" s="171"/>
      <c r="DR15" s="180"/>
      <c r="DS15" s="158"/>
      <c r="DT15" s="171"/>
      <c r="DU15" s="158"/>
      <c r="DV15" s="171"/>
      <c r="DW15" s="155">
        <f t="shared" si="8"/>
        <v>0</v>
      </c>
      <c r="DX15" s="155">
        <f t="shared" si="9"/>
        <v>0</v>
      </c>
      <c r="DY15" s="155">
        <f>IF(MatchDay!$C$2="LOWER",COUNTA(DF15:DH15),0)</f>
        <v>0</v>
      </c>
      <c r="EA15" s="157" t="s">
        <v>912</v>
      </c>
      <c r="EB15" s="177"/>
      <c r="EC15" s="165"/>
      <c r="ED15" s="177"/>
      <c r="EE15" s="158"/>
      <c r="EF15" s="177"/>
      <c r="EG15" s="165"/>
      <c r="EH15" s="177"/>
      <c r="EI15" s="158"/>
      <c r="EJ15" s="180"/>
      <c r="EK15" s="180"/>
      <c r="EL15" s="180"/>
      <c r="EM15" s="177"/>
      <c r="EN15" s="158"/>
      <c r="EO15" s="177"/>
      <c r="EP15" s="158"/>
      <c r="EQ15" s="177"/>
      <c r="ER15" s="180"/>
      <c r="ES15" s="158"/>
      <c r="ET15" s="177"/>
      <c r="EU15" s="158"/>
      <c r="EV15" s="177"/>
      <c r="EW15" s="155">
        <f t="shared" si="10"/>
        <v>0</v>
      </c>
      <c r="EX15" s="155">
        <f t="shared" si="11"/>
        <v>0</v>
      </c>
      <c r="EY15" s="155">
        <f>IF(MatchDay!$C$2="LOWER",COUNTA(EF15:EH15),0)</f>
        <v>0</v>
      </c>
      <c r="FA15" s="157" t="s">
        <v>912</v>
      </c>
      <c r="FB15" s="171"/>
      <c r="FC15" s="165"/>
      <c r="FD15" s="171"/>
      <c r="FE15" s="158"/>
      <c r="FF15" s="171"/>
      <c r="FG15" s="165"/>
      <c r="FH15" s="171"/>
      <c r="FI15" s="158"/>
      <c r="FJ15" s="180"/>
      <c r="FK15" s="180"/>
      <c r="FL15" s="180"/>
      <c r="FM15" s="171"/>
      <c r="FN15" s="158"/>
      <c r="FO15" s="171"/>
      <c r="FP15" s="158"/>
      <c r="FQ15" s="171"/>
      <c r="FR15" s="180"/>
      <c r="FS15" s="158"/>
      <c r="FT15" s="171"/>
      <c r="FU15" s="158"/>
      <c r="FV15" s="171"/>
      <c r="FW15" s="155">
        <f t="shared" si="12"/>
        <v>0</v>
      </c>
      <c r="FX15" s="155">
        <f t="shared" si="13"/>
        <v>0</v>
      </c>
      <c r="FY15" s="155">
        <f>IF(MatchDay!$C$2="LOWER",COUNTA(FF15:FH15),0)</f>
        <v>0</v>
      </c>
      <c r="GA15" s="157" t="s">
        <v>912</v>
      </c>
      <c r="GB15" s="177"/>
      <c r="GC15" s="165"/>
      <c r="GD15" s="177"/>
      <c r="GE15" s="158"/>
      <c r="GF15" s="177"/>
      <c r="GG15" s="165"/>
      <c r="GH15" s="177"/>
      <c r="GI15" s="158"/>
      <c r="GJ15" s="180"/>
      <c r="GK15" s="180"/>
      <c r="GL15" s="180"/>
      <c r="GM15" s="177"/>
      <c r="GN15" s="158"/>
      <c r="GO15" s="177"/>
      <c r="GP15" s="158"/>
      <c r="GQ15" s="177"/>
      <c r="GR15" s="180"/>
      <c r="GS15" s="158"/>
      <c r="GT15" s="177"/>
      <c r="GU15" s="158"/>
      <c r="GV15" s="177"/>
      <c r="GW15" s="155">
        <f t="shared" si="14"/>
        <v>0</v>
      </c>
      <c r="GX15" s="155">
        <f t="shared" si="15"/>
        <v>0</v>
      </c>
      <c r="GY15" s="155">
        <f>IF(MatchDay!$C$2="LOWER",COUNTA(GF15:GH15),0)</f>
        <v>0</v>
      </c>
    </row>
    <row r="16" spans="1:207" ht="16.5" customHeight="1" x14ac:dyDescent="0.45">
      <c r="A16" s="157" t="s">
        <v>912</v>
      </c>
      <c r="B16" s="171"/>
      <c r="C16" s="165"/>
      <c r="D16" s="171"/>
      <c r="E16" s="158"/>
      <c r="F16" s="171"/>
      <c r="G16" s="165"/>
      <c r="H16" s="171"/>
      <c r="I16" s="158"/>
      <c r="J16" s="180"/>
      <c r="K16" s="180"/>
      <c r="L16" s="180"/>
      <c r="M16" s="171"/>
      <c r="N16" s="158"/>
      <c r="O16" s="171"/>
      <c r="P16" s="158"/>
      <c r="Q16" s="171"/>
      <c r="R16" s="180"/>
      <c r="S16" s="158"/>
      <c r="T16" s="171"/>
      <c r="U16" s="158"/>
      <c r="V16" s="171"/>
      <c r="W16" s="155">
        <f t="shared" si="0"/>
        <v>0</v>
      </c>
      <c r="X16" s="155">
        <f t="shared" si="1"/>
        <v>0</v>
      </c>
      <c r="Y16" s="155">
        <f>IF(MatchDay!$C$2="LOWER",COUNTA(F16:H16),0)</f>
        <v>0</v>
      </c>
      <c r="AA16" s="157" t="s">
        <v>912</v>
      </c>
      <c r="AB16" s="177"/>
      <c r="AC16" s="165"/>
      <c r="AD16" s="177"/>
      <c r="AE16" s="158"/>
      <c r="AF16" s="177"/>
      <c r="AG16" s="165"/>
      <c r="AH16" s="177"/>
      <c r="AI16" s="158"/>
      <c r="AJ16" s="180"/>
      <c r="AK16" s="180"/>
      <c r="AL16" s="180"/>
      <c r="AM16" s="177"/>
      <c r="AN16" s="158"/>
      <c r="AO16" s="177"/>
      <c r="AP16" s="158"/>
      <c r="AQ16" s="177"/>
      <c r="AR16" s="180"/>
      <c r="AS16" s="158"/>
      <c r="AT16" s="177"/>
      <c r="AU16" s="158"/>
      <c r="AV16" s="177"/>
      <c r="AW16" s="155">
        <f t="shared" si="2"/>
        <v>0</v>
      </c>
      <c r="AX16" s="155">
        <f t="shared" si="3"/>
        <v>0</v>
      </c>
      <c r="AY16" s="155">
        <f>IF(MatchDay!$C$2="LOWER",COUNTA(AF16:AH16),0)</f>
        <v>0</v>
      </c>
      <c r="BA16" s="157" t="s">
        <v>912</v>
      </c>
      <c r="BB16" s="171"/>
      <c r="BC16" s="165"/>
      <c r="BD16" s="171"/>
      <c r="BE16" s="158"/>
      <c r="BF16" s="171"/>
      <c r="BG16" s="165"/>
      <c r="BH16" s="171"/>
      <c r="BI16" s="158"/>
      <c r="BJ16" s="180"/>
      <c r="BK16" s="180"/>
      <c r="BL16" s="180"/>
      <c r="BM16" s="171"/>
      <c r="BN16" s="158"/>
      <c r="BO16" s="171"/>
      <c r="BP16" s="158"/>
      <c r="BQ16" s="171"/>
      <c r="BR16" s="180"/>
      <c r="BS16" s="158"/>
      <c r="BT16" s="171"/>
      <c r="BU16" s="158"/>
      <c r="BV16" s="171"/>
      <c r="BW16" s="155">
        <f t="shared" si="4"/>
        <v>0</v>
      </c>
      <c r="BX16" s="155">
        <f t="shared" si="5"/>
        <v>0</v>
      </c>
      <c r="BY16" s="155">
        <f>IF(MatchDay!$C$2="LOWER",COUNTA(BF16:BH16),0)</f>
        <v>0</v>
      </c>
      <c r="CA16" s="157" t="s">
        <v>912</v>
      </c>
      <c r="CB16" s="177"/>
      <c r="CC16" s="165"/>
      <c r="CD16" s="177"/>
      <c r="CE16" s="158"/>
      <c r="CF16" s="177"/>
      <c r="CG16" s="165"/>
      <c r="CH16" s="177"/>
      <c r="CI16" s="158"/>
      <c r="CJ16" s="180"/>
      <c r="CK16" s="180"/>
      <c r="CL16" s="180"/>
      <c r="CM16" s="177"/>
      <c r="CN16" s="158"/>
      <c r="CO16" s="177"/>
      <c r="CP16" s="158"/>
      <c r="CQ16" s="177"/>
      <c r="CR16" s="180"/>
      <c r="CS16" s="158"/>
      <c r="CT16" s="177"/>
      <c r="CU16" s="158"/>
      <c r="CV16" s="177"/>
      <c r="CW16" s="155">
        <f t="shared" si="6"/>
        <v>0</v>
      </c>
      <c r="CX16" s="155">
        <f t="shared" si="7"/>
        <v>0</v>
      </c>
      <c r="CY16" s="155">
        <f>IF(MatchDay!$C$2="LOWER",COUNTA(CF16:CH16),0)</f>
        <v>0</v>
      </c>
      <c r="DA16" s="157" t="s">
        <v>912</v>
      </c>
      <c r="DB16" s="171"/>
      <c r="DC16" s="165"/>
      <c r="DD16" s="171"/>
      <c r="DE16" s="158"/>
      <c r="DF16" s="171"/>
      <c r="DG16" s="165"/>
      <c r="DH16" s="171"/>
      <c r="DI16" s="158"/>
      <c r="DJ16" s="180"/>
      <c r="DK16" s="180"/>
      <c r="DL16" s="180"/>
      <c r="DM16" s="171"/>
      <c r="DN16" s="158"/>
      <c r="DO16" s="171"/>
      <c r="DP16" s="158"/>
      <c r="DQ16" s="171"/>
      <c r="DR16" s="180"/>
      <c r="DS16" s="158"/>
      <c r="DT16" s="171"/>
      <c r="DU16" s="158"/>
      <c r="DV16" s="171"/>
      <c r="DW16" s="155">
        <f t="shared" si="8"/>
        <v>0</v>
      </c>
      <c r="DX16" s="155">
        <f t="shared" si="9"/>
        <v>0</v>
      </c>
      <c r="DY16" s="155">
        <f>IF(MatchDay!$C$2="LOWER",COUNTA(DF16:DH16),0)</f>
        <v>0</v>
      </c>
      <c r="EA16" s="157" t="s">
        <v>912</v>
      </c>
      <c r="EB16" s="177"/>
      <c r="EC16" s="165"/>
      <c r="ED16" s="177"/>
      <c r="EE16" s="158"/>
      <c r="EF16" s="177"/>
      <c r="EG16" s="165"/>
      <c r="EH16" s="177"/>
      <c r="EI16" s="158"/>
      <c r="EJ16" s="180"/>
      <c r="EK16" s="180"/>
      <c r="EL16" s="180"/>
      <c r="EM16" s="177"/>
      <c r="EN16" s="158"/>
      <c r="EO16" s="177"/>
      <c r="EP16" s="158"/>
      <c r="EQ16" s="177"/>
      <c r="ER16" s="180"/>
      <c r="ES16" s="158"/>
      <c r="ET16" s="177"/>
      <c r="EU16" s="158"/>
      <c r="EV16" s="177"/>
      <c r="EW16" s="155">
        <f t="shared" si="10"/>
        <v>0</v>
      </c>
      <c r="EX16" s="155">
        <f t="shared" si="11"/>
        <v>0</v>
      </c>
      <c r="EY16" s="155">
        <f>IF(MatchDay!$C$2="LOWER",COUNTA(EF16:EH16),0)</f>
        <v>0</v>
      </c>
      <c r="FA16" s="157" t="s">
        <v>912</v>
      </c>
      <c r="FB16" s="171"/>
      <c r="FC16" s="165"/>
      <c r="FD16" s="171"/>
      <c r="FE16" s="158"/>
      <c r="FF16" s="171"/>
      <c r="FG16" s="165"/>
      <c r="FH16" s="171"/>
      <c r="FI16" s="158"/>
      <c r="FJ16" s="180"/>
      <c r="FK16" s="180"/>
      <c r="FL16" s="180"/>
      <c r="FM16" s="171"/>
      <c r="FN16" s="158"/>
      <c r="FO16" s="171"/>
      <c r="FP16" s="158"/>
      <c r="FQ16" s="171"/>
      <c r="FR16" s="180"/>
      <c r="FS16" s="158"/>
      <c r="FT16" s="171"/>
      <c r="FU16" s="158"/>
      <c r="FV16" s="171"/>
      <c r="FW16" s="155">
        <f t="shared" si="12"/>
        <v>0</v>
      </c>
      <c r="FX16" s="155">
        <f t="shared" si="13"/>
        <v>0</v>
      </c>
      <c r="FY16" s="155">
        <f>IF(MatchDay!$C$2="LOWER",COUNTA(FF16:FH16),0)</f>
        <v>0</v>
      </c>
      <c r="GA16" s="157" t="s">
        <v>912</v>
      </c>
      <c r="GB16" s="177"/>
      <c r="GC16" s="165"/>
      <c r="GD16" s="177"/>
      <c r="GE16" s="158"/>
      <c r="GF16" s="177"/>
      <c r="GG16" s="165"/>
      <c r="GH16" s="177"/>
      <c r="GI16" s="158"/>
      <c r="GJ16" s="180"/>
      <c r="GK16" s="180"/>
      <c r="GL16" s="180"/>
      <c r="GM16" s="177"/>
      <c r="GN16" s="158"/>
      <c r="GO16" s="177"/>
      <c r="GP16" s="158"/>
      <c r="GQ16" s="177"/>
      <c r="GR16" s="180"/>
      <c r="GS16" s="158"/>
      <c r="GT16" s="177"/>
      <c r="GU16" s="158"/>
      <c r="GV16" s="177"/>
      <c r="GW16" s="155">
        <f t="shared" si="14"/>
        <v>0</v>
      </c>
      <c r="GX16" s="155">
        <f t="shared" si="15"/>
        <v>0</v>
      </c>
      <c r="GY16" s="155">
        <f>IF(MatchDay!$C$2="LOWER",COUNTA(GF16:GH16),0)</f>
        <v>0</v>
      </c>
    </row>
    <row r="17" spans="1:207" ht="16.5" customHeight="1" x14ac:dyDescent="0.45">
      <c r="A17" s="157" t="s">
        <v>912</v>
      </c>
      <c r="B17" s="171"/>
      <c r="C17" s="165"/>
      <c r="D17" s="171"/>
      <c r="E17" s="158"/>
      <c r="F17" s="171"/>
      <c r="G17" s="165"/>
      <c r="H17" s="171"/>
      <c r="I17" s="158"/>
      <c r="J17" s="180"/>
      <c r="K17" s="180"/>
      <c r="L17" s="180"/>
      <c r="M17" s="171"/>
      <c r="N17" s="158"/>
      <c r="O17" s="171"/>
      <c r="P17" s="158"/>
      <c r="Q17" s="171"/>
      <c r="R17" s="180"/>
      <c r="S17" s="158"/>
      <c r="T17" s="171"/>
      <c r="U17" s="158"/>
      <c r="V17" s="171"/>
      <c r="W17" s="155">
        <f t="shared" si="0"/>
        <v>0</v>
      </c>
      <c r="X17" s="155">
        <f t="shared" si="1"/>
        <v>0</v>
      </c>
      <c r="Y17" s="155">
        <f>IF(MatchDay!$C$2="LOWER",COUNTA(F17:H17),0)</f>
        <v>0</v>
      </c>
      <c r="AA17" s="157" t="s">
        <v>912</v>
      </c>
      <c r="AB17" s="177"/>
      <c r="AC17" s="165"/>
      <c r="AD17" s="177"/>
      <c r="AE17" s="158"/>
      <c r="AF17" s="177"/>
      <c r="AG17" s="165"/>
      <c r="AH17" s="177"/>
      <c r="AI17" s="158"/>
      <c r="AJ17" s="180"/>
      <c r="AK17" s="180"/>
      <c r="AL17" s="180"/>
      <c r="AM17" s="177"/>
      <c r="AN17" s="158"/>
      <c r="AO17" s="177"/>
      <c r="AP17" s="158"/>
      <c r="AQ17" s="177"/>
      <c r="AR17" s="180"/>
      <c r="AS17" s="158"/>
      <c r="AT17" s="177"/>
      <c r="AU17" s="158"/>
      <c r="AV17" s="177"/>
      <c r="AW17" s="155">
        <f t="shared" si="2"/>
        <v>0</v>
      </c>
      <c r="AX17" s="155">
        <f t="shared" si="3"/>
        <v>0</v>
      </c>
      <c r="AY17" s="155">
        <f>IF(MatchDay!$C$2="LOWER",COUNTA(AF17:AH17),0)</f>
        <v>0</v>
      </c>
      <c r="BA17" s="157" t="s">
        <v>912</v>
      </c>
      <c r="BB17" s="171"/>
      <c r="BC17" s="165"/>
      <c r="BD17" s="171"/>
      <c r="BE17" s="158"/>
      <c r="BF17" s="171"/>
      <c r="BG17" s="165"/>
      <c r="BH17" s="171"/>
      <c r="BI17" s="158"/>
      <c r="BJ17" s="180"/>
      <c r="BK17" s="180"/>
      <c r="BL17" s="180"/>
      <c r="BM17" s="171"/>
      <c r="BN17" s="158"/>
      <c r="BO17" s="171"/>
      <c r="BP17" s="158"/>
      <c r="BQ17" s="171"/>
      <c r="BR17" s="180"/>
      <c r="BS17" s="158"/>
      <c r="BT17" s="171"/>
      <c r="BU17" s="158"/>
      <c r="BV17" s="171"/>
      <c r="BW17" s="155">
        <f t="shared" si="4"/>
        <v>0</v>
      </c>
      <c r="BX17" s="155">
        <f t="shared" si="5"/>
        <v>0</v>
      </c>
      <c r="BY17" s="155">
        <f>IF(MatchDay!$C$2="LOWER",COUNTA(BF17:BH17),0)</f>
        <v>0</v>
      </c>
      <c r="CA17" s="157" t="s">
        <v>912</v>
      </c>
      <c r="CB17" s="177"/>
      <c r="CC17" s="165"/>
      <c r="CD17" s="177"/>
      <c r="CE17" s="158"/>
      <c r="CF17" s="177"/>
      <c r="CG17" s="165"/>
      <c r="CH17" s="177"/>
      <c r="CI17" s="158"/>
      <c r="CJ17" s="180"/>
      <c r="CK17" s="180"/>
      <c r="CL17" s="180"/>
      <c r="CM17" s="177"/>
      <c r="CN17" s="158"/>
      <c r="CO17" s="177"/>
      <c r="CP17" s="158"/>
      <c r="CQ17" s="177"/>
      <c r="CR17" s="180"/>
      <c r="CS17" s="158"/>
      <c r="CT17" s="177"/>
      <c r="CU17" s="158"/>
      <c r="CV17" s="177"/>
      <c r="CW17" s="155">
        <f t="shared" si="6"/>
        <v>0</v>
      </c>
      <c r="CX17" s="155">
        <f t="shared" si="7"/>
        <v>0</v>
      </c>
      <c r="CY17" s="155">
        <f>IF(MatchDay!$C$2="LOWER",COUNTA(CF17:CH17),0)</f>
        <v>0</v>
      </c>
      <c r="DA17" s="157" t="s">
        <v>912</v>
      </c>
      <c r="DB17" s="171"/>
      <c r="DC17" s="165"/>
      <c r="DD17" s="171"/>
      <c r="DE17" s="158"/>
      <c r="DF17" s="171"/>
      <c r="DG17" s="165"/>
      <c r="DH17" s="171"/>
      <c r="DI17" s="158"/>
      <c r="DJ17" s="180"/>
      <c r="DK17" s="180"/>
      <c r="DL17" s="180"/>
      <c r="DM17" s="171"/>
      <c r="DN17" s="158"/>
      <c r="DO17" s="171"/>
      <c r="DP17" s="158"/>
      <c r="DQ17" s="171"/>
      <c r="DR17" s="180"/>
      <c r="DS17" s="158"/>
      <c r="DT17" s="171"/>
      <c r="DU17" s="158"/>
      <c r="DV17" s="171"/>
      <c r="DW17" s="155">
        <f t="shared" si="8"/>
        <v>0</v>
      </c>
      <c r="DX17" s="155">
        <f t="shared" si="9"/>
        <v>0</v>
      </c>
      <c r="DY17" s="155">
        <f>IF(MatchDay!$C$2="LOWER",COUNTA(DF17:DH17),0)</f>
        <v>0</v>
      </c>
      <c r="EA17" s="157" t="s">
        <v>912</v>
      </c>
      <c r="EB17" s="177"/>
      <c r="EC17" s="165"/>
      <c r="ED17" s="177"/>
      <c r="EE17" s="158"/>
      <c r="EF17" s="177"/>
      <c r="EG17" s="165"/>
      <c r="EH17" s="177"/>
      <c r="EI17" s="158"/>
      <c r="EJ17" s="180"/>
      <c r="EK17" s="180"/>
      <c r="EL17" s="180"/>
      <c r="EM17" s="177"/>
      <c r="EN17" s="158"/>
      <c r="EO17" s="177"/>
      <c r="EP17" s="158"/>
      <c r="EQ17" s="177"/>
      <c r="ER17" s="180"/>
      <c r="ES17" s="158"/>
      <c r="ET17" s="177"/>
      <c r="EU17" s="158"/>
      <c r="EV17" s="177"/>
      <c r="EW17" s="155">
        <f t="shared" si="10"/>
        <v>0</v>
      </c>
      <c r="EX17" s="155">
        <f t="shared" si="11"/>
        <v>0</v>
      </c>
      <c r="EY17" s="155">
        <f>IF(MatchDay!$C$2="LOWER",COUNTA(EF17:EH17),0)</f>
        <v>0</v>
      </c>
      <c r="FA17" s="157" t="s">
        <v>912</v>
      </c>
      <c r="FB17" s="171"/>
      <c r="FC17" s="165"/>
      <c r="FD17" s="171"/>
      <c r="FE17" s="158"/>
      <c r="FF17" s="171"/>
      <c r="FG17" s="165"/>
      <c r="FH17" s="171"/>
      <c r="FI17" s="158"/>
      <c r="FJ17" s="180"/>
      <c r="FK17" s="180"/>
      <c r="FL17" s="180"/>
      <c r="FM17" s="171"/>
      <c r="FN17" s="158"/>
      <c r="FO17" s="171"/>
      <c r="FP17" s="158"/>
      <c r="FQ17" s="171"/>
      <c r="FR17" s="180"/>
      <c r="FS17" s="158"/>
      <c r="FT17" s="171"/>
      <c r="FU17" s="158"/>
      <c r="FV17" s="171"/>
      <c r="FW17" s="155">
        <f t="shared" si="12"/>
        <v>0</v>
      </c>
      <c r="FX17" s="155">
        <f t="shared" si="13"/>
        <v>0</v>
      </c>
      <c r="FY17" s="155">
        <f>IF(MatchDay!$C$2="LOWER",COUNTA(FF17:FH17),0)</f>
        <v>0</v>
      </c>
      <c r="GA17" s="157" t="s">
        <v>912</v>
      </c>
      <c r="GB17" s="177"/>
      <c r="GC17" s="165"/>
      <c r="GD17" s="177"/>
      <c r="GE17" s="158"/>
      <c r="GF17" s="177"/>
      <c r="GG17" s="165"/>
      <c r="GH17" s="177"/>
      <c r="GI17" s="158"/>
      <c r="GJ17" s="180"/>
      <c r="GK17" s="180"/>
      <c r="GL17" s="180"/>
      <c r="GM17" s="177"/>
      <c r="GN17" s="158"/>
      <c r="GO17" s="177"/>
      <c r="GP17" s="158"/>
      <c r="GQ17" s="177"/>
      <c r="GR17" s="180"/>
      <c r="GS17" s="158"/>
      <c r="GT17" s="177"/>
      <c r="GU17" s="158"/>
      <c r="GV17" s="177"/>
      <c r="GW17" s="155">
        <f t="shared" si="14"/>
        <v>0</v>
      </c>
      <c r="GX17" s="155">
        <f t="shared" si="15"/>
        <v>0</v>
      </c>
      <c r="GY17" s="155">
        <f>IF(MatchDay!$C$2="LOWER",COUNTA(GF17:GH17),0)</f>
        <v>0</v>
      </c>
    </row>
    <row r="18" spans="1:207" ht="16.5" customHeight="1" x14ac:dyDescent="0.45">
      <c r="A18" s="157" t="s">
        <v>912</v>
      </c>
      <c r="B18" s="171"/>
      <c r="C18" s="165"/>
      <c r="D18" s="171"/>
      <c r="E18" s="158"/>
      <c r="F18" s="171"/>
      <c r="G18" s="165"/>
      <c r="H18" s="171"/>
      <c r="I18" s="158"/>
      <c r="J18" s="180"/>
      <c r="K18" s="180"/>
      <c r="L18" s="180"/>
      <c r="M18" s="171"/>
      <c r="N18" s="158"/>
      <c r="O18" s="171"/>
      <c r="P18" s="158"/>
      <c r="Q18" s="171"/>
      <c r="R18" s="180"/>
      <c r="S18" s="158"/>
      <c r="T18" s="171"/>
      <c r="U18" s="158"/>
      <c r="V18" s="171"/>
      <c r="W18" s="155">
        <f t="shared" si="0"/>
        <v>0</v>
      </c>
      <c r="X18" s="155">
        <f t="shared" si="1"/>
        <v>0</v>
      </c>
      <c r="Y18" s="155">
        <f>IF(MatchDay!$C$2="LOWER",COUNTA(F18:H18),0)</f>
        <v>0</v>
      </c>
      <c r="AA18" s="157" t="s">
        <v>912</v>
      </c>
      <c r="AB18" s="177"/>
      <c r="AC18" s="165"/>
      <c r="AD18" s="177"/>
      <c r="AE18" s="158"/>
      <c r="AF18" s="177"/>
      <c r="AG18" s="165"/>
      <c r="AH18" s="177"/>
      <c r="AI18" s="158"/>
      <c r="AJ18" s="180"/>
      <c r="AK18" s="180"/>
      <c r="AL18" s="180"/>
      <c r="AM18" s="177"/>
      <c r="AN18" s="158"/>
      <c r="AO18" s="177"/>
      <c r="AP18" s="158"/>
      <c r="AQ18" s="177"/>
      <c r="AR18" s="180"/>
      <c r="AS18" s="158"/>
      <c r="AT18" s="177"/>
      <c r="AU18" s="158"/>
      <c r="AV18" s="177"/>
      <c r="AW18" s="155">
        <f t="shared" si="2"/>
        <v>0</v>
      </c>
      <c r="AX18" s="155">
        <f t="shared" si="3"/>
        <v>0</v>
      </c>
      <c r="AY18" s="155">
        <f>IF(MatchDay!$C$2="LOWER",COUNTA(AF18:AH18),0)</f>
        <v>0</v>
      </c>
      <c r="BA18" s="157" t="s">
        <v>912</v>
      </c>
      <c r="BB18" s="171"/>
      <c r="BC18" s="165"/>
      <c r="BD18" s="171"/>
      <c r="BE18" s="158"/>
      <c r="BF18" s="171"/>
      <c r="BG18" s="165"/>
      <c r="BH18" s="171"/>
      <c r="BI18" s="158"/>
      <c r="BJ18" s="180"/>
      <c r="BK18" s="180"/>
      <c r="BL18" s="180"/>
      <c r="BM18" s="171"/>
      <c r="BN18" s="158"/>
      <c r="BO18" s="171"/>
      <c r="BP18" s="158"/>
      <c r="BQ18" s="171"/>
      <c r="BR18" s="180"/>
      <c r="BS18" s="158"/>
      <c r="BT18" s="171"/>
      <c r="BU18" s="158"/>
      <c r="BV18" s="171"/>
      <c r="BW18" s="155">
        <f t="shared" si="4"/>
        <v>0</v>
      </c>
      <c r="BX18" s="155">
        <f t="shared" si="5"/>
        <v>0</v>
      </c>
      <c r="BY18" s="155">
        <f>IF(MatchDay!$C$2="LOWER",COUNTA(BF18:BH18),0)</f>
        <v>0</v>
      </c>
      <c r="CA18" s="157" t="s">
        <v>912</v>
      </c>
      <c r="CB18" s="177"/>
      <c r="CC18" s="165"/>
      <c r="CD18" s="177"/>
      <c r="CE18" s="158"/>
      <c r="CF18" s="177"/>
      <c r="CG18" s="165"/>
      <c r="CH18" s="177"/>
      <c r="CI18" s="158"/>
      <c r="CJ18" s="180"/>
      <c r="CK18" s="180"/>
      <c r="CL18" s="180"/>
      <c r="CM18" s="177"/>
      <c r="CN18" s="158"/>
      <c r="CO18" s="177"/>
      <c r="CP18" s="158"/>
      <c r="CQ18" s="177"/>
      <c r="CR18" s="180"/>
      <c r="CS18" s="158"/>
      <c r="CT18" s="177"/>
      <c r="CU18" s="158"/>
      <c r="CV18" s="177"/>
      <c r="CW18" s="155">
        <f t="shared" si="6"/>
        <v>0</v>
      </c>
      <c r="CX18" s="155">
        <f t="shared" si="7"/>
        <v>0</v>
      </c>
      <c r="CY18" s="155">
        <f>IF(MatchDay!$C$2="LOWER",COUNTA(CF18:CH18),0)</f>
        <v>0</v>
      </c>
      <c r="DA18" s="157" t="s">
        <v>912</v>
      </c>
      <c r="DB18" s="171"/>
      <c r="DC18" s="165"/>
      <c r="DD18" s="171"/>
      <c r="DE18" s="158"/>
      <c r="DF18" s="171"/>
      <c r="DG18" s="165"/>
      <c r="DH18" s="171"/>
      <c r="DI18" s="158"/>
      <c r="DJ18" s="180"/>
      <c r="DK18" s="180"/>
      <c r="DL18" s="180"/>
      <c r="DM18" s="171"/>
      <c r="DN18" s="158"/>
      <c r="DO18" s="171"/>
      <c r="DP18" s="158"/>
      <c r="DQ18" s="171"/>
      <c r="DR18" s="180"/>
      <c r="DS18" s="158"/>
      <c r="DT18" s="171"/>
      <c r="DU18" s="158"/>
      <c r="DV18" s="171"/>
      <c r="DW18" s="155">
        <f t="shared" si="8"/>
        <v>0</v>
      </c>
      <c r="DX18" s="155">
        <f t="shared" si="9"/>
        <v>0</v>
      </c>
      <c r="DY18" s="155">
        <f>IF(MatchDay!$C$2="LOWER",COUNTA(DF18:DH18),0)</f>
        <v>0</v>
      </c>
      <c r="EA18" s="157" t="s">
        <v>912</v>
      </c>
      <c r="EB18" s="177"/>
      <c r="EC18" s="165"/>
      <c r="ED18" s="177"/>
      <c r="EE18" s="158"/>
      <c r="EF18" s="177"/>
      <c r="EG18" s="165"/>
      <c r="EH18" s="177"/>
      <c r="EI18" s="158"/>
      <c r="EJ18" s="180"/>
      <c r="EK18" s="180"/>
      <c r="EL18" s="180"/>
      <c r="EM18" s="177"/>
      <c r="EN18" s="158"/>
      <c r="EO18" s="177"/>
      <c r="EP18" s="158"/>
      <c r="EQ18" s="177"/>
      <c r="ER18" s="180"/>
      <c r="ES18" s="158"/>
      <c r="ET18" s="177"/>
      <c r="EU18" s="158"/>
      <c r="EV18" s="177"/>
      <c r="EW18" s="155">
        <f t="shared" si="10"/>
        <v>0</v>
      </c>
      <c r="EX18" s="155">
        <f t="shared" si="11"/>
        <v>0</v>
      </c>
      <c r="EY18" s="155">
        <f>IF(MatchDay!$C$2="LOWER",COUNTA(EF18:EH18),0)</f>
        <v>0</v>
      </c>
      <c r="FA18" s="157" t="s">
        <v>912</v>
      </c>
      <c r="FB18" s="171"/>
      <c r="FC18" s="165"/>
      <c r="FD18" s="171"/>
      <c r="FE18" s="158"/>
      <c r="FF18" s="171"/>
      <c r="FG18" s="165"/>
      <c r="FH18" s="171"/>
      <c r="FI18" s="158"/>
      <c r="FJ18" s="180"/>
      <c r="FK18" s="180"/>
      <c r="FL18" s="180"/>
      <c r="FM18" s="171"/>
      <c r="FN18" s="158"/>
      <c r="FO18" s="171"/>
      <c r="FP18" s="158"/>
      <c r="FQ18" s="171"/>
      <c r="FR18" s="180"/>
      <c r="FS18" s="158"/>
      <c r="FT18" s="171"/>
      <c r="FU18" s="158"/>
      <c r="FV18" s="171"/>
      <c r="FW18" s="155">
        <f t="shared" si="12"/>
        <v>0</v>
      </c>
      <c r="FX18" s="155">
        <f t="shared" si="13"/>
        <v>0</v>
      </c>
      <c r="FY18" s="155">
        <f>IF(MatchDay!$C$2="LOWER",COUNTA(FF18:FH18),0)</f>
        <v>0</v>
      </c>
      <c r="GA18" s="157" t="s">
        <v>912</v>
      </c>
      <c r="GB18" s="177"/>
      <c r="GC18" s="165"/>
      <c r="GD18" s="177"/>
      <c r="GE18" s="158"/>
      <c r="GF18" s="177"/>
      <c r="GG18" s="165"/>
      <c r="GH18" s="177"/>
      <c r="GI18" s="158"/>
      <c r="GJ18" s="180"/>
      <c r="GK18" s="180"/>
      <c r="GL18" s="180"/>
      <c r="GM18" s="177"/>
      <c r="GN18" s="158"/>
      <c r="GO18" s="177"/>
      <c r="GP18" s="158"/>
      <c r="GQ18" s="177"/>
      <c r="GR18" s="180"/>
      <c r="GS18" s="158"/>
      <c r="GT18" s="177"/>
      <c r="GU18" s="158"/>
      <c r="GV18" s="177"/>
      <c r="GW18" s="155">
        <f t="shared" si="14"/>
        <v>0</v>
      </c>
      <c r="GX18" s="155">
        <f t="shared" si="15"/>
        <v>0</v>
      </c>
      <c r="GY18" s="155">
        <f>IF(MatchDay!$C$2="LOWER",COUNTA(GF18:GH18),0)</f>
        <v>0</v>
      </c>
    </row>
    <row r="19" spans="1:207" ht="16.5" customHeight="1" x14ac:dyDescent="0.45">
      <c r="A19" s="157" t="s">
        <v>912</v>
      </c>
      <c r="B19" s="171"/>
      <c r="C19" s="165"/>
      <c r="D19" s="171"/>
      <c r="E19" s="158"/>
      <c r="F19" s="171"/>
      <c r="G19" s="165"/>
      <c r="H19" s="171"/>
      <c r="I19" s="158"/>
      <c r="J19" s="180"/>
      <c r="K19" s="180"/>
      <c r="L19" s="180"/>
      <c r="M19" s="171"/>
      <c r="N19" s="158"/>
      <c r="O19" s="171"/>
      <c r="P19" s="158"/>
      <c r="Q19" s="171"/>
      <c r="R19" s="180"/>
      <c r="S19" s="158"/>
      <c r="T19" s="171"/>
      <c r="U19" s="158"/>
      <c r="V19" s="171"/>
      <c r="W19" s="155">
        <f t="shared" si="0"/>
        <v>0</v>
      </c>
      <c r="X19" s="155">
        <f t="shared" si="1"/>
        <v>0</v>
      </c>
      <c r="Y19" s="155">
        <f>IF(MatchDay!$C$2="LOWER",COUNTA(F19:H19),0)</f>
        <v>0</v>
      </c>
      <c r="AA19" s="157" t="s">
        <v>912</v>
      </c>
      <c r="AB19" s="177"/>
      <c r="AC19" s="165"/>
      <c r="AD19" s="177"/>
      <c r="AE19" s="158"/>
      <c r="AF19" s="177"/>
      <c r="AG19" s="165"/>
      <c r="AH19" s="177"/>
      <c r="AI19" s="158"/>
      <c r="AJ19" s="180"/>
      <c r="AK19" s="180"/>
      <c r="AL19" s="180"/>
      <c r="AM19" s="177"/>
      <c r="AN19" s="158"/>
      <c r="AO19" s="177"/>
      <c r="AP19" s="158"/>
      <c r="AQ19" s="177"/>
      <c r="AR19" s="180"/>
      <c r="AS19" s="158"/>
      <c r="AT19" s="177"/>
      <c r="AU19" s="158"/>
      <c r="AV19" s="177"/>
      <c r="AW19" s="155">
        <f t="shared" si="2"/>
        <v>0</v>
      </c>
      <c r="AX19" s="155">
        <f t="shared" si="3"/>
        <v>0</v>
      </c>
      <c r="AY19" s="155">
        <f>IF(MatchDay!$C$2="LOWER",COUNTA(AF19:AH19),0)</f>
        <v>0</v>
      </c>
      <c r="BA19" s="157" t="s">
        <v>912</v>
      </c>
      <c r="BB19" s="171"/>
      <c r="BC19" s="165"/>
      <c r="BD19" s="171"/>
      <c r="BE19" s="158"/>
      <c r="BF19" s="171"/>
      <c r="BG19" s="165"/>
      <c r="BH19" s="171"/>
      <c r="BI19" s="158"/>
      <c r="BJ19" s="180"/>
      <c r="BK19" s="180"/>
      <c r="BL19" s="180"/>
      <c r="BM19" s="171"/>
      <c r="BN19" s="158"/>
      <c r="BO19" s="171"/>
      <c r="BP19" s="158"/>
      <c r="BQ19" s="171"/>
      <c r="BR19" s="180"/>
      <c r="BS19" s="158"/>
      <c r="BT19" s="171"/>
      <c r="BU19" s="158"/>
      <c r="BV19" s="171"/>
      <c r="BW19" s="155">
        <f t="shared" si="4"/>
        <v>0</v>
      </c>
      <c r="BX19" s="155">
        <f t="shared" si="5"/>
        <v>0</v>
      </c>
      <c r="BY19" s="155">
        <f>IF(MatchDay!$C$2="LOWER",COUNTA(BF19:BH19),0)</f>
        <v>0</v>
      </c>
      <c r="CA19" s="157" t="s">
        <v>912</v>
      </c>
      <c r="CB19" s="177"/>
      <c r="CC19" s="165"/>
      <c r="CD19" s="177"/>
      <c r="CE19" s="158"/>
      <c r="CF19" s="177"/>
      <c r="CG19" s="165"/>
      <c r="CH19" s="177"/>
      <c r="CI19" s="158"/>
      <c r="CJ19" s="180"/>
      <c r="CK19" s="180"/>
      <c r="CL19" s="180"/>
      <c r="CM19" s="177"/>
      <c r="CN19" s="158"/>
      <c r="CO19" s="177"/>
      <c r="CP19" s="158"/>
      <c r="CQ19" s="177"/>
      <c r="CR19" s="180"/>
      <c r="CS19" s="158"/>
      <c r="CT19" s="177"/>
      <c r="CU19" s="158"/>
      <c r="CV19" s="177"/>
      <c r="CW19" s="155">
        <f t="shared" si="6"/>
        <v>0</v>
      </c>
      <c r="CX19" s="155">
        <f t="shared" si="7"/>
        <v>0</v>
      </c>
      <c r="CY19" s="155">
        <f>IF(MatchDay!$C$2="LOWER",COUNTA(CF19:CH19),0)</f>
        <v>0</v>
      </c>
      <c r="DA19" s="157" t="s">
        <v>912</v>
      </c>
      <c r="DB19" s="171"/>
      <c r="DC19" s="165"/>
      <c r="DD19" s="171"/>
      <c r="DE19" s="158"/>
      <c r="DF19" s="171"/>
      <c r="DG19" s="165"/>
      <c r="DH19" s="171"/>
      <c r="DI19" s="158"/>
      <c r="DJ19" s="180"/>
      <c r="DK19" s="180"/>
      <c r="DL19" s="180"/>
      <c r="DM19" s="171"/>
      <c r="DN19" s="158"/>
      <c r="DO19" s="171"/>
      <c r="DP19" s="158"/>
      <c r="DQ19" s="171"/>
      <c r="DR19" s="180"/>
      <c r="DS19" s="158"/>
      <c r="DT19" s="171"/>
      <c r="DU19" s="158"/>
      <c r="DV19" s="171"/>
      <c r="DW19" s="155">
        <f t="shared" si="8"/>
        <v>0</v>
      </c>
      <c r="DX19" s="155">
        <f t="shared" si="9"/>
        <v>0</v>
      </c>
      <c r="DY19" s="155">
        <f>IF(MatchDay!$C$2="LOWER",COUNTA(DF19:DH19),0)</f>
        <v>0</v>
      </c>
      <c r="EA19" s="157" t="s">
        <v>912</v>
      </c>
      <c r="EB19" s="177"/>
      <c r="EC19" s="165"/>
      <c r="ED19" s="177"/>
      <c r="EE19" s="158"/>
      <c r="EF19" s="177"/>
      <c r="EG19" s="165"/>
      <c r="EH19" s="177"/>
      <c r="EI19" s="158"/>
      <c r="EJ19" s="180"/>
      <c r="EK19" s="180"/>
      <c r="EL19" s="180"/>
      <c r="EM19" s="177"/>
      <c r="EN19" s="158"/>
      <c r="EO19" s="177"/>
      <c r="EP19" s="158"/>
      <c r="EQ19" s="177"/>
      <c r="ER19" s="180"/>
      <c r="ES19" s="158"/>
      <c r="ET19" s="177"/>
      <c r="EU19" s="158"/>
      <c r="EV19" s="177"/>
      <c r="EW19" s="155">
        <f t="shared" si="10"/>
        <v>0</v>
      </c>
      <c r="EX19" s="155">
        <f t="shared" si="11"/>
        <v>0</v>
      </c>
      <c r="EY19" s="155">
        <f>IF(MatchDay!$C$2="LOWER",COUNTA(EF19:EH19),0)</f>
        <v>0</v>
      </c>
      <c r="FA19" s="157" t="s">
        <v>912</v>
      </c>
      <c r="FB19" s="171"/>
      <c r="FC19" s="165"/>
      <c r="FD19" s="171"/>
      <c r="FE19" s="158"/>
      <c r="FF19" s="171"/>
      <c r="FG19" s="165"/>
      <c r="FH19" s="171"/>
      <c r="FI19" s="158"/>
      <c r="FJ19" s="180"/>
      <c r="FK19" s="180"/>
      <c r="FL19" s="180"/>
      <c r="FM19" s="171"/>
      <c r="FN19" s="158"/>
      <c r="FO19" s="171"/>
      <c r="FP19" s="158"/>
      <c r="FQ19" s="171"/>
      <c r="FR19" s="180"/>
      <c r="FS19" s="158"/>
      <c r="FT19" s="171"/>
      <c r="FU19" s="158"/>
      <c r="FV19" s="171"/>
      <c r="FW19" s="155">
        <f t="shared" si="12"/>
        <v>0</v>
      </c>
      <c r="FX19" s="155">
        <f t="shared" si="13"/>
        <v>0</v>
      </c>
      <c r="FY19" s="155">
        <f>IF(MatchDay!$C$2="LOWER",COUNTA(FF19:FH19),0)</f>
        <v>0</v>
      </c>
      <c r="GA19" s="157" t="s">
        <v>912</v>
      </c>
      <c r="GB19" s="177"/>
      <c r="GC19" s="165"/>
      <c r="GD19" s="177"/>
      <c r="GE19" s="158"/>
      <c r="GF19" s="177"/>
      <c r="GG19" s="165"/>
      <c r="GH19" s="177"/>
      <c r="GI19" s="158"/>
      <c r="GJ19" s="180"/>
      <c r="GK19" s="180"/>
      <c r="GL19" s="180"/>
      <c r="GM19" s="177"/>
      <c r="GN19" s="158"/>
      <c r="GO19" s="177"/>
      <c r="GP19" s="158"/>
      <c r="GQ19" s="177"/>
      <c r="GR19" s="180"/>
      <c r="GS19" s="158"/>
      <c r="GT19" s="177"/>
      <c r="GU19" s="158"/>
      <c r="GV19" s="177"/>
      <c r="GW19" s="155">
        <f t="shared" si="14"/>
        <v>0</v>
      </c>
      <c r="GX19" s="155">
        <f t="shared" si="15"/>
        <v>0</v>
      </c>
      <c r="GY19" s="155">
        <f>IF(MatchDay!$C$2="LOWER",COUNTA(GF19:GH19),0)</f>
        <v>0</v>
      </c>
    </row>
    <row r="20" spans="1:207" ht="16.5" customHeight="1" x14ac:dyDescent="0.45">
      <c r="A20" s="157" t="s">
        <v>912</v>
      </c>
      <c r="B20" s="171"/>
      <c r="C20" s="165"/>
      <c r="D20" s="171"/>
      <c r="E20" s="158"/>
      <c r="F20" s="171"/>
      <c r="G20" s="165"/>
      <c r="H20" s="171"/>
      <c r="I20" s="158"/>
      <c r="J20" s="180"/>
      <c r="K20" s="180"/>
      <c r="L20" s="180"/>
      <c r="M20" s="171"/>
      <c r="N20" s="158"/>
      <c r="O20" s="171"/>
      <c r="P20" s="158"/>
      <c r="Q20" s="171"/>
      <c r="R20" s="180"/>
      <c r="S20" s="158"/>
      <c r="T20" s="171"/>
      <c r="U20" s="158"/>
      <c r="V20" s="171"/>
      <c r="W20" s="155">
        <f t="shared" si="0"/>
        <v>0</v>
      </c>
      <c r="X20" s="155">
        <f t="shared" si="1"/>
        <v>0</v>
      </c>
      <c r="Y20" s="155">
        <f>IF(MatchDay!$C$2="LOWER",COUNTA(F20:H20),0)</f>
        <v>0</v>
      </c>
      <c r="AA20" s="157" t="s">
        <v>912</v>
      </c>
      <c r="AB20" s="177"/>
      <c r="AC20" s="165"/>
      <c r="AD20" s="177"/>
      <c r="AE20" s="158"/>
      <c r="AF20" s="177"/>
      <c r="AG20" s="165"/>
      <c r="AH20" s="177"/>
      <c r="AI20" s="158"/>
      <c r="AJ20" s="180"/>
      <c r="AK20" s="180"/>
      <c r="AL20" s="180"/>
      <c r="AM20" s="177"/>
      <c r="AN20" s="158"/>
      <c r="AO20" s="177"/>
      <c r="AP20" s="158"/>
      <c r="AQ20" s="177"/>
      <c r="AR20" s="180"/>
      <c r="AS20" s="158"/>
      <c r="AT20" s="177"/>
      <c r="AU20" s="158"/>
      <c r="AV20" s="177"/>
      <c r="AW20" s="155">
        <f t="shared" si="2"/>
        <v>0</v>
      </c>
      <c r="AX20" s="155">
        <f t="shared" si="3"/>
        <v>0</v>
      </c>
      <c r="AY20" s="155">
        <f>IF(MatchDay!$C$2="LOWER",COUNTA(AF20:AH20),0)</f>
        <v>0</v>
      </c>
      <c r="BA20" s="157" t="s">
        <v>912</v>
      </c>
      <c r="BB20" s="171"/>
      <c r="BC20" s="165"/>
      <c r="BD20" s="171"/>
      <c r="BE20" s="158"/>
      <c r="BF20" s="171"/>
      <c r="BG20" s="165"/>
      <c r="BH20" s="171"/>
      <c r="BI20" s="158"/>
      <c r="BJ20" s="180"/>
      <c r="BK20" s="180"/>
      <c r="BL20" s="180"/>
      <c r="BM20" s="171"/>
      <c r="BN20" s="158"/>
      <c r="BO20" s="171"/>
      <c r="BP20" s="158"/>
      <c r="BQ20" s="171"/>
      <c r="BR20" s="180"/>
      <c r="BS20" s="158"/>
      <c r="BT20" s="171"/>
      <c r="BU20" s="158"/>
      <c r="BV20" s="171"/>
      <c r="BW20" s="155">
        <f t="shared" si="4"/>
        <v>0</v>
      </c>
      <c r="BX20" s="155">
        <f t="shared" si="5"/>
        <v>0</v>
      </c>
      <c r="BY20" s="155">
        <f>IF(MatchDay!$C$2="LOWER",COUNTA(BF20:BH20),0)</f>
        <v>0</v>
      </c>
      <c r="CA20" s="157" t="s">
        <v>912</v>
      </c>
      <c r="CB20" s="177"/>
      <c r="CC20" s="165"/>
      <c r="CD20" s="177"/>
      <c r="CE20" s="158"/>
      <c r="CF20" s="177"/>
      <c r="CG20" s="165"/>
      <c r="CH20" s="177"/>
      <c r="CI20" s="158"/>
      <c r="CJ20" s="180"/>
      <c r="CK20" s="180"/>
      <c r="CL20" s="180"/>
      <c r="CM20" s="177"/>
      <c r="CN20" s="158"/>
      <c r="CO20" s="177"/>
      <c r="CP20" s="158"/>
      <c r="CQ20" s="177"/>
      <c r="CR20" s="180"/>
      <c r="CS20" s="158"/>
      <c r="CT20" s="177"/>
      <c r="CU20" s="158"/>
      <c r="CV20" s="177"/>
      <c r="CW20" s="155">
        <f t="shared" si="6"/>
        <v>0</v>
      </c>
      <c r="CX20" s="155">
        <f t="shared" si="7"/>
        <v>0</v>
      </c>
      <c r="CY20" s="155">
        <f>IF(MatchDay!$C$2="LOWER",COUNTA(CF20:CH20),0)</f>
        <v>0</v>
      </c>
      <c r="DA20" s="157" t="s">
        <v>912</v>
      </c>
      <c r="DB20" s="171"/>
      <c r="DC20" s="165"/>
      <c r="DD20" s="171"/>
      <c r="DE20" s="158"/>
      <c r="DF20" s="171"/>
      <c r="DG20" s="165"/>
      <c r="DH20" s="171"/>
      <c r="DI20" s="158"/>
      <c r="DJ20" s="180"/>
      <c r="DK20" s="180"/>
      <c r="DL20" s="180"/>
      <c r="DM20" s="171"/>
      <c r="DN20" s="158"/>
      <c r="DO20" s="171"/>
      <c r="DP20" s="158"/>
      <c r="DQ20" s="171"/>
      <c r="DR20" s="180"/>
      <c r="DS20" s="158"/>
      <c r="DT20" s="171"/>
      <c r="DU20" s="158"/>
      <c r="DV20" s="171"/>
      <c r="DW20" s="155">
        <f t="shared" si="8"/>
        <v>0</v>
      </c>
      <c r="DX20" s="155">
        <f t="shared" si="9"/>
        <v>0</v>
      </c>
      <c r="DY20" s="155">
        <f>IF(MatchDay!$C$2="LOWER",COUNTA(DF20:DH20),0)</f>
        <v>0</v>
      </c>
      <c r="EA20" s="157" t="s">
        <v>912</v>
      </c>
      <c r="EB20" s="177"/>
      <c r="EC20" s="165"/>
      <c r="ED20" s="177"/>
      <c r="EE20" s="158"/>
      <c r="EF20" s="177"/>
      <c r="EG20" s="165"/>
      <c r="EH20" s="177"/>
      <c r="EI20" s="158"/>
      <c r="EJ20" s="180"/>
      <c r="EK20" s="180"/>
      <c r="EL20" s="180"/>
      <c r="EM20" s="177"/>
      <c r="EN20" s="158"/>
      <c r="EO20" s="177"/>
      <c r="EP20" s="158"/>
      <c r="EQ20" s="177"/>
      <c r="ER20" s="180"/>
      <c r="ES20" s="158"/>
      <c r="ET20" s="177"/>
      <c r="EU20" s="158"/>
      <c r="EV20" s="177"/>
      <c r="EW20" s="155">
        <f t="shared" si="10"/>
        <v>0</v>
      </c>
      <c r="EX20" s="155">
        <f t="shared" si="11"/>
        <v>0</v>
      </c>
      <c r="EY20" s="155">
        <f>IF(MatchDay!$C$2="LOWER",COUNTA(EF20:EH20),0)</f>
        <v>0</v>
      </c>
      <c r="FA20" s="157" t="s">
        <v>912</v>
      </c>
      <c r="FB20" s="171"/>
      <c r="FC20" s="165"/>
      <c r="FD20" s="171"/>
      <c r="FE20" s="158"/>
      <c r="FF20" s="171"/>
      <c r="FG20" s="165"/>
      <c r="FH20" s="171"/>
      <c r="FI20" s="158"/>
      <c r="FJ20" s="180"/>
      <c r="FK20" s="180"/>
      <c r="FL20" s="180"/>
      <c r="FM20" s="171"/>
      <c r="FN20" s="158"/>
      <c r="FO20" s="171"/>
      <c r="FP20" s="158"/>
      <c r="FQ20" s="171"/>
      <c r="FR20" s="180"/>
      <c r="FS20" s="158"/>
      <c r="FT20" s="171"/>
      <c r="FU20" s="158"/>
      <c r="FV20" s="171"/>
      <c r="FW20" s="155">
        <f t="shared" si="12"/>
        <v>0</v>
      </c>
      <c r="FX20" s="155">
        <f t="shared" si="13"/>
        <v>0</v>
      </c>
      <c r="FY20" s="155">
        <f>IF(MatchDay!$C$2="LOWER",COUNTA(FF20:FH20),0)</f>
        <v>0</v>
      </c>
      <c r="GA20" s="157" t="s">
        <v>912</v>
      </c>
      <c r="GB20" s="177"/>
      <c r="GC20" s="165"/>
      <c r="GD20" s="177"/>
      <c r="GE20" s="158"/>
      <c r="GF20" s="177"/>
      <c r="GG20" s="165"/>
      <c r="GH20" s="177"/>
      <c r="GI20" s="158"/>
      <c r="GJ20" s="180"/>
      <c r="GK20" s="180"/>
      <c r="GL20" s="180"/>
      <c r="GM20" s="177"/>
      <c r="GN20" s="158"/>
      <c r="GO20" s="177"/>
      <c r="GP20" s="158"/>
      <c r="GQ20" s="177"/>
      <c r="GR20" s="180"/>
      <c r="GS20" s="158"/>
      <c r="GT20" s="177"/>
      <c r="GU20" s="158"/>
      <c r="GV20" s="177"/>
      <c r="GW20" s="155">
        <f t="shared" si="14"/>
        <v>0</v>
      </c>
      <c r="GX20" s="155">
        <f t="shared" si="15"/>
        <v>0</v>
      </c>
      <c r="GY20" s="155">
        <f>IF(MatchDay!$C$2="LOWER",COUNTA(GF20:GH20),0)</f>
        <v>0</v>
      </c>
    </row>
    <row r="21" spans="1:207" ht="16.5" customHeight="1" x14ac:dyDescent="0.45">
      <c r="A21" s="157" t="s">
        <v>912</v>
      </c>
      <c r="B21" s="171"/>
      <c r="C21" s="165"/>
      <c r="D21" s="171"/>
      <c r="E21" s="158"/>
      <c r="F21" s="171"/>
      <c r="G21" s="165"/>
      <c r="H21" s="171"/>
      <c r="I21" s="158"/>
      <c r="J21" s="180"/>
      <c r="K21" s="180"/>
      <c r="L21" s="180"/>
      <c r="M21" s="171"/>
      <c r="N21" s="158"/>
      <c r="O21" s="171"/>
      <c r="P21" s="158"/>
      <c r="Q21" s="171"/>
      <c r="R21" s="180"/>
      <c r="S21" s="158"/>
      <c r="T21" s="171"/>
      <c r="U21" s="158"/>
      <c r="V21" s="171"/>
      <c r="W21" s="155">
        <f t="shared" si="0"/>
        <v>0</v>
      </c>
      <c r="X21" s="155">
        <f t="shared" si="1"/>
        <v>0</v>
      </c>
      <c r="Y21" s="155">
        <f>IF(MatchDay!$C$2="LOWER",COUNTA(F21:H21),0)</f>
        <v>0</v>
      </c>
      <c r="AA21" s="157" t="s">
        <v>912</v>
      </c>
      <c r="AB21" s="177"/>
      <c r="AC21" s="165"/>
      <c r="AD21" s="177"/>
      <c r="AE21" s="158"/>
      <c r="AF21" s="177"/>
      <c r="AG21" s="165"/>
      <c r="AH21" s="177"/>
      <c r="AI21" s="158"/>
      <c r="AJ21" s="180"/>
      <c r="AK21" s="180"/>
      <c r="AL21" s="180"/>
      <c r="AM21" s="177"/>
      <c r="AN21" s="158"/>
      <c r="AO21" s="177"/>
      <c r="AP21" s="158"/>
      <c r="AQ21" s="177"/>
      <c r="AR21" s="180"/>
      <c r="AS21" s="158"/>
      <c r="AT21" s="177"/>
      <c r="AU21" s="158"/>
      <c r="AV21" s="177"/>
      <c r="AW21" s="155">
        <f t="shared" si="2"/>
        <v>0</v>
      </c>
      <c r="AX21" s="155">
        <f t="shared" si="3"/>
        <v>0</v>
      </c>
      <c r="AY21" s="155">
        <f>IF(MatchDay!$C$2="LOWER",COUNTA(AF21:AH21),0)</f>
        <v>0</v>
      </c>
      <c r="BA21" s="157" t="s">
        <v>912</v>
      </c>
      <c r="BB21" s="171"/>
      <c r="BC21" s="165"/>
      <c r="BD21" s="171"/>
      <c r="BE21" s="158"/>
      <c r="BF21" s="171"/>
      <c r="BG21" s="165"/>
      <c r="BH21" s="171"/>
      <c r="BI21" s="158"/>
      <c r="BJ21" s="180"/>
      <c r="BK21" s="180"/>
      <c r="BL21" s="180"/>
      <c r="BM21" s="171"/>
      <c r="BN21" s="158"/>
      <c r="BO21" s="171"/>
      <c r="BP21" s="158"/>
      <c r="BQ21" s="171"/>
      <c r="BR21" s="180"/>
      <c r="BS21" s="158"/>
      <c r="BT21" s="171"/>
      <c r="BU21" s="158"/>
      <c r="BV21" s="171"/>
      <c r="BW21" s="155">
        <f t="shared" si="4"/>
        <v>0</v>
      </c>
      <c r="BX21" s="155">
        <f t="shared" si="5"/>
        <v>0</v>
      </c>
      <c r="BY21" s="155">
        <f>IF(MatchDay!$C$2="LOWER",COUNTA(BF21:BH21),0)</f>
        <v>0</v>
      </c>
      <c r="CA21" s="157" t="s">
        <v>912</v>
      </c>
      <c r="CB21" s="177"/>
      <c r="CC21" s="165"/>
      <c r="CD21" s="177"/>
      <c r="CE21" s="158"/>
      <c r="CF21" s="177"/>
      <c r="CG21" s="165"/>
      <c r="CH21" s="177"/>
      <c r="CI21" s="158"/>
      <c r="CJ21" s="180"/>
      <c r="CK21" s="180"/>
      <c r="CL21" s="180"/>
      <c r="CM21" s="177"/>
      <c r="CN21" s="158"/>
      <c r="CO21" s="177"/>
      <c r="CP21" s="158"/>
      <c r="CQ21" s="177"/>
      <c r="CR21" s="180"/>
      <c r="CS21" s="158"/>
      <c r="CT21" s="177"/>
      <c r="CU21" s="158"/>
      <c r="CV21" s="177"/>
      <c r="CW21" s="155">
        <f t="shared" si="6"/>
        <v>0</v>
      </c>
      <c r="CX21" s="155">
        <f t="shared" si="7"/>
        <v>0</v>
      </c>
      <c r="CY21" s="155">
        <f>IF(MatchDay!$C$2="LOWER",COUNTA(CF21:CH21),0)</f>
        <v>0</v>
      </c>
      <c r="DA21" s="157" t="s">
        <v>912</v>
      </c>
      <c r="DB21" s="171"/>
      <c r="DC21" s="165"/>
      <c r="DD21" s="171"/>
      <c r="DE21" s="158"/>
      <c r="DF21" s="171"/>
      <c r="DG21" s="165"/>
      <c r="DH21" s="171"/>
      <c r="DI21" s="158"/>
      <c r="DJ21" s="180"/>
      <c r="DK21" s="180"/>
      <c r="DL21" s="180"/>
      <c r="DM21" s="171"/>
      <c r="DN21" s="158"/>
      <c r="DO21" s="171"/>
      <c r="DP21" s="158"/>
      <c r="DQ21" s="171"/>
      <c r="DR21" s="180"/>
      <c r="DS21" s="158"/>
      <c r="DT21" s="171"/>
      <c r="DU21" s="158"/>
      <c r="DV21" s="171"/>
      <c r="DW21" s="155">
        <f t="shared" si="8"/>
        <v>0</v>
      </c>
      <c r="DX21" s="155">
        <f t="shared" si="9"/>
        <v>0</v>
      </c>
      <c r="DY21" s="155">
        <f>IF(MatchDay!$C$2="LOWER",COUNTA(DF21:DH21),0)</f>
        <v>0</v>
      </c>
      <c r="EA21" s="157" t="s">
        <v>912</v>
      </c>
      <c r="EB21" s="177"/>
      <c r="EC21" s="165"/>
      <c r="ED21" s="177"/>
      <c r="EE21" s="158"/>
      <c r="EF21" s="177"/>
      <c r="EG21" s="165"/>
      <c r="EH21" s="177"/>
      <c r="EI21" s="158"/>
      <c r="EJ21" s="180"/>
      <c r="EK21" s="180"/>
      <c r="EL21" s="180"/>
      <c r="EM21" s="177"/>
      <c r="EN21" s="158"/>
      <c r="EO21" s="177"/>
      <c r="EP21" s="158"/>
      <c r="EQ21" s="177"/>
      <c r="ER21" s="180"/>
      <c r="ES21" s="158"/>
      <c r="ET21" s="177"/>
      <c r="EU21" s="158"/>
      <c r="EV21" s="177"/>
      <c r="EW21" s="155">
        <f t="shared" si="10"/>
        <v>0</v>
      </c>
      <c r="EX21" s="155">
        <f t="shared" si="11"/>
        <v>0</v>
      </c>
      <c r="EY21" s="155">
        <f>IF(MatchDay!$C$2="LOWER",COUNTA(EF21:EH21),0)</f>
        <v>0</v>
      </c>
      <c r="FA21" s="157" t="s">
        <v>912</v>
      </c>
      <c r="FB21" s="171"/>
      <c r="FC21" s="165"/>
      <c r="FD21" s="171"/>
      <c r="FE21" s="158"/>
      <c r="FF21" s="171"/>
      <c r="FG21" s="165"/>
      <c r="FH21" s="171"/>
      <c r="FI21" s="158"/>
      <c r="FJ21" s="180"/>
      <c r="FK21" s="180"/>
      <c r="FL21" s="180"/>
      <c r="FM21" s="171"/>
      <c r="FN21" s="158"/>
      <c r="FO21" s="171"/>
      <c r="FP21" s="158"/>
      <c r="FQ21" s="171"/>
      <c r="FR21" s="180"/>
      <c r="FS21" s="158"/>
      <c r="FT21" s="171"/>
      <c r="FU21" s="158"/>
      <c r="FV21" s="171"/>
      <c r="FW21" s="155">
        <f t="shared" si="12"/>
        <v>0</v>
      </c>
      <c r="FX21" s="155">
        <f t="shared" si="13"/>
        <v>0</v>
      </c>
      <c r="FY21" s="155">
        <f>IF(MatchDay!$C$2="LOWER",COUNTA(FF21:FH21),0)</f>
        <v>0</v>
      </c>
      <c r="GA21" s="157" t="s">
        <v>912</v>
      </c>
      <c r="GB21" s="177"/>
      <c r="GC21" s="165"/>
      <c r="GD21" s="177"/>
      <c r="GE21" s="158"/>
      <c r="GF21" s="177"/>
      <c r="GG21" s="165"/>
      <c r="GH21" s="177"/>
      <c r="GI21" s="158"/>
      <c r="GJ21" s="180"/>
      <c r="GK21" s="180"/>
      <c r="GL21" s="180"/>
      <c r="GM21" s="177"/>
      <c r="GN21" s="158"/>
      <c r="GO21" s="177"/>
      <c r="GP21" s="158"/>
      <c r="GQ21" s="177"/>
      <c r="GR21" s="180"/>
      <c r="GS21" s="158"/>
      <c r="GT21" s="177"/>
      <c r="GU21" s="158"/>
      <c r="GV21" s="177"/>
      <c r="GW21" s="155">
        <f t="shared" si="14"/>
        <v>0</v>
      </c>
      <c r="GX21" s="155">
        <f t="shared" si="15"/>
        <v>0</v>
      </c>
      <c r="GY21" s="155">
        <f>IF(MatchDay!$C$2="LOWER",COUNTA(GF21:GH21),0)</f>
        <v>0</v>
      </c>
    </row>
    <row r="22" spans="1:207" ht="16.5" customHeight="1" x14ac:dyDescent="0.45">
      <c r="A22" s="157" t="s">
        <v>912</v>
      </c>
      <c r="B22" s="171"/>
      <c r="C22" s="165"/>
      <c r="D22" s="171"/>
      <c r="E22" s="158"/>
      <c r="F22" s="171"/>
      <c r="G22" s="165"/>
      <c r="H22" s="171"/>
      <c r="I22" s="158"/>
      <c r="J22" s="180"/>
      <c r="K22" s="180"/>
      <c r="L22" s="180"/>
      <c r="M22" s="171"/>
      <c r="N22" s="158"/>
      <c r="O22" s="171"/>
      <c r="P22" s="158"/>
      <c r="Q22" s="171"/>
      <c r="R22" s="180"/>
      <c r="S22" s="158"/>
      <c r="T22" s="171"/>
      <c r="U22" s="158"/>
      <c r="V22" s="171"/>
      <c r="W22" s="155">
        <f t="shared" si="0"/>
        <v>0</v>
      </c>
      <c r="X22" s="155">
        <f t="shared" si="1"/>
        <v>0</v>
      </c>
      <c r="Y22" s="155">
        <f>IF(MatchDay!$C$2="LOWER",COUNTA(F22:H22),0)</f>
        <v>0</v>
      </c>
      <c r="AA22" s="157" t="s">
        <v>912</v>
      </c>
      <c r="AB22" s="177"/>
      <c r="AC22" s="165"/>
      <c r="AD22" s="177"/>
      <c r="AE22" s="158"/>
      <c r="AF22" s="177"/>
      <c r="AG22" s="165"/>
      <c r="AH22" s="177"/>
      <c r="AI22" s="158"/>
      <c r="AJ22" s="180"/>
      <c r="AK22" s="180"/>
      <c r="AL22" s="180"/>
      <c r="AM22" s="177"/>
      <c r="AN22" s="158"/>
      <c r="AO22" s="177"/>
      <c r="AP22" s="158"/>
      <c r="AQ22" s="177"/>
      <c r="AR22" s="180"/>
      <c r="AS22" s="158"/>
      <c r="AT22" s="177"/>
      <c r="AU22" s="158"/>
      <c r="AV22" s="177"/>
      <c r="AW22" s="155">
        <f t="shared" si="2"/>
        <v>0</v>
      </c>
      <c r="AX22" s="155">
        <f t="shared" si="3"/>
        <v>0</v>
      </c>
      <c r="AY22" s="155">
        <f>IF(MatchDay!$C$2="LOWER",COUNTA(AF22:AH22),0)</f>
        <v>0</v>
      </c>
      <c r="BA22" s="157" t="s">
        <v>912</v>
      </c>
      <c r="BB22" s="171"/>
      <c r="BC22" s="165"/>
      <c r="BD22" s="171"/>
      <c r="BE22" s="158"/>
      <c r="BF22" s="171"/>
      <c r="BG22" s="165"/>
      <c r="BH22" s="171"/>
      <c r="BI22" s="158"/>
      <c r="BJ22" s="180"/>
      <c r="BK22" s="180"/>
      <c r="BL22" s="180"/>
      <c r="BM22" s="171"/>
      <c r="BN22" s="158"/>
      <c r="BO22" s="171"/>
      <c r="BP22" s="158"/>
      <c r="BQ22" s="171"/>
      <c r="BR22" s="180"/>
      <c r="BS22" s="158"/>
      <c r="BT22" s="171"/>
      <c r="BU22" s="158"/>
      <c r="BV22" s="171"/>
      <c r="BW22" s="155">
        <f t="shared" si="4"/>
        <v>0</v>
      </c>
      <c r="BX22" s="155">
        <f t="shared" si="5"/>
        <v>0</v>
      </c>
      <c r="BY22" s="155">
        <f>IF(MatchDay!$C$2="LOWER",COUNTA(BF22:BH22),0)</f>
        <v>0</v>
      </c>
      <c r="CA22" s="157" t="s">
        <v>912</v>
      </c>
      <c r="CB22" s="177"/>
      <c r="CC22" s="165"/>
      <c r="CD22" s="177"/>
      <c r="CE22" s="158"/>
      <c r="CF22" s="177"/>
      <c r="CG22" s="165"/>
      <c r="CH22" s="177"/>
      <c r="CI22" s="158"/>
      <c r="CJ22" s="180"/>
      <c r="CK22" s="180"/>
      <c r="CL22" s="180"/>
      <c r="CM22" s="177"/>
      <c r="CN22" s="158"/>
      <c r="CO22" s="177"/>
      <c r="CP22" s="158"/>
      <c r="CQ22" s="177"/>
      <c r="CR22" s="180"/>
      <c r="CS22" s="158"/>
      <c r="CT22" s="177"/>
      <c r="CU22" s="158"/>
      <c r="CV22" s="177"/>
      <c r="CW22" s="155">
        <f t="shared" si="6"/>
        <v>0</v>
      </c>
      <c r="CX22" s="155">
        <f t="shared" si="7"/>
        <v>0</v>
      </c>
      <c r="CY22" s="155">
        <f>IF(MatchDay!$C$2="LOWER",COUNTA(CF22:CH22),0)</f>
        <v>0</v>
      </c>
      <c r="DA22" s="157" t="s">
        <v>912</v>
      </c>
      <c r="DB22" s="171"/>
      <c r="DC22" s="165"/>
      <c r="DD22" s="171"/>
      <c r="DE22" s="158"/>
      <c r="DF22" s="171"/>
      <c r="DG22" s="165"/>
      <c r="DH22" s="171"/>
      <c r="DI22" s="158"/>
      <c r="DJ22" s="180"/>
      <c r="DK22" s="180"/>
      <c r="DL22" s="180"/>
      <c r="DM22" s="171"/>
      <c r="DN22" s="158"/>
      <c r="DO22" s="171"/>
      <c r="DP22" s="158"/>
      <c r="DQ22" s="171"/>
      <c r="DR22" s="180"/>
      <c r="DS22" s="158"/>
      <c r="DT22" s="171"/>
      <c r="DU22" s="158"/>
      <c r="DV22" s="171"/>
      <c r="DW22" s="155">
        <f t="shared" si="8"/>
        <v>0</v>
      </c>
      <c r="DX22" s="155">
        <f t="shared" si="9"/>
        <v>0</v>
      </c>
      <c r="DY22" s="155">
        <f>IF(MatchDay!$C$2="LOWER",COUNTA(DF22:DH22),0)</f>
        <v>0</v>
      </c>
      <c r="EA22" s="157" t="s">
        <v>912</v>
      </c>
      <c r="EB22" s="177"/>
      <c r="EC22" s="165"/>
      <c r="ED22" s="177"/>
      <c r="EE22" s="158"/>
      <c r="EF22" s="177"/>
      <c r="EG22" s="165"/>
      <c r="EH22" s="177"/>
      <c r="EI22" s="158"/>
      <c r="EJ22" s="180"/>
      <c r="EK22" s="180"/>
      <c r="EL22" s="180"/>
      <c r="EM22" s="177"/>
      <c r="EN22" s="158"/>
      <c r="EO22" s="177"/>
      <c r="EP22" s="158"/>
      <c r="EQ22" s="177"/>
      <c r="ER22" s="180"/>
      <c r="ES22" s="158"/>
      <c r="ET22" s="177"/>
      <c r="EU22" s="158"/>
      <c r="EV22" s="177"/>
      <c r="EW22" s="155">
        <f t="shared" si="10"/>
        <v>0</v>
      </c>
      <c r="EX22" s="155">
        <f t="shared" si="11"/>
        <v>0</v>
      </c>
      <c r="EY22" s="155">
        <f>IF(MatchDay!$C$2="LOWER",COUNTA(EF22:EH22),0)</f>
        <v>0</v>
      </c>
      <c r="FA22" s="157" t="s">
        <v>912</v>
      </c>
      <c r="FB22" s="171"/>
      <c r="FC22" s="165"/>
      <c r="FD22" s="171"/>
      <c r="FE22" s="158"/>
      <c r="FF22" s="171"/>
      <c r="FG22" s="165"/>
      <c r="FH22" s="171"/>
      <c r="FI22" s="158"/>
      <c r="FJ22" s="180"/>
      <c r="FK22" s="180"/>
      <c r="FL22" s="180"/>
      <c r="FM22" s="171"/>
      <c r="FN22" s="158"/>
      <c r="FO22" s="171"/>
      <c r="FP22" s="158"/>
      <c r="FQ22" s="171"/>
      <c r="FR22" s="180"/>
      <c r="FS22" s="158"/>
      <c r="FT22" s="171"/>
      <c r="FU22" s="158"/>
      <c r="FV22" s="171"/>
      <c r="FW22" s="155">
        <f t="shared" si="12"/>
        <v>0</v>
      </c>
      <c r="FX22" s="155">
        <f t="shared" si="13"/>
        <v>0</v>
      </c>
      <c r="FY22" s="155">
        <f>IF(MatchDay!$C$2="LOWER",COUNTA(FF22:FH22),0)</f>
        <v>0</v>
      </c>
      <c r="GA22" s="157" t="s">
        <v>912</v>
      </c>
      <c r="GB22" s="177"/>
      <c r="GC22" s="165"/>
      <c r="GD22" s="177"/>
      <c r="GE22" s="158"/>
      <c r="GF22" s="177"/>
      <c r="GG22" s="165"/>
      <c r="GH22" s="177"/>
      <c r="GI22" s="158"/>
      <c r="GJ22" s="180"/>
      <c r="GK22" s="180"/>
      <c r="GL22" s="180"/>
      <c r="GM22" s="177"/>
      <c r="GN22" s="158"/>
      <c r="GO22" s="177"/>
      <c r="GP22" s="158"/>
      <c r="GQ22" s="177"/>
      <c r="GR22" s="180"/>
      <c r="GS22" s="158"/>
      <c r="GT22" s="177"/>
      <c r="GU22" s="158"/>
      <c r="GV22" s="177"/>
      <c r="GW22" s="155">
        <f t="shared" si="14"/>
        <v>0</v>
      </c>
      <c r="GX22" s="155">
        <f t="shared" si="15"/>
        <v>0</v>
      </c>
      <c r="GY22" s="155">
        <f>IF(MatchDay!$C$2="LOWER",COUNTA(GF22:GH22),0)</f>
        <v>0</v>
      </c>
    </row>
    <row r="23" spans="1:207" ht="16.5" customHeight="1" x14ac:dyDescent="0.45">
      <c r="A23" s="157" t="s">
        <v>912</v>
      </c>
      <c r="B23" s="171"/>
      <c r="C23" s="165"/>
      <c r="D23" s="171"/>
      <c r="E23" s="158"/>
      <c r="F23" s="171"/>
      <c r="G23" s="165"/>
      <c r="H23" s="171"/>
      <c r="I23" s="158"/>
      <c r="J23" s="180"/>
      <c r="K23" s="180"/>
      <c r="L23" s="180"/>
      <c r="M23" s="171"/>
      <c r="N23" s="158"/>
      <c r="O23" s="171"/>
      <c r="P23" s="158"/>
      <c r="Q23" s="171"/>
      <c r="R23" s="180"/>
      <c r="S23" s="158"/>
      <c r="T23" s="171"/>
      <c r="U23" s="158"/>
      <c r="V23" s="171"/>
      <c r="W23" s="155">
        <f t="shared" si="0"/>
        <v>0</v>
      </c>
      <c r="X23" s="155">
        <f t="shared" si="1"/>
        <v>0</v>
      </c>
      <c r="Y23" s="155">
        <f>IF(MatchDay!$C$2="LOWER",COUNTA(F23:H23),0)</f>
        <v>0</v>
      </c>
      <c r="AA23" s="157" t="s">
        <v>912</v>
      </c>
      <c r="AB23" s="177"/>
      <c r="AC23" s="165"/>
      <c r="AD23" s="177"/>
      <c r="AE23" s="158"/>
      <c r="AF23" s="177"/>
      <c r="AG23" s="165"/>
      <c r="AH23" s="177"/>
      <c r="AI23" s="158"/>
      <c r="AJ23" s="180"/>
      <c r="AK23" s="180"/>
      <c r="AL23" s="180"/>
      <c r="AM23" s="177"/>
      <c r="AN23" s="158"/>
      <c r="AO23" s="177"/>
      <c r="AP23" s="158"/>
      <c r="AQ23" s="177"/>
      <c r="AR23" s="180"/>
      <c r="AS23" s="158"/>
      <c r="AT23" s="177"/>
      <c r="AU23" s="158"/>
      <c r="AV23" s="177"/>
      <c r="AW23" s="155">
        <f t="shared" si="2"/>
        <v>0</v>
      </c>
      <c r="AX23" s="155">
        <f t="shared" si="3"/>
        <v>0</v>
      </c>
      <c r="AY23" s="155">
        <f>IF(MatchDay!$C$2="LOWER",COUNTA(AF23:AH23),0)</f>
        <v>0</v>
      </c>
      <c r="BA23" s="157" t="s">
        <v>912</v>
      </c>
      <c r="BB23" s="171"/>
      <c r="BC23" s="165"/>
      <c r="BD23" s="171"/>
      <c r="BE23" s="158"/>
      <c r="BF23" s="171"/>
      <c r="BG23" s="165"/>
      <c r="BH23" s="171"/>
      <c r="BI23" s="158"/>
      <c r="BJ23" s="180"/>
      <c r="BK23" s="180"/>
      <c r="BL23" s="180"/>
      <c r="BM23" s="171"/>
      <c r="BN23" s="158"/>
      <c r="BO23" s="171"/>
      <c r="BP23" s="158"/>
      <c r="BQ23" s="171"/>
      <c r="BR23" s="180"/>
      <c r="BS23" s="158"/>
      <c r="BT23" s="171"/>
      <c r="BU23" s="158"/>
      <c r="BV23" s="171"/>
      <c r="BW23" s="155">
        <f t="shared" si="4"/>
        <v>0</v>
      </c>
      <c r="BX23" s="155">
        <f t="shared" si="5"/>
        <v>0</v>
      </c>
      <c r="BY23" s="155">
        <f>IF(MatchDay!$C$2="LOWER",COUNTA(BF23:BH23),0)</f>
        <v>0</v>
      </c>
      <c r="CA23" s="157" t="s">
        <v>912</v>
      </c>
      <c r="CB23" s="177"/>
      <c r="CC23" s="165"/>
      <c r="CD23" s="177"/>
      <c r="CE23" s="158"/>
      <c r="CF23" s="177"/>
      <c r="CG23" s="165"/>
      <c r="CH23" s="177"/>
      <c r="CI23" s="158"/>
      <c r="CJ23" s="180"/>
      <c r="CK23" s="180"/>
      <c r="CL23" s="180"/>
      <c r="CM23" s="177"/>
      <c r="CN23" s="158"/>
      <c r="CO23" s="177"/>
      <c r="CP23" s="158"/>
      <c r="CQ23" s="177"/>
      <c r="CR23" s="180"/>
      <c r="CS23" s="158"/>
      <c r="CT23" s="177"/>
      <c r="CU23" s="158"/>
      <c r="CV23" s="177"/>
      <c r="CW23" s="155">
        <f t="shared" si="6"/>
        <v>0</v>
      </c>
      <c r="CX23" s="155">
        <f t="shared" si="7"/>
        <v>0</v>
      </c>
      <c r="CY23" s="155">
        <f>IF(MatchDay!$C$2="LOWER",COUNTA(CF23:CH23),0)</f>
        <v>0</v>
      </c>
      <c r="DA23" s="157" t="s">
        <v>912</v>
      </c>
      <c r="DB23" s="171"/>
      <c r="DC23" s="165"/>
      <c r="DD23" s="171"/>
      <c r="DE23" s="158"/>
      <c r="DF23" s="171"/>
      <c r="DG23" s="165"/>
      <c r="DH23" s="171"/>
      <c r="DI23" s="158"/>
      <c r="DJ23" s="180"/>
      <c r="DK23" s="180"/>
      <c r="DL23" s="180"/>
      <c r="DM23" s="171"/>
      <c r="DN23" s="158"/>
      <c r="DO23" s="171"/>
      <c r="DP23" s="158"/>
      <c r="DQ23" s="171"/>
      <c r="DR23" s="180"/>
      <c r="DS23" s="158"/>
      <c r="DT23" s="171"/>
      <c r="DU23" s="158"/>
      <c r="DV23" s="171"/>
      <c r="DW23" s="155">
        <f t="shared" si="8"/>
        <v>0</v>
      </c>
      <c r="DX23" s="155">
        <f t="shared" si="9"/>
        <v>0</v>
      </c>
      <c r="DY23" s="155">
        <f>IF(MatchDay!$C$2="LOWER",COUNTA(DF23:DH23),0)</f>
        <v>0</v>
      </c>
      <c r="EA23" s="157" t="s">
        <v>912</v>
      </c>
      <c r="EB23" s="177"/>
      <c r="EC23" s="165"/>
      <c r="ED23" s="177"/>
      <c r="EE23" s="158"/>
      <c r="EF23" s="177"/>
      <c r="EG23" s="165"/>
      <c r="EH23" s="177"/>
      <c r="EI23" s="158"/>
      <c r="EJ23" s="180"/>
      <c r="EK23" s="180"/>
      <c r="EL23" s="180"/>
      <c r="EM23" s="177"/>
      <c r="EN23" s="158"/>
      <c r="EO23" s="177"/>
      <c r="EP23" s="158"/>
      <c r="EQ23" s="177"/>
      <c r="ER23" s="180"/>
      <c r="ES23" s="158"/>
      <c r="ET23" s="177"/>
      <c r="EU23" s="158"/>
      <c r="EV23" s="177"/>
      <c r="EW23" s="155">
        <f t="shared" si="10"/>
        <v>0</v>
      </c>
      <c r="EX23" s="155">
        <f t="shared" si="11"/>
        <v>0</v>
      </c>
      <c r="EY23" s="155">
        <f>IF(MatchDay!$C$2="LOWER",COUNTA(EF23:EH23),0)</f>
        <v>0</v>
      </c>
      <c r="FA23" s="157" t="s">
        <v>912</v>
      </c>
      <c r="FB23" s="171"/>
      <c r="FC23" s="165"/>
      <c r="FD23" s="171"/>
      <c r="FE23" s="158"/>
      <c r="FF23" s="171"/>
      <c r="FG23" s="165"/>
      <c r="FH23" s="171"/>
      <c r="FI23" s="158"/>
      <c r="FJ23" s="180"/>
      <c r="FK23" s="180"/>
      <c r="FL23" s="180"/>
      <c r="FM23" s="171"/>
      <c r="FN23" s="158"/>
      <c r="FO23" s="171"/>
      <c r="FP23" s="158"/>
      <c r="FQ23" s="171"/>
      <c r="FR23" s="180"/>
      <c r="FS23" s="158"/>
      <c r="FT23" s="171"/>
      <c r="FU23" s="158"/>
      <c r="FV23" s="171"/>
      <c r="FW23" s="155">
        <f t="shared" si="12"/>
        <v>0</v>
      </c>
      <c r="FX23" s="155">
        <f t="shared" si="13"/>
        <v>0</v>
      </c>
      <c r="FY23" s="155">
        <f>IF(MatchDay!$C$2="LOWER",COUNTA(FF23:FH23),0)</f>
        <v>0</v>
      </c>
      <c r="GA23" s="157" t="s">
        <v>912</v>
      </c>
      <c r="GB23" s="177"/>
      <c r="GC23" s="165"/>
      <c r="GD23" s="177"/>
      <c r="GE23" s="158"/>
      <c r="GF23" s="177"/>
      <c r="GG23" s="165"/>
      <c r="GH23" s="177"/>
      <c r="GI23" s="158"/>
      <c r="GJ23" s="180"/>
      <c r="GK23" s="180"/>
      <c r="GL23" s="180"/>
      <c r="GM23" s="177"/>
      <c r="GN23" s="158"/>
      <c r="GO23" s="177"/>
      <c r="GP23" s="158"/>
      <c r="GQ23" s="177"/>
      <c r="GR23" s="180"/>
      <c r="GS23" s="158"/>
      <c r="GT23" s="177"/>
      <c r="GU23" s="158"/>
      <c r="GV23" s="177"/>
      <c r="GW23" s="155">
        <f t="shared" si="14"/>
        <v>0</v>
      </c>
      <c r="GX23" s="155">
        <f t="shared" si="15"/>
        <v>0</v>
      </c>
      <c r="GY23" s="155">
        <f>IF(MatchDay!$C$2="LOWER",COUNTA(GF23:GH23),0)</f>
        <v>0</v>
      </c>
    </row>
    <row r="24" spans="1:207" ht="16.5" customHeight="1" x14ac:dyDescent="0.45">
      <c r="A24" s="157" t="s">
        <v>912</v>
      </c>
      <c r="B24" s="171"/>
      <c r="C24" s="165"/>
      <c r="D24" s="171"/>
      <c r="E24" s="158"/>
      <c r="F24" s="171"/>
      <c r="G24" s="165"/>
      <c r="H24" s="171"/>
      <c r="I24" s="158"/>
      <c r="J24" s="180"/>
      <c r="K24" s="180"/>
      <c r="L24" s="180"/>
      <c r="M24" s="171"/>
      <c r="N24" s="158"/>
      <c r="O24" s="171"/>
      <c r="P24" s="158"/>
      <c r="Q24" s="171"/>
      <c r="R24" s="180"/>
      <c r="S24" s="158"/>
      <c r="T24" s="171"/>
      <c r="U24" s="158"/>
      <c r="V24" s="171"/>
      <c r="W24" s="155">
        <f t="shared" si="0"/>
        <v>0</v>
      </c>
      <c r="X24" s="155">
        <f t="shared" si="1"/>
        <v>0</v>
      </c>
      <c r="Y24" s="155">
        <f>IF(MatchDay!$C$2="LOWER",COUNTA(F24:H24),0)</f>
        <v>0</v>
      </c>
      <c r="AA24" s="157" t="s">
        <v>912</v>
      </c>
      <c r="AB24" s="177"/>
      <c r="AC24" s="165"/>
      <c r="AD24" s="177"/>
      <c r="AE24" s="158"/>
      <c r="AF24" s="177"/>
      <c r="AG24" s="165"/>
      <c r="AH24" s="177"/>
      <c r="AI24" s="158"/>
      <c r="AJ24" s="180"/>
      <c r="AK24" s="180"/>
      <c r="AL24" s="180"/>
      <c r="AM24" s="177"/>
      <c r="AN24" s="158"/>
      <c r="AO24" s="177"/>
      <c r="AP24" s="158"/>
      <c r="AQ24" s="177"/>
      <c r="AR24" s="180"/>
      <c r="AS24" s="158"/>
      <c r="AT24" s="177"/>
      <c r="AU24" s="158"/>
      <c r="AV24" s="177"/>
      <c r="AW24" s="155">
        <f t="shared" si="2"/>
        <v>0</v>
      </c>
      <c r="AX24" s="155">
        <f t="shared" si="3"/>
        <v>0</v>
      </c>
      <c r="AY24" s="155">
        <f>IF(MatchDay!$C$2="LOWER",COUNTA(AF24:AH24),0)</f>
        <v>0</v>
      </c>
      <c r="BA24" s="157" t="s">
        <v>912</v>
      </c>
      <c r="BB24" s="171"/>
      <c r="BC24" s="165"/>
      <c r="BD24" s="171"/>
      <c r="BE24" s="158"/>
      <c r="BF24" s="171"/>
      <c r="BG24" s="165"/>
      <c r="BH24" s="171"/>
      <c r="BI24" s="158"/>
      <c r="BJ24" s="180"/>
      <c r="BK24" s="180"/>
      <c r="BL24" s="180"/>
      <c r="BM24" s="171"/>
      <c r="BN24" s="158"/>
      <c r="BO24" s="171"/>
      <c r="BP24" s="158"/>
      <c r="BQ24" s="171"/>
      <c r="BR24" s="180"/>
      <c r="BS24" s="158"/>
      <c r="BT24" s="171"/>
      <c r="BU24" s="158"/>
      <c r="BV24" s="171"/>
      <c r="BW24" s="155">
        <f t="shared" si="4"/>
        <v>0</v>
      </c>
      <c r="BX24" s="155">
        <f t="shared" si="5"/>
        <v>0</v>
      </c>
      <c r="BY24" s="155">
        <f>IF(MatchDay!$C$2="LOWER",COUNTA(BF24:BH24),0)</f>
        <v>0</v>
      </c>
      <c r="CA24" s="157" t="s">
        <v>912</v>
      </c>
      <c r="CB24" s="177"/>
      <c r="CC24" s="165"/>
      <c r="CD24" s="177"/>
      <c r="CE24" s="158"/>
      <c r="CF24" s="177"/>
      <c r="CG24" s="165"/>
      <c r="CH24" s="177"/>
      <c r="CI24" s="158"/>
      <c r="CJ24" s="180"/>
      <c r="CK24" s="180"/>
      <c r="CL24" s="180"/>
      <c r="CM24" s="177"/>
      <c r="CN24" s="158"/>
      <c r="CO24" s="177"/>
      <c r="CP24" s="158"/>
      <c r="CQ24" s="177"/>
      <c r="CR24" s="180"/>
      <c r="CS24" s="158"/>
      <c r="CT24" s="177"/>
      <c r="CU24" s="158"/>
      <c r="CV24" s="177"/>
      <c r="CW24" s="155">
        <f t="shared" si="6"/>
        <v>0</v>
      </c>
      <c r="CX24" s="155">
        <f t="shared" si="7"/>
        <v>0</v>
      </c>
      <c r="CY24" s="155">
        <f>IF(MatchDay!$C$2="LOWER",COUNTA(CF24:CH24),0)</f>
        <v>0</v>
      </c>
      <c r="DA24" s="157" t="s">
        <v>912</v>
      </c>
      <c r="DB24" s="171"/>
      <c r="DC24" s="165"/>
      <c r="DD24" s="171"/>
      <c r="DE24" s="158"/>
      <c r="DF24" s="171"/>
      <c r="DG24" s="165"/>
      <c r="DH24" s="171"/>
      <c r="DI24" s="158"/>
      <c r="DJ24" s="180"/>
      <c r="DK24" s="180"/>
      <c r="DL24" s="180"/>
      <c r="DM24" s="171"/>
      <c r="DN24" s="158"/>
      <c r="DO24" s="171"/>
      <c r="DP24" s="158"/>
      <c r="DQ24" s="171"/>
      <c r="DR24" s="180"/>
      <c r="DS24" s="158"/>
      <c r="DT24" s="171"/>
      <c r="DU24" s="158"/>
      <c r="DV24" s="171"/>
      <c r="DW24" s="155">
        <f t="shared" si="8"/>
        <v>0</v>
      </c>
      <c r="DX24" s="155">
        <f t="shared" si="9"/>
        <v>0</v>
      </c>
      <c r="DY24" s="155">
        <f>IF(MatchDay!$C$2="LOWER",COUNTA(DF24:DH24),0)</f>
        <v>0</v>
      </c>
      <c r="EA24" s="157" t="s">
        <v>912</v>
      </c>
      <c r="EB24" s="177"/>
      <c r="EC24" s="165"/>
      <c r="ED24" s="177"/>
      <c r="EE24" s="158"/>
      <c r="EF24" s="177"/>
      <c r="EG24" s="165"/>
      <c r="EH24" s="177"/>
      <c r="EI24" s="158"/>
      <c r="EJ24" s="180"/>
      <c r="EK24" s="180"/>
      <c r="EL24" s="180"/>
      <c r="EM24" s="177"/>
      <c r="EN24" s="158"/>
      <c r="EO24" s="177"/>
      <c r="EP24" s="158"/>
      <c r="EQ24" s="177"/>
      <c r="ER24" s="180"/>
      <c r="ES24" s="158"/>
      <c r="ET24" s="177"/>
      <c r="EU24" s="158"/>
      <c r="EV24" s="177"/>
      <c r="EW24" s="155">
        <f t="shared" si="10"/>
        <v>0</v>
      </c>
      <c r="EX24" s="155">
        <f t="shared" si="11"/>
        <v>0</v>
      </c>
      <c r="EY24" s="155">
        <f>IF(MatchDay!$C$2="LOWER",COUNTA(EF24:EH24),0)</f>
        <v>0</v>
      </c>
      <c r="FA24" s="157" t="s">
        <v>912</v>
      </c>
      <c r="FB24" s="171"/>
      <c r="FC24" s="165"/>
      <c r="FD24" s="171"/>
      <c r="FE24" s="158"/>
      <c r="FF24" s="171"/>
      <c r="FG24" s="165"/>
      <c r="FH24" s="171"/>
      <c r="FI24" s="158"/>
      <c r="FJ24" s="180"/>
      <c r="FK24" s="180"/>
      <c r="FL24" s="180"/>
      <c r="FM24" s="171"/>
      <c r="FN24" s="158"/>
      <c r="FO24" s="171"/>
      <c r="FP24" s="158"/>
      <c r="FQ24" s="171"/>
      <c r="FR24" s="180"/>
      <c r="FS24" s="158"/>
      <c r="FT24" s="171"/>
      <c r="FU24" s="158"/>
      <c r="FV24" s="171"/>
      <c r="FW24" s="155">
        <f t="shared" si="12"/>
        <v>0</v>
      </c>
      <c r="FX24" s="155">
        <f t="shared" si="13"/>
        <v>0</v>
      </c>
      <c r="FY24" s="155">
        <f>IF(MatchDay!$C$2="LOWER",COUNTA(FF24:FH24),0)</f>
        <v>0</v>
      </c>
      <c r="GA24" s="157" t="s">
        <v>912</v>
      </c>
      <c r="GB24" s="177"/>
      <c r="GC24" s="165"/>
      <c r="GD24" s="177"/>
      <c r="GE24" s="158"/>
      <c r="GF24" s="177"/>
      <c r="GG24" s="165"/>
      <c r="GH24" s="177"/>
      <c r="GI24" s="158"/>
      <c r="GJ24" s="180"/>
      <c r="GK24" s="180"/>
      <c r="GL24" s="180"/>
      <c r="GM24" s="177"/>
      <c r="GN24" s="158"/>
      <c r="GO24" s="177"/>
      <c r="GP24" s="158"/>
      <c r="GQ24" s="177"/>
      <c r="GR24" s="180"/>
      <c r="GS24" s="158"/>
      <c r="GT24" s="177"/>
      <c r="GU24" s="158"/>
      <c r="GV24" s="177"/>
      <c r="GW24" s="155">
        <f t="shared" si="14"/>
        <v>0</v>
      </c>
      <c r="GX24" s="155">
        <f t="shared" si="15"/>
        <v>0</v>
      </c>
      <c r="GY24" s="155">
        <f>IF(MatchDay!$C$2="LOWER",COUNTA(GF24:GH24),0)</f>
        <v>0</v>
      </c>
    </row>
    <row r="25" spans="1:207" ht="16.5" customHeight="1" x14ac:dyDescent="0.45">
      <c r="A25" s="157" t="s">
        <v>912</v>
      </c>
      <c r="B25" s="171"/>
      <c r="C25" s="165"/>
      <c r="D25" s="171"/>
      <c r="E25" s="158"/>
      <c r="F25" s="171"/>
      <c r="G25" s="165"/>
      <c r="H25" s="171"/>
      <c r="I25" s="158"/>
      <c r="J25" s="180"/>
      <c r="K25" s="180"/>
      <c r="L25" s="180"/>
      <c r="M25" s="171"/>
      <c r="N25" s="158"/>
      <c r="O25" s="171"/>
      <c r="P25" s="158"/>
      <c r="Q25" s="171"/>
      <c r="R25" s="180"/>
      <c r="S25" s="158"/>
      <c r="T25" s="171"/>
      <c r="U25" s="158"/>
      <c r="V25" s="171"/>
      <c r="W25" s="155">
        <f t="shared" si="0"/>
        <v>0</v>
      </c>
      <c r="X25" s="155">
        <f t="shared" si="1"/>
        <v>0</v>
      </c>
      <c r="Y25" s="155">
        <f>IF(MatchDay!$C$2="LOWER",COUNTA(F25:H25),0)</f>
        <v>0</v>
      </c>
      <c r="AA25" s="157" t="s">
        <v>912</v>
      </c>
      <c r="AB25" s="177"/>
      <c r="AC25" s="165"/>
      <c r="AD25" s="177"/>
      <c r="AE25" s="158"/>
      <c r="AF25" s="177"/>
      <c r="AG25" s="165"/>
      <c r="AH25" s="177"/>
      <c r="AI25" s="158"/>
      <c r="AJ25" s="180"/>
      <c r="AK25" s="180"/>
      <c r="AL25" s="180"/>
      <c r="AM25" s="177"/>
      <c r="AN25" s="158"/>
      <c r="AO25" s="177"/>
      <c r="AP25" s="158"/>
      <c r="AQ25" s="177"/>
      <c r="AR25" s="180"/>
      <c r="AS25" s="158"/>
      <c r="AT25" s="177"/>
      <c r="AU25" s="158"/>
      <c r="AV25" s="177"/>
      <c r="AW25" s="155">
        <f t="shared" si="2"/>
        <v>0</v>
      </c>
      <c r="AX25" s="155">
        <f t="shared" si="3"/>
        <v>0</v>
      </c>
      <c r="AY25" s="155">
        <f>IF(MatchDay!$C$2="LOWER",COUNTA(AF25:AH25),0)</f>
        <v>0</v>
      </c>
      <c r="BA25" s="157" t="s">
        <v>912</v>
      </c>
      <c r="BB25" s="171"/>
      <c r="BC25" s="165"/>
      <c r="BD25" s="171"/>
      <c r="BE25" s="158"/>
      <c r="BF25" s="171"/>
      <c r="BG25" s="165"/>
      <c r="BH25" s="171"/>
      <c r="BI25" s="158"/>
      <c r="BJ25" s="180"/>
      <c r="BK25" s="180"/>
      <c r="BL25" s="180"/>
      <c r="BM25" s="171"/>
      <c r="BN25" s="158"/>
      <c r="BO25" s="171"/>
      <c r="BP25" s="158"/>
      <c r="BQ25" s="171"/>
      <c r="BR25" s="180"/>
      <c r="BS25" s="158"/>
      <c r="BT25" s="171"/>
      <c r="BU25" s="158"/>
      <c r="BV25" s="171"/>
      <c r="BW25" s="155">
        <f t="shared" si="4"/>
        <v>0</v>
      </c>
      <c r="BX25" s="155">
        <f t="shared" si="5"/>
        <v>0</v>
      </c>
      <c r="BY25" s="155">
        <f>IF(MatchDay!$C$2="LOWER",COUNTA(BF25:BH25),0)</f>
        <v>0</v>
      </c>
      <c r="CA25" s="157" t="s">
        <v>912</v>
      </c>
      <c r="CB25" s="177"/>
      <c r="CC25" s="165"/>
      <c r="CD25" s="177"/>
      <c r="CE25" s="158"/>
      <c r="CF25" s="177"/>
      <c r="CG25" s="165"/>
      <c r="CH25" s="177"/>
      <c r="CI25" s="158"/>
      <c r="CJ25" s="180"/>
      <c r="CK25" s="180"/>
      <c r="CL25" s="180"/>
      <c r="CM25" s="177"/>
      <c r="CN25" s="158"/>
      <c r="CO25" s="177"/>
      <c r="CP25" s="158"/>
      <c r="CQ25" s="177"/>
      <c r="CR25" s="180"/>
      <c r="CS25" s="158"/>
      <c r="CT25" s="177"/>
      <c r="CU25" s="158"/>
      <c r="CV25" s="177"/>
      <c r="CW25" s="155">
        <f t="shared" si="6"/>
        <v>0</v>
      </c>
      <c r="CX25" s="155">
        <f t="shared" si="7"/>
        <v>0</v>
      </c>
      <c r="CY25" s="155">
        <f>IF(MatchDay!$C$2="LOWER",COUNTA(CF25:CH25),0)</f>
        <v>0</v>
      </c>
      <c r="DA25" s="157" t="s">
        <v>912</v>
      </c>
      <c r="DB25" s="171"/>
      <c r="DC25" s="165"/>
      <c r="DD25" s="171"/>
      <c r="DE25" s="158"/>
      <c r="DF25" s="171"/>
      <c r="DG25" s="165"/>
      <c r="DH25" s="171"/>
      <c r="DI25" s="158"/>
      <c r="DJ25" s="180"/>
      <c r="DK25" s="180"/>
      <c r="DL25" s="180"/>
      <c r="DM25" s="171"/>
      <c r="DN25" s="158"/>
      <c r="DO25" s="171"/>
      <c r="DP25" s="158"/>
      <c r="DQ25" s="171"/>
      <c r="DR25" s="180"/>
      <c r="DS25" s="158"/>
      <c r="DT25" s="171"/>
      <c r="DU25" s="158"/>
      <c r="DV25" s="171"/>
      <c r="DW25" s="155">
        <f t="shared" si="8"/>
        <v>0</v>
      </c>
      <c r="DX25" s="155">
        <f t="shared" si="9"/>
        <v>0</v>
      </c>
      <c r="DY25" s="155">
        <f>IF(MatchDay!$C$2="LOWER",COUNTA(DF25:DH25),0)</f>
        <v>0</v>
      </c>
      <c r="EA25" s="157" t="s">
        <v>912</v>
      </c>
      <c r="EB25" s="177"/>
      <c r="EC25" s="165"/>
      <c r="ED25" s="177"/>
      <c r="EE25" s="158"/>
      <c r="EF25" s="177"/>
      <c r="EG25" s="165"/>
      <c r="EH25" s="177"/>
      <c r="EI25" s="158"/>
      <c r="EJ25" s="180"/>
      <c r="EK25" s="180"/>
      <c r="EL25" s="180"/>
      <c r="EM25" s="177"/>
      <c r="EN25" s="158"/>
      <c r="EO25" s="177"/>
      <c r="EP25" s="158"/>
      <c r="EQ25" s="177"/>
      <c r="ER25" s="180"/>
      <c r="ES25" s="158"/>
      <c r="ET25" s="177"/>
      <c r="EU25" s="158"/>
      <c r="EV25" s="177"/>
      <c r="EW25" s="155">
        <f t="shared" si="10"/>
        <v>0</v>
      </c>
      <c r="EX25" s="155">
        <f t="shared" si="11"/>
        <v>0</v>
      </c>
      <c r="EY25" s="155">
        <f>IF(MatchDay!$C$2="LOWER",COUNTA(EF25:EH25),0)</f>
        <v>0</v>
      </c>
      <c r="FA25" s="157" t="s">
        <v>912</v>
      </c>
      <c r="FB25" s="171"/>
      <c r="FC25" s="165"/>
      <c r="FD25" s="171"/>
      <c r="FE25" s="158"/>
      <c r="FF25" s="171"/>
      <c r="FG25" s="165"/>
      <c r="FH25" s="171"/>
      <c r="FI25" s="158"/>
      <c r="FJ25" s="180"/>
      <c r="FK25" s="180"/>
      <c r="FL25" s="180"/>
      <c r="FM25" s="171"/>
      <c r="FN25" s="158"/>
      <c r="FO25" s="171"/>
      <c r="FP25" s="158"/>
      <c r="FQ25" s="171"/>
      <c r="FR25" s="180"/>
      <c r="FS25" s="158"/>
      <c r="FT25" s="171"/>
      <c r="FU25" s="158"/>
      <c r="FV25" s="171"/>
      <c r="FW25" s="155">
        <f t="shared" si="12"/>
        <v>0</v>
      </c>
      <c r="FX25" s="155">
        <f t="shared" si="13"/>
        <v>0</v>
      </c>
      <c r="FY25" s="155">
        <f>IF(MatchDay!$C$2="LOWER",COUNTA(FF25:FH25),0)</f>
        <v>0</v>
      </c>
      <c r="GA25" s="157" t="s">
        <v>912</v>
      </c>
      <c r="GB25" s="177"/>
      <c r="GC25" s="165"/>
      <c r="GD25" s="177"/>
      <c r="GE25" s="158"/>
      <c r="GF25" s="177"/>
      <c r="GG25" s="165"/>
      <c r="GH25" s="177"/>
      <c r="GI25" s="158"/>
      <c r="GJ25" s="180"/>
      <c r="GK25" s="180"/>
      <c r="GL25" s="180"/>
      <c r="GM25" s="177"/>
      <c r="GN25" s="158"/>
      <c r="GO25" s="177"/>
      <c r="GP25" s="158"/>
      <c r="GQ25" s="177"/>
      <c r="GR25" s="180"/>
      <c r="GS25" s="158"/>
      <c r="GT25" s="177"/>
      <c r="GU25" s="158"/>
      <c r="GV25" s="177"/>
      <c r="GW25" s="155">
        <f t="shared" si="14"/>
        <v>0</v>
      </c>
      <c r="GX25" s="155">
        <f t="shared" si="15"/>
        <v>0</v>
      </c>
      <c r="GY25" s="155">
        <f>IF(MatchDay!$C$2="LOWER",COUNTA(GF25:GH25),0)</f>
        <v>0</v>
      </c>
    </row>
    <row r="26" spans="1:207" ht="16.5" customHeight="1" x14ac:dyDescent="0.45">
      <c r="A26" s="157" t="s">
        <v>912</v>
      </c>
      <c r="B26" s="171"/>
      <c r="C26" s="165"/>
      <c r="D26" s="171"/>
      <c r="E26" s="158"/>
      <c r="F26" s="171"/>
      <c r="G26" s="165"/>
      <c r="H26" s="171"/>
      <c r="I26" s="158"/>
      <c r="J26" s="180"/>
      <c r="K26" s="180"/>
      <c r="L26" s="180"/>
      <c r="M26" s="171"/>
      <c r="N26" s="158"/>
      <c r="O26" s="171"/>
      <c r="P26" s="158"/>
      <c r="Q26" s="171"/>
      <c r="R26" s="180"/>
      <c r="S26" s="158"/>
      <c r="T26" s="171"/>
      <c r="U26" s="158"/>
      <c r="V26" s="171"/>
      <c r="W26" s="155">
        <f t="shared" si="0"/>
        <v>0</v>
      </c>
      <c r="X26" s="155">
        <f t="shared" si="1"/>
        <v>0</v>
      </c>
      <c r="Y26" s="155">
        <f>IF(MatchDay!$C$2="LOWER",COUNTA(F26:H26),0)</f>
        <v>0</v>
      </c>
      <c r="AA26" s="157" t="s">
        <v>912</v>
      </c>
      <c r="AB26" s="177"/>
      <c r="AC26" s="165"/>
      <c r="AD26" s="177"/>
      <c r="AE26" s="158"/>
      <c r="AF26" s="177"/>
      <c r="AG26" s="165"/>
      <c r="AH26" s="177"/>
      <c r="AI26" s="158"/>
      <c r="AJ26" s="180"/>
      <c r="AK26" s="180"/>
      <c r="AL26" s="180"/>
      <c r="AM26" s="177"/>
      <c r="AN26" s="158"/>
      <c r="AO26" s="177"/>
      <c r="AP26" s="158"/>
      <c r="AQ26" s="177"/>
      <c r="AR26" s="180"/>
      <c r="AS26" s="158"/>
      <c r="AT26" s="177"/>
      <c r="AU26" s="158"/>
      <c r="AV26" s="177"/>
      <c r="AW26" s="155">
        <f t="shared" si="2"/>
        <v>0</v>
      </c>
      <c r="AX26" s="155">
        <f t="shared" si="3"/>
        <v>0</v>
      </c>
      <c r="AY26" s="155">
        <f>IF(MatchDay!$C$2="LOWER",COUNTA(AF26:AH26),0)</f>
        <v>0</v>
      </c>
      <c r="BA26" s="157" t="s">
        <v>912</v>
      </c>
      <c r="BB26" s="171"/>
      <c r="BC26" s="165"/>
      <c r="BD26" s="171"/>
      <c r="BE26" s="158"/>
      <c r="BF26" s="171"/>
      <c r="BG26" s="165"/>
      <c r="BH26" s="171"/>
      <c r="BI26" s="158"/>
      <c r="BJ26" s="180"/>
      <c r="BK26" s="180"/>
      <c r="BL26" s="180"/>
      <c r="BM26" s="171"/>
      <c r="BN26" s="158"/>
      <c r="BO26" s="171"/>
      <c r="BP26" s="158"/>
      <c r="BQ26" s="171"/>
      <c r="BR26" s="180"/>
      <c r="BS26" s="158"/>
      <c r="BT26" s="171"/>
      <c r="BU26" s="158"/>
      <c r="BV26" s="171"/>
      <c r="BW26" s="155">
        <f t="shared" si="4"/>
        <v>0</v>
      </c>
      <c r="BX26" s="155">
        <f t="shared" si="5"/>
        <v>0</v>
      </c>
      <c r="BY26" s="155">
        <f>IF(MatchDay!$C$2="LOWER",COUNTA(BF26:BH26),0)</f>
        <v>0</v>
      </c>
      <c r="CA26" s="157" t="s">
        <v>912</v>
      </c>
      <c r="CB26" s="177"/>
      <c r="CC26" s="165"/>
      <c r="CD26" s="177"/>
      <c r="CE26" s="158"/>
      <c r="CF26" s="177"/>
      <c r="CG26" s="165"/>
      <c r="CH26" s="177"/>
      <c r="CI26" s="158"/>
      <c r="CJ26" s="180"/>
      <c r="CK26" s="180"/>
      <c r="CL26" s="180"/>
      <c r="CM26" s="177"/>
      <c r="CN26" s="158"/>
      <c r="CO26" s="177"/>
      <c r="CP26" s="158"/>
      <c r="CQ26" s="177"/>
      <c r="CR26" s="180"/>
      <c r="CS26" s="158"/>
      <c r="CT26" s="177"/>
      <c r="CU26" s="158"/>
      <c r="CV26" s="177"/>
      <c r="CW26" s="155">
        <f t="shared" si="6"/>
        <v>0</v>
      </c>
      <c r="CX26" s="155">
        <f t="shared" si="7"/>
        <v>0</v>
      </c>
      <c r="CY26" s="155">
        <f>IF(MatchDay!$C$2="LOWER",COUNTA(CF26:CH26),0)</f>
        <v>0</v>
      </c>
      <c r="DA26" s="157" t="s">
        <v>912</v>
      </c>
      <c r="DB26" s="171"/>
      <c r="DC26" s="165"/>
      <c r="DD26" s="171"/>
      <c r="DE26" s="158"/>
      <c r="DF26" s="171"/>
      <c r="DG26" s="165"/>
      <c r="DH26" s="171"/>
      <c r="DI26" s="158"/>
      <c r="DJ26" s="180"/>
      <c r="DK26" s="180"/>
      <c r="DL26" s="180"/>
      <c r="DM26" s="171"/>
      <c r="DN26" s="158"/>
      <c r="DO26" s="171"/>
      <c r="DP26" s="158"/>
      <c r="DQ26" s="171"/>
      <c r="DR26" s="180"/>
      <c r="DS26" s="158"/>
      <c r="DT26" s="171"/>
      <c r="DU26" s="158"/>
      <c r="DV26" s="171"/>
      <c r="DW26" s="155">
        <f t="shared" si="8"/>
        <v>0</v>
      </c>
      <c r="DX26" s="155">
        <f t="shared" si="9"/>
        <v>0</v>
      </c>
      <c r="DY26" s="155">
        <f>IF(MatchDay!$C$2="LOWER",COUNTA(DF26:DH26),0)</f>
        <v>0</v>
      </c>
      <c r="EA26" s="157" t="s">
        <v>912</v>
      </c>
      <c r="EB26" s="177"/>
      <c r="EC26" s="165"/>
      <c r="ED26" s="177"/>
      <c r="EE26" s="158"/>
      <c r="EF26" s="177"/>
      <c r="EG26" s="165"/>
      <c r="EH26" s="177"/>
      <c r="EI26" s="158"/>
      <c r="EJ26" s="180"/>
      <c r="EK26" s="180"/>
      <c r="EL26" s="180"/>
      <c r="EM26" s="177"/>
      <c r="EN26" s="158"/>
      <c r="EO26" s="177"/>
      <c r="EP26" s="158"/>
      <c r="EQ26" s="177"/>
      <c r="ER26" s="180"/>
      <c r="ES26" s="158"/>
      <c r="ET26" s="177"/>
      <c r="EU26" s="158"/>
      <c r="EV26" s="177"/>
      <c r="EW26" s="155">
        <f t="shared" si="10"/>
        <v>0</v>
      </c>
      <c r="EX26" s="155">
        <f t="shared" si="11"/>
        <v>0</v>
      </c>
      <c r="EY26" s="155">
        <f>IF(MatchDay!$C$2="LOWER",COUNTA(EF26:EH26),0)</f>
        <v>0</v>
      </c>
      <c r="FA26" s="157" t="s">
        <v>912</v>
      </c>
      <c r="FB26" s="171"/>
      <c r="FC26" s="165"/>
      <c r="FD26" s="171"/>
      <c r="FE26" s="158"/>
      <c r="FF26" s="171"/>
      <c r="FG26" s="165"/>
      <c r="FH26" s="171"/>
      <c r="FI26" s="158"/>
      <c r="FJ26" s="180"/>
      <c r="FK26" s="180"/>
      <c r="FL26" s="180"/>
      <c r="FM26" s="171"/>
      <c r="FN26" s="158"/>
      <c r="FO26" s="171"/>
      <c r="FP26" s="158"/>
      <c r="FQ26" s="171"/>
      <c r="FR26" s="180"/>
      <c r="FS26" s="158"/>
      <c r="FT26" s="171"/>
      <c r="FU26" s="158"/>
      <c r="FV26" s="171"/>
      <c r="FW26" s="155">
        <f t="shared" si="12"/>
        <v>0</v>
      </c>
      <c r="FX26" s="155">
        <f t="shared" si="13"/>
        <v>0</v>
      </c>
      <c r="FY26" s="155">
        <f>IF(MatchDay!$C$2="LOWER",COUNTA(FF26:FH26),0)</f>
        <v>0</v>
      </c>
      <c r="GA26" s="157" t="s">
        <v>912</v>
      </c>
      <c r="GB26" s="177"/>
      <c r="GC26" s="165"/>
      <c r="GD26" s="177"/>
      <c r="GE26" s="158"/>
      <c r="GF26" s="177"/>
      <c r="GG26" s="165"/>
      <c r="GH26" s="177"/>
      <c r="GI26" s="158"/>
      <c r="GJ26" s="180"/>
      <c r="GK26" s="180"/>
      <c r="GL26" s="180"/>
      <c r="GM26" s="177"/>
      <c r="GN26" s="158"/>
      <c r="GO26" s="177"/>
      <c r="GP26" s="158"/>
      <c r="GQ26" s="177"/>
      <c r="GR26" s="180"/>
      <c r="GS26" s="158"/>
      <c r="GT26" s="177"/>
      <c r="GU26" s="158"/>
      <c r="GV26" s="177"/>
      <c r="GW26" s="155">
        <f t="shared" si="14"/>
        <v>0</v>
      </c>
      <c r="GX26" s="155">
        <f t="shared" si="15"/>
        <v>0</v>
      </c>
      <c r="GY26" s="155">
        <f>IF(MatchDay!$C$2="LOWER",COUNTA(GF26:GH26),0)</f>
        <v>0</v>
      </c>
    </row>
    <row r="27" spans="1:207" ht="16.5" customHeight="1" x14ac:dyDescent="0.45">
      <c r="A27" s="157" t="s">
        <v>912</v>
      </c>
      <c r="B27" s="171"/>
      <c r="C27" s="165"/>
      <c r="D27" s="171"/>
      <c r="E27" s="158"/>
      <c r="F27" s="171"/>
      <c r="G27" s="165"/>
      <c r="H27" s="171"/>
      <c r="I27" s="158"/>
      <c r="J27" s="180"/>
      <c r="K27" s="180"/>
      <c r="L27" s="180"/>
      <c r="M27" s="171"/>
      <c r="N27" s="158"/>
      <c r="O27" s="171"/>
      <c r="P27" s="158"/>
      <c r="Q27" s="171"/>
      <c r="R27" s="180"/>
      <c r="S27" s="158"/>
      <c r="T27" s="171"/>
      <c r="U27" s="158"/>
      <c r="V27" s="171"/>
      <c r="W27" s="155">
        <f t="shared" si="0"/>
        <v>0</v>
      </c>
      <c r="X27" s="155">
        <f t="shared" si="1"/>
        <v>0</v>
      </c>
      <c r="Y27" s="155">
        <f>IF(MatchDay!$C$2="LOWER",COUNTA(F27:H27),0)</f>
        <v>0</v>
      </c>
      <c r="AA27" s="157" t="s">
        <v>912</v>
      </c>
      <c r="AB27" s="177"/>
      <c r="AC27" s="165"/>
      <c r="AD27" s="177"/>
      <c r="AE27" s="158"/>
      <c r="AF27" s="177"/>
      <c r="AG27" s="165"/>
      <c r="AH27" s="177"/>
      <c r="AI27" s="158"/>
      <c r="AJ27" s="180"/>
      <c r="AK27" s="180"/>
      <c r="AL27" s="180"/>
      <c r="AM27" s="177"/>
      <c r="AN27" s="158"/>
      <c r="AO27" s="177"/>
      <c r="AP27" s="158"/>
      <c r="AQ27" s="177"/>
      <c r="AR27" s="180"/>
      <c r="AS27" s="158"/>
      <c r="AT27" s="177"/>
      <c r="AU27" s="158"/>
      <c r="AV27" s="177"/>
      <c r="AW27" s="155">
        <f t="shared" si="2"/>
        <v>0</v>
      </c>
      <c r="AX27" s="155">
        <f t="shared" si="3"/>
        <v>0</v>
      </c>
      <c r="AY27" s="155">
        <f>IF(MatchDay!$C$2="LOWER",COUNTA(AF27:AH27),0)</f>
        <v>0</v>
      </c>
      <c r="BA27" s="157" t="s">
        <v>912</v>
      </c>
      <c r="BB27" s="171"/>
      <c r="BC27" s="165"/>
      <c r="BD27" s="171"/>
      <c r="BE27" s="158"/>
      <c r="BF27" s="171"/>
      <c r="BG27" s="165"/>
      <c r="BH27" s="171"/>
      <c r="BI27" s="158"/>
      <c r="BJ27" s="180"/>
      <c r="BK27" s="180"/>
      <c r="BL27" s="180"/>
      <c r="BM27" s="171"/>
      <c r="BN27" s="158"/>
      <c r="BO27" s="171"/>
      <c r="BP27" s="158"/>
      <c r="BQ27" s="171"/>
      <c r="BR27" s="180"/>
      <c r="BS27" s="158"/>
      <c r="BT27" s="171"/>
      <c r="BU27" s="158"/>
      <c r="BV27" s="171"/>
      <c r="BW27" s="155">
        <f t="shared" si="4"/>
        <v>0</v>
      </c>
      <c r="BX27" s="155">
        <f t="shared" si="5"/>
        <v>0</v>
      </c>
      <c r="BY27" s="155">
        <f>IF(MatchDay!$C$2="LOWER",COUNTA(BF27:BH27),0)</f>
        <v>0</v>
      </c>
      <c r="CA27" s="157" t="s">
        <v>912</v>
      </c>
      <c r="CB27" s="177"/>
      <c r="CC27" s="165"/>
      <c r="CD27" s="177"/>
      <c r="CE27" s="158"/>
      <c r="CF27" s="177"/>
      <c r="CG27" s="165"/>
      <c r="CH27" s="177"/>
      <c r="CI27" s="158"/>
      <c r="CJ27" s="180"/>
      <c r="CK27" s="180"/>
      <c r="CL27" s="180"/>
      <c r="CM27" s="177"/>
      <c r="CN27" s="158"/>
      <c r="CO27" s="177"/>
      <c r="CP27" s="158"/>
      <c r="CQ27" s="177"/>
      <c r="CR27" s="180"/>
      <c r="CS27" s="158"/>
      <c r="CT27" s="177"/>
      <c r="CU27" s="158"/>
      <c r="CV27" s="177"/>
      <c r="CW27" s="155">
        <f t="shared" si="6"/>
        <v>0</v>
      </c>
      <c r="CX27" s="155">
        <f t="shared" si="7"/>
        <v>0</v>
      </c>
      <c r="CY27" s="155">
        <f>IF(MatchDay!$C$2="LOWER",COUNTA(CF27:CH27),0)</f>
        <v>0</v>
      </c>
      <c r="DA27" s="157" t="s">
        <v>912</v>
      </c>
      <c r="DB27" s="171"/>
      <c r="DC27" s="165"/>
      <c r="DD27" s="171"/>
      <c r="DE27" s="158"/>
      <c r="DF27" s="171"/>
      <c r="DG27" s="165"/>
      <c r="DH27" s="171"/>
      <c r="DI27" s="158"/>
      <c r="DJ27" s="180"/>
      <c r="DK27" s="180"/>
      <c r="DL27" s="180"/>
      <c r="DM27" s="171"/>
      <c r="DN27" s="158"/>
      <c r="DO27" s="171"/>
      <c r="DP27" s="158"/>
      <c r="DQ27" s="171"/>
      <c r="DR27" s="180"/>
      <c r="DS27" s="158"/>
      <c r="DT27" s="171"/>
      <c r="DU27" s="158"/>
      <c r="DV27" s="171"/>
      <c r="DW27" s="155">
        <f t="shared" si="8"/>
        <v>0</v>
      </c>
      <c r="DX27" s="155">
        <f t="shared" si="9"/>
        <v>0</v>
      </c>
      <c r="DY27" s="155">
        <f>IF(MatchDay!$C$2="LOWER",COUNTA(DF27:DH27),0)</f>
        <v>0</v>
      </c>
      <c r="EA27" s="157" t="s">
        <v>912</v>
      </c>
      <c r="EB27" s="177"/>
      <c r="EC27" s="165"/>
      <c r="ED27" s="177"/>
      <c r="EE27" s="158"/>
      <c r="EF27" s="177"/>
      <c r="EG27" s="165"/>
      <c r="EH27" s="177"/>
      <c r="EI27" s="158"/>
      <c r="EJ27" s="180"/>
      <c r="EK27" s="180"/>
      <c r="EL27" s="180"/>
      <c r="EM27" s="177"/>
      <c r="EN27" s="158"/>
      <c r="EO27" s="177"/>
      <c r="EP27" s="158"/>
      <c r="EQ27" s="177"/>
      <c r="ER27" s="180"/>
      <c r="ES27" s="158"/>
      <c r="ET27" s="177"/>
      <c r="EU27" s="158"/>
      <c r="EV27" s="177"/>
      <c r="EW27" s="155">
        <f t="shared" si="10"/>
        <v>0</v>
      </c>
      <c r="EX27" s="155">
        <f t="shared" si="11"/>
        <v>0</v>
      </c>
      <c r="EY27" s="155">
        <f>IF(MatchDay!$C$2="LOWER",COUNTA(EF27:EH27),0)</f>
        <v>0</v>
      </c>
      <c r="FA27" s="157" t="s">
        <v>912</v>
      </c>
      <c r="FB27" s="171"/>
      <c r="FC27" s="165"/>
      <c r="FD27" s="171"/>
      <c r="FE27" s="158"/>
      <c r="FF27" s="171"/>
      <c r="FG27" s="165"/>
      <c r="FH27" s="171"/>
      <c r="FI27" s="158"/>
      <c r="FJ27" s="180"/>
      <c r="FK27" s="180"/>
      <c r="FL27" s="180"/>
      <c r="FM27" s="171"/>
      <c r="FN27" s="158"/>
      <c r="FO27" s="171"/>
      <c r="FP27" s="158"/>
      <c r="FQ27" s="171"/>
      <c r="FR27" s="180"/>
      <c r="FS27" s="158"/>
      <c r="FT27" s="171"/>
      <c r="FU27" s="158"/>
      <c r="FV27" s="171"/>
      <c r="FW27" s="155">
        <f t="shared" si="12"/>
        <v>0</v>
      </c>
      <c r="FX27" s="155">
        <f t="shared" si="13"/>
        <v>0</v>
      </c>
      <c r="FY27" s="155">
        <f>IF(MatchDay!$C$2="LOWER",COUNTA(FF27:FH27),0)</f>
        <v>0</v>
      </c>
      <c r="GA27" s="157" t="s">
        <v>912</v>
      </c>
      <c r="GB27" s="177"/>
      <c r="GC27" s="165"/>
      <c r="GD27" s="177"/>
      <c r="GE27" s="158"/>
      <c r="GF27" s="177"/>
      <c r="GG27" s="165"/>
      <c r="GH27" s="177"/>
      <c r="GI27" s="158"/>
      <c r="GJ27" s="180"/>
      <c r="GK27" s="180"/>
      <c r="GL27" s="180"/>
      <c r="GM27" s="177"/>
      <c r="GN27" s="158"/>
      <c r="GO27" s="177"/>
      <c r="GP27" s="158"/>
      <c r="GQ27" s="177"/>
      <c r="GR27" s="180"/>
      <c r="GS27" s="158"/>
      <c r="GT27" s="177"/>
      <c r="GU27" s="158"/>
      <c r="GV27" s="177"/>
      <c r="GW27" s="155">
        <f t="shared" si="14"/>
        <v>0</v>
      </c>
      <c r="GX27" s="155">
        <f t="shared" si="15"/>
        <v>0</v>
      </c>
      <c r="GY27" s="155">
        <f>IF(MatchDay!$C$2="LOWER",COUNTA(GF27:GH27),0)</f>
        <v>0</v>
      </c>
    </row>
    <row r="28" spans="1:207" ht="16.5" customHeight="1" x14ac:dyDescent="0.45">
      <c r="A28" s="157" t="s">
        <v>912</v>
      </c>
      <c r="B28" s="171"/>
      <c r="C28" s="165"/>
      <c r="D28" s="171"/>
      <c r="E28" s="158"/>
      <c r="F28" s="171"/>
      <c r="G28" s="165"/>
      <c r="H28" s="171"/>
      <c r="I28" s="158"/>
      <c r="J28" s="180"/>
      <c r="K28" s="180"/>
      <c r="L28" s="180"/>
      <c r="M28" s="171"/>
      <c r="N28" s="158"/>
      <c r="O28" s="171"/>
      <c r="P28" s="158"/>
      <c r="Q28" s="171"/>
      <c r="R28" s="180"/>
      <c r="S28" s="158"/>
      <c r="T28" s="171"/>
      <c r="U28" s="158"/>
      <c r="V28" s="171"/>
      <c r="W28" s="155">
        <f t="shared" si="0"/>
        <v>0</v>
      </c>
      <c r="X28" s="155">
        <f t="shared" si="1"/>
        <v>0</v>
      </c>
      <c r="Y28" s="155">
        <f>IF(MatchDay!$C$2="LOWER",COUNTA(F28:H28),0)</f>
        <v>0</v>
      </c>
      <c r="AA28" s="157" t="s">
        <v>912</v>
      </c>
      <c r="AB28" s="177"/>
      <c r="AC28" s="165"/>
      <c r="AD28" s="177"/>
      <c r="AE28" s="158"/>
      <c r="AF28" s="177"/>
      <c r="AG28" s="165"/>
      <c r="AH28" s="177"/>
      <c r="AI28" s="158"/>
      <c r="AJ28" s="180"/>
      <c r="AK28" s="180"/>
      <c r="AL28" s="180"/>
      <c r="AM28" s="177"/>
      <c r="AN28" s="158"/>
      <c r="AO28" s="177"/>
      <c r="AP28" s="158"/>
      <c r="AQ28" s="177"/>
      <c r="AR28" s="180"/>
      <c r="AS28" s="158"/>
      <c r="AT28" s="177"/>
      <c r="AU28" s="158"/>
      <c r="AV28" s="177"/>
      <c r="AW28" s="155">
        <f t="shared" si="2"/>
        <v>0</v>
      </c>
      <c r="AX28" s="155">
        <f t="shared" si="3"/>
        <v>0</v>
      </c>
      <c r="AY28" s="155">
        <f>IF(MatchDay!$C$2="LOWER",COUNTA(AF28:AH28),0)</f>
        <v>0</v>
      </c>
      <c r="BA28" s="157" t="s">
        <v>912</v>
      </c>
      <c r="BB28" s="171"/>
      <c r="BC28" s="165"/>
      <c r="BD28" s="171"/>
      <c r="BE28" s="158"/>
      <c r="BF28" s="171"/>
      <c r="BG28" s="165"/>
      <c r="BH28" s="171"/>
      <c r="BI28" s="158"/>
      <c r="BJ28" s="180"/>
      <c r="BK28" s="180"/>
      <c r="BL28" s="180"/>
      <c r="BM28" s="171"/>
      <c r="BN28" s="158"/>
      <c r="BO28" s="171"/>
      <c r="BP28" s="158"/>
      <c r="BQ28" s="171"/>
      <c r="BR28" s="180"/>
      <c r="BS28" s="158"/>
      <c r="BT28" s="171"/>
      <c r="BU28" s="158"/>
      <c r="BV28" s="171"/>
      <c r="BW28" s="155">
        <f t="shared" si="4"/>
        <v>0</v>
      </c>
      <c r="BX28" s="155">
        <f t="shared" si="5"/>
        <v>0</v>
      </c>
      <c r="BY28" s="155">
        <f>IF(MatchDay!$C$2="LOWER",COUNTA(BF28:BH28),0)</f>
        <v>0</v>
      </c>
      <c r="CA28" s="157" t="s">
        <v>912</v>
      </c>
      <c r="CB28" s="177"/>
      <c r="CC28" s="165"/>
      <c r="CD28" s="177"/>
      <c r="CE28" s="158"/>
      <c r="CF28" s="177"/>
      <c r="CG28" s="165"/>
      <c r="CH28" s="177"/>
      <c r="CI28" s="158"/>
      <c r="CJ28" s="180"/>
      <c r="CK28" s="180"/>
      <c r="CL28" s="180"/>
      <c r="CM28" s="177"/>
      <c r="CN28" s="158"/>
      <c r="CO28" s="177"/>
      <c r="CP28" s="158"/>
      <c r="CQ28" s="177"/>
      <c r="CR28" s="180"/>
      <c r="CS28" s="158"/>
      <c r="CT28" s="177"/>
      <c r="CU28" s="158"/>
      <c r="CV28" s="177"/>
      <c r="CW28" s="155">
        <f t="shared" si="6"/>
        <v>0</v>
      </c>
      <c r="CX28" s="155">
        <f t="shared" si="7"/>
        <v>0</v>
      </c>
      <c r="CY28" s="155">
        <f>IF(MatchDay!$C$2="LOWER",COUNTA(CF28:CH28),0)</f>
        <v>0</v>
      </c>
      <c r="DA28" s="157" t="s">
        <v>912</v>
      </c>
      <c r="DB28" s="171"/>
      <c r="DC28" s="165"/>
      <c r="DD28" s="171"/>
      <c r="DE28" s="158"/>
      <c r="DF28" s="171"/>
      <c r="DG28" s="165"/>
      <c r="DH28" s="171"/>
      <c r="DI28" s="158"/>
      <c r="DJ28" s="180"/>
      <c r="DK28" s="180"/>
      <c r="DL28" s="180"/>
      <c r="DM28" s="171"/>
      <c r="DN28" s="158"/>
      <c r="DO28" s="171"/>
      <c r="DP28" s="158"/>
      <c r="DQ28" s="171"/>
      <c r="DR28" s="180"/>
      <c r="DS28" s="158"/>
      <c r="DT28" s="171"/>
      <c r="DU28" s="158"/>
      <c r="DV28" s="171"/>
      <c r="DW28" s="155">
        <f t="shared" si="8"/>
        <v>0</v>
      </c>
      <c r="DX28" s="155">
        <f t="shared" si="9"/>
        <v>0</v>
      </c>
      <c r="DY28" s="155">
        <f>IF(MatchDay!$C$2="LOWER",COUNTA(DF28:DH28),0)</f>
        <v>0</v>
      </c>
      <c r="EA28" s="157" t="s">
        <v>912</v>
      </c>
      <c r="EB28" s="177"/>
      <c r="EC28" s="165"/>
      <c r="ED28" s="177"/>
      <c r="EE28" s="158"/>
      <c r="EF28" s="177"/>
      <c r="EG28" s="165"/>
      <c r="EH28" s="177"/>
      <c r="EI28" s="158"/>
      <c r="EJ28" s="180"/>
      <c r="EK28" s="180"/>
      <c r="EL28" s="180"/>
      <c r="EM28" s="177"/>
      <c r="EN28" s="158"/>
      <c r="EO28" s="177"/>
      <c r="EP28" s="158"/>
      <c r="EQ28" s="177"/>
      <c r="ER28" s="180"/>
      <c r="ES28" s="158"/>
      <c r="ET28" s="177"/>
      <c r="EU28" s="158"/>
      <c r="EV28" s="177"/>
      <c r="EW28" s="155">
        <f t="shared" si="10"/>
        <v>0</v>
      </c>
      <c r="EX28" s="155">
        <f t="shared" si="11"/>
        <v>0</v>
      </c>
      <c r="EY28" s="155">
        <f>IF(MatchDay!$C$2="LOWER",COUNTA(EF28:EH28),0)</f>
        <v>0</v>
      </c>
      <c r="FA28" s="157" t="s">
        <v>912</v>
      </c>
      <c r="FB28" s="171"/>
      <c r="FC28" s="165"/>
      <c r="FD28" s="171"/>
      <c r="FE28" s="158"/>
      <c r="FF28" s="171"/>
      <c r="FG28" s="165"/>
      <c r="FH28" s="171"/>
      <c r="FI28" s="158"/>
      <c r="FJ28" s="180"/>
      <c r="FK28" s="180"/>
      <c r="FL28" s="180"/>
      <c r="FM28" s="171"/>
      <c r="FN28" s="158"/>
      <c r="FO28" s="171"/>
      <c r="FP28" s="158"/>
      <c r="FQ28" s="171"/>
      <c r="FR28" s="180"/>
      <c r="FS28" s="158"/>
      <c r="FT28" s="171"/>
      <c r="FU28" s="158"/>
      <c r="FV28" s="171"/>
      <c r="FW28" s="155">
        <f t="shared" si="12"/>
        <v>0</v>
      </c>
      <c r="FX28" s="155">
        <f t="shared" si="13"/>
        <v>0</v>
      </c>
      <c r="FY28" s="155">
        <f>IF(MatchDay!$C$2="LOWER",COUNTA(FF28:FH28),0)</f>
        <v>0</v>
      </c>
      <c r="GA28" s="157" t="s">
        <v>912</v>
      </c>
      <c r="GB28" s="177"/>
      <c r="GC28" s="165"/>
      <c r="GD28" s="177"/>
      <c r="GE28" s="158"/>
      <c r="GF28" s="177"/>
      <c r="GG28" s="165"/>
      <c r="GH28" s="177"/>
      <c r="GI28" s="158"/>
      <c r="GJ28" s="180"/>
      <c r="GK28" s="180"/>
      <c r="GL28" s="180"/>
      <c r="GM28" s="177"/>
      <c r="GN28" s="158"/>
      <c r="GO28" s="177"/>
      <c r="GP28" s="158"/>
      <c r="GQ28" s="177"/>
      <c r="GR28" s="180"/>
      <c r="GS28" s="158"/>
      <c r="GT28" s="177"/>
      <c r="GU28" s="158"/>
      <c r="GV28" s="177"/>
      <c r="GW28" s="155">
        <f t="shared" si="14"/>
        <v>0</v>
      </c>
      <c r="GX28" s="155">
        <f t="shared" si="15"/>
        <v>0</v>
      </c>
      <c r="GY28" s="155">
        <f>IF(MatchDay!$C$2="LOWER",COUNTA(GF28:GH28),0)</f>
        <v>0</v>
      </c>
    </row>
    <row r="29" spans="1:207" ht="16.5" customHeight="1" x14ac:dyDescent="0.45">
      <c r="A29" s="157" t="s">
        <v>912</v>
      </c>
      <c r="B29" s="171"/>
      <c r="C29" s="165"/>
      <c r="D29" s="171"/>
      <c r="E29" s="158"/>
      <c r="F29" s="171"/>
      <c r="G29" s="165"/>
      <c r="H29" s="171"/>
      <c r="I29" s="158"/>
      <c r="J29" s="180"/>
      <c r="K29" s="180"/>
      <c r="L29" s="180"/>
      <c r="M29" s="171"/>
      <c r="N29" s="158"/>
      <c r="O29" s="171"/>
      <c r="P29" s="158"/>
      <c r="Q29" s="171"/>
      <c r="R29" s="180"/>
      <c r="S29" s="158"/>
      <c r="T29" s="171"/>
      <c r="U29" s="158"/>
      <c r="V29" s="171"/>
      <c r="W29" s="155">
        <f t="shared" si="0"/>
        <v>0</v>
      </c>
      <c r="X29" s="155">
        <f t="shared" si="1"/>
        <v>0</v>
      </c>
      <c r="Y29" s="155">
        <f>IF(MatchDay!$C$2="LOWER",COUNTA(F29:H29),0)</f>
        <v>0</v>
      </c>
      <c r="AA29" s="157" t="s">
        <v>912</v>
      </c>
      <c r="AB29" s="177"/>
      <c r="AC29" s="165"/>
      <c r="AD29" s="177"/>
      <c r="AE29" s="158"/>
      <c r="AF29" s="177"/>
      <c r="AG29" s="165"/>
      <c r="AH29" s="177"/>
      <c r="AI29" s="158"/>
      <c r="AJ29" s="180"/>
      <c r="AK29" s="180"/>
      <c r="AL29" s="180"/>
      <c r="AM29" s="177"/>
      <c r="AN29" s="158"/>
      <c r="AO29" s="177"/>
      <c r="AP29" s="158"/>
      <c r="AQ29" s="177"/>
      <c r="AR29" s="180"/>
      <c r="AS29" s="158"/>
      <c r="AT29" s="177"/>
      <c r="AU29" s="158"/>
      <c r="AV29" s="177"/>
      <c r="AW29" s="155">
        <f t="shared" si="2"/>
        <v>0</v>
      </c>
      <c r="AX29" s="155">
        <f t="shared" si="3"/>
        <v>0</v>
      </c>
      <c r="AY29" s="155">
        <f>IF(MatchDay!$C$2="LOWER",COUNTA(AF29:AH29),0)</f>
        <v>0</v>
      </c>
      <c r="BA29" s="157" t="s">
        <v>912</v>
      </c>
      <c r="BB29" s="171"/>
      <c r="BC29" s="165"/>
      <c r="BD29" s="171"/>
      <c r="BE29" s="158"/>
      <c r="BF29" s="171"/>
      <c r="BG29" s="165"/>
      <c r="BH29" s="171"/>
      <c r="BI29" s="158"/>
      <c r="BJ29" s="180"/>
      <c r="BK29" s="180"/>
      <c r="BL29" s="180"/>
      <c r="BM29" s="171"/>
      <c r="BN29" s="158"/>
      <c r="BO29" s="171"/>
      <c r="BP29" s="158"/>
      <c r="BQ29" s="171"/>
      <c r="BR29" s="180"/>
      <c r="BS29" s="158"/>
      <c r="BT29" s="171"/>
      <c r="BU29" s="158"/>
      <c r="BV29" s="171"/>
      <c r="BW29" s="155">
        <f t="shared" si="4"/>
        <v>0</v>
      </c>
      <c r="BX29" s="155">
        <f t="shared" si="5"/>
        <v>0</v>
      </c>
      <c r="BY29" s="155">
        <f>IF(MatchDay!$C$2="LOWER",COUNTA(BF29:BH29),0)</f>
        <v>0</v>
      </c>
      <c r="CA29" s="157" t="s">
        <v>912</v>
      </c>
      <c r="CB29" s="177"/>
      <c r="CC29" s="165"/>
      <c r="CD29" s="177"/>
      <c r="CE29" s="158"/>
      <c r="CF29" s="177"/>
      <c r="CG29" s="165"/>
      <c r="CH29" s="177"/>
      <c r="CI29" s="158"/>
      <c r="CJ29" s="180"/>
      <c r="CK29" s="180"/>
      <c r="CL29" s="180"/>
      <c r="CM29" s="177"/>
      <c r="CN29" s="158"/>
      <c r="CO29" s="177"/>
      <c r="CP29" s="158"/>
      <c r="CQ29" s="177"/>
      <c r="CR29" s="180"/>
      <c r="CS29" s="158"/>
      <c r="CT29" s="177"/>
      <c r="CU29" s="158"/>
      <c r="CV29" s="177"/>
      <c r="CW29" s="155">
        <f t="shared" si="6"/>
        <v>0</v>
      </c>
      <c r="CX29" s="155">
        <f t="shared" si="7"/>
        <v>0</v>
      </c>
      <c r="CY29" s="155">
        <f>IF(MatchDay!$C$2="LOWER",COUNTA(CF29:CH29),0)</f>
        <v>0</v>
      </c>
      <c r="DA29" s="157" t="s">
        <v>912</v>
      </c>
      <c r="DB29" s="171"/>
      <c r="DC29" s="165"/>
      <c r="DD29" s="171"/>
      <c r="DE29" s="158"/>
      <c r="DF29" s="171"/>
      <c r="DG29" s="165"/>
      <c r="DH29" s="171"/>
      <c r="DI29" s="158"/>
      <c r="DJ29" s="180"/>
      <c r="DK29" s="180"/>
      <c r="DL29" s="180"/>
      <c r="DM29" s="171"/>
      <c r="DN29" s="158"/>
      <c r="DO29" s="171"/>
      <c r="DP29" s="158"/>
      <c r="DQ29" s="171"/>
      <c r="DR29" s="180"/>
      <c r="DS29" s="158"/>
      <c r="DT29" s="171"/>
      <c r="DU29" s="158"/>
      <c r="DV29" s="171"/>
      <c r="DW29" s="155">
        <f t="shared" si="8"/>
        <v>0</v>
      </c>
      <c r="DX29" s="155">
        <f t="shared" si="9"/>
        <v>0</v>
      </c>
      <c r="DY29" s="155">
        <f>IF(MatchDay!$C$2="LOWER",COUNTA(DF29:DH29),0)</f>
        <v>0</v>
      </c>
      <c r="EA29" s="157" t="s">
        <v>912</v>
      </c>
      <c r="EB29" s="177"/>
      <c r="EC29" s="165"/>
      <c r="ED29" s="177"/>
      <c r="EE29" s="158"/>
      <c r="EF29" s="177"/>
      <c r="EG29" s="165"/>
      <c r="EH29" s="177"/>
      <c r="EI29" s="158"/>
      <c r="EJ29" s="180"/>
      <c r="EK29" s="180"/>
      <c r="EL29" s="180"/>
      <c r="EM29" s="177"/>
      <c r="EN29" s="158"/>
      <c r="EO29" s="177"/>
      <c r="EP29" s="158"/>
      <c r="EQ29" s="177"/>
      <c r="ER29" s="180"/>
      <c r="ES29" s="158"/>
      <c r="ET29" s="177"/>
      <c r="EU29" s="158"/>
      <c r="EV29" s="177"/>
      <c r="EW29" s="155">
        <f t="shared" si="10"/>
        <v>0</v>
      </c>
      <c r="EX29" s="155">
        <f t="shared" si="11"/>
        <v>0</v>
      </c>
      <c r="EY29" s="155">
        <f>IF(MatchDay!$C$2="LOWER",COUNTA(EF29:EH29),0)</f>
        <v>0</v>
      </c>
      <c r="FA29" s="157" t="s">
        <v>912</v>
      </c>
      <c r="FB29" s="171"/>
      <c r="FC29" s="165"/>
      <c r="FD29" s="171"/>
      <c r="FE29" s="158"/>
      <c r="FF29" s="171"/>
      <c r="FG29" s="165"/>
      <c r="FH29" s="171"/>
      <c r="FI29" s="158"/>
      <c r="FJ29" s="180"/>
      <c r="FK29" s="180"/>
      <c r="FL29" s="180"/>
      <c r="FM29" s="171"/>
      <c r="FN29" s="158"/>
      <c r="FO29" s="171"/>
      <c r="FP29" s="158"/>
      <c r="FQ29" s="171"/>
      <c r="FR29" s="180"/>
      <c r="FS29" s="158"/>
      <c r="FT29" s="171"/>
      <c r="FU29" s="158"/>
      <c r="FV29" s="171"/>
      <c r="FW29" s="155">
        <f t="shared" si="12"/>
        <v>0</v>
      </c>
      <c r="FX29" s="155">
        <f t="shared" si="13"/>
        <v>0</v>
      </c>
      <c r="FY29" s="155">
        <f>IF(MatchDay!$C$2="LOWER",COUNTA(FF29:FH29),0)</f>
        <v>0</v>
      </c>
      <c r="GA29" s="157" t="s">
        <v>912</v>
      </c>
      <c r="GB29" s="177"/>
      <c r="GC29" s="165"/>
      <c r="GD29" s="177"/>
      <c r="GE29" s="158"/>
      <c r="GF29" s="177"/>
      <c r="GG29" s="165"/>
      <c r="GH29" s="177"/>
      <c r="GI29" s="158"/>
      <c r="GJ29" s="180"/>
      <c r="GK29" s="180"/>
      <c r="GL29" s="180"/>
      <c r="GM29" s="177"/>
      <c r="GN29" s="158"/>
      <c r="GO29" s="177"/>
      <c r="GP29" s="158"/>
      <c r="GQ29" s="177"/>
      <c r="GR29" s="180"/>
      <c r="GS29" s="158"/>
      <c r="GT29" s="177"/>
      <c r="GU29" s="158"/>
      <c r="GV29" s="177"/>
      <c r="GW29" s="155">
        <f t="shared" si="14"/>
        <v>0</v>
      </c>
      <c r="GX29" s="155">
        <f t="shared" si="15"/>
        <v>0</v>
      </c>
      <c r="GY29" s="155">
        <f>IF(MatchDay!$C$2="LOWER",COUNTA(GF29:GH29),0)</f>
        <v>0</v>
      </c>
    </row>
    <row r="30" spans="1:207" ht="16.5" customHeight="1" x14ac:dyDescent="0.45">
      <c r="A30" s="157" t="s">
        <v>912</v>
      </c>
      <c r="B30" s="171"/>
      <c r="C30" s="165"/>
      <c r="D30" s="171"/>
      <c r="E30" s="158"/>
      <c r="F30" s="171"/>
      <c r="G30" s="165"/>
      <c r="H30" s="171"/>
      <c r="I30" s="158"/>
      <c r="J30" s="180"/>
      <c r="K30" s="180"/>
      <c r="L30" s="180"/>
      <c r="M30" s="171"/>
      <c r="N30" s="158"/>
      <c r="O30" s="171"/>
      <c r="P30" s="158"/>
      <c r="Q30" s="171"/>
      <c r="R30" s="180"/>
      <c r="S30" s="158"/>
      <c r="T30" s="171"/>
      <c r="U30" s="158"/>
      <c r="V30" s="171"/>
      <c r="W30" s="155">
        <f t="shared" si="0"/>
        <v>0</v>
      </c>
      <c r="X30" s="155">
        <f t="shared" si="1"/>
        <v>0</v>
      </c>
      <c r="Y30" s="155">
        <f>IF(MatchDay!$C$2="LOWER",COUNTA(F30:H30),0)</f>
        <v>0</v>
      </c>
      <c r="AA30" s="157" t="s">
        <v>912</v>
      </c>
      <c r="AB30" s="177"/>
      <c r="AC30" s="165"/>
      <c r="AD30" s="177"/>
      <c r="AE30" s="158"/>
      <c r="AF30" s="177"/>
      <c r="AG30" s="165"/>
      <c r="AH30" s="177"/>
      <c r="AI30" s="158"/>
      <c r="AJ30" s="180"/>
      <c r="AK30" s="180"/>
      <c r="AL30" s="180"/>
      <c r="AM30" s="177"/>
      <c r="AN30" s="158"/>
      <c r="AO30" s="177"/>
      <c r="AP30" s="158"/>
      <c r="AQ30" s="177"/>
      <c r="AR30" s="180"/>
      <c r="AS30" s="158"/>
      <c r="AT30" s="177"/>
      <c r="AU30" s="158"/>
      <c r="AV30" s="177"/>
      <c r="AW30" s="155">
        <f t="shared" si="2"/>
        <v>0</v>
      </c>
      <c r="AX30" s="155">
        <f t="shared" si="3"/>
        <v>0</v>
      </c>
      <c r="AY30" s="155">
        <f>IF(MatchDay!$C$2="LOWER",COUNTA(AF30:AH30),0)</f>
        <v>0</v>
      </c>
      <c r="BA30" s="157" t="s">
        <v>912</v>
      </c>
      <c r="BB30" s="171"/>
      <c r="BC30" s="165"/>
      <c r="BD30" s="171"/>
      <c r="BE30" s="158"/>
      <c r="BF30" s="171"/>
      <c r="BG30" s="165"/>
      <c r="BH30" s="171"/>
      <c r="BI30" s="158"/>
      <c r="BJ30" s="180"/>
      <c r="BK30" s="180"/>
      <c r="BL30" s="180"/>
      <c r="BM30" s="171"/>
      <c r="BN30" s="158"/>
      <c r="BO30" s="171"/>
      <c r="BP30" s="158"/>
      <c r="BQ30" s="171"/>
      <c r="BR30" s="180"/>
      <c r="BS30" s="158"/>
      <c r="BT30" s="171"/>
      <c r="BU30" s="158"/>
      <c r="BV30" s="171"/>
      <c r="BW30" s="155">
        <f t="shared" si="4"/>
        <v>0</v>
      </c>
      <c r="BX30" s="155">
        <f t="shared" si="5"/>
        <v>0</v>
      </c>
      <c r="BY30" s="155">
        <f>IF(MatchDay!$C$2="LOWER",COUNTA(BF30:BH30),0)</f>
        <v>0</v>
      </c>
      <c r="CA30" s="157" t="s">
        <v>912</v>
      </c>
      <c r="CB30" s="177"/>
      <c r="CC30" s="165"/>
      <c r="CD30" s="177"/>
      <c r="CE30" s="158"/>
      <c r="CF30" s="177"/>
      <c r="CG30" s="165"/>
      <c r="CH30" s="177"/>
      <c r="CI30" s="158"/>
      <c r="CJ30" s="180"/>
      <c r="CK30" s="180"/>
      <c r="CL30" s="180"/>
      <c r="CM30" s="177"/>
      <c r="CN30" s="158"/>
      <c r="CO30" s="177"/>
      <c r="CP30" s="158"/>
      <c r="CQ30" s="177"/>
      <c r="CR30" s="180"/>
      <c r="CS30" s="158"/>
      <c r="CT30" s="177"/>
      <c r="CU30" s="158"/>
      <c r="CV30" s="177"/>
      <c r="CW30" s="155">
        <f t="shared" si="6"/>
        <v>0</v>
      </c>
      <c r="CX30" s="155">
        <f t="shared" si="7"/>
        <v>0</v>
      </c>
      <c r="CY30" s="155">
        <f>IF(MatchDay!$C$2="LOWER",COUNTA(CF30:CH30),0)</f>
        <v>0</v>
      </c>
      <c r="DA30" s="157" t="s">
        <v>912</v>
      </c>
      <c r="DB30" s="171"/>
      <c r="DC30" s="165"/>
      <c r="DD30" s="171"/>
      <c r="DE30" s="158"/>
      <c r="DF30" s="171"/>
      <c r="DG30" s="165"/>
      <c r="DH30" s="171"/>
      <c r="DI30" s="158"/>
      <c r="DJ30" s="180"/>
      <c r="DK30" s="180"/>
      <c r="DL30" s="180"/>
      <c r="DM30" s="171"/>
      <c r="DN30" s="158"/>
      <c r="DO30" s="171"/>
      <c r="DP30" s="158"/>
      <c r="DQ30" s="171"/>
      <c r="DR30" s="180"/>
      <c r="DS30" s="158"/>
      <c r="DT30" s="171"/>
      <c r="DU30" s="158"/>
      <c r="DV30" s="171"/>
      <c r="DW30" s="155">
        <f t="shared" si="8"/>
        <v>0</v>
      </c>
      <c r="DX30" s="155">
        <f t="shared" si="9"/>
        <v>0</v>
      </c>
      <c r="DY30" s="155">
        <f>IF(MatchDay!$C$2="LOWER",COUNTA(DF30:DH30),0)</f>
        <v>0</v>
      </c>
      <c r="EA30" s="157" t="s">
        <v>912</v>
      </c>
      <c r="EB30" s="177"/>
      <c r="EC30" s="165"/>
      <c r="ED30" s="177"/>
      <c r="EE30" s="158"/>
      <c r="EF30" s="177"/>
      <c r="EG30" s="165"/>
      <c r="EH30" s="177"/>
      <c r="EI30" s="158"/>
      <c r="EJ30" s="180"/>
      <c r="EK30" s="180"/>
      <c r="EL30" s="180"/>
      <c r="EM30" s="177"/>
      <c r="EN30" s="158"/>
      <c r="EO30" s="177"/>
      <c r="EP30" s="158"/>
      <c r="EQ30" s="177"/>
      <c r="ER30" s="180"/>
      <c r="ES30" s="158"/>
      <c r="ET30" s="177"/>
      <c r="EU30" s="158"/>
      <c r="EV30" s="177"/>
      <c r="EW30" s="155">
        <f t="shared" si="10"/>
        <v>0</v>
      </c>
      <c r="EX30" s="155">
        <f t="shared" si="11"/>
        <v>0</v>
      </c>
      <c r="EY30" s="155">
        <f>IF(MatchDay!$C$2="LOWER",COUNTA(EF30:EH30),0)</f>
        <v>0</v>
      </c>
      <c r="FA30" s="157" t="s">
        <v>912</v>
      </c>
      <c r="FB30" s="171"/>
      <c r="FC30" s="165"/>
      <c r="FD30" s="171"/>
      <c r="FE30" s="158"/>
      <c r="FF30" s="171"/>
      <c r="FG30" s="165"/>
      <c r="FH30" s="171"/>
      <c r="FI30" s="158"/>
      <c r="FJ30" s="180"/>
      <c r="FK30" s="180"/>
      <c r="FL30" s="180"/>
      <c r="FM30" s="171"/>
      <c r="FN30" s="158"/>
      <c r="FO30" s="171"/>
      <c r="FP30" s="158"/>
      <c r="FQ30" s="171"/>
      <c r="FR30" s="180"/>
      <c r="FS30" s="158"/>
      <c r="FT30" s="171"/>
      <c r="FU30" s="158"/>
      <c r="FV30" s="171"/>
      <c r="FW30" s="155">
        <f t="shared" si="12"/>
        <v>0</v>
      </c>
      <c r="FX30" s="155">
        <f t="shared" si="13"/>
        <v>0</v>
      </c>
      <c r="FY30" s="155">
        <f>IF(MatchDay!$C$2="LOWER",COUNTA(FF30:FH30),0)</f>
        <v>0</v>
      </c>
      <c r="GA30" s="157" t="s">
        <v>912</v>
      </c>
      <c r="GB30" s="177"/>
      <c r="GC30" s="165"/>
      <c r="GD30" s="177"/>
      <c r="GE30" s="158"/>
      <c r="GF30" s="177"/>
      <c r="GG30" s="165"/>
      <c r="GH30" s="177"/>
      <c r="GI30" s="158"/>
      <c r="GJ30" s="180"/>
      <c r="GK30" s="180"/>
      <c r="GL30" s="180"/>
      <c r="GM30" s="177"/>
      <c r="GN30" s="158"/>
      <c r="GO30" s="177"/>
      <c r="GP30" s="158"/>
      <c r="GQ30" s="177"/>
      <c r="GR30" s="180"/>
      <c r="GS30" s="158"/>
      <c r="GT30" s="177"/>
      <c r="GU30" s="158"/>
      <c r="GV30" s="177"/>
      <c r="GW30" s="155">
        <f t="shared" si="14"/>
        <v>0</v>
      </c>
      <c r="GX30" s="155">
        <f t="shared" si="15"/>
        <v>0</v>
      </c>
      <c r="GY30" s="155">
        <f>IF(MatchDay!$C$2="LOWER",COUNTA(GF30:GH30),0)</f>
        <v>0</v>
      </c>
    </row>
    <row r="31" spans="1:207" ht="16.5" customHeight="1" x14ac:dyDescent="0.45">
      <c r="A31" s="157" t="s">
        <v>912</v>
      </c>
      <c r="B31" s="171"/>
      <c r="C31" s="165"/>
      <c r="D31" s="171"/>
      <c r="E31" s="158"/>
      <c r="F31" s="171"/>
      <c r="G31" s="165"/>
      <c r="H31" s="171"/>
      <c r="I31" s="158"/>
      <c r="J31" s="180"/>
      <c r="K31" s="180"/>
      <c r="L31" s="180"/>
      <c r="M31" s="171"/>
      <c r="N31" s="158"/>
      <c r="O31" s="171"/>
      <c r="P31" s="158"/>
      <c r="Q31" s="171"/>
      <c r="R31" s="180"/>
      <c r="S31" s="158"/>
      <c r="T31" s="171"/>
      <c r="U31" s="158"/>
      <c r="V31" s="171"/>
      <c r="W31" s="155">
        <f t="shared" si="0"/>
        <v>0</v>
      </c>
      <c r="X31" s="155">
        <f t="shared" si="1"/>
        <v>0</v>
      </c>
      <c r="Y31" s="155">
        <f>IF(MatchDay!$C$2="LOWER",COUNTA(F31:H31),0)</f>
        <v>0</v>
      </c>
      <c r="AA31" s="157" t="s">
        <v>912</v>
      </c>
      <c r="AB31" s="177"/>
      <c r="AC31" s="165"/>
      <c r="AD31" s="177"/>
      <c r="AE31" s="158"/>
      <c r="AF31" s="177"/>
      <c r="AG31" s="165"/>
      <c r="AH31" s="177"/>
      <c r="AI31" s="158"/>
      <c r="AJ31" s="180"/>
      <c r="AK31" s="180"/>
      <c r="AL31" s="180"/>
      <c r="AM31" s="177"/>
      <c r="AN31" s="158"/>
      <c r="AO31" s="177"/>
      <c r="AP31" s="158"/>
      <c r="AQ31" s="177"/>
      <c r="AR31" s="180"/>
      <c r="AS31" s="158"/>
      <c r="AT31" s="177"/>
      <c r="AU31" s="158"/>
      <c r="AV31" s="177"/>
      <c r="AW31" s="155">
        <f t="shared" si="2"/>
        <v>0</v>
      </c>
      <c r="AX31" s="155">
        <f t="shared" si="3"/>
        <v>0</v>
      </c>
      <c r="AY31" s="155">
        <f>IF(MatchDay!$C$2="LOWER",COUNTA(AF31:AH31),0)</f>
        <v>0</v>
      </c>
      <c r="BA31" s="157" t="s">
        <v>912</v>
      </c>
      <c r="BB31" s="171"/>
      <c r="BC31" s="165"/>
      <c r="BD31" s="171"/>
      <c r="BE31" s="158"/>
      <c r="BF31" s="171"/>
      <c r="BG31" s="165"/>
      <c r="BH31" s="171"/>
      <c r="BI31" s="158"/>
      <c r="BJ31" s="180"/>
      <c r="BK31" s="180"/>
      <c r="BL31" s="180"/>
      <c r="BM31" s="171"/>
      <c r="BN31" s="158"/>
      <c r="BO31" s="171"/>
      <c r="BP31" s="158"/>
      <c r="BQ31" s="171"/>
      <c r="BR31" s="180"/>
      <c r="BS31" s="158"/>
      <c r="BT31" s="171"/>
      <c r="BU31" s="158"/>
      <c r="BV31" s="171"/>
      <c r="BW31" s="155">
        <f t="shared" si="4"/>
        <v>0</v>
      </c>
      <c r="BX31" s="155">
        <f t="shared" si="5"/>
        <v>0</v>
      </c>
      <c r="BY31" s="155">
        <f>IF(MatchDay!$C$2="LOWER",COUNTA(BF31:BH31),0)</f>
        <v>0</v>
      </c>
      <c r="CA31" s="157" t="s">
        <v>912</v>
      </c>
      <c r="CB31" s="177"/>
      <c r="CC31" s="165"/>
      <c r="CD31" s="177"/>
      <c r="CE31" s="158"/>
      <c r="CF31" s="177"/>
      <c r="CG31" s="165"/>
      <c r="CH31" s="177"/>
      <c r="CI31" s="158"/>
      <c r="CJ31" s="180"/>
      <c r="CK31" s="180"/>
      <c r="CL31" s="180"/>
      <c r="CM31" s="177"/>
      <c r="CN31" s="158"/>
      <c r="CO31" s="177"/>
      <c r="CP31" s="158"/>
      <c r="CQ31" s="177"/>
      <c r="CR31" s="180"/>
      <c r="CS31" s="158"/>
      <c r="CT31" s="177"/>
      <c r="CU31" s="158"/>
      <c r="CV31" s="177"/>
      <c r="CW31" s="155">
        <f t="shared" si="6"/>
        <v>0</v>
      </c>
      <c r="CX31" s="155">
        <f t="shared" si="7"/>
        <v>0</v>
      </c>
      <c r="CY31" s="155">
        <f>IF(MatchDay!$C$2="LOWER",COUNTA(CF31:CH31),0)</f>
        <v>0</v>
      </c>
      <c r="DA31" s="157" t="s">
        <v>912</v>
      </c>
      <c r="DB31" s="171"/>
      <c r="DC31" s="165"/>
      <c r="DD31" s="171"/>
      <c r="DE31" s="158"/>
      <c r="DF31" s="171"/>
      <c r="DG31" s="165"/>
      <c r="DH31" s="171"/>
      <c r="DI31" s="158"/>
      <c r="DJ31" s="180"/>
      <c r="DK31" s="180"/>
      <c r="DL31" s="180"/>
      <c r="DM31" s="171"/>
      <c r="DN31" s="158"/>
      <c r="DO31" s="171"/>
      <c r="DP31" s="158"/>
      <c r="DQ31" s="171"/>
      <c r="DR31" s="180"/>
      <c r="DS31" s="158"/>
      <c r="DT31" s="171"/>
      <c r="DU31" s="158"/>
      <c r="DV31" s="171"/>
      <c r="DW31" s="155">
        <f t="shared" si="8"/>
        <v>0</v>
      </c>
      <c r="DX31" s="155">
        <f t="shared" si="9"/>
        <v>0</v>
      </c>
      <c r="DY31" s="155">
        <f>IF(MatchDay!$C$2="LOWER",COUNTA(DF31:DH31),0)</f>
        <v>0</v>
      </c>
      <c r="EA31" s="157" t="s">
        <v>912</v>
      </c>
      <c r="EB31" s="177"/>
      <c r="EC31" s="165"/>
      <c r="ED31" s="177"/>
      <c r="EE31" s="158"/>
      <c r="EF31" s="177"/>
      <c r="EG31" s="165"/>
      <c r="EH31" s="177"/>
      <c r="EI31" s="158"/>
      <c r="EJ31" s="180"/>
      <c r="EK31" s="180"/>
      <c r="EL31" s="180"/>
      <c r="EM31" s="177"/>
      <c r="EN31" s="158"/>
      <c r="EO31" s="177"/>
      <c r="EP31" s="158"/>
      <c r="EQ31" s="177"/>
      <c r="ER31" s="180"/>
      <c r="ES31" s="158"/>
      <c r="ET31" s="177"/>
      <c r="EU31" s="158"/>
      <c r="EV31" s="177"/>
      <c r="EW31" s="155">
        <f t="shared" si="10"/>
        <v>0</v>
      </c>
      <c r="EX31" s="155">
        <f t="shared" si="11"/>
        <v>0</v>
      </c>
      <c r="EY31" s="155">
        <f>IF(MatchDay!$C$2="LOWER",COUNTA(EF31:EH31),0)</f>
        <v>0</v>
      </c>
      <c r="FA31" s="157" t="s">
        <v>912</v>
      </c>
      <c r="FB31" s="171"/>
      <c r="FC31" s="165"/>
      <c r="FD31" s="171"/>
      <c r="FE31" s="158"/>
      <c r="FF31" s="171"/>
      <c r="FG31" s="165"/>
      <c r="FH31" s="171"/>
      <c r="FI31" s="158"/>
      <c r="FJ31" s="180"/>
      <c r="FK31" s="180"/>
      <c r="FL31" s="180"/>
      <c r="FM31" s="171"/>
      <c r="FN31" s="158"/>
      <c r="FO31" s="171"/>
      <c r="FP31" s="158"/>
      <c r="FQ31" s="171"/>
      <c r="FR31" s="180"/>
      <c r="FS31" s="158"/>
      <c r="FT31" s="171"/>
      <c r="FU31" s="158"/>
      <c r="FV31" s="171"/>
      <c r="FW31" s="155">
        <f t="shared" si="12"/>
        <v>0</v>
      </c>
      <c r="FX31" s="155">
        <f t="shared" si="13"/>
        <v>0</v>
      </c>
      <c r="FY31" s="155">
        <f>IF(MatchDay!$C$2="LOWER",COUNTA(FF31:FH31),0)</f>
        <v>0</v>
      </c>
      <c r="GA31" s="157" t="s">
        <v>912</v>
      </c>
      <c r="GB31" s="177"/>
      <c r="GC31" s="165"/>
      <c r="GD31" s="177"/>
      <c r="GE31" s="158"/>
      <c r="GF31" s="177"/>
      <c r="GG31" s="165"/>
      <c r="GH31" s="177"/>
      <c r="GI31" s="158"/>
      <c r="GJ31" s="180"/>
      <c r="GK31" s="180"/>
      <c r="GL31" s="180"/>
      <c r="GM31" s="177"/>
      <c r="GN31" s="158"/>
      <c r="GO31" s="177"/>
      <c r="GP31" s="158"/>
      <c r="GQ31" s="177"/>
      <c r="GR31" s="180"/>
      <c r="GS31" s="158"/>
      <c r="GT31" s="177"/>
      <c r="GU31" s="158"/>
      <c r="GV31" s="177"/>
      <c r="GW31" s="155">
        <f t="shared" si="14"/>
        <v>0</v>
      </c>
      <c r="GX31" s="155">
        <f t="shared" si="15"/>
        <v>0</v>
      </c>
      <c r="GY31" s="155">
        <f>IF(MatchDay!$C$2="LOWER",COUNTA(GF31:GH31),0)</f>
        <v>0</v>
      </c>
    </row>
    <row r="32" spans="1:207" ht="16.5" customHeight="1" x14ac:dyDescent="0.45">
      <c r="A32" s="157" t="s">
        <v>912</v>
      </c>
      <c r="B32" s="171"/>
      <c r="C32" s="165"/>
      <c r="D32" s="171"/>
      <c r="E32" s="158"/>
      <c r="F32" s="171"/>
      <c r="G32" s="165"/>
      <c r="H32" s="171"/>
      <c r="I32" s="158"/>
      <c r="J32" s="180"/>
      <c r="K32" s="180"/>
      <c r="L32" s="180"/>
      <c r="M32" s="171"/>
      <c r="N32" s="158"/>
      <c r="O32" s="171"/>
      <c r="P32" s="158"/>
      <c r="Q32" s="171"/>
      <c r="R32" s="180"/>
      <c r="S32" s="158"/>
      <c r="T32" s="171"/>
      <c r="U32" s="158"/>
      <c r="V32" s="171"/>
      <c r="W32" s="155">
        <f t="shared" si="0"/>
        <v>0</v>
      </c>
      <c r="X32" s="155">
        <f t="shared" si="1"/>
        <v>0</v>
      </c>
      <c r="Y32" s="155">
        <f>IF(MatchDay!$C$2="LOWER",COUNTA(F32:H32),0)</f>
        <v>0</v>
      </c>
      <c r="AA32" s="157" t="s">
        <v>912</v>
      </c>
      <c r="AB32" s="177"/>
      <c r="AC32" s="165"/>
      <c r="AD32" s="177"/>
      <c r="AE32" s="158"/>
      <c r="AF32" s="177"/>
      <c r="AG32" s="165"/>
      <c r="AH32" s="177"/>
      <c r="AI32" s="158"/>
      <c r="AJ32" s="180"/>
      <c r="AK32" s="180"/>
      <c r="AL32" s="180"/>
      <c r="AM32" s="177"/>
      <c r="AN32" s="158"/>
      <c r="AO32" s="177"/>
      <c r="AP32" s="158"/>
      <c r="AQ32" s="177"/>
      <c r="AR32" s="180"/>
      <c r="AS32" s="158"/>
      <c r="AT32" s="177"/>
      <c r="AU32" s="158"/>
      <c r="AV32" s="177"/>
      <c r="AW32" s="155">
        <f t="shared" si="2"/>
        <v>0</v>
      </c>
      <c r="AX32" s="155">
        <f t="shared" si="3"/>
        <v>0</v>
      </c>
      <c r="AY32" s="155">
        <f>IF(MatchDay!$C$2="LOWER",COUNTA(AF32:AH32),0)</f>
        <v>0</v>
      </c>
      <c r="BA32" s="157" t="s">
        <v>912</v>
      </c>
      <c r="BB32" s="171"/>
      <c r="BC32" s="165"/>
      <c r="BD32" s="171"/>
      <c r="BE32" s="158"/>
      <c r="BF32" s="171"/>
      <c r="BG32" s="165"/>
      <c r="BH32" s="171"/>
      <c r="BI32" s="158"/>
      <c r="BJ32" s="180"/>
      <c r="BK32" s="180"/>
      <c r="BL32" s="180"/>
      <c r="BM32" s="171"/>
      <c r="BN32" s="158"/>
      <c r="BO32" s="171"/>
      <c r="BP32" s="158"/>
      <c r="BQ32" s="171"/>
      <c r="BR32" s="180"/>
      <c r="BS32" s="158"/>
      <c r="BT32" s="171"/>
      <c r="BU32" s="158"/>
      <c r="BV32" s="171"/>
      <c r="BW32" s="155">
        <f t="shared" si="4"/>
        <v>0</v>
      </c>
      <c r="BX32" s="155">
        <f t="shared" si="5"/>
        <v>0</v>
      </c>
      <c r="BY32" s="155">
        <f>IF(MatchDay!$C$2="LOWER",COUNTA(BF32:BH32),0)</f>
        <v>0</v>
      </c>
      <c r="CA32" s="157" t="s">
        <v>912</v>
      </c>
      <c r="CB32" s="177"/>
      <c r="CC32" s="165"/>
      <c r="CD32" s="177"/>
      <c r="CE32" s="158"/>
      <c r="CF32" s="177"/>
      <c r="CG32" s="165"/>
      <c r="CH32" s="177"/>
      <c r="CI32" s="158"/>
      <c r="CJ32" s="180"/>
      <c r="CK32" s="180"/>
      <c r="CL32" s="180"/>
      <c r="CM32" s="177"/>
      <c r="CN32" s="158"/>
      <c r="CO32" s="177"/>
      <c r="CP32" s="158"/>
      <c r="CQ32" s="177"/>
      <c r="CR32" s="180"/>
      <c r="CS32" s="158"/>
      <c r="CT32" s="177"/>
      <c r="CU32" s="158"/>
      <c r="CV32" s="177"/>
      <c r="CW32" s="155">
        <f t="shared" si="6"/>
        <v>0</v>
      </c>
      <c r="CX32" s="155">
        <f t="shared" si="7"/>
        <v>0</v>
      </c>
      <c r="CY32" s="155">
        <f>IF(MatchDay!$C$2="LOWER",COUNTA(CF32:CH32),0)</f>
        <v>0</v>
      </c>
      <c r="DA32" s="157" t="s">
        <v>912</v>
      </c>
      <c r="DB32" s="171"/>
      <c r="DC32" s="165"/>
      <c r="DD32" s="171"/>
      <c r="DE32" s="158"/>
      <c r="DF32" s="171"/>
      <c r="DG32" s="165"/>
      <c r="DH32" s="171"/>
      <c r="DI32" s="158"/>
      <c r="DJ32" s="180"/>
      <c r="DK32" s="180"/>
      <c r="DL32" s="180"/>
      <c r="DM32" s="171"/>
      <c r="DN32" s="158"/>
      <c r="DO32" s="171"/>
      <c r="DP32" s="158"/>
      <c r="DQ32" s="171"/>
      <c r="DR32" s="180"/>
      <c r="DS32" s="158"/>
      <c r="DT32" s="171"/>
      <c r="DU32" s="158"/>
      <c r="DV32" s="171"/>
      <c r="DW32" s="155">
        <f t="shared" si="8"/>
        <v>0</v>
      </c>
      <c r="DX32" s="155">
        <f t="shared" si="9"/>
        <v>0</v>
      </c>
      <c r="DY32" s="155">
        <f>IF(MatchDay!$C$2="LOWER",COUNTA(DF32:DH32),0)</f>
        <v>0</v>
      </c>
      <c r="EA32" s="157" t="s">
        <v>912</v>
      </c>
      <c r="EB32" s="177"/>
      <c r="EC32" s="165"/>
      <c r="ED32" s="177"/>
      <c r="EE32" s="158"/>
      <c r="EF32" s="177"/>
      <c r="EG32" s="165"/>
      <c r="EH32" s="177"/>
      <c r="EI32" s="158"/>
      <c r="EJ32" s="180"/>
      <c r="EK32" s="180"/>
      <c r="EL32" s="180"/>
      <c r="EM32" s="177"/>
      <c r="EN32" s="158"/>
      <c r="EO32" s="177"/>
      <c r="EP32" s="158"/>
      <c r="EQ32" s="177"/>
      <c r="ER32" s="180"/>
      <c r="ES32" s="158"/>
      <c r="ET32" s="177"/>
      <c r="EU32" s="158"/>
      <c r="EV32" s="177"/>
      <c r="EW32" s="155">
        <f t="shared" si="10"/>
        <v>0</v>
      </c>
      <c r="EX32" s="155">
        <f t="shared" si="11"/>
        <v>0</v>
      </c>
      <c r="EY32" s="155">
        <f>IF(MatchDay!$C$2="LOWER",COUNTA(EF32:EH32),0)</f>
        <v>0</v>
      </c>
      <c r="FA32" s="157" t="s">
        <v>912</v>
      </c>
      <c r="FB32" s="171"/>
      <c r="FC32" s="165"/>
      <c r="FD32" s="171"/>
      <c r="FE32" s="158"/>
      <c r="FF32" s="171"/>
      <c r="FG32" s="165"/>
      <c r="FH32" s="171"/>
      <c r="FI32" s="158"/>
      <c r="FJ32" s="180"/>
      <c r="FK32" s="180"/>
      <c r="FL32" s="180"/>
      <c r="FM32" s="171"/>
      <c r="FN32" s="158"/>
      <c r="FO32" s="171"/>
      <c r="FP32" s="158"/>
      <c r="FQ32" s="171"/>
      <c r="FR32" s="180"/>
      <c r="FS32" s="158"/>
      <c r="FT32" s="171"/>
      <c r="FU32" s="158"/>
      <c r="FV32" s="171"/>
      <c r="FW32" s="155">
        <f t="shared" si="12"/>
        <v>0</v>
      </c>
      <c r="FX32" s="155">
        <f t="shared" si="13"/>
        <v>0</v>
      </c>
      <c r="FY32" s="155">
        <f>IF(MatchDay!$C$2="LOWER",COUNTA(FF32:FH32),0)</f>
        <v>0</v>
      </c>
      <c r="GA32" s="157" t="s">
        <v>912</v>
      </c>
      <c r="GB32" s="177"/>
      <c r="GC32" s="165"/>
      <c r="GD32" s="177"/>
      <c r="GE32" s="158"/>
      <c r="GF32" s="177"/>
      <c r="GG32" s="165"/>
      <c r="GH32" s="177"/>
      <c r="GI32" s="158"/>
      <c r="GJ32" s="180"/>
      <c r="GK32" s="180"/>
      <c r="GL32" s="180"/>
      <c r="GM32" s="177"/>
      <c r="GN32" s="158"/>
      <c r="GO32" s="177"/>
      <c r="GP32" s="158"/>
      <c r="GQ32" s="177"/>
      <c r="GR32" s="180"/>
      <c r="GS32" s="158"/>
      <c r="GT32" s="177"/>
      <c r="GU32" s="158"/>
      <c r="GV32" s="177"/>
      <c r="GW32" s="155">
        <f t="shared" si="14"/>
        <v>0</v>
      </c>
      <c r="GX32" s="155">
        <f t="shared" si="15"/>
        <v>0</v>
      </c>
      <c r="GY32" s="155">
        <f>IF(MatchDay!$C$2="LOWER",COUNTA(GF32:GH32),0)</f>
        <v>0</v>
      </c>
    </row>
    <row r="33" spans="1:207" ht="16.5" customHeight="1" x14ac:dyDescent="0.45">
      <c r="A33" s="157" t="s">
        <v>912</v>
      </c>
      <c r="B33" s="171"/>
      <c r="C33" s="165"/>
      <c r="D33" s="171"/>
      <c r="E33" s="158"/>
      <c r="F33" s="171"/>
      <c r="G33" s="165"/>
      <c r="H33" s="171"/>
      <c r="I33" s="158"/>
      <c r="J33" s="180"/>
      <c r="K33" s="180"/>
      <c r="L33" s="180"/>
      <c r="M33" s="171"/>
      <c r="N33" s="158"/>
      <c r="O33" s="171"/>
      <c r="P33" s="158"/>
      <c r="Q33" s="171"/>
      <c r="R33" s="180"/>
      <c r="S33" s="158"/>
      <c r="T33" s="171"/>
      <c r="U33" s="158"/>
      <c r="V33" s="171"/>
      <c r="W33" s="155">
        <f t="shared" si="0"/>
        <v>0</v>
      </c>
      <c r="X33" s="155">
        <f t="shared" si="1"/>
        <v>0</v>
      </c>
      <c r="Y33" s="155">
        <f>IF(MatchDay!$C$2="LOWER",COUNTA(F33:H33),0)</f>
        <v>0</v>
      </c>
      <c r="AA33" s="157" t="s">
        <v>912</v>
      </c>
      <c r="AB33" s="177"/>
      <c r="AC33" s="165"/>
      <c r="AD33" s="177"/>
      <c r="AE33" s="158"/>
      <c r="AF33" s="177"/>
      <c r="AG33" s="165"/>
      <c r="AH33" s="177"/>
      <c r="AI33" s="158"/>
      <c r="AJ33" s="180"/>
      <c r="AK33" s="180"/>
      <c r="AL33" s="180"/>
      <c r="AM33" s="177"/>
      <c r="AN33" s="158"/>
      <c r="AO33" s="177"/>
      <c r="AP33" s="158"/>
      <c r="AQ33" s="177"/>
      <c r="AR33" s="180"/>
      <c r="AS33" s="158"/>
      <c r="AT33" s="177"/>
      <c r="AU33" s="158"/>
      <c r="AV33" s="177"/>
      <c r="AW33" s="155">
        <f t="shared" si="2"/>
        <v>0</v>
      </c>
      <c r="AX33" s="155">
        <f t="shared" si="3"/>
        <v>0</v>
      </c>
      <c r="AY33" s="155">
        <f>IF(MatchDay!$C$2="LOWER",COUNTA(AF33:AH33),0)</f>
        <v>0</v>
      </c>
      <c r="BA33" s="157" t="s">
        <v>912</v>
      </c>
      <c r="BB33" s="171"/>
      <c r="BC33" s="165"/>
      <c r="BD33" s="171"/>
      <c r="BE33" s="158"/>
      <c r="BF33" s="171"/>
      <c r="BG33" s="165"/>
      <c r="BH33" s="171"/>
      <c r="BI33" s="158"/>
      <c r="BJ33" s="180"/>
      <c r="BK33" s="180"/>
      <c r="BL33" s="180"/>
      <c r="BM33" s="171"/>
      <c r="BN33" s="158"/>
      <c r="BO33" s="171"/>
      <c r="BP33" s="158"/>
      <c r="BQ33" s="171"/>
      <c r="BR33" s="180"/>
      <c r="BS33" s="158"/>
      <c r="BT33" s="171"/>
      <c r="BU33" s="158"/>
      <c r="BV33" s="171"/>
      <c r="BW33" s="155">
        <f t="shared" si="4"/>
        <v>0</v>
      </c>
      <c r="BX33" s="155">
        <f t="shared" si="5"/>
        <v>0</v>
      </c>
      <c r="BY33" s="155">
        <f>IF(MatchDay!$C$2="LOWER",COUNTA(BF33:BH33),0)</f>
        <v>0</v>
      </c>
      <c r="CA33" s="157" t="s">
        <v>912</v>
      </c>
      <c r="CB33" s="177"/>
      <c r="CC33" s="165"/>
      <c r="CD33" s="177"/>
      <c r="CE33" s="158"/>
      <c r="CF33" s="177"/>
      <c r="CG33" s="165"/>
      <c r="CH33" s="177"/>
      <c r="CI33" s="158"/>
      <c r="CJ33" s="180"/>
      <c r="CK33" s="180"/>
      <c r="CL33" s="180"/>
      <c r="CM33" s="177"/>
      <c r="CN33" s="158"/>
      <c r="CO33" s="177"/>
      <c r="CP33" s="158"/>
      <c r="CQ33" s="177"/>
      <c r="CR33" s="180"/>
      <c r="CS33" s="158"/>
      <c r="CT33" s="177"/>
      <c r="CU33" s="158"/>
      <c r="CV33" s="177"/>
      <c r="CW33" s="155">
        <f t="shared" si="6"/>
        <v>0</v>
      </c>
      <c r="CX33" s="155">
        <f t="shared" si="7"/>
        <v>0</v>
      </c>
      <c r="CY33" s="155">
        <f>IF(MatchDay!$C$2="LOWER",COUNTA(CF33:CH33),0)</f>
        <v>0</v>
      </c>
      <c r="DA33" s="157" t="s">
        <v>912</v>
      </c>
      <c r="DB33" s="171"/>
      <c r="DC33" s="165"/>
      <c r="DD33" s="171"/>
      <c r="DE33" s="158"/>
      <c r="DF33" s="171"/>
      <c r="DG33" s="165"/>
      <c r="DH33" s="171"/>
      <c r="DI33" s="158"/>
      <c r="DJ33" s="180"/>
      <c r="DK33" s="180"/>
      <c r="DL33" s="180"/>
      <c r="DM33" s="171"/>
      <c r="DN33" s="158"/>
      <c r="DO33" s="171"/>
      <c r="DP33" s="158"/>
      <c r="DQ33" s="171"/>
      <c r="DR33" s="180"/>
      <c r="DS33" s="158"/>
      <c r="DT33" s="171"/>
      <c r="DU33" s="158"/>
      <c r="DV33" s="171"/>
      <c r="DW33" s="155">
        <f t="shared" si="8"/>
        <v>0</v>
      </c>
      <c r="DX33" s="155">
        <f t="shared" si="9"/>
        <v>0</v>
      </c>
      <c r="DY33" s="155">
        <f>IF(MatchDay!$C$2="LOWER",COUNTA(DF33:DH33),0)</f>
        <v>0</v>
      </c>
      <c r="EA33" s="157" t="s">
        <v>912</v>
      </c>
      <c r="EB33" s="177"/>
      <c r="EC33" s="165"/>
      <c r="ED33" s="177"/>
      <c r="EE33" s="158"/>
      <c r="EF33" s="177"/>
      <c r="EG33" s="165"/>
      <c r="EH33" s="177"/>
      <c r="EI33" s="158"/>
      <c r="EJ33" s="180"/>
      <c r="EK33" s="180"/>
      <c r="EL33" s="180"/>
      <c r="EM33" s="177"/>
      <c r="EN33" s="158"/>
      <c r="EO33" s="177"/>
      <c r="EP33" s="158"/>
      <c r="EQ33" s="177"/>
      <c r="ER33" s="180"/>
      <c r="ES33" s="158"/>
      <c r="ET33" s="177"/>
      <c r="EU33" s="158"/>
      <c r="EV33" s="177"/>
      <c r="EW33" s="155">
        <f t="shared" si="10"/>
        <v>0</v>
      </c>
      <c r="EX33" s="155">
        <f t="shared" si="11"/>
        <v>0</v>
      </c>
      <c r="EY33" s="155">
        <f>IF(MatchDay!$C$2="LOWER",COUNTA(EF33:EH33),0)</f>
        <v>0</v>
      </c>
      <c r="FA33" s="157" t="s">
        <v>912</v>
      </c>
      <c r="FB33" s="171"/>
      <c r="FC33" s="165"/>
      <c r="FD33" s="171"/>
      <c r="FE33" s="158"/>
      <c r="FF33" s="171"/>
      <c r="FG33" s="165"/>
      <c r="FH33" s="171"/>
      <c r="FI33" s="158"/>
      <c r="FJ33" s="180"/>
      <c r="FK33" s="180"/>
      <c r="FL33" s="180"/>
      <c r="FM33" s="171"/>
      <c r="FN33" s="158"/>
      <c r="FO33" s="171"/>
      <c r="FP33" s="158"/>
      <c r="FQ33" s="171"/>
      <c r="FR33" s="180"/>
      <c r="FS33" s="158"/>
      <c r="FT33" s="171"/>
      <c r="FU33" s="158"/>
      <c r="FV33" s="171"/>
      <c r="FW33" s="155">
        <f t="shared" si="12"/>
        <v>0</v>
      </c>
      <c r="FX33" s="155">
        <f t="shared" si="13"/>
        <v>0</v>
      </c>
      <c r="FY33" s="155">
        <f>IF(MatchDay!$C$2="LOWER",COUNTA(FF33:FH33),0)</f>
        <v>0</v>
      </c>
      <c r="GA33" s="157" t="s">
        <v>912</v>
      </c>
      <c r="GB33" s="177"/>
      <c r="GC33" s="165"/>
      <c r="GD33" s="177"/>
      <c r="GE33" s="158"/>
      <c r="GF33" s="177"/>
      <c r="GG33" s="165"/>
      <c r="GH33" s="177"/>
      <c r="GI33" s="158"/>
      <c r="GJ33" s="180"/>
      <c r="GK33" s="180"/>
      <c r="GL33" s="180"/>
      <c r="GM33" s="177"/>
      <c r="GN33" s="158"/>
      <c r="GO33" s="177"/>
      <c r="GP33" s="158"/>
      <c r="GQ33" s="177"/>
      <c r="GR33" s="180"/>
      <c r="GS33" s="158"/>
      <c r="GT33" s="177"/>
      <c r="GU33" s="158"/>
      <c r="GV33" s="177"/>
      <c r="GW33" s="155">
        <f t="shared" si="14"/>
        <v>0</v>
      </c>
      <c r="GX33" s="155">
        <f t="shared" si="15"/>
        <v>0</v>
      </c>
      <c r="GY33" s="155">
        <f>IF(MatchDay!$C$2="LOWER",COUNTA(GF33:GH33),0)</f>
        <v>0</v>
      </c>
    </row>
    <row r="34" spans="1:207" ht="16.5" customHeight="1" x14ac:dyDescent="0.45">
      <c r="A34" s="161" t="s">
        <v>546</v>
      </c>
      <c r="B34" s="170"/>
      <c r="C34" s="164"/>
      <c r="D34" s="170"/>
      <c r="E34" s="185"/>
      <c r="F34" s="170"/>
      <c r="G34" s="164"/>
      <c r="H34" s="170"/>
      <c r="I34" s="160"/>
      <c r="J34" s="160"/>
      <c r="K34" s="160"/>
      <c r="L34" s="160"/>
      <c r="M34" s="160"/>
      <c r="N34" s="160"/>
      <c r="O34" s="170"/>
      <c r="P34" s="160"/>
      <c r="Q34" s="170"/>
      <c r="R34" s="160"/>
      <c r="S34" s="160"/>
      <c r="T34" s="186"/>
      <c r="U34" s="160"/>
      <c r="V34" s="160"/>
      <c r="W34" s="155">
        <f t="shared" si="0"/>
        <v>0</v>
      </c>
      <c r="X34" s="155">
        <f t="shared" si="1"/>
        <v>0</v>
      </c>
      <c r="Y34" s="155">
        <f>IF(MatchDay!$C$2="LOWER",COUNTA(F34:H34),0)</f>
        <v>0</v>
      </c>
      <c r="AA34" s="161" t="s">
        <v>546</v>
      </c>
      <c r="AB34" s="176"/>
      <c r="AC34" s="164"/>
      <c r="AD34" s="176"/>
      <c r="AE34" s="185"/>
      <c r="AF34" s="176"/>
      <c r="AG34" s="164"/>
      <c r="AH34" s="176"/>
      <c r="AI34" s="160"/>
      <c r="AJ34" s="160"/>
      <c r="AK34" s="160"/>
      <c r="AL34" s="160"/>
      <c r="AM34" s="160"/>
      <c r="AN34" s="160"/>
      <c r="AO34" s="176"/>
      <c r="AP34" s="160"/>
      <c r="AQ34" s="176"/>
      <c r="AR34" s="160"/>
      <c r="AS34" s="160"/>
      <c r="AT34" s="187"/>
      <c r="AU34" s="160"/>
      <c r="AV34" s="160"/>
      <c r="AW34" s="155">
        <f t="shared" si="2"/>
        <v>0</v>
      </c>
      <c r="AX34" s="155">
        <f t="shared" si="3"/>
        <v>0</v>
      </c>
      <c r="AY34" s="155">
        <f>IF(MatchDay!$C$2="LOWER",COUNTA(AF34:AH34),0)</f>
        <v>0</v>
      </c>
      <c r="BA34" s="161" t="s">
        <v>546</v>
      </c>
      <c r="BB34" s="170"/>
      <c r="BC34" s="164"/>
      <c r="BD34" s="170"/>
      <c r="BE34" s="185"/>
      <c r="BF34" s="170"/>
      <c r="BG34" s="164"/>
      <c r="BH34" s="170"/>
      <c r="BI34" s="160"/>
      <c r="BJ34" s="160"/>
      <c r="BK34" s="160"/>
      <c r="BL34" s="160"/>
      <c r="BM34" s="160"/>
      <c r="BN34" s="160"/>
      <c r="BO34" s="170"/>
      <c r="BP34" s="160"/>
      <c r="BQ34" s="170"/>
      <c r="BR34" s="160"/>
      <c r="BS34" s="160"/>
      <c r="BT34" s="186"/>
      <c r="BU34" s="160"/>
      <c r="BV34" s="160"/>
      <c r="BW34" s="155">
        <f t="shared" si="4"/>
        <v>0</v>
      </c>
      <c r="BX34" s="155">
        <f t="shared" si="5"/>
        <v>0</v>
      </c>
      <c r="BY34" s="155">
        <f>IF(MatchDay!$C$2="LOWER",COUNTA(BF34:BH34),0)</f>
        <v>0</v>
      </c>
      <c r="CA34" s="161" t="s">
        <v>546</v>
      </c>
      <c r="CB34" s="176"/>
      <c r="CC34" s="164"/>
      <c r="CD34" s="176"/>
      <c r="CE34" s="185"/>
      <c r="CF34" s="176"/>
      <c r="CG34" s="164"/>
      <c r="CH34" s="176"/>
      <c r="CI34" s="160"/>
      <c r="CJ34" s="160"/>
      <c r="CK34" s="160"/>
      <c r="CL34" s="160"/>
      <c r="CM34" s="160"/>
      <c r="CN34" s="160"/>
      <c r="CO34" s="176"/>
      <c r="CP34" s="160"/>
      <c r="CQ34" s="176"/>
      <c r="CR34" s="160"/>
      <c r="CS34" s="160"/>
      <c r="CT34" s="187"/>
      <c r="CU34" s="160"/>
      <c r="CV34" s="160"/>
      <c r="CW34" s="155">
        <f t="shared" si="6"/>
        <v>0</v>
      </c>
      <c r="CX34" s="155">
        <f t="shared" si="7"/>
        <v>0</v>
      </c>
      <c r="CY34" s="155">
        <f>IF(MatchDay!$C$2="LOWER",COUNTA(CF34:CH34),0)</f>
        <v>0</v>
      </c>
      <c r="DA34" s="161" t="s">
        <v>546</v>
      </c>
      <c r="DB34" s="170"/>
      <c r="DC34" s="164"/>
      <c r="DD34" s="170"/>
      <c r="DE34" s="185"/>
      <c r="DF34" s="170"/>
      <c r="DG34" s="164"/>
      <c r="DH34" s="170"/>
      <c r="DI34" s="160"/>
      <c r="DJ34" s="160"/>
      <c r="DK34" s="160"/>
      <c r="DL34" s="160"/>
      <c r="DM34" s="160"/>
      <c r="DN34" s="160"/>
      <c r="DO34" s="170"/>
      <c r="DP34" s="160"/>
      <c r="DQ34" s="170"/>
      <c r="DR34" s="160"/>
      <c r="DS34" s="160"/>
      <c r="DT34" s="186"/>
      <c r="DU34" s="160"/>
      <c r="DV34" s="160"/>
      <c r="DW34" s="155">
        <f t="shared" si="8"/>
        <v>0</v>
      </c>
      <c r="DX34" s="155">
        <f t="shared" si="9"/>
        <v>0</v>
      </c>
      <c r="DY34" s="155">
        <f>IF(MatchDay!$C$2="LOWER",COUNTA(DF34:DH34),0)</f>
        <v>0</v>
      </c>
      <c r="EA34" s="161" t="s">
        <v>546</v>
      </c>
      <c r="EB34" s="176"/>
      <c r="EC34" s="164"/>
      <c r="ED34" s="176"/>
      <c r="EE34" s="185"/>
      <c r="EF34" s="176"/>
      <c r="EG34" s="164"/>
      <c r="EH34" s="176"/>
      <c r="EI34" s="160"/>
      <c r="EJ34" s="160"/>
      <c r="EK34" s="160"/>
      <c r="EL34" s="160"/>
      <c r="EM34" s="160"/>
      <c r="EN34" s="160"/>
      <c r="EO34" s="176"/>
      <c r="EP34" s="160"/>
      <c r="EQ34" s="176"/>
      <c r="ER34" s="160"/>
      <c r="ES34" s="160"/>
      <c r="ET34" s="187"/>
      <c r="EU34" s="160"/>
      <c r="EV34" s="160"/>
      <c r="EW34" s="155">
        <f t="shared" si="10"/>
        <v>0</v>
      </c>
      <c r="EX34" s="155">
        <f t="shared" si="11"/>
        <v>0</v>
      </c>
      <c r="EY34" s="155">
        <f>IF(MatchDay!$C$2="LOWER",COUNTA(EF34:EH34),0)</f>
        <v>0</v>
      </c>
      <c r="FA34" s="161" t="s">
        <v>546</v>
      </c>
      <c r="FB34" s="170"/>
      <c r="FC34" s="164"/>
      <c r="FD34" s="170"/>
      <c r="FE34" s="185"/>
      <c r="FF34" s="170"/>
      <c r="FG34" s="164"/>
      <c r="FH34" s="170"/>
      <c r="FI34" s="160"/>
      <c r="FJ34" s="160"/>
      <c r="FK34" s="160"/>
      <c r="FL34" s="160"/>
      <c r="FM34" s="170"/>
      <c r="FN34" s="160"/>
      <c r="FO34" s="170"/>
      <c r="FP34" s="160"/>
      <c r="FQ34" s="170"/>
      <c r="FR34" s="160"/>
      <c r="FS34" s="160"/>
      <c r="FT34" s="186"/>
      <c r="FU34" s="160"/>
      <c r="FV34" s="170"/>
      <c r="FW34" s="155">
        <f t="shared" si="12"/>
        <v>0</v>
      </c>
      <c r="FX34" s="155">
        <f t="shared" si="13"/>
        <v>0</v>
      </c>
      <c r="FY34" s="155">
        <f>IF(MatchDay!$C$2="LOWER",COUNTA(FF34:FH34),0)</f>
        <v>0</v>
      </c>
      <c r="GA34" s="161" t="s">
        <v>546</v>
      </c>
      <c r="GB34" s="176"/>
      <c r="GC34" s="164"/>
      <c r="GD34" s="176"/>
      <c r="GE34" s="185"/>
      <c r="GF34" s="176"/>
      <c r="GG34" s="164"/>
      <c r="GH34" s="176"/>
      <c r="GI34" s="160"/>
      <c r="GJ34" s="160"/>
      <c r="GK34" s="160"/>
      <c r="GL34" s="160"/>
      <c r="GM34" s="176"/>
      <c r="GN34" s="160"/>
      <c r="GO34" s="176"/>
      <c r="GP34" s="160"/>
      <c r="GQ34" s="176"/>
      <c r="GR34" s="160"/>
      <c r="GS34" s="160"/>
      <c r="GT34" s="187"/>
      <c r="GU34" s="160"/>
      <c r="GV34" s="176"/>
      <c r="GW34" s="155">
        <f t="shared" si="14"/>
        <v>0</v>
      </c>
      <c r="GX34" s="155">
        <f t="shared" si="15"/>
        <v>0</v>
      </c>
      <c r="GY34" s="155">
        <f>IF(MatchDay!$C$2="LOWER",COUNTA(GF34:GH34),0)</f>
        <v>0</v>
      </c>
    </row>
    <row r="35" spans="1:207" ht="16.5" customHeight="1" x14ac:dyDescent="0.45">
      <c r="A35" s="157" t="s">
        <v>912</v>
      </c>
      <c r="B35" s="171"/>
      <c r="C35" s="165"/>
      <c r="D35" s="171"/>
      <c r="E35" s="344"/>
      <c r="F35" s="171"/>
      <c r="G35" s="165"/>
      <c r="H35" s="171"/>
      <c r="I35" s="158"/>
      <c r="J35" s="180"/>
      <c r="K35" s="180"/>
      <c r="L35" s="180"/>
      <c r="M35" s="345"/>
      <c r="N35" s="345"/>
      <c r="O35" s="171"/>
      <c r="P35" s="158"/>
      <c r="Q35" s="171"/>
      <c r="R35" s="180"/>
      <c r="S35" s="158"/>
      <c r="T35" s="344"/>
      <c r="U35" s="158"/>
      <c r="V35" s="345"/>
      <c r="W35" s="155">
        <f t="shared" si="0"/>
        <v>0</v>
      </c>
      <c r="X35" s="155">
        <f t="shared" si="1"/>
        <v>0</v>
      </c>
      <c r="Y35" s="155">
        <f>IF(MatchDay!$C$2="LOWER",COUNTA(F35:H35),0)</f>
        <v>0</v>
      </c>
      <c r="AA35" s="157" t="s">
        <v>912</v>
      </c>
      <c r="AB35" s="177"/>
      <c r="AC35" s="165"/>
      <c r="AD35" s="177"/>
      <c r="AE35" s="344"/>
      <c r="AF35" s="177"/>
      <c r="AG35" s="165"/>
      <c r="AH35" s="177"/>
      <c r="AI35" s="158"/>
      <c r="AJ35" s="180"/>
      <c r="AK35" s="180"/>
      <c r="AL35" s="180"/>
      <c r="AM35" s="345"/>
      <c r="AN35" s="345"/>
      <c r="AO35" s="177"/>
      <c r="AP35" s="158"/>
      <c r="AQ35" s="177"/>
      <c r="AR35" s="180"/>
      <c r="AS35" s="158"/>
      <c r="AT35" s="344"/>
      <c r="AU35" s="158"/>
      <c r="AV35" s="345"/>
      <c r="AW35" s="155">
        <f t="shared" si="2"/>
        <v>0</v>
      </c>
      <c r="AX35" s="155">
        <f t="shared" si="3"/>
        <v>0</v>
      </c>
      <c r="AY35" s="155">
        <f>IF(MatchDay!$C$2="LOWER",COUNTA(AF35:AH35),0)</f>
        <v>0</v>
      </c>
      <c r="BA35" s="157" t="s">
        <v>912</v>
      </c>
      <c r="BB35" s="171"/>
      <c r="BC35" s="165"/>
      <c r="BD35" s="171"/>
      <c r="BE35" s="344"/>
      <c r="BF35" s="171"/>
      <c r="BG35" s="165"/>
      <c r="BH35" s="171"/>
      <c r="BI35" s="158"/>
      <c r="BJ35" s="180"/>
      <c r="BK35" s="180"/>
      <c r="BL35" s="180"/>
      <c r="BM35" s="345"/>
      <c r="BN35" s="345"/>
      <c r="BO35" s="171"/>
      <c r="BP35" s="158"/>
      <c r="BQ35" s="171"/>
      <c r="BR35" s="180"/>
      <c r="BS35" s="158"/>
      <c r="BT35" s="344"/>
      <c r="BU35" s="158"/>
      <c r="BV35" s="345"/>
      <c r="BW35" s="155">
        <f t="shared" si="4"/>
        <v>0</v>
      </c>
      <c r="BX35" s="155">
        <f t="shared" si="5"/>
        <v>0</v>
      </c>
      <c r="BY35" s="155">
        <f>IF(MatchDay!$C$2="LOWER",COUNTA(BF35:BH35),0)</f>
        <v>0</v>
      </c>
      <c r="CA35" s="157" t="s">
        <v>912</v>
      </c>
      <c r="CB35" s="177"/>
      <c r="CC35" s="165"/>
      <c r="CD35" s="177"/>
      <c r="CE35" s="344"/>
      <c r="CF35" s="177"/>
      <c r="CG35" s="165"/>
      <c r="CH35" s="177"/>
      <c r="CI35" s="158"/>
      <c r="CJ35" s="180"/>
      <c r="CK35" s="180"/>
      <c r="CL35" s="180"/>
      <c r="CM35" s="345"/>
      <c r="CN35" s="345"/>
      <c r="CO35" s="177"/>
      <c r="CP35" s="158"/>
      <c r="CQ35" s="177"/>
      <c r="CR35" s="180"/>
      <c r="CS35" s="158"/>
      <c r="CT35" s="344"/>
      <c r="CU35" s="158"/>
      <c r="CV35" s="345"/>
      <c r="CW35" s="155">
        <f t="shared" si="6"/>
        <v>0</v>
      </c>
      <c r="CX35" s="155">
        <f t="shared" si="7"/>
        <v>0</v>
      </c>
      <c r="CY35" s="155">
        <f>IF(MatchDay!$C$2="LOWER",COUNTA(CF35:CH35),0)</f>
        <v>0</v>
      </c>
      <c r="DA35" s="157" t="s">
        <v>912</v>
      </c>
      <c r="DB35" s="171"/>
      <c r="DC35" s="165"/>
      <c r="DD35" s="171"/>
      <c r="DE35" s="344"/>
      <c r="DF35" s="171"/>
      <c r="DG35" s="165"/>
      <c r="DH35" s="171"/>
      <c r="DI35" s="158"/>
      <c r="DJ35" s="180"/>
      <c r="DK35" s="180"/>
      <c r="DL35" s="180"/>
      <c r="DM35" s="345"/>
      <c r="DN35" s="345"/>
      <c r="DO35" s="171"/>
      <c r="DP35" s="158"/>
      <c r="DQ35" s="171"/>
      <c r="DR35" s="180"/>
      <c r="DS35" s="158"/>
      <c r="DT35" s="344"/>
      <c r="DU35" s="158"/>
      <c r="DV35" s="345"/>
      <c r="DW35" s="155">
        <f t="shared" si="8"/>
        <v>0</v>
      </c>
      <c r="DX35" s="155">
        <f t="shared" si="9"/>
        <v>0</v>
      </c>
      <c r="DY35" s="155">
        <f>IF(MatchDay!$C$2="LOWER",COUNTA(DF35:DH35),0)</f>
        <v>0</v>
      </c>
      <c r="EA35" s="157" t="s">
        <v>912</v>
      </c>
      <c r="EB35" s="177"/>
      <c r="EC35" s="165"/>
      <c r="ED35" s="177"/>
      <c r="EE35" s="344"/>
      <c r="EF35" s="177"/>
      <c r="EG35" s="165"/>
      <c r="EH35" s="177"/>
      <c r="EI35" s="158"/>
      <c r="EJ35" s="180"/>
      <c r="EK35" s="180"/>
      <c r="EL35" s="180"/>
      <c r="EM35" s="345"/>
      <c r="EN35" s="345"/>
      <c r="EO35" s="177"/>
      <c r="EP35" s="158"/>
      <c r="EQ35" s="177"/>
      <c r="ER35" s="180"/>
      <c r="ES35" s="158"/>
      <c r="ET35" s="344"/>
      <c r="EU35" s="158"/>
      <c r="EV35" s="345"/>
      <c r="EW35" s="155">
        <f t="shared" si="10"/>
        <v>0</v>
      </c>
      <c r="EX35" s="155">
        <f t="shared" si="11"/>
        <v>0</v>
      </c>
      <c r="EY35" s="155">
        <f>IF(MatchDay!$C$2="LOWER",COUNTA(EF35:EH35),0)</f>
        <v>0</v>
      </c>
      <c r="FA35" s="157" t="s">
        <v>912</v>
      </c>
      <c r="FB35" s="171"/>
      <c r="FC35" s="165"/>
      <c r="FD35" s="171"/>
      <c r="FE35" s="344"/>
      <c r="FF35" s="171"/>
      <c r="FG35" s="165"/>
      <c r="FH35" s="171"/>
      <c r="FI35" s="158"/>
      <c r="FJ35" s="180"/>
      <c r="FK35" s="180"/>
      <c r="FL35" s="180"/>
      <c r="FM35" s="345"/>
      <c r="FN35" s="345"/>
      <c r="FO35" s="171"/>
      <c r="FP35" s="158"/>
      <c r="FQ35" s="171"/>
      <c r="FR35" s="180"/>
      <c r="FS35" s="158"/>
      <c r="FT35" s="344"/>
      <c r="FU35" s="158"/>
      <c r="FV35" s="345"/>
      <c r="FW35" s="155">
        <f t="shared" si="12"/>
        <v>0</v>
      </c>
      <c r="FX35" s="155">
        <f t="shared" si="13"/>
        <v>0</v>
      </c>
      <c r="FY35" s="155">
        <f>IF(MatchDay!$C$2="LOWER",COUNTA(FF35:FH35),0)</f>
        <v>0</v>
      </c>
      <c r="GA35" s="157" t="s">
        <v>912</v>
      </c>
      <c r="GB35" s="177"/>
      <c r="GC35" s="165"/>
      <c r="GD35" s="177"/>
      <c r="GE35" s="344"/>
      <c r="GF35" s="177"/>
      <c r="GG35" s="165"/>
      <c r="GH35" s="177"/>
      <c r="GI35" s="158"/>
      <c r="GJ35" s="180"/>
      <c r="GK35" s="180"/>
      <c r="GL35" s="180"/>
      <c r="GM35" s="345"/>
      <c r="GN35" s="345"/>
      <c r="GO35" s="177"/>
      <c r="GP35" s="158"/>
      <c r="GQ35" s="177"/>
      <c r="GR35" s="180"/>
      <c r="GS35" s="158"/>
      <c r="GT35" s="344"/>
      <c r="GU35" s="158"/>
      <c r="GV35" s="345"/>
      <c r="GW35" s="155">
        <f t="shared" si="14"/>
        <v>0</v>
      </c>
      <c r="GX35" s="155">
        <f t="shared" si="15"/>
        <v>0</v>
      </c>
      <c r="GY35" s="155">
        <f>IF(MatchDay!$C$2="LOWER",COUNTA(GF35:GH35),0)</f>
        <v>0</v>
      </c>
    </row>
    <row r="36" spans="1:207" ht="16.5" customHeight="1" x14ac:dyDescent="0.45">
      <c r="A36" s="157" t="s">
        <v>912</v>
      </c>
      <c r="B36" s="171"/>
      <c r="C36" s="165"/>
      <c r="D36" s="171"/>
      <c r="E36" s="344"/>
      <c r="F36" s="171"/>
      <c r="G36" s="165"/>
      <c r="H36" s="171"/>
      <c r="I36" s="158"/>
      <c r="J36" s="180"/>
      <c r="K36" s="180"/>
      <c r="L36" s="180"/>
      <c r="M36" s="345"/>
      <c r="N36" s="345"/>
      <c r="O36" s="171"/>
      <c r="P36" s="158"/>
      <c r="Q36" s="171"/>
      <c r="R36" s="180"/>
      <c r="S36" s="158"/>
      <c r="T36" s="344"/>
      <c r="U36" s="158"/>
      <c r="V36" s="345"/>
      <c r="W36" s="155">
        <f t="shared" ref="W36:W67" si="16">COUNTA(B36:T36)</f>
        <v>0</v>
      </c>
      <c r="X36" s="155">
        <f t="shared" ref="X36:X67" si="17">COUNTA(U36:V36)</f>
        <v>0</v>
      </c>
      <c r="Y36" s="155">
        <f>IF(MatchDay!$C$2="LOWER",COUNTA(F36:H36),0)</f>
        <v>0</v>
      </c>
      <c r="AA36" s="157" t="s">
        <v>912</v>
      </c>
      <c r="AB36" s="177"/>
      <c r="AC36" s="165"/>
      <c r="AD36" s="177"/>
      <c r="AE36" s="344"/>
      <c r="AF36" s="177"/>
      <c r="AG36" s="165"/>
      <c r="AH36" s="177"/>
      <c r="AI36" s="158"/>
      <c r="AJ36" s="180"/>
      <c r="AK36" s="180"/>
      <c r="AL36" s="180"/>
      <c r="AM36" s="345"/>
      <c r="AN36" s="345"/>
      <c r="AO36" s="177"/>
      <c r="AP36" s="158"/>
      <c r="AQ36" s="177"/>
      <c r="AR36" s="180"/>
      <c r="AS36" s="158"/>
      <c r="AT36" s="344"/>
      <c r="AU36" s="158"/>
      <c r="AV36" s="345"/>
      <c r="AW36" s="155">
        <f t="shared" ref="AW36:AW67" si="18">COUNTA(AB36:AT36)</f>
        <v>0</v>
      </c>
      <c r="AX36" s="155">
        <f t="shared" ref="AX36:AX67" si="19">COUNTA(AU36:AV36)</f>
        <v>0</v>
      </c>
      <c r="AY36" s="155">
        <f>IF(MatchDay!$C$2="LOWER",COUNTA(AF36:AH36),0)</f>
        <v>0</v>
      </c>
      <c r="BA36" s="157" t="s">
        <v>912</v>
      </c>
      <c r="BB36" s="171"/>
      <c r="BC36" s="165"/>
      <c r="BD36" s="171"/>
      <c r="BE36" s="344"/>
      <c r="BF36" s="171"/>
      <c r="BG36" s="165"/>
      <c r="BH36" s="171"/>
      <c r="BI36" s="158"/>
      <c r="BJ36" s="180"/>
      <c r="BK36" s="180"/>
      <c r="BL36" s="180"/>
      <c r="BM36" s="345"/>
      <c r="BN36" s="345"/>
      <c r="BO36" s="171"/>
      <c r="BP36" s="158"/>
      <c r="BQ36" s="171"/>
      <c r="BR36" s="180"/>
      <c r="BS36" s="158"/>
      <c r="BT36" s="344"/>
      <c r="BU36" s="158"/>
      <c r="BV36" s="345"/>
      <c r="BW36" s="155">
        <f t="shared" ref="BW36:BW67" si="20">COUNTA(BB36:BT36)</f>
        <v>0</v>
      </c>
      <c r="BX36" s="155">
        <f t="shared" ref="BX36:BX67" si="21">COUNTA(BU36:BV36)</f>
        <v>0</v>
      </c>
      <c r="BY36" s="155">
        <f>IF(MatchDay!$C$2="LOWER",COUNTA(BF36:BH36),0)</f>
        <v>0</v>
      </c>
      <c r="CA36" s="157" t="s">
        <v>912</v>
      </c>
      <c r="CB36" s="177"/>
      <c r="CC36" s="165"/>
      <c r="CD36" s="177"/>
      <c r="CE36" s="344"/>
      <c r="CF36" s="177"/>
      <c r="CG36" s="165"/>
      <c r="CH36" s="177"/>
      <c r="CI36" s="158"/>
      <c r="CJ36" s="180"/>
      <c r="CK36" s="180"/>
      <c r="CL36" s="180"/>
      <c r="CM36" s="345"/>
      <c r="CN36" s="345"/>
      <c r="CO36" s="177"/>
      <c r="CP36" s="158"/>
      <c r="CQ36" s="177"/>
      <c r="CR36" s="180"/>
      <c r="CS36" s="158"/>
      <c r="CT36" s="344"/>
      <c r="CU36" s="158"/>
      <c r="CV36" s="345"/>
      <c r="CW36" s="155">
        <f t="shared" ref="CW36:CW67" si="22">COUNTA(CB36:CT36)</f>
        <v>0</v>
      </c>
      <c r="CX36" s="155">
        <f t="shared" ref="CX36:CX67" si="23">COUNTA(CU36:CV36)</f>
        <v>0</v>
      </c>
      <c r="CY36" s="155">
        <f>IF(MatchDay!$C$2="LOWER",COUNTA(CF36:CH36),0)</f>
        <v>0</v>
      </c>
      <c r="DA36" s="157" t="s">
        <v>912</v>
      </c>
      <c r="DB36" s="171"/>
      <c r="DC36" s="165"/>
      <c r="DD36" s="171"/>
      <c r="DE36" s="344"/>
      <c r="DF36" s="171"/>
      <c r="DG36" s="165"/>
      <c r="DH36" s="171"/>
      <c r="DI36" s="158"/>
      <c r="DJ36" s="180"/>
      <c r="DK36" s="180"/>
      <c r="DL36" s="180"/>
      <c r="DM36" s="345"/>
      <c r="DN36" s="345"/>
      <c r="DO36" s="171"/>
      <c r="DP36" s="158"/>
      <c r="DQ36" s="171"/>
      <c r="DR36" s="180"/>
      <c r="DS36" s="158"/>
      <c r="DT36" s="344"/>
      <c r="DU36" s="158"/>
      <c r="DV36" s="345"/>
      <c r="DW36" s="155">
        <f t="shared" ref="DW36:DW67" si="24">COUNTA(DB36:DT36)</f>
        <v>0</v>
      </c>
      <c r="DX36" s="155">
        <f t="shared" ref="DX36:DX67" si="25">COUNTA(DU36:DV36)</f>
        <v>0</v>
      </c>
      <c r="DY36" s="155">
        <f>IF(MatchDay!$C$2="LOWER",COUNTA(DF36:DH36),0)</f>
        <v>0</v>
      </c>
      <c r="EA36" s="157" t="s">
        <v>912</v>
      </c>
      <c r="EB36" s="177"/>
      <c r="EC36" s="165"/>
      <c r="ED36" s="177"/>
      <c r="EE36" s="344"/>
      <c r="EF36" s="177"/>
      <c r="EG36" s="165"/>
      <c r="EH36" s="177"/>
      <c r="EI36" s="158"/>
      <c r="EJ36" s="180"/>
      <c r="EK36" s="180"/>
      <c r="EL36" s="180"/>
      <c r="EM36" s="345"/>
      <c r="EN36" s="345"/>
      <c r="EO36" s="177"/>
      <c r="EP36" s="158"/>
      <c r="EQ36" s="177"/>
      <c r="ER36" s="180"/>
      <c r="ES36" s="158"/>
      <c r="ET36" s="344"/>
      <c r="EU36" s="158"/>
      <c r="EV36" s="345"/>
      <c r="EW36" s="155">
        <f t="shared" ref="EW36:EW67" si="26">COUNTA(EB36:ET36)</f>
        <v>0</v>
      </c>
      <c r="EX36" s="155">
        <f t="shared" ref="EX36:EX67" si="27">COUNTA(EU36:EV36)</f>
        <v>0</v>
      </c>
      <c r="EY36" s="155">
        <f>IF(MatchDay!$C$2="LOWER",COUNTA(EF36:EH36),0)</f>
        <v>0</v>
      </c>
      <c r="FA36" s="157" t="s">
        <v>912</v>
      </c>
      <c r="FB36" s="171"/>
      <c r="FC36" s="165"/>
      <c r="FD36" s="171"/>
      <c r="FE36" s="344"/>
      <c r="FF36" s="171"/>
      <c r="FG36" s="165"/>
      <c r="FH36" s="171"/>
      <c r="FI36" s="158"/>
      <c r="FJ36" s="180"/>
      <c r="FK36" s="180"/>
      <c r="FL36" s="180"/>
      <c r="FM36" s="345"/>
      <c r="FN36" s="345"/>
      <c r="FO36" s="171"/>
      <c r="FP36" s="158"/>
      <c r="FQ36" s="171"/>
      <c r="FR36" s="180"/>
      <c r="FS36" s="158"/>
      <c r="FT36" s="344"/>
      <c r="FU36" s="158"/>
      <c r="FV36" s="345"/>
      <c r="FW36" s="155">
        <f t="shared" ref="FW36:FW67" si="28">COUNTA(FB36:FT36)</f>
        <v>0</v>
      </c>
      <c r="FX36" s="155">
        <f t="shared" ref="FX36:FX67" si="29">COUNTA(FU36:FV36)</f>
        <v>0</v>
      </c>
      <c r="FY36" s="155">
        <f>IF(MatchDay!$C$2="LOWER",COUNTA(FF36:FH36),0)</f>
        <v>0</v>
      </c>
      <c r="GA36" s="157" t="s">
        <v>912</v>
      </c>
      <c r="GB36" s="177"/>
      <c r="GC36" s="165"/>
      <c r="GD36" s="177"/>
      <c r="GE36" s="344"/>
      <c r="GF36" s="177"/>
      <c r="GG36" s="165"/>
      <c r="GH36" s="177"/>
      <c r="GI36" s="158"/>
      <c r="GJ36" s="180"/>
      <c r="GK36" s="180"/>
      <c r="GL36" s="180"/>
      <c r="GM36" s="345"/>
      <c r="GN36" s="345"/>
      <c r="GO36" s="177"/>
      <c r="GP36" s="158"/>
      <c r="GQ36" s="177"/>
      <c r="GR36" s="180"/>
      <c r="GS36" s="158"/>
      <c r="GT36" s="344"/>
      <c r="GU36" s="158"/>
      <c r="GV36" s="345"/>
      <c r="GW36" s="155">
        <f t="shared" ref="GW36:GW67" si="30">COUNTA(GB36:GT36)</f>
        <v>0</v>
      </c>
      <c r="GX36" s="155">
        <f t="shared" ref="GX36:GX67" si="31">COUNTA(GU36:GV36)</f>
        <v>0</v>
      </c>
      <c r="GY36" s="155">
        <f>IF(MatchDay!$C$2="LOWER",COUNTA(GF36:GH36),0)</f>
        <v>0</v>
      </c>
    </row>
    <row r="37" spans="1:207" ht="16.5" customHeight="1" x14ac:dyDescent="0.45">
      <c r="A37" s="157" t="s">
        <v>912</v>
      </c>
      <c r="B37" s="171"/>
      <c r="C37" s="165"/>
      <c r="D37" s="171"/>
      <c r="E37" s="344"/>
      <c r="F37" s="171"/>
      <c r="G37" s="165"/>
      <c r="H37" s="171"/>
      <c r="I37" s="158"/>
      <c r="J37" s="180"/>
      <c r="K37" s="180"/>
      <c r="L37" s="180"/>
      <c r="M37" s="345"/>
      <c r="N37" s="345"/>
      <c r="O37" s="171"/>
      <c r="P37" s="158"/>
      <c r="Q37" s="171"/>
      <c r="R37" s="180"/>
      <c r="S37" s="158"/>
      <c r="T37" s="344"/>
      <c r="U37" s="158"/>
      <c r="V37" s="345"/>
      <c r="W37" s="155">
        <f t="shared" si="16"/>
        <v>0</v>
      </c>
      <c r="X37" s="155">
        <f t="shared" si="17"/>
        <v>0</v>
      </c>
      <c r="Y37" s="155">
        <f>IF(MatchDay!$C$2="LOWER",COUNTA(F37:H37),0)</f>
        <v>0</v>
      </c>
      <c r="AA37" s="157" t="s">
        <v>912</v>
      </c>
      <c r="AB37" s="177"/>
      <c r="AC37" s="165"/>
      <c r="AD37" s="177"/>
      <c r="AE37" s="344"/>
      <c r="AF37" s="177"/>
      <c r="AG37" s="165"/>
      <c r="AH37" s="177"/>
      <c r="AI37" s="158"/>
      <c r="AJ37" s="180"/>
      <c r="AK37" s="180"/>
      <c r="AL37" s="180"/>
      <c r="AM37" s="345"/>
      <c r="AN37" s="345"/>
      <c r="AO37" s="177"/>
      <c r="AP37" s="158"/>
      <c r="AQ37" s="177"/>
      <c r="AR37" s="180"/>
      <c r="AS37" s="158"/>
      <c r="AT37" s="344"/>
      <c r="AU37" s="158"/>
      <c r="AV37" s="345"/>
      <c r="AW37" s="155">
        <f t="shared" si="18"/>
        <v>0</v>
      </c>
      <c r="AX37" s="155">
        <f t="shared" si="19"/>
        <v>0</v>
      </c>
      <c r="AY37" s="155">
        <f>IF(MatchDay!$C$2="LOWER",COUNTA(AF37:AH37),0)</f>
        <v>0</v>
      </c>
      <c r="BA37" s="157" t="s">
        <v>912</v>
      </c>
      <c r="BB37" s="171"/>
      <c r="BC37" s="165"/>
      <c r="BD37" s="171"/>
      <c r="BE37" s="344"/>
      <c r="BF37" s="171"/>
      <c r="BG37" s="165"/>
      <c r="BH37" s="171"/>
      <c r="BI37" s="158"/>
      <c r="BJ37" s="180"/>
      <c r="BK37" s="180"/>
      <c r="BL37" s="180"/>
      <c r="BM37" s="345"/>
      <c r="BN37" s="345"/>
      <c r="BO37" s="171"/>
      <c r="BP37" s="158"/>
      <c r="BQ37" s="171"/>
      <c r="BR37" s="180"/>
      <c r="BS37" s="158"/>
      <c r="BT37" s="344"/>
      <c r="BU37" s="158"/>
      <c r="BV37" s="345"/>
      <c r="BW37" s="155">
        <f t="shared" si="20"/>
        <v>0</v>
      </c>
      <c r="BX37" s="155">
        <f t="shared" si="21"/>
        <v>0</v>
      </c>
      <c r="BY37" s="155">
        <f>IF(MatchDay!$C$2="LOWER",COUNTA(BF37:BH37),0)</f>
        <v>0</v>
      </c>
      <c r="CA37" s="157" t="s">
        <v>912</v>
      </c>
      <c r="CB37" s="177"/>
      <c r="CC37" s="165"/>
      <c r="CD37" s="177"/>
      <c r="CE37" s="344"/>
      <c r="CF37" s="177"/>
      <c r="CG37" s="165"/>
      <c r="CH37" s="177"/>
      <c r="CI37" s="158"/>
      <c r="CJ37" s="180"/>
      <c r="CK37" s="180"/>
      <c r="CL37" s="180"/>
      <c r="CM37" s="345"/>
      <c r="CN37" s="345"/>
      <c r="CO37" s="177"/>
      <c r="CP37" s="158"/>
      <c r="CQ37" s="177"/>
      <c r="CR37" s="180"/>
      <c r="CS37" s="158"/>
      <c r="CT37" s="344"/>
      <c r="CU37" s="158"/>
      <c r="CV37" s="345"/>
      <c r="CW37" s="155">
        <f t="shared" si="22"/>
        <v>0</v>
      </c>
      <c r="CX37" s="155">
        <f t="shared" si="23"/>
        <v>0</v>
      </c>
      <c r="CY37" s="155">
        <f>IF(MatchDay!$C$2="LOWER",COUNTA(CF37:CH37),0)</f>
        <v>0</v>
      </c>
      <c r="DA37" s="157" t="s">
        <v>912</v>
      </c>
      <c r="DB37" s="171"/>
      <c r="DC37" s="165"/>
      <c r="DD37" s="171"/>
      <c r="DE37" s="344"/>
      <c r="DF37" s="171"/>
      <c r="DG37" s="165"/>
      <c r="DH37" s="171"/>
      <c r="DI37" s="158"/>
      <c r="DJ37" s="180"/>
      <c r="DK37" s="180"/>
      <c r="DL37" s="180"/>
      <c r="DM37" s="345"/>
      <c r="DN37" s="345"/>
      <c r="DO37" s="171"/>
      <c r="DP37" s="158"/>
      <c r="DQ37" s="171"/>
      <c r="DR37" s="180"/>
      <c r="DS37" s="158"/>
      <c r="DT37" s="344"/>
      <c r="DU37" s="158"/>
      <c r="DV37" s="345"/>
      <c r="DW37" s="155">
        <f t="shared" si="24"/>
        <v>0</v>
      </c>
      <c r="DX37" s="155">
        <f t="shared" si="25"/>
        <v>0</v>
      </c>
      <c r="DY37" s="155">
        <f>IF(MatchDay!$C$2="LOWER",COUNTA(DF37:DH37),0)</f>
        <v>0</v>
      </c>
      <c r="EA37" s="157" t="s">
        <v>912</v>
      </c>
      <c r="EB37" s="177"/>
      <c r="EC37" s="165"/>
      <c r="ED37" s="177"/>
      <c r="EE37" s="344"/>
      <c r="EF37" s="177"/>
      <c r="EG37" s="165"/>
      <c r="EH37" s="177"/>
      <c r="EI37" s="158"/>
      <c r="EJ37" s="180"/>
      <c r="EK37" s="180"/>
      <c r="EL37" s="180"/>
      <c r="EM37" s="345"/>
      <c r="EN37" s="345"/>
      <c r="EO37" s="177"/>
      <c r="EP37" s="158"/>
      <c r="EQ37" s="177"/>
      <c r="ER37" s="180"/>
      <c r="ES37" s="158"/>
      <c r="ET37" s="344"/>
      <c r="EU37" s="158"/>
      <c r="EV37" s="345"/>
      <c r="EW37" s="155">
        <f t="shared" si="26"/>
        <v>0</v>
      </c>
      <c r="EX37" s="155">
        <f t="shared" si="27"/>
        <v>0</v>
      </c>
      <c r="EY37" s="155">
        <f>IF(MatchDay!$C$2="LOWER",COUNTA(EF37:EH37),0)</f>
        <v>0</v>
      </c>
      <c r="FA37" s="157" t="s">
        <v>912</v>
      </c>
      <c r="FB37" s="171"/>
      <c r="FC37" s="165"/>
      <c r="FD37" s="171"/>
      <c r="FE37" s="344"/>
      <c r="FF37" s="171"/>
      <c r="FG37" s="165"/>
      <c r="FH37" s="171"/>
      <c r="FI37" s="158"/>
      <c r="FJ37" s="180"/>
      <c r="FK37" s="180"/>
      <c r="FL37" s="180"/>
      <c r="FM37" s="345"/>
      <c r="FN37" s="345"/>
      <c r="FO37" s="171"/>
      <c r="FP37" s="158"/>
      <c r="FQ37" s="171"/>
      <c r="FR37" s="180"/>
      <c r="FS37" s="158"/>
      <c r="FT37" s="344"/>
      <c r="FU37" s="158"/>
      <c r="FV37" s="345"/>
      <c r="FW37" s="155">
        <f t="shared" si="28"/>
        <v>0</v>
      </c>
      <c r="FX37" s="155">
        <f t="shared" si="29"/>
        <v>0</v>
      </c>
      <c r="FY37" s="155">
        <f>IF(MatchDay!$C$2="LOWER",COUNTA(FF37:FH37),0)</f>
        <v>0</v>
      </c>
      <c r="GA37" s="157" t="s">
        <v>912</v>
      </c>
      <c r="GB37" s="177"/>
      <c r="GC37" s="165"/>
      <c r="GD37" s="177"/>
      <c r="GE37" s="344"/>
      <c r="GF37" s="177"/>
      <c r="GG37" s="165"/>
      <c r="GH37" s="177"/>
      <c r="GI37" s="158"/>
      <c r="GJ37" s="180"/>
      <c r="GK37" s="180"/>
      <c r="GL37" s="180"/>
      <c r="GM37" s="345"/>
      <c r="GN37" s="345"/>
      <c r="GO37" s="177"/>
      <c r="GP37" s="158"/>
      <c r="GQ37" s="177"/>
      <c r="GR37" s="180"/>
      <c r="GS37" s="158"/>
      <c r="GT37" s="344"/>
      <c r="GU37" s="158"/>
      <c r="GV37" s="345"/>
      <c r="GW37" s="155">
        <f t="shared" si="30"/>
        <v>0</v>
      </c>
      <c r="GX37" s="155">
        <f t="shared" si="31"/>
        <v>0</v>
      </c>
      <c r="GY37" s="155">
        <f>IF(MatchDay!$C$2="LOWER",COUNTA(GF37:GH37),0)</f>
        <v>0</v>
      </c>
    </row>
    <row r="38" spans="1:207" ht="16.5" customHeight="1" x14ac:dyDescent="0.45">
      <c r="A38" s="157" t="s">
        <v>912</v>
      </c>
      <c r="B38" s="171"/>
      <c r="C38" s="165"/>
      <c r="D38" s="171"/>
      <c r="E38" s="344"/>
      <c r="F38" s="171"/>
      <c r="G38" s="165"/>
      <c r="H38" s="171"/>
      <c r="I38" s="158"/>
      <c r="J38" s="180"/>
      <c r="K38" s="180"/>
      <c r="L38" s="180"/>
      <c r="M38" s="345"/>
      <c r="N38" s="345"/>
      <c r="O38" s="171"/>
      <c r="P38" s="158"/>
      <c r="Q38" s="171"/>
      <c r="R38" s="180"/>
      <c r="S38" s="158"/>
      <c r="T38" s="344"/>
      <c r="U38" s="158"/>
      <c r="V38" s="345"/>
      <c r="W38" s="155">
        <f t="shared" si="16"/>
        <v>0</v>
      </c>
      <c r="X38" s="155">
        <f t="shared" si="17"/>
        <v>0</v>
      </c>
      <c r="Y38" s="155">
        <f>IF(MatchDay!$C$2="LOWER",COUNTA(F38:H38),0)</f>
        <v>0</v>
      </c>
      <c r="AA38" s="157" t="s">
        <v>912</v>
      </c>
      <c r="AB38" s="177"/>
      <c r="AC38" s="165"/>
      <c r="AD38" s="177"/>
      <c r="AE38" s="344"/>
      <c r="AF38" s="177"/>
      <c r="AG38" s="165"/>
      <c r="AH38" s="177"/>
      <c r="AI38" s="158"/>
      <c r="AJ38" s="180"/>
      <c r="AK38" s="180"/>
      <c r="AL38" s="180"/>
      <c r="AM38" s="345"/>
      <c r="AN38" s="345"/>
      <c r="AO38" s="177"/>
      <c r="AP38" s="158"/>
      <c r="AQ38" s="177"/>
      <c r="AR38" s="180"/>
      <c r="AS38" s="158"/>
      <c r="AT38" s="344"/>
      <c r="AU38" s="158"/>
      <c r="AV38" s="345"/>
      <c r="AW38" s="155">
        <f t="shared" si="18"/>
        <v>0</v>
      </c>
      <c r="AX38" s="155">
        <f t="shared" si="19"/>
        <v>0</v>
      </c>
      <c r="AY38" s="155">
        <f>IF(MatchDay!$C$2="LOWER",COUNTA(AF38:AH38),0)</f>
        <v>0</v>
      </c>
      <c r="BA38" s="157" t="s">
        <v>912</v>
      </c>
      <c r="BB38" s="171"/>
      <c r="BC38" s="165"/>
      <c r="BD38" s="171"/>
      <c r="BE38" s="344"/>
      <c r="BF38" s="171"/>
      <c r="BG38" s="165"/>
      <c r="BH38" s="171"/>
      <c r="BI38" s="158"/>
      <c r="BJ38" s="180"/>
      <c r="BK38" s="180"/>
      <c r="BL38" s="180"/>
      <c r="BM38" s="345"/>
      <c r="BN38" s="345"/>
      <c r="BO38" s="171"/>
      <c r="BP38" s="158"/>
      <c r="BQ38" s="171"/>
      <c r="BR38" s="180"/>
      <c r="BS38" s="158"/>
      <c r="BT38" s="344"/>
      <c r="BU38" s="158"/>
      <c r="BV38" s="345"/>
      <c r="BW38" s="155">
        <f t="shared" si="20"/>
        <v>0</v>
      </c>
      <c r="BX38" s="155">
        <f t="shared" si="21"/>
        <v>0</v>
      </c>
      <c r="BY38" s="155">
        <f>IF(MatchDay!$C$2="LOWER",COUNTA(BF38:BH38),0)</f>
        <v>0</v>
      </c>
      <c r="CA38" s="157" t="s">
        <v>912</v>
      </c>
      <c r="CB38" s="177"/>
      <c r="CC38" s="165"/>
      <c r="CD38" s="177"/>
      <c r="CE38" s="344"/>
      <c r="CF38" s="177"/>
      <c r="CG38" s="165"/>
      <c r="CH38" s="177"/>
      <c r="CI38" s="158"/>
      <c r="CJ38" s="180"/>
      <c r="CK38" s="180"/>
      <c r="CL38" s="180"/>
      <c r="CM38" s="345"/>
      <c r="CN38" s="345"/>
      <c r="CO38" s="177"/>
      <c r="CP38" s="158"/>
      <c r="CQ38" s="177"/>
      <c r="CR38" s="180"/>
      <c r="CS38" s="158"/>
      <c r="CT38" s="344"/>
      <c r="CU38" s="158"/>
      <c r="CV38" s="345"/>
      <c r="CW38" s="155">
        <f t="shared" si="22"/>
        <v>0</v>
      </c>
      <c r="CX38" s="155">
        <f t="shared" si="23"/>
        <v>0</v>
      </c>
      <c r="CY38" s="155">
        <f>IF(MatchDay!$C$2="LOWER",COUNTA(CF38:CH38),0)</f>
        <v>0</v>
      </c>
      <c r="DA38" s="157" t="s">
        <v>912</v>
      </c>
      <c r="DB38" s="171"/>
      <c r="DC38" s="165"/>
      <c r="DD38" s="171"/>
      <c r="DE38" s="344"/>
      <c r="DF38" s="171"/>
      <c r="DG38" s="165"/>
      <c r="DH38" s="171"/>
      <c r="DI38" s="158"/>
      <c r="DJ38" s="180"/>
      <c r="DK38" s="180"/>
      <c r="DL38" s="180"/>
      <c r="DM38" s="345"/>
      <c r="DN38" s="345"/>
      <c r="DO38" s="171"/>
      <c r="DP38" s="158"/>
      <c r="DQ38" s="171"/>
      <c r="DR38" s="180"/>
      <c r="DS38" s="158"/>
      <c r="DT38" s="344"/>
      <c r="DU38" s="158"/>
      <c r="DV38" s="345"/>
      <c r="DW38" s="155">
        <f t="shared" si="24"/>
        <v>0</v>
      </c>
      <c r="DX38" s="155">
        <f t="shared" si="25"/>
        <v>0</v>
      </c>
      <c r="DY38" s="155">
        <f>IF(MatchDay!$C$2="LOWER",COUNTA(DF38:DH38),0)</f>
        <v>0</v>
      </c>
      <c r="EA38" s="157" t="s">
        <v>912</v>
      </c>
      <c r="EB38" s="177"/>
      <c r="EC38" s="165"/>
      <c r="ED38" s="177"/>
      <c r="EE38" s="344"/>
      <c r="EF38" s="177"/>
      <c r="EG38" s="165"/>
      <c r="EH38" s="177"/>
      <c r="EI38" s="158"/>
      <c r="EJ38" s="180"/>
      <c r="EK38" s="180"/>
      <c r="EL38" s="180"/>
      <c r="EM38" s="345"/>
      <c r="EN38" s="345"/>
      <c r="EO38" s="177"/>
      <c r="EP38" s="158"/>
      <c r="EQ38" s="177"/>
      <c r="ER38" s="180"/>
      <c r="ES38" s="158"/>
      <c r="ET38" s="344"/>
      <c r="EU38" s="158"/>
      <c r="EV38" s="345"/>
      <c r="EW38" s="155">
        <f t="shared" si="26"/>
        <v>0</v>
      </c>
      <c r="EX38" s="155">
        <f t="shared" si="27"/>
        <v>0</v>
      </c>
      <c r="EY38" s="155">
        <f>IF(MatchDay!$C$2="LOWER",COUNTA(EF38:EH38),0)</f>
        <v>0</v>
      </c>
      <c r="FA38" s="157" t="s">
        <v>912</v>
      </c>
      <c r="FB38" s="171"/>
      <c r="FC38" s="165"/>
      <c r="FD38" s="171"/>
      <c r="FE38" s="344"/>
      <c r="FF38" s="171"/>
      <c r="FG38" s="165"/>
      <c r="FH38" s="171"/>
      <c r="FI38" s="158"/>
      <c r="FJ38" s="180"/>
      <c r="FK38" s="180"/>
      <c r="FL38" s="180"/>
      <c r="FM38" s="345"/>
      <c r="FN38" s="345"/>
      <c r="FO38" s="171"/>
      <c r="FP38" s="158"/>
      <c r="FQ38" s="171"/>
      <c r="FR38" s="180"/>
      <c r="FS38" s="158"/>
      <c r="FT38" s="344"/>
      <c r="FU38" s="158"/>
      <c r="FV38" s="345"/>
      <c r="FW38" s="155">
        <f t="shared" si="28"/>
        <v>0</v>
      </c>
      <c r="FX38" s="155">
        <f t="shared" si="29"/>
        <v>0</v>
      </c>
      <c r="FY38" s="155">
        <f>IF(MatchDay!$C$2="LOWER",COUNTA(FF38:FH38),0)</f>
        <v>0</v>
      </c>
      <c r="GA38" s="157" t="s">
        <v>912</v>
      </c>
      <c r="GB38" s="177"/>
      <c r="GC38" s="165"/>
      <c r="GD38" s="177"/>
      <c r="GE38" s="344"/>
      <c r="GF38" s="177"/>
      <c r="GG38" s="165"/>
      <c r="GH38" s="177"/>
      <c r="GI38" s="158"/>
      <c r="GJ38" s="180"/>
      <c r="GK38" s="180"/>
      <c r="GL38" s="180"/>
      <c r="GM38" s="345"/>
      <c r="GN38" s="345"/>
      <c r="GO38" s="177"/>
      <c r="GP38" s="158"/>
      <c r="GQ38" s="177"/>
      <c r="GR38" s="180"/>
      <c r="GS38" s="158"/>
      <c r="GT38" s="344"/>
      <c r="GU38" s="158"/>
      <c r="GV38" s="345"/>
      <c r="GW38" s="155">
        <f t="shared" si="30"/>
        <v>0</v>
      </c>
      <c r="GX38" s="155">
        <f t="shared" si="31"/>
        <v>0</v>
      </c>
      <c r="GY38" s="155">
        <f>IF(MatchDay!$C$2="LOWER",COUNTA(GF38:GH38),0)</f>
        <v>0</v>
      </c>
    </row>
    <row r="39" spans="1:207" ht="16.5" customHeight="1" x14ac:dyDescent="0.45">
      <c r="A39" s="157" t="s">
        <v>912</v>
      </c>
      <c r="B39" s="171"/>
      <c r="C39" s="165"/>
      <c r="D39" s="171"/>
      <c r="E39" s="344"/>
      <c r="F39" s="171"/>
      <c r="G39" s="165"/>
      <c r="H39" s="171"/>
      <c r="I39" s="158"/>
      <c r="J39" s="180"/>
      <c r="K39" s="180"/>
      <c r="L39" s="180"/>
      <c r="M39" s="345"/>
      <c r="N39" s="345"/>
      <c r="O39" s="171"/>
      <c r="P39" s="158"/>
      <c r="Q39" s="171"/>
      <c r="R39" s="180"/>
      <c r="S39" s="158"/>
      <c r="T39" s="344"/>
      <c r="U39" s="158"/>
      <c r="V39" s="345"/>
      <c r="W39" s="155">
        <f t="shared" si="16"/>
        <v>0</v>
      </c>
      <c r="X39" s="155">
        <f t="shared" si="17"/>
        <v>0</v>
      </c>
      <c r="Y39" s="155">
        <f>IF(MatchDay!$C$2="LOWER",COUNTA(F39:H39),0)</f>
        <v>0</v>
      </c>
      <c r="AA39" s="157" t="s">
        <v>912</v>
      </c>
      <c r="AB39" s="177"/>
      <c r="AC39" s="165"/>
      <c r="AD39" s="177"/>
      <c r="AE39" s="344"/>
      <c r="AF39" s="177"/>
      <c r="AG39" s="165"/>
      <c r="AH39" s="177"/>
      <c r="AI39" s="158"/>
      <c r="AJ39" s="180"/>
      <c r="AK39" s="180"/>
      <c r="AL39" s="180"/>
      <c r="AM39" s="345"/>
      <c r="AN39" s="345"/>
      <c r="AO39" s="177"/>
      <c r="AP39" s="158"/>
      <c r="AQ39" s="177"/>
      <c r="AR39" s="180"/>
      <c r="AS39" s="158"/>
      <c r="AT39" s="344"/>
      <c r="AU39" s="158"/>
      <c r="AV39" s="345"/>
      <c r="AW39" s="155">
        <f t="shared" si="18"/>
        <v>0</v>
      </c>
      <c r="AX39" s="155">
        <f t="shared" si="19"/>
        <v>0</v>
      </c>
      <c r="AY39" s="155">
        <f>IF(MatchDay!$C$2="LOWER",COUNTA(AF39:AH39),0)</f>
        <v>0</v>
      </c>
      <c r="BA39" s="157" t="s">
        <v>912</v>
      </c>
      <c r="BB39" s="171"/>
      <c r="BC39" s="165"/>
      <c r="BD39" s="171"/>
      <c r="BE39" s="344"/>
      <c r="BF39" s="171"/>
      <c r="BG39" s="165"/>
      <c r="BH39" s="171"/>
      <c r="BI39" s="158"/>
      <c r="BJ39" s="180"/>
      <c r="BK39" s="180"/>
      <c r="BL39" s="180"/>
      <c r="BM39" s="345"/>
      <c r="BN39" s="345"/>
      <c r="BO39" s="171"/>
      <c r="BP39" s="158"/>
      <c r="BQ39" s="171"/>
      <c r="BR39" s="180"/>
      <c r="BS39" s="158"/>
      <c r="BT39" s="344"/>
      <c r="BU39" s="158"/>
      <c r="BV39" s="345"/>
      <c r="BW39" s="155">
        <f t="shared" si="20"/>
        <v>0</v>
      </c>
      <c r="BX39" s="155">
        <f t="shared" si="21"/>
        <v>0</v>
      </c>
      <c r="BY39" s="155">
        <f>IF(MatchDay!$C$2="LOWER",COUNTA(BF39:BH39),0)</f>
        <v>0</v>
      </c>
      <c r="CA39" s="157" t="s">
        <v>912</v>
      </c>
      <c r="CB39" s="177"/>
      <c r="CC39" s="165"/>
      <c r="CD39" s="177"/>
      <c r="CE39" s="344"/>
      <c r="CF39" s="177"/>
      <c r="CG39" s="165"/>
      <c r="CH39" s="177"/>
      <c r="CI39" s="158"/>
      <c r="CJ39" s="180"/>
      <c r="CK39" s="180"/>
      <c r="CL39" s="180"/>
      <c r="CM39" s="345"/>
      <c r="CN39" s="345"/>
      <c r="CO39" s="177"/>
      <c r="CP39" s="158"/>
      <c r="CQ39" s="177"/>
      <c r="CR39" s="180"/>
      <c r="CS39" s="158"/>
      <c r="CT39" s="344"/>
      <c r="CU39" s="158"/>
      <c r="CV39" s="345"/>
      <c r="CW39" s="155">
        <f t="shared" si="22"/>
        <v>0</v>
      </c>
      <c r="CX39" s="155">
        <f t="shared" si="23"/>
        <v>0</v>
      </c>
      <c r="CY39" s="155">
        <f>IF(MatchDay!$C$2="LOWER",COUNTA(CF39:CH39),0)</f>
        <v>0</v>
      </c>
      <c r="DA39" s="157" t="s">
        <v>912</v>
      </c>
      <c r="DB39" s="171"/>
      <c r="DC39" s="165"/>
      <c r="DD39" s="171"/>
      <c r="DE39" s="344"/>
      <c r="DF39" s="171"/>
      <c r="DG39" s="165"/>
      <c r="DH39" s="171"/>
      <c r="DI39" s="158"/>
      <c r="DJ39" s="180"/>
      <c r="DK39" s="180"/>
      <c r="DL39" s="180"/>
      <c r="DM39" s="345"/>
      <c r="DN39" s="345"/>
      <c r="DO39" s="171"/>
      <c r="DP39" s="158"/>
      <c r="DQ39" s="171"/>
      <c r="DR39" s="180"/>
      <c r="DS39" s="158"/>
      <c r="DT39" s="344"/>
      <c r="DU39" s="158"/>
      <c r="DV39" s="345"/>
      <c r="DW39" s="155">
        <f t="shared" si="24"/>
        <v>0</v>
      </c>
      <c r="DX39" s="155">
        <f t="shared" si="25"/>
        <v>0</v>
      </c>
      <c r="DY39" s="155">
        <f>IF(MatchDay!$C$2="LOWER",COUNTA(DF39:DH39),0)</f>
        <v>0</v>
      </c>
      <c r="EA39" s="157" t="s">
        <v>912</v>
      </c>
      <c r="EB39" s="177"/>
      <c r="EC39" s="165"/>
      <c r="ED39" s="177"/>
      <c r="EE39" s="344"/>
      <c r="EF39" s="177"/>
      <c r="EG39" s="165"/>
      <c r="EH39" s="177"/>
      <c r="EI39" s="158"/>
      <c r="EJ39" s="180"/>
      <c r="EK39" s="180"/>
      <c r="EL39" s="180"/>
      <c r="EM39" s="345"/>
      <c r="EN39" s="345"/>
      <c r="EO39" s="177"/>
      <c r="EP39" s="158"/>
      <c r="EQ39" s="177"/>
      <c r="ER39" s="180"/>
      <c r="ES39" s="158"/>
      <c r="ET39" s="344"/>
      <c r="EU39" s="158"/>
      <c r="EV39" s="345"/>
      <c r="EW39" s="155">
        <f t="shared" si="26"/>
        <v>0</v>
      </c>
      <c r="EX39" s="155">
        <f t="shared" si="27"/>
        <v>0</v>
      </c>
      <c r="EY39" s="155">
        <f>IF(MatchDay!$C$2="LOWER",COUNTA(EF39:EH39),0)</f>
        <v>0</v>
      </c>
      <c r="FA39" s="157" t="s">
        <v>912</v>
      </c>
      <c r="FB39" s="171"/>
      <c r="FC39" s="165"/>
      <c r="FD39" s="171"/>
      <c r="FE39" s="344"/>
      <c r="FF39" s="171"/>
      <c r="FG39" s="165"/>
      <c r="FH39" s="171"/>
      <c r="FI39" s="158"/>
      <c r="FJ39" s="180"/>
      <c r="FK39" s="180"/>
      <c r="FL39" s="180"/>
      <c r="FM39" s="345"/>
      <c r="FN39" s="345"/>
      <c r="FO39" s="171"/>
      <c r="FP39" s="158"/>
      <c r="FQ39" s="171"/>
      <c r="FR39" s="180"/>
      <c r="FS39" s="158"/>
      <c r="FT39" s="344"/>
      <c r="FU39" s="158"/>
      <c r="FV39" s="345"/>
      <c r="FW39" s="155">
        <f t="shared" si="28"/>
        <v>0</v>
      </c>
      <c r="FX39" s="155">
        <f t="shared" si="29"/>
        <v>0</v>
      </c>
      <c r="FY39" s="155">
        <f>IF(MatchDay!$C$2="LOWER",COUNTA(FF39:FH39),0)</f>
        <v>0</v>
      </c>
      <c r="GA39" s="157" t="s">
        <v>912</v>
      </c>
      <c r="GB39" s="177"/>
      <c r="GC39" s="165"/>
      <c r="GD39" s="177"/>
      <c r="GE39" s="344"/>
      <c r="GF39" s="177"/>
      <c r="GG39" s="165"/>
      <c r="GH39" s="177"/>
      <c r="GI39" s="158"/>
      <c r="GJ39" s="180"/>
      <c r="GK39" s="180"/>
      <c r="GL39" s="180"/>
      <c r="GM39" s="345"/>
      <c r="GN39" s="345"/>
      <c r="GO39" s="177"/>
      <c r="GP39" s="158"/>
      <c r="GQ39" s="177"/>
      <c r="GR39" s="180"/>
      <c r="GS39" s="158"/>
      <c r="GT39" s="344"/>
      <c r="GU39" s="158"/>
      <c r="GV39" s="345"/>
      <c r="GW39" s="155">
        <f t="shared" si="30"/>
        <v>0</v>
      </c>
      <c r="GX39" s="155">
        <f t="shared" si="31"/>
        <v>0</v>
      </c>
      <c r="GY39" s="155">
        <f>IF(MatchDay!$C$2="LOWER",COUNTA(GF39:GH39),0)</f>
        <v>0</v>
      </c>
    </row>
    <row r="40" spans="1:207" ht="16.5" customHeight="1" x14ac:dyDescent="0.45">
      <c r="A40" s="157" t="s">
        <v>912</v>
      </c>
      <c r="B40" s="171"/>
      <c r="C40" s="165"/>
      <c r="D40" s="171"/>
      <c r="E40" s="344"/>
      <c r="F40" s="171"/>
      <c r="G40" s="165"/>
      <c r="H40" s="171"/>
      <c r="I40" s="158"/>
      <c r="J40" s="180"/>
      <c r="K40" s="180"/>
      <c r="L40" s="180"/>
      <c r="M40" s="345"/>
      <c r="N40" s="345"/>
      <c r="O40" s="171"/>
      <c r="P40" s="158"/>
      <c r="Q40" s="171"/>
      <c r="R40" s="180"/>
      <c r="S40" s="158"/>
      <c r="T40" s="344"/>
      <c r="U40" s="158"/>
      <c r="V40" s="345"/>
      <c r="W40" s="155">
        <f t="shared" si="16"/>
        <v>0</v>
      </c>
      <c r="X40" s="155">
        <f t="shared" si="17"/>
        <v>0</v>
      </c>
      <c r="Y40" s="155">
        <f>IF(MatchDay!$C$2="LOWER",COUNTA(F40:H40),0)</f>
        <v>0</v>
      </c>
      <c r="AA40" s="157" t="s">
        <v>912</v>
      </c>
      <c r="AB40" s="177"/>
      <c r="AC40" s="165"/>
      <c r="AD40" s="177"/>
      <c r="AE40" s="344"/>
      <c r="AF40" s="177"/>
      <c r="AG40" s="165"/>
      <c r="AH40" s="177"/>
      <c r="AI40" s="158"/>
      <c r="AJ40" s="180"/>
      <c r="AK40" s="180"/>
      <c r="AL40" s="180"/>
      <c r="AM40" s="345"/>
      <c r="AN40" s="345"/>
      <c r="AO40" s="177"/>
      <c r="AP40" s="158"/>
      <c r="AQ40" s="177"/>
      <c r="AR40" s="180"/>
      <c r="AS40" s="158"/>
      <c r="AT40" s="344"/>
      <c r="AU40" s="158"/>
      <c r="AV40" s="345"/>
      <c r="AW40" s="155">
        <f t="shared" si="18"/>
        <v>0</v>
      </c>
      <c r="AX40" s="155">
        <f t="shared" si="19"/>
        <v>0</v>
      </c>
      <c r="AY40" s="155">
        <f>IF(MatchDay!$C$2="LOWER",COUNTA(AF40:AH40),0)</f>
        <v>0</v>
      </c>
      <c r="BA40" s="157" t="s">
        <v>912</v>
      </c>
      <c r="BB40" s="171"/>
      <c r="BC40" s="165"/>
      <c r="BD40" s="171"/>
      <c r="BE40" s="344"/>
      <c r="BF40" s="171"/>
      <c r="BG40" s="165"/>
      <c r="BH40" s="171"/>
      <c r="BI40" s="158"/>
      <c r="BJ40" s="180"/>
      <c r="BK40" s="180"/>
      <c r="BL40" s="180"/>
      <c r="BM40" s="345"/>
      <c r="BN40" s="345"/>
      <c r="BO40" s="171"/>
      <c r="BP40" s="158"/>
      <c r="BQ40" s="171"/>
      <c r="BR40" s="180"/>
      <c r="BS40" s="158"/>
      <c r="BT40" s="344"/>
      <c r="BU40" s="158"/>
      <c r="BV40" s="345"/>
      <c r="BW40" s="155">
        <f t="shared" si="20"/>
        <v>0</v>
      </c>
      <c r="BX40" s="155">
        <f t="shared" si="21"/>
        <v>0</v>
      </c>
      <c r="BY40" s="155">
        <f>IF(MatchDay!$C$2="LOWER",COUNTA(BF40:BH40),0)</f>
        <v>0</v>
      </c>
      <c r="CA40" s="157" t="s">
        <v>912</v>
      </c>
      <c r="CB40" s="177"/>
      <c r="CC40" s="165"/>
      <c r="CD40" s="177"/>
      <c r="CE40" s="344"/>
      <c r="CF40" s="177"/>
      <c r="CG40" s="165"/>
      <c r="CH40" s="177"/>
      <c r="CI40" s="158"/>
      <c r="CJ40" s="180"/>
      <c r="CK40" s="180"/>
      <c r="CL40" s="180"/>
      <c r="CM40" s="345"/>
      <c r="CN40" s="345"/>
      <c r="CO40" s="177"/>
      <c r="CP40" s="158"/>
      <c r="CQ40" s="177"/>
      <c r="CR40" s="180"/>
      <c r="CS40" s="158"/>
      <c r="CT40" s="344"/>
      <c r="CU40" s="158"/>
      <c r="CV40" s="345"/>
      <c r="CW40" s="155">
        <f t="shared" si="22"/>
        <v>0</v>
      </c>
      <c r="CX40" s="155">
        <f t="shared" si="23"/>
        <v>0</v>
      </c>
      <c r="CY40" s="155">
        <f>IF(MatchDay!$C$2="LOWER",COUNTA(CF40:CH40),0)</f>
        <v>0</v>
      </c>
      <c r="DA40" s="157" t="s">
        <v>912</v>
      </c>
      <c r="DB40" s="171"/>
      <c r="DC40" s="165"/>
      <c r="DD40" s="171"/>
      <c r="DE40" s="344"/>
      <c r="DF40" s="171"/>
      <c r="DG40" s="165"/>
      <c r="DH40" s="171"/>
      <c r="DI40" s="158"/>
      <c r="DJ40" s="180"/>
      <c r="DK40" s="180"/>
      <c r="DL40" s="180"/>
      <c r="DM40" s="345"/>
      <c r="DN40" s="345"/>
      <c r="DO40" s="171"/>
      <c r="DP40" s="158"/>
      <c r="DQ40" s="171"/>
      <c r="DR40" s="180"/>
      <c r="DS40" s="158"/>
      <c r="DT40" s="344"/>
      <c r="DU40" s="158"/>
      <c r="DV40" s="345"/>
      <c r="DW40" s="155">
        <f t="shared" si="24"/>
        <v>0</v>
      </c>
      <c r="DX40" s="155">
        <f t="shared" si="25"/>
        <v>0</v>
      </c>
      <c r="DY40" s="155">
        <f>IF(MatchDay!$C$2="LOWER",COUNTA(DF40:DH40),0)</f>
        <v>0</v>
      </c>
      <c r="EA40" s="157" t="s">
        <v>912</v>
      </c>
      <c r="EB40" s="177"/>
      <c r="EC40" s="165"/>
      <c r="ED40" s="177"/>
      <c r="EE40" s="344"/>
      <c r="EF40" s="177"/>
      <c r="EG40" s="165"/>
      <c r="EH40" s="177"/>
      <c r="EI40" s="158"/>
      <c r="EJ40" s="180"/>
      <c r="EK40" s="180"/>
      <c r="EL40" s="180"/>
      <c r="EM40" s="345"/>
      <c r="EN40" s="345"/>
      <c r="EO40" s="177"/>
      <c r="EP40" s="158"/>
      <c r="EQ40" s="177"/>
      <c r="ER40" s="180"/>
      <c r="ES40" s="158"/>
      <c r="ET40" s="344"/>
      <c r="EU40" s="158"/>
      <c r="EV40" s="345"/>
      <c r="EW40" s="155">
        <f t="shared" si="26"/>
        <v>0</v>
      </c>
      <c r="EX40" s="155">
        <f t="shared" si="27"/>
        <v>0</v>
      </c>
      <c r="EY40" s="155">
        <f>IF(MatchDay!$C$2="LOWER",COUNTA(EF40:EH40),0)</f>
        <v>0</v>
      </c>
      <c r="FA40" s="157" t="s">
        <v>912</v>
      </c>
      <c r="FB40" s="171"/>
      <c r="FC40" s="165"/>
      <c r="FD40" s="171"/>
      <c r="FE40" s="344"/>
      <c r="FF40" s="171"/>
      <c r="FG40" s="165"/>
      <c r="FH40" s="171"/>
      <c r="FI40" s="158"/>
      <c r="FJ40" s="180"/>
      <c r="FK40" s="180"/>
      <c r="FL40" s="180"/>
      <c r="FM40" s="345"/>
      <c r="FN40" s="345"/>
      <c r="FO40" s="171"/>
      <c r="FP40" s="158"/>
      <c r="FQ40" s="171"/>
      <c r="FR40" s="180"/>
      <c r="FS40" s="158"/>
      <c r="FT40" s="344"/>
      <c r="FU40" s="158"/>
      <c r="FV40" s="345"/>
      <c r="FW40" s="155">
        <f t="shared" si="28"/>
        <v>0</v>
      </c>
      <c r="FX40" s="155">
        <f t="shared" si="29"/>
        <v>0</v>
      </c>
      <c r="FY40" s="155">
        <f>IF(MatchDay!$C$2="LOWER",COUNTA(FF40:FH40),0)</f>
        <v>0</v>
      </c>
      <c r="GA40" s="157" t="s">
        <v>912</v>
      </c>
      <c r="GB40" s="177"/>
      <c r="GC40" s="165"/>
      <c r="GD40" s="177"/>
      <c r="GE40" s="344"/>
      <c r="GF40" s="177"/>
      <c r="GG40" s="165"/>
      <c r="GH40" s="177"/>
      <c r="GI40" s="158"/>
      <c r="GJ40" s="180"/>
      <c r="GK40" s="180"/>
      <c r="GL40" s="180"/>
      <c r="GM40" s="345"/>
      <c r="GN40" s="345"/>
      <c r="GO40" s="177"/>
      <c r="GP40" s="158"/>
      <c r="GQ40" s="177"/>
      <c r="GR40" s="180"/>
      <c r="GS40" s="158"/>
      <c r="GT40" s="344"/>
      <c r="GU40" s="158"/>
      <c r="GV40" s="345"/>
      <c r="GW40" s="155">
        <f t="shared" si="30"/>
        <v>0</v>
      </c>
      <c r="GX40" s="155">
        <f t="shared" si="31"/>
        <v>0</v>
      </c>
      <c r="GY40" s="155">
        <f>IF(MatchDay!$C$2="LOWER",COUNTA(GF40:GH40),0)</f>
        <v>0</v>
      </c>
    </row>
    <row r="41" spans="1:207" ht="16.5" customHeight="1" x14ac:dyDescent="0.45">
      <c r="A41" s="157" t="s">
        <v>912</v>
      </c>
      <c r="B41" s="171"/>
      <c r="C41" s="165"/>
      <c r="D41" s="171"/>
      <c r="E41" s="344"/>
      <c r="F41" s="171"/>
      <c r="G41" s="165"/>
      <c r="H41" s="171"/>
      <c r="I41" s="158"/>
      <c r="J41" s="180"/>
      <c r="K41" s="180"/>
      <c r="L41" s="180"/>
      <c r="M41" s="345"/>
      <c r="N41" s="345"/>
      <c r="O41" s="171"/>
      <c r="P41" s="158"/>
      <c r="Q41" s="171"/>
      <c r="R41" s="180"/>
      <c r="S41" s="158"/>
      <c r="T41" s="344"/>
      <c r="U41" s="158"/>
      <c r="V41" s="345"/>
      <c r="W41" s="155">
        <f t="shared" si="16"/>
        <v>0</v>
      </c>
      <c r="X41" s="155">
        <f t="shared" si="17"/>
        <v>0</v>
      </c>
      <c r="Y41" s="155">
        <f>IF(MatchDay!$C$2="LOWER",COUNTA(F41:H41),0)</f>
        <v>0</v>
      </c>
      <c r="AA41" s="157" t="s">
        <v>912</v>
      </c>
      <c r="AB41" s="177"/>
      <c r="AC41" s="165"/>
      <c r="AD41" s="177"/>
      <c r="AE41" s="344"/>
      <c r="AF41" s="177"/>
      <c r="AG41" s="165"/>
      <c r="AH41" s="177"/>
      <c r="AI41" s="158"/>
      <c r="AJ41" s="180"/>
      <c r="AK41" s="180"/>
      <c r="AL41" s="180"/>
      <c r="AM41" s="345"/>
      <c r="AN41" s="345"/>
      <c r="AO41" s="177"/>
      <c r="AP41" s="158"/>
      <c r="AQ41" s="177"/>
      <c r="AR41" s="180"/>
      <c r="AS41" s="158"/>
      <c r="AT41" s="344"/>
      <c r="AU41" s="158"/>
      <c r="AV41" s="345"/>
      <c r="AW41" s="155">
        <f t="shared" si="18"/>
        <v>0</v>
      </c>
      <c r="AX41" s="155">
        <f t="shared" si="19"/>
        <v>0</v>
      </c>
      <c r="AY41" s="155">
        <f>IF(MatchDay!$C$2="LOWER",COUNTA(AF41:AH41),0)</f>
        <v>0</v>
      </c>
      <c r="BA41" s="157" t="s">
        <v>912</v>
      </c>
      <c r="BB41" s="171"/>
      <c r="BC41" s="165"/>
      <c r="BD41" s="171"/>
      <c r="BE41" s="344"/>
      <c r="BF41" s="171"/>
      <c r="BG41" s="165"/>
      <c r="BH41" s="171"/>
      <c r="BI41" s="158"/>
      <c r="BJ41" s="180"/>
      <c r="BK41" s="180"/>
      <c r="BL41" s="180"/>
      <c r="BM41" s="345"/>
      <c r="BN41" s="345"/>
      <c r="BO41" s="171"/>
      <c r="BP41" s="158"/>
      <c r="BQ41" s="171"/>
      <c r="BR41" s="180"/>
      <c r="BS41" s="158"/>
      <c r="BT41" s="344"/>
      <c r="BU41" s="158"/>
      <c r="BV41" s="345"/>
      <c r="BW41" s="155">
        <f t="shared" si="20"/>
        <v>0</v>
      </c>
      <c r="BX41" s="155">
        <f t="shared" si="21"/>
        <v>0</v>
      </c>
      <c r="BY41" s="155">
        <f>IF(MatchDay!$C$2="LOWER",COUNTA(BF41:BH41),0)</f>
        <v>0</v>
      </c>
      <c r="CA41" s="157" t="s">
        <v>912</v>
      </c>
      <c r="CB41" s="177"/>
      <c r="CC41" s="165"/>
      <c r="CD41" s="177"/>
      <c r="CE41" s="344"/>
      <c r="CF41" s="177"/>
      <c r="CG41" s="165"/>
      <c r="CH41" s="177"/>
      <c r="CI41" s="158"/>
      <c r="CJ41" s="180"/>
      <c r="CK41" s="180"/>
      <c r="CL41" s="180"/>
      <c r="CM41" s="345"/>
      <c r="CN41" s="345"/>
      <c r="CO41" s="177"/>
      <c r="CP41" s="158"/>
      <c r="CQ41" s="177"/>
      <c r="CR41" s="180"/>
      <c r="CS41" s="158"/>
      <c r="CT41" s="344"/>
      <c r="CU41" s="158"/>
      <c r="CV41" s="345"/>
      <c r="CW41" s="155">
        <f t="shared" si="22"/>
        <v>0</v>
      </c>
      <c r="CX41" s="155">
        <f t="shared" si="23"/>
        <v>0</v>
      </c>
      <c r="CY41" s="155">
        <f>IF(MatchDay!$C$2="LOWER",COUNTA(CF41:CH41),0)</f>
        <v>0</v>
      </c>
      <c r="DA41" s="157" t="s">
        <v>912</v>
      </c>
      <c r="DB41" s="171"/>
      <c r="DC41" s="165"/>
      <c r="DD41" s="171"/>
      <c r="DE41" s="344"/>
      <c r="DF41" s="171"/>
      <c r="DG41" s="165"/>
      <c r="DH41" s="171"/>
      <c r="DI41" s="158"/>
      <c r="DJ41" s="180"/>
      <c r="DK41" s="180"/>
      <c r="DL41" s="180"/>
      <c r="DM41" s="345"/>
      <c r="DN41" s="345"/>
      <c r="DO41" s="171"/>
      <c r="DP41" s="158"/>
      <c r="DQ41" s="171"/>
      <c r="DR41" s="180"/>
      <c r="DS41" s="158"/>
      <c r="DT41" s="344"/>
      <c r="DU41" s="158"/>
      <c r="DV41" s="345"/>
      <c r="DW41" s="155">
        <f t="shared" si="24"/>
        <v>0</v>
      </c>
      <c r="DX41" s="155">
        <f t="shared" si="25"/>
        <v>0</v>
      </c>
      <c r="DY41" s="155">
        <f>IF(MatchDay!$C$2="LOWER",COUNTA(DF41:DH41),0)</f>
        <v>0</v>
      </c>
      <c r="EA41" s="157" t="s">
        <v>912</v>
      </c>
      <c r="EB41" s="177"/>
      <c r="EC41" s="165"/>
      <c r="ED41" s="177"/>
      <c r="EE41" s="344"/>
      <c r="EF41" s="177"/>
      <c r="EG41" s="165"/>
      <c r="EH41" s="177"/>
      <c r="EI41" s="158"/>
      <c r="EJ41" s="180"/>
      <c r="EK41" s="180"/>
      <c r="EL41" s="180"/>
      <c r="EM41" s="345"/>
      <c r="EN41" s="345"/>
      <c r="EO41" s="177"/>
      <c r="EP41" s="158"/>
      <c r="EQ41" s="177"/>
      <c r="ER41" s="180"/>
      <c r="ES41" s="158"/>
      <c r="ET41" s="344"/>
      <c r="EU41" s="158"/>
      <c r="EV41" s="345"/>
      <c r="EW41" s="155">
        <f t="shared" si="26"/>
        <v>0</v>
      </c>
      <c r="EX41" s="155">
        <f t="shared" si="27"/>
        <v>0</v>
      </c>
      <c r="EY41" s="155">
        <f>IF(MatchDay!$C$2="LOWER",COUNTA(EF41:EH41),0)</f>
        <v>0</v>
      </c>
      <c r="FA41" s="157" t="s">
        <v>912</v>
      </c>
      <c r="FB41" s="171"/>
      <c r="FC41" s="165"/>
      <c r="FD41" s="171"/>
      <c r="FE41" s="344"/>
      <c r="FF41" s="171"/>
      <c r="FG41" s="165"/>
      <c r="FH41" s="171"/>
      <c r="FI41" s="158"/>
      <c r="FJ41" s="180"/>
      <c r="FK41" s="180"/>
      <c r="FL41" s="180"/>
      <c r="FM41" s="345"/>
      <c r="FN41" s="345"/>
      <c r="FO41" s="171"/>
      <c r="FP41" s="158"/>
      <c r="FQ41" s="171"/>
      <c r="FR41" s="180"/>
      <c r="FS41" s="158"/>
      <c r="FT41" s="344"/>
      <c r="FU41" s="158"/>
      <c r="FV41" s="345"/>
      <c r="FW41" s="155">
        <f t="shared" si="28"/>
        <v>0</v>
      </c>
      <c r="FX41" s="155">
        <f t="shared" si="29"/>
        <v>0</v>
      </c>
      <c r="FY41" s="155">
        <f>IF(MatchDay!$C$2="LOWER",COUNTA(FF41:FH41),0)</f>
        <v>0</v>
      </c>
      <c r="GA41" s="157" t="s">
        <v>912</v>
      </c>
      <c r="GB41" s="177"/>
      <c r="GC41" s="165"/>
      <c r="GD41" s="177"/>
      <c r="GE41" s="344"/>
      <c r="GF41" s="177"/>
      <c r="GG41" s="165"/>
      <c r="GH41" s="177"/>
      <c r="GI41" s="158"/>
      <c r="GJ41" s="180"/>
      <c r="GK41" s="180"/>
      <c r="GL41" s="180"/>
      <c r="GM41" s="345"/>
      <c r="GN41" s="345"/>
      <c r="GO41" s="177"/>
      <c r="GP41" s="158"/>
      <c r="GQ41" s="177"/>
      <c r="GR41" s="180"/>
      <c r="GS41" s="158"/>
      <c r="GT41" s="344"/>
      <c r="GU41" s="158"/>
      <c r="GV41" s="345"/>
      <c r="GW41" s="155">
        <f t="shared" si="30"/>
        <v>0</v>
      </c>
      <c r="GX41" s="155">
        <f t="shared" si="31"/>
        <v>0</v>
      </c>
      <c r="GY41" s="155">
        <f>IF(MatchDay!$C$2="LOWER",COUNTA(GF41:GH41),0)</f>
        <v>0</v>
      </c>
    </row>
    <row r="42" spans="1:207" ht="16.5" customHeight="1" x14ac:dyDescent="0.45">
      <c r="A42" s="157" t="s">
        <v>912</v>
      </c>
      <c r="B42" s="171"/>
      <c r="C42" s="165"/>
      <c r="D42" s="171"/>
      <c r="E42" s="344"/>
      <c r="F42" s="171"/>
      <c r="G42" s="165"/>
      <c r="H42" s="171"/>
      <c r="I42" s="158"/>
      <c r="J42" s="180"/>
      <c r="K42" s="180"/>
      <c r="L42" s="180"/>
      <c r="M42" s="345"/>
      <c r="N42" s="345"/>
      <c r="O42" s="171"/>
      <c r="P42" s="158"/>
      <c r="Q42" s="171"/>
      <c r="R42" s="180"/>
      <c r="S42" s="158"/>
      <c r="T42" s="344"/>
      <c r="U42" s="158"/>
      <c r="V42" s="345"/>
      <c r="W42" s="155">
        <f t="shared" si="16"/>
        <v>0</v>
      </c>
      <c r="X42" s="155">
        <f t="shared" si="17"/>
        <v>0</v>
      </c>
      <c r="Y42" s="155">
        <f>IF(MatchDay!$C$2="LOWER",COUNTA(F42:H42),0)</f>
        <v>0</v>
      </c>
      <c r="AA42" s="157" t="s">
        <v>912</v>
      </c>
      <c r="AB42" s="177"/>
      <c r="AC42" s="165"/>
      <c r="AD42" s="177"/>
      <c r="AE42" s="344"/>
      <c r="AF42" s="177"/>
      <c r="AG42" s="165"/>
      <c r="AH42" s="177"/>
      <c r="AI42" s="158"/>
      <c r="AJ42" s="180"/>
      <c r="AK42" s="180"/>
      <c r="AL42" s="180"/>
      <c r="AM42" s="345"/>
      <c r="AN42" s="345"/>
      <c r="AO42" s="177"/>
      <c r="AP42" s="158"/>
      <c r="AQ42" s="177"/>
      <c r="AR42" s="180"/>
      <c r="AS42" s="158"/>
      <c r="AT42" s="344"/>
      <c r="AU42" s="158"/>
      <c r="AV42" s="345"/>
      <c r="AW42" s="155">
        <f t="shared" si="18"/>
        <v>0</v>
      </c>
      <c r="AX42" s="155">
        <f t="shared" si="19"/>
        <v>0</v>
      </c>
      <c r="AY42" s="155">
        <f>IF(MatchDay!$C$2="LOWER",COUNTA(AF42:AH42),0)</f>
        <v>0</v>
      </c>
      <c r="BA42" s="157" t="s">
        <v>912</v>
      </c>
      <c r="BB42" s="171"/>
      <c r="BC42" s="165"/>
      <c r="BD42" s="171"/>
      <c r="BE42" s="344"/>
      <c r="BF42" s="171"/>
      <c r="BG42" s="165"/>
      <c r="BH42" s="171"/>
      <c r="BI42" s="158"/>
      <c r="BJ42" s="180"/>
      <c r="BK42" s="180"/>
      <c r="BL42" s="180"/>
      <c r="BM42" s="345"/>
      <c r="BN42" s="345"/>
      <c r="BO42" s="171"/>
      <c r="BP42" s="158"/>
      <c r="BQ42" s="171"/>
      <c r="BR42" s="180"/>
      <c r="BS42" s="158"/>
      <c r="BT42" s="344"/>
      <c r="BU42" s="158"/>
      <c r="BV42" s="345"/>
      <c r="BW42" s="155">
        <f t="shared" si="20"/>
        <v>0</v>
      </c>
      <c r="BX42" s="155">
        <f t="shared" si="21"/>
        <v>0</v>
      </c>
      <c r="BY42" s="155">
        <f>IF(MatchDay!$C$2="LOWER",COUNTA(BF42:BH42),0)</f>
        <v>0</v>
      </c>
      <c r="CA42" s="157" t="s">
        <v>912</v>
      </c>
      <c r="CB42" s="177"/>
      <c r="CC42" s="165"/>
      <c r="CD42" s="177"/>
      <c r="CE42" s="344"/>
      <c r="CF42" s="177"/>
      <c r="CG42" s="165"/>
      <c r="CH42" s="177"/>
      <c r="CI42" s="158"/>
      <c r="CJ42" s="180"/>
      <c r="CK42" s="180"/>
      <c r="CL42" s="180"/>
      <c r="CM42" s="345"/>
      <c r="CN42" s="345"/>
      <c r="CO42" s="177"/>
      <c r="CP42" s="158"/>
      <c r="CQ42" s="177"/>
      <c r="CR42" s="180"/>
      <c r="CS42" s="158"/>
      <c r="CT42" s="344"/>
      <c r="CU42" s="158"/>
      <c r="CV42" s="345"/>
      <c r="CW42" s="155">
        <f t="shared" si="22"/>
        <v>0</v>
      </c>
      <c r="CX42" s="155">
        <f t="shared" si="23"/>
        <v>0</v>
      </c>
      <c r="CY42" s="155">
        <f>IF(MatchDay!$C$2="LOWER",COUNTA(CF42:CH42),0)</f>
        <v>0</v>
      </c>
      <c r="DA42" s="157" t="s">
        <v>912</v>
      </c>
      <c r="DB42" s="171"/>
      <c r="DC42" s="165"/>
      <c r="DD42" s="171"/>
      <c r="DE42" s="344"/>
      <c r="DF42" s="171"/>
      <c r="DG42" s="165"/>
      <c r="DH42" s="171"/>
      <c r="DI42" s="158"/>
      <c r="DJ42" s="180"/>
      <c r="DK42" s="180"/>
      <c r="DL42" s="180"/>
      <c r="DM42" s="345"/>
      <c r="DN42" s="345"/>
      <c r="DO42" s="171"/>
      <c r="DP42" s="158"/>
      <c r="DQ42" s="171"/>
      <c r="DR42" s="180"/>
      <c r="DS42" s="158"/>
      <c r="DT42" s="344"/>
      <c r="DU42" s="158"/>
      <c r="DV42" s="345"/>
      <c r="DW42" s="155">
        <f t="shared" si="24"/>
        <v>0</v>
      </c>
      <c r="DX42" s="155">
        <f t="shared" si="25"/>
        <v>0</v>
      </c>
      <c r="DY42" s="155">
        <f>IF(MatchDay!$C$2="LOWER",COUNTA(DF42:DH42),0)</f>
        <v>0</v>
      </c>
      <c r="EA42" s="157" t="s">
        <v>912</v>
      </c>
      <c r="EB42" s="177"/>
      <c r="EC42" s="165"/>
      <c r="ED42" s="177"/>
      <c r="EE42" s="344"/>
      <c r="EF42" s="177"/>
      <c r="EG42" s="165"/>
      <c r="EH42" s="177"/>
      <c r="EI42" s="158"/>
      <c r="EJ42" s="180"/>
      <c r="EK42" s="180"/>
      <c r="EL42" s="180"/>
      <c r="EM42" s="345"/>
      <c r="EN42" s="345"/>
      <c r="EO42" s="177"/>
      <c r="EP42" s="158"/>
      <c r="EQ42" s="177"/>
      <c r="ER42" s="180"/>
      <c r="ES42" s="158"/>
      <c r="ET42" s="344"/>
      <c r="EU42" s="158"/>
      <c r="EV42" s="345"/>
      <c r="EW42" s="155">
        <f t="shared" si="26"/>
        <v>0</v>
      </c>
      <c r="EX42" s="155">
        <f t="shared" si="27"/>
        <v>0</v>
      </c>
      <c r="EY42" s="155">
        <f>IF(MatchDay!$C$2="LOWER",COUNTA(EF42:EH42),0)</f>
        <v>0</v>
      </c>
      <c r="FA42" s="157" t="s">
        <v>912</v>
      </c>
      <c r="FB42" s="171"/>
      <c r="FC42" s="165"/>
      <c r="FD42" s="171"/>
      <c r="FE42" s="344"/>
      <c r="FF42" s="171"/>
      <c r="FG42" s="165"/>
      <c r="FH42" s="171"/>
      <c r="FI42" s="158"/>
      <c r="FJ42" s="180"/>
      <c r="FK42" s="180"/>
      <c r="FL42" s="180"/>
      <c r="FM42" s="345"/>
      <c r="FN42" s="345"/>
      <c r="FO42" s="171"/>
      <c r="FP42" s="158"/>
      <c r="FQ42" s="171"/>
      <c r="FR42" s="180"/>
      <c r="FS42" s="158"/>
      <c r="FT42" s="344"/>
      <c r="FU42" s="158"/>
      <c r="FV42" s="345"/>
      <c r="FW42" s="155">
        <f t="shared" si="28"/>
        <v>0</v>
      </c>
      <c r="FX42" s="155">
        <f t="shared" si="29"/>
        <v>0</v>
      </c>
      <c r="FY42" s="155">
        <f>IF(MatchDay!$C$2="LOWER",COUNTA(FF42:FH42),0)</f>
        <v>0</v>
      </c>
      <c r="GA42" s="157" t="s">
        <v>912</v>
      </c>
      <c r="GB42" s="177"/>
      <c r="GC42" s="165"/>
      <c r="GD42" s="177"/>
      <c r="GE42" s="344"/>
      <c r="GF42" s="177"/>
      <c r="GG42" s="165"/>
      <c r="GH42" s="177"/>
      <c r="GI42" s="158"/>
      <c r="GJ42" s="180"/>
      <c r="GK42" s="180"/>
      <c r="GL42" s="180"/>
      <c r="GM42" s="345"/>
      <c r="GN42" s="345"/>
      <c r="GO42" s="177"/>
      <c r="GP42" s="158"/>
      <c r="GQ42" s="177"/>
      <c r="GR42" s="180"/>
      <c r="GS42" s="158"/>
      <c r="GT42" s="344"/>
      <c r="GU42" s="158"/>
      <c r="GV42" s="345"/>
      <c r="GW42" s="155">
        <f t="shared" si="30"/>
        <v>0</v>
      </c>
      <c r="GX42" s="155">
        <f t="shared" si="31"/>
        <v>0</v>
      </c>
      <c r="GY42" s="155">
        <f>IF(MatchDay!$C$2="LOWER",COUNTA(GF42:GH42),0)</f>
        <v>0</v>
      </c>
    </row>
    <row r="43" spans="1:207" ht="16.5" customHeight="1" x14ac:dyDescent="0.45">
      <c r="A43" s="157" t="s">
        <v>912</v>
      </c>
      <c r="B43" s="171"/>
      <c r="C43" s="165"/>
      <c r="D43" s="171"/>
      <c r="E43" s="344"/>
      <c r="F43" s="171"/>
      <c r="G43" s="165"/>
      <c r="H43" s="171"/>
      <c r="I43" s="158"/>
      <c r="J43" s="180"/>
      <c r="K43" s="180"/>
      <c r="L43" s="180"/>
      <c r="M43" s="345"/>
      <c r="N43" s="345"/>
      <c r="O43" s="171"/>
      <c r="P43" s="158"/>
      <c r="Q43" s="171"/>
      <c r="R43" s="180"/>
      <c r="S43" s="158"/>
      <c r="T43" s="344"/>
      <c r="U43" s="158"/>
      <c r="V43" s="345"/>
      <c r="W43" s="155">
        <f t="shared" si="16"/>
        <v>0</v>
      </c>
      <c r="X43" s="155">
        <f t="shared" si="17"/>
        <v>0</v>
      </c>
      <c r="Y43" s="155">
        <f>IF(MatchDay!$C$2="LOWER",COUNTA(F43:H43),0)</f>
        <v>0</v>
      </c>
      <c r="AA43" s="157" t="s">
        <v>912</v>
      </c>
      <c r="AB43" s="177"/>
      <c r="AC43" s="165"/>
      <c r="AD43" s="177"/>
      <c r="AE43" s="344"/>
      <c r="AF43" s="177"/>
      <c r="AG43" s="165"/>
      <c r="AH43" s="177"/>
      <c r="AI43" s="158"/>
      <c r="AJ43" s="180"/>
      <c r="AK43" s="180"/>
      <c r="AL43" s="180"/>
      <c r="AM43" s="345"/>
      <c r="AN43" s="345"/>
      <c r="AO43" s="177"/>
      <c r="AP43" s="158"/>
      <c r="AQ43" s="177"/>
      <c r="AR43" s="180"/>
      <c r="AS43" s="158"/>
      <c r="AT43" s="344"/>
      <c r="AU43" s="158"/>
      <c r="AV43" s="345"/>
      <c r="AW43" s="155">
        <f t="shared" si="18"/>
        <v>0</v>
      </c>
      <c r="AX43" s="155">
        <f t="shared" si="19"/>
        <v>0</v>
      </c>
      <c r="AY43" s="155">
        <f>IF(MatchDay!$C$2="LOWER",COUNTA(AF43:AH43),0)</f>
        <v>0</v>
      </c>
      <c r="BA43" s="157" t="s">
        <v>912</v>
      </c>
      <c r="BB43" s="171"/>
      <c r="BC43" s="165"/>
      <c r="BD43" s="171"/>
      <c r="BE43" s="344"/>
      <c r="BF43" s="171"/>
      <c r="BG43" s="165"/>
      <c r="BH43" s="171"/>
      <c r="BI43" s="158"/>
      <c r="BJ43" s="180"/>
      <c r="BK43" s="180"/>
      <c r="BL43" s="180"/>
      <c r="BM43" s="345"/>
      <c r="BN43" s="345"/>
      <c r="BO43" s="171"/>
      <c r="BP43" s="158"/>
      <c r="BQ43" s="171"/>
      <c r="BR43" s="180"/>
      <c r="BS43" s="158"/>
      <c r="BT43" s="344"/>
      <c r="BU43" s="158"/>
      <c r="BV43" s="345"/>
      <c r="BW43" s="155">
        <f t="shared" si="20"/>
        <v>0</v>
      </c>
      <c r="BX43" s="155">
        <f t="shared" si="21"/>
        <v>0</v>
      </c>
      <c r="BY43" s="155">
        <f>IF(MatchDay!$C$2="LOWER",COUNTA(BF43:BH43),0)</f>
        <v>0</v>
      </c>
      <c r="CA43" s="157" t="s">
        <v>912</v>
      </c>
      <c r="CB43" s="177"/>
      <c r="CC43" s="165"/>
      <c r="CD43" s="177"/>
      <c r="CE43" s="344"/>
      <c r="CF43" s="177"/>
      <c r="CG43" s="165"/>
      <c r="CH43" s="177"/>
      <c r="CI43" s="158"/>
      <c r="CJ43" s="180"/>
      <c r="CK43" s="180"/>
      <c r="CL43" s="180"/>
      <c r="CM43" s="345"/>
      <c r="CN43" s="345"/>
      <c r="CO43" s="177"/>
      <c r="CP43" s="158"/>
      <c r="CQ43" s="177"/>
      <c r="CR43" s="180"/>
      <c r="CS43" s="158"/>
      <c r="CT43" s="344"/>
      <c r="CU43" s="158"/>
      <c r="CV43" s="345"/>
      <c r="CW43" s="155">
        <f t="shared" si="22"/>
        <v>0</v>
      </c>
      <c r="CX43" s="155">
        <f t="shared" si="23"/>
        <v>0</v>
      </c>
      <c r="CY43" s="155">
        <f>IF(MatchDay!$C$2="LOWER",COUNTA(CF43:CH43),0)</f>
        <v>0</v>
      </c>
      <c r="DA43" s="157" t="s">
        <v>912</v>
      </c>
      <c r="DB43" s="171"/>
      <c r="DC43" s="165"/>
      <c r="DD43" s="171"/>
      <c r="DE43" s="344"/>
      <c r="DF43" s="171"/>
      <c r="DG43" s="165"/>
      <c r="DH43" s="171"/>
      <c r="DI43" s="158"/>
      <c r="DJ43" s="180"/>
      <c r="DK43" s="180"/>
      <c r="DL43" s="180"/>
      <c r="DM43" s="345"/>
      <c r="DN43" s="345"/>
      <c r="DO43" s="171"/>
      <c r="DP43" s="158"/>
      <c r="DQ43" s="171"/>
      <c r="DR43" s="180"/>
      <c r="DS43" s="158"/>
      <c r="DT43" s="344"/>
      <c r="DU43" s="158"/>
      <c r="DV43" s="345"/>
      <c r="DW43" s="155">
        <f t="shared" si="24"/>
        <v>0</v>
      </c>
      <c r="DX43" s="155">
        <f t="shared" si="25"/>
        <v>0</v>
      </c>
      <c r="DY43" s="155">
        <f>IF(MatchDay!$C$2="LOWER",COUNTA(DF43:DH43),0)</f>
        <v>0</v>
      </c>
      <c r="EA43" s="157" t="s">
        <v>912</v>
      </c>
      <c r="EB43" s="177"/>
      <c r="EC43" s="165"/>
      <c r="ED43" s="177"/>
      <c r="EE43" s="344"/>
      <c r="EF43" s="177"/>
      <c r="EG43" s="165"/>
      <c r="EH43" s="177"/>
      <c r="EI43" s="158"/>
      <c r="EJ43" s="180"/>
      <c r="EK43" s="180"/>
      <c r="EL43" s="180"/>
      <c r="EM43" s="345"/>
      <c r="EN43" s="345"/>
      <c r="EO43" s="177"/>
      <c r="EP43" s="158"/>
      <c r="EQ43" s="177"/>
      <c r="ER43" s="180"/>
      <c r="ES43" s="158"/>
      <c r="ET43" s="344"/>
      <c r="EU43" s="158"/>
      <c r="EV43" s="345"/>
      <c r="EW43" s="155">
        <f t="shared" si="26"/>
        <v>0</v>
      </c>
      <c r="EX43" s="155">
        <f t="shared" si="27"/>
        <v>0</v>
      </c>
      <c r="EY43" s="155">
        <f>IF(MatchDay!$C$2="LOWER",COUNTA(EF43:EH43),0)</f>
        <v>0</v>
      </c>
      <c r="FA43" s="157" t="s">
        <v>912</v>
      </c>
      <c r="FB43" s="171"/>
      <c r="FC43" s="165"/>
      <c r="FD43" s="171"/>
      <c r="FE43" s="344"/>
      <c r="FF43" s="171"/>
      <c r="FG43" s="165"/>
      <c r="FH43" s="171"/>
      <c r="FI43" s="158"/>
      <c r="FJ43" s="180"/>
      <c r="FK43" s="180"/>
      <c r="FL43" s="180"/>
      <c r="FM43" s="345"/>
      <c r="FN43" s="345"/>
      <c r="FO43" s="171"/>
      <c r="FP43" s="158"/>
      <c r="FQ43" s="171"/>
      <c r="FR43" s="180"/>
      <c r="FS43" s="158"/>
      <c r="FT43" s="344"/>
      <c r="FU43" s="158"/>
      <c r="FV43" s="345"/>
      <c r="FW43" s="155">
        <f t="shared" si="28"/>
        <v>0</v>
      </c>
      <c r="FX43" s="155">
        <f t="shared" si="29"/>
        <v>0</v>
      </c>
      <c r="FY43" s="155">
        <f>IF(MatchDay!$C$2="LOWER",COUNTA(FF43:FH43),0)</f>
        <v>0</v>
      </c>
      <c r="GA43" s="157" t="s">
        <v>912</v>
      </c>
      <c r="GB43" s="177"/>
      <c r="GC43" s="165"/>
      <c r="GD43" s="177"/>
      <c r="GE43" s="344"/>
      <c r="GF43" s="177"/>
      <c r="GG43" s="165"/>
      <c r="GH43" s="177"/>
      <c r="GI43" s="158"/>
      <c r="GJ43" s="180"/>
      <c r="GK43" s="180"/>
      <c r="GL43" s="180"/>
      <c r="GM43" s="345"/>
      <c r="GN43" s="345"/>
      <c r="GO43" s="177"/>
      <c r="GP43" s="158"/>
      <c r="GQ43" s="177"/>
      <c r="GR43" s="180"/>
      <c r="GS43" s="158"/>
      <c r="GT43" s="344"/>
      <c r="GU43" s="158"/>
      <c r="GV43" s="345"/>
      <c r="GW43" s="155">
        <f t="shared" si="30"/>
        <v>0</v>
      </c>
      <c r="GX43" s="155">
        <f t="shared" si="31"/>
        <v>0</v>
      </c>
      <c r="GY43" s="155">
        <f>IF(MatchDay!$C$2="LOWER",COUNTA(GF43:GH43),0)</f>
        <v>0</v>
      </c>
    </row>
    <row r="44" spans="1:207" ht="16.5" customHeight="1" x14ac:dyDescent="0.45">
      <c r="A44" s="157" t="s">
        <v>912</v>
      </c>
      <c r="B44" s="171"/>
      <c r="C44" s="165"/>
      <c r="D44" s="171"/>
      <c r="E44" s="344"/>
      <c r="F44" s="171"/>
      <c r="G44" s="165"/>
      <c r="H44" s="171"/>
      <c r="I44" s="158"/>
      <c r="J44" s="180"/>
      <c r="K44" s="180"/>
      <c r="L44" s="180"/>
      <c r="M44" s="345"/>
      <c r="N44" s="345"/>
      <c r="O44" s="171"/>
      <c r="P44" s="158"/>
      <c r="Q44" s="171"/>
      <c r="R44" s="180"/>
      <c r="S44" s="158"/>
      <c r="T44" s="344"/>
      <c r="U44" s="158"/>
      <c r="V44" s="345"/>
      <c r="W44" s="155">
        <f t="shared" si="16"/>
        <v>0</v>
      </c>
      <c r="X44" s="155">
        <f t="shared" si="17"/>
        <v>0</v>
      </c>
      <c r="Y44" s="155">
        <f>IF(MatchDay!$C$2="LOWER",COUNTA(F44:H44),0)</f>
        <v>0</v>
      </c>
      <c r="AA44" s="157" t="s">
        <v>912</v>
      </c>
      <c r="AB44" s="177"/>
      <c r="AC44" s="165"/>
      <c r="AD44" s="177"/>
      <c r="AE44" s="344"/>
      <c r="AF44" s="177"/>
      <c r="AG44" s="165"/>
      <c r="AH44" s="177"/>
      <c r="AI44" s="158"/>
      <c r="AJ44" s="180"/>
      <c r="AK44" s="180"/>
      <c r="AL44" s="180"/>
      <c r="AM44" s="345"/>
      <c r="AN44" s="345"/>
      <c r="AO44" s="177"/>
      <c r="AP44" s="158"/>
      <c r="AQ44" s="177"/>
      <c r="AR44" s="180"/>
      <c r="AS44" s="158"/>
      <c r="AT44" s="344"/>
      <c r="AU44" s="158"/>
      <c r="AV44" s="345"/>
      <c r="AW44" s="155">
        <f t="shared" si="18"/>
        <v>0</v>
      </c>
      <c r="AX44" s="155">
        <f t="shared" si="19"/>
        <v>0</v>
      </c>
      <c r="AY44" s="155">
        <f>IF(MatchDay!$C$2="LOWER",COUNTA(AF44:AH44),0)</f>
        <v>0</v>
      </c>
      <c r="BA44" s="157" t="s">
        <v>912</v>
      </c>
      <c r="BB44" s="171"/>
      <c r="BC44" s="165"/>
      <c r="BD44" s="171"/>
      <c r="BE44" s="344"/>
      <c r="BF44" s="171"/>
      <c r="BG44" s="165"/>
      <c r="BH44" s="171"/>
      <c r="BI44" s="158"/>
      <c r="BJ44" s="180"/>
      <c r="BK44" s="180"/>
      <c r="BL44" s="180"/>
      <c r="BM44" s="345"/>
      <c r="BN44" s="345"/>
      <c r="BO44" s="171"/>
      <c r="BP44" s="158"/>
      <c r="BQ44" s="171"/>
      <c r="BR44" s="180"/>
      <c r="BS44" s="158"/>
      <c r="BT44" s="344"/>
      <c r="BU44" s="158"/>
      <c r="BV44" s="345"/>
      <c r="BW44" s="155">
        <f t="shared" si="20"/>
        <v>0</v>
      </c>
      <c r="BX44" s="155">
        <f t="shared" si="21"/>
        <v>0</v>
      </c>
      <c r="BY44" s="155">
        <f>IF(MatchDay!$C$2="LOWER",COUNTA(BF44:BH44),0)</f>
        <v>0</v>
      </c>
      <c r="CA44" s="157" t="s">
        <v>912</v>
      </c>
      <c r="CB44" s="177"/>
      <c r="CC44" s="165"/>
      <c r="CD44" s="177"/>
      <c r="CE44" s="344"/>
      <c r="CF44" s="177"/>
      <c r="CG44" s="165"/>
      <c r="CH44" s="177"/>
      <c r="CI44" s="158"/>
      <c r="CJ44" s="180"/>
      <c r="CK44" s="180"/>
      <c r="CL44" s="180"/>
      <c r="CM44" s="345"/>
      <c r="CN44" s="345"/>
      <c r="CO44" s="177"/>
      <c r="CP44" s="158"/>
      <c r="CQ44" s="177"/>
      <c r="CR44" s="180"/>
      <c r="CS44" s="158"/>
      <c r="CT44" s="344"/>
      <c r="CU44" s="158"/>
      <c r="CV44" s="345"/>
      <c r="CW44" s="155">
        <f t="shared" si="22"/>
        <v>0</v>
      </c>
      <c r="CX44" s="155">
        <f t="shared" si="23"/>
        <v>0</v>
      </c>
      <c r="CY44" s="155">
        <f>IF(MatchDay!$C$2="LOWER",COUNTA(CF44:CH44),0)</f>
        <v>0</v>
      </c>
      <c r="DA44" s="157" t="s">
        <v>912</v>
      </c>
      <c r="DB44" s="171"/>
      <c r="DC44" s="165"/>
      <c r="DD44" s="171"/>
      <c r="DE44" s="344"/>
      <c r="DF44" s="171"/>
      <c r="DG44" s="165"/>
      <c r="DH44" s="171"/>
      <c r="DI44" s="158"/>
      <c r="DJ44" s="180"/>
      <c r="DK44" s="180"/>
      <c r="DL44" s="180"/>
      <c r="DM44" s="345"/>
      <c r="DN44" s="345"/>
      <c r="DO44" s="171"/>
      <c r="DP44" s="158"/>
      <c r="DQ44" s="171"/>
      <c r="DR44" s="180"/>
      <c r="DS44" s="158"/>
      <c r="DT44" s="344"/>
      <c r="DU44" s="158"/>
      <c r="DV44" s="345"/>
      <c r="DW44" s="155">
        <f t="shared" si="24"/>
        <v>0</v>
      </c>
      <c r="DX44" s="155">
        <f t="shared" si="25"/>
        <v>0</v>
      </c>
      <c r="DY44" s="155">
        <f>IF(MatchDay!$C$2="LOWER",COUNTA(DF44:DH44),0)</f>
        <v>0</v>
      </c>
      <c r="EA44" s="157" t="s">
        <v>912</v>
      </c>
      <c r="EB44" s="177"/>
      <c r="EC44" s="165"/>
      <c r="ED44" s="177"/>
      <c r="EE44" s="344"/>
      <c r="EF44" s="177"/>
      <c r="EG44" s="165"/>
      <c r="EH44" s="177"/>
      <c r="EI44" s="158"/>
      <c r="EJ44" s="180"/>
      <c r="EK44" s="180"/>
      <c r="EL44" s="180"/>
      <c r="EM44" s="345"/>
      <c r="EN44" s="345"/>
      <c r="EO44" s="177"/>
      <c r="EP44" s="158"/>
      <c r="EQ44" s="177"/>
      <c r="ER44" s="180"/>
      <c r="ES44" s="158"/>
      <c r="ET44" s="344"/>
      <c r="EU44" s="158"/>
      <c r="EV44" s="345"/>
      <c r="EW44" s="155">
        <f t="shared" si="26"/>
        <v>0</v>
      </c>
      <c r="EX44" s="155">
        <f t="shared" si="27"/>
        <v>0</v>
      </c>
      <c r="EY44" s="155">
        <f>IF(MatchDay!$C$2="LOWER",COUNTA(EF44:EH44),0)</f>
        <v>0</v>
      </c>
      <c r="FA44" s="157" t="s">
        <v>912</v>
      </c>
      <c r="FB44" s="171"/>
      <c r="FC44" s="165"/>
      <c r="FD44" s="171"/>
      <c r="FE44" s="344"/>
      <c r="FF44" s="171"/>
      <c r="FG44" s="165"/>
      <c r="FH44" s="171"/>
      <c r="FI44" s="158"/>
      <c r="FJ44" s="180"/>
      <c r="FK44" s="180"/>
      <c r="FL44" s="180"/>
      <c r="FM44" s="345"/>
      <c r="FN44" s="345"/>
      <c r="FO44" s="171"/>
      <c r="FP44" s="158"/>
      <c r="FQ44" s="171"/>
      <c r="FR44" s="180"/>
      <c r="FS44" s="158"/>
      <c r="FT44" s="344"/>
      <c r="FU44" s="158"/>
      <c r="FV44" s="345"/>
      <c r="FW44" s="155">
        <f t="shared" si="28"/>
        <v>0</v>
      </c>
      <c r="FX44" s="155">
        <f t="shared" si="29"/>
        <v>0</v>
      </c>
      <c r="FY44" s="155">
        <f>IF(MatchDay!$C$2="LOWER",COUNTA(FF44:FH44),0)</f>
        <v>0</v>
      </c>
      <c r="GA44" s="157" t="s">
        <v>912</v>
      </c>
      <c r="GB44" s="177"/>
      <c r="GC44" s="165"/>
      <c r="GD44" s="177"/>
      <c r="GE44" s="344"/>
      <c r="GF44" s="177"/>
      <c r="GG44" s="165"/>
      <c r="GH44" s="177"/>
      <c r="GI44" s="158"/>
      <c r="GJ44" s="180"/>
      <c r="GK44" s="180"/>
      <c r="GL44" s="180"/>
      <c r="GM44" s="345"/>
      <c r="GN44" s="345"/>
      <c r="GO44" s="177"/>
      <c r="GP44" s="158"/>
      <c r="GQ44" s="177"/>
      <c r="GR44" s="180"/>
      <c r="GS44" s="158"/>
      <c r="GT44" s="344"/>
      <c r="GU44" s="158"/>
      <c r="GV44" s="345"/>
      <c r="GW44" s="155">
        <f t="shared" si="30"/>
        <v>0</v>
      </c>
      <c r="GX44" s="155">
        <f t="shared" si="31"/>
        <v>0</v>
      </c>
      <c r="GY44" s="155">
        <f>IF(MatchDay!$C$2="LOWER",COUNTA(GF44:GH44),0)</f>
        <v>0</v>
      </c>
    </row>
    <row r="45" spans="1:207" ht="16.5" customHeight="1" x14ac:dyDescent="0.45">
      <c r="A45" s="157" t="s">
        <v>912</v>
      </c>
      <c r="B45" s="171"/>
      <c r="C45" s="165"/>
      <c r="D45" s="171"/>
      <c r="E45" s="344"/>
      <c r="F45" s="171"/>
      <c r="G45" s="165"/>
      <c r="H45" s="171"/>
      <c r="I45" s="158"/>
      <c r="J45" s="180"/>
      <c r="K45" s="180"/>
      <c r="L45" s="180"/>
      <c r="M45" s="345"/>
      <c r="N45" s="345"/>
      <c r="O45" s="171"/>
      <c r="P45" s="158"/>
      <c r="Q45" s="171"/>
      <c r="R45" s="180"/>
      <c r="S45" s="158"/>
      <c r="T45" s="344"/>
      <c r="U45" s="158"/>
      <c r="V45" s="345"/>
      <c r="W45" s="155">
        <f t="shared" si="16"/>
        <v>0</v>
      </c>
      <c r="X45" s="155">
        <f t="shared" si="17"/>
        <v>0</v>
      </c>
      <c r="Y45" s="155">
        <f>IF(MatchDay!$C$2="LOWER",COUNTA(F45:H45),0)</f>
        <v>0</v>
      </c>
      <c r="AA45" s="157" t="s">
        <v>912</v>
      </c>
      <c r="AB45" s="177"/>
      <c r="AC45" s="165"/>
      <c r="AD45" s="177"/>
      <c r="AE45" s="344"/>
      <c r="AF45" s="177"/>
      <c r="AG45" s="165"/>
      <c r="AH45" s="177"/>
      <c r="AI45" s="158"/>
      <c r="AJ45" s="180"/>
      <c r="AK45" s="180"/>
      <c r="AL45" s="180"/>
      <c r="AM45" s="345"/>
      <c r="AN45" s="345"/>
      <c r="AO45" s="177"/>
      <c r="AP45" s="158"/>
      <c r="AQ45" s="177"/>
      <c r="AR45" s="180"/>
      <c r="AS45" s="158"/>
      <c r="AT45" s="344"/>
      <c r="AU45" s="158"/>
      <c r="AV45" s="345"/>
      <c r="AW45" s="155">
        <f t="shared" si="18"/>
        <v>0</v>
      </c>
      <c r="AX45" s="155">
        <f t="shared" si="19"/>
        <v>0</v>
      </c>
      <c r="AY45" s="155">
        <f>IF(MatchDay!$C$2="LOWER",COUNTA(AF45:AH45),0)</f>
        <v>0</v>
      </c>
      <c r="BA45" s="157" t="s">
        <v>912</v>
      </c>
      <c r="BB45" s="171"/>
      <c r="BC45" s="165"/>
      <c r="BD45" s="171"/>
      <c r="BE45" s="344"/>
      <c r="BF45" s="171"/>
      <c r="BG45" s="165"/>
      <c r="BH45" s="171"/>
      <c r="BI45" s="158"/>
      <c r="BJ45" s="180"/>
      <c r="BK45" s="180"/>
      <c r="BL45" s="180"/>
      <c r="BM45" s="345"/>
      <c r="BN45" s="345"/>
      <c r="BO45" s="171"/>
      <c r="BP45" s="158"/>
      <c r="BQ45" s="171"/>
      <c r="BR45" s="180"/>
      <c r="BS45" s="158"/>
      <c r="BT45" s="344"/>
      <c r="BU45" s="158"/>
      <c r="BV45" s="345"/>
      <c r="BW45" s="155">
        <f t="shared" si="20"/>
        <v>0</v>
      </c>
      <c r="BX45" s="155">
        <f t="shared" si="21"/>
        <v>0</v>
      </c>
      <c r="BY45" s="155">
        <f>IF(MatchDay!$C$2="LOWER",COUNTA(BF45:BH45),0)</f>
        <v>0</v>
      </c>
      <c r="CA45" s="157" t="s">
        <v>912</v>
      </c>
      <c r="CB45" s="177"/>
      <c r="CC45" s="165"/>
      <c r="CD45" s="177"/>
      <c r="CE45" s="344"/>
      <c r="CF45" s="177"/>
      <c r="CG45" s="165"/>
      <c r="CH45" s="177"/>
      <c r="CI45" s="158"/>
      <c r="CJ45" s="180"/>
      <c r="CK45" s="180"/>
      <c r="CL45" s="180"/>
      <c r="CM45" s="345"/>
      <c r="CN45" s="345"/>
      <c r="CO45" s="177"/>
      <c r="CP45" s="158"/>
      <c r="CQ45" s="177"/>
      <c r="CR45" s="180"/>
      <c r="CS45" s="158"/>
      <c r="CT45" s="344"/>
      <c r="CU45" s="158"/>
      <c r="CV45" s="345"/>
      <c r="CW45" s="155">
        <f t="shared" si="22"/>
        <v>0</v>
      </c>
      <c r="CX45" s="155">
        <f t="shared" si="23"/>
        <v>0</v>
      </c>
      <c r="CY45" s="155">
        <f>IF(MatchDay!$C$2="LOWER",COUNTA(CF45:CH45),0)</f>
        <v>0</v>
      </c>
      <c r="DA45" s="157" t="s">
        <v>912</v>
      </c>
      <c r="DB45" s="171"/>
      <c r="DC45" s="165"/>
      <c r="DD45" s="171"/>
      <c r="DE45" s="344"/>
      <c r="DF45" s="171"/>
      <c r="DG45" s="165"/>
      <c r="DH45" s="171"/>
      <c r="DI45" s="158"/>
      <c r="DJ45" s="180"/>
      <c r="DK45" s="180"/>
      <c r="DL45" s="180"/>
      <c r="DM45" s="345"/>
      <c r="DN45" s="345"/>
      <c r="DO45" s="171"/>
      <c r="DP45" s="158"/>
      <c r="DQ45" s="171"/>
      <c r="DR45" s="180"/>
      <c r="DS45" s="158"/>
      <c r="DT45" s="344"/>
      <c r="DU45" s="158"/>
      <c r="DV45" s="345"/>
      <c r="DW45" s="155">
        <f t="shared" si="24"/>
        <v>0</v>
      </c>
      <c r="DX45" s="155">
        <f t="shared" si="25"/>
        <v>0</v>
      </c>
      <c r="DY45" s="155">
        <f>IF(MatchDay!$C$2="LOWER",COUNTA(DF45:DH45),0)</f>
        <v>0</v>
      </c>
      <c r="EA45" s="157" t="s">
        <v>912</v>
      </c>
      <c r="EB45" s="177"/>
      <c r="EC45" s="165"/>
      <c r="ED45" s="177"/>
      <c r="EE45" s="344"/>
      <c r="EF45" s="177"/>
      <c r="EG45" s="165"/>
      <c r="EH45" s="177"/>
      <c r="EI45" s="158"/>
      <c r="EJ45" s="180"/>
      <c r="EK45" s="180"/>
      <c r="EL45" s="180"/>
      <c r="EM45" s="345"/>
      <c r="EN45" s="345"/>
      <c r="EO45" s="177"/>
      <c r="EP45" s="158"/>
      <c r="EQ45" s="177"/>
      <c r="ER45" s="180"/>
      <c r="ES45" s="158"/>
      <c r="ET45" s="344"/>
      <c r="EU45" s="158"/>
      <c r="EV45" s="345"/>
      <c r="EW45" s="155">
        <f t="shared" si="26"/>
        <v>0</v>
      </c>
      <c r="EX45" s="155">
        <f t="shared" si="27"/>
        <v>0</v>
      </c>
      <c r="EY45" s="155">
        <f>IF(MatchDay!$C$2="LOWER",COUNTA(EF45:EH45),0)</f>
        <v>0</v>
      </c>
      <c r="FA45" s="157" t="s">
        <v>912</v>
      </c>
      <c r="FB45" s="171"/>
      <c r="FC45" s="165"/>
      <c r="FD45" s="171"/>
      <c r="FE45" s="344"/>
      <c r="FF45" s="171"/>
      <c r="FG45" s="165"/>
      <c r="FH45" s="171"/>
      <c r="FI45" s="158"/>
      <c r="FJ45" s="180"/>
      <c r="FK45" s="180"/>
      <c r="FL45" s="180"/>
      <c r="FM45" s="345"/>
      <c r="FN45" s="345"/>
      <c r="FO45" s="171"/>
      <c r="FP45" s="158"/>
      <c r="FQ45" s="171"/>
      <c r="FR45" s="180"/>
      <c r="FS45" s="158"/>
      <c r="FT45" s="344"/>
      <c r="FU45" s="158"/>
      <c r="FV45" s="345"/>
      <c r="FW45" s="155">
        <f t="shared" si="28"/>
        <v>0</v>
      </c>
      <c r="FX45" s="155">
        <f t="shared" si="29"/>
        <v>0</v>
      </c>
      <c r="FY45" s="155">
        <f>IF(MatchDay!$C$2="LOWER",COUNTA(FF45:FH45),0)</f>
        <v>0</v>
      </c>
      <c r="GA45" s="157" t="s">
        <v>912</v>
      </c>
      <c r="GB45" s="177"/>
      <c r="GC45" s="165"/>
      <c r="GD45" s="177"/>
      <c r="GE45" s="344"/>
      <c r="GF45" s="177"/>
      <c r="GG45" s="165"/>
      <c r="GH45" s="177"/>
      <c r="GI45" s="158"/>
      <c r="GJ45" s="180"/>
      <c r="GK45" s="180"/>
      <c r="GL45" s="180"/>
      <c r="GM45" s="345"/>
      <c r="GN45" s="345"/>
      <c r="GO45" s="177"/>
      <c r="GP45" s="158"/>
      <c r="GQ45" s="177"/>
      <c r="GR45" s="180"/>
      <c r="GS45" s="158"/>
      <c r="GT45" s="344"/>
      <c r="GU45" s="158"/>
      <c r="GV45" s="345"/>
      <c r="GW45" s="155">
        <f t="shared" si="30"/>
        <v>0</v>
      </c>
      <c r="GX45" s="155">
        <f t="shared" si="31"/>
        <v>0</v>
      </c>
      <c r="GY45" s="155">
        <f>IF(MatchDay!$C$2="LOWER",COUNTA(GF45:GH45),0)</f>
        <v>0</v>
      </c>
    </row>
    <row r="46" spans="1:207" ht="16.5" customHeight="1" x14ac:dyDescent="0.45">
      <c r="A46" s="157" t="s">
        <v>912</v>
      </c>
      <c r="B46" s="171"/>
      <c r="C46" s="165"/>
      <c r="D46" s="171"/>
      <c r="E46" s="344"/>
      <c r="F46" s="171"/>
      <c r="G46" s="165"/>
      <c r="H46" s="171"/>
      <c r="I46" s="158"/>
      <c r="J46" s="180"/>
      <c r="K46" s="180"/>
      <c r="L46" s="180"/>
      <c r="M46" s="345"/>
      <c r="N46" s="345"/>
      <c r="O46" s="171"/>
      <c r="P46" s="158"/>
      <c r="Q46" s="171"/>
      <c r="R46" s="180"/>
      <c r="S46" s="158"/>
      <c r="T46" s="344"/>
      <c r="U46" s="158"/>
      <c r="V46" s="345"/>
      <c r="W46" s="155">
        <f t="shared" si="16"/>
        <v>0</v>
      </c>
      <c r="X46" s="155">
        <f t="shared" si="17"/>
        <v>0</v>
      </c>
      <c r="Y46" s="155">
        <f>IF(MatchDay!$C$2="LOWER",COUNTA(F46:H46),0)</f>
        <v>0</v>
      </c>
      <c r="AA46" s="157" t="s">
        <v>912</v>
      </c>
      <c r="AB46" s="177"/>
      <c r="AC46" s="165"/>
      <c r="AD46" s="177"/>
      <c r="AE46" s="344"/>
      <c r="AF46" s="177"/>
      <c r="AG46" s="165"/>
      <c r="AH46" s="177"/>
      <c r="AI46" s="158"/>
      <c r="AJ46" s="180"/>
      <c r="AK46" s="180"/>
      <c r="AL46" s="180"/>
      <c r="AM46" s="345"/>
      <c r="AN46" s="345"/>
      <c r="AO46" s="177"/>
      <c r="AP46" s="158"/>
      <c r="AQ46" s="177"/>
      <c r="AR46" s="180"/>
      <c r="AS46" s="158"/>
      <c r="AT46" s="344"/>
      <c r="AU46" s="158"/>
      <c r="AV46" s="345"/>
      <c r="AW46" s="155">
        <f t="shared" si="18"/>
        <v>0</v>
      </c>
      <c r="AX46" s="155">
        <f t="shared" si="19"/>
        <v>0</v>
      </c>
      <c r="AY46" s="155">
        <f>IF(MatchDay!$C$2="LOWER",COUNTA(AF46:AH46),0)</f>
        <v>0</v>
      </c>
      <c r="BA46" s="157" t="s">
        <v>912</v>
      </c>
      <c r="BB46" s="171"/>
      <c r="BC46" s="165"/>
      <c r="BD46" s="171"/>
      <c r="BE46" s="344"/>
      <c r="BF46" s="171"/>
      <c r="BG46" s="165"/>
      <c r="BH46" s="171"/>
      <c r="BI46" s="158"/>
      <c r="BJ46" s="180"/>
      <c r="BK46" s="180"/>
      <c r="BL46" s="180"/>
      <c r="BM46" s="345"/>
      <c r="BN46" s="345"/>
      <c r="BO46" s="171"/>
      <c r="BP46" s="158"/>
      <c r="BQ46" s="171"/>
      <c r="BR46" s="180"/>
      <c r="BS46" s="158"/>
      <c r="BT46" s="344"/>
      <c r="BU46" s="158"/>
      <c r="BV46" s="345"/>
      <c r="BW46" s="155">
        <f t="shared" si="20"/>
        <v>0</v>
      </c>
      <c r="BX46" s="155">
        <f t="shared" si="21"/>
        <v>0</v>
      </c>
      <c r="BY46" s="155">
        <f>IF(MatchDay!$C$2="LOWER",COUNTA(BF46:BH46),0)</f>
        <v>0</v>
      </c>
      <c r="CA46" s="157" t="s">
        <v>912</v>
      </c>
      <c r="CB46" s="177"/>
      <c r="CC46" s="165"/>
      <c r="CD46" s="177"/>
      <c r="CE46" s="344"/>
      <c r="CF46" s="177"/>
      <c r="CG46" s="165"/>
      <c r="CH46" s="177"/>
      <c r="CI46" s="158"/>
      <c r="CJ46" s="180"/>
      <c r="CK46" s="180"/>
      <c r="CL46" s="180"/>
      <c r="CM46" s="345"/>
      <c r="CN46" s="345"/>
      <c r="CO46" s="177"/>
      <c r="CP46" s="158"/>
      <c r="CQ46" s="177"/>
      <c r="CR46" s="180"/>
      <c r="CS46" s="158"/>
      <c r="CT46" s="344"/>
      <c r="CU46" s="158"/>
      <c r="CV46" s="345"/>
      <c r="CW46" s="155">
        <f t="shared" si="22"/>
        <v>0</v>
      </c>
      <c r="CX46" s="155">
        <f t="shared" si="23"/>
        <v>0</v>
      </c>
      <c r="CY46" s="155">
        <f>IF(MatchDay!$C$2="LOWER",COUNTA(CF46:CH46),0)</f>
        <v>0</v>
      </c>
      <c r="DA46" s="157" t="s">
        <v>912</v>
      </c>
      <c r="DB46" s="171"/>
      <c r="DC46" s="165"/>
      <c r="DD46" s="171"/>
      <c r="DE46" s="344"/>
      <c r="DF46" s="171"/>
      <c r="DG46" s="165"/>
      <c r="DH46" s="171"/>
      <c r="DI46" s="158"/>
      <c r="DJ46" s="180"/>
      <c r="DK46" s="180"/>
      <c r="DL46" s="180"/>
      <c r="DM46" s="345"/>
      <c r="DN46" s="345"/>
      <c r="DO46" s="171"/>
      <c r="DP46" s="158"/>
      <c r="DQ46" s="171"/>
      <c r="DR46" s="180"/>
      <c r="DS46" s="158"/>
      <c r="DT46" s="344"/>
      <c r="DU46" s="158"/>
      <c r="DV46" s="345"/>
      <c r="DW46" s="155">
        <f t="shared" si="24"/>
        <v>0</v>
      </c>
      <c r="DX46" s="155">
        <f t="shared" si="25"/>
        <v>0</v>
      </c>
      <c r="DY46" s="155">
        <f>IF(MatchDay!$C$2="LOWER",COUNTA(DF46:DH46),0)</f>
        <v>0</v>
      </c>
      <c r="EA46" s="157" t="s">
        <v>912</v>
      </c>
      <c r="EB46" s="177"/>
      <c r="EC46" s="165"/>
      <c r="ED46" s="177"/>
      <c r="EE46" s="344"/>
      <c r="EF46" s="177"/>
      <c r="EG46" s="165"/>
      <c r="EH46" s="177"/>
      <c r="EI46" s="158"/>
      <c r="EJ46" s="180"/>
      <c r="EK46" s="180"/>
      <c r="EL46" s="180"/>
      <c r="EM46" s="345"/>
      <c r="EN46" s="345"/>
      <c r="EO46" s="177"/>
      <c r="EP46" s="158"/>
      <c r="EQ46" s="177"/>
      <c r="ER46" s="180"/>
      <c r="ES46" s="158"/>
      <c r="ET46" s="344"/>
      <c r="EU46" s="158"/>
      <c r="EV46" s="345"/>
      <c r="EW46" s="155">
        <f t="shared" si="26"/>
        <v>0</v>
      </c>
      <c r="EX46" s="155">
        <f t="shared" si="27"/>
        <v>0</v>
      </c>
      <c r="EY46" s="155">
        <f>IF(MatchDay!$C$2="LOWER",COUNTA(EF46:EH46),0)</f>
        <v>0</v>
      </c>
      <c r="FA46" s="157" t="s">
        <v>912</v>
      </c>
      <c r="FB46" s="171"/>
      <c r="FC46" s="165"/>
      <c r="FD46" s="171"/>
      <c r="FE46" s="344"/>
      <c r="FF46" s="171"/>
      <c r="FG46" s="165"/>
      <c r="FH46" s="171"/>
      <c r="FI46" s="158"/>
      <c r="FJ46" s="180"/>
      <c r="FK46" s="180"/>
      <c r="FL46" s="180"/>
      <c r="FM46" s="345"/>
      <c r="FN46" s="345"/>
      <c r="FO46" s="171"/>
      <c r="FP46" s="158"/>
      <c r="FQ46" s="171"/>
      <c r="FR46" s="180"/>
      <c r="FS46" s="158"/>
      <c r="FT46" s="344"/>
      <c r="FU46" s="158"/>
      <c r="FV46" s="345"/>
      <c r="FW46" s="155">
        <f t="shared" si="28"/>
        <v>0</v>
      </c>
      <c r="FX46" s="155">
        <f t="shared" si="29"/>
        <v>0</v>
      </c>
      <c r="FY46" s="155">
        <f>IF(MatchDay!$C$2="LOWER",COUNTA(FF46:FH46),0)</f>
        <v>0</v>
      </c>
      <c r="GA46" s="157" t="s">
        <v>912</v>
      </c>
      <c r="GB46" s="177"/>
      <c r="GC46" s="165"/>
      <c r="GD46" s="177"/>
      <c r="GE46" s="344"/>
      <c r="GF46" s="177"/>
      <c r="GG46" s="165"/>
      <c r="GH46" s="177"/>
      <c r="GI46" s="158"/>
      <c r="GJ46" s="180"/>
      <c r="GK46" s="180"/>
      <c r="GL46" s="180"/>
      <c r="GM46" s="345"/>
      <c r="GN46" s="345"/>
      <c r="GO46" s="177"/>
      <c r="GP46" s="158"/>
      <c r="GQ46" s="177"/>
      <c r="GR46" s="180"/>
      <c r="GS46" s="158"/>
      <c r="GT46" s="344"/>
      <c r="GU46" s="158"/>
      <c r="GV46" s="345"/>
      <c r="GW46" s="155">
        <f t="shared" si="30"/>
        <v>0</v>
      </c>
      <c r="GX46" s="155">
        <f t="shared" si="31"/>
        <v>0</v>
      </c>
      <c r="GY46" s="155">
        <f>IF(MatchDay!$C$2="LOWER",COUNTA(GF46:GH46),0)</f>
        <v>0</v>
      </c>
    </row>
    <row r="47" spans="1:207" ht="16.5" customHeight="1" x14ac:dyDescent="0.45">
      <c r="A47" s="157" t="s">
        <v>912</v>
      </c>
      <c r="B47" s="171"/>
      <c r="C47" s="165"/>
      <c r="D47" s="171"/>
      <c r="E47" s="344"/>
      <c r="F47" s="171"/>
      <c r="G47" s="165"/>
      <c r="H47" s="171"/>
      <c r="I47" s="158"/>
      <c r="J47" s="180"/>
      <c r="K47" s="180"/>
      <c r="L47" s="180"/>
      <c r="M47" s="345"/>
      <c r="N47" s="345"/>
      <c r="O47" s="171"/>
      <c r="P47" s="158"/>
      <c r="Q47" s="171"/>
      <c r="R47" s="180"/>
      <c r="S47" s="158"/>
      <c r="T47" s="344"/>
      <c r="U47" s="158"/>
      <c r="V47" s="345"/>
      <c r="W47" s="155">
        <f t="shared" si="16"/>
        <v>0</v>
      </c>
      <c r="X47" s="155">
        <f t="shared" si="17"/>
        <v>0</v>
      </c>
      <c r="Y47" s="155">
        <f>IF(MatchDay!$C$2="LOWER",COUNTA(F47:H47),0)</f>
        <v>0</v>
      </c>
      <c r="AA47" s="157" t="s">
        <v>912</v>
      </c>
      <c r="AB47" s="177"/>
      <c r="AC47" s="165"/>
      <c r="AD47" s="177"/>
      <c r="AE47" s="344"/>
      <c r="AF47" s="177"/>
      <c r="AG47" s="165"/>
      <c r="AH47" s="177"/>
      <c r="AI47" s="158"/>
      <c r="AJ47" s="180"/>
      <c r="AK47" s="180"/>
      <c r="AL47" s="180"/>
      <c r="AM47" s="345"/>
      <c r="AN47" s="345"/>
      <c r="AO47" s="177"/>
      <c r="AP47" s="158"/>
      <c r="AQ47" s="177"/>
      <c r="AR47" s="180"/>
      <c r="AS47" s="158"/>
      <c r="AT47" s="344"/>
      <c r="AU47" s="158"/>
      <c r="AV47" s="345"/>
      <c r="AW47" s="155">
        <f t="shared" si="18"/>
        <v>0</v>
      </c>
      <c r="AX47" s="155">
        <f t="shared" si="19"/>
        <v>0</v>
      </c>
      <c r="AY47" s="155">
        <f>IF(MatchDay!$C$2="LOWER",COUNTA(AF47:AH47),0)</f>
        <v>0</v>
      </c>
      <c r="BA47" s="157" t="s">
        <v>912</v>
      </c>
      <c r="BB47" s="171"/>
      <c r="BC47" s="165"/>
      <c r="BD47" s="171"/>
      <c r="BE47" s="344"/>
      <c r="BF47" s="171"/>
      <c r="BG47" s="165"/>
      <c r="BH47" s="171"/>
      <c r="BI47" s="158"/>
      <c r="BJ47" s="180"/>
      <c r="BK47" s="180"/>
      <c r="BL47" s="180"/>
      <c r="BM47" s="345"/>
      <c r="BN47" s="345"/>
      <c r="BO47" s="171"/>
      <c r="BP47" s="158"/>
      <c r="BQ47" s="171"/>
      <c r="BR47" s="180"/>
      <c r="BS47" s="158"/>
      <c r="BT47" s="344"/>
      <c r="BU47" s="158"/>
      <c r="BV47" s="345"/>
      <c r="BW47" s="155">
        <f t="shared" si="20"/>
        <v>0</v>
      </c>
      <c r="BX47" s="155">
        <f t="shared" si="21"/>
        <v>0</v>
      </c>
      <c r="BY47" s="155">
        <f>IF(MatchDay!$C$2="LOWER",COUNTA(BF47:BH47),0)</f>
        <v>0</v>
      </c>
      <c r="CA47" s="157" t="s">
        <v>912</v>
      </c>
      <c r="CB47" s="177"/>
      <c r="CC47" s="165"/>
      <c r="CD47" s="177"/>
      <c r="CE47" s="344"/>
      <c r="CF47" s="177"/>
      <c r="CG47" s="165"/>
      <c r="CH47" s="177"/>
      <c r="CI47" s="158"/>
      <c r="CJ47" s="180"/>
      <c r="CK47" s="180"/>
      <c r="CL47" s="180"/>
      <c r="CM47" s="345"/>
      <c r="CN47" s="345"/>
      <c r="CO47" s="177"/>
      <c r="CP47" s="158"/>
      <c r="CQ47" s="177"/>
      <c r="CR47" s="180"/>
      <c r="CS47" s="158"/>
      <c r="CT47" s="344"/>
      <c r="CU47" s="158"/>
      <c r="CV47" s="345"/>
      <c r="CW47" s="155">
        <f t="shared" si="22"/>
        <v>0</v>
      </c>
      <c r="CX47" s="155">
        <f t="shared" si="23"/>
        <v>0</v>
      </c>
      <c r="CY47" s="155">
        <f>IF(MatchDay!$C$2="LOWER",COUNTA(CF47:CH47),0)</f>
        <v>0</v>
      </c>
      <c r="DA47" s="157" t="s">
        <v>912</v>
      </c>
      <c r="DB47" s="171"/>
      <c r="DC47" s="165"/>
      <c r="DD47" s="171"/>
      <c r="DE47" s="344"/>
      <c r="DF47" s="171"/>
      <c r="DG47" s="165"/>
      <c r="DH47" s="171"/>
      <c r="DI47" s="158"/>
      <c r="DJ47" s="180"/>
      <c r="DK47" s="180"/>
      <c r="DL47" s="180"/>
      <c r="DM47" s="345"/>
      <c r="DN47" s="345"/>
      <c r="DO47" s="171"/>
      <c r="DP47" s="158"/>
      <c r="DQ47" s="171"/>
      <c r="DR47" s="180"/>
      <c r="DS47" s="158"/>
      <c r="DT47" s="344"/>
      <c r="DU47" s="158"/>
      <c r="DV47" s="345"/>
      <c r="DW47" s="155">
        <f t="shared" si="24"/>
        <v>0</v>
      </c>
      <c r="DX47" s="155">
        <f t="shared" si="25"/>
        <v>0</v>
      </c>
      <c r="DY47" s="155">
        <f>IF(MatchDay!$C$2="LOWER",COUNTA(DF47:DH47),0)</f>
        <v>0</v>
      </c>
      <c r="EA47" s="157" t="s">
        <v>912</v>
      </c>
      <c r="EB47" s="177"/>
      <c r="EC47" s="165"/>
      <c r="ED47" s="177"/>
      <c r="EE47" s="344"/>
      <c r="EF47" s="177"/>
      <c r="EG47" s="165"/>
      <c r="EH47" s="177"/>
      <c r="EI47" s="158"/>
      <c r="EJ47" s="180"/>
      <c r="EK47" s="180"/>
      <c r="EL47" s="180"/>
      <c r="EM47" s="345"/>
      <c r="EN47" s="345"/>
      <c r="EO47" s="177"/>
      <c r="EP47" s="158"/>
      <c r="EQ47" s="177"/>
      <c r="ER47" s="180"/>
      <c r="ES47" s="158"/>
      <c r="ET47" s="344"/>
      <c r="EU47" s="158"/>
      <c r="EV47" s="345"/>
      <c r="EW47" s="155">
        <f t="shared" si="26"/>
        <v>0</v>
      </c>
      <c r="EX47" s="155">
        <f t="shared" si="27"/>
        <v>0</v>
      </c>
      <c r="EY47" s="155">
        <f>IF(MatchDay!$C$2="LOWER",COUNTA(EF47:EH47),0)</f>
        <v>0</v>
      </c>
      <c r="FA47" s="157" t="s">
        <v>912</v>
      </c>
      <c r="FB47" s="171"/>
      <c r="FC47" s="165"/>
      <c r="FD47" s="171"/>
      <c r="FE47" s="344"/>
      <c r="FF47" s="171"/>
      <c r="FG47" s="165"/>
      <c r="FH47" s="171"/>
      <c r="FI47" s="158"/>
      <c r="FJ47" s="180"/>
      <c r="FK47" s="180"/>
      <c r="FL47" s="180"/>
      <c r="FM47" s="345"/>
      <c r="FN47" s="345"/>
      <c r="FO47" s="171"/>
      <c r="FP47" s="158"/>
      <c r="FQ47" s="171"/>
      <c r="FR47" s="180"/>
      <c r="FS47" s="158"/>
      <c r="FT47" s="344"/>
      <c r="FU47" s="158"/>
      <c r="FV47" s="345"/>
      <c r="FW47" s="155">
        <f t="shared" si="28"/>
        <v>0</v>
      </c>
      <c r="FX47" s="155">
        <f t="shared" si="29"/>
        <v>0</v>
      </c>
      <c r="FY47" s="155">
        <f>IF(MatchDay!$C$2="LOWER",COUNTA(FF47:FH47),0)</f>
        <v>0</v>
      </c>
      <c r="GA47" s="157" t="s">
        <v>912</v>
      </c>
      <c r="GB47" s="177"/>
      <c r="GC47" s="165"/>
      <c r="GD47" s="177"/>
      <c r="GE47" s="344"/>
      <c r="GF47" s="177"/>
      <c r="GG47" s="165"/>
      <c r="GH47" s="177"/>
      <c r="GI47" s="158"/>
      <c r="GJ47" s="180"/>
      <c r="GK47" s="180"/>
      <c r="GL47" s="180"/>
      <c r="GM47" s="345"/>
      <c r="GN47" s="345"/>
      <c r="GO47" s="177"/>
      <c r="GP47" s="158"/>
      <c r="GQ47" s="177"/>
      <c r="GR47" s="180"/>
      <c r="GS47" s="158"/>
      <c r="GT47" s="344"/>
      <c r="GU47" s="158"/>
      <c r="GV47" s="345"/>
      <c r="GW47" s="155">
        <f t="shared" si="30"/>
        <v>0</v>
      </c>
      <c r="GX47" s="155">
        <f t="shared" si="31"/>
        <v>0</v>
      </c>
      <c r="GY47" s="155">
        <f>IF(MatchDay!$C$2="LOWER",COUNTA(GF47:GH47),0)</f>
        <v>0</v>
      </c>
    </row>
    <row r="48" spans="1:207" ht="16.5" customHeight="1" x14ac:dyDescent="0.45">
      <c r="A48" s="157" t="s">
        <v>912</v>
      </c>
      <c r="B48" s="171"/>
      <c r="C48" s="165"/>
      <c r="D48" s="171"/>
      <c r="E48" s="344"/>
      <c r="F48" s="171"/>
      <c r="G48" s="165"/>
      <c r="H48" s="171"/>
      <c r="I48" s="158"/>
      <c r="J48" s="180"/>
      <c r="K48" s="180"/>
      <c r="L48" s="180"/>
      <c r="M48" s="345"/>
      <c r="N48" s="345"/>
      <c r="O48" s="171"/>
      <c r="P48" s="158"/>
      <c r="Q48" s="171"/>
      <c r="R48" s="180"/>
      <c r="S48" s="158"/>
      <c r="T48" s="344"/>
      <c r="U48" s="158"/>
      <c r="V48" s="345"/>
      <c r="W48" s="155">
        <f t="shared" si="16"/>
        <v>0</v>
      </c>
      <c r="X48" s="155">
        <f t="shared" si="17"/>
        <v>0</v>
      </c>
      <c r="Y48" s="155">
        <f>IF(MatchDay!$C$2="LOWER",COUNTA(F48:H48),0)</f>
        <v>0</v>
      </c>
      <c r="AA48" s="157" t="s">
        <v>912</v>
      </c>
      <c r="AB48" s="177"/>
      <c r="AC48" s="165"/>
      <c r="AD48" s="177"/>
      <c r="AE48" s="344"/>
      <c r="AF48" s="177"/>
      <c r="AG48" s="165"/>
      <c r="AH48" s="177"/>
      <c r="AI48" s="158"/>
      <c r="AJ48" s="180"/>
      <c r="AK48" s="180"/>
      <c r="AL48" s="180"/>
      <c r="AM48" s="345"/>
      <c r="AN48" s="345"/>
      <c r="AO48" s="177"/>
      <c r="AP48" s="158"/>
      <c r="AQ48" s="177"/>
      <c r="AR48" s="180"/>
      <c r="AS48" s="158"/>
      <c r="AT48" s="344"/>
      <c r="AU48" s="158"/>
      <c r="AV48" s="345"/>
      <c r="AW48" s="155">
        <f t="shared" si="18"/>
        <v>0</v>
      </c>
      <c r="AX48" s="155">
        <f t="shared" si="19"/>
        <v>0</v>
      </c>
      <c r="AY48" s="155">
        <f>IF(MatchDay!$C$2="LOWER",COUNTA(AF48:AH48),0)</f>
        <v>0</v>
      </c>
      <c r="BA48" s="157" t="s">
        <v>912</v>
      </c>
      <c r="BB48" s="171"/>
      <c r="BC48" s="165"/>
      <c r="BD48" s="171"/>
      <c r="BE48" s="344"/>
      <c r="BF48" s="171"/>
      <c r="BG48" s="165"/>
      <c r="BH48" s="171"/>
      <c r="BI48" s="158"/>
      <c r="BJ48" s="180"/>
      <c r="BK48" s="180"/>
      <c r="BL48" s="180"/>
      <c r="BM48" s="345"/>
      <c r="BN48" s="345"/>
      <c r="BO48" s="171"/>
      <c r="BP48" s="158"/>
      <c r="BQ48" s="171"/>
      <c r="BR48" s="180"/>
      <c r="BS48" s="158"/>
      <c r="BT48" s="344"/>
      <c r="BU48" s="158"/>
      <c r="BV48" s="345"/>
      <c r="BW48" s="155">
        <f t="shared" si="20"/>
        <v>0</v>
      </c>
      <c r="BX48" s="155">
        <f t="shared" si="21"/>
        <v>0</v>
      </c>
      <c r="BY48" s="155">
        <f>IF(MatchDay!$C$2="LOWER",COUNTA(BF48:BH48),0)</f>
        <v>0</v>
      </c>
      <c r="CA48" s="157" t="s">
        <v>912</v>
      </c>
      <c r="CB48" s="177"/>
      <c r="CC48" s="165"/>
      <c r="CD48" s="177"/>
      <c r="CE48" s="344"/>
      <c r="CF48" s="177"/>
      <c r="CG48" s="165"/>
      <c r="CH48" s="177"/>
      <c r="CI48" s="158"/>
      <c r="CJ48" s="180"/>
      <c r="CK48" s="180"/>
      <c r="CL48" s="180"/>
      <c r="CM48" s="345"/>
      <c r="CN48" s="345"/>
      <c r="CO48" s="177"/>
      <c r="CP48" s="158"/>
      <c r="CQ48" s="177"/>
      <c r="CR48" s="180"/>
      <c r="CS48" s="158"/>
      <c r="CT48" s="344"/>
      <c r="CU48" s="158"/>
      <c r="CV48" s="345"/>
      <c r="CW48" s="155">
        <f t="shared" si="22"/>
        <v>0</v>
      </c>
      <c r="CX48" s="155">
        <f t="shared" si="23"/>
        <v>0</v>
      </c>
      <c r="CY48" s="155">
        <f>IF(MatchDay!$C$2="LOWER",COUNTA(CF48:CH48),0)</f>
        <v>0</v>
      </c>
      <c r="DA48" s="157" t="s">
        <v>912</v>
      </c>
      <c r="DB48" s="171"/>
      <c r="DC48" s="165"/>
      <c r="DD48" s="171"/>
      <c r="DE48" s="344"/>
      <c r="DF48" s="171"/>
      <c r="DG48" s="165"/>
      <c r="DH48" s="171"/>
      <c r="DI48" s="158"/>
      <c r="DJ48" s="180"/>
      <c r="DK48" s="180"/>
      <c r="DL48" s="180"/>
      <c r="DM48" s="345"/>
      <c r="DN48" s="345"/>
      <c r="DO48" s="171"/>
      <c r="DP48" s="158"/>
      <c r="DQ48" s="171"/>
      <c r="DR48" s="180"/>
      <c r="DS48" s="158"/>
      <c r="DT48" s="344"/>
      <c r="DU48" s="158"/>
      <c r="DV48" s="345"/>
      <c r="DW48" s="155">
        <f t="shared" si="24"/>
        <v>0</v>
      </c>
      <c r="DX48" s="155">
        <f t="shared" si="25"/>
        <v>0</v>
      </c>
      <c r="DY48" s="155">
        <f>IF(MatchDay!$C$2="LOWER",COUNTA(DF48:DH48),0)</f>
        <v>0</v>
      </c>
      <c r="EA48" s="157" t="s">
        <v>912</v>
      </c>
      <c r="EB48" s="177"/>
      <c r="EC48" s="165"/>
      <c r="ED48" s="177"/>
      <c r="EE48" s="344"/>
      <c r="EF48" s="177"/>
      <c r="EG48" s="165"/>
      <c r="EH48" s="177"/>
      <c r="EI48" s="158"/>
      <c r="EJ48" s="180"/>
      <c r="EK48" s="180"/>
      <c r="EL48" s="180"/>
      <c r="EM48" s="345"/>
      <c r="EN48" s="345"/>
      <c r="EO48" s="177"/>
      <c r="EP48" s="158"/>
      <c r="EQ48" s="177"/>
      <c r="ER48" s="180"/>
      <c r="ES48" s="158"/>
      <c r="ET48" s="344"/>
      <c r="EU48" s="158"/>
      <c r="EV48" s="345"/>
      <c r="EW48" s="155">
        <f t="shared" si="26"/>
        <v>0</v>
      </c>
      <c r="EX48" s="155">
        <f t="shared" si="27"/>
        <v>0</v>
      </c>
      <c r="EY48" s="155">
        <f>IF(MatchDay!$C$2="LOWER",COUNTA(EF48:EH48),0)</f>
        <v>0</v>
      </c>
      <c r="FA48" s="157" t="s">
        <v>912</v>
      </c>
      <c r="FB48" s="171"/>
      <c r="FC48" s="165"/>
      <c r="FD48" s="171"/>
      <c r="FE48" s="344"/>
      <c r="FF48" s="171"/>
      <c r="FG48" s="165"/>
      <c r="FH48" s="171"/>
      <c r="FI48" s="158"/>
      <c r="FJ48" s="180"/>
      <c r="FK48" s="180"/>
      <c r="FL48" s="180"/>
      <c r="FM48" s="345"/>
      <c r="FN48" s="345"/>
      <c r="FO48" s="171"/>
      <c r="FP48" s="158"/>
      <c r="FQ48" s="171"/>
      <c r="FR48" s="180"/>
      <c r="FS48" s="158"/>
      <c r="FT48" s="344"/>
      <c r="FU48" s="158"/>
      <c r="FV48" s="345"/>
      <c r="FW48" s="155">
        <f t="shared" si="28"/>
        <v>0</v>
      </c>
      <c r="FX48" s="155">
        <f t="shared" si="29"/>
        <v>0</v>
      </c>
      <c r="FY48" s="155">
        <f>IF(MatchDay!$C$2="LOWER",COUNTA(FF48:FH48),0)</f>
        <v>0</v>
      </c>
      <c r="GA48" s="157" t="s">
        <v>912</v>
      </c>
      <c r="GB48" s="177"/>
      <c r="GC48" s="165"/>
      <c r="GD48" s="177"/>
      <c r="GE48" s="344"/>
      <c r="GF48" s="177"/>
      <c r="GG48" s="165"/>
      <c r="GH48" s="177"/>
      <c r="GI48" s="158"/>
      <c r="GJ48" s="180"/>
      <c r="GK48" s="180"/>
      <c r="GL48" s="180"/>
      <c r="GM48" s="345"/>
      <c r="GN48" s="345"/>
      <c r="GO48" s="177"/>
      <c r="GP48" s="158"/>
      <c r="GQ48" s="177"/>
      <c r="GR48" s="180"/>
      <c r="GS48" s="158"/>
      <c r="GT48" s="344"/>
      <c r="GU48" s="158"/>
      <c r="GV48" s="345"/>
      <c r="GW48" s="155">
        <f t="shared" si="30"/>
        <v>0</v>
      </c>
      <c r="GX48" s="155">
        <f t="shared" si="31"/>
        <v>0</v>
      </c>
      <c r="GY48" s="155">
        <f>IF(MatchDay!$C$2="LOWER",COUNTA(GF48:GH48),0)</f>
        <v>0</v>
      </c>
    </row>
    <row r="49" spans="1:207" ht="16.5" customHeight="1" x14ac:dyDescent="0.45">
      <c r="A49" s="157" t="s">
        <v>912</v>
      </c>
      <c r="B49" s="171"/>
      <c r="C49" s="165"/>
      <c r="D49" s="171"/>
      <c r="E49" s="344"/>
      <c r="F49" s="171"/>
      <c r="G49" s="165"/>
      <c r="H49" s="171"/>
      <c r="I49" s="158"/>
      <c r="J49" s="180"/>
      <c r="K49" s="180"/>
      <c r="L49" s="180"/>
      <c r="M49" s="345"/>
      <c r="N49" s="345"/>
      <c r="O49" s="171"/>
      <c r="P49" s="158"/>
      <c r="Q49" s="171"/>
      <c r="R49" s="180"/>
      <c r="S49" s="158"/>
      <c r="T49" s="344"/>
      <c r="U49" s="158"/>
      <c r="V49" s="345"/>
      <c r="W49" s="155">
        <f t="shared" si="16"/>
        <v>0</v>
      </c>
      <c r="X49" s="155">
        <f t="shared" si="17"/>
        <v>0</v>
      </c>
      <c r="Y49" s="155">
        <f>IF(MatchDay!$C$2="LOWER",COUNTA(F49:H49),0)</f>
        <v>0</v>
      </c>
      <c r="AA49" s="157" t="s">
        <v>912</v>
      </c>
      <c r="AB49" s="177"/>
      <c r="AC49" s="165"/>
      <c r="AD49" s="177"/>
      <c r="AE49" s="344"/>
      <c r="AF49" s="177"/>
      <c r="AG49" s="165"/>
      <c r="AH49" s="177"/>
      <c r="AI49" s="158"/>
      <c r="AJ49" s="180"/>
      <c r="AK49" s="180"/>
      <c r="AL49" s="180"/>
      <c r="AM49" s="345"/>
      <c r="AN49" s="345"/>
      <c r="AO49" s="177"/>
      <c r="AP49" s="158"/>
      <c r="AQ49" s="177"/>
      <c r="AR49" s="180"/>
      <c r="AS49" s="158"/>
      <c r="AT49" s="344"/>
      <c r="AU49" s="158"/>
      <c r="AV49" s="345"/>
      <c r="AW49" s="155">
        <f t="shared" si="18"/>
        <v>0</v>
      </c>
      <c r="AX49" s="155">
        <f t="shared" si="19"/>
        <v>0</v>
      </c>
      <c r="AY49" s="155">
        <f>IF(MatchDay!$C$2="LOWER",COUNTA(AF49:AH49),0)</f>
        <v>0</v>
      </c>
      <c r="BA49" s="157" t="s">
        <v>912</v>
      </c>
      <c r="BB49" s="171"/>
      <c r="BC49" s="165"/>
      <c r="BD49" s="171"/>
      <c r="BE49" s="344"/>
      <c r="BF49" s="171"/>
      <c r="BG49" s="165"/>
      <c r="BH49" s="171"/>
      <c r="BI49" s="158"/>
      <c r="BJ49" s="180"/>
      <c r="BK49" s="180"/>
      <c r="BL49" s="180"/>
      <c r="BM49" s="345"/>
      <c r="BN49" s="345"/>
      <c r="BO49" s="171"/>
      <c r="BP49" s="158"/>
      <c r="BQ49" s="171"/>
      <c r="BR49" s="180"/>
      <c r="BS49" s="158"/>
      <c r="BT49" s="344"/>
      <c r="BU49" s="158"/>
      <c r="BV49" s="345"/>
      <c r="BW49" s="155">
        <f t="shared" si="20"/>
        <v>0</v>
      </c>
      <c r="BX49" s="155">
        <f t="shared" si="21"/>
        <v>0</v>
      </c>
      <c r="BY49" s="155">
        <f>IF(MatchDay!$C$2="LOWER",COUNTA(BF49:BH49),0)</f>
        <v>0</v>
      </c>
      <c r="CA49" s="157" t="s">
        <v>912</v>
      </c>
      <c r="CB49" s="177"/>
      <c r="CC49" s="165"/>
      <c r="CD49" s="177"/>
      <c r="CE49" s="344"/>
      <c r="CF49" s="177"/>
      <c r="CG49" s="165"/>
      <c r="CH49" s="177"/>
      <c r="CI49" s="158"/>
      <c r="CJ49" s="180"/>
      <c r="CK49" s="180"/>
      <c r="CL49" s="180"/>
      <c r="CM49" s="345"/>
      <c r="CN49" s="345"/>
      <c r="CO49" s="177"/>
      <c r="CP49" s="158"/>
      <c r="CQ49" s="177"/>
      <c r="CR49" s="180"/>
      <c r="CS49" s="158"/>
      <c r="CT49" s="344"/>
      <c r="CU49" s="158"/>
      <c r="CV49" s="345"/>
      <c r="CW49" s="155">
        <f t="shared" si="22"/>
        <v>0</v>
      </c>
      <c r="CX49" s="155">
        <f t="shared" si="23"/>
        <v>0</v>
      </c>
      <c r="CY49" s="155">
        <f>IF(MatchDay!$C$2="LOWER",COUNTA(CF49:CH49),0)</f>
        <v>0</v>
      </c>
      <c r="DA49" s="157" t="s">
        <v>912</v>
      </c>
      <c r="DB49" s="171"/>
      <c r="DC49" s="165"/>
      <c r="DD49" s="171"/>
      <c r="DE49" s="344"/>
      <c r="DF49" s="171"/>
      <c r="DG49" s="165"/>
      <c r="DH49" s="171"/>
      <c r="DI49" s="158"/>
      <c r="DJ49" s="180"/>
      <c r="DK49" s="180"/>
      <c r="DL49" s="180"/>
      <c r="DM49" s="345"/>
      <c r="DN49" s="345"/>
      <c r="DO49" s="171"/>
      <c r="DP49" s="158"/>
      <c r="DQ49" s="171"/>
      <c r="DR49" s="180"/>
      <c r="DS49" s="158"/>
      <c r="DT49" s="344"/>
      <c r="DU49" s="158"/>
      <c r="DV49" s="345"/>
      <c r="DW49" s="155">
        <f t="shared" si="24"/>
        <v>0</v>
      </c>
      <c r="DX49" s="155">
        <f t="shared" si="25"/>
        <v>0</v>
      </c>
      <c r="DY49" s="155">
        <f>IF(MatchDay!$C$2="LOWER",COUNTA(DF49:DH49),0)</f>
        <v>0</v>
      </c>
      <c r="EA49" s="157" t="s">
        <v>912</v>
      </c>
      <c r="EB49" s="177"/>
      <c r="EC49" s="165"/>
      <c r="ED49" s="177"/>
      <c r="EE49" s="344"/>
      <c r="EF49" s="177"/>
      <c r="EG49" s="165"/>
      <c r="EH49" s="177"/>
      <c r="EI49" s="158"/>
      <c r="EJ49" s="180"/>
      <c r="EK49" s="180"/>
      <c r="EL49" s="180"/>
      <c r="EM49" s="345"/>
      <c r="EN49" s="345"/>
      <c r="EO49" s="177"/>
      <c r="EP49" s="158"/>
      <c r="EQ49" s="177"/>
      <c r="ER49" s="180"/>
      <c r="ES49" s="158"/>
      <c r="ET49" s="344"/>
      <c r="EU49" s="158"/>
      <c r="EV49" s="345"/>
      <c r="EW49" s="155">
        <f t="shared" si="26"/>
        <v>0</v>
      </c>
      <c r="EX49" s="155">
        <f t="shared" si="27"/>
        <v>0</v>
      </c>
      <c r="EY49" s="155">
        <f>IF(MatchDay!$C$2="LOWER",COUNTA(EF49:EH49),0)</f>
        <v>0</v>
      </c>
      <c r="FA49" s="157" t="s">
        <v>912</v>
      </c>
      <c r="FB49" s="171"/>
      <c r="FC49" s="165"/>
      <c r="FD49" s="171"/>
      <c r="FE49" s="344"/>
      <c r="FF49" s="171"/>
      <c r="FG49" s="165"/>
      <c r="FH49" s="171"/>
      <c r="FI49" s="158"/>
      <c r="FJ49" s="180"/>
      <c r="FK49" s="180"/>
      <c r="FL49" s="180"/>
      <c r="FM49" s="345"/>
      <c r="FN49" s="345"/>
      <c r="FO49" s="171"/>
      <c r="FP49" s="158"/>
      <c r="FQ49" s="171"/>
      <c r="FR49" s="180"/>
      <c r="FS49" s="158"/>
      <c r="FT49" s="344"/>
      <c r="FU49" s="158"/>
      <c r="FV49" s="345"/>
      <c r="FW49" s="155">
        <f t="shared" si="28"/>
        <v>0</v>
      </c>
      <c r="FX49" s="155">
        <f t="shared" si="29"/>
        <v>0</v>
      </c>
      <c r="FY49" s="155">
        <f>IF(MatchDay!$C$2="LOWER",COUNTA(FF49:FH49),0)</f>
        <v>0</v>
      </c>
      <c r="GA49" s="157" t="s">
        <v>912</v>
      </c>
      <c r="GB49" s="177"/>
      <c r="GC49" s="165"/>
      <c r="GD49" s="177"/>
      <c r="GE49" s="344"/>
      <c r="GF49" s="177"/>
      <c r="GG49" s="165"/>
      <c r="GH49" s="177"/>
      <c r="GI49" s="158"/>
      <c r="GJ49" s="180"/>
      <c r="GK49" s="180"/>
      <c r="GL49" s="180"/>
      <c r="GM49" s="345"/>
      <c r="GN49" s="345"/>
      <c r="GO49" s="177"/>
      <c r="GP49" s="158"/>
      <c r="GQ49" s="177"/>
      <c r="GR49" s="180"/>
      <c r="GS49" s="158"/>
      <c r="GT49" s="344"/>
      <c r="GU49" s="158"/>
      <c r="GV49" s="345"/>
      <c r="GW49" s="155">
        <f t="shared" si="30"/>
        <v>0</v>
      </c>
      <c r="GX49" s="155">
        <f t="shared" si="31"/>
        <v>0</v>
      </c>
      <c r="GY49" s="155">
        <f>IF(MatchDay!$C$2="LOWER",COUNTA(GF49:GH49),0)</f>
        <v>0</v>
      </c>
    </row>
    <row r="50" spans="1:207" ht="16.5" customHeight="1" x14ac:dyDescent="0.45">
      <c r="A50" s="157" t="s">
        <v>912</v>
      </c>
      <c r="B50" s="171"/>
      <c r="C50" s="165"/>
      <c r="D50" s="171"/>
      <c r="E50" s="344"/>
      <c r="F50" s="171"/>
      <c r="G50" s="165"/>
      <c r="H50" s="171"/>
      <c r="I50" s="158"/>
      <c r="J50" s="180"/>
      <c r="K50" s="180"/>
      <c r="L50" s="180"/>
      <c r="M50" s="345"/>
      <c r="N50" s="345"/>
      <c r="O50" s="171"/>
      <c r="P50" s="158"/>
      <c r="Q50" s="171"/>
      <c r="R50" s="180"/>
      <c r="S50" s="158"/>
      <c r="T50" s="344"/>
      <c r="U50" s="158"/>
      <c r="V50" s="345"/>
      <c r="W50" s="155">
        <f t="shared" si="16"/>
        <v>0</v>
      </c>
      <c r="X50" s="155">
        <f t="shared" si="17"/>
        <v>0</v>
      </c>
      <c r="Y50" s="155">
        <f>IF(MatchDay!$C$2="LOWER",COUNTA(F50:H50),0)</f>
        <v>0</v>
      </c>
      <c r="AA50" s="157" t="s">
        <v>912</v>
      </c>
      <c r="AB50" s="177"/>
      <c r="AC50" s="165"/>
      <c r="AD50" s="177"/>
      <c r="AE50" s="344"/>
      <c r="AF50" s="177"/>
      <c r="AG50" s="165"/>
      <c r="AH50" s="177"/>
      <c r="AI50" s="158"/>
      <c r="AJ50" s="180"/>
      <c r="AK50" s="180"/>
      <c r="AL50" s="180"/>
      <c r="AM50" s="345"/>
      <c r="AN50" s="345"/>
      <c r="AO50" s="177"/>
      <c r="AP50" s="158"/>
      <c r="AQ50" s="177"/>
      <c r="AR50" s="180"/>
      <c r="AS50" s="158"/>
      <c r="AT50" s="344"/>
      <c r="AU50" s="158"/>
      <c r="AV50" s="345"/>
      <c r="AW50" s="155">
        <f t="shared" si="18"/>
        <v>0</v>
      </c>
      <c r="AX50" s="155">
        <f t="shared" si="19"/>
        <v>0</v>
      </c>
      <c r="AY50" s="155">
        <f>IF(MatchDay!$C$2="LOWER",COUNTA(AF50:AH50),0)</f>
        <v>0</v>
      </c>
      <c r="BA50" s="157" t="s">
        <v>912</v>
      </c>
      <c r="BB50" s="171"/>
      <c r="BC50" s="165"/>
      <c r="BD50" s="171"/>
      <c r="BE50" s="344"/>
      <c r="BF50" s="171"/>
      <c r="BG50" s="165"/>
      <c r="BH50" s="171"/>
      <c r="BI50" s="158"/>
      <c r="BJ50" s="180"/>
      <c r="BK50" s="180"/>
      <c r="BL50" s="180"/>
      <c r="BM50" s="345"/>
      <c r="BN50" s="345"/>
      <c r="BO50" s="171"/>
      <c r="BP50" s="158"/>
      <c r="BQ50" s="171"/>
      <c r="BR50" s="180"/>
      <c r="BS50" s="158"/>
      <c r="BT50" s="344"/>
      <c r="BU50" s="158"/>
      <c r="BV50" s="345"/>
      <c r="BW50" s="155">
        <f t="shared" si="20"/>
        <v>0</v>
      </c>
      <c r="BX50" s="155">
        <f t="shared" si="21"/>
        <v>0</v>
      </c>
      <c r="BY50" s="155">
        <f>IF(MatchDay!$C$2="LOWER",COUNTA(BF50:BH50),0)</f>
        <v>0</v>
      </c>
      <c r="CA50" s="157" t="s">
        <v>912</v>
      </c>
      <c r="CB50" s="177"/>
      <c r="CC50" s="165"/>
      <c r="CD50" s="177"/>
      <c r="CE50" s="344"/>
      <c r="CF50" s="177"/>
      <c r="CG50" s="165"/>
      <c r="CH50" s="177"/>
      <c r="CI50" s="158"/>
      <c r="CJ50" s="180"/>
      <c r="CK50" s="180"/>
      <c r="CL50" s="180"/>
      <c r="CM50" s="345"/>
      <c r="CN50" s="345"/>
      <c r="CO50" s="177"/>
      <c r="CP50" s="158"/>
      <c r="CQ50" s="177"/>
      <c r="CR50" s="180"/>
      <c r="CS50" s="158"/>
      <c r="CT50" s="344"/>
      <c r="CU50" s="158"/>
      <c r="CV50" s="345"/>
      <c r="CW50" s="155">
        <f t="shared" si="22"/>
        <v>0</v>
      </c>
      <c r="CX50" s="155">
        <f t="shared" si="23"/>
        <v>0</v>
      </c>
      <c r="CY50" s="155">
        <f>IF(MatchDay!$C$2="LOWER",COUNTA(CF50:CH50),0)</f>
        <v>0</v>
      </c>
      <c r="DA50" s="157" t="s">
        <v>912</v>
      </c>
      <c r="DB50" s="171"/>
      <c r="DC50" s="165"/>
      <c r="DD50" s="171"/>
      <c r="DE50" s="344"/>
      <c r="DF50" s="171"/>
      <c r="DG50" s="165"/>
      <c r="DH50" s="171"/>
      <c r="DI50" s="158"/>
      <c r="DJ50" s="180"/>
      <c r="DK50" s="180"/>
      <c r="DL50" s="180"/>
      <c r="DM50" s="345"/>
      <c r="DN50" s="345"/>
      <c r="DO50" s="171"/>
      <c r="DP50" s="158"/>
      <c r="DQ50" s="171"/>
      <c r="DR50" s="180"/>
      <c r="DS50" s="158"/>
      <c r="DT50" s="344"/>
      <c r="DU50" s="158"/>
      <c r="DV50" s="345"/>
      <c r="DW50" s="155">
        <f t="shared" si="24"/>
        <v>0</v>
      </c>
      <c r="DX50" s="155">
        <f t="shared" si="25"/>
        <v>0</v>
      </c>
      <c r="DY50" s="155">
        <f>IF(MatchDay!$C$2="LOWER",COUNTA(DF50:DH50),0)</f>
        <v>0</v>
      </c>
      <c r="EA50" s="157" t="s">
        <v>912</v>
      </c>
      <c r="EB50" s="177"/>
      <c r="EC50" s="165"/>
      <c r="ED50" s="177"/>
      <c r="EE50" s="344"/>
      <c r="EF50" s="177"/>
      <c r="EG50" s="165"/>
      <c r="EH50" s="177"/>
      <c r="EI50" s="158"/>
      <c r="EJ50" s="180"/>
      <c r="EK50" s="180"/>
      <c r="EL50" s="180"/>
      <c r="EM50" s="345"/>
      <c r="EN50" s="345"/>
      <c r="EO50" s="177"/>
      <c r="EP50" s="158"/>
      <c r="EQ50" s="177"/>
      <c r="ER50" s="180"/>
      <c r="ES50" s="158"/>
      <c r="ET50" s="344"/>
      <c r="EU50" s="158"/>
      <c r="EV50" s="345"/>
      <c r="EW50" s="155">
        <f t="shared" si="26"/>
        <v>0</v>
      </c>
      <c r="EX50" s="155">
        <f t="shared" si="27"/>
        <v>0</v>
      </c>
      <c r="EY50" s="155">
        <f>IF(MatchDay!$C$2="LOWER",COUNTA(EF50:EH50),0)</f>
        <v>0</v>
      </c>
      <c r="FA50" s="157" t="s">
        <v>912</v>
      </c>
      <c r="FB50" s="171"/>
      <c r="FC50" s="165"/>
      <c r="FD50" s="171"/>
      <c r="FE50" s="344"/>
      <c r="FF50" s="171"/>
      <c r="FG50" s="165"/>
      <c r="FH50" s="171"/>
      <c r="FI50" s="158"/>
      <c r="FJ50" s="180"/>
      <c r="FK50" s="180"/>
      <c r="FL50" s="180"/>
      <c r="FM50" s="345"/>
      <c r="FN50" s="345"/>
      <c r="FO50" s="171"/>
      <c r="FP50" s="158"/>
      <c r="FQ50" s="171"/>
      <c r="FR50" s="180"/>
      <c r="FS50" s="158"/>
      <c r="FT50" s="344"/>
      <c r="FU50" s="158"/>
      <c r="FV50" s="345"/>
      <c r="FW50" s="155">
        <f t="shared" si="28"/>
        <v>0</v>
      </c>
      <c r="FX50" s="155">
        <f t="shared" si="29"/>
        <v>0</v>
      </c>
      <c r="FY50" s="155">
        <f>IF(MatchDay!$C$2="LOWER",COUNTA(FF50:FH50),0)</f>
        <v>0</v>
      </c>
      <c r="GA50" s="157" t="s">
        <v>912</v>
      </c>
      <c r="GB50" s="177"/>
      <c r="GC50" s="165"/>
      <c r="GD50" s="177"/>
      <c r="GE50" s="344"/>
      <c r="GF50" s="177"/>
      <c r="GG50" s="165"/>
      <c r="GH50" s="177"/>
      <c r="GI50" s="158"/>
      <c r="GJ50" s="180"/>
      <c r="GK50" s="180"/>
      <c r="GL50" s="180"/>
      <c r="GM50" s="345"/>
      <c r="GN50" s="345"/>
      <c r="GO50" s="177"/>
      <c r="GP50" s="158"/>
      <c r="GQ50" s="177"/>
      <c r="GR50" s="180"/>
      <c r="GS50" s="158"/>
      <c r="GT50" s="344"/>
      <c r="GU50" s="158"/>
      <c r="GV50" s="345"/>
      <c r="GW50" s="155">
        <f t="shared" si="30"/>
        <v>0</v>
      </c>
      <c r="GX50" s="155">
        <f t="shared" si="31"/>
        <v>0</v>
      </c>
      <c r="GY50" s="155">
        <f>IF(MatchDay!$C$2="LOWER",COUNTA(GF50:GH50),0)</f>
        <v>0</v>
      </c>
    </row>
    <row r="51" spans="1:207" ht="16.5" customHeight="1" x14ac:dyDescent="0.45">
      <c r="A51" s="157" t="s">
        <v>912</v>
      </c>
      <c r="B51" s="171"/>
      <c r="C51" s="165"/>
      <c r="D51" s="171"/>
      <c r="E51" s="344"/>
      <c r="F51" s="171"/>
      <c r="G51" s="165"/>
      <c r="H51" s="171"/>
      <c r="I51" s="158"/>
      <c r="J51" s="180"/>
      <c r="K51" s="180"/>
      <c r="L51" s="180"/>
      <c r="M51" s="345"/>
      <c r="N51" s="345"/>
      <c r="O51" s="171"/>
      <c r="P51" s="158"/>
      <c r="Q51" s="171"/>
      <c r="R51" s="180"/>
      <c r="S51" s="158"/>
      <c r="T51" s="344"/>
      <c r="U51" s="158"/>
      <c r="V51" s="345"/>
      <c r="W51" s="155">
        <f t="shared" si="16"/>
        <v>0</v>
      </c>
      <c r="X51" s="155">
        <f t="shared" si="17"/>
        <v>0</v>
      </c>
      <c r="Y51" s="155">
        <f>IF(MatchDay!$C$2="LOWER",COUNTA(F51:H51),0)</f>
        <v>0</v>
      </c>
      <c r="AA51" s="157" t="s">
        <v>912</v>
      </c>
      <c r="AB51" s="177"/>
      <c r="AC51" s="165"/>
      <c r="AD51" s="177"/>
      <c r="AE51" s="344"/>
      <c r="AF51" s="177"/>
      <c r="AG51" s="165"/>
      <c r="AH51" s="177"/>
      <c r="AI51" s="158"/>
      <c r="AJ51" s="180"/>
      <c r="AK51" s="180"/>
      <c r="AL51" s="180"/>
      <c r="AM51" s="345"/>
      <c r="AN51" s="345"/>
      <c r="AO51" s="177"/>
      <c r="AP51" s="158"/>
      <c r="AQ51" s="177"/>
      <c r="AR51" s="180"/>
      <c r="AS51" s="158"/>
      <c r="AT51" s="344"/>
      <c r="AU51" s="158"/>
      <c r="AV51" s="345"/>
      <c r="AW51" s="155">
        <f t="shared" si="18"/>
        <v>0</v>
      </c>
      <c r="AX51" s="155">
        <f t="shared" si="19"/>
        <v>0</v>
      </c>
      <c r="AY51" s="155">
        <f>IF(MatchDay!$C$2="LOWER",COUNTA(AF51:AH51),0)</f>
        <v>0</v>
      </c>
      <c r="BA51" s="157" t="s">
        <v>912</v>
      </c>
      <c r="BB51" s="171"/>
      <c r="BC51" s="165"/>
      <c r="BD51" s="171"/>
      <c r="BE51" s="344"/>
      <c r="BF51" s="171"/>
      <c r="BG51" s="165"/>
      <c r="BH51" s="171"/>
      <c r="BI51" s="158"/>
      <c r="BJ51" s="180"/>
      <c r="BK51" s="180"/>
      <c r="BL51" s="180"/>
      <c r="BM51" s="345"/>
      <c r="BN51" s="345"/>
      <c r="BO51" s="171"/>
      <c r="BP51" s="158"/>
      <c r="BQ51" s="171"/>
      <c r="BR51" s="180"/>
      <c r="BS51" s="158"/>
      <c r="BT51" s="344"/>
      <c r="BU51" s="158"/>
      <c r="BV51" s="345"/>
      <c r="BW51" s="155">
        <f t="shared" si="20"/>
        <v>0</v>
      </c>
      <c r="BX51" s="155">
        <f t="shared" si="21"/>
        <v>0</v>
      </c>
      <c r="BY51" s="155">
        <f>IF(MatchDay!$C$2="LOWER",COUNTA(BF51:BH51),0)</f>
        <v>0</v>
      </c>
      <c r="CA51" s="157" t="s">
        <v>912</v>
      </c>
      <c r="CB51" s="177"/>
      <c r="CC51" s="165"/>
      <c r="CD51" s="177"/>
      <c r="CE51" s="344"/>
      <c r="CF51" s="177"/>
      <c r="CG51" s="165"/>
      <c r="CH51" s="177"/>
      <c r="CI51" s="158"/>
      <c r="CJ51" s="180"/>
      <c r="CK51" s="180"/>
      <c r="CL51" s="180"/>
      <c r="CM51" s="345"/>
      <c r="CN51" s="345"/>
      <c r="CO51" s="177"/>
      <c r="CP51" s="158"/>
      <c r="CQ51" s="177"/>
      <c r="CR51" s="180"/>
      <c r="CS51" s="158"/>
      <c r="CT51" s="344"/>
      <c r="CU51" s="158"/>
      <c r="CV51" s="345"/>
      <c r="CW51" s="155">
        <f t="shared" si="22"/>
        <v>0</v>
      </c>
      <c r="CX51" s="155">
        <f t="shared" si="23"/>
        <v>0</v>
      </c>
      <c r="CY51" s="155">
        <f>IF(MatchDay!$C$2="LOWER",COUNTA(CF51:CH51),0)</f>
        <v>0</v>
      </c>
      <c r="DA51" s="157" t="s">
        <v>912</v>
      </c>
      <c r="DB51" s="171"/>
      <c r="DC51" s="165"/>
      <c r="DD51" s="171"/>
      <c r="DE51" s="344"/>
      <c r="DF51" s="171"/>
      <c r="DG51" s="165"/>
      <c r="DH51" s="171"/>
      <c r="DI51" s="158"/>
      <c r="DJ51" s="180"/>
      <c r="DK51" s="180"/>
      <c r="DL51" s="180"/>
      <c r="DM51" s="345"/>
      <c r="DN51" s="345"/>
      <c r="DO51" s="171"/>
      <c r="DP51" s="158"/>
      <c r="DQ51" s="171"/>
      <c r="DR51" s="180"/>
      <c r="DS51" s="158"/>
      <c r="DT51" s="344"/>
      <c r="DU51" s="158"/>
      <c r="DV51" s="345"/>
      <c r="DW51" s="155">
        <f t="shared" si="24"/>
        <v>0</v>
      </c>
      <c r="DX51" s="155">
        <f t="shared" si="25"/>
        <v>0</v>
      </c>
      <c r="DY51" s="155">
        <f>IF(MatchDay!$C$2="LOWER",COUNTA(DF51:DH51),0)</f>
        <v>0</v>
      </c>
      <c r="EA51" s="157" t="s">
        <v>912</v>
      </c>
      <c r="EB51" s="177"/>
      <c r="EC51" s="165"/>
      <c r="ED51" s="177"/>
      <c r="EE51" s="344"/>
      <c r="EF51" s="177"/>
      <c r="EG51" s="165"/>
      <c r="EH51" s="177"/>
      <c r="EI51" s="158"/>
      <c r="EJ51" s="180"/>
      <c r="EK51" s="180"/>
      <c r="EL51" s="180"/>
      <c r="EM51" s="345"/>
      <c r="EN51" s="345"/>
      <c r="EO51" s="177"/>
      <c r="EP51" s="158"/>
      <c r="EQ51" s="177"/>
      <c r="ER51" s="180"/>
      <c r="ES51" s="158"/>
      <c r="ET51" s="344"/>
      <c r="EU51" s="158"/>
      <c r="EV51" s="345"/>
      <c r="EW51" s="155">
        <f t="shared" si="26"/>
        <v>0</v>
      </c>
      <c r="EX51" s="155">
        <f t="shared" si="27"/>
        <v>0</v>
      </c>
      <c r="EY51" s="155">
        <f>IF(MatchDay!$C$2="LOWER",COUNTA(EF51:EH51),0)</f>
        <v>0</v>
      </c>
      <c r="FA51" s="157" t="s">
        <v>912</v>
      </c>
      <c r="FB51" s="171"/>
      <c r="FC51" s="165"/>
      <c r="FD51" s="171"/>
      <c r="FE51" s="344"/>
      <c r="FF51" s="171"/>
      <c r="FG51" s="165"/>
      <c r="FH51" s="171"/>
      <c r="FI51" s="158"/>
      <c r="FJ51" s="180"/>
      <c r="FK51" s="180"/>
      <c r="FL51" s="180"/>
      <c r="FM51" s="345"/>
      <c r="FN51" s="345"/>
      <c r="FO51" s="171"/>
      <c r="FP51" s="158"/>
      <c r="FQ51" s="171"/>
      <c r="FR51" s="180"/>
      <c r="FS51" s="158"/>
      <c r="FT51" s="344"/>
      <c r="FU51" s="158"/>
      <c r="FV51" s="345"/>
      <c r="FW51" s="155">
        <f t="shared" si="28"/>
        <v>0</v>
      </c>
      <c r="FX51" s="155">
        <f t="shared" si="29"/>
        <v>0</v>
      </c>
      <c r="FY51" s="155">
        <f>IF(MatchDay!$C$2="LOWER",COUNTA(FF51:FH51),0)</f>
        <v>0</v>
      </c>
      <c r="GA51" s="157" t="s">
        <v>912</v>
      </c>
      <c r="GB51" s="177"/>
      <c r="GC51" s="165"/>
      <c r="GD51" s="177"/>
      <c r="GE51" s="344"/>
      <c r="GF51" s="177"/>
      <c r="GG51" s="165"/>
      <c r="GH51" s="177"/>
      <c r="GI51" s="158"/>
      <c r="GJ51" s="180"/>
      <c r="GK51" s="180"/>
      <c r="GL51" s="180"/>
      <c r="GM51" s="345"/>
      <c r="GN51" s="345"/>
      <c r="GO51" s="177"/>
      <c r="GP51" s="158"/>
      <c r="GQ51" s="177"/>
      <c r="GR51" s="180"/>
      <c r="GS51" s="158"/>
      <c r="GT51" s="344"/>
      <c r="GU51" s="158"/>
      <c r="GV51" s="345"/>
      <c r="GW51" s="155">
        <f t="shared" si="30"/>
        <v>0</v>
      </c>
      <c r="GX51" s="155">
        <f t="shared" si="31"/>
        <v>0</v>
      </c>
      <c r="GY51" s="155">
        <f>IF(MatchDay!$C$2="LOWER",COUNTA(GF51:GH51),0)</f>
        <v>0</v>
      </c>
    </row>
    <row r="52" spans="1:207" ht="16.5" customHeight="1" x14ac:dyDescent="0.45">
      <c r="A52" s="157" t="s">
        <v>912</v>
      </c>
      <c r="B52" s="171"/>
      <c r="C52" s="165"/>
      <c r="D52" s="171"/>
      <c r="E52" s="344"/>
      <c r="F52" s="171"/>
      <c r="G52" s="165"/>
      <c r="H52" s="171"/>
      <c r="I52" s="158"/>
      <c r="J52" s="180"/>
      <c r="K52" s="180"/>
      <c r="L52" s="180"/>
      <c r="M52" s="345"/>
      <c r="N52" s="345"/>
      <c r="O52" s="171"/>
      <c r="P52" s="158"/>
      <c r="Q52" s="171"/>
      <c r="R52" s="180"/>
      <c r="S52" s="158"/>
      <c r="T52" s="344"/>
      <c r="U52" s="158"/>
      <c r="V52" s="345"/>
      <c r="W52" s="155">
        <f t="shared" si="16"/>
        <v>0</v>
      </c>
      <c r="X52" s="155">
        <f t="shared" si="17"/>
        <v>0</v>
      </c>
      <c r="Y52" s="155">
        <f>IF(MatchDay!$C$2="LOWER",COUNTA(F52:H52),0)</f>
        <v>0</v>
      </c>
      <c r="AA52" s="157" t="s">
        <v>912</v>
      </c>
      <c r="AB52" s="177"/>
      <c r="AC52" s="165"/>
      <c r="AD52" s="177"/>
      <c r="AE52" s="344"/>
      <c r="AF52" s="177"/>
      <c r="AG52" s="165"/>
      <c r="AH52" s="177"/>
      <c r="AI52" s="158"/>
      <c r="AJ52" s="180"/>
      <c r="AK52" s="180"/>
      <c r="AL52" s="180"/>
      <c r="AM52" s="345"/>
      <c r="AN52" s="345"/>
      <c r="AO52" s="177"/>
      <c r="AP52" s="158"/>
      <c r="AQ52" s="177"/>
      <c r="AR52" s="180"/>
      <c r="AS52" s="158"/>
      <c r="AT52" s="344"/>
      <c r="AU52" s="158"/>
      <c r="AV52" s="345"/>
      <c r="AW52" s="155">
        <f t="shared" si="18"/>
        <v>0</v>
      </c>
      <c r="AX52" s="155">
        <f t="shared" si="19"/>
        <v>0</v>
      </c>
      <c r="AY52" s="155">
        <f>IF(MatchDay!$C$2="LOWER",COUNTA(AF52:AH52),0)</f>
        <v>0</v>
      </c>
      <c r="BA52" s="157" t="s">
        <v>912</v>
      </c>
      <c r="BB52" s="171"/>
      <c r="BC52" s="165"/>
      <c r="BD52" s="171"/>
      <c r="BE52" s="344"/>
      <c r="BF52" s="171"/>
      <c r="BG52" s="165"/>
      <c r="BH52" s="171"/>
      <c r="BI52" s="158"/>
      <c r="BJ52" s="180"/>
      <c r="BK52" s="180"/>
      <c r="BL52" s="180"/>
      <c r="BM52" s="345"/>
      <c r="BN52" s="345"/>
      <c r="BO52" s="171"/>
      <c r="BP52" s="158"/>
      <c r="BQ52" s="171"/>
      <c r="BR52" s="180"/>
      <c r="BS52" s="158"/>
      <c r="BT52" s="344"/>
      <c r="BU52" s="158"/>
      <c r="BV52" s="345"/>
      <c r="BW52" s="155">
        <f t="shared" si="20"/>
        <v>0</v>
      </c>
      <c r="BX52" s="155">
        <f t="shared" si="21"/>
        <v>0</v>
      </c>
      <c r="BY52" s="155">
        <f>IF(MatchDay!$C$2="LOWER",COUNTA(BF52:BH52),0)</f>
        <v>0</v>
      </c>
      <c r="CA52" s="157" t="s">
        <v>912</v>
      </c>
      <c r="CB52" s="177"/>
      <c r="CC52" s="165"/>
      <c r="CD52" s="177"/>
      <c r="CE52" s="344"/>
      <c r="CF52" s="177"/>
      <c r="CG52" s="165"/>
      <c r="CH52" s="177"/>
      <c r="CI52" s="158"/>
      <c r="CJ52" s="180"/>
      <c r="CK52" s="180"/>
      <c r="CL52" s="180"/>
      <c r="CM52" s="345"/>
      <c r="CN52" s="345"/>
      <c r="CO52" s="177"/>
      <c r="CP52" s="158"/>
      <c r="CQ52" s="177"/>
      <c r="CR52" s="180"/>
      <c r="CS52" s="158"/>
      <c r="CT52" s="344"/>
      <c r="CU52" s="158"/>
      <c r="CV52" s="345"/>
      <c r="CW52" s="155">
        <f t="shared" si="22"/>
        <v>0</v>
      </c>
      <c r="CX52" s="155">
        <f t="shared" si="23"/>
        <v>0</v>
      </c>
      <c r="CY52" s="155">
        <f>IF(MatchDay!$C$2="LOWER",COUNTA(CF52:CH52),0)</f>
        <v>0</v>
      </c>
      <c r="DA52" s="157" t="s">
        <v>912</v>
      </c>
      <c r="DB52" s="171"/>
      <c r="DC52" s="165"/>
      <c r="DD52" s="171"/>
      <c r="DE52" s="344"/>
      <c r="DF52" s="171"/>
      <c r="DG52" s="165"/>
      <c r="DH52" s="171"/>
      <c r="DI52" s="158"/>
      <c r="DJ52" s="180"/>
      <c r="DK52" s="180"/>
      <c r="DL52" s="180"/>
      <c r="DM52" s="345"/>
      <c r="DN52" s="345"/>
      <c r="DO52" s="171"/>
      <c r="DP52" s="158"/>
      <c r="DQ52" s="171"/>
      <c r="DR52" s="180"/>
      <c r="DS52" s="158"/>
      <c r="DT52" s="344"/>
      <c r="DU52" s="158"/>
      <c r="DV52" s="345"/>
      <c r="DW52" s="155">
        <f t="shared" si="24"/>
        <v>0</v>
      </c>
      <c r="DX52" s="155">
        <f t="shared" si="25"/>
        <v>0</v>
      </c>
      <c r="DY52" s="155">
        <f>IF(MatchDay!$C$2="LOWER",COUNTA(DF52:DH52),0)</f>
        <v>0</v>
      </c>
      <c r="EA52" s="157" t="s">
        <v>912</v>
      </c>
      <c r="EB52" s="177"/>
      <c r="EC52" s="165"/>
      <c r="ED52" s="177"/>
      <c r="EE52" s="344"/>
      <c r="EF52" s="177"/>
      <c r="EG52" s="165"/>
      <c r="EH52" s="177"/>
      <c r="EI52" s="158"/>
      <c r="EJ52" s="180"/>
      <c r="EK52" s="180"/>
      <c r="EL52" s="180"/>
      <c r="EM52" s="345"/>
      <c r="EN52" s="345"/>
      <c r="EO52" s="177"/>
      <c r="EP52" s="158"/>
      <c r="EQ52" s="177"/>
      <c r="ER52" s="180"/>
      <c r="ES52" s="158"/>
      <c r="ET52" s="344"/>
      <c r="EU52" s="158"/>
      <c r="EV52" s="345"/>
      <c r="EW52" s="155">
        <f t="shared" si="26"/>
        <v>0</v>
      </c>
      <c r="EX52" s="155">
        <f t="shared" si="27"/>
        <v>0</v>
      </c>
      <c r="EY52" s="155">
        <f>IF(MatchDay!$C$2="LOWER",COUNTA(EF52:EH52),0)</f>
        <v>0</v>
      </c>
      <c r="FA52" s="157" t="s">
        <v>912</v>
      </c>
      <c r="FB52" s="171"/>
      <c r="FC52" s="165"/>
      <c r="FD52" s="171"/>
      <c r="FE52" s="344"/>
      <c r="FF52" s="171"/>
      <c r="FG52" s="165"/>
      <c r="FH52" s="171"/>
      <c r="FI52" s="158"/>
      <c r="FJ52" s="180"/>
      <c r="FK52" s="180"/>
      <c r="FL52" s="180"/>
      <c r="FM52" s="345"/>
      <c r="FN52" s="345"/>
      <c r="FO52" s="171"/>
      <c r="FP52" s="158"/>
      <c r="FQ52" s="171"/>
      <c r="FR52" s="180"/>
      <c r="FS52" s="158"/>
      <c r="FT52" s="344"/>
      <c r="FU52" s="158"/>
      <c r="FV52" s="345"/>
      <c r="FW52" s="155">
        <f t="shared" si="28"/>
        <v>0</v>
      </c>
      <c r="FX52" s="155">
        <f t="shared" si="29"/>
        <v>0</v>
      </c>
      <c r="FY52" s="155">
        <f>IF(MatchDay!$C$2="LOWER",COUNTA(FF52:FH52),0)</f>
        <v>0</v>
      </c>
      <c r="GA52" s="157" t="s">
        <v>912</v>
      </c>
      <c r="GB52" s="177"/>
      <c r="GC52" s="165"/>
      <c r="GD52" s="177"/>
      <c r="GE52" s="344"/>
      <c r="GF52" s="177"/>
      <c r="GG52" s="165"/>
      <c r="GH52" s="177"/>
      <c r="GI52" s="158"/>
      <c r="GJ52" s="180"/>
      <c r="GK52" s="180"/>
      <c r="GL52" s="180"/>
      <c r="GM52" s="345"/>
      <c r="GN52" s="345"/>
      <c r="GO52" s="177"/>
      <c r="GP52" s="158"/>
      <c r="GQ52" s="177"/>
      <c r="GR52" s="180"/>
      <c r="GS52" s="158"/>
      <c r="GT52" s="344"/>
      <c r="GU52" s="158"/>
      <c r="GV52" s="345"/>
      <c r="GW52" s="155">
        <f t="shared" si="30"/>
        <v>0</v>
      </c>
      <c r="GX52" s="155">
        <f t="shared" si="31"/>
        <v>0</v>
      </c>
      <c r="GY52" s="155">
        <f>IF(MatchDay!$C$2="LOWER",COUNTA(GF52:GH52),0)</f>
        <v>0</v>
      </c>
    </row>
    <row r="53" spans="1:207" ht="16.5" customHeight="1" x14ac:dyDescent="0.45">
      <c r="A53" s="157" t="s">
        <v>912</v>
      </c>
      <c r="B53" s="171"/>
      <c r="C53" s="165"/>
      <c r="D53" s="171"/>
      <c r="E53" s="344"/>
      <c r="F53" s="171"/>
      <c r="G53" s="165"/>
      <c r="H53" s="171"/>
      <c r="I53" s="158"/>
      <c r="J53" s="180"/>
      <c r="K53" s="180"/>
      <c r="L53" s="180"/>
      <c r="M53" s="345"/>
      <c r="N53" s="345"/>
      <c r="O53" s="171"/>
      <c r="P53" s="158"/>
      <c r="Q53" s="171"/>
      <c r="R53" s="180"/>
      <c r="S53" s="158"/>
      <c r="T53" s="344"/>
      <c r="U53" s="158"/>
      <c r="V53" s="345"/>
      <c r="W53" s="155">
        <f t="shared" si="16"/>
        <v>0</v>
      </c>
      <c r="X53" s="155">
        <f t="shared" si="17"/>
        <v>0</v>
      </c>
      <c r="Y53" s="155">
        <f>IF(MatchDay!$C$2="LOWER",COUNTA(F53:H53),0)</f>
        <v>0</v>
      </c>
      <c r="AA53" s="157" t="s">
        <v>912</v>
      </c>
      <c r="AB53" s="177"/>
      <c r="AC53" s="165"/>
      <c r="AD53" s="177"/>
      <c r="AE53" s="344"/>
      <c r="AF53" s="177"/>
      <c r="AG53" s="165"/>
      <c r="AH53" s="177"/>
      <c r="AI53" s="158"/>
      <c r="AJ53" s="180"/>
      <c r="AK53" s="180"/>
      <c r="AL53" s="180"/>
      <c r="AM53" s="345"/>
      <c r="AN53" s="345"/>
      <c r="AO53" s="177"/>
      <c r="AP53" s="158"/>
      <c r="AQ53" s="177"/>
      <c r="AR53" s="180"/>
      <c r="AS53" s="158"/>
      <c r="AT53" s="344"/>
      <c r="AU53" s="158"/>
      <c r="AV53" s="345"/>
      <c r="AW53" s="155">
        <f t="shared" si="18"/>
        <v>0</v>
      </c>
      <c r="AX53" s="155">
        <f t="shared" si="19"/>
        <v>0</v>
      </c>
      <c r="AY53" s="155">
        <f>IF(MatchDay!$C$2="LOWER",COUNTA(AF53:AH53),0)</f>
        <v>0</v>
      </c>
      <c r="BA53" s="157" t="s">
        <v>912</v>
      </c>
      <c r="BB53" s="171"/>
      <c r="BC53" s="165"/>
      <c r="BD53" s="171"/>
      <c r="BE53" s="344"/>
      <c r="BF53" s="171"/>
      <c r="BG53" s="165"/>
      <c r="BH53" s="171"/>
      <c r="BI53" s="158"/>
      <c r="BJ53" s="180"/>
      <c r="BK53" s="180"/>
      <c r="BL53" s="180"/>
      <c r="BM53" s="345"/>
      <c r="BN53" s="345"/>
      <c r="BO53" s="171"/>
      <c r="BP53" s="158"/>
      <c r="BQ53" s="171"/>
      <c r="BR53" s="180"/>
      <c r="BS53" s="158"/>
      <c r="BT53" s="344"/>
      <c r="BU53" s="158"/>
      <c r="BV53" s="345"/>
      <c r="BW53" s="155">
        <f t="shared" si="20"/>
        <v>0</v>
      </c>
      <c r="BX53" s="155">
        <f t="shared" si="21"/>
        <v>0</v>
      </c>
      <c r="BY53" s="155">
        <f>IF(MatchDay!$C$2="LOWER",COUNTA(BF53:BH53),0)</f>
        <v>0</v>
      </c>
      <c r="CA53" s="157" t="s">
        <v>912</v>
      </c>
      <c r="CB53" s="177"/>
      <c r="CC53" s="165"/>
      <c r="CD53" s="177"/>
      <c r="CE53" s="344"/>
      <c r="CF53" s="177"/>
      <c r="CG53" s="165"/>
      <c r="CH53" s="177"/>
      <c r="CI53" s="158"/>
      <c r="CJ53" s="180"/>
      <c r="CK53" s="180"/>
      <c r="CL53" s="180"/>
      <c r="CM53" s="345"/>
      <c r="CN53" s="345"/>
      <c r="CO53" s="177"/>
      <c r="CP53" s="158"/>
      <c r="CQ53" s="177"/>
      <c r="CR53" s="180"/>
      <c r="CS53" s="158"/>
      <c r="CT53" s="344"/>
      <c r="CU53" s="158"/>
      <c r="CV53" s="345"/>
      <c r="CW53" s="155">
        <f t="shared" si="22"/>
        <v>0</v>
      </c>
      <c r="CX53" s="155">
        <f t="shared" si="23"/>
        <v>0</v>
      </c>
      <c r="CY53" s="155">
        <f>IF(MatchDay!$C$2="LOWER",COUNTA(CF53:CH53),0)</f>
        <v>0</v>
      </c>
      <c r="DA53" s="157" t="s">
        <v>912</v>
      </c>
      <c r="DB53" s="171"/>
      <c r="DC53" s="165"/>
      <c r="DD53" s="171"/>
      <c r="DE53" s="344"/>
      <c r="DF53" s="171"/>
      <c r="DG53" s="165"/>
      <c r="DH53" s="171"/>
      <c r="DI53" s="158"/>
      <c r="DJ53" s="180"/>
      <c r="DK53" s="180"/>
      <c r="DL53" s="180"/>
      <c r="DM53" s="345"/>
      <c r="DN53" s="345"/>
      <c r="DO53" s="171"/>
      <c r="DP53" s="158"/>
      <c r="DQ53" s="171"/>
      <c r="DR53" s="180"/>
      <c r="DS53" s="158"/>
      <c r="DT53" s="344"/>
      <c r="DU53" s="158"/>
      <c r="DV53" s="345"/>
      <c r="DW53" s="155">
        <f t="shared" si="24"/>
        <v>0</v>
      </c>
      <c r="DX53" s="155">
        <f t="shared" si="25"/>
        <v>0</v>
      </c>
      <c r="DY53" s="155">
        <f>IF(MatchDay!$C$2="LOWER",COUNTA(DF53:DH53),0)</f>
        <v>0</v>
      </c>
      <c r="EA53" s="157" t="s">
        <v>912</v>
      </c>
      <c r="EB53" s="177"/>
      <c r="EC53" s="165"/>
      <c r="ED53" s="177"/>
      <c r="EE53" s="344"/>
      <c r="EF53" s="177"/>
      <c r="EG53" s="165"/>
      <c r="EH53" s="177"/>
      <c r="EI53" s="158"/>
      <c r="EJ53" s="180"/>
      <c r="EK53" s="180"/>
      <c r="EL53" s="180"/>
      <c r="EM53" s="345"/>
      <c r="EN53" s="345"/>
      <c r="EO53" s="177"/>
      <c r="EP53" s="158"/>
      <c r="EQ53" s="177"/>
      <c r="ER53" s="180"/>
      <c r="ES53" s="158"/>
      <c r="ET53" s="344"/>
      <c r="EU53" s="158"/>
      <c r="EV53" s="345"/>
      <c r="EW53" s="155">
        <f t="shared" si="26"/>
        <v>0</v>
      </c>
      <c r="EX53" s="155">
        <f t="shared" si="27"/>
        <v>0</v>
      </c>
      <c r="EY53" s="155">
        <f>IF(MatchDay!$C$2="LOWER",COUNTA(EF53:EH53),0)</f>
        <v>0</v>
      </c>
      <c r="FA53" s="157" t="s">
        <v>912</v>
      </c>
      <c r="FB53" s="171"/>
      <c r="FC53" s="165"/>
      <c r="FD53" s="171"/>
      <c r="FE53" s="344"/>
      <c r="FF53" s="171"/>
      <c r="FG53" s="165"/>
      <c r="FH53" s="171"/>
      <c r="FI53" s="158"/>
      <c r="FJ53" s="180"/>
      <c r="FK53" s="180"/>
      <c r="FL53" s="180"/>
      <c r="FM53" s="345"/>
      <c r="FN53" s="345"/>
      <c r="FO53" s="171"/>
      <c r="FP53" s="158"/>
      <c r="FQ53" s="171"/>
      <c r="FR53" s="180"/>
      <c r="FS53" s="158"/>
      <c r="FT53" s="344"/>
      <c r="FU53" s="158"/>
      <c r="FV53" s="345"/>
      <c r="FW53" s="155">
        <f t="shared" si="28"/>
        <v>0</v>
      </c>
      <c r="FX53" s="155">
        <f t="shared" si="29"/>
        <v>0</v>
      </c>
      <c r="FY53" s="155">
        <f>IF(MatchDay!$C$2="LOWER",COUNTA(FF53:FH53),0)</f>
        <v>0</v>
      </c>
      <c r="GA53" s="157" t="s">
        <v>912</v>
      </c>
      <c r="GB53" s="177"/>
      <c r="GC53" s="165"/>
      <c r="GD53" s="177"/>
      <c r="GE53" s="344"/>
      <c r="GF53" s="177"/>
      <c r="GG53" s="165"/>
      <c r="GH53" s="177"/>
      <c r="GI53" s="158"/>
      <c r="GJ53" s="180"/>
      <c r="GK53" s="180"/>
      <c r="GL53" s="180"/>
      <c r="GM53" s="345"/>
      <c r="GN53" s="345"/>
      <c r="GO53" s="177"/>
      <c r="GP53" s="158"/>
      <c r="GQ53" s="177"/>
      <c r="GR53" s="180"/>
      <c r="GS53" s="158"/>
      <c r="GT53" s="344"/>
      <c r="GU53" s="158"/>
      <c r="GV53" s="345"/>
      <c r="GW53" s="155">
        <f t="shared" si="30"/>
        <v>0</v>
      </c>
      <c r="GX53" s="155">
        <f t="shared" si="31"/>
        <v>0</v>
      </c>
      <c r="GY53" s="155">
        <f>IF(MatchDay!$C$2="LOWER",COUNTA(GF53:GH53),0)</f>
        <v>0</v>
      </c>
    </row>
    <row r="54" spans="1:207" ht="16.5" customHeight="1" x14ac:dyDescent="0.45">
      <c r="A54" s="157" t="s">
        <v>912</v>
      </c>
      <c r="B54" s="171"/>
      <c r="C54" s="165"/>
      <c r="D54" s="171"/>
      <c r="E54" s="344"/>
      <c r="F54" s="171"/>
      <c r="G54" s="165"/>
      <c r="H54" s="171"/>
      <c r="I54" s="158"/>
      <c r="J54" s="180"/>
      <c r="K54" s="180"/>
      <c r="L54" s="180"/>
      <c r="M54" s="345"/>
      <c r="N54" s="345"/>
      <c r="O54" s="171"/>
      <c r="P54" s="158"/>
      <c r="Q54" s="171"/>
      <c r="R54" s="180"/>
      <c r="S54" s="158"/>
      <c r="T54" s="344"/>
      <c r="U54" s="158"/>
      <c r="V54" s="345"/>
      <c r="W54" s="155">
        <f t="shared" si="16"/>
        <v>0</v>
      </c>
      <c r="X54" s="155">
        <f t="shared" si="17"/>
        <v>0</v>
      </c>
      <c r="Y54" s="155">
        <f>IF(MatchDay!$C$2="LOWER",COUNTA(F54:H54),0)</f>
        <v>0</v>
      </c>
      <c r="AA54" s="157" t="s">
        <v>912</v>
      </c>
      <c r="AB54" s="177"/>
      <c r="AC54" s="165"/>
      <c r="AD54" s="177"/>
      <c r="AE54" s="344"/>
      <c r="AF54" s="177"/>
      <c r="AG54" s="165"/>
      <c r="AH54" s="177"/>
      <c r="AI54" s="158"/>
      <c r="AJ54" s="180"/>
      <c r="AK54" s="180"/>
      <c r="AL54" s="180"/>
      <c r="AM54" s="345"/>
      <c r="AN54" s="345"/>
      <c r="AO54" s="177"/>
      <c r="AP54" s="158"/>
      <c r="AQ54" s="177"/>
      <c r="AR54" s="180"/>
      <c r="AS54" s="158"/>
      <c r="AT54" s="344"/>
      <c r="AU54" s="158"/>
      <c r="AV54" s="345"/>
      <c r="AW54" s="155">
        <f t="shared" si="18"/>
        <v>0</v>
      </c>
      <c r="AX54" s="155">
        <f t="shared" si="19"/>
        <v>0</v>
      </c>
      <c r="AY54" s="155">
        <f>IF(MatchDay!$C$2="LOWER",COUNTA(AF54:AH54),0)</f>
        <v>0</v>
      </c>
      <c r="BA54" s="157" t="s">
        <v>912</v>
      </c>
      <c r="BB54" s="171"/>
      <c r="BC54" s="165"/>
      <c r="BD54" s="171"/>
      <c r="BE54" s="344"/>
      <c r="BF54" s="171"/>
      <c r="BG54" s="165"/>
      <c r="BH54" s="171"/>
      <c r="BI54" s="158"/>
      <c r="BJ54" s="180"/>
      <c r="BK54" s="180"/>
      <c r="BL54" s="180"/>
      <c r="BM54" s="345"/>
      <c r="BN54" s="345"/>
      <c r="BO54" s="171"/>
      <c r="BP54" s="158"/>
      <c r="BQ54" s="171"/>
      <c r="BR54" s="180"/>
      <c r="BS54" s="158"/>
      <c r="BT54" s="344"/>
      <c r="BU54" s="158"/>
      <c r="BV54" s="345"/>
      <c r="BW54" s="155">
        <f t="shared" si="20"/>
        <v>0</v>
      </c>
      <c r="BX54" s="155">
        <f t="shared" si="21"/>
        <v>0</v>
      </c>
      <c r="BY54" s="155">
        <f>IF(MatchDay!$C$2="LOWER",COUNTA(BF54:BH54),0)</f>
        <v>0</v>
      </c>
      <c r="CA54" s="157" t="s">
        <v>912</v>
      </c>
      <c r="CB54" s="177"/>
      <c r="CC54" s="165"/>
      <c r="CD54" s="177"/>
      <c r="CE54" s="344"/>
      <c r="CF54" s="177"/>
      <c r="CG54" s="165"/>
      <c r="CH54" s="177"/>
      <c r="CI54" s="158"/>
      <c r="CJ54" s="180"/>
      <c r="CK54" s="180"/>
      <c r="CL54" s="180"/>
      <c r="CM54" s="345"/>
      <c r="CN54" s="345"/>
      <c r="CO54" s="177"/>
      <c r="CP54" s="158"/>
      <c r="CQ54" s="177"/>
      <c r="CR54" s="180"/>
      <c r="CS54" s="158"/>
      <c r="CT54" s="344"/>
      <c r="CU54" s="158"/>
      <c r="CV54" s="345"/>
      <c r="CW54" s="155">
        <f t="shared" si="22"/>
        <v>0</v>
      </c>
      <c r="CX54" s="155">
        <f t="shared" si="23"/>
        <v>0</v>
      </c>
      <c r="CY54" s="155">
        <f>IF(MatchDay!$C$2="LOWER",COUNTA(CF54:CH54),0)</f>
        <v>0</v>
      </c>
      <c r="DA54" s="157" t="s">
        <v>912</v>
      </c>
      <c r="DB54" s="171"/>
      <c r="DC54" s="165"/>
      <c r="DD54" s="171"/>
      <c r="DE54" s="344"/>
      <c r="DF54" s="171"/>
      <c r="DG54" s="165"/>
      <c r="DH54" s="171"/>
      <c r="DI54" s="158"/>
      <c r="DJ54" s="180"/>
      <c r="DK54" s="180"/>
      <c r="DL54" s="180"/>
      <c r="DM54" s="345"/>
      <c r="DN54" s="345"/>
      <c r="DO54" s="171"/>
      <c r="DP54" s="158"/>
      <c r="DQ54" s="171"/>
      <c r="DR54" s="180"/>
      <c r="DS54" s="158"/>
      <c r="DT54" s="344"/>
      <c r="DU54" s="158"/>
      <c r="DV54" s="345"/>
      <c r="DW54" s="155">
        <f t="shared" si="24"/>
        <v>0</v>
      </c>
      <c r="DX54" s="155">
        <f t="shared" si="25"/>
        <v>0</v>
      </c>
      <c r="DY54" s="155">
        <f>IF(MatchDay!$C$2="LOWER",COUNTA(DF54:DH54),0)</f>
        <v>0</v>
      </c>
      <c r="EA54" s="157" t="s">
        <v>912</v>
      </c>
      <c r="EB54" s="177"/>
      <c r="EC54" s="165"/>
      <c r="ED54" s="177"/>
      <c r="EE54" s="344"/>
      <c r="EF54" s="177"/>
      <c r="EG54" s="165"/>
      <c r="EH54" s="177"/>
      <c r="EI54" s="158"/>
      <c r="EJ54" s="180"/>
      <c r="EK54" s="180"/>
      <c r="EL54" s="180"/>
      <c r="EM54" s="345"/>
      <c r="EN54" s="345"/>
      <c r="EO54" s="177"/>
      <c r="EP54" s="158"/>
      <c r="EQ54" s="177"/>
      <c r="ER54" s="180"/>
      <c r="ES54" s="158"/>
      <c r="ET54" s="344"/>
      <c r="EU54" s="158"/>
      <c r="EV54" s="345"/>
      <c r="EW54" s="155">
        <f t="shared" si="26"/>
        <v>0</v>
      </c>
      <c r="EX54" s="155">
        <f t="shared" si="27"/>
        <v>0</v>
      </c>
      <c r="EY54" s="155">
        <f>IF(MatchDay!$C$2="LOWER",COUNTA(EF54:EH54),0)</f>
        <v>0</v>
      </c>
      <c r="FA54" s="157" t="s">
        <v>912</v>
      </c>
      <c r="FB54" s="171"/>
      <c r="FC54" s="165"/>
      <c r="FD54" s="171"/>
      <c r="FE54" s="344"/>
      <c r="FF54" s="171"/>
      <c r="FG54" s="165"/>
      <c r="FH54" s="171"/>
      <c r="FI54" s="158"/>
      <c r="FJ54" s="180"/>
      <c r="FK54" s="180"/>
      <c r="FL54" s="180"/>
      <c r="FM54" s="345"/>
      <c r="FN54" s="345"/>
      <c r="FO54" s="171"/>
      <c r="FP54" s="158"/>
      <c r="FQ54" s="171"/>
      <c r="FR54" s="180"/>
      <c r="FS54" s="158"/>
      <c r="FT54" s="344"/>
      <c r="FU54" s="158"/>
      <c r="FV54" s="345"/>
      <c r="FW54" s="155">
        <f t="shared" si="28"/>
        <v>0</v>
      </c>
      <c r="FX54" s="155">
        <f t="shared" si="29"/>
        <v>0</v>
      </c>
      <c r="FY54" s="155">
        <f>IF(MatchDay!$C$2="LOWER",COUNTA(FF54:FH54),0)</f>
        <v>0</v>
      </c>
      <c r="GA54" s="157" t="s">
        <v>912</v>
      </c>
      <c r="GB54" s="177"/>
      <c r="GC54" s="165"/>
      <c r="GD54" s="177"/>
      <c r="GE54" s="344"/>
      <c r="GF54" s="177"/>
      <c r="GG54" s="165"/>
      <c r="GH54" s="177"/>
      <c r="GI54" s="158"/>
      <c r="GJ54" s="180"/>
      <c r="GK54" s="180"/>
      <c r="GL54" s="180"/>
      <c r="GM54" s="345"/>
      <c r="GN54" s="345"/>
      <c r="GO54" s="177"/>
      <c r="GP54" s="158"/>
      <c r="GQ54" s="177"/>
      <c r="GR54" s="180"/>
      <c r="GS54" s="158"/>
      <c r="GT54" s="344"/>
      <c r="GU54" s="158"/>
      <c r="GV54" s="345"/>
      <c r="GW54" s="155">
        <f t="shared" si="30"/>
        <v>0</v>
      </c>
      <c r="GX54" s="155">
        <f t="shared" si="31"/>
        <v>0</v>
      </c>
      <c r="GY54" s="155">
        <f>IF(MatchDay!$C$2="LOWER",COUNTA(GF54:GH54),0)</f>
        <v>0</v>
      </c>
    </row>
    <row r="55" spans="1:207" ht="16.5" customHeight="1" x14ac:dyDescent="0.45">
      <c r="A55" s="157" t="s">
        <v>912</v>
      </c>
      <c r="B55" s="171"/>
      <c r="C55" s="165"/>
      <c r="D55" s="171"/>
      <c r="E55" s="344"/>
      <c r="F55" s="171"/>
      <c r="G55" s="165"/>
      <c r="H55" s="171"/>
      <c r="I55" s="158"/>
      <c r="J55" s="180"/>
      <c r="K55" s="180"/>
      <c r="L55" s="180"/>
      <c r="M55" s="345"/>
      <c r="N55" s="345"/>
      <c r="O55" s="171"/>
      <c r="P55" s="158"/>
      <c r="Q55" s="171"/>
      <c r="R55" s="180"/>
      <c r="S55" s="158"/>
      <c r="T55" s="344"/>
      <c r="U55" s="158"/>
      <c r="V55" s="345"/>
      <c r="W55" s="155">
        <f t="shared" si="16"/>
        <v>0</v>
      </c>
      <c r="X55" s="155">
        <f t="shared" si="17"/>
        <v>0</v>
      </c>
      <c r="Y55" s="155">
        <f>IF(MatchDay!$C$2="LOWER",COUNTA(F55:H55),0)</f>
        <v>0</v>
      </c>
      <c r="AA55" s="157" t="s">
        <v>912</v>
      </c>
      <c r="AB55" s="177"/>
      <c r="AC55" s="165"/>
      <c r="AD55" s="177"/>
      <c r="AE55" s="344"/>
      <c r="AF55" s="177"/>
      <c r="AG55" s="165"/>
      <c r="AH55" s="177"/>
      <c r="AI55" s="158"/>
      <c r="AJ55" s="180"/>
      <c r="AK55" s="180"/>
      <c r="AL55" s="180"/>
      <c r="AM55" s="345"/>
      <c r="AN55" s="345"/>
      <c r="AO55" s="177"/>
      <c r="AP55" s="158"/>
      <c r="AQ55" s="177"/>
      <c r="AR55" s="180"/>
      <c r="AS55" s="158"/>
      <c r="AT55" s="344"/>
      <c r="AU55" s="158"/>
      <c r="AV55" s="345"/>
      <c r="AW55" s="155">
        <f t="shared" si="18"/>
        <v>0</v>
      </c>
      <c r="AX55" s="155">
        <f t="shared" si="19"/>
        <v>0</v>
      </c>
      <c r="AY55" s="155">
        <f>IF(MatchDay!$C$2="LOWER",COUNTA(AF55:AH55),0)</f>
        <v>0</v>
      </c>
      <c r="BA55" s="157" t="s">
        <v>912</v>
      </c>
      <c r="BB55" s="171"/>
      <c r="BC55" s="165"/>
      <c r="BD55" s="171"/>
      <c r="BE55" s="344"/>
      <c r="BF55" s="171"/>
      <c r="BG55" s="165"/>
      <c r="BH55" s="171"/>
      <c r="BI55" s="158"/>
      <c r="BJ55" s="180"/>
      <c r="BK55" s="180"/>
      <c r="BL55" s="180"/>
      <c r="BM55" s="345"/>
      <c r="BN55" s="345"/>
      <c r="BO55" s="171"/>
      <c r="BP55" s="158"/>
      <c r="BQ55" s="171"/>
      <c r="BR55" s="180"/>
      <c r="BS55" s="158"/>
      <c r="BT55" s="344"/>
      <c r="BU55" s="158"/>
      <c r="BV55" s="345"/>
      <c r="BW55" s="155">
        <f t="shared" si="20"/>
        <v>0</v>
      </c>
      <c r="BX55" s="155">
        <f t="shared" si="21"/>
        <v>0</v>
      </c>
      <c r="BY55" s="155">
        <f>IF(MatchDay!$C$2="LOWER",COUNTA(BF55:BH55),0)</f>
        <v>0</v>
      </c>
      <c r="CA55" s="157" t="s">
        <v>912</v>
      </c>
      <c r="CB55" s="177"/>
      <c r="CC55" s="165"/>
      <c r="CD55" s="177"/>
      <c r="CE55" s="344"/>
      <c r="CF55" s="177"/>
      <c r="CG55" s="165"/>
      <c r="CH55" s="177"/>
      <c r="CI55" s="158"/>
      <c r="CJ55" s="180"/>
      <c r="CK55" s="180"/>
      <c r="CL55" s="180"/>
      <c r="CM55" s="345"/>
      <c r="CN55" s="345"/>
      <c r="CO55" s="177"/>
      <c r="CP55" s="158"/>
      <c r="CQ55" s="177"/>
      <c r="CR55" s="180"/>
      <c r="CS55" s="158"/>
      <c r="CT55" s="344"/>
      <c r="CU55" s="158"/>
      <c r="CV55" s="345"/>
      <c r="CW55" s="155">
        <f t="shared" si="22"/>
        <v>0</v>
      </c>
      <c r="CX55" s="155">
        <f t="shared" si="23"/>
        <v>0</v>
      </c>
      <c r="CY55" s="155">
        <f>IF(MatchDay!$C$2="LOWER",COUNTA(CF55:CH55),0)</f>
        <v>0</v>
      </c>
      <c r="DA55" s="157" t="s">
        <v>912</v>
      </c>
      <c r="DB55" s="171"/>
      <c r="DC55" s="165"/>
      <c r="DD55" s="171"/>
      <c r="DE55" s="344"/>
      <c r="DF55" s="171"/>
      <c r="DG55" s="165"/>
      <c r="DH55" s="171"/>
      <c r="DI55" s="158"/>
      <c r="DJ55" s="180"/>
      <c r="DK55" s="180"/>
      <c r="DL55" s="180"/>
      <c r="DM55" s="345"/>
      <c r="DN55" s="345"/>
      <c r="DO55" s="171"/>
      <c r="DP55" s="158"/>
      <c r="DQ55" s="171"/>
      <c r="DR55" s="180"/>
      <c r="DS55" s="158"/>
      <c r="DT55" s="344"/>
      <c r="DU55" s="158"/>
      <c r="DV55" s="345"/>
      <c r="DW55" s="155">
        <f t="shared" si="24"/>
        <v>0</v>
      </c>
      <c r="DX55" s="155">
        <f t="shared" si="25"/>
        <v>0</v>
      </c>
      <c r="DY55" s="155">
        <f>IF(MatchDay!$C$2="LOWER",COUNTA(DF55:DH55),0)</f>
        <v>0</v>
      </c>
      <c r="EA55" s="157" t="s">
        <v>912</v>
      </c>
      <c r="EB55" s="177"/>
      <c r="EC55" s="165"/>
      <c r="ED55" s="177"/>
      <c r="EE55" s="344"/>
      <c r="EF55" s="177"/>
      <c r="EG55" s="165"/>
      <c r="EH55" s="177"/>
      <c r="EI55" s="158"/>
      <c r="EJ55" s="180"/>
      <c r="EK55" s="180"/>
      <c r="EL55" s="180"/>
      <c r="EM55" s="345"/>
      <c r="EN55" s="345"/>
      <c r="EO55" s="177"/>
      <c r="EP55" s="158"/>
      <c r="EQ55" s="177"/>
      <c r="ER55" s="180"/>
      <c r="ES55" s="158"/>
      <c r="ET55" s="344"/>
      <c r="EU55" s="158"/>
      <c r="EV55" s="345"/>
      <c r="EW55" s="155">
        <f t="shared" si="26"/>
        <v>0</v>
      </c>
      <c r="EX55" s="155">
        <f t="shared" si="27"/>
        <v>0</v>
      </c>
      <c r="EY55" s="155">
        <f>IF(MatchDay!$C$2="LOWER",COUNTA(EF55:EH55),0)</f>
        <v>0</v>
      </c>
      <c r="FA55" s="157" t="s">
        <v>912</v>
      </c>
      <c r="FB55" s="171"/>
      <c r="FC55" s="165"/>
      <c r="FD55" s="171"/>
      <c r="FE55" s="344"/>
      <c r="FF55" s="171"/>
      <c r="FG55" s="165"/>
      <c r="FH55" s="171"/>
      <c r="FI55" s="158"/>
      <c r="FJ55" s="180"/>
      <c r="FK55" s="180"/>
      <c r="FL55" s="180"/>
      <c r="FM55" s="345"/>
      <c r="FN55" s="345"/>
      <c r="FO55" s="171"/>
      <c r="FP55" s="158"/>
      <c r="FQ55" s="171"/>
      <c r="FR55" s="180"/>
      <c r="FS55" s="158"/>
      <c r="FT55" s="344"/>
      <c r="FU55" s="158"/>
      <c r="FV55" s="345"/>
      <c r="FW55" s="155">
        <f t="shared" si="28"/>
        <v>0</v>
      </c>
      <c r="FX55" s="155">
        <f t="shared" si="29"/>
        <v>0</v>
      </c>
      <c r="FY55" s="155">
        <f>IF(MatchDay!$C$2="LOWER",COUNTA(FF55:FH55),0)</f>
        <v>0</v>
      </c>
      <c r="GA55" s="157" t="s">
        <v>912</v>
      </c>
      <c r="GB55" s="177"/>
      <c r="GC55" s="165"/>
      <c r="GD55" s="177"/>
      <c r="GE55" s="344"/>
      <c r="GF55" s="177"/>
      <c r="GG55" s="165"/>
      <c r="GH55" s="177"/>
      <c r="GI55" s="158"/>
      <c r="GJ55" s="180"/>
      <c r="GK55" s="180"/>
      <c r="GL55" s="180"/>
      <c r="GM55" s="345"/>
      <c r="GN55" s="345"/>
      <c r="GO55" s="177"/>
      <c r="GP55" s="158"/>
      <c r="GQ55" s="177"/>
      <c r="GR55" s="180"/>
      <c r="GS55" s="158"/>
      <c r="GT55" s="344"/>
      <c r="GU55" s="158"/>
      <c r="GV55" s="345"/>
      <c r="GW55" s="155">
        <f t="shared" si="30"/>
        <v>0</v>
      </c>
      <c r="GX55" s="155">
        <f t="shared" si="31"/>
        <v>0</v>
      </c>
      <c r="GY55" s="155">
        <f>IF(MatchDay!$C$2="LOWER",COUNTA(GF55:GH55),0)</f>
        <v>0</v>
      </c>
    </row>
    <row r="56" spans="1:207" ht="16.5" customHeight="1" x14ac:dyDescent="0.45">
      <c r="A56" s="157" t="s">
        <v>912</v>
      </c>
      <c r="B56" s="171"/>
      <c r="C56" s="165"/>
      <c r="D56" s="171"/>
      <c r="E56" s="344"/>
      <c r="F56" s="171"/>
      <c r="G56" s="165"/>
      <c r="H56" s="171"/>
      <c r="I56" s="158"/>
      <c r="J56" s="180"/>
      <c r="K56" s="180"/>
      <c r="L56" s="180"/>
      <c r="M56" s="345"/>
      <c r="N56" s="345"/>
      <c r="O56" s="171"/>
      <c r="P56" s="158"/>
      <c r="Q56" s="171"/>
      <c r="R56" s="180"/>
      <c r="S56" s="158"/>
      <c r="T56" s="344"/>
      <c r="U56" s="158"/>
      <c r="V56" s="345"/>
      <c r="W56" s="155">
        <f t="shared" si="16"/>
        <v>0</v>
      </c>
      <c r="X56" s="155">
        <f t="shared" si="17"/>
        <v>0</v>
      </c>
      <c r="Y56" s="155">
        <f>IF(MatchDay!$C$2="LOWER",COUNTA(F56:H56),0)</f>
        <v>0</v>
      </c>
      <c r="AA56" s="157" t="s">
        <v>912</v>
      </c>
      <c r="AB56" s="177"/>
      <c r="AC56" s="165"/>
      <c r="AD56" s="177"/>
      <c r="AE56" s="344"/>
      <c r="AF56" s="177"/>
      <c r="AG56" s="165"/>
      <c r="AH56" s="177"/>
      <c r="AI56" s="158"/>
      <c r="AJ56" s="180"/>
      <c r="AK56" s="180"/>
      <c r="AL56" s="180"/>
      <c r="AM56" s="345"/>
      <c r="AN56" s="345"/>
      <c r="AO56" s="177"/>
      <c r="AP56" s="158"/>
      <c r="AQ56" s="177"/>
      <c r="AR56" s="180"/>
      <c r="AS56" s="158"/>
      <c r="AT56" s="344"/>
      <c r="AU56" s="158"/>
      <c r="AV56" s="345"/>
      <c r="AW56" s="155">
        <f t="shared" si="18"/>
        <v>0</v>
      </c>
      <c r="AX56" s="155">
        <f t="shared" si="19"/>
        <v>0</v>
      </c>
      <c r="AY56" s="155">
        <f>IF(MatchDay!$C$2="LOWER",COUNTA(AF56:AH56),0)</f>
        <v>0</v>
      </c>
      <c r="BA56" s="157" t="s">
        <v>912</v>
      </c>
      <c r="BB56" s="171"/>
      <c r="BC56" s="165"/>
      <c r="BD56" s="171"/>
      <c r="BE56" s="344"/>
      <c r="BF56" s="171"/>
      <c r="BG56" s="165"/>
      <c r="BH56" s="171"/>
      <c r="BI56" s="158"/>
      <c r="BJ56" s="180"/>
      <c r="BK56" s="180"/>
      <c r="BL56" s="180"/>
      <c r="BM56" s="345"/>
      <c r="BN56" s="345"/>
      <c r="BO56" s="171"/>
      <c r="BP56" s="158"/>
      <c r="BQ56" s="171"/>
      <c r="BR56" s="180"/>
      <c r="BS56" s="158"/>
      <c r="BT56" s="344"/>
      <c r="BU56" s="158"/>
      <c r="BV56" s="345"/>
      <c r="BW56" s="155">
        <f t="shared" si="20"/>
        <v>0</v>
      </c>
      <c r="BX56" s="155">
        <f t="shared" si="21"/>
        <v>0</v>
      </c>
      <c r="BY56" s="155">
        <f>IF(MatchDay!$C$2="LOWER",COUNTA(BF56:BH56),0)</f>
        <v>0</v>
      </c>
      <c r="CA56" s="157" t="s">
        <v>912</v>
      </c>
      <c r="CB56" s="177"/>
      <c r="CC56" s="165"/>
      <c r="CD56" s="177"/>
      <c r="CE56" s="344"/>
      <c r="CF56" s="177"/>
      <c r="CG56" s="165"/>
      <c r="CH56" s="177"/>
      <c r="CI56" s="158"/>
      <c r="CJ56" s="180"/>
      <c r="CK56" s="180"/>
      <c r="CL56" s="180"/>
      <c r="CM56" s="345"/>
      <c r="CN56" s="345"/>
      <c r="CO56" s="177"/>
      <c r="CP56" s="158"/>
      <c r="CQ56" s="177"/>
      <c r="CR56" s="180"/>
      <c r="CS56" s="158"/>
      <c r="CT56" s="344"/>
      <c r="CU56" s="158"/>
      <c r="CV56" s="345"/>
      <c r="CW56" s="155">
        <f t="shared" si="22"/>
        <v>0</v>
      </c>
      <c r="CX56" s="155">
        <f t="shared" si="23"/>
        <v>0</v>
      </c>
      <c r="CY56" s="155">
        <f>IF(MatchDay!$C$2="LOWER",COUNTA(CF56:CH56),0)</f>
        <v>0</v>
      </c>
      <c r="DA56" s="157" t="s">
        <v>912</v>
      </c>
      <c r="DB56" s="171"/>
      <c r="DC56" s="165"/>
      <c r="DD56" s="171"/>
      <c r="DE56" s="344"/>
      <c r="DF56" s="171"/>
      <c r="DG56" s="165"/>
      <c r="DH56" s="171"/>
      <c r="DI56" s="158"/>
      <c r="DJ56" s="180"/>
      <c r="DK56" s="180"/>
      <c r="DL56" s="180"/>
      <c r="DM56" s="345"/>
      <c r="DN56" s="345"/>
      <c r="DO56" s="171"/>
      <c r="DP56" s="158"/>
      <c r="DQ56" s="171"/>
      <c r="DR56" s="180"/>
      <c r="DS56" s="158"/>
      <c r="DT56" s="344"/>
      <c r="DU56" s="158"/>
      <c r="DV56" s="345"/>
      <c r="DW56" s="155">
        <f t="shared" si="24"/>
        <v>0</v>
      </c>
      <c r="DX56" s="155">
        <f t="shared" si="25"/>
        <v>0</v>
      </c>
      <c r="DY56" s="155">
        <f>IF(MatchDay!$C$2="LOWER",COUNTA(DF56:DH56),0)</f>
        <v>0</v>
      </c>
      <c r="EA56" s="157" t="s">
        <v>912</v>
      </c>
      <c r="EB56" s="177"/>
      <c r="EC56" s="165"/>
      <c r="ED56" s="177"/>
      <c r="EE56" s="344"/>
      <c r="EF56" s="177"/>
      <c r="EG56" s="165"/>
      <c r="EH56" s="177"/>
      <c r="EI56" s="158"/>
      <c r="EJ56" s="180"/>
      <c r="EK56" s="180"/>
      <c r="EL56" s="180"/>
      <c r="EM56" s="345"/>
      <c r="EN56" s="345"/>
      <c r="EO56" s="177"/>
      <c r="EP56" s="158"/>
      <c r="EQ56" s="177"/>
      <c r="ER56" s="180"/>
      <c r="ES56" s="158"/>
      <c r="ET56" s="344"/>
      <c r="EU56" s="158"/>
      <c r="EV56" s="345"/>
      <c r="EW56" s="155">
        <f t="shared" si="26"/>
        <v>0</v>
      </c>
      <c r="EX56" s="155">
        <f t="shared" si="27"/>
        <v>0</v>
      </c>
      <c r="EY56" s="155">
        <f>IF(MatchDay!$C$2="LOWER",COUNTA(EF56:EH56),0)</f>
        <v>0</v>
      </c>
      <c r="FA56" s="157" t="s">
        <v>912</v>
      </c>
      <c r="FB56" s="171"/>
      <c r="FC56" s="165"/>
      <c r="FD56" s="171"/>
      <c r="FE56" s="344"/>
      <c r="FF56" s="171"/>
      <c r="FG56" s="165"/>
      <c r="FH56" s="171"/>
      <c r="FI56" s="158"/>
      <c r="FJ56" s="180"/>
      <c r="FK56" s="180"/>
      <c r="FL56" s="180"/>
      <c r="FM56" s="345"/>
      <c r="FN56" s="345"/>
      <c r="FO56" s="171"/>
      <c r="FP56" s="158"/>
      <c r="FQ56" s="171"/>
      <c r="FR56" s="180"/>
      <c r="FS56" s="158"/>
      <c r="FT56" s="344"/>
      <c r="FU56" s="158"/>
      <c r="FV56" s="345"/>
      <c r="FW56" s="155">
        <f t="shared" si="28"/>
        <v>0</v>
      </c>
      <c r="FX56" s="155">
        <f t="shared" si="29"/>
        <v>0</v>
      </c>
      <c r="FY56" s="155">
        <f>IF(MatchDay!$C$2="LOWER",COUNTA(FF56:FH56),0)</f>
        <v>0</v>
      </c>
      <c r="GA56" s="157" t="s">
        <v>912</v>
      </c>
      <c r="GB56" s="177"/>
      <c r="GC56" s="165"/>
      <c r="GD56" s="177"/>
      <c r="GE56" s="344"/>
      <c r="GF56" s="177"/>
      <c r="GG56" s="165"/>
      <c r="GH56" s="177"/>
      <c r="GI56" s="158"/>
      <c r="GJ56" s="180"/>
      <c r="GK56" s="180"/>
      <c r="GL56" s="180"/>
      <c r="GM56" s="345"/>
      <c r="GN56" s="345"/>
      <c r="GO56" s="177"/>
      <c r="GP56" s="158"/>
      <c r="GQ56" s="177"/>
      <c r="GR56" s="180"/>
      <c r="GS56" s="158"/>
      <c r="GT56" s="344"/>
      <c r="GU56" s="158"/>
      <c r="GV56" s="345"/>
      <c r="GW56" s="155">
        <f t="shared" si="30"/>
        <v>0</v>
      </c>
      <c r="GX56" s="155">
        <f t="shared" si="31"/>
        <v>0</v>
      </c>
      <c r="GY56" s="155">
        <f>IF(MatchDay!$C$2="LOWER",COUNTA(GF56:GH56),0)</f>
        <v>0</v>
      </c>
    </row>
    <row r="57" spans="1:207" ht="16.5" customHeight="1" x14ac:dyDescent="0.45">
      <c r="A57" s="157" t="s">
        <v>912</v>
      </c>
      <c r="B57" s="171"/>
      <c r="C57" s="165"/>
      <c r="D57" s="171"/>
      <c r="E57" s="344"/>
      <c r="F57" s="171"/>
      <c r="G57" s="165"/>
      <c r="H57" s="171"/>
      <c r="I57" s="158"/>
      <c r="J57" s="180"/>
      <c r="K57" s="180"/>
      <c r="L57" s="180"/>
      <c r="M57" s="345"/>
      <c r="N57" s="345"/>
      <c r="O57" s="171"/>
      <c r="P57" s="158"/>
      <c r="Q57" s="171"/>
      <c r="R57" s="180"/>
      <c r="S57" s="158"/>
      <c r="T57" s="344"/>
      <c r="U57" s="158"/>
      <c r="V57" s="345"/>
      <c r="W57" s="155">
        <f t="shared" si="16"/>
        <v>0</v>
      </c>
      <c r="X57" s="155">
        <f t="shared" si="17"/>
        <v>0</v>
      </c>
      <c r="Y57" s="155">
        <f>IF(MatchDay!$C$2="LOWER",COUNTA(F57:H57),0)</f>
        <v>0</v>
      </c>
      <c r="AA57" s="157" t="s">
        <v>912</v>
      </c>
      <c r="AB57" s="177"/>
      <c r="AC57" s="165"/>
      <c r="AD57" s="177"/>
      <c r="AE57" s="344"/>
      <c r="AF57" s="177"/>
      <c r="AG57" s="165"/>
      <c r="AH57" s="177"/>
      <c r="AI57" s="158"/>
      <c r="AJ57" s="180"/>
      <c r="AK57" s="180"/>
      <c r="AL57" s="180"/>
      <c r="AM57" s="345"/>
      <c r="AN57" s="345"/>
      <c r="AO57" s="177"/>
      <c r="AP57" s="158"/>
      <c r="AQ57" s="177"/>
      <c r="AR57" s="180"/>
      <c r="AS57" s="158"/>
      <c r="AT57" s="344"/>
      <c r="AU57" s="158"/>
      <c r="AV57" s="345"/>
      <c r="AW57" s="155">
        <f t="shared" si="18"/>
        <v>0</v>
      </c>
      <c r="AX57" s="155">
        <f t="shared" si="19"/>
        <v>0</v>
      </c>
      <c r="AY57" s="155">
        <f>IF(MatchDay!$C$2="LOWER",COUNTA(AF57:AH57),0)</f>
        <v>0</v>
      </c>
      <c r="BA57" s="157" t="s">
        <v>912</v>
      </c>
      <c r="BB57" s="171"/>
      <c r="BC57" s="165"/>
      <c r="BD57" s="171"/>
      <c r="BE57" s="344"/>
      <c r="BF57" s="171"/>
      <c r="BG57" s="165"/>
      <c r="BH57" s="171"/>
      <c r="BI57" s="158"/>
      <c r="BJ57" s="180"/>
      <c r="BK57" s="180"/>
      <c r="BL57" s="180"/>
      <c r="BM57" s="345"/>
      <c r="BN57" s="345"/>
      <c r="BO57" s="171"/>
      <c r="BP57" s="158"/>
      <c r="BQ57" s="171"/>
      <c r="BR57" s="180"/>
      <c r="BS57" s="158"/>
      <c r="BT57" s="344"/>
      <c r="BU57" s="158"/>
      <c r="BV57" s="345"/>
      <c r="BW57" s="155">
        <f t="shared" si="20"/>
        <v>0</v>
      </c>
      <c r="BX57" s="155">
        <f t="shared" si="21"/>
        <v>0</v>
      </c>
      <c r="BY57" s="155">
        <f>IF(MatchDay!$C$2="LOWER",COUNTA(BF57:BH57),0)</f>
        <v>0</v>
      </c>
      <c r="CA57" s="157" t="s">
        <v>912</v>
      </c>
      <c r="CB57" s="177"/>
      <c r="CC57" s="165"/>
      <c r="CD57" s="177"/>
      <c r="CE57" s="344"/>
      <c r="CF57" s="177"/>
      <c r="CG57" s="165"/>
      <c r="CH57" s="177"/>
      <c r="CI57" s="158"/>
      <c r="CJ57" s="180"/>
      <c r="CK57" s="180"/>
      <c r="CL57" s="180"/>
      <c r="CM57" s="345"/>
      <c r="CN57" s="345"/>
      <c r="CO57" s="177"/>
      <c r="CP57" s="158"/>
      <c r="CQ57" s="177"/>
      <c r="CR57" s="180"/>
      <c r="CS57" s="158"/>
      <c r="CT57" s="344"/>
      <c r="CU57" s="158"/>
      <c r="CV57" s="345"/>
      <c r="CW57" s="155">
        <f t="shared" si="22"/>
        <v>0</v>
      </c>
      <c r="CX57" s="155">
        <f t="shared" si="23"/>
        <v>0</v>
      </c>
      <c r="CY57" s="155">
        <f>IF(MatchDay!$C$2="LOWER",COUNTA(CF57:CH57),0)</f>
        <v>0</v>
      </c>
      <c r="DA57" s="157" t="s">
        <v>912</v>
      </c>
      <c r="DB57" s="171"/>
      <c r="DC57" s="165"/>
      <c r="DD57" s="171"/>
      <c r="DE57" s="344"/>
      <c r="DF57" s="171"/>
      <c r="DG57" s="165"/>
      <c r="DH57" s="171"/>
      <c r="DI57" s="158"/>
      <c r="DJ57" s="180"/>
      <c r="DK57" s="180"/>
      <c r="DL57" s="180"/>
      <c r="DM57" s="345"/>
      <c r="DN57" s="345"/>
      <c r="DO57" s="171"/>
      <c r="DP57" s="158"/>
      <c r="DQ57" s="171"/>
      <c r="DR57" s="180"/>
      <c r="DS57" s="158"/>
      <c r="DT57" s="344"/>
      <c r="DU57" s="158"/>
      <c r="DV57" s="345"/>
      <c r="DW57" s="155">
        <f t="shared" si="24"/>
        <v>0</v>
      </c>
      <c r="DX57" s="155">
        <f t="shared" si="25"/>
        <v>0</v>
      </c>
      <c r="DY57" s="155">
        <f>IF(MatchDay!$C$2="LOWER",COUNTA(DF57:DH57),0)</f>
        <v>0</v>
      </c>
      <c r="EA57" s="157" t="s">
        <v>912</v>
      </c>
      <c r="EB57" s="177"/>
      <c r="EC57" s="165"/>
      <c r="ED57" s="177"/>
      <c r="EE57" s="344"/>
      <c r="EF57" s="177"/>
      <c r="EG57" s="165"/>
      <c r="EH57" s="177"/>
      <c r="EI57" s="158"/>
      <c r="EJ57" s="180"/>
      <c r="EK57" s="180"/>
      <c r="EL57" s="180"/>
      <c r="EM57" s="345"/>
      <c r="EN57" s="345"/>
      <c r="EO57" s="177"/>
      <c r="EP57" s="158"/>
      <c r="EQ57" s="177"/>
      <c r="ER57" s="180"/>
      <c r="ES57" s="158"/>
      <c r="ET57" s="344"/>
      <c r="EU57" s="158"/>
      <c r="EV57" s="345"/>
      <c r="EW57" s="155">
        <f t="shared" si="26"/>
        <v>0</v>
      </c>
      <c r="EX57" s="155">
        <f t="shared" si="27"/>
        <v>0</v>
      </c>
      <c r="EY57" s="155">
        <f>IF(MatchDay!$C$2="LOWER",COUNTA(EF57:EH57),0)</f>
        <v>0</v>
      </c>
      <c r="FA57" s="157" t="s">
        <v>912</v>
      </c>
      <c r="FB57" s="171"/>
      <c r="FC57" s="165"/>
      <c r="FD57" s="171"/>
      <c r="FE57" s="344"/>
      <c r="FF57" s="171"/>
      <c r="FG57" s="165"/>
      <c r="FH57" s="171"/>
      <c r="FI57" s="158"/>
      <c r="FJ57" s="180"/>
      <c r="FK57" s="180"/>
      <c r="FL57" s="180"/>
      <c r="FM57" s="345"/>
      <c r="FN57" s="345"/>
      <c r="FO57" s="171"/>
      <c r="FP57" s="158"/>
      <c r="FQ57" s="171"/>
      <c r="FR57" s="180"/>
      <c r="FS57" s="158"/>
      <c r="FT57" s="344"/>
      <c r="FU57" s="158"/>
      <c r="FV57" s="345"/>
      <c r="FW57" s="155">
        <f t="shared" si="28"/>
        <v>0</v>
      </c>
      <c r="FX57" s="155">
        <f t="shared" si="29"/>
        <v>0</v>
      </c>
      <c r="FY57" s="155">
        <f>IF(MatchDay!$C$2="LOWER",COUNTA(FF57:FH57),0)</f>
        <v>0</v>
      </c>
      <c r="GA57" s="157" t="s">
        <v>912</v>
      </c>
      <c r="GB57" s="177"/>
      <c r="GC57" s="165"/>
      <c r="GD57" s="177"/>
      <c r="GE57" s="344"/>
      <c r="GF57" s="177"/>
      <c r="GG57" s="165"/>
      <c r="GH57" s="177"/>
      <c r="GI57" s="158"/>
      <c r="GJ57" s="180"/>
      <c r="GK57" s="180"/>
      <c r="GL57" s="180"/>
      <c r="GM57" s="345"/>
      <c r="GN57" s="345"/>
      <c r="GO57" s="177"/>
      <c r="GP57" s="158"/>
      <c r="GQ57" s="177"/>
      <c r="GR57" s="180"/>
      <c r="GS57" s="158"/>
      <c r="GT57" s="344"/>
      <c r="GU57" s="158"/>
      <c r="GV57" s="345"/>
      <c r="GW57" s="155">
        <f t="shared" si="30"/>
        <v>0</v>
      </c>
      <c r="GX57" s="155">
        <f t="shared" si="31"/>
        <v>0</v>
      </c>
      <c r="GY57" s="155">
        <f>IF(MatchDay!$C$2="LOWER",COUNTA(GF57:GH57),0)</f>
        <v>0</v>
      </c>
    </row>
    <row r="58" spans="1:207" ht="16.5" customHeight="1" x14ac:dyDescent="0.45">
      <c r="A58" s="157" t="s">
        <v>912</v>
      </c>
      <c r="B58" s="171"/>
      <c r="C58" s="165"/>
      <c r="D58" s="171"/>
      <c r="E58" s="344"/>
      <c r="F58" s="171"/>
      <c r="G58" s="165"/>
      <c r="H58" s="171"/>
      <c r="I58" s="158"/>
      <c r="J58" s="180"/>
      <c r="K58" s="180"/>
      <c r="L58" s="180"/>
      <c r="M58" s="345"/>
      <c r="N58" s="345"/>
      <c r="O58" s="171"/>
      <c r="P58" s="158"/>
      <c r="Q58" s="171"/>
      <c r="R58" s="180"/>
      <c r="S58" s="158"/>
      <c r="T58" s="344"/>
      <c r="U58" s="158"/>
      <c r="V58" s="345"/>
      <c r="W58" s="155">
        <f t="shared" si="16"/>
        <v>0</v>
      </c>
      <c r="X58" s="155">
        <f t="shared" si="17"/>
        <v>0</v>
      </c>
      <c r="Y58" s="155">
        <f>IF(MatchDay!$C$2="LOWER",COUNTA(F58:H58),0)</f>
        <v>0</v>
      </c>
      <c r="AA58" s="157" t="s">
        <v>912</v>
      </c>
      <c r="AB58" s="177"/>
      <c r="AC58" s="165"/>
      <c r="AD58" s="177"/>
      <c r="AE58" s="344"/>
      <c r="AF58" s="177"/>
      <c r="AG58" s="165"/>
      <c r="AH58" s="177"/>
      <c r="AI58" s="158"/>
      <c r="AJ58" s="180"/>
      <c r="AK58" s="180"/>
      <c r="AL58" s="180"/>
      <c r="AM58" s="345"/>
      <c r="AN58" s="345"/>
      <c r="AO58" s="177"/>
      <c r="AP58" s="158"/>
      <c r="AQ58" s="177"/>
      <c r="AR58" s="180"/>
      <c r="AS58" s="158"/>
      <c r="AT58" s="344"/>
      <c r="AU58" s="158"/>
      <c r="AV58" s="345"/>
      <c r="AW58" s="155">
        <f t="shared" si="18"/>
        <v>0</v>
      </c>
      <c r="AX58" s="155">
        <f t="shared" si="19"/>
        <v>0</v>
      </c>
      <c r="AY58" s="155">
        <f>IF(MatchDay!$C$2="LOWER",COUNTA(AF58:AH58),0)</f>
        <v>0</v>
      </c>
      <c r="BA58" s="157" t="s">
        <v>912</v>
      </c>
      <c r="BB58" s="171"/>
      <c r="BC58" s="165"/>
      <c r="BD58" s="171"/>
      <c r="BE58" s="344"/>
      <c r="BF58" s="171"/>
      <c r="BG58" s="165"/>
      <c r="BH58" s="171"/>
      <c r="BI58" s="158"/>
      <c r="BJ58" s="180"/>
      <c r="BK58" s="180"/>
      <c r="BL58" s="180"/>
      <c r="BM58" s="345"/>
      <c r="BN58" s="345"/>
      <c r="BO58" s="171"/>
      <c r="BP58" s="158"/>
      <c r="BQ58" s="171"/>
      <c r="BR58" s="180"/>
      <c r="BS58" s="158"/>
      <c r="BT58" s="344"/>
      <c r="BU58" s="158"/>
      <c r="BV58" s="345"/>
      <c r="BW58" s="155">
        <f t="shared" si="20"/>
        <v>0</v>
      </c>
      <c r="BX58" s="155">
        <f t="shared" si="21"/>
        <v>0</v>
      </c>
      <c r="BY58" s="155">
        <f>IF(MatchDay!$C$2="LOWER",COUNTA(BF58:BH58),0)</f>
        <v>0</v>
      </c>
      <c r="CA58" s="157" t="s">
        <v>912</v>
      </c>
      <c r="CB58" s="177"/>
      <c r="CC58" s="165"/>
      <c r="CD58" s="177"/>
      <c r="CE58" s="344"/>
      <c r="CF58" s="177"/>
      <c r="CG58" s="165"/>
      <c r="CH58" s="177"/>
      <c r="CI58" s="158"/>
      <c r="CJ58" s="180"/>
      <c r="CK58" s="180"/>
      <c r="CL58" s="180"/>
      <c r="CM58" s="345"/>
      <c r="CN58" s="345"/>
      <c r="CO58" s="177"/>
      <c r="CP58" s="158"/>
      <c r="CQ58" s="177"/>
      <c r="CR58" s="180"/>
      <c r="CS58" s="158"/>
      <c r="CT58" s="344"/>
      <c r="CU58" s="158"/>
      <c r="CV58" s="345"/>
      <c r="CW58" s="155">
        <f t="shared" si="22"/>
        <v>0</v>
      </c>
      <c r="CX58" s="155">
        <f t="shared" si="23"/>
        <v>0</v>
      </c>
      <c r="CY58" s="155">
        <f>IF(MatchDay!$C$2="LOWER",COUNTA(CF58:CH58),0)</f>
        <v>0</v>
      </c>
      <c r="DA58" s="157" t="s">
        <v>912</v>
      </c>
      <c r="DB58" s="171"/>
      <c r="DC58" s="165"/>
      <c r="DD58" s="171"/>
      <c r="DE58" s="344"/>
      <c r="DF58" s="171"/>
      <c r="DG58" s="165"/>
      <c r="DH58" s="171"/>
      <c r="DI58" s="158"/>
      <c r="DJ58" s="180"/>
      <c r="DK58" s="180"/>
      <c r="DL58" s="180"/>
      <c r="DM58" s="345"/>
      <c r="DN58" s="345"/>
      <c r="DO58" s="171"/>
      <c r="DP58" s="158"/>
      <c r="DQ58" s="171"/>
      <c r="DR58" s="180"/>
      <c r="DS58" s="158"/>
      <c r="DT58" s="344"/>
      <c r="DU58" s="158"/>
      <c r="DV58" s="345"/>
      <c r="DW58" s="155">
        <f t="shared" si="24"/>
        <v>0</v>
      </c>
      <c r="DX58" s="155">
        <f t="shared" si="25"/>
        <v>0</v>
      </c>
      <c r="DY58" s="155">
        <f>IF(MatchDay!$C$2="LOWER",COUNTA(DF58:DH58),0)</f>
        <v>0</v>
      </c>
      <c r="EA58" s="157" t="s">
        <v>912</v>
      </c>
      <c r="EB58" s="177"/>
      <c r="EC58" s="165"/>
      <c r="ED58" s="177"/>
      <c r="EE58" s="344"/>
      <c r="EF58" s="177"/>
      <c r="EG58" s="165"/>
      <c r="EH58" s="177"/>
      <c r="EI58" s="158"/>
      <c r="EJ58" s="180"/>
      <c r="EK58" s="180"/>
      <c r="EL58" s="180"/>
      <c r="EM58" s="345"/>
      <c r="EN58" s="345"/>
      <c r="EO58" s="177"/>
      <c r="EP58" s="158"/>
      <c r="EQ58" s="177"/>
      <c r="ER58" s="180"/>
      <c r="ES58" s="158"/>
      <c r="ET58" s="344"/>
      <c r="EU58" s="158"/>
      <c r="EV58" s="345"/>
      <c r="EW58" s="155">
        <f t="shared" si="26"/>
        <v>0</v>
      </c>
      <c r="EX58" s="155">
        <f t="shared" si="27"/>
        <v>0</v>
      </c>
      <c r="EY58" s="155">
        <f>IF(MatchDay!$C$2="LOWER",COUNTA(EF58:EH58),0)</f>
        <v>0</v>
      </c>
      <c r="FA58" s="157" t="s">
        <v>912</v>
      </c>
      <c r="FB58" s="171"/>
      <c r="FC58" s="165"/>
      <c r="FD58" s="171"/>
      <c r="FE58" s="344"/>
      <c r="FF58" s="171"/>
      <c r="FG58" s="165"/>
      <c r="FH58" s="171"/>
      <c r="FI58" s="158"/>
      <c r="FJ58" s="180"/>
      <c r="FK58" s="180"/>
      <c r="FL58" s="180"/>
      <c r="FM58" s="345"/>
      <c r="FN58" s="345"/>
      <c r="FO58" s="171"/>
      <c r="FP58" s="158"/>
      <c r="FQ58" s="171"/>
      <c r="FR58" s="180"/>
      <c r="FS58" s="158"/>
      <c r="FT58" s="344"/>
      <c r="FU58" s="158"/>
      <c r="FV58" s="345"/>
      <c r="FW58" s="155">
        <f t="shared" si="28"/>
        <v>0</v>
      </c>
      <c r="FX58" s="155">
        <f t="shared" si="29"/>
        <v>0</v>
      </c>
      <c r="FY58" s="155">
        <f>IF(MatchDay!$C$2="LOWER",COUNTA(FF58:FH58),0)</f>
        <v>0</v>
      </c>
      <c r="GA58" s="157" t="s">
        <v>912</v>
      </c>
      <c r="GB58" s="177"/>
      <c r="GC58" s="165"/>
      <c r="GD58" s="177"/>
      <c r="GE58" s="344"/>
      <c r="GF58" s="177"/>
      <c r="GG58" s="165"/>
      <c r="GH58" s="177"/>
      <c r="GI58" s="158"/>
      <c r="GJ58" s="180"/>
      <c r="GK58" s="180"/>
      <c r="GL58" s="180"/>
      <c r="GM58" s="345"/>
      <c r="GN58" s="345"/>
      <c r="GO58" s="177"/>
      <c r="GP58" s="158"/>
      <c r="GQ58" s="177"/>
      <c r="GR58" s="180"/>
      <c r="GS58" s="158"/>
      <c r="GT58" s="344"/>
      <c r="GU58" s="158"/>
      <c r="GV58" s="345"/>
      <c r="GW58" s="155">
        <f t="shared" si="30"/>
        <v>0</v>
      </c>
      <c r="GX58" s="155">
        <f t="shared" si="31"/>
        <v>0</v>
      </c>
      <c r="GY58" s="155">
        <f>IF(MatchDay!$C$2="LOWER",COUNTA(GF58:GH58),0)</f>
        <v>0</v>
      </c>
    </row>
    <row r="59" spans="1:207" ht="16.5" customHeight="1" x14ac:dyDescent="0.45">
      <c r="A59" s="157" t="s">
        <v>912</v>
      </c>
      <c r="B59" s="171"/>
      <c r="C59" s="165"/>
      <c r="D59" s="171"/>
      <c r="E59" s="344"/>
      <c r="F59" s="171"/>
      <c r="G59" s="165"/>
      <c r="H59" s="171"/>
      <c r="I59" s="158"/>
      <c r="J59" s="180"/>
      <c r="K59" s="180"/>
      <c r="L59" s="180"/>
      <c r="M59" s="345"/>
      <c r="N59" s="345"/>
      <c r="O59" s="171"/>
      <c r="P59" s="158"/>
      <c r="Q59" s="171"/>
      <c r="R59" s="180"/>
      <c r="S59" s="158"/>
      <c r="T59" s="344"/>
      <c r="U59" s="158"/>
      <c r="V59" s="345"/>
      <c r="W59" s="155">
        <f t="shared" si="16"/>
        <v>0</v>
      </c>
      <c r="X59" s="155">
        <f t="shared" si="17"/>
        <v>0</v>
      </c>
      <c r="Y59" s="155">
        <f>IF(MatchDay!$C$2="LOWER",COUNTA(F59:H59),0)</f>
        <v>0</v>
      </c>
      <c r="AA59" s="157" t="s">
        <v>912</v>
      </c>
      <c r="AB59" s="177"/>
      <c r="AC59" s="165"/>
      <c r="AD59" s="177"/>
      <c r="AE59" s="344"/>
      <c r="AF59" s="177"/>
      <c r="AG59" s="165"/>
      <c r="AH59" s="177"/>
      <c r="AI59" s="158"/>
      <c r="AJ59" s="180"/>
      <c r="AK59" s="180"/>
      <c r="AL59" s="180"/>
      <c r="AM59" s="345"/>
      <c r="AN59" s="345"/>
      <c r="AO59" s="177"/>
      <c r="AP59" s="158"/>
      <c r="AQ59" s="177"/>
      <c r="AR59" s="180"/>
      <c r="AS59" s="158"/>
      <c r="AT59" s="344"/>
      <c r="AU59" s="158"/>
      <c r="AV59" s="345"/>
      <c r="AW59" s="155">
        <f t="shared" si="18"/>
        <v>0</v>
      </c>
      <c r="AX59" s="155">
        <f t="shared" si="19"/>
        <v>0</v>
      </c>
      <c r="AY59" s="155">
        <f>IF(MatchDay!$C$2="LOWER",COUNTA(AF59:AH59),0)</f>
        <v>0</v>
      </c>
      <c r="BA59" s="157" t="s">
        <v>912</v>
      </c>
      <c r="BB59" s="171"/>
      <c r="BC59" s="165"/>
      <c r="BD59" s="171"/>
      <c r="BE59" s="344"/>
      <c r="BF59" s="171"/>
      <c r="BG59" s="165"/>
      <c r="BH59" s="171"/>
      <c r="BI59" s="158"/>
      <c r="BJ59" s="180"/>
      <c r="BK59" s="180"/>
      <c r="BL59" s="180"/>
      <c r="BM59" s="345"/>
      <c r="BN59" s="345"/>
      <c r="BO59" s="171"/>
      <c r="BP59" s="158"/>
      <c r="BQ59" s="171"/>
      <c r="BR59" s="180"/>
      <c r="BS59" s="158"/>
      <c r="BT59" s="344"/>
      <c r="BU59" s="158"/>
      <c r="BV59" s="345"/>
      <c r="BW59" s="155">
        <f t="shared" si="20"/>
        <v>0</v>
      </c>
      <c r="BX59" s="155">
        <f t="shared" si="21"/>
        <v>0</v>
      </c>
      <c r="BY59" s="155">
        <f>IF(MatchDay!$C$2="LOWER",COUNTA(BF59:BH59),0)</f>
        <v>0</v>
      </c>
      <c r="CA59" s="157" t="s">
        <v>912</v>
      </c>
      <c r="CB59" s="177"/>
      <c r="CC59" s="165"/>
      <c r="CD59" s="177"/>
      <c r="CE59" s="344"/>
      <c r="CF59" s="177"/>
      <c r="CG59" s="165"/>
      <c r="CH59" s="177"/>
      <c r="CI59" s="158"/>
      <c r="CJ59" s="180"/>
      <c r="CK59" s="180"/>
      <c r="CL59" s="180"/>
      <c r="CM59" s="345"/>
      <c r="CN59" s="345"/>
      <c r="CO59" s="177"/>
      <c r="CP59" s="158"/>
      <c r="CQ59" s="177"/>
      <c r="CR59" s="180"/>
      <c r="CS59" s="158"/>
      <c r="CT59" s="344"/>
      <c r="CU59" s="158"/>
      <c r="CV59" s="345"/>
      <c r="CW59" s="155">
        <f t="shared" si="22"/>
        <v>0</v>
      </c>
      <c r="CX59" s="155">
        <f t="shared" si="23"/>
        <v>0</v>
      </c>
      <c r="CY59" s="155">
        <f>IF(MatchDay!$C$2="LOWER",COUNTA(CF59:CH59),0)</f>
        <v>0</v>
      </c>
      <c r="DA59" s="157" t="s">
        <v>912</v>
      </c>
      <c r="DB59" s="171"/>
      <c r="DC59" s="165"/>
      <c r="DD59" s="171"/>
      <c r="DE59" s="344"/>
      <c r="DF59" s="171"/>
      <c r="DG59" s="165"/>
      <c r="DH59" s="171"/>
      <c r="DI59" s="158"/>
      <c r="DJ59" s="180"/>
      <c r="DK59" s="180"/>
      <c r="DL59" s="180"/>
      <c r="DM59" s="345"/>
      <c r="DN59" s="345"/>
      <c r="DO59" s="171"/>
      <c r="DP59" s="158"/>
      <c r="DQ59" s="171"/>
      <c r="DR59" s="180"/>
      <c r="DS59" s="158"/>
      <c r="DT59" s="344"/>
      <c r="DU59" s="158"/>
      <c r="DV59" s="345"/>
      <c r="DW59" s="155">
        <f t="shared" si="24"/>
        <v>0</v>
      </c>
      <c r="DX59" s="155">
        <f t="shared" si="25"/>
        <v>0</v>
      </c>
      <c r="DY59" s="155">
        <f>IF(MatchDay!$C$2="LOWER",COUNTA(DF59:DH59),0)</f>
        <v>0</v>
      </c>
      <c r="EA59" s="157" t="s">
        <v>912</v>
      </c>
      <c r="EB59" s="177"/>
      <c r="EC59" s="165"/>
      <c r="ED59" s="177"/>
      <c r="EE59" s="344"/>
      <c r="EF59" s="177"/>
      <c r="EG59" s="165"/>
      <c r="EH59" s="177"/>
      <c r="EI59" s="158"/>
      <c r="EJ59" s="180"/>
      <c r="EK59" s="180"/>
      <c r="EL59" s="180"/>
      <c r="EM59" s="345"/>
      <c r="EN59" s="345"/>
      <c r="EO59" s="177"/>
      <c r="EP59" s="158"/>
      <c r="EQ59" s="177"/>
      <c r="ER59" s="180"/>
      <c r="ES59" s="158"/>
      <c r="ET59" s="344"/>
      <c r="EU59" s="158"/>
      <c r="EV59" s="345"/>
      <c r="EW59" s="155">
        <f t="shared" si="26"/>
        <v>0</v>
      </c>
      <c r="EX59" s="155">
        <f t="shared" si="27"/>
        <v>0</v>
      </c>
      <c r="EY59" s="155">
        <f>IF(MatchDay!$C$2="LOWER",COUNTA(EF59:EH59),0)</f>
        <v>0</v>
      </c>
      <c r="FA59" s="157" t="s">
        <v>912</v>
      </c>
      <c r="FB59" s="171"/>
      <c r="FC59" s="165"/>
      <c r="FD59" s="171"/>
      <c r="FE59" s="344"/>
      <c r="FF59" s="171"/>
      <c r="FG59" s="165"/>
      <c r="FH59" s="171"/>
      <c r="FI59" s="158"/>
      <c r="FJ59" s="180"/>
      <c r="FK59" s="180"/>
      <c r="FL59" s="180"/>
      <c r="FM59" s="345"/>
      <c r="FN59" s="345"/>
      <c r="FO59" s="171"/>
      <c r="FP59" s="158"/>
      <c r="FQ59" s="171"/>
      <c r="FR59" s="180"/>
      <c r="FS59" s="158"/>
      <c r="FT59" s="344"/>
      <c r="FU59" s="158"/>
      <c r="FV59" s="345"/>
      <c r="FW59" s="155">
        <f t="shared" si="28"/>
        <v>0</v>
      </c>
      <c r="FX59" s="155">
        <f t="shared" si="29"/>
        <v>0</v>
      </c>
      <c r="FY59" s="155">
        <f>IF(MatchDay!$C$2="LOWER",COUNTA(FF59:FH59),0)</f>
        <v>0</v>
      </c>
      <c r="GA59" s="157" t="s">
        <v>912</v>
      </c>
      <c r="GB59" s="177"/>
      <c r="GC59" s="165"/>
      <c r="GD59" s="177"/>
      <c r="GE59" s="344"/>
      <c r="GF59" s="177"/>
      <c r="GG59" s="165"/>
      <c r="GH59" s="177"/>
      <c r="GI59" s="158"/>
      <c r="GJ59" s="180"/>
      <c r="GK59" s="180"/>
      <c r="GL59" s="180"/>
      <c r="GM59" s="345"/>
      <c r="GN59" s="345"/>
      <c r="GO59" s="177"/>
      <c r="GP59" s="158"/>
      <c r="GQ59" s="177"/>
      <c r="GR59" s="180"/>
      <c r="GS59" s="158"/>
      <c r="GT59" s="344"/>
      <c r="GU59" s="158"/>
      <c r="GV59" s="345"/>
      <c r="GW59" s="155">
        <f t="shared" si="30"/>
        <v>0</v>
      </c>
      <c r="GX59" s="155">
        <f t="shared" si="31"/>
        <v>0</v>
      </c>
      <c r="GY59" s="155">
        <f>IF(MatchDay!$C$2="LOWER",COUNTA(GF59:GH59),0)</f>
        <v>0</v>
      </c>
    </row>
    <row r="60" spans="1:207" ht="16.5" customHeight="1" x14ac:dyDescent="0.45">
      <c r="A60" s="157" t="s">
        <v>912</v>
      </c>
      <c r="B60" s="171"/>
      <c r="C60" s="165"/>
      <c r="D60" s="171"/>
      <c r="E60" s="344"/>
      <c r="F60" s="171"/>
      <c r="G60" s="165"/>
      <c r="H60" s="171"/>
      <c r="I60" s="158"/>
      <c r="J60" s="180"/>
      <c r="K60" s="180"/>
      <c r="L60" s="180"/>
      <c r="M60" s="345"/>
      <c r="N60" s="345"/>
      <c r="O60" s="171"/>
      <c r="P60" s="158"/>
      <c r="Q60" s="171"/>
      <c r="R60" s="180"/>
      <c r="S60" s="158"/>
      <c r="T60" s="344"/>
      <c r="U60" s="158"/>
      <c r="V60" s="345"/>
      <c r="W60" s="155">
        <f t="shared" si="16"/>
        <v>0</v>
      </c>
      <c r="X60" s="155">
        <f t="shared" si="17"/>
        <v>0</v>
      </c>
      <c r="Y60" s="155">
        <f>IF(MatchDay!$C$2="LOWER",COUNTA(F60:H60),0)</f>
        <v>0</v>
      </c>
      <c r="AA60" s="157" t="s">
        <v>912</v>
      </c>
      <c r="AB60" s="177"/>
      <c r="AC60" s="165"/>
      <c r="AD60" s="177"/>
      <c r="AE60" s="344"/>
      <c r="AF60" s="177"/>
      <c r="AG60" s="165"/>
      <c r="AH60" s="177"/>
      <c r="AI60" s="158"/>
      <c r="AJ60" s="180"/>
      <c r="AK60" s="180"/>
      <c r="AL60" s="180"/>
      <c r="AM60" s="345"/>
      <c r="AN60" s="345"/>
      <c r="AO60" s="177"/>
      <c r="AP60" s="158"/>
      <c r="AQ60" s="177"/>
      <c r="AR60" s="180"/>
      <c r="AS60" s="158"/>
      <c r="AT60" s="344"/>
      <c r="AU60" s="158"/>
      <c r="AV60" s="345"/>
      <c r="AW60" s="155">
        <f t="shared" si="18"/>
        <v>0</v>
      </c>
      <c r="AX60" s="155">
        <f t="shared" si="19"/>
        <v>0</v>
      </c>
      <c r="AY60" s="155">
        <f>IF(MatchDay!$C$2="LOWER",COUNTA(AF60:AH60),0)</f>
        <v>0</v>
      </c>
      <c r="BA60" s="157" t="s">
        <v>912</v>
      </c>
      <c r="BB60" s="171"/>
      <c r="BC60" s="165"/>
      <c r="BD60" s="171"/>
      <c r="BE60" s="344"/>
      <c r="BF60" s="171"/>
      <c r="BG60" s="165"/>
      <c r="BH60" s="171"/>
      <c r="BI60" s="158"/>
      <c r="BJ60" s="180"/>
      <c r="BK60" s="180"/>
      <c r="BL60" s="180"/>
      <c r="BM60" s="345"/>
      <c r="BN60" s="345"/>
      <c r="BO60" s="171"/>
      <c r="BP60" s="158"/>
      <c r="BQ60" s="171"/>
      <c r="BR60" s="180"/>
      <c r="BS60" s="158"/>
      <c r="BT60" s="344"/>
      <c r="BU60" s="158"/>
      <c r="BV60" s="345"/>
      <c r="BW60" s="155">
        <f t="shared" si="20"/>
        <v>0</v>
      </c>
      <c r="BX60" s="155">
        <f t="shared" si="21"/>
        <v>0</v>
      </c>
      <c r="BY60" s="155">
        <f>IF(MatchDay!$C$2="LOWER",COUNTA(BF60:BH60),0)</f>
        <v>0</v>
      </c>
      <c r="CA60" s="157" t="s">
        <v>912</v>
      </c>
      <c r="CB60" s="177"/>
      <c r="CC60" s="165"/>
      <c r="CD60" s="177"/>
      <c r="CE60" s="344"/>
      <c r="CF60" s="177"/>
      <c r="CG60" s="165"/>
      <c r="CH60" s="177"/>
      <c r="CI60" s="158"/>
      <c r="CJ60" s="180"/>
      <c r="CK60" s="180"/>
      <c r="CL60" s="180"/>
      <c r="CM60" s="345"/>
      <c r="CN60" s="345"/>
      <c r="CO60" s="177"/>
      <c r="CP60" s="158"/>
      <c r="CQ60" s="177"/>
      <c r="CR60" s="180"/>
      <c r="CS60" s="158"/>
      <c r="CT60" s="344"/>
      <c r="CU60" s="158"/>
      <c r="CV60" s="345"/>
      <c r="CW60" s="155">
        <f t="shared" si="22"/>
        <v>0</v>
      </c>
      <c r="CX60" s="155">
        <f t="shared" si="23"/>
        <v>0</v>
      </c>
      <c r="CY60" s="155">
        <f>IF(MatchDay!$C$2="LOWER",COUNTA(CF60:CH60),0)</f>
        <v>0</v>
      </c>
      <c r="DA60" s="157" t="s">
        <v>912</v>
      </c>
      <c r="DB60" s="171"/>
      <c r="DC60" s="165"/>
      <c r="DD60" s="171"/>
      <c r="DE60" s="344"/>
      <c r="DF60" s="171"/>
      <c r="DG60" s="165"/>
      <c r="DH60" s="171"/>
      <c r="DI60" s="158"/>
      <c r="DJ60" s="180"/>
      <c r="DK60" s="180"/>
      <c r="DL60" s="180"/>
      <c r="DM60" s="345"/>
      <c r="DN60" s="345"/>
      <c r="DO60" s="171"/>
      <c r="DP60" s="158"/>
      <c r="DQ60" s="171"/>
      <c r="DR60" s="180"/>
      <c r="DS60" s="158"/>
      <c r="DT60" s="344"/>
      <c r="DU60" s="158"/>
      <c r="DV60" s="345"/>
      <c r="DW60" s="155">
        <f t="shared" si="24"/>
        <v>0</v>
      </c>
      <c r="DX60" s="155">
        <f t="shared" si="25"/>
        <v>0</v>
      </c>
      <c r="DY60" s="155">
        <f>IF(MatchDay!$C$2="LOWER",COUNTA(DF60:DH60),0)</f>
        <v>0</v>
      </c>
      <c r="EA60" s="157" t="s">
        <v>912</v>
      </c>
      <c r="EB60" s="177"/>
      <c r="EC60" s="165"/>
      <c r="ED60" s="177"/>
      <c r="EE60" s="344"/>
      <c r="EF60" s="177"/>
      <c r="EG60" s="165"/>
      <c r="EH60" s="177"/>
      <c r="EI60" s="158"/>
      <c r="EJ60" s="180"/>
      <c r="EK60" s="180"/>
      <c r="EL60" s="180"/>
      <c r="EM60" s="345"/>
      <c r="EN60" s="345"/>
      <c r="EO60" s="177"/>
      <c r="EP60" s="158"/>
      <c r="EQ60" s="177"/>
      <c r="ER60" s="180"/>
      <c r="ES60" s="158"/>
      <c r="ET60" s="344"/>
      <c r="EU60" s="158"/>
      <c r="EV60" s="345"/>
      <c r="EW60" s="155">
        <f t="shared" si="26"/>
        <v>0</v>
      </c>
      <c r="EX60" s="155">
        <f t="shared" si="27"/>
        <v>0</v>
      </c>
      <c r="EY60" s="155">
        <f>IF(MatchDay!$C$2="LOWER",COUNTA(EF60:EH60),0)</f>
        <v>0</v>
      </c>
      <c r="FA60" s="157" t="s">
        <v>912</v>
      </c>
      <c r="FB60" s="171"/>
      <c r="FC60" s="165"/>
      <c r="FD60" s="171"/>
      <c r="FE60" s="344"/>
      <c r="FF60" s="171"/>
      <c r="FG60" s="165"/>
      <c r="FH60" s="171"/>
      <c r="FI60" s="158"/>
      <c r="FJ60" s="180"/>
      <c r="FK60" s="180"/>
      <c r="FL60" s="180"/>
      <c r="FM60" s="345"/>
      <c r="FN60" s="345"/>
      <c r="FO60" s="171"/>
      <c r="FP60" s="158"/>
      <c r="FQ60" s="171"/>
      <c r="FR60" s="180"/>
      <c r="FS60" s="158"/>
      <c r="FT60" s="344"/>
      <c r="FU60" s="158"/>
      <c r="FV60" s="345"/>
      <c r="FW60" s="155">
        <f t="shared" si="28"/>
        <v>0</v>
      </c>
      <c r="FX60" s="155">
        <f t="shared" si="29"/>
        <v>0</v>
      </c>
      <c r="FY60" s="155">
        <f>IF(MatchDay!$C$2="LOWER",COUNTA(FF60:FH60),0)</f>
        <v>0</v>
      </c>
      <c r="GA60" s="157" t="s">
        <v>912</v>
      </c>
      <c r="GB60" s="177"/>
      <c r="GC60" s="165"/>
      <c r="GD60" s="177"/>
      <c r="GE60" s="344"/>
      <c r="GF60" s="177"/>
      <c r="GG60" s="165"/>
      <c r="GH60" s="177"/>
      <c r="GI60" s="158"/>
      <c r="GJ60" s="180"/>
      <c r="GK60" s="180"/>
      <c r="GL60" s="180"/>
      <c r="GM60" s="345"/>
      <c r="GN60" s="345"/>
      <c r="GO60" s="177"/>
      <c r="GP60" s="158"/>
      <c r="GQ60" s="177"/>
      <c r="GR60" s="180"/>
      <c r="GS60" s="158"/>
      <c r="GT60" s="344"/>
      <c r="GU60" s="158"/>
      <c r="GV60" s="345"/>
      <c r="GW60" s="155">
        <f t="shared" si="30"/>
        <v>0</v>
      </c>
      <c r="GX60" s="155">
        <f t="shared" si="31"/>
        <v>0</v>
      </c>
      <c r="GY60" s="155">
        <f>IF(MatchDay!$C$2="LOWER",COUNTA(GF60:GH60),0)</f>
        <v>0</v>
      </c>
    </row>
    <row r="61" spans="1:207" ht="16.5" customHeight="1" x14ac:dyDescent="0.45">
      <c r="A61" s="157" t="s">
        <v>912</v>
      </c>
      <c r="B61" s="171"/>
      <c r="C61" s="165"/>
      <c r="D61" s="171"/>
      <c r="E61" s="344"/>
      <c r="F61" s="171"/>
      <c r="G61" s="165"/>
      <c r="H61" s="171"/>
      <c r="I61" s="158"/>
      <c r="J61" s="180"/>
      <c r="K61" s="180"/>
      <c r="L61" s="180"/>
      <c r="M61" s="345"/>
      <c r="N61" s="345"/>
      <c r="O61" s="171"/>
      <c r="P61" s="158"/>
      <c r="Q61" s="171"/>
      <c r="R61" s="180"/>
      <c r="S61" s="158"/>
      <c r="T61" s="344"/>
      <c r="U61" s="158"/>
      <c r="V61" s="345"/>
      <c r="W61" s="155">
        <f t="shared" si="16"/>
        <v>0</v>
      </c>
      <c r="X61" s="155">
        <f t="shared" si="17"/>
        <v>0</v>
      </c>
      <c r="Y61" s="155">
        <f>IF(MatchDay!$C$2="LOWER",COUNTA(F61:H61),0)</f>
        <v>0</v>
      </c>
      <c r="AA61" s="157" t="s">
        <v>912</v>
      </c>
      <c r="AB61" s="177"/>
      <c r="AC61" s="165"/>
      <c r="AD61" s="177"/>
      <c r="AE61" s="344"/>
      <c r="AF61" s="177"/>
      <c r="AG61" s="165"/>
      <c r="AH61" s="177"/>
      <c r="AI61" s="158"/>
      <c r="AJ61" s="180"/>
      <c r="AK61" s="180"/>
      <c r="AL61" s="180"/>
      <c r="AM61" s="345"/>
      <c r="AN61" s="345"/>
      <c r="AO61" s="177"/>
      <c r="AP61" s="158"/>
      <c r="AQ61" s="177"/>
      <c r="AR61" s="180"/>
      <c r="AS61" s="158"/>
      <c r="AT61" s="344"/>
      <c r="AU61" s="158"/>
      <c r="AV61" s="345"/>
      <c r="AW61" s="155">
        <f t="shared" si="18"/>
        <v>0</v>
      </c>
      <c r="AX61" s="155">
        <f t="shared" si="19"/>
        <v>0</v>
      </c>
      <c r="AY61" s="155">
        <f>IF(MatchDay!$C$2="LOWER",COUNTA(AF61:AH61),0)</f>
        <v>0</v>
      </c>
      <c r="BA61" s="157" t="s">
        <v>912</v>
      </c>
      <c r="BB61" s="171"/>
      <c r="BC61" s="165"/>
      <c r="BD61" s="171"/>
      <c r="BE61" s="344"/>
      <c r="BF61" s="171"/>
      <c r="BG61" s="165"/>
      <c r="BH61" s="171"/>
      <c r="BI61" s="158"/>
      <c r="BJ61" s="180"/>
      <c r="BK61" s="180"/>
      <c r="BL61" s="180"/>
      <c r="BM61" s="345"/>
      <c r="BN61" s="345"/>
      <c r="BO61" s="171"/>
      <c r="BP61" s="158"/>
      <c r="BQ61" s="171"/>
      <c r="BR61" s="180"/>
      <c r="BS61" s="158"/>
      <c r="BT61" s="344"/>
      <c r="BU61" s="158"/>
      <c r="BV61" s="345"/>
      <c r="BW61" s="155">
        <f t="shared" si="20"/>
        <v>0</v>
      </c>
      <c r="BX61" s="155">
        <f t="shared" si="21"/>
        <v>0</v>
      </c>
      <c r="BY61" s="155">
        <f>IF(MatchDay!$C$2="LOWER",COUNTA(BF61:BH61),0)</f>
        <v>0</v>
      </c>
      <c r="CA61" s="157" t="s">
        <v>912</v>
      </c>
      <c r="CB61" s="177"/>
      <c r="CC61" s="165"/>
      <c r="CD61" s="177"/>
      <c r="CE61" s="344"/>
      <c r="CF61" s="177"/>
      <c r="CG61" s="165"/>
      <c r="CH61" s="177"/>
      <c r="CI61" s="158"/>
      <c r="CJ61" s="180"/>
      <c r="CK61" s="180"/>
      <c r="CL61" s="180"/>
      <c r="CM61" s="345"/>
      <c r="CN61" s="345"/>
      <c r="CO61" s="177"/>
      <c r="CP61" s="158"/>
      <c r="CQ61" s="177"/>
      <c r="CR61" s="180"/>
      <c r="CS61" s="158"/>
      <c r="CT61" s="344"/>
      <c r="CU61" s="158"/>
      <c r="CV61" s="345"/>
      <c r="CW61" s="155">
        <f t="shared" si="22"/>
        <v>0</v>
      </c>
      <c r="CX61" s="155">
        <f t="shared" si="23"/>
        <v>0</v>
      </c>
      <c r="CY61" s="155">
        <f>IF(MatchDay!$C$2="LOWER",COUNTA(CF61:CH61),0)</f>
        <v>0</v>
      </c>
      <c r="DA61" s="157" t="s">
        <v>912</v>
      </c>
      <c r="DB61" s="171"/>
      <c r="DC61" s="165"/>
      <c r="DD61" s="171"/>
      <c r="DE61" s="344"/>
      <c r="DF61" s="171"/>
      <c r="DG61" s="165"/>
      <c r="DH61" s="171"/>
      <c r="DI61" s="158"/>
      <c r="DJ61" s="180"/>
      <c r="DK61" s="180"/>
      <c r="DL61" s="180"/>
      <c r="DM61" s="345"/>
      <c r="DN61" s="345"/>
      <c r="DO61" s="171"/>
      <c r="DP61" s="158"/>
      <c r="DQ61" s="171"/>
      <c r="DR61" s="180"/>
      <c r="DS61" s="158"/>
      <c r="DT61" s="344"/>
      <c r="DU61" s="158"/>
      <c r="DV61" s="345"/>
      <c r="DW61" s="155">
        <f t="shared" si="24"/>
        <v>0</v>
      </c>
      <c r="DX61" s="155">
        <f t="shared" si="25"/>
        <v>0</v>
      </c>
      <c r="DY61" s="155">
        <f>IF(MatchDay!$C$2="LOWER",COUNTA(DF61:DH61),0)</f>
        <v>0</v>
      </c>
      <c r="EA61" s="157" t="s">
        <v>912</v>
      </c>
      <c r="EB61" s="177"/>
      <c r="EC61" s="165"/>
      <c r="ED61" s="177"/>
      <c r="EE61" s="344"/>
      <c r="EF61" s="177"/>
      <c r="EG61" s="165"/>
      <c r="EH61" s="177"/>
      <c r="EI61" s="158"/>
      <c r="EJ61" s="180"/>
      <c r="EK61" s="180"/>
      <c r="EL61" s="180"/>
      <c r="EM61" s="345"/>
      <c r="EN61" s="345"/>
      <c r="EO61" s="177"/>
      <c r="EP61" s="158"/>
      <c r="EQ61" s="177"/>
      <c r="ER61" s="180"/>
      <c r="ES61" s="158"/>
      <c r="ET61" s="344"/>
      <c r="EU61" s="158"/>
      <c r="EV61" s="345"/>
      <c r="EW61" s="155">
        <f t="shared" si="26"/>
        <v>0</v>
      </c>
      <c r="EX61" s="155">
        <f t="shared" si="27"/>
        <v>0</v>
      </c>
      <c r="EY61" s="155">
        <f>IF(MatchDay!$C$2="LOWER",COUNTA(EF61:EH61),0)</f>
        <v>0</v>
      </c>
      <c r="FA61" s="157" t="s">
        <v>912</v>
      </c>
      <c r="FB61" s="171"/>
      <c r="FC61" s="165"/>
      <c r="FD61" s="171"/>
      <c r="FE61" s="344"/>
      <c r="FF61" s="171"/>
      <c r="FG61" s="165"/>
      <c r="FH61" s="171"/>
      <c r="FI61" s="158"/>
      <c r="FJ61" s="180"/>
      <c r="FK61" s="180"/>
      <c r="FL61" s="180"/>
      <c r="FM61" s="345"/>
      <c r="FN61" s="345"/>
      <c r="FO61" s="171"/>
      <c r="FP61" s="158"/>
      <c r="FQ61" s="171"/>
      <c r="FR61" s="180"/>
      <c r="FS61" s="158"/>
      <c r="FT61" s="344"/>
      <c r="FU61" s="158"/>
      <c r="FV61" s="345"/>
      <c r="FW61" s="155">
        <f t="shared" si="28"/>
        <v>0</v>
      </c>
      <c r="FX61" s="155">
        <f t="shared" si="29"/>
        <v>0</v>
      </c>
      <c r="FY61" s="155">
        <f>IF(MatchDay!$C$2="LOWER",COUNTA(FF61:FH61),0)</f>
        <v>0</v>
      </c>
      <c r="GA61" s="157" t="s">
        <v>912</v>
      </c>
      <c r="GB61" s="177"/>
      <c r="GC61" s="165"/>
      <c r="GD61" s="177"/>
      <c r="GE61" s="344"/>
      <c r="GF61" s="177"/>
      <c r="GG61" s="165"/>
      <c r="GH61" s="177"/>
      <c r="GI61" s="158"/>
      <c r="GJ61" s="180"/>
      <c r="GK61" s="180"/>
      <c r="GL61" s="180"/>
      <c r="GM61" s="345"/>
      <c r="GN61" s="345"/>
      <c r="GO61" s="177"/>
      <c r="GP61" s="158"/>
      <c r="GQ61" s="177"/>
      <c r="GR61" s="180"/>
      <c r="GS61" s="158"/>
      <c r="GT61" s="344"/>
      <c r="GU61" s="158"/>
      <c r="GV61" s="345"/>
      <c r="GW61" s="155">
        <f t="shared" si="30"/>
        <v>0</v>
      </c>
      <c r="GX61" s="155">
        <f t="shared" si="31"/>
        <v>0</v>
      </c>
      <c r="GY61" s="155">
        <f>IF(MatchDay!$C$2="LOWER",COUNTA(GF61:GH61),0)</f>
        <v>0</v>
      </c>
    </row>
    <row r="62" spans="1:207" ht="16.5" customHeight="1" x14ac:dyDescent="0.45">
      <c r="A62" s="157" t="s">
        <v>912</v>
      </c>
      <c r="B62" s="171"/>
      <c r="C62" s="165"/>
      <c r="D62" s="171"/>
      <c r="E62" s="344"/>
      <c r="F62" s="171"/>
      <c r="G62" s="165"/>
      <c r="H62" s="171"/>
      <c r="I62" s="158"/>
      <c r="J62" s="180"/>
      <c r="K62" s="180"/>
      <c r="L62" s="180"/>
      <c r="M62" s="345"/>
      <c r="N62" s="345"/>
      <c r="O62" s="171"/>
      <c r="P62" s="158"/>
      <c r="Q62" s="171"/>
      <c r="R62" s="180"/>
      <c r="S62" s="158"/>
      <c r="T62" s="344"/>
      <c r="U62" s="158"/>
      <c r="V62" s="345"/>
      <c r="W62" s="155">
        <f t="shared" si="16"/>
        <v>0</v>
      </c>
      <c r="X62" s="155">
        <f t="shared" si="17"/>
        <v>0</v>
      </c>
      <c r="Y62" s="155">
        <f>IF(MatchDay!$C$2="LOWER",COUNTA(F62:H62),0)</f>
        <v>0</v>
      </c>
      <c r="AA62" s="157" t="s">
        <v>912</v>
      </c>
      <c r="AB62" s="177"/>
      <c r="AC62" s="165"/>
      <c r="AD62" s="177"/>
      <c r="AE62" s="344"/>
      <c r="AF62" s="177"/>
      <c r="AG62" s="165"/>
      <c r="AH62" s="177"/>
      <c r="AI62" s="158"/>
      <c r="AJ62" s="180"/>
      <c r="AK62" s="180"/>
      <c r="AL62" s="180"/>
      <c r="AM62" s="345"/>
      <c r="AN62" s="345"/>
      <c r="AO62" s="177"/>
      <c r="AP62" s="158"/>
      <c r="AQ62" s="177"/>
      <c r="AR62" s="180"/>
      <c r="AS62" s="158"/>
      <c r="AT62" s="344"/>
      <c r="AU62" s="158"/>
      <c r="AV62" s="345"/>
      <c r="AW62" s="155">
        <f t="shared" si="18"/>
        <v>0</v>
      </c>
      <c r="AX62" s="155">
        <f t="shared" si="19"/>
        <v>0</v>
      </c>
      <c r="AY62" s="155">
        <f>IF(MatchDay!$C$2="LOWER",COUNTA(AF62:AH62),0)</f>
        <v>0</v>
      </c>
      <c r="BA62" s="157" t="s">
        <v>912</v>
      </c>
      <c r="BB62" s="171"/>
      <c r="BC62" s="165"/>
      <c r="BD62" s="171"/>
      <c r="BE62" s="344"/>
      <c r="BF62" s="171"/>
      <c r="BG62" s="165"/>
      <c r="BH62" s="171"/>
      <c r="BI62" s="158"/>
      <c r="BJ62" s="180"/>
      <c r="BK62" s="180"/>
      <c r="BL62" s="180"/>
      <c r="BM62" s="345"/>
      <c r="BN62" s="345"/>
      <c r="BO62" s="171"/>
      <c r="BP62" s="158"/>
      <c r="BQ62" s="171"/>
      <c r="BR62" s="180"/>
      <c r="BS62" s="158"/>
      <c r="BT62" s="344"/>
      <c r="BU62" s="158"/>
      <c r="BV62" s="345"/>
      <c r="BW62" s="155">
        <f t="shared" si="20"/>
        <v>0</v>
      </c>
      <c r="BX62" s="155">
        <f t="shared" si="21"/>
        <v>0</v>
      </c>
      <c r="BY62" s="155">
        <f>IF(MatchDay!$C$2="LOWER",COUNTA(BF62:BH62),0)</f>
        <v>0</v>
      </c>
      <c r="CA62" s="157" t="s">
        <v>912</v>
      </c>
      <c r="CB62" s="177"/>
      <c r="CC62" s="165"/>
      <c r="CD62" s="177"/>
      <c r="CE62" s="344"/>
      <c r="CF62" s="177"/>
      <c r="CG62" s="165"/>
      <c r="CH62" s="177"/>
      <c r="CI62" s="158"/>
      <c r="CJ62" s="180"/>
      <c r="CK62" s="180"/>
      <c r="CL62" s="180"/>
      <c r="CM62" s="345"/>
      <c r="CN62" s="345"/>
      <c r="CO62" s="177"/>
      <c r="CP62" s="158"/>
      <c r="CQ62" s="177"/>
      <c r="CR62" s="180"/>
      <c r="CS62" s="158"/>
      <c r="CT62" s="344"/>
      <c r="CU62" s="158"/>
      <c r="CV62" s="345"/>
      <c r="CW62" s="155">
        <f t="shared" si="22"/>
        <v>0</v>
      </c>
      <c r="CX62" s="155">
        <f t="shared" si="23"/>
        <v>0</v>
      </c>
      <c r="CY62" s="155">
        <f>IF(MatchDay!$C$2="LOWER",COUNTA(CF62:CH62),0)</f>
        <v>0</v>
      </c>
      <c r="DA62" s="157" t="s">
        <v>912</v>
      </c>
      <c r="DB62" s="171"/>
      <c r="DC62" s="165"/>
      <c r="DD62" s="171"/>
      <c r="DE62" s="344"/>
      <c r="DF62" s="171"/>
      <c r="DG62" s="165"/>
      <c r="DH62" s="171"/>
      <c r="DI62" s="158"/>
      <c r="DJ62" s="180"/>
      <c r="DK62" s="180"/>
      <c r="DL62" s="180"/>
      <c r="DM62" s="345"/>
      <c r="DN62" s="345"/>
      <c r="DO62" s="171"/>
      <c r="DP62" s="158"/>
      <c r="DQ62" s="171"/>
      <c r="DR62" s="180"/>
      <c r="DS62" s="158"/>
      <c r="DT62" s="344"/>
      <c r="DU62" s="158"/>
      <c r="DV62" s="345"/>
      <c r="DW62" s="155">
        <f t="shared" si="24"/>
        <v>0</v>
      </c>
      <c r="DX62" s="155">
        <f t="shared" si="25"/>
        <v>0</v>
      </c>
      <c r="DY62" s="155">
        <f>IF(MatchDay!$C$2="LOWER",COUNTA(DF62:DH62),0)</f>
        <v>0</v>
      </c>
      <c r="EA62" s="157" t="s">
        <v>912</v>
      </c>
      <c r="EB62" s="177"/>
      <c r="EC62" s="165"/>
      <c r="ED62" s="177"/>
      <c r="EE62" s="344"/>
      <c r="EF62" s="177"/>
      <c r="EG62" s="165"/>
      <c r="EH62" s="177"/>
      <c r="EI62" s="158"/>
      <c r="EJ62" s="180"/>
      <c r="EK62" s="180"/>
      <c r="EL62" s="180"/>
      <c r="EM62" s="345"/>
      <c r="EN62" s="345"/>
      <c r="EO62" s="177"/>
      <c r="EP62" s="158"/>
      <c r="EQ62" s="177"/>
      <c r="ER62" s="180"/>
      <c r="ES62" s="158"/>
      <c r="ET62" s="344"/>
      <c r="EU62" s="158"/>
      <c r="EV62" s="345"/>
      <c r="EW62" s="155">
        <f t="shared" si="26"/>
        <v>0</v>
      </c>
      <c r="EX62" s="155">
        <f t="shared" si="27"/>
        <v>0</v>
      </c>
      <c r="EY62" s="155">
        <f>IF(MatchDay!$C$2="LOWER",COUNTA(EF62:EH62),0)</f>
        <v>0</v>
      </c>
      <c r="FA62" s="157" t="s">
        <v>912</v>
      </c>
      <c r="FB62" s="171"/>
      <c r="FC62" s="165"/>
      <c r="FD62" s="171"/>
      <c r="FE62" s="344"/>
      <c r="FF62" s="171"/>
      <c r="FG62" s="165"/>
      <c r="FH62" s="171"/>
      <c r="FI62" s="158"/>
      <c r="FJ62" s="180"/>
      <c r="FK62" s="180"/>
      <c r="FL62" s="180"/>
      <c r="FM62" s="345"/>
      <c r="FN62" s="345"/>
      <c r="FO62" s="171"/>
      <c r="FP62" s="158"/>
      <c r="FQ62" s="171"/>
      <c r="FR62" s="180"/>
      <c r="FS62" s="158"/>
      <c r="FT62" s="344"/>
      <c r="FU62" s="158"/>
      <c r="FV62" s="345"/>
      <c r="FW62" s="155">
        <f t="shared" si="28"/>
        <v>0</v>
      </c>
      <c r="FX62" s="155">
        <f t="shared" si="29"/>
        <v>0</v>
      </c>
      <c r="FY62" s="155">
        <f>IF(MatchDay!$C$2="LOWER",COUNTA(FF62:FH62),0)</f>
        <v>0</v>
      </c>
      <c r="GA62" s="157" t="s">
        <v>912</v>
      </c>
      <c r="GB62" s="177"/>
      <c r="GC62" s="165"/>
      <c r="GD62" s="177"/>
      <c r="GE62" s="344"/>
      <c r="GF62" s="177"/>
      <c r="GG62" s="165"/>
      <c r="GH62" s="177"/>
      <c r="GI62" s="158"/>
      <c r="GJ62" s="180"/>
      <c r="GK62" s="180"/>
      <c r="GL62" s="180"/>
      <c r="GM62" s="345"/>
      <c r="GN62" s="345"/>
      <c r="GO62" s="177"/>
      <c r="GP62" s="158"/>
      <c r="GQ62" s="177"/>
      <c r="GR62" s="180"/>
      <c r="GS62" s="158"/>
      <c r="GT62" s="344"/>
      <c r="GU62" s="158"/>
      <c r="GV62" s="345"/>
      <c r="GW62" s="155">
        <f t="shared" si="30"/>
        <v>0</v>
      </c>
      <c r="GX62" s="155">
        <f t="shared" si="31"/>
        <v>0</v>
      </c>
      <c r="GY62" s="155">
        <f>IF(MatchDay!$C$2="LOWER",COUNTA(GF62:GH62),0)</f>
        <v>0</v>
      </c>
    </row>
    <row r="63" spans="1:207" ht="16.5" customHeight="1" x14ac:dyDescent="0.45">
      <c r="A63" s="157" t="s">
        <v>912</v>
      </c>
      <c r="B63" s="171"/>
      <c r="C63" s="165"/>
      <c r="D63" s="171"/>
      <c r="E63" s="344"/>
      <c r="F63" s="171"/>
      <c r="G63" s="165"/>
      <c r="H63" s="171"/>
      <c r="I63" s="158"/>
      <c r="J63" s="180"/>
      <c r="K63" s="180"/>
      <c r="L63" s="180"/>
      <c r="M63" s="345"/>
      <c r="N63" s="345"/>
      <c r="O63" s="171"/>
      <c r="P63" s="158"/>
      <c r="Q63" s="171"/>
      <c r="R63" s="180"/>
      <c r="S63" s="158"/>
      <c r="T63" s="344"/>
      <c r="U63" s="158"/>
      <c r="V63" s="345"/>
      <c r="W63" s="155">
        <f t="shared" si="16"/>
        <v>0</v>
      </c>
      <c r="X63" s="155">
        <f t="shared" si="17"/>
        <v>0</v>
      </c>
      <c r="Y63" s="155">
        <f>IF(MatchDay!$C$2="LOWER",COUNTA(F63:H63),0)</f>
        <v>0</v>
      </c>
      <c r="AA63" s="157" t="s">
        <v>912</v>
      </c>
      <c r="AB63" s="177"/>
      <c r="AC63" s="165"/>
      <c r="AD63" s="177"/>
      <c r="AE63" s="344"/>
      <c r="AF63" s="177"/>
      <c r="AG63" s="165"/>
      <c r="AH63" s="177"/>
      <c r="AI63" s="158"/>
      <c r="AJ63" s="180"/>
      <c r="AK63" s="180"/>
      <c r="AL63" s="180"/>
      <c r="AM63" s="345"/>
      <c r="AN63" s="345"/>
      <c r="AO63" s="177"/>
      <c r="AP63" s="158"/>
      <c r="AQ63" s="177"/>
      <c r="AR63" s="180"/>
      <c r="AS63" s="158"/>
      <c r="AT63" s="344"/>
      <c r="AU63" s="158"/>
      <c r="AV63" s="345"/>
      <c r="AW63" s="155">
        <f t="shared" si="18"/>
        <v>0</v>
      </c>
      <c r="AX63" s="155">
        <f t="shared" si="19"/>
        <v>0</v>
      </c>
      <c r="AY63" s="155">
        <f>IF(MatchDay!$C$2="LOWER",COUNTA(AF63:AH63),0)</f>
        <v>0</v>
      </c>
      <c r="BA63" s="157" t="s">
        <v>912</v>
      </c>
      <c r="BB63" s="171"/>
      <c r="BC63" s="165"/>
      <c r="BD63" s="171"/>
      <c r="BE63" s="344"/>
      <c r="BF63" s="171"/>
      <c r="BG63" s="165"/>
      <c r="BH63" s="171"/>
      <c r="BI63" s="158"/>
      <c r="BJ63" s="180"/>
      <c r="BK63" s="180"/>
      <c r="BL63" s="180"/>
      <c r="BM63" s="345"/>
      <c r="BN63" s="345"/>
      <c r="BO63" s="171"/>
      <c r="BP63" s="158"/>
      <c r="BQ63" s="171"/>
      <c r="BR63" s="180"/>
      <c r="BS63" s="158"/>
      <c r="BT63" s="344"/>
      <c r="BU63" s="158"/>
      <c r="BV63" s="345"/>
      <c r="BW63" s="155">
        <f t="shared" si="20"/>
        <v>0</v>
      </c>
      <c r="BX63" s="155">
        <f t="shared" si="21"/>
        <v>0</v>
      </c>
      <c r="BY63" s="155">
        <f>IF(MatchDay!$C$2="LOWER",COUNTA(BF63:BH63),0)</f>
        <v>0</v>
      </c>
      <c r="CA63" s="157" t="s">
        <v>912</v>
      </c>
      <c r="CB63" s="177"/>
      <c r="CC63" s="165"/>
      <c r="CD63" s="177"/>
      <c r="CE63" s="344"/>
      <c r="CF63" s="177"/>
      <c r="CG63" s="165"/>
      <c r="CH63" s="177"/>
      <c r="CI63" s="158"/>
      <c r="CJ63" s="180"/>
      <c r="CK63" s="180"/>
      <c r="CL63" s="180"/>
      <c r="CM63" s="345"/>
      <c r="CN63" s="345"/>
      <c r="CO63" s="177"/>
      <c r="CP63" s="158"/>
      <c r="CQ63" s="177"/>
      <c r="CR63" s="180"/>
      <c r="CS63" s="158"/>
      <c r="CT63" s="344"/>
      <c r="CU63" s="158"/>
      <c r="CV63" s="345"/>
      <c r="CW63" s="155">
        <f t="shared" si="22"/>
        <v>0</v>
      </c>
      <c r="CX63" s="155">
        <f t="shared" si="23"/>
        <v>0</v>
      </c>
      <c r="CY63" s="155">
        <f>IF(MatchDay!$C$2="LOWER",COUNTA(CF63:CH63),0)</f>
        <v>0</v>
      </c>
      <c r="DA63" s="157" t="s">
        <v>912</v>
      </c>
      <c r="DB63" s="171"/>
      <c r="DC63" s="165"/>
      <c r="DD63" s="171"/>
      <c r="DE63" s="344"/>
      <c r="DF63" s="171"/>
      <c r="DG63" s="165"/>
      <c r="DH63" s="171"/>
      <c r="DI63" s="158"/>
      <c r="DJ63" s="180"/>
      <c r="DK63" s="180"/>
      <c r="DL63" s="180"/>
      <c r="DM63" s="345"/>
      <c r="DN63" s="345"/>
      <c r="DO63" s="171"/>
      <c r="DP63" s="158"/>
      <c r="DQ63" s="171"/>
      <c r="DR63" s="180"/>
      <c r="DS63" s="158"/>
      <c r="DT63" s="344"/>
      <c r="DU63" s="158"/>
      <c r="DV63" s="345"/>
      <c r="DW63" s="155">
        <f t="shared" si="24"/>
        <v>0</v>
      </c>
      <c r="DX63" s="155">
        <f t="shared" si="25"/>
        <v>0</v>
      </c>
      <c r="DY63" s="155">
        <f>IF(MatchDay!$C$2="LOWER",COUNTA(DF63:DH63),0)</f>
        <v>0</v>
      </c>
      <c r="EA63" s="157" t="s">
        <v>912</v>
      </c>
      <c r="EB63" s="177"/>
      <c r="EC63" s="165"/>
      <c r="ED63" s="177"/>
      <c r="EE63" s="344"/>
      <c r="EF63" s="177"/>
      <c r="EG63" s="165"/>
      <c r="EH63" s="177"/>
      <c r="EI63" s="158"/>
      <c r="EJ63" s="180"/>
      <c r="EK63" s="180"/>
      <c r="EL63" s="180"/>
      <c r="EM63" s="345"/>
      <c r="EN63" s="345"/>
      <c r="EO63" s="177"/>
      <c r="EP63" s="158"/>
      <c r="EQ63" s="177"/>
      <c r="ER63" s="180"/>
      <c r="ES63" s="158"/>
      <c r="ET63" s="344"/>
      <c r="EU63" s="158"/>
      <c r="EV63" s="345"/>
      <c r="EW63" s="155">
        <f t="shared" si="26"/>
        <v>0</v>
      </c>
      <c r="EX63" s="155">
        <f t="shared" si="27"/>
        <v>0</v>
      </c>
      <c r="EY63" s="155">
        <f>IF(MatchDay!$C$2="LOWER",COUNTA(EF63:EH63),0)</f>
        <v>0</v>
      </c>
      <c r="FA63" s="157" t="s">
        <v>912</v>
      </c>
      <c r="FB63" s="171"/>
      <c r="FC63" s="165"/>
      <c r="FD63" s="171"/>
      <c r="FE63" s="344"/>
      <c r="FF63" s="171"/>
      <c r="FG63" s="165"/>
      <c r="FH63" s="171"/>
      <c r="FI63" s="158"/>
      <c r="FJ63" s="180"/>
      <c r="FK63" s="180"/>
      <c r="FL63" s="180"/>
      <c r="FM63" s="345"/>
      <c r="FN63" s="345"/>
      <c r="FO63" s="171"/>
      <c r="FP63" s="158"/>
      <c r="FQ63" s="171"/>
      <c r="FR63" s="180"/>
      <c r="FS63" s="158"/>
      <c r="FT63" s="344"/>
      <c r="FU63" s="158"/>
      <c r="FV63" s="345"/>
      <c r="FW63" s="155">
        <f t="shared" si="28"/>
        <v>0</v>
      </c>
      <c r="FX63" s="155">
        <f t="shared" si="29"/>
        <v>0</v>
      </c>
      <c r="FY63" s="155">
        <f>IF(MatchDay!$C$2="LOWER",COUNTA(FF63:FH63),0)</f>
        <v>0</v>
      </c>
      <c r="GA63" s="157" t="s">
        <v>912</v>
      </c>
      <c r="GB63" s="177"/>
      <c r="GC63" s="165"/>
      <c r="GD63" s="177"/>
      <c r="GE63" s="344"/>
      <c r="GF63" s="177"/>
      <c r="GG63" s="165"/>
      <c r="GH63" s="177"/>
      <c r="GI63" s="158"/>
      <c r="GJ63" s="180"/>
      <c r="GK63" s="180"/>
      <c r="GL63" s="180"/>
      <c r="GM63" s="345"/>
      <c r="GN63" s="345"/>
      <c r="GO63" s="177"/>
      <c r="GP63" s="158"/>
      <c r="GQ63" s="177"/>
      <c r="GR63" s="180"/>
      <c r="GS63" s="158"/>
      <c r="GT63" s="344"/>
      <c r="GU63" s="158"/>
      <c r="GV63" s="345"/>
      <c r="GW63" s="155">
        <f t="shared" si="30"/>
        <v>0</v>
      </c>
      <c r="GX63" s="155">
        <f t="shared" si="31"/>
        <v>0</v>
      </c>
      <c r="GY63" s="155">
        <f>IF(MatchDay!$C$2="LOWER",COUNTA(GF63:GH63),0)</f>
        <v>0</v>
      </c>
    </row>
    <row r="64" spans="1:207" ht="16.5" customHeight="1" x14ac:dyDescent="0.45">
      <c r="A64" s="157" t="s">
        <v>912</v>
      </c>
      <c r="B64" s="171"/>
      <c r="C64" s="165"/>
      <c r="D64" s="171"/>
      <c r="E64" s="344"/>
      <c r="F64" s="171"/>
      <c r="G64" s="165"/>
      <c r="H64" s="171"/>
      <c r="I64" s="158"/>
      <c r="J64" s="180"/>
      <c r="K64" s="180"/>
      <c r="L64" s="180"/>
      <c r="M64" s="345"/>
      <c r="N64" s="345"/>
      <c r="O64" s="171"/>
      <c r="P64" s="158"/>
      <c r="Q64" s="171"/>
      <c r="R64" s="180"/>
      <c r="S64" s="158"/>
      <c r="T64" s="344"/>
      <c r="U64" s="158"/>
      <c r="V64" s="345"/>
      <c r="W64" s="155">
        <f t="shared" si="16"/>
        <v>0</v>
      </c>
      <c r="X64" s="155">
        <f t="shared" si="17"/>
        <v>0</v>
      </c>
      <c r="Y64" s="155">
        <f>IF(MatchDay!$C$2="LOWER",COUNTA(F64:H64),0)</f>
        <v>0</v>
      </c>
      <c r="AA64" s="157" t="s">
        <v>912</v>
      </c>
      <c r="AB64" s="177"/>
      <c r="AC64" s="165"/>
      <c r="AD64" s="177"/>
      <c r="AE64" s="344"/>
      <c r="AF64" s="177"/>
      <c r="AG64" s="165"/>
      <c r="AH64" s="177"/>
      <c r="AI64" s="158"/>
      <c r="AJ64" s="180"/>
      <c r="AK64" s="180"/>
      <c r="AL64" s="180"/>
      <c r="AM64" s="345"/>
      <c r="AN64" s="345"/>
      <c r="AO64" s="177"/>
      <c r="AP64" s="158"/>
      <c r="AQ64" s="177"/>
      <c r="AR64" s="180"/>
      <c r="AS64" s="158"/>
      <c r="AT64" s="344"/>
      <c r="AU64" s="158"/>
      <c r="AV64" s="345"/>
      <c r="AW64" s="155">
        <f t="shared" si="18"/>
        <v>0</v>
      </c>
      <c r="AX64" s="155">
        <f t="shared" si="19"/>
        <v>0</v>
      </c>
      <c r="AY64" s="155">
        <f>IF(MatchDay!$C$2="LOWER",COUNTA(AF64:AH64),0)</f>
        <v>0</v>
      </c>
      <c r="BA64" s="157" t="s">
        <v>912</v>
      </c>
      <c r="BB64" s="171"/>
      <c r="BC64" s="165"/>
      <c r="BD64" s="171"/>
      <c r="BE64" s="344"/>
      <c r="BF64" s="171"/>
      <c r="BG64" s="165"/>
      <c r="BH64" s="171"/>
      <c r="BI64" s="158"/>
      <c r="BJ64" s="180"/>
      <c r="BK64" s="180"/>
      <c r="BL64" s="180"/>
      <c r="BM64" s="345"/>
      <c r="BN64" s="345"/>
      <c r="BO64" s="171"/>
      <c r="BP64" s="158"/>
      <c r="BQ64" s="171"/>
      <c r="BR64" s="180"/>
      <c r="BS64" s="158"/>
      <c r="BT64" s="344"/>
      <c r="BU64" s="158"/>
      <c r="BV64" s="345"/>
      <c r="BW64" s="155">
        <f t="shared" si="20"/>
        <v>0</v>
      </c>
      <c r="BX64" s="155">
        <f t="shared" si="21"/>
        <v>0</v>
      </c>
      <c r="BY64" s="155">
        <f>IF(MatchDay!$C$2="LOWER",COUNTA(BF64:BH64),0)</f>
        <v>0</v>
      </c>
      <c r="CA64" s="157" t="s">
        <v>912</v>
      </c>
      <c r="CB64" s="177"/>
      <c r="CC64" s="165"/>
      <c r="CD64" s="177"/>
      <c r="CE64" s="344"/>
      <c r="CF64" s="177"/>
      <c r="CG64" s="165"/>
      <c r="CH64" s="177"/>
      <c r="CI64" s="158"/>
      <c r="CJ64" s="180"/>
      <c r="CK64" s="180"/>
      <c r="CL64" s="180"/>
      <c r="CM64" s="345"/>
      <c r="CN64" s="345"/>
      <c r="CO64" s="177"/>
      <c r="CP64" s="158"/>
      <c r="CQ64" s="177"/>
      <c r="CR64" s="180"/>
      <c r="CS64" s="158"/>
      <c r="CT64" s="344"/>
      <c r="CU64" s="158"/>
      <c r="CV64" s="345"/>
      <c r="CW64" s="155">
        <f t="shared" si="22"/>
        <v>0</v>
      </c>
      <c r="CX64" s="155">
        <f t="shared" si="23"/>
        <v>0</v>
      </c>
      <c r="CY64" s="155">
        <f>IF(MatchDay!$C$2="LOWER",COUNTA(CF64:CH64),0)</f>
        <v>0</v>
      </c>
      <c r="DA64" s="157" t="s">
        <v>912</v>
      </c>
      <c r="DB64" s="171"/>
      <c r="DC64" s="165"/>
      <c r="DD64" s="171"/>
      <c r="DE64" s="344"/>
      <c r="DF64" s="171"/>
      <c r="DG64" s="165"/>
      <c r="DH64" s="171"/>
      <c r="DI64" s="158"/>
      <c r="DJ64" s="180"/>
      <c r="DK64" s="180"/>
      <c r="DL64" s="180"/>
      <c r="DM64" s="345"/>
      <c r="DN64" s="345"/>
      <c r="DO64" s="171"/>
      <c r="DP64" s="158"/>
      <c r="DQ64" s="171"/>
      <c r="DR64" s="180"/>
      <c r="DS64" s="158"/>
      <c r="DT64" s="344"/>
      <c r="DU64" s="158"/>
      <c r="DV64" s="345"/>
      <c r="DW64" s="155">
        <f t="shared" si="24"/>
        <v>0</v>
      </c>
      <c r="DX64" s="155">
        <f t="shared" si="25"/>
        <v>0</v>
      </c>
      <c r="DY64" s="155">
        <f>IF(MatchDay!$C$2="LOWER",COUNTA(DF64:DH64),0)</f>
        <v>0</v>
      </c>
      <c r="EA64" s="157" t="s">
        <v>912</v>
      </c>
      <c r="EB64" s="177"/>
      <c r="EC64" s="165"/>
      <c r="ED64" s="177"/>
      <c r="EE64" s="344"/>
      <c r="EF64" s="177"/>
      <c r="EG64" s="165"/>
      <c r="EH64" s="177"/>
      <c r="EI64" s="158"/>
      <c r="EJ64" s="180"/>
      <c r="EK64" s="180"/>
      <c r="EL64" s="180"/>
      <c r="EM64" s="345"/>
      <c r="EN64" s="345"/>
      <c r="EO64" s="177"/>
      <c r="EP64" s="158"/>
      <c r="EQ64" s="177"/>
      <c r="ER64" s="180"/>
      <c r="ES64" s="158"/>
      <c r="ET64" s="344"/>
      <c r="EU64" s="158"/>
      <c r="EV64" s="345"/>
      <c r="EW64" s="155">
        <f t="shared" si="26"/>
        <v>0</v>
      </c>
      <c r="EX64" s="155">
        <f t="shared" si="27"/>
        <v>0</v>
      </c>
      <c r="EY64" s="155">
        <f>IF(MatchDay!$C$2="LOWER",COUNTA(EF64:EH64),0)</f>
        <v>0</v>
      </c>
      <c r="FA64" s="157" t="s">
        <v>912</v>
      </c>
      <c r="FB64" s="171"/>
      <c r="FC64" s="165"/>
      <c r="FD64" s="171"/>
      <c r="FE64" s="344"/>
      <c r="FF64" s="171"/>
      <c r="FG64" s="165"/>
      <c r="FH64" s="171"/>
      <c r="FI64" s="158"/>
      <c r="FJ64" s="180"/>
      <c r="FK64" s="180"/>
      <c r="FL64" s="180"/>
      <c r="FM64" s="345"/>
      <c r="FN64" s="345"/>
      <c r="FO64" s="171"/>
      <c r="FP64" s="158"/>
      <c r="FQ64" s="171"/>
      <c r="FR64" s="180"/>
      <c r="FS64" s="158"/>
      <c r="FT64" s="344"/>
      <c r="FU64" s="158"/>
      <c r="FV64" s="345"/>
      <c r="FW64" s="155">
        <f t="shared" si="28"/>
        <v>0</v>
      </c>
      <c r="FX64" s="155">
        <f t="shared" si="29"/>
        <v>0</v>
      </c>
      <c r="FY64" s="155">
        <f>IF(MatchDay!$C$2="LOWER",COUNTA(FF64:FH64),0)</f>
        <v>0</v>
      </c>
      <c r="GA64" s="157" t="s">
        <v>912</v>
      </c>
      <c r="GB64" s="177"/>
      <c r="GC64" s="165"/>
      <c r="GD64" s="177"/>
      <c r="GE64" s="344"/>
      <c r="GF64" s="177"/>
      <c r="GG64" s="165"/>
      <c r="GH64" s="177"/>
      <c r="GI64" s="158"/>
      <c r="GJ64" s="180"/>
      <c r="GK64" s="180"/>
      <c r="GL64" s="180"/>
      <c r="GM64" s="345"/>
      <c r="GN64" s="345"/>
      <c r="GO64" s="177"/>
      <c r="GP64" s="158"/>
      <c r="GQ64" s="177"/>
      <c r="GR64" s="180"/>
      <c r="GS64" s="158"/>
      <c r="GT64" s="344"/>
      <c r="GU64" s="158"/>
      <c r="GV64" s="345"/>
      <c r="GW64" s="155">
        <f t="shared" si="30"/>
        <v>0</v>
      </c>
      <c r="GX64" s="155">
        <f t="shared" si="31"/>
        <v>0</v>
      </c>
      <c r="GY64" s="155">
        <f>IF(MatchDay!$C$2="LOWER",COUNTA(GF64:GH64),0)</f>
        <v>0</v>
      </c>
    </row>
    <row r="65" spans="1:207" ht="16.5" customHeight="1" x14ac:dyDescent="0.45">
      <c r="A65" s="157" t="s">
        <v>912</v>
      </c>
      <c r="B65" s="171"/>
      <c r="C65" s="165"/>
      <c r="D65" s="171"/>
      <c r="E65" s="344"/>
      <c r="F65" s="171"/>
      <c r="G65" s="165"/>
      <c r="H65" s="171"/>
      <c r="I65" s="158"/>
      <c r="J65" s="180"/>
      <c r="K65" s="180"/>
      <c r="L65" s="180"/>
      <c r="M65" s="345"/>
      <c r="N65" s="345"/>
      <c r="O65" s="171"/>
      <c r="P65" s="158"/>
      <c r="Q65" s="171"/>
      <c r="R65" s="180"/>
      <c r="S65" s="158"/>
      <c r="T65" s="344"/>
      <c r="U65" s="158"/>
      <c r="V65" s="345"/>
      <c r="W65" s="155">
        <f t="shared" si="16"/>
        <v>0</v>
      </c>
      <c r="X65" s="155">
        <f t="shared" si="17"/>
        <v>0</v>
      </c>
      <c r="Y65" s="155">
        <f>IF(MatchDay!$C$2="LOWER",COUNTA(F65:H65),0)</f>
        <v>0</v>
      </c>
      <c r="AA65" s="157" t="s">
        <v>912</v>
      </c>
      <c r="AB65" s="177"/>
      <c r="AC65" s="165"/>
      <c r="AD65" s="177"/>
      <c r="AE65" s="344"/>
      <c r="AF65" s="177"/>
      <c r="AG65" s="165"/>
      <c r="AH65" s="177"/>
      <c r="AI65" s="158"/>
      <c r="AJ65" s="180"/>
      <c r="AK65" s="180"/>
      <c r="AL65" s="180"/>
      <c r="AM65" s="345"/>
      <c r="AN65" s="345"/>
      <c r="AO65" s="177"/>
      <c r="AP65" s="158"/>
      <c r="AQ65" s="177"/>
      <c r="AR65" s="180"/>
      <c r="AS65" s="158"/>
      <c r="AT65" s="344"/>
      <c r="AU65" s="158"/>
      <c r="AV65" s="345"/>
      <c r="AW65" s="155">
        <f t="shared" si="18"/>
        <v>0</v>
      </c>
      <c r="AX65" s="155">
        <f t="shared" si="19"/>
        <v>0</v>
      </c>
      <c r="AY65" s="155">
        <f>IF(MatchDay!$C$2="LOWER",COUNTA(AF65:AH65),0)</f>
        <v>0</v>
      </c>
      <c r="BA65" s="157" t="s">
        <v>912</v>
      </c>
      <c r="BB65" s="171"/>
      <c r="BC65" s="165"/>
      <c r="BD65" s="171"/>
      <c r="BE65" s="344"/>
      <c r="BF65" s="171"/>
      <c r="BG65" s="165"/>
      <c r="BH65" s="171"/>
      <c r="BI65" s="158"/>
      <c r="BJ65" s="180"/>
      <c r="BK65" s="180"/>
      <c r="BL65" s="180"/>
      <c r="BM65" s="345"/>
      <c r="BN65" s="345"/>
      <c r="BO65" s="171"/>
      <c r="BP65" s="158"/>
      <c r="BQ65" s="171"/>
      <c r="BR65" s="180"/>
      <c r="BS65" s="158"/>
      <c r="BT65" s="344"/>
      <c r="BU65" s="158"/>
      <c r="BV65" s="345"/>
      <c r="BW65" s="155">
        <f t="shared" si="20"/>
        <v>0</v>
      </c>
      <c r="BX65" s="155">
        <f t="shared" si="21"/>
        <v>0</v>
      </c>
      <c r="BY65" s="155">
        <f>IF(MatchDay!$C$2="LOWER",COUNTA(BF65:BH65),0)</f>
        <v>0</v>
      </c>
      <c r="CA65" s="157" t="s">
        <v>912</v>
      </c>
      <c r="CB65" s="177"/>
      <c r="CC65" s="165"/>
      <c r="CD65" s="177"/>
      <c r="CE65" s="344"/>
      <c r="CF65" s="177"/>
      <c r="CG65" s="165"/>
      <c r="CH65" s="177"/>
      <c r="CI65" s="158"/>
      <c r="CJ65" s="180"/>
      <c r="CK65" s="180"/>
      <c r="CL65" s="180"/>
      <c r="CM65" s="345"/>
      <c r="CN65" s="345"/>
      <c r="CO65" s="177"/>
      <c r="CP65" s="158"/>
      <c r="CQ65" s="177"/>
      <c r="CR65" s="180"/>
      <c r="CS65" s="158"/>
      <c r="CT65" s="344"/>
      <c r="CU65" s="158"/>
      <c r="CV65" s="345"/>
      <c r="CW65" s="155">
        <f t="shared" si="22"/>
        <v>0</v>
      </c>
      <c r="CX65" s="155">
        <f t="shared" si="23"/>
        <v>0</v>
      </c>
      <c r="CY65" s="155">
        <f>IF(MatchDay!$C$2="LOWER",COUNTA(CF65:CH65),0)</f>
        <v>0</v>
      </c>
      <c r="DA65" s="157" t="s">
        <v>912</v>
      </c>
      <c r="DB65" s="171"/>
      <c r="DC65" s="165"/>
      <c r="DD65" s="171"/>
      <c r="DE65" s="344"/>
      <c r="DF65" s="171"/>
      <c r="DG65" s="165"/>
      <c r="DH65" s="171"/>
      <c r="DI65" s="158"/>
      <c r="DJ65" s="180"/>
      <c r="DK65" s="180"/>
      <c r="DL65" s="180"/>
      <c r="DM65" s="345"/>
      <c r="DN65" s="345"/>
      <c r="DO65" s="171"/>
      <c r="DP65" s="158"/>
      <c r="DQ65" s="171"/>
      <c r="DR65" s="180"/>
      <c r="DS65" s="158"/>
      <c r="DT65" s="344"/>
      <c r="DU65" s="158"/>
      <c r="DV65" s="345"/>
      <c r="DW65" s="155">
        <f t="shared" si="24"/>
        <v>0</v>
      </c>
      <c r="DX65" s="155">
        <f t="shared" si="25"/>
        <v>0</v>
      </c>
      <c r="DY65" s="155">
        <f>IF(MatchDay!$C$2="LOWER",COUNTA(DF65:DH65),0)</f>
        <v>0</v>
      </c>
      <c r="EA65" s="157" t="s">
        <v>912</v>
      </c>
      <c r="EB65" s="177"/>
      <c r="EC65" s="165"/>
      <c r="ED65" s="177"/>
      <c r="EE65" s="344"/>
      <c r="EF65" s="177"/>
      <c r="EG65" s="165"/>
      <c r="EH65" s="177"/>
      <c r="EI65" s="158"/>
      <c r="EJ65" s="180"/>
      <c r="EK65" s="180"/>
      <c r="EL65" s="180"/>
      <c r="EM65" s="345"/>
      <c r="EN65" s="345"/>
      <c r="EO65" s="177"/>
      <c r="EP65" s="158"/>
      <c r="EQ65" s="177"/>
      <c r="ER65" s="180"/>
      <c r="ES65" s="158"/>
      <c r="ET65" s="344"/>
      <c r="EU65" s="158"/>
      <c r="EV65" s="345"/>
      <c r="EW65" s="155">
        <f t="shared" si="26"/>
        <v>0</v>
      </c>
      <c r="EX65" s="155">
        <f t="shared" si="27"/>
        <v>0</v>
      </c>
      <c r="EY65" s="155">
        <f>IF(MatchDay!$C$2="LOWER",COUNTA(EF65:EH65),0)</f>
        <v>0</v>
      </c>
      <c r="FA65" s="157" t="s">
        <v>912</v>
      </c>
      <c r="FB65" s="171"/>
      <c r="FC65" s="165"/>
      <c r="FD65" s="171"/>
      <c r="FE65" s="344"/>
      <c r="FF65" s="171"/>
      <c r="FG65" s="165"/>
      <c r="FH65" s="171"/>
      <c r="FI65" s="158"/>
      <c r="FJ65" s="180"/>
      <c r="FK65" s="180"/>
      <c r="FL65" s="180"/>
      <c r="FM65" s="345"/>
      <c r="FN65" s="345"/>
      <c r="FO65" s="171"/>
      <c r="FP65" s="158"/>
      <c r="FQ65" s="171"/>
      <c r="FR65" s="180"/>
      <c r="FS65" s="158"/>
      <c r="FT65" s="344"/>
      <c r="FU65" s="158"/>
      <c r="FV65" s="345"/>
      <c r="FW65" s="155">
        <f t="shared" si="28"/>
        <v>0</v>
      </c>
      <c r="FX65" s="155">
        <f t="shared" si="29"/>
        <v>0</v>
      </c>
      <c r="FY65" s="155">
        <f>IF(MatchDay!$C$2="LOWER",COUNTA(FF65:FH65),0)</f>
        <v>0</v>
      </c>
      <c r="GA65" s="157" t="s">
        <v>912</v>
      </c>
      <c r="GB65" s="177"/>
      <c r="GC65" s="165"/>
      <c r="GD65" s="177"/>
      <c r="GE65" s="344"/>
      <c r="GF65" s="177"/>
      <c r="GG65" s="165"/>
      <c r="GH65" s="177"/>
      <c r="GI65" s="158"/>
      <c r="GJ65" s="180"/>
      <c r="GK65" s="180"/>
      <c r="GL65" s="180"/>
      <c r="GM65" s="345"/>
      <c r="GN65" s="345"/>
      <c r="GO65" s="177"/>
      <c r="GP65" s="158"/>
      <c r="GQ65" s="177"/>
      <c r="GR65" s="180"/>
      <c r="GS65" s="158"/>
      <c r="GT65" s="344"/>
      <c r="GU65" s="158"/>
      <c r="GV65" s="345"/>
      <c r="GW65" s="155">
        <f t="shared" si="30"/>
        <v>0</v>
      </c>
      <c r="GX65" s="155">
        <f t="shared" si="31"/>
        <v>0</v>
      </c>
      <c r="GY65" s="155">
        <f>IF(MatchDay!$C$2="LOWER",COUNTA(GF65:GH65),0)</f>
        <v>0</v>
      </c>
    </row>
    <row r="66" spans="1:207" ht="16.5" customHeight="1" x14ac:dyDescent="0.45">
      <c r="A66" s="157" t="s">
        <v>912</v>
      </c>
      <c r="B66" s="171"/>
      <c r="C66" s="165"/>
      <c r="D66" s="171"/>
      <c r="E66" s="344"/>
      <c r="F66" s="171"/>
      <c r="G66" s="165"/>
      <c r="H66" s="171"/>
      <c r="I66" s="158"/>
      <c r="J66" s="180"/>
      <c r="K66" s="180"/>
      <c r="L66" s="180"/>
      <c r="M66" s="345"/>
      <c r="N66" s="345"/>
      <c r="O66" s="171"/>
      <c r="P66" s="158"/>
      <c r="Q66" s="171"/>
      <c r="R66" s="180"/>
      <c r="S66" s="158"/>
      <c r="T66" s="344"/>
      <c r="U66" s="158"/>
      <c r="V66" s="345"/>
      <c r="W66" s="155">
        <f t="shared" si="16"/>
        <v>0</v>
      </c>
      <c r="X66" s="155">
        <f t="shared" si="17"/>
        <v>0</v>
      </c>
      <c r="Y66" s="155">
        <f>IF(MatchDay!$C$2="LOWER",COUNTA(F66:H66),0)</f>
        <v>0</v>
      </c>
      <c r="AA66" s="157" t="s">
        <v>912</v>
      </c>
      <c r="AB66" s="177"/>
      <c r="AC66" s="165"/>
      <c r="AD66" s="177"/>
      <c r="AE66" s="344"/>
      <c r="AF66" s="177"/>
      <c r="AG66" s="165"/>
      <c r="AH66" s="177"/>
      <c r="AI66" s="158"/>
      <c r="AJ66" s="180"/>
      <c r="AK66" s="180"/>
      <c r="AL66" s="180"/>
      <c r="AM66" s="345"/>
      <c r="AN66" s="345"/>
      <c r="AO66" s="177"/>
      <c r="AP66" s="158"/>
      <c r="AQ66" s="177"/>
      <c r="AR66" s="180"/>
      <c r="AS66" s="158"/>
      <c r="AT66" s="344"/>
      <c r="AU66" s="158"/>
      <c r="AV66" s="345"/>
      <c r="AW66" s="155">
        <f t="shared" si="18"/>
        <v>0</v>
      </c>
      <c r="AX66" s="155">
        <f t="shared" si="19"/>
        <v>0</v>
      </c>
      <c r="AY66" s="155">
        <f>IF(MatchDay!$C$2="LOWER",COUNTA(AF66:AH66),0)</f>
        <v>0</v>
      </c>
      <c r="BA66" s="157" t="s">
        <v>912</v>
      </c>
      <c r="BB66" s="171"/>
      <c r="BC66" s="165"/>
      <c r="BD66" s="171"/>
      <c r="BE66" s="344"/>
      <c r="BF66" s="171"/>
      <c r="BG66" s="165"/>
      <c r="BH66" s="171"/>
      <c r="BI66" s="158"/>
      <c r="BJ66" s="180"/>
      <c r="BK66" s="180"/>
      <c r="BL66" s="180"/>
      <c r="BM66" s="345"/>
      <c r="BN66" s="345"/>
      <c r="BO66" s="171"/>
      <c r="BP66" s="158"/>
      <c r="BQ66" s="171"/>
      <c r="BR66" s="180"/>
      <c r="BS66" s="158"/>
      <c r="BT66" s="344"/>
      <c r="BU66" s="158"/>
      <c r="BV66" s="345"/>
      <c r="BW66" s="155">
        <f t="shared" si="20"/>
        <v>0</v>
      </c>
      <c r="BX66" s="155">
        <f t="shared" si="21"/>
        <v>0</v>
      </c>
      <c r="BY66" s="155">
        <f>IF(MatchDay!$C$2="LOWER",COUNTA(BF66:BH66),0)</f>
        <v>0</v>
      </c>
      <c r="CA66" s="157" t="s">
        <v>912</v>
      </c>
      <c r="CB66" s="177"/>
      <c r="CC66" s="165"/>
      <c r="CD66" s="177"/>
      <c r="CE66" s="344"/>
      <c r="CF66" s="177"/>
      <c r="CG66" s="165"/>
      <c r="CH66" s="177"/>
      <c r="CI66" s="158"/>
      <c r="CJ66" s="180"/>
      <c r="CK66" s="180"/>
      <c r="CL66" s="180"/>
      <c r="CM66" s="345"/>
      <c r="CN66" s="345"/>
      <c r="CO66" s="177"/>
      <c r="CP66" s="158"/>
      <c r="CQ66" s="177"/>
      <c r="CR66" s="180"/>
      <c r="CS66" s="158"/>
      <c r="CT66" s="344"/>
      <c r="CU66" s="158"/>
      <c r="CV66" s="345"/>
      <c r="CW66" s="155">
        <f t="shared" si="22"/>
        <v>0</v>
      </c>
      <c r="CX66" s="155">
        <f t="shared" si="23"/>
        <v>0</v>
      </c>
      <c r="CY66" s="155">
        <f>IF(MatchDay!$C$2="LOWER",COUNTA(CF66:CH66),0)</f>
        <v>0</v>
      </c>
      <c r="DA66" s="157" t="s">
        <v>912</v>
      </c>
      <c r="DB66" s="171"/>
      <c r="DC66" s="165"/>
      <c r="DD66" s="171"/>
      <c r="DE66" s="344"/>
      <c r="DF66" s="171"/>
      <c r="DG66" s="165"/>
      <c r="DH66" s="171"/>
      <c r="DI66" s="158"/>
      <c r="DJ66" s="180"/>
      <c r="DK66" s="180"/>
      <c r="DL66" s="180"/>
      <c r="DM66" s="345"/>
      <c r="DN66" s="345"/>
      <c r="DO66" s="171"/>
      <c r="DP66" s="158"/>
      <c r="DQ66" s="171"/>
      <c r="DR66" s="180"/>
      <c r="DS66" s="158"/>
      <c r="DT66" s="344"/>
      <c r="DU66" s="158"/>
      <c r="DV66" s="345"/>
      <c r="DW66" s="155">
        <f t="shared" si="24"/>
        <v>0</v>
      </c>
      <c r="DX66" s="155">
        <f t="shared" si="25"/>
        <v>0</v>
      </c>
      <c r="DY66" s="155">
        <f>IF(MatchDay!$C$2="LOWER",COUNTA(DF66:DH66),0)</f>
        <v>0</v>
      </c>
      <c r="EA66" s="157" t="s">
        <v>912</v>
      </c>
      <c r="EB66" s="177"/>
      <c r="EC66" s="165"/>
      <c r="ED66" s="177"/>
      <c r="EE66" s="344"/>
      <c r="EF66" s="177"/>
      <c r="EG66" s="165"/>
      <c r="EH66" s="177"/>
      <c r="EI66" s="158"/>
      <c r="EJ66" s="180"/>
      <c r="EK66" s="180"/>
      <c r="EL66" s="180"/>
      <c r="EM66" s="345"/>
      <c r="EN66" s="345"/>
      <c r="EO66" s="177"/>
      <c r="EP66" s="158"/>
      <c r="EQ66" s="177"/>
      <c r="ER66" s="180"/>
      <c r="ES66" s="158"/>
      <c r="ET66" s="344"/>
      <c r="EU66" s="158"/>
      <c r="EV66" s="345"/>
      <c r="EW66" s="155">
        <f t="shared" si="26"/>
        <v>0</v>
      </c>
      <c r="EX66" s="155">
        <f t="shared" si="27"/>
        <v>0</v>
      </c>
      <c r="EY66" s="155">
        <f>IF(MatchDay!$C$2="LOWER",COUNTA(EF66:EH66),0)</f>
        <v>0</v>
      </c>
      <c r="FA66" s="157" t="s">
        <v>912</v>
      </c>
      <c r="FB66" s="171"/>
      <c r="FC66" s="165"/>
      <c r="FD66" s="171"/>
      <c r="FE66" s="344"/>
      <c r="FF66" s="171"/>
      <c r="FG66" s="165"/>
      <c r="FH66" s="171"/>
      <c r="FI66" s="158"/>
      <c r="FJ66" s="180"/>
      <c r="FK66" s="180"/>
      <c r="FL66" s="180"/>
      <c r="FM66" s="345"/>
      <c r="FN66" s="345"/>
      <c r="FO66" s="171"/>
      <c r="FP66" s="158"/>
      <c r="FQ66" s="171"/>
      <c r="FR66" s="180"/>
      <c r="FS66" s="158"/>
      <c r="FT66" s="344"/>
      <c r="FU66" s="158"/>
      <c r="FV66" s="345"/>
      <c r="FW66" s="155">
        <f t="shared" si="28"/>
        <v>0</v>
      </c>
      <c r="FX66" s="155">
        <f t="shared" si="29"/>
        <v>0</v>
      </c>
      <c r="FY66" s="155">
        <f>IF(MatchDay!$C$2="LOWER",COUNTA(FF66:FH66),0)</f>
        <v>0</v>
      </c>
      <c r="GA66" s="157" t="s">
        <v>912</v>
      </c>
      <c r="GB66" s="177"/>
      <c r="GC66" s="165"/>
      <c r="GD66" s="177"/>
      <c r="GE66" s="344"/>
      <c r="GF66" s="177"/>
      <c r="GG66" s="165"/>
      <c r="GH66" s="177"/>
      <c r="GI66" s="158"/>
      <c r="GJ66" s="180"/>
      <c r="GK66" s="180"/>
      <c r="GL66" s="180"/>
      <c r="GM66" s="345"/>
      <c r="GN66" s="345"/>
      <c r="GO66" s="177"/>
      <c r="GP66" s="158"/>
      <c r="GQ66" s="177"/>
      <c r="GR66" s="180"/>
      <c r="GS66" s="158"/>
      <c r="GT66" s="344"/>
      <c r="GU66" s="158"/>
      <c r="GV66" s="345"/>
      <c r="GW66" s="155">
        <f t="shared" si="30"/>
        <v>0</v>
      </c>
      <c r="GX66" s="155">
        <f t="shared" si="31"/>
        <v>0</v>
      </c>
      <c r="GY66" s="155">
        <f>IF(MatchDay!$C$2="LOWER",COUNTA(GF66:GH66),0)</f>
        <v>0</v>
      </c>
    </row>
    <row r="67" spans="1:207" ht="16.5" customHeight="1" x14ac:dyDescent="0.45">
      <c r="A67" s="157" t="s">
        <v>912</v>
      </c>
      <c r="B67" s="171"/>
      <c r="C67" s="165"/>
      <c r="D67" s="171"/>
      <c r="E67" s="344"/>
      <c r="F67" s="171"/>
      <c r="G67" s="165"/>
      <c r="H67" s="171"/>
      <c r="I67" s="158"/>
      <c r="J67" s="180"/>
      <c r="K67" s="180"/>
      <c r="L67" s="180"/>
      <c r="M67" s="345"/>
      <c r="N67" s="345"/>
      <c r="O67" s="171"/>
      <c r="P67" s="158"/>
      <c r="Q67" s="171"/>
      <c r="R67" s="180"/>
      <c r="S67" s="158"/>
      <c r="T67" s="344"/>
      <c r="U67" s="158"/>
      <c r="V67" s="345"/>
      <c r="W67" s="155">
        <f t="shared" si="16"/>
        <v>0</v>
      </c>
      <c r="X67" s="155">
        <f t="shared" si="17"/>
        <v>0</v>
      </c>
      <c r="Y67" s="155">
        <f>IF(MatchDay!$C$2="LOWER",COUNTA(F67:H67),0)</f>
        <v>0</v>
      </c>
      <c r="AA67" s="157" t="s">
        <v>912</v>
      </c>
      <c r="AB67" s="177"/>
      <c r="AC67" s="165"/>
      <c r="AD67" s="177"/>
      <c r="AE67" s="344"/>
      <c r="AF67" s="177"/>
      <c r="AG67" s="165"/>
      <c r="AH67" s="177"/>
      <c r="AI67" s="158"/>
      <c r="AJ67" s="180"/>
      <c r="AK67" s="180"/>
      <c r="AL67" s="180"/>
      <c r="AM67" s="345"/>
      <c r="AN67" s="345"/>
      <c r="AO67" s="177"/>
      <c r="AP67" s="158"/>
      <c r="AQ67" s="177"/>
      <c r="AR67" s="180"/>
      <c r="AS67" s="158"/>
      <c r="AT67" s="344"/>
      <c r="AU67" s="158"/>
      <c r="AV67" s="345"/>
      <c r="AW67" s="155">
        <f t="shared" si="18"/>
        <v>0</v>
      </c>
      <c r="AX67" s="155">
        <f t="shared" si="19"/>
        <v>0</v>
      </c>
      <c r="AY67" s="155">
        <f>IF(MatchDay!$C$2="LOWER",COUNTA(AF67:AH67),0)</f>
        <v>0</v>
      </c>
      <c r="BA67" s="157" t="s">
        <v>912</v>
      </c>
      <c r="BB67" s="171"/>
      <c r="BC67" s="165"/>
      <c r="BD67" s="171"/>
      <c r="BE67" s="344"/>
      <c r="BF67" s="171"/>
      <c r="BG67" s="165"/>
      <c r="BH67" s="171"/>
      <c r="BI67" s="158"/>
      <c r="BJ67" s="180"/>
      <c r="BK67" s="180"/>
      <c r="BL67" s="180"/>
      <c r="BM67" s="345"/>
      <c r="BN67" s="345"/>
      <c r="BO67" s="171"/>
      <c r="BP67" s="158"/>
      <c r="BQ67" s="171"/>
      <c r="BR67" s="180"/>
      <c r="BS67" s="158"/>
      <c r="BT67" s="344"/>
      <c r="BU67" s="158"/>
      <c r="BV67" s="345"/>
      <c r="BW67" s="155">
        <f t="shared" si="20"/>
        <v>0</v>
      </c>
      <c r="BX67" s="155">
        <f t="shared" si="21"/>
        <v>0</v>
      </c>
      <c r="BY67" s="155">
        <f>IF(MatchDay!$C$2="LOWER",COUNTA(BF67:BH67),0)</f>
        <v>0</v>
      </c>
      <c r="CA67" s="157" t="s">
        <v>912</v>
      </c>
      <c r="CB67" s="177"/>
      <c r="CC67" s="165"/>
      <c r="CD67" s="177"/>
      <c r="CE67" s="344"/>
      <c r="CF67" s="177"/>
      <c r="CG67" s="165"/>
      <c r="CH67" s="177"/>
      <c r="CI67" s="158"/>
      <c r="CJ67" s="180"/>
      <c r="CK67" s="180"/>
      <c r="CL67" s="180"/>
      <c r="CM67" s="345"/>
      <c r="CN67" s="345"/>
      <c r="CO67" s="177"/>
      <c r="CP67" s="158"/>
      <c r="CQ67" s="177"/>
      <c r="CR67" s="180"/>
      <c r="CS67" s="158"/>
      <c r="CT67" s="344"/>
      <c r="CU67" s="158"/>
      <c r="CV67" s="345"/>
      <c r="CW67" s="155">
        <f t="shared" si="22"/>
        <v>0</v>
      </c>
      <c r="CX67" s="155">
        <f t="shared" si="23"/>
        <v>0</v>
      </c>
      <c r="CY67" s="155">
        <f>IF(MatchDay!$C$2="LOWER",COUNTA(CF67:CH67),0)</f>
        <v>0</v>
      </c>
      <c r="DA67" s="157" t="s">
        <v>912</v>
      </c>
      <c r="DB67" s="171"/>
      <c r="DC67" s="165"/>
      <c r="DD67" s="171"/>
      <c r="DE67" s="344"/>
      <c r="DF67" s="171"/>
      <c r="DG67" s="165"/>
      <c r="DH67" s="171"/>
      <c r="DI67" s="158"/>
      <c r="DJ67" s="180"/>
      <c r="DK67" s="180"/>
      <c r="DL67" s="180"/>
      <c r="DM67" s="345"/>
      <c r="DN67" s="345"/>
      <c r="DO67" s="171"/>
      <c r="DP67" s="158"/>
      <c r="DQ67" s="171"/>
      <c r="DR67" s="180"/>
      <c r="DS67" s="158"/>
      <c r="DT67" s="344"/>
      <c r="DU67" s="158"/>
      <c r="DV67" s="345"/>
      <c r="DW67" s="155">
        <f t="shared" si="24"/>
        <v>0</v>
      </c>
      <c r="DX67" s="155">
        <f t="shared" si="25"/>
        <v>0</v>
      </c>
      <c r="DY67" s="155">
        <f>IF(MatchDay!$C$2="LOWER",COUNTA(DF67:DH67),0)</f>
        <v>0</v>
      </c>
      <c r="EA67" s="157" t="s">
        <v>912</v>
      </c>
      <c r="EB67" s="177"/>
      <c r="EC67" s="165"/>
      <c r="ED67" s="177"/>
      <c r="EE67" s="344"/>
      <c r="EF67" s="177"/>
      <c r="EG67" s="165"/>
      <c r="EH67" s="177"/>
      <c r="EI67" s="158"/>
      <c r="EJ67" s="180"/>
      <c r="EK67" s="180"/>
      <c r="EL67" s="180"/>
      <c r="EM67" s="345"/>
      <c r="EN67" s="345"/>
      <c r="EO67" s="177"/>
      <c r="EP67" s="158"/>
      <c r="EQ67" s="177"/>
      <c r="ER67" s="180"/>
      <c r="ES67" s="158"/>
      <c r="ET67" s="344"/>
      <c r="EU67" s="158"/>
      <c r="EV67" s="345"/>
      <c r="EW67" s="155">
        <f t="shared" si="26"/>
        <v>0</v>
      </c>
      <c r="EX67" s="155">
        <f t="shared" si="27"/>
        <v>0</v>
      </c>
      <c r="EY67" s="155">
        <f>IF(MatchDay!$C$2="LOWER",COUNTA(EF67:EH67),0)</f>
        <v>0</v>
      </c>
      <c r="FA67" s="157" t="s">
        <v>912</v>
      </c>
      <c r="FB67" s="171"/>
      <c r="FC67" s="165"/>
      <c r="FD67" s="171"/>
      <c r="FE67" s="344"/>
      <c r="FF67" s="171"/>
      <c r="FG67" s="165"/>
      <c r="FH67" s="171"/>
      <c r="FI67" s="158"/>
      <c r="FJ67" s="180"/>
      <c r="FK67" s="180"/>
      <c r="FL67" s="180"/>
      <c r="FM67" s="345"/>
      <c r="FN67" s="345"/>
      <c r="FO67" s="171"/>
      <c r="FP67" s="158"/>
      <c r="FQ67" s="171"/>
      <c r="FR67" s="180"/>
      <c r="FS67" s="158"/>
      <c r="FT67" s="344"/>
      <c r="FU67" s="158"/>
      <c r="FV67" s="345"/>
      <c r="FW67" s="155">
        <f t="shared" si="28"/>
        <v>0</v>
      </c>
      <c r="FX67" s="155">
        <f t="shared" si="29"/>
        <v>0</v>
      </c>
      <c r="FY67" s="155">
        <f>IF(MatchDay!$C$2="LOWER",COUNTA(FF67:FH67),0)</f>
        <v>0</v>
      </c>
      <c r="GA67" s="157" t="s">
        <v>912</v>
      </c>
      <c r="GB67" s="177"/>
      <c r="GC67" s="165"/>
      <c r="GD67" s="177"/>
      <c r="GE67" s="344"/>
      <c r="GF67" s="177"/>
      <c r="GG67" s="165"/>
      <c r="GH67" s="177"/>
      <c r="GI67" s="158"/>
      <c r="GJ67" s="180"/>
      <c r="GK67" s="180"/>
      <c r="GL67" s="180"/>
      <c r="GM67" s="345"/>
      <c r="GN67" s="345"/>
      <c r="GO67" s="177"/>
      <c r="GP67" s="158"/>
      <c r="GQ67" s="177"/>
      <c r="GR67" s="180"/>
      <c r="GS67" s="158"/>
      <c r="GT67" s="344"/>
      <c r="GU67" s="158"/>
      <c r="GV67" s="345"/>
      <c r="GW67" s="155">
        <f t="shared" si="30"/>
        <v>0</v>
      </c>
      <c r="GX67" s="155">
        <f t="shared" si="31"/>
        <v>0</v>
      </c>
      <c r="GY67" s="155">
        <f>IF(MatchDay!$C$2="LOWER",COUNTA(GF67:GH67),0)</f>
        <v>0</v>
      </c>
    </row>
    <row r="68" spans="1:207" ht="16.5" customHeight="1" x14ac:dyDescent="0.45">
      <c r="A68" s="157" t="s">
        <v>912</v>
      </c>
      <c r="B68" s="171"/>
      <c r="C68" s="165"/>
      <c r="D68" s="171"/>
      <c r="E68" s="344"/>
      <c r="F68" s="171"/>
      <c r="G68" s="165"/>
      <c r="H68" s="171"/>
      <c r="I68" s="158"/>
      <c r="J68" s="180"/>
      <c r="K68" s="180"/>
      <c r="L68" s="180"/>
      <c r="M68" s="345"/>
      <c r="N68" s="345"/>
      <c r="O68" s="171"/>
      <c r="P68" s="158"/>
      <c r="Q68" s="171"/>
      <c r="R68" s="180"/>
      <c r="S68" s="158"/>
      <c r="T68" s="344"/>
      <c r="U68" s="158"/>
      <c r="V68" s="345"/>
      <c r="W68" s="155">
        <f t="shared" ref="W68:W74" si="32">COUNTA(B68:T68)</f>
        <v>0</v>
      </c>
      <c r="X68" s="155">
        <f t="shared" ref="X68:X74" si="33">COUNTA(U68:V68)</f>
        <v>0</v>
      </c>
      <c r="Y68" s="155">
        <f>IF(MatchDay!$C$2="LOWER",COUNTA(F68:H68),0)</f>
        <v>0</v>
      </c>
      <c r="AA68" s="157" t="s">
        <v>912</v>
      </c>
      <c r="AB68" s="177"/>
      <c r="AC68" s="165"/>
      <c r="AD68" s="177"/>
      <c r="AE68" s="344"/>
      <c r="AF68" s="177"/>
      <c r="AG68" s="165"/>
      <c r="AH68" s="177"/>
      <c r="AI68" s="158"/>
      <c r="AJ68" s="180"/>
      <c r="AK68" s="180"/>
      <c r="AL68" s="180"/>
      <c r="AM68" s="345"/>
      <c r="AN68" s="345"/>
      <c r="AO68" s="177"/>
      <c r="AP68" s="158"/>
      <c r="AQ68" s="177"/>
      <c r="AR68" s="180"/>
      <c r="AS68" s="158"/>
      <c r="AT68" s="344"/>
      <c r="AU68" s="158"/>
      <c r="AV68" s="345"/>
      <c r="AW68" s="155">
        <f t="shared" ref="AW68:AW74" si="34">COUNTA(AB68:AT68)</f>
        <v>0</v>
      </c>
      <c r="AX68" s="155">
        <f t="shared" ref="AX68:AX74" si="35">COUNTA(AU68:AV68)</f>
        <v>0</v>
      </c>
      <c r="AY68" s="155">
        <f>IF(MatchDay!$C$2="LOWER",COUNTA(AF68:AH68),0)</f>
        <v>0</v>
      </c>
      <c r="BA68" s="157" t="s">
        <v>912</v>
      </c>
      <c r="BB68" s="171"/>
      <c r="BC68" s="165"/>
      <c r="BD68" s="171"/>
      <c r="BE68" s="344"/>
      <c r="BF68" s="171"/>
      <c r="BG68" s="165"/>
      <c r="BH68" s="171"/>
      <c r="BI68" s="158"/>
      <c r="BJ68" s="180"/>
      <c r="BK68" s="180"/>
      <c r="BL68" s="180"/>
      <c r="BM68" s="345"/>
      <c r="BN68" s="345"/>
      <c r="BO68" s="171"/>
      <c r="BP68" s="158"/>
      <c r="BQ68" s="171"/>
      <c r="BR68" s="180"/>
      <c r="BS68" s="158"/>
      <c r="BT68" s="344"/>
      <c r="BU68" s="158"/>
      <c r="BV68" s="345"/>
      <c r="BW68" s="155">
        <f t="shared" ref="BW68:BW74" si="36">COUNTA(BB68:BT68)</f>
        <v>0</v>
      </c>
      <c r="BX68" s="155">
        <f t="shared" ref="BX68:BX74" si="37">COUNTA(BU68:BV68)</f>
        <v>0</v>
      </c>
      <c r="BY68" s="155">
        <f>IF(MatchDay!$C$2="LOWER",COUNTA(BF68:BH68),0)</f>
        <v>0</v>
      </c>
      <c r="CA68" s="157" t="s">
        <v>912</v>
      </c>
      <c r="CB68" s="177"/>
      <c r="CC68" s="165"/>
      <c r="CD68" s="177"/>
      <c r="CE68" s="344"/>
      <c r="CF68" s="177"/>
      <c r="CG68" s="165"/>
      <c r="CH68" s="177"/>
      <c r="CI68" s="158"/>
      <c r="CJ68" s="180"/>
      <c r="CK68" s="180"/>
      <c r="CL68" s="180"/>
      <c r="CM68" s="345"/>
      <c r="CN68" s="345"/>
      <c r="CO68" s="177"/>
      <c r="CP68" s="158"/>
      <c r="CQ68" s="177"/>
      <c r="CR68" s="180"/>
      <c r="CS68" s="158"/>
      <c r="CT68" s="344"/>
      <c r="CU68" s="158"/>
      <c r="CV68" s="345"/>
      <c r="CW68" s="155">
        <f t="shared" ref="CW68:CW74" si="38">COUNTA(CB68:CT68)</f>
        <v>0</v>
      </c>
      <c r="CX68" s="155">
        <f t="shared" ref="CX68:CX74" si="39">COUNTA(CU68:CV68)</f>
        <v>0</v>
      </c>
      <c r="CY68" s="155">
        <f>IF(MatchDay!$C$2="LOWER",COUNTA(CF68:CH68),0)</f>
        <v>0</v>
      </c>
      <c r="DA68" s="157" t="s">
        <v>912</v>
      </c>
      <c r="DB68" s="171"/>
      <c r="DC68" s="165"/>
      <c r="DD68" s="171"/>
      <c r="DE68" s="344"/>
      <c r="DF68" s="171"/>
      <c r="DG68" s="165"/>
      <c r="DH68" s="171"/>
      <c r="DI68" s="158"/>
      <c r="DJ68" s="180"/>
      <c r="DK68" s="180"/>
      <c r="DL68" s="180"/>
      <c r="DM68" s="345"/>
      <c r="DN68" s="345"/>
      <c r="DO68" s="171"/>
      <c r="DP68" s="158"/>
      <c r="DQ68" s="171"/>
      <c r="DR68" s="180"/>
      <c r="DS68" s="158"/>
      <c r="DT68" s="344"/>
      <c r="DU68" s="158"/>
      <c r="DV68" s="345"/>
      <c r="DW68" s="155">
        <f t="shared" ref="DW68:DW74" si="40">COUNTA(DB68:DT68)</f>
        <v>0</v>
      </c>
      <c r="DX68" s="155">
        <f t="shared" ref="DX68:DX74" si="41">COUNTA(DU68:DV68)</f>
        <v>0</v>
      </c>
      <c r="DY68" s="155">
        <f>IF(MatchDay!$C$2="LOWER",COUNTA(DF68:DH68),0)</f>
        <v>0</v>
      </c>
      <c r="EA68" s="157" t="s">
        <v>912</v>
      </c>
      <c r="EB68" s="177"/>
      <c r="EC68" s="165"/>
      <c r="ED68" s="177"/>
      <c r="EE68" s="344"/>
      <c r="EF68" s="177"/>
      <c r="EG68" s="165"/>
      <c r="EH68" s="177"/>
      <c r="EI68" s="158"/>
      <c r="EJ68" s="180"/>
      <c r="EK68" s="180"/>
      <c r="EL68" s="180"/>
      <c r="EM68" s="345"/>
      <c r="EN68" s="345"/>
      <c r="EO68" s="177"/>
      <c r="EP68" s="158"/>
      <c r="EQ68" s="177"/>
      <c r="ER68" s="180"/>
      <c r="ES68" s="158"/>
      <c r="ET68" s="344"/>
      <c r="EU68" s="158"/>
      <c r="EV68" s="345"/>
      <c r="EW68" s="155">
        <f t="shared" ref="EW68:EW74" si="42">COUNTA(EB68:ET68)</f>
        <v>0</v>
      </c>
      <c r="EX68" s="155">
        <f t="shared" ref="EX68:EX74" si="43">COUNTA(EU68:EV68)</f>
        <v>0</v>
      </c>
      <c r="EY68" s="155">
        <f>IF(MatchDay!$C$2="LOWER",COUNTA(EF68:EH68),0)</f>
        <v>0</v>
      </c>
      <c r="FA68" s="157" t="s">
        <v>912</v>
      </c>
      <c r="FB68" s="171"/>
      <c r="FC68" s="165"/>
      <c r="FD68" s="171"/>
      <c r="FE68" s="344"/>
      <c r="FF68" s="171"/>
      <c r="FG68" s="165"/>
      <c r="FH68" s="171"/>
      <c r="FI68" s="158"/>
      <c r="FJ68" s="180"/>
      <c r="FK68" s="180"/>
      <c r="FL68" s="180"/>
      <c r="FM68" s="345"/>
      <c r="FN68" s="345"/>
      <c r="FO68" s="171"/>
      <c r="FP68" s="158"/>
      <c r="FQ68" s="171"/>
      <c r="FR68" s="180"/>
      <c r="FS68" s="158"/>
      <c r="FT68" s="344"/>
      <c r="FU68" s="158"/>
      <c r="FV68" s="345"/>
      <c r="FW68" s="155">
        <f t="shared" ref="FW68:FW74" si="44">COUNTA(FB68:FT68)</f>
        <v>0</v>
      </c>
      <c r="FX68" s="155">
        <f t="shared" ref="FX68:FX74" si="45">COUNTA(FU68:FV68)</f>
        <v>0</v>
      </c>
      <c r="FY68" s="155">
        <f>IF(MatchDay!$C$2="LOWER",COUNTA(FF68:FH68),0)</f>
        <v>0</v>
      </c>
      <c r="GA68" s="157" t="s">
        <v>912</v>
      </c>
      <c r="GB68" s="177"/>
      <c r="GC68" s="165"/>
      <c r="GD68" s="177"/>
      <c r="GE68" s="344"/>
      <c r="GF68" s="177"/>
      <c r="GG68" s="165"/>
      <c r="GH68" s="177"/>
      <c r="GI68" s="158"/>
      <c r="GJ68" s="180"/>
      <c r="GK68" s="180"/>
      <c r="GL68" s="180"/>
      <c r="GM68" s="345"/>
      <c r="GN68" s="345"/>
      <c r="GO68" s="177"/>
      <c r="GP68" s="158"/>
      <c r="GQ68" s="177"/>
      <c r="GR68" s="180"/>
      <c r="GS68" s="158"/>
      <c r="GT68" s="344"/>
      <c r="GU68" s="158"/>
      <c r="GV68" s="345"/>
      <c r="GW68" s="155">
        <f t="shared" ref="GW68:GW74" si="46">COUNTA(GB68:GT68)</f>
        <v>0</v>
      </c>
      <c r="GX68" s="155">
        <f t="shared" ref="GX68:GX74" si="47">COUNTA(GU68:GV68)</f>
        <v>0</v>
      </c>
      <c r="GY68" s="155">
        <f>IF(MatchDay!$C$2="LOWER",COUNTA(GF68:GH68),0)</f>
        <v>0</v>
      </c>
    </row>
    <row r="69" spans="1:207" ht="16.5" customHeight="1" x14ac:dyDescent="0.45">
      <c r="A69" s="157" t="s">
        <v>912</v>
      </c>
      <c r="B69" s="171"/>
      <c r="C69" s="165"/>
      <c r="D69" s="171"/>
      <c r="E69" s="344"/>
      <c r="F69" s="171"/>
      <c r="G69" s="165"/>
      <c r="H69" s="171"/>
      <c r="I69" s="158"/>
      <c r="J69" s="180"/>
      <c r="K69" s="180"/>
      <c r="L69" s="180"/>
      <c r="M69" s="345"/>
      <c r="N69" s="345"/>
      <c r="O69" s="171"/>
      <c r="P69" s="158"/>
      <c r="Q69" s="171"/>
      <c r="R69" s="180"/>
      <c r="S69" s="158"/>
      <c r="T69" s="344"/>
      <c r="U69" s="158"/>
      <c r="V69" s="345"/>
      <c r="W69" s="155">
        <f t="shared" si="32"/>
        <v>0</v>
      </c>
      <c r="X69" s="155">
        <f t="shared" si="33"/>
        <v>0</v>
      </c>
      <c r="Y69" s="155">
        <f>IF(MatchDay!$C$2="LOWER",COUNTA(F69:H69),0)</f>
        <v>0</v>
      </c>
      <c r="AA69" s="157" t="s">
        <v>912</v>
      </c>
      <c r="AB69" s="177"/>
      <c r="AC69" s="165"/>
      <c r="AD69" s="177"/>
      <c r="AE69" s="344"/>
      <c r="AF69" s="177"/>
      <c r="AG69" s="165"/>
      <c r="AH69" s="177"/>
      <c r="AI69" s="158"/>
      <c r="AJ69" s="180"/>
      <c r="AK69" s="180"/>
      <c r="AL69" s="180"/>
      <c r="AM69" s="345"/>
      <c r="AN69" s="345"/>
      <c r="AO69" s="177"/>
      <c r="AP69" s="158"/>
      <c r="AQ69" s="177"/>
      <c r="AR69" s="180"/>
      <c r="AS69" s="158"/>
      <c r="AT69" s="344"/>
      <c r="AU69" s="158"/>
      <c r="AV69" s="345"/>
      <c r="AW69" s="155">
        <f t="shared" si="34"/>
        <v>0</v>
      </c>
      <c r="AX69" s="155">
        <f t="shared" si="35"/>
        <v>0</v>
      </c>
      <c r="AY69" s="155">
        <f>IF(MatchDay!$C$2="LOWER",COUNTA(AF69:AH69),0)</f>
        <v>0</v>
      </c>
      <c r="BA69" s="157" t="s">
        <v>912</v>
      </c>
      <c r="BB69" s="171"/>
      <c r="BC69" s="165"/>
      <c r="BD69" s="171"/>
      <c r="BE69" s="344"/>
      <c r="BF69" s="171"/>
      <c r="BG69" s="165"/>
      <c r="BH69" s="171"/>
      <c r="BI69" s="158"/>
      <c r="BJ69" s="180"/>
      <c r="BK69" s="180"/>
      <c r="BL69" s="180"/>
      <c r="BM69" s="345"/>
      <c r="BN69" s="345"/>
      <c r="BO69" s="171"/>
      <c r="BP69" s="158"/>
      <c r="BQ69" s="171"/>
      <c r="BR69" s="180"/>
      <c r="BS69" s="158"/>
      <c r="BT69" s="344"/>
      <c r="BU69" s="158"/>
      <c r="BV69" s="345"/>
      <c r="BW69" s="155">
        <f t="shared" si="36"/>
        <v>0</v>
      </c>
      <c r="BX69" s="155">
        <f t="shared" si="37"/>
        <v>0</v>
      </c>
      <c r="BY69" s="155">
        <f>IF(MatchDay!$C$2="LOWER",COUNTA(BF69:BH69),0)</f>
        <v>0</v>
      </c>
      <c r="CA69" s="157" t="s">
        <v>912</v>
      </c>
      <c r="CB69" s="177"/>
      <c r="CC69" s="165"/>
      <c r="CD69" s="177"/>
      <c r="CE69" s="344"/>
      <c r="CF69" s="177"/>
      <c r="CG69" s="165"/>
      <c r="CH69" s="177"/>
      <c r="CI69" s="158"/>
      <c r="CJ69" s="180"/>
      <c r="CK69" s="180"/>
      <c r="CL69" s="180"/>
      <c r="CM69" s="345"/>
      <c r="CN69" s="345"/>
      <c r="CO69" s="177"/>
      <c r="CP69" s="158"/>
      <c r="CQ69" s="177"/>
      <c r="CR69" s="180"/>
      <c r="CS69" s="158"/>
      <c r="CT69" s="344"/>
      <c r="CU69" s="158"/>
      <c r="CV69" s="345"/>
      <c r="CW69" s="155">
        <f t="shared" si="38"/>
        <v>0</v>
      </c>
      <c r="CX69" s="155">
        <f t="shared" si="39"/>
        <v>0</v>
      </c>
      <c r="CY69" s="155">
        <f>IF(MatchDay!$C$2="LOWER",COUNTA(CF69:CH69),0)</f>
        <v>0</v>
      </c>
      <c r="DA69" s="157" t="s">
        <v>912</v>
      </c>
      <c r="DB69" s="171"/>
      <c r="DC69" s="165"/>
      <c r="DD69" s="171"/>
      <c r="DE69" s="344"/>
      <c r="DF69" s="171"/>
      <c r="DG69" s="165"/>
      <c r="DH69" s="171"/>
      <c r="DI69" s="158"/>
      <c r="DJ69" s="180"/>
      <c r="DK69" s="180"/>
      <c r="DL69" s="180"/>
      <c r="DM69" s="345"/>
      <c r="DN69" s="345"/>
      <c r="DO69" s="171"/>
      <c r="DP69" s="158"/>
      <c r="DQ69" s="171"/>
      <c r="DR69" s="180"/>
      <c r="DS69" s="158"/>
      <c r="DT69" s="344"/>
      <c r="DU69" s="158"/>
      <c r="DV69" s="345"/>
      <c r="DW69" s="155">
        <f t="shared" si="40"/>
        <v>0</v>
      </c>
      <c r="DX69" s="155">
        <f t="shared" si="41"/>
        <v>0</v>
      </c>
      <c r="DY69" s="155">
        <f>IF(MatchDay!$C$2="LOWER",COUNTA(DF69:DH69),0)</f>
        <v>0</v>
      </c>
      <c r="EA69" s="157" t="s">
        <v>912</v>
      </c>
      <c r="EB69" s="177"/>
      <c r="EC69" s="165"/>
      <c r="ED69" s="177"/>
      <c r="EE69" s="344"/>
      <c r="EF69" s="177"/>
      <c r="EG69" s="165"/>
      <c r="EH69" s="177"/>
      <c r="EI69" s="158"/>
      <c r="EJ69" s="180"/>
      <c r="EK69" s="180"/>
      <c r="EL69" s="180"/>
      <c r="EM69" s="345"/>
      <c r="EN69" s="345"/>
      <c r="EO69" s="177"/>
      <c r="EP69" s="158"/>
      <c r="EQ69" s="177"/>
      <c r="ER69" s="180"/>
      <c r="ES69" s="158"/>
      <c r="ET69" s="344"/>
      <c r="EU69" s="158"/>
      <c r="EV69" s="345"/>
      <c r="EW69" s="155">
        <f t="shared" si="42"/>
        <v>0</v>
      </c>
      <c r="EX69" s="155">
        <f t="shared" si="43"/>
        <v>0</v>
      </c>
      <c r="EY69" s="155">
        <f>IF(MatchDay!$C$2="LOWER",COUNTA(EF69:EH69),0)</f>
        <v>0</v>
      </c>
      <c r="FA69" s="157" t="s">
        <v>912</v>
      </c>
      <c r="FB69" s="171"/>
      <c r="FC69" s="165"/>
      <c r="FD69" s="171"/>
      <c r="FE69" s="344"/>
      <c r="FF69" s="171"/>
      <c r="FG69" s="165"/>
      <c r="FH69" s="171"/>
      <c r="FI69" s="158"/>
      <c r="FJ69" s="180"/>
      <c r="FK69" s="180"/>
      <c r="FL69" s="180"/>
      <c r="FM69" s="345"/>
      <c r="FN69" s="345"/>
      <c r="FO69" s="171"/>
      <c r="FP69" s="158"/>
      <c r="FQ69" s="171"/>
      <c r="FR69" s="180"/>
      <c r="FS69" s="158"/>
      <c r="FT69" s="344"/>
      <c r="FU69" s="158"/>
      <c r="FV69" s="345"/>
      <c r="FW69" s="155">
        <f t="shared" si="44"/>
        <v>0</v>
      </c>
      <c r="FX69" s="155">
        <f t="shared" si="45"/>
        <v>0</v>
      </c>
      <c r="FY69" s="155">
        <f>IF(MatchDay!$C$2="LOWER",COUNTA(FF69:FH69),0)</f>
        <v>0</v>
      </c>
      <c r="GA69" s="157" t="s">
        <v>912</v>
      </c>
      <c r="GB69" s="177"/>
      <c r="GC69" s="165"/>
      <c r="GD69" s="177"/>
      <c r="GE69" s="344"/>
      <c r="GF69" s="177"/>
      <c r="GG69" s="165"/>
      <c r="GH69" s="177"/>
      <c r="GI69" s="158"/>
      <c r="GJ69" s="180"/>
      <c r="GK69" s="180"/>
      <c r="GL69" s="180"/>
      <c r="GM69" s="345"/>
      <c r="GN69" s="345"/>
      <c r="GO69" s="177"/>
      <c r="GP69" s="158"/>
      <c r="GQ69" s="177"/>
      <c r="GR69" s="180"/>
      <c r="GS69" s="158"/>
      <c r="GT69" s="344"/>
      <c r="GU69" s="158"/>
      <c r="GV69" s="345"/>
      <c r="GW69" s="155">
        <f t="shared" si="46"/>
        <v>0</v>
      </c>
      <c r="GX69" s="155">
        <f t="shared" si="47"/>
        <v>0</v>
      </c>
      <c r="GY69" s="155">
        <f>IF(MatchDay!$C$2="LOWER",COUNTA(GF69:GH69),0)</f>
        <v>0</v>
      </c>
    </row>
    <row r="70" spans="1:207" ht="16.5" customHeight="1" x14ac:dyDescent="0.45">
      <c r="A70" s="157" t="s">
        <v>912</v>
      </c>
      <c r="B70" s="171"/>
      <c r="C70" s="165"/>
      <c r="D70" s="171"/>
      <c r="E70" s="344"/>
      <c r="F70" s="171"/>
      <c r="G70" s="165"/>
      <c r="H70" s="171"/>
      <c r="I70" s="158"/>
      <c r="J70" s="180"/>
      <c r="K70" s="180"/>
      <c r="L70" s="180"/>
      <c r="M70" s="345"/>
      <c r="N70" s="345"/>
      <c r="O70" s="171"/>
      <c r="P70" s="158"/>
      <c r="Q70" s="171"/>
      <c r="R70" s="180"/>
      <c r="S70" s="158"/>
      <c r="T70" s="344"/>
      <c r="U70" s="158"/>
      <c r="V70" s="345"/>
      <c r="W70" s="155">
        <f t="shared" si="32"/>
        <v>0</v>
      </c>
      <c r="X70" s="155">
        <f t="shared" si="33"/>
        <v>0</v>
      </c>
      <c r="Y70" s="155">
        <f>IF(MatchDay!$C$2="LOWER",COUNTA(F70:H70),0)</f>
        <v>0</v>
      </c>
      <c r="AA70" s="157" t="s">
        <v>912</v>
      </c>
      <c r="AB70" s="177"/>
      <c r="AC70" s="165"/>
      <c r="AD70" s="177"/>
      <c r="AE70" s="344"/>
      <c r="AF70" s="177"/>
      <c r="AG70" s="165"/>
      <c r="AH70" s="177"/>
      <c r="AI70" s="158"/>
      <c r="AJ70" s="180"/>
      <c r="AK70" s="180"/>
      <c r="AL70" s="180"/>
      <c r="AM70" s="345"/>
      <c r="AN70" s="345"/>
      <c r="AO70" s="177"/>
      <c r="AP70" s="158"/>
      <c r="AQ70" s="177"/>
      <c r="AR70" s="180"/>
      <c r="AS70" s="158"/>
      <c r="AT70" s="344"/>
      <c r="AU70" s="158"/>
      <c r="AV70" s="345"/>
      <c r="AW70" s="155">
        <f t="shared" si="34"/>
        <v>0</v>
      </c>
      <c r="AX70" s="155">
        <f t="shared" si="35"/>
        <v>0</v>
      </c>
      <c r="AY70" s="155">
        <f>IF(MatchDay!$C$2="LOWER",COUNTA(AF70:AH70),0)</f>
        <v>0</v>
      </c>
      <c r="BA70" s="157" t="s">
        <v>912</v>
      </c>
      <c r="BB70" s="171"/>
      <c r="BC70" s="165"/>
      <c r="BD70" s="171"/>
      <c r="BE70" s="344"/>
      <c r="BF70" s="171"/>
      <c r="BG70" s="165"/>
      <c r="BH70" s="171"/>
      <c r="BI70" s="158"/>
      <c r="BJ70" s="180"/>
      <c r="BK70" s="180"/>
      <c r="BL70" s="180"/>
      <c r="BM70" s="345"/>
      <c r="BN70" s="345"/>
      <c r="BO70" s="171"/>
      <c r="BP70" s="158"/>
      <c r="BQ70" s="171"/>
      <c r="BR70" s="180"/>
      <c r="BS70" s="158"/>
      <c r="BT70" s="344"/>
      <c r="BU70" s="158"/>
      <c r="BV70" s="345"/>
      <c r="BW70" s="155">
        <f t="shared" si="36"/>
        <v>0</v>
      </c>
      <c r="BX70" s="155">
        <f t="shared" si="37"/>
        <v>0</v>
      </c>
      <c r="BY70" s="155">
        <f>IF(MatchDay!$C$2="LOWER",COUNTA(BF70:BH70),0)</f>
        <v>0</v>
      </c>
      <c r="CA70" s="157" t="s">
        <v>912</v>
      </c>
      <c r="CB70" s="177"/>
      <c r="CC70" s="165"/>
      <c r="CD70" s="177"/>
      <c r="CE70" s="344"/>
      <c r="CF70" s="177"/>
      <c r="CG70" s="165"/>
      <c r="CH70" s="177"/>
      <c r="CI70" s="158"/>
      <c r="CJ70" s="180"/>
      <c r="CK70" s="180"/>
      <c r="CL70" s="180"/>
      <c r="CM70" s="345"/>
      <c r="CN70" s="345"/>
      <c r="CO70" s="177"/>
      <c r="CP70" s="158"/>
      <c r="CQ70" s="177"/>
      <c r="CR70" s="180"/>
      <c r="CS70" s="158"/>
      <c r="CT70" s="344"/>
      <c r="CU70" s="158"/>
      <c r="CV70" s="345"/>
      <c r="CW70" s="155">
        <f t="shared" si="38"/>
        <v>0</v>
      </c>
      <c r="CX70" s="155">
        <f t="shared" si="39"/>
        <v>0</v>
      </c>
      <c r="CY70" s="155">
        <f>IF(MatchDay!$C$2="LOWER",COUNTA(CF70:CH70),0)</f>
        <v>0</v>
      </c>
      <c r="DA70" s="157" t="s">
        <v>912</v>
      </c>
      <c r="DB70" s="171"/>
      <c r="DC70" s="165"/>
      <c r="DD70" s="171"/>
      <c r="DE70" s="344"/>
      <c r="DF70" s="171"/>
      <c r="DG70" s="165"/>
      <c r="DH70" s="171"/>
      <c r="DI70" s="158"/>
      <c r="DJ70" s="180"/>
      <c r="DK70" s="180"/>
      <c r="DL70" s="180"/>
      <c r="DM70" s="345"/>
      <c r="DN70" s="345"/>
      <c r="DO70" s="171"/>
      <c r="DP70" s="158"/>
      <c r="DQ70" s="171"/>
      <c r="DR70" s="180"/>
      <c r="DS70" s="158"/>
      <c r="DT70" s="344"/>
      <c r="DU70" s="158"/>
      <c r="DV70" s="345"/>
      <c r="DW70" s="155">
        <f t="shared" si="40"/>
        <v>0</v>
      </c>
      <c r="DX70" s="155">
        <f t="shared" si="41"/>
        <v>0</v>
      </c>
      <c r="DY70" s="155">
        <f>IF(MatchDay!$C$2="LOWER",COUNTA(DF70:DH70),0)</f>
        <v>0</v>
      </c>
      <c r="EA70" s="157" t="s">
        <v>912</v>
      </c>
      <c r="EB70" s="177"/>
      <c r="EC70" s="165"/>
      <c r="ED70" s="177"/>
      <c r="EE70" s="344"/>
      <c r="EF70" s="177"/>
      <c r="EG70" s="165"/>
      <c r="EH70" s="177"/>
      <c r="EI70" s="158"/>
      <c r="EJ70" s="180"/>
      <c r="EK70" s="180"/>
      <c r="EL70" s="180"/>
      <c r="EM70" s="345"/>
      <c r="EN70" s="345"/>
      <c r="EO70" s="177"/>
      <c r="EP70" s="158"/>
      <c r="EQ70" s="177"/>
      <c r="ER70" s="180"/>
      <c r="ES70" s="158"/>
      <c r="ET70" s="344"/>
      <c r="EU70" s="158"/>
      <c r="EV70" s="345"/>
      <c r="EW70" s="155">
        <f t="shared" si="42"/>
        <v>0</v>
      </c>
      <c r="EX70" s="155">
        <f t="shared" si="43"/>
        <v>0</v>
      </c>
      <c r="EY70" s="155">
        <f>IF(MatchDay!$C$2="LOWER",COUNTA(EF70:EH70),0)</f>
        <v>0</v>
      </c>
      <c r="FA70" s="157" t="s">
        <v>912</v>
      </c>
      <c r="FB70" s="171"/>
      <c r="FC70" s="165"/>
      <c r="FD70" s="171"/>
      <c r="FE70" s="344"/>
      <c r="FF70" s="171"/>
      <c r="FG70" s="165"/>
      <c r="FH70" s="171"/>
      <c r="FI70" s="158"/>
      <c r="FJ70" s="180"/>
      <c r="FK70" s="180"/>
      <c r="FL70" s="180"/>
      <c r="FM70" s="345"/>
      <c r="FN70" s="345"/>
      <c r="FO70" s="171"/>
      <c r="FP70" s="158"/>
      <c r="FQ70" s="171"/>
      <c r="FR70" s="180"/>
      <c r="FS70" s="158"/>
      <c r="FT70" s="344"/>
      <c r="FU70" s="158"/>
      <c r="FV70" s="345"/>
      <c r="FW70" s="155">
        <f t="shared" si="44"/>
        <v>0</v>
      </c>
      <c r="FX70" s="155">
        <f t="shared" si="45"/>
        <v>0</v>
      </c>
      <c r="FY70" s="155">
        <f>IF(MatchDay!$C$2="LOWER",COUNTA(FF70:FH70),0)</f>
        <v>0</v>
      </c>
      <c r="GA70" s="157" t="s">
        <v>912</v>
      </c>
      <c r="GB70" s="177"/>
      <c r="GC70" s="165"/>
      <c r="GD70" s="177"/>
      <c r="GE70" s="344"/>
      <c r="GF70" s="177"/>
      <c r="GG70" s="165"/>
      <c r="GH70" s="177"/>
      <c r="GI70" s="158"/>
      <c r="GJ70" s="180"/>
      <c r="GK70" s="180"/>
      <c r="GL70" s="180"/>
      <c r="GM70" s="345"/>
      <c r="GN70" s="345"/>
      <c r="GO70" s="177"/>
      <c r="GP70" s="158"/>
      <c r="GQ70" s="177"/>
      <c r="GR70" s="180"/>
      <c r="GS70" s="158"/>
      <c r="GT70" s="344"/>
      <c r="GU70" s="158"/>
      <c r="GV70" s="345"/>
      <c r="GW70" s="155">
        <f t="shared" si="46"/>
        <v>0</v>
      </c>
      <c r="GX70" s="155">
        <f t="shared" si="47"/>
        <v>0</v>
      </c>
      <c r="GY70" s="155">
        <f>IF(MatchDay!$C$2="LOWER",COUNTA(GF70:GH70),0)</f>
        <v>0</v>
      </c>
    </row>
    <row r="71" spans="1:207" ht="16.5" customHeight="1" x14ac:dyDescent="0.45">
      <c r="A71" s="157" t="s">
        <v>912</v>
      </c>
      <c r="B71" s="171"/>
      <c r="C71" s="165"/>
      <c r="D71" s="171"/>
      <c r="E71" s="344"/>
      <c r="F71" s="171"/>
      <c r="G71" s="165"/>
      <c r="H71" s="171"/>
      <c r="I71" s="158"/>
      <c r="J71" s="180"/>
      <c r="K71" s="180"/>
      <c r="L71" s="180"/>
      <c r="M71" s="345"/>
      <c r="N71" s="345"/>
      <c r="O71" s="171"/>
      <c r="P71" s="158"/>
      <c r="Q71" s="171"/>
      <c r="R71" s="180"/>
      <c r="S71" s="158"/>
      <c r="T71" s="344"/>
      <c r="U71" s="158"/>
      <c r="V71" s="345"/>
      <c r="W71" s="155">
        <f t="shared" si="32"/>
        <v>0</v>
      </c>
      <c r="X71" s="155">
        <f t="shared" si="33"/>
        <v>0</v>
      </c>
      <c r="Y71" s="155">
        <f>IF(MatchDay!$C$2="LOWER",COUNTA(F71:H71),0)</f>
        <v>0</v>
      </c>
      <c r="AA71" s="157" t="s">
        <v>912</v>
      </c>
      <c r="AB71" s="177"/>
      <c r="AC71" s="165"/>
      <c r="AD71" s="177"/>
      <c r="AE71" s="344"/>
      <c r="AF71" s="177"/>
      <c r="AG71" s="165"/>
      <c r="AH71" s="177"/>
      <c r="AI71" s="158"/>
      <c r="AJ71" s="180"/>
      <c r="AK71" s="180"/>
      <c r="AL71" s="180"/>
      <c r="AM71" s="345"/>
      <c r="AN71" s="345"/>
      <c r="AO71" s="177"/>
      <c r="AP71" s="158"/>
      <c r="AQ71" s="177"/>
      <c r="AR71" s="180"/>
      <c r="AS71" s="158"/>
      <c r="AT71" s="344"/>
      <c r="AU71" s="158"/>
      <c r="AV71" s="345"/>
      <c r="AW71" s="155">
        <f t="shared" si="34"/>
        <v>0</v>
      </c>
      <c r="AX71" s="155">
        <f t="shared" si="35"/>
        <v>0</v>
      </c>
      <c r="AY71" s="155">
        <f>IF(MatchDay!$C$2="LOWER",COUNTA(AF71:AH71),0)</f>
        <v>0</v>
      </c>
      <c r="BA71" s="157" t="s">
        <v>912</v>
      </c>
      <c r="BB71" s="171"/>
      <c r="BC71" s="165"/>
      <c r="BD71" s="171"/>
      <c r="BE71" s="344"/>
      <c r="BF71" s="171"/>
      <c r="BG71" s="165"/>
      <c r="BH71" s="171"/>
      <c r="BI71" s="158"/>
      <c r="BJ71" s="180"/>
      <c r="BK71" s="180"/>
      <c r="BL71" s="180"/>
      <c r="BM71" s="345"/>
      <c r="BN71" s="345"/>
      <c r="BO71" s="171"/>
      <c r="BP71" s="158"/>
      <c r="BQ71" s="171"/>
      <c r="BR71" s="180"/>
      <c r="BS71" s="158"/>
      <c r="BT71" s="344"/>
      <c r="BU71" s="158"/>
      <c r="BV71" s="345"/>
      <c r="BW71" s="155">
        <f t="shared" si="36"/>
        <v>0</v>
      </c>
      <c r="BX71" s="155">
        <f t="shared" si="37"/>
        <v>0</v>
      </c>
      <c r="BY71" s="155">
        <f>IF(MatchDay!$C$2="LOWER",COUNTA(BF71:BH71),0)</f>
        <v>0</v>
      </c>
      <c r="CA71" s="157" t="s">
        <v>912</v>
      </c>
      <c r="CB71" s="177"/>
      <c r="CC71" s="165"/>
      <c r="CD71" s="177"/>
      <c r="CE71" s="344"/>
      <c r="CF71" s="177"/>
      <c r="CG71" s="165"/>
      <c r="CH71" s="177"/>
      <c r="CI71" s="158"/>
      <c r="CJ71" s="180"/>
      <c r="CK71" s="180"/>
      <c r="CL71" s="180"/>
      <c r="CM71" s="345"/>
      <c r="CN71" s="345"/>
      <c r="CO71" s="177"/>
      <c r="CP71" s="158"/>
      <c r="CQ71" s="177"/>
      <c r="CR71" s="180"/>
      <c r="CS71" s="158"/>
      <c r="CT71" s="344"/>
      <c r="CU71" s="158"/>
      <c r="CV71" s="345"/>
      <c r="CW71" s="155">
        <f t="shared" si="38"/>
        <v>0</v>
      </c>
      <c r="CX71" s="155">
        <f t="shared" si="39"/>
        <v>0</v>
      </c>
      <c r="CY71" s="155">
        <f>IF(MatchDay!$C$2="LOWER",COUNTA(CF71:CH71),0)</f>
        <v>0</v>
      </c>
      <c r="DA71" s="157" t="s">
        <v>912</v>
      </c>
      <c r="DB71" s="171"/>
      <c r="DC71" s="165"/>
      <c r="DD71" s="171"/>
      <c r="DE71" s="344"/>
      <c r="DF71" s="171"/>
      <c r="DG71" s="165"/>
      <c r="DH71" s="171"/>
      <c r="DI71" s="158"/>
      <c r="DJ71" s="180"/>
      <c r="DK71" s="180"/>
      <c r="DL71" s="180"/>
      <c r="DM71" s="345"/>
      <c r="DN71" s="345"/>
      <c r="DO71" s="171"/>
      <c r="DP71" s="158"/>
      <c r="DQ71" s="171"/>
      <c r="DR71" s="180"/>
      <c r="DS71" s="158"/>
      <c r="DT71" s="344"/>
      <c r="DU71" s="158"/>
      <c r="DV71" s="345"/>
      <c r="DW71" s="155">
        <f t="shared" si="40"/>
        <v>0</v>
      </c>
      <c r="DX71" s="155">
        <f t="shared" si="41"/>
        <v>0</v>
      </c>
      <c r="DY71" s="155">
        <f>IF(MatchDay!$C$2="LOWER",COUNTA(DF71:DH71),0)</f>
        <v>0</v>
      </c>
      <c r="EA71" s="157" t="s">
        <v>912</v>
      </c>
      <c r="EB71" s="177"/>
      <c r="EC71" s="165"/>
      <c r="ED71" s="177"/>
      <c r="EE71" s="344"/>
      <c r="EF71" s="177"/>
      <c r="EG71" s="165"/>
      <c r="EH71" s="177"/>
      <c r="EI71" s="158"/>
      <c r="EJ71" s="180"/>
      <c r="EK71" s="180"/>
      <c r="EL71" s="180"/>
      <c r="EM71" s="345"/>
      <c r="EN71" s="345"/>
      <c r="EO71" s="177"/>
      <c r="EP71" s="158"/>
      <c r="EQ71" s="177"/>
      <c r="ER71" s="180"/>
      <c r="ES71" s="158"/>
      <c r="ET71" s="344"/>
      <c r="EU71" s="158"/>
      <c r="EV71" s="345"/>
      <c r="EW71" s="155">
        <f t="shared" si="42"/>
        <v>0</v>
      </c>
      <c r="EX71" s="155">
        <f t="shared" si="43"/>
        <v>0</v>
      </c>
      <c r="EY71" s="155">
        <f>IF(MatchDay!$C$2="LOWER",COUNTA(EF71:EH71),0)</f>
        <v>0</v>
      </c>
      <c r="FA71" s="157" t="s">
        <v>912</v>
      </c>
      <c r="FB71" s="171"/>
      <c r="FC71" s="165"/>
      <c r="FD71" s="171"/>
      <c r="FE71" s="344"/>
      <c r="FF71" s="171"/>
      <c r="FG71" s="165"/>
      <c r="FH71" s="171"/>
      <c r="FI71" s="158"/>
      <c r="FJ71" s="180"/>
      <c r="FK71" s="180"/>
      <c r="FL71" s="180"/>
      <c r="FM71" s="345"/>
      <c r="FN71" s="345"/>
      <c r="FO71" s="171"/>
      <c r="FP71" s="158"/>
      <c r="FQ71" s="171"/>
      <c r="FR71" s="180"/>
      <c r="FS71" s="158"/>
      <c r="FT71" s="344"/>
      <c r="FU71" s="158"/>
      <c r="FV71" s="345"/>
      <c r="FW71" s="155">
        <f t="shared" si="44"/>
        <v>0</v>
      </c>
      <c r="FX71" s="155">
        <f t="shared" si="45"/>
        <v>0</v>
      </c>
      <c r="FY71" s="155">
        <f>IF(MatchDay!$C$2="LOWER",COUNTA(FF71:FH71),0)</f>
        <v>0</v>
      </c>
      <c r="GA71" s="157" t="s">
        <v>912</v>
      </c>
      <c r="GB71" s="177"/>
      <c r="GC71" s="165"/>
      <c r="GD71" s="177"/>
      <c r="GE71" s="344"/>
      <c r="GF71" s="177"/>
      <c r="GG71" s="165"/>
      <c r="GH71" s="177"/>
      <c r="GI71" s="158"/>
      <c r="GJ71" s="180"/>
      <c r="GK71" s="180"/>
      <c r="GL71" s="180"/>
      <c r="GM71" s="345"/>
      <c r="GN71" s="345"/>
      <c r="GO71" s="177"/>
      <c r="GP71" s="158"/>
      <c r="GQ71" s="177"/>
      <c r="GR71" s="180"/>
      <c r="GS71" s="158"/>
      <c r="GT71" s="344"/>
      <c r="GU71" s="158"/>
      <c r="GV71" s="345"/>
      <c r="GW71" s="155">
        <f t="shared" si="46"/>
        <v>0</v>
      </c>
      <c r="GX71" s="155">
        <f t="shared" si="47"/>
        <v>0</v>
      </c>
      <c r="GY71" s="155">
        <f>IF(MatchDay!$C$2="LOWER",COUNTA(GF71:GH71),0)</f>
        <v>0</v>
      </c>
    </row>
    <row r="72" spans="1:207" ht="16.5" customHeight="1" x14ac:dyDescent="0.45">
      <c r="A72" s="157" t="s">
        <v>912</v>
      </c>
      <c r="B72" s="171"/>
      <c r="C72" s="165"/>
      <c r="D72" s="171"/>
      <c r="E72" s="344"/>
      <c r="F72" s="171"/>
      <c r="G72" s="165"/>
      <c r="H72" s="171"/>
      <c r="I72" s="158"/>
      <c r="J72" s="180"/>
      <c r="K72" s="180"/>
      <c r="L72" s="180"/>
      <c r="M72" s="345"/>
      <c r="N72" s="345"/>
      <c r="O72" s="171"/>
      <c r="P72" s="158"/>
      <c r="Q72" s="171"/>
      <c r="R72" s="180"/>
      <c r="S72" s="158"/>
      <c r="T72" s="344"/>
      <c r="U72" s="158"/>
      <c r="V72" s="345"/>
      <c r="W72" s="155">
        <f t="shared" si="32"/>
        <v>0</v>
      </c>
      <c r="X72" s="155">
        <f t="shared" si="33"/>
        <v>0</v>
      </c>
      <c r="Y72" s="155">
        <f>IF(MatchDay!$C$2="LOWER",COUNTA(F72:H72),0)</f>
        <v>0</v>
      </c>
      <c r="AA72" s="157" t="s">
        <v>912</v>
      </c>
      <c r="AB72" s="177"/>
      <c r="AC72" s="165"/>
      <c r="AD72" s="177"/>
      <c r="AE72" s="344"/>
      <c r="AF72" s="177"/>
      <c r="AG72" s="165"/>
      <c r="AH72" s="177"/>
      <c r="AI72" s="158"/>
      <c r="AJ72" s="180"/>
      <c r="AK72" s="180"/>
      <c r="AL72" s="180"/>
      <c r="AM72" s="345"/>
      <c r="AN72" s="345"/>
      <c r="AO72" s="177"/>
      <c r="AP72" s="158"/>
      <c r="AQ72" s="177"/>
      <c r="AR72" s="180"/>
      <c r="AS72" s="158"/>
      <c r="AT72" s="344"/>
      <c r="AU72" s="158"/>
      <c r="AV72" s="345"/>
      <c r="AW72" s="155">
        <f t="shared" si="34"/>
        <v>0</v>
      </c>
      <c r="AX72" s="155">
        <f t="shared" si="35"/>
        <v>0</v>
      </c>
      <c r="AY72" s="155">
        <f>IF(MatchDay!$C$2="LOWER",COUNTA(AF72:AH72),0)</f>
        <v>0</v>
      </c>
      <c r="BA72" s="157" t="s">
        <v>912</v>
      </c>
      <c r="BB72" s="171"/>
      <c r="BC72" s="165"/>
      <c r="BD72" s="171"/>
      <c r="BE72" s="344"/>
      <c r="BF72" s="171"/>
      <c r="BG72" s="165"/>
      <c r="BH72" s="171"/>
      <c r="BI72" s="158"/>
      <c r="BJ72" s="180"/>
      <c r="BK72" s="180"/>
      <c r="BL72" s="180"/>
      <c r="BM72" s="345"/>
      <c r="BN72" s="345"/>
      <c r="BO72" s="171"/>
      <c r="BP72" s="158"/>
      <c r="BQ72" s="171"/>
      <c r="BR72" s="180"/>
      <c r="BS72" s="158"/>
      <c r="BT72" s="344"/>
      <c r="BU72" s="158"/>
      <c r="BV72" s="345"/>
      <c r="BW72" s="155">
        <f t="shared" si="36"/>
        <v>0</v>
      </c>
      <c r="BX72" s="155">
        <f t="shared" si="37"/>
        <v>0</v>
      </c>
      <c r="BY72" s="155">
        <f>IF(MatchDay!$C$2="LOWER",COUNTA(BF72:BH72),0)</f>
        <v>0</v>
      </c>
      <c r="CA72" s="157" t="s">
        <v>912</v>
      </c>
      <c r="CB72" s="177"/>
      <c r="CC72" s="165"/>
      <c r="CD72" s="177"/>
      <c r="CE72" s="344"/>
      <c r="CF72" s="177"/>
      <c r="CG72" s="165"/>
      <c r="CH72" s="177"/>
      <c r="CI72" s="158"/>
      <c r="CJ72" s="180"/>
      <c r="CK72" s="180"/>
      <c r="CL72" s="180"/>
      <c r="CM72" s="345"/>
      <c r="CN72" s="345"/>
      <c r="CO72" s="177"/>
      <c r="CP72" s="158"/>
      <c r="CQ72" s="177"/>
      <c r="CR72" s="180"/>
      <c r="CS72" s="158"/>
      <c r="CT72" s="344"/>
      <c r="CU72" s="158"/>
      <c r="CV72" s="345"/>
      <c r="CW72" s="155">
        <f t="shared" si="38"/>
        <v>0</v>
      </c>
      <c r="CX72" s="155">
        <f t="shared" si="39"/>
        <v>0</v>
      </c>
      <c r="CY72" s="155">
        <f>IF(MatchDay!$C$2="LOWER",COUNTA(CF72:CH72),0)</f>
        <v>0</v>
      </c>
      <c r="DA72" s="157" t="s">
        <v>912</v>
      </c>
      <c r="DB72" s="171"/>
      <c r="DC72" s="165"/>
      <c r="DD72" s="171"/>
      <c r="DE72" s="344"/>
      <c r="DF72" s="171"/>
      <c r="DG72" s="165"/>
      <c r="DH72" s="171"/>
      <c r="DI72" s="158"/>
      <c r="DJ72" s="180"/>
      <c r="DK72" s="180"/>
      <c r="DL72" s="180"/>
      <c r="DM72" s="345"/>
      <c r="DN72" s="345"/>
      <c r="DO72" s="171"/>
      <c r="DP72" s="158"/>
      <c r="DQ72" s="171"/>
      <c r="DR72" s="180"/>
      <c r="DS72" s="158"/>
      <c r="DT72" s="344"/>
      <c r="DU72" s="158"/>
      <c r="DV72" s="345"/>
      <c r="DW72" s="155">
        <f t="shared" si="40"/>
        <v>0</v>
      </c>
      <c r="DX72" s="155">
        <f t="shared" si="41"/>
        <v>0</v>
      </c>
      <c r="DY72" s="155">
        <f>IF(MatchDay!$C$2="LOWER",COUNTA(DF72:DH72),0)</f>
        <v>0</v>
      </c>
      <c r="EA72" s="157" t="s">
        <v>912</v>
      </c>
      <c r="EB72" s="177"/>
      <c r="EC72" s="165"/>
      <c r="ED72" s="177"/>
      <c r="EE72" s="344"/>
      <c r="EF72" s="177"/>
      <c r="EG72" s="165"/>
      <c r="EH72" s="177"/>
      <c r="EI72" s="158"/>
      <c r="EJ72" s="180"/>
      <c r="EK72" s="180"/>
      <c r="EL72" s="180"/>
      <c r="EM72" s="345"/>
      <c r="EN72" s="345"/>
      <c r="EO72" s="177"/>
      <c r="EP72" s="158"/>
      <c r="EQ72" s="177"/>
      <c r="ER72" s="180"/>
      <c r="ES72" s="158"/>
      <c r="ET72" s="344"/>
      <c r="EU72" s="158"/>
      <c r="EV72" s="345"/>
      <c r="EW72" s="155">
        <f t="shared" si="42"/>
        <v>0</v>
      </c>
      <c r="EX72" s="155">
        <f t="shared" si="43"/>
        <v>0</v>
      </c>
      <c r="EY72" s="155">
        <f>IF(MatchDay!$C$2="LOWER",COUNTA(EF72:EH72),0)</f>
        <v>0</v>
      </c>
      <c r="FA72" s="157" t="s">
        <v>912</v>
      </c>
      <c r="FB72" s="171"/>
      <c r="FC72" s="165"/>
      <c r="FD72" s="171"/>
      <c r="FE72" s="344"/>
      <c r="FF72" s="171"/>
      <c r="FG72" s="165"/>
      <c r="FH72" s="171"/>
      <c r="FI72" s="158"/>
      <c r="FJ72" s="180"/>
      <c r="FK72" s="180"/>
      <c r="FL72" s="180"/>
      <c r="FM72" s="345"/>
      <c r="FN72" s="345"/>
      <c r="FO72" s="171"/>
      <c r="FP72" s="158"/>
      <c r="FQ72" s="171"/>
      <c r="FR72" s="180"/>
      <c r="FS72" s="158"/>
      <c r="FT72" s="344"/>
      <c r="FU72" s="158"/>
      <c r="FV72" s="345"/>
      <c r="FW72" s="155">
        <f t="shared" si="44"/>
        <v>0</v>
      </c>
      <c r="FX72" s="155">
        <f t="shared" si="45"/>
        <v>0</v>
      </c>
      <c r="FY72" s="155">
        <f>IF(MatchDay!$C$2="LOWER",COUNTA(FF72:FH72),0)</f>
        <v>0</v>
      </c>
      <c r="GA72" s="157" t="s">
        <v>912</v>
      </c>
      <c r="GB72" s="177"/>
      <c r="GC72" s="165"/>
      <c r="GD72" s="177"/>
      <c r="GE72" s="344"/>
      <c r="GF72" s="177"/>
      <c r="GG72" s="165"/>
      <c r="GH72" s="177"/>
      <c r="GI72" s="158"/>
      <c r="GJ72" s="180"/>
      <c r="GK72" s="180"/>
      <c r="GL72" s="180"/>
      <c r="GM72" s="345"/>
      <c r="GN72" s="345"/>
      <c r="GO72" s="177"/>
      <c r="GP72" s="158"/>
      <c r="GQ72" s="177"/>
      <c r="GR72" s="180"/>
      <c r="GS72" s="158"/>
      <c r="GT72" s="344"/>
      <c r="GU72" s="158"/>
      <c r="GV72" s="345"/>
      <c r="GW72" s="155">
        <f t="shared" si="46"/>
        <v>0</v>
      </c>
      <c r="GX72" s="155">
        <f t="shared" si="47"/>
        <v>0</v>
      </c>
      <c r="GY72" s="155">
        <f>IF(MatchDay!$C$2="LOWER",COUNTA(GF72:GH72),0)</f>
        <v>0</v>
      </c>
    </row>
    <row r="73" spans="1:207" ht="16.5" customHeight="1" x14ac:dyDescent="0.45">
      <c r="A73" s="157" t="s">
        <v>912</v>
      </c>
      <c r="B73" s="171"/>
      <c r="C73" s="165"/>
      <c r="D73" s="171"/>
      <c r="E73" s="344"/>
      <c r="F73" s="171"/>
      <c r="G73" s="165"/>
      <c r="H73" s="171"/>
      <c r="I73" s="158"/>
      <c r="J73" s="180"/>
      <c r="K73" s="180"/>
      <c r="L73" s="180"/>
      <c r="M73" s="345"/>
      <c r="N73" s="345"/>
      <c r="O73" s="171"/>
      <c r="P73" s="158"/>
      <c r="Q73" s="171"/>
      <c r="R73" s="180"/>
      <c r="S73" s="158"/>
      <c r="T73" s="344"/>
      <c r="U73" s="158"/>
      <c r="V73" s="345"/>
      <c r="W73" s="155">
        <f t="shared" si="32"/>
        <v>0</v>
      </c>
      <c r="X73" s="155">
        <f t="shared" si="33"/>
        <v>0</v>
      </c>
      <c r="Y73" s="155">
        <f>IF(MatchDay!$C$2="LOWER",COUNTA(F73:H73),0)</f>
        <v>0</v>
      </c>
      <c r="AA73" s="157" t="s">
        <v>912</v>
      </c>
      <c r="AB73" s="177"/>
      <c r="AC73" s="165"/>
      <c r="AD73" s="177"/>
      <c r="AE73" s="344"/>
      <c r="AF73" s="177"/>
      <c r="AG73" s="165"/>
      <c r="AH73" s="177"/>
      <c r="AI73" s="158"/>
      <c r="AJ73" s="180"/>
      <c r="AK73" s="180"/>
      <c r="AL73" s="180"/>
      <c r="AM73" s="345"/>
      <c r="AN73" s="345"/>
      <c r="AO73" s="177"/>
      <c r="AP73" s="158"/>
      <c r="AQ73" s="177"/>
      <c r="AR73" s="180"/>
      <c r="AS73" s="158"/>
      <c r="AT73" s="344"/>
      <c r="AU73" s="158"/>
      <c r="AV73" s="345"/>
      <c r="AW73" s="155">
        <f t="shared" si="34"/>
        <v>0</v>
      </c>
      <c r="AX73" s="155">
        <f t="shared" si="35"/>
        <v>0</v>
      </c>
      <c r="AY73" s="155">
        <f>IF(MatchDay!$C$2="LOWER",COUNTA(AF73:AH73),0)</f>
        <v>0</v>
      </c>
      <c r="BA73" s="157" t="s">
        <v>912</v>
      </c>
      <c r="BB73" s="171"/>
      <c r="BC73" s="165"/>
      <c r="BD73" s="171"/>
      <c r="BE73" s="344"/>
      <c r="BF73" s="171"/>
      <c r="BG73" s="165"/>
      <c r="BH73" s="171"/>
      <c r="BI73" s="158"/>
      <c r="BJ73" s="180"/>
      <c r="BK73" s="180"/>
      <c r="BL73" s="180"/>
      <c r="BM73" s="345"/>
      <c r="BN73" s="345"/>
      <c r="BO73" s="171"/>
      <c r="BP73" s="158"/>
      <c r="BQ73" s="171"/>
      <c r="BR73" s="180"/>
      <c r="BS73" s="158"/>
      <c r="BT73" s="344"/>
      <c r="BU73" s="158"/>
      <c r="BV73" s="345"/>
      <c r="BW73" s="155">
        <f t="shared" si="36"/>
        <v>0</v>
      </c>
      <c r="BX73" s="155">
        <f t="shared" si="37"/>
        <v>0</v>
      </c>
      <c r="BY73" s="155">
        <f>IF(MatchDay!$C$2="LOWER",COUNTA(BF73:BH73),0)</f>
        <v>0</v>
      </c>
      <c r="CA73" s="157" t="s">
        <v>912</v>
      </c>
      <c r="CB73" s="177"/>
      <c r="CC73" s="165"/>
      <c r="CD73" s="177"/>
      <c r="CE73" s="344"/>
      <c r="CF73" s="177"/>
      <c r="CG73" s="165"/>
      <c r="CH73" s="177"/>
      <c r="CI73" s="158"/>
      <c r="CJ73" s="180"/>
      <c r="CK73" s="180"/>
      <c r="CL73" s="180"/>
      <c r="CM73" s="345"/>
      <c r="CN73" s="345"/>
      <c r="CO73" s="177"/>
      <c r="CP73" s="158"/>
      <c r="CQ73" s="177"/>
      <c r="CR73" s="180"/>
      <c r="CS73" s="158"/>
      <c r="CT73" s="344"/>
      <c r="CU73" s="158"/>
      <c r="CV73" s="345"/>
      <c r="CW73" s="155">
        <f t="shared" si="38"/>
        <v>0</v>
      </c>
      <c r="CX73" s="155">
        <f t="shared" si="39"/>
        <v>0</v>
      </c>
      <c r="CY73" s="155">
        <f>IF(MatchDay!$C$2="LOWER",COUNTA(CF73:CH73),0)</f>
        <v>0</v>
      </c>
      <c r="DA73" s="157" t="s">
        <v>912</v>
      </c>
      <c r="DB73" s="171"/>
      <c r="DC73" s="165"/>
      <c r="DD73" s="171"/>
      <c r="DE73" s="344"/>
      <c r="DF73" s="171"/>
      <c r="DG73" s="165"/>
      <c r="DH73" s="171"/>
      <c r="DI73" s="158"/>
      <c r="DJ73" s="180"/>
      <c r="DK73" s="180"/>
      <c r="DL73" s="180"/>
      <c r="DM73" s="345"/>
      <c r="DN73" s="345"/>
      <c r="DO73" s="171"/>
      <c r="DP73" s="158"/>
      <c r="DQ73" s="171"/>
      <c r="DR73" s="180"/>
      <c r="DS73" s="158"/>
      <c r="DT73" s="344"/>
      <c r="DU73" s="158"/>
      <c r="DV73" s="345"/>
      <c r="DW73" s="155">
        <f t="shared" si="40"/>
        <v>0</v>
      </c>
      <c r="DX73" s="155">
        <f t="shared" si="41"/>
        <v>0</v>
      </c>
      <c r="DY73" s="155">
        <f>IF(MatchDay!$C$2="LOWER",COUNTA(DF73:DH73),0)</f>
        <v>0</v>
      </c>
      <c r="EA73" s="157" t="s">
        <v>912</v>
      </c>
      <c r="EB73" s="177"/>
      <c r="EC73" s="165"/>
      <c r="ED73" s="177"/>
      <c r="EE73" s="344"/>
      <c r="EF73" s="177"/>
      <c r="EG73" s="165"/>
      <c r="EH73" s="177"/>
      <c r="EI73" s="158"/>
      <c r="EJ73" s="180"/>
      <c r="EK73" s="180"/>
      <c r="EL73" s="180"/>
      <c r="EM73" s="345"/>
      <c r="EN73" s="345"/>
      <c r="EO73" s="177"/>
      <c r="EP73" s="158"/>
      <c r="EQ73" s="177"/>
      <c r="ER73" s="180"/>
      <c r="ES73" s="158"/>
      <c r="ET73" s="344"/>
      <c r="EU73" s="158"/>
      <c r="EV73" s="345"/>
      <c r="EW73" s="155">
        <f t="shared" si="42"/>
        <v>0</v>
      </c>
      <c r="EX73" s="155">
        <f t="shared" si="43"/>
        <v>0</v>
      </c>
      <c r="EY73" s="155">
        <f>IF(MatchDay!$C$2="LOWER",COUNTA(EF73:EH73),0)</f>
        <v>0</v>
      </c>
      <c r="FA73" s="157" t="s">
        <v>912</v>
      </c>
      <c r="FB73" s="171"/>
      <c r="FC73" s="165"/>
      <c r="FD73" s="171"/>
      <c r="FE73" s="344"/>
      <c r="FF73" s="171"/>
      <c r="FG73" s="165"/>
      <c r="FH73" s="171"/>
      <c r="FI73" s="158"/>
      <c r="FJ73" s="180"/>
      <c r="FK73" s="180"/>
      <c r="FL73" s="180"/>
      <c r="FM73" s="345"/>
      <c r="FN73" s="345"/>
      <c r="FO73" s="171"/>
      <c r="FP73" s="158"/>
      <c r="FQ73" s="171"/>
      <c r="FR73" s="180"/>
      <c r="FS73" s="158"/>
      <c r="FT73" s="344"/>
      <c r="FU73" s="158"/>
      <c r="FV73" s="345"/>
      <c r="FW73" s="155">
        <f t="shared" si="44"/>
        <v>0</v>
      </c>
      <c r="FX73" s="155">
        <f t="shared" si="45"/>
        <v>0</v>
      </c>
      <c r="FY73" s="155">
        <f>IF(MatchDay!$C$2="LOWER",COUNTA(FF73:FH73),0)</f>
        <v>0</v>
      </c>
      <c r="GA73" s="157" t="s">
        <v>912</v>
      </c>
      <c r="GB73" s="177"/>
      <c r="GC73" s="165"/>
      <c r="GD73" s="177"/>
      <c r="GE73" s="344"/>
      <c r="GF73" s="177"/>
      <c r="GG73" s="165"/>
      <c r="GH73" s="177"/>
      <c r="GI73" s="158"/>
      <c r="GJ73" s="180"/>
      <c r="GK73" s="180"/>
      <c r="GL73" s="180"/>
      <c r="GM73" s="345"/>
      <c r="GN73" s="345"/>
      <c r="GO73" s="177"/>
      <c r="GP73" s="158"/>
      <c r="GQ73" s="177"/>
      <c r="GR73" s="180"/>
      <c r="GS73" s="158"/>
      <c r="GT73" s="344"/>
      <c r="GU73" s="158"/>
      <c r="GV73" s="345"/>
      <c r="GW73" s="155">
        <f t="shared" si="46"/>
        <v>0</v>
      </c>
      <c r="GX73" s="155">
        <f t="shared" si="47"/>
        <v>0</v>
      </c>
      <c r="GY73" s="155">
        <f>IF(MatchDay!$C$2="LOWER",COUNTA(GF73:GH73),0)</f>
        <v>0</v>
      </c>
    </row>
    <row r="74" spans="1:207" ht="16.5" customHeight="1" x14ac:dyDescent="0.45">
      <c r="A74" s="157" t="s">
        <v>912</v>
      </c>
      <c r="B74" s="171"/>
      <c r="C74" s="165"/>
      <c r="D74" s="171"/>
      <c r="E74" s="344"/>
      <c r="F74" s="171"/>
      <c r="G74" s="165"/>
      <c r="H74" s="171"/>
      <c r="I74" s="158"/>
      <c r="J74" s="180"/>
      <c r="K74" s="180"/>
      <c r="L74" s="180"/>
      <c r="M74" s="345"/>
      <c r="N74" s="345"/>
      <c r="O74" s="171"/>
      <c r="P74" s="158"/>
      <c r="Q74" s="171"/>
      <c r="R74" s="180"/>
      <c r="S74" s="158"/>
      <c r="T74" s="344"/>
      <c r="U74" s="158"/>
      <c r="V74" s="345"/>
      <c r="W74" s="155">
        <f t="shared" si="32"/>
        <v>0</v>
      </c>
      <c r="X74" s="155">
        <f t="shared" si="33"/>
        <v>0</v>
      </c>
      <c r="Y74" s="155">
        <f>IF(MatchDay!$C$2="LOWER",COUNTA(F74:H74),0)</f>
        <v>0</v>
      </c>
      <c r="AA74" s="157" t="s">
        <v>912</v>
      </c>
      <c r="AB74" s="177"/>
      <c r="AC74" s="165"/>
      <c r="AD74" s="177"/>
      <c r="AE74" s="344"/>
      <c r="AF74" s="177"/>
      <c r="AG74" s="165"/>
      <c r="AH74" s="177"/>
      <c r="AI74" s="158"/>
      <c r="AJ74" s="180"/>
      <c r="AK74" s="180"/>
      <c r="AL74" s="180"/>
      <c r="AM74" s="345"/>
      <c r="AN74" s="345"/>
      <c r="AO74" s="177"/>
      <c r="AP74" s="158"/>
      <c r="AQ74" s="177"/>
      <c r="AR74" s="180"/>
      <c r="AS74" s="158"/>
      <c r="AT74" s="344"/>
      <c r="AU74" s="158"/>
      <c r="AV74" s="345"/>
      <c r="AW74" s="155">
        <f t="shared" si="34"/>
        <v>0</v>
      </c>
      <c r="AX74" s="155">
        <f t="shared" si="35"/>
        <v>0</v>
      </c>
      <c r="AY74" s="155">
        <f>IF(MatchDay!$C$2="LOWER",COUNTA(AF74:AH74),0)</f>
        <v>0</v>
      </c>
      <c r="BA74" s="157" t="s">
        <v>912</v>
      </c>
      <c r="BB74" s="171"/>
      <c r="BC74" s="165"/>
      <c r="BD74" s="171"/>
      <c r="BE74" s="344"/>
      <c r="BF74" s="171"/>
      <c r="BG74" s="165"/>
      <c r="BH74" s="171"/>
      <c r="BI74" s="158"/>
      <c r="BJ74" s="180"/>
      <c r="BK74" s="180"/>
      <c r="BL74" s="180"/>
      <c r="BM74" s="345"/>
      <c r="BN74" s="345"/>
      <c r="BO74" s="171"/>
      <c r="BP74" s="158"/>
      <c r="BQ74" s="171"/>
      <c r="BR74" s="180"/>
      <c r="BS74" s="158"/>
      <c r="BT74" s="344"/>
      <c r="BU74" s="158"/>
      <c r="BV74" s="345"/>
      <c r="BW74" s="155">
        <f t="shared" si="36"/>
        <v>0</v>
      </c>
      <c r="BX74" s="155">
        <f t="shared" si="37"/>
        <v>0</v>
      </c>
      <c r="BY74" s="155">
        <f>IF(MatchDay!$C$2="LOWER",COUNTA(BF74:BH74),0)</f>
        <v>0</v>
      </c>
      <c r="CA74" s="157" t="s">
        <v>912</v>
      </c>
      <c r="CB74" s="177"/>
      <c r="CC74" s="165"/>
      <c r="CD74" s="177"/>
      <c r="CE74" s="344"/>
      <c r="CF74" s="177"/>
      <c r="CG74" s="165"/>
      <c r="CH74" s="177"/>
      <c r="CI74" s="158"/>
      <c r="CJ74" s="180"/>
      <c r="CK74" s="180"/>
      <c r="CL74" s="180"/>
      <c r="CM74" s="345"/>
      <c r="CN74" s="345"/>
      <c r="CO74" s="177"/>
      <c r="CP74" s="158"/>
      <c r="CQ74" s="177"/>
      <c r="CR74" s="180"/>
      <c r="CS74" s="158"/>
      <c r="CT74" s="344"/>
      <c r="CU74" s="158"/>
      <c r="CV74" s="345"/>
      <c r="CW74" s="155">
        <f t="shared" si="38"/>
        <v>0</v>
      </c>
      <c r="CX74" s="155">
        <f t="shared" si="39"/>
        <v>0</v>
      </c>
      <c r="CY74" s="155">
        <f>IF(MatchDay!$C$2="LOWER",COUNTA(CF74:CH74),0)</f>
        <v>0</v>
      </c>
      <c r="DA74" s="157" t="s">
        <v>912</v>
      </c>
      <c r="DB74" s="171"/>
      <c r="DC74" s="165"/>
      <c r="DD74" s="171"/>
      <c r="DE74" s="344"/>
      <c r="DF74" s="171"/>
      <c r="DG74" s="165"/>
      <c r="DH74" s="171"/>
      <c r="DI74" s="158"/>
      <c r="DJ74" s="180"/>
      <c r="DK74" s="180"/>
      <c r="DL74" s="180"/>
      <c r="DM74" s="345"/>
      <c r="DN74" s="345"/>
      <c r="DO74" s="171"/>
      <c r="DP74" s="158"/>
      <c r="DQ74" s="171"/>
      <c r="DR74" s="180"/>
      <c r="DS74" s="158"/>
      <c r="DT74" s="344"/>
      <c r="DU74" s="158"/>
      <c r="DV74" s="345"/>
      <c r="DW74" s="155">
        <f t="shared" si="40"/>
        <v>0</v>
      </c>
      <c r="DX74" s="155">
        <f t="shared" si="41"/>
        <v>0</v>
      </c>
      <c r="DY74" s="155">
        <f>IF(MatchDay!$C$2="LOWER",COUNTA(DF74:DH74),0)</f>
        <v>0</v>
      </c>
      <c r="EA74" s="157" t="s">
        <v>912</v>
      </c>
      <c r="EB74" s="177"/>
      <c r="EC74" s="165"/>
      <c r="ED74" s="177"/>
      <c r="EE74" s="344"/>
      <c r="EF74" s="177"/>
      <c r="EG74" s="165"/>
      <c r="EH74" s="177"/>
      <c r="EI74" s="158"/>
      <c r="EJ74" s="180"/>
      <c r="EK74" s="180"/>
      <c r="EL74" s="180"/>
      <c r="EM74" s="345"/>
      <c r="EN74" s="345"/>
      <c r="EO74" s="177"/>
      <c r="EP74" s="158"/>
      <c r="EQ74" s="177"/>
      <c r="ER74" s="180"/>
      <c r="ES74" s="158"/>
      <c r="ET74" s="344"/>
      <c r="EU74" s="158"/>
      <c r="EV74" s="345"/>
      <c r="EW74" s="155">
        <f t="shared" si="42"/>
        <v>0</v>
      </c>
      <c r="EX74" s="155">
        <f t="shared" si="43"/>
        <v>0</v>
      </c>
      <c r="EY74" s="155">
        <f>IF(MatchDay!$C$2="LOWER",COUNTA(EF74:EH74),0)</f>
        <v>0</v>
      </c>
      <c r="FA74" s="157" t="s">
        <v>912</v>
      </c>
      <c r="FB74" s="171"/>
      <c r="FC74" s="165"/>
      <c r="FD74" s="171"/>
      <c r="FE74" s="344"/>
      <c r="FF74" s="171"/>
      <c r="FG74" s="165"/>
      <c r="FH74" s="171"/>
      <c r="FI74" s="158"/>
      <c r="FJ74" s="180"/>
      <c r="FK74" s="180"/>
      <c r="FL74" s="180"/>
      <c r="FM74" s="345"/>
      <c r="FN74" s="345"/>
      <c r="FO74" s="171"/>
      <c r="FP74" s="158"/>
      <c r="FQ74" s="171"/>
      <c r="FR74" s="180"/>
      <c r="FS74" s="158"/>
      <c r="FT74" s="344"/>
      <c r="FU74" s="158"/>
      <c r="FV74" s="345"/>
      <c r="FW74" s="155">
        <f t="shared" si="44"/>
        <v>0</v>
      </c>
      <c r="FX74" s="155">
        <f t="shared" si="45"/>
        <v>0</v>
      </c>
      <c r="FY74" s="155">
        <f>IF(MatchDay!$C$2="LOWER",COUNTA(FF74:FH74),0)</f>
        <v>0</v>
      </c>
      <c r="GA74" s="157" t="s">
        <v>912</v>
      </c>
      <c r="GB74" s="177"/>
      <c r="GC74" s="165"/>
      <c r="GD74" s="177"/>
      <c r="GE74" s="344"/>
      <c r="GF74" s="177"/>
      <c r="GG74" s="165"/>
      <c r="GH74" s="177"/>
      <c r="GI74" s="158"/>
      <c r="GJ74" s="180"/>
      <c r="GK74" s="180"/>
      <c r="GL74" s="180"/>
      <c r="GM74" s="345"/>
      <c r="GN74" s="345"/>
      <c r="GO74" s="177"/>
      <c r="GP74" s="158"/>
      <c r="GQ74" s="177"/>
      <c r="GR74" s="180"/>
      <c r="GS74" s="158"/>
      <c r="GT74" s="344"/>
      <c r="GU74" s="158"/>
      <c r="GV74" s="345"/>
      <c r="GW74" s="155">
        <f t="shared" si="46"/>
        <v>0</v>
      </c>
      <c r="GX74" s="155">
        <f t="shared" si="47"/>
        <v>0</v>
      </c>
      <c r="GY74" s="155">
        <f>IF(MatchDay!$C$2="LOWER",COUNTA(GF74:GH74),0)</f>
        <v>0</v>
      </c>
    </row>
    <row r="75" spans="1:207" ht="15" hidden="1" customHeight="1" x14ac:dyDescent="0.45">
      <c r="A75" s="155" t="str">
        <f>IFERROR(VLOOKUP(('LAG Girls'!$GW75*10)+'LAG Girls'!A$2,downloads!$X:$Z,2,FALSE),"")</f>
        <v>BAINES Lily</v>
      </c>
      <c r="AA75" s="155" t="str">
        <f>IFERROR(VLOOKUP(('LAG Girls'!$GW75*10)+'LAG Girls'!AA$2,downloads!$X:$Z,2,FALSE),"")</f>
        <v>ADEBAYO Daphney</v>
      </c>
      <c r="BA75" s="155" t="str">
        <f>IFERROR(VLOOKUP(('LAG Girls'!$GW75*10)+'LAG Girls'!BA$2,downloads!$X:$Z,2,FALSE),"")</f>
        <v>BIRCH Louisa</v>
      </c>
      <c r="CA75" s="155" t="str">
        <f>IFERROR(VLOOKUP(('LAG Girls'!$GW75*10)+'LAG Girls'!CA$2,downloads!$X:$Z,2,FALSE),"")</f>
        <v>BRAZUKAS Toni</v>
      </c>
      <c r="DA75" s="155" t="str">
        <f>IFERROR(VLOOKUP(('LAG Girls'!$GW75*10)+'LAG Girls'!DA$2,downloads!$X:$Z,2,FALSE),"")</f>
        <v>ABDI Zulekha</v>
      </c>
      <c r="EA75" s="155" t="str">
        <f>IFERROR(VLOOKUP(('LAG Girls'!$GW75*10)+'LAG Girls'!EA$2,downloads!$X:$Z,2,FALSE),"")</f>
        <v/>
      </c>
      <c r="FA75" s="155" t="str">
        <f>IFERROR(VLOOKUP(('LAG Girls'!$GW75*10)+'LAG Girls'!FA$2,downloads!$X:$Z,2,FALSE),"")</f>
        <v/>
      </c>
      <c r="GA75" s="155" t="str">
        <f>IFERROR(VLOOKUP(('LAG Girls'!$GW75*10)+'LAG Girls'!GA$2,downloads!$X:$Z,2,FALSE),"")</f>
        <v/>
      </c>
      <c r="GW75" s="155">
        <v>1</v>
      </c>
    </row>
    <row r="76" spans="1:207" ht="15" hidden="1" customHeight="1" x14ac:dyDescent="0.45">
      <c r="A76" s="155" t="str">
        <f>IFERROR(VLOOKUP(('LAG Girls'!$GW76*10)+'LAG Girls'!A$2,downloads!$X:$Z,2,FALSE),"")</f>
        <v>BEEBE Lucy</v>
      </c>
      <c r="AA76" s="155" t="str">
        <f>IFERROR(VLOOKUP(('LAG Girls'!$GW76*10)+'LAG Girls'!AA$2,downloads!$X:$Z,2,FALSE),"")</f>
        <v>ATOYEBI Anaiah</v>
      </c>
      <c r="BA76" s="155" t="str">
        <f>IFERROR(VLOOKUP(('LAG Girls'!$GW76*10)+'LAG Girls'!BA$2,downloads!$X:$Z,2,FALSE),"")</f>
        <v>BROOKS Carmen</v>
      </c>
      <c r="CA76" s="155" t="str">
        <f>IFERROR(VLOOKUP(('LAG Girls'!$GW76*10)+'LAG Girls'!CA$2,downloads!$X:$Z,2,FALSE),"")</f>
        <v>CLARKE Holly</v>
      </c>
      <c r="DA76" s="155" t="str">
        <f>IFERROR(VLOOKUP(('LAG Girls'!$GW76*10)+'LAG Girls'!DA$2,downloads!$X:$Z,2,FALSE),"")</f>
        <v>ALTOFT Olivia</v>
      </c>
      <c r="EA76" s="155" t="str">
        <f>IFERROR(VLOOKUP(('LAG Girls'!$GW76*10)+'LAG Girls'!EA$2,downloads!$X:$Z,2,FALSE),"")</f>
        <v/>
      </c>
      <c r="FA76" s="155" t="str">
        <f>IFERROR(VLOOKUP(('LAG Girls'!$GW76*10)+'LAG Girls'!FA$2,downloads!$X:$Z,2,FALSE),"")</f>
        <v/>
      </c>
      <c r="GA76" s="155" t="str">
        <f>IFERROR(VLOOKUP(('LAG Girls'!$GW76*10)+'LAG Girls'!GA$2,downloads!$X:$Z,2,FALSE),"")</f>
        <v/>
      </c>
      <c r="GW76" s="155">
        <v>2</v>
      </c>
    </row>
    <row r="77" spans="1:207" ht="15" hidden="1" customHeight="1" x14ac:dyDescent="0.45">
      <c r="A77" s="155" t="str">
        <f>IFERROR(VLOOKUP(('LAG Girls'!$GW77*10)+'LAG Girls'!A$2,downloads!$X:$Z,2,FALSE),"")</f>
        <v>BRIDDON Missy</v>
      </c>
      <c r="AA77" s="155" t="str">
        <f>IFERROR(VLOOKUP(('LAG Girls'!$GW77*10)+'LAG Girls'!AA$2,downloads!$X:$Z,2,FALSE),"")</f>
        <v>BERRY Heather</v>
      </c>
      <c r="BA77" s="155" t="str">
        <f>IFERROR(VLOOKUP(('LAG Girls'!$GW77*10)+'LAG Girls'!BA$2,downloads!$X:$Z,2,FALSE),"")</f>
        <v>BROOKS Laura</v>
      </c>
      <c r="CA77" s="155" t="str">
        <f>IFERROR(VLOOKUP(('LAG Girls'!$GW77*10)+'LAG Girls'!CA$2,downloads!$X:$Z,2,FALSE),"")</f>
        <v>CREASEY Lois</v>
      </c>
      <c r="DA77" s="155" t="str">
        <f>IFERROR(VLOOKUP(('LAG Girls'!$GW77*10)+'LAG Girls'!DA$2,downloads!$X:$Z,2,FALSE),"")</f>
        <v>BAXTER Ellisha</v>
      </c>
      <c r="EA77" s="155" t="str">
        <f>IFERROR(VLOOKUP(('LAG Girls'!$GW77*10)+'LAG Girls'!EA$2,downloads!$X:$Z,2,FALSE),"")</f>
        <v/>
      </c>
      <c r="FA77" s="155" t="str">
        <f>IFERROR(VLOOKUP(('LAG Girls'!$GW77*10)+'LAG Girls'!FA$2,downloads!$X:$Z,2,FALSE),"")</f>
        <v/>
      </c>
      <c r="GA77" s="155" t="str">
        <f>IFERROR(VLOOKUP(('LAG Girls'!$GW77*10)+'LAG Girls'!GA$2,downloads!$X:$Z,2,FALSE),"")</f>
        <v/>
      </c>
      <c r="GW77" s="155">
        <v>3</v>
      </c>
    </row>
    <row r="78" spans="1:207" ht="15" hidden="1" customHeight="1" x14ac:dyDescent="0.45">
      <c r="A78" s="155" t="str">
        <f>IFERROR(VLOOKUP(('LAG Girls'!$GW78*10)+'LAG Girls'!A$2,downloads!$X:$Z,2,FALSE),"")</f>
        <v>CAMPTON Eleanor</v>
      </c>
      <c r="AA78" s="155" t="str">
        <f>IFERROR(VLOOKUP(('LAG Girls'!$GW78*10)+'LAG Girls'!AA$2,downloads!$X:$Z,2,FALSE),"")</f>
        <v>COOPER Amy</v>
      </c>
      <c r="BA78" s="155" t="str">
        <f>IFERROR(VLOOKUP(('LAG Girls'!$GW78*10)+'LAG Girls'!BA$2,downloads!$X:$Z,2,FALSE),"")</f>
        <v>CALVERT Caitlin</v>
      </c>
      <c r="CA78" s="155" t="str">
        <f>IFERROR(VLOOKUP(('LAG Girls'!$GW78*10)+'LAG Girls'!CA$2,downloads!$X:$Z,2,FALSE),"")</f>
        <v>DALEY Hannah</v>
      </c>
      <c r="DA78" s="155" t="str">
        <f>IFERROR(VLOOKUP(('LAG Girls'!$GW78*10)+'LAG Girls'!DA$2,downloads!$X:$Z,2,FALSE),"")</f>
        <v>BETTS Demi</v>
      </c>
      <c r="EA78" s="155" t="str">
        <f>IFERROR(VLOOKUP(('LAG Girls'!$GW78*10)+'LAG Girls'!EA$2,downloads!$X:$Z,2,FALSE),"")</f>
        <v/>
      </c>
      <c r="FA78" s="155" t="str">
        <f>IFERROR(VLOOKUP(('LAG Girls'!$GW78*10)+'LAG Girls'!FA$2,downloads!$X:$Z,2,FALSE),"")</f>
        <v/>
      </c>
      <c r="GA78" s="155" t="str">
        <f>IFERROR(VLOOKUP(('LAG Girls'!$GW78*10)+'LAG Girls'!GA$2,downloads!$X:$Z,2,FALSE),"")</f>
        <v/>
      </c>
      <c r="GW78" s="155">
        <v>4</v>
      </c>
    </row>
    <row r="79" spans="1:207" ht="15" hidden="1" customHeight="1" x14ac:dyDescent="0.45">
      <c r="A79" s="155" t="str">
        <f>IFERROR(VLOOKUP(('LAG Girls'!$GW79*10)+'LAG Girls'!A$2,downloads!$X:$Z,2,FALSE),"")</f>
        <v>COULSON Sky</v>
      </c>
      <c r="AA79" s="155" t="str">
        <f>IFERROR(VLOOKUP(('LAG Girls'!$GW79*10)+'LAG Girls'!AA$2,downloads!$X:$Z,2,FALSE),"")</f>
        <v>EVANS Rebecca</v>
      </c>
      <c r="BA79" s="155" t="str">
        <f>IFERROR(VLOOKUP(('LAG Girls'!$GW79*10)+'LAG Girls'!BA$2,downloads!$X:$Z,2,FALSE),"")</f>
        <v>CHECHIK Sonya</v>
      </c>
      <c r="CA79" s="155" t="str">
        <f>IFERROR(VLOOKUP(('LAG Girls'!$GW79*10)+'LAG Girls'!CA$2,downloads!$X:$Z,2,FALSE),"")</f>
        <v>DAY Martha</v>
      </c>
      <c r="DA79" s="155" t="str">
        <f>IFERROR(VLOOKUP(('LAG Girls'!$GW79*10)+'LAG Girls'!DA$2,downloads!$X:$Z,2,FALSE),"")</f>
        <v>CARTLEDGE Ellie</v>
      </c>
      <c r="EA79" s="155" t="str">
        <f>IFERROR(VLOOKUP(('LAG Girls'!$GW79*10)+'LAG Girls'!EA$2,downloads!$X:$Z,2,FALSE),"")</f>
        <v/>
      </c>
      <c r="FA79" s="155" t="str">
        <f>IFERROR(VLOOKUP(('LAG Girls'!$GW79*10)+'LAG Girls'!FA$2,downloads!$X:$Z,2,FALSE),"")</f>
        <v/>
      </c>
      <c r="GA79" s="155" t="str">
        <f>IFERROR(VLOOKUP(('LAG Girls'!$GW79*10)+'LAG Girls'!GA$2,downloads!$X:$Z,2,FALSE),"")</f>
        <v/>
      </c>
      <c r="GW79" s="155">
        <v>5</v>
      </c>
    </row>
    <row r="80" spans="1:207" ht="15" hidden="1" customHeight="1" x14ac:dyDescent="0.45">
      <c r="A80" s="155" t="str">
        <f>IFERROR(VLOOKUP(('LAG Girls'!$GW80*10)+'LAG Girls'!A$2,downloads!$X:$Z,2,FALSE),"")</f>
        <v>DUNKLEY Autum</v>
      </c>
      <c r="AA80" s="155" t="str">
        <f>IFERROR(VLOOKUP(('LAG Girls'!$GW80*10)+'LAG Girls'!AA$2,downloads!$X:$Z,2,FALSE),"")</f>
        <v>FLINDERS Agnes</v>
      </c>
      <c r="BA80" s="155" t="str">
        <f>IFERROR(VLOOKUP(('LAG Girls'!$GW80*10)+'LAG Girls'!BA$2,downloads!$X:$Z,2,FALSE),"")</f>
        <v>CLAGUE Kathryn</v>
      </c>
      <c r="CA80" s="155" t="str">
        <f>IFERROR(VLOOKUP(('LAG Girls'!$GW80*10)+'LAG Girls'!CA$2,downloads!$X:$Z,2,FALSE),"")</f>
        <v>DORAN Bethany</v>
      </c>
      <c r="DA80" s="155" t="str">
        <f>IFERROR(VLOOKUP(('LAG Girls'!$GW80*10)+'LAG Girls'!DA$2,downloads!$X:$Z,2,FALSE),"")</f>
        <v>CRESSEY Evie</v>
      </c>
      <c r="EA80" s="155" t="str">
        <f>IFERROR(VLOOKUP(('LAG Girls'!$GW80*10)+'LAG Girls'!EA$2,downloads!$X:$Z,2,FALSE),"")</f>
        <v/>
      </c>
      <c r="FA80" s="155" t="str">
        <f>IFERROR(VLOOKUP(('LAG Girls'!$GW80*10)+'LAG Girls'!FA$2,downloads!$X:$Z,2,FALSE),"")</f>
        <v/>
      </c>
      <c r="GA80" s="155" t="str">
        <f>IFERROR(VLOOKUP(('LAG Girls'!$GW80*10)+'LAG Girls'!GA$2,downloads!$X:$Z,2,FALSE),"")</f>
        <v/>
      </c>
      <c r="GW80" s="155">
        <v>6</v>
      </c>
    </row>
    <row r="81" spans="1:205" ht="15" hidden="1" customHeight="1" x14ac:dyDescent="0.45">
      <c r="A81" s="155" t="str">
        <f>IFERROR(VLOOKUP(('LAG Girls'!$GW81*10)+'LAG Girls'!A$2,downloads!$X:$Z,2,FALSE),"")</f>
        <v>FELLOWS Isabelle</v>
      </c>
      <c r="AA81" s="155" t="str">
        <f>IFERROR(VLOOKUP(('LAG Girls'!$GW81*10)+'LAG Girls'!AA$2,downloads!$X:$Z,2,FALSE),"")</f>
        <v>GRAY Molly</v>
      </c>
      <c r="BA81" s="155" t="str">
        <f>IFERROR(VLOOKUP(('LAG Girls'!$GW81*10)+'LAG Girls'!BA$2,downloads!$X:$Z,2,FALSE),"")</f>
        <v>COURTNEY Libby</v>
      </c>
      <c r="CA81" s="155" t="str">
        <f>IFERROR(VLOOKUP(('LAG Girls'!$GW81*10)+'LAG Girls'!CA$2,downloads!$X:$Z,2,FALSE),"")</f>
        <v>FLETCHER Olivia</v>
      </c>
      <c r="DA81" s="155" t="str">
        <f>IFERROR(VLOOKUP(('LAG Girls'!$GW81*10)+'LAG Girls'!DA$2,downloads!$X:$Z,2,FALSE),"")</f>
        <v>GREGORY Ava</v>
      </c>
      <c r="EA81" s="155" t="str">
        <f>IFERROR(VLOOKUP(('LAG Girls'!$GW81*10)+'LAG Girls'!EA$2,downloads!$X:$Z,2,FALSE),"")</f>
        <v/>
      </c>
      <c r="FA81" s="155" t="str">
        <f>IFERROR(VLOOKUP(('LAG Girls'!$GW81*10)+'LAG Girls'!FA$2,downloads!$X:$Z,2,FALSE),"")</f>
        <v/>
      </c>
      <c r="GA81" s="155" t="str">
        <f>IFERROR(VLOOKUP(('LAG Girls'!$GW81*10)+'LAG Girls'!GA$2,downloads!$X:$Z,2,FALSE),"")</f>
        <v/>
      </c>
      <c r="GW81" s="155">
        <v>7</v>
      </c>
    </row>
    <row r="82" spans="1:205" ht="15" hidden="1" customHeight="1" x14ac:dyDescent="0.45">
      <c r="A82" s="155" t="str">
        <f>IFERROR(VLOOKUP(('LAG Girls'!$GW82*10)+'LAG Girls'!A$2,downloads!$X:$Z,2,FALSE),"")</f>
        <v>GRIFFIN Lydia</v>
      </c>
      <c r="AA82" s="155" t="str">
        <f>IFERROR(VLOOKUP(('LAG Girls'!$GW82*10)+'LAG Girls'!AA$2,downloads!$X:$Z,2,FALSE),"")</f>
        <v>GROVE Abigail</v>
      </c>
      <c r="BA82" s="155" t="str">
        <f>IFERROR(VLOOKUP(('LAG Girls'!$GW82*10)+'LAG Girls'!BA$2,downloads!$X:$Z,2,FALSE),"")</f>
        <v>CROSBY Alice</v>
      </c>
      <c r="CA82" s="155" t="str">
        <f>IFERROR(VLOOKUP(('LAG Girls'!$GW82*10)+'LAG Girls'!CA$2,downloads!$X:$Z,2,FALSE),"")</f>
        <v>FLETCHER Ruth</v>
      </c>
      <c r="DA82" s="155" t="str">
        <f>IFERROR(VLOOKUP(('LAG Girls'!$GW82*10)+'LAG Girls'!DA$2,downloads!$X:$Z,2,FALSE),"")</f>
        <v>HAYES Zara</v>
      </c>
      <c r="EA82" s="155" t="str">
        <f>IFERROR(VLOOKUP(('LAG Girls'!$GW82*10)+'LAG Girls'!EA$2,downloads!$X:$Z,2,FALSE),"")</f>
        <v/>
      </c>
      <c r="FA82" s="155" t="str">
        <f>IFERROR(VLOOKUP(('LAG Girls'!$GW82*10)+'LAG Girls'!FA$2,downloads!$X:$Z,2,FALSE),"")</f>
        <v/>
      </c>
      <c r="GA82" s="155" t="str">
        <f>IFERROR(VLOOKUP(('LAG Girls'!$GW82*10)+'LAG Girls'!GA$2,downloads!$X:$Z,2,FALSE),"")</f>
        <v/>
      </c>
      <c r="GW82" s="155">
        <v>8</v>
      </c>
    </row>
    <row r="83" spans="1:205" ht="15" hidden="1" customHeight="1" x14ac:dyDescent="0.45">
      <c r="A83" s="155" t="str">
        <f>IFERROR(VLOOKUP(('LAG Girls'!$GW83*10)+'LAG Girls'!A$2,downloads!$X:$Z,2,FALSE),"")</f>
        <v>HAILEY Faye</v>
      </c>
      <c r="AA83" s="155" t="str">
        <f>IFERROR(VLOOKUP(('LAG Girls'!$GW83*10)+'LAG Girls'!AA$2,downloads!$X:$Z,2,FALSE),"")</f>
        <v>HARTLEY Eleanor</v>
      </c>
      <c r="BA83" s="155" t="str">
        <f>IFERROR(VLOOKUP(('LAG Girls'!$GW83*10)+'LAG Girls'!BA$2,downloads!$X:$Z,2,FALSE),"")</f>
        <v>CROSSAN Lily</v>
      </c>
      <c r="CA83" s="155" t="str">
        <f>IFERROR(VLOOKUP(('LAG Girls'!$GW83*10)+'LAG Girls'!CA$2,downloads!$X:$Z,2,FALSE),"")</f>
        <v>GILLIS Madelaine</v>
      </c>
      <c r="DA83" s="155" t="str">
        <f>IFERROR(VLOOKUP(('LAG Girls'!$GW83*10)+'LAG Girls'!DA$2,downloads!$X:$Z,2,FALSE),"")</f>
        <v>JENKINS Emily</v>
      </c>
      <c r="EA83" s="155" t="str">
        <f>IFERROR(VLOOKUP(('LAG Girls'!$GW83*10)+'LAG Girls'!EA$2,downloads!$X:$Z,2,FALSE),"")</f>
        <v/>
      </c>
      <c r="FA83" s="155" t="str">
        <f>IFERROR(VLOOKUP(('LAG Girls'!$GW83*10)+'LAG Girls'!FA$2,downloads!$X:$Z,2,FALSE),"")</f>
        <v/>
      </c>
      <c r="GA83" s="155" t="str">
        <f>IFERROR(VLOOKUP(('LAG Girls'!$GW83*10)+'LAG Girls'!GA$2,downloads!$X:$Z,2,FALSE),"")</f>
        <v/>
      </c>
      <c r="GW83" s="155">
        <v>9</v>
      </c>
    </row>
    <row r="84" spans="1:205" ht="15" hidden="1" customHeight="1" x14ac:dyDescent="0.45">
      <c r="A84" s="155" t="str">
        <f>IFERROR(VLOOKUP(('LAG Girls'!$GW84*10)+'LAG Girls'!A$2,downloads!$X:$Z,2,FALSE),"")</f>
        <v>HALL Lottie</v>
      </c>
      <c r="AA84" s="155" t="str">
        <f>IFERROR(VLOOKUP(('LAG Girls'!$GW84*10)+'LAG Girls'!AA$2,downloads!$X:$Z,2,FALSE),"")</f>
        <v>HOLMES Amelia rose</v>
      </c>
      <c r="BA84" s="155" t="str">
        <f>IFERROR(VLOOKUP(('LAG Girls'!$GW84*10)+'LAG Girls'!BA$2,downloads!$X:$Z,2,FALSE),"")</f>
        <v>EASTWOOD Abbie</v>
      </c>
      <c r="CA84" s="155" t="str">
        <f>IFERROR(VLOOKUP(('LAG Girls'!$GW84*10)+'LAG Girls'!CA$2,downloads!$X:$Z,2,FALSE),"")</f>
        <v>HALL Gabrielle</v>
      </c>
      <c r="DA84" s="155" t="str">
        <f>IFERROR(VLOOKUP(('LAG Girls'!$GW84*10)+'LAG Girls'!DA$2,downloads!$X:$Z,2,FALSE),"")</f>
        <v>LINGARD Alice</v>
      </c>
      <c r="EA84" s="155" t="str">
        <f>IFERROR(VLOOKUP(('LAG Girls'!$GW84*10)+'LAG Girls'!EA$2,downloads!$X:$Z,2,FALSE),"")</f>
        <v/>
      </c>
      <c r="FA84" s="155" t="str">
        <f>IFERROR(VLOOKUP(('LAG Girls'!$GW84*10)+'LAG Girls'!FA$2,downloads!$X:$Z,2,FALSE),"")</f>
        <v/>
      </c>
      <c r="GA84" s="155" t="str">
        <f>IFERROR(VLOOKUP(('LAG Girls'!$GW84*10)+'LAG Girls'!GA$2,downloads!$X:$Z,2,FALSE),"")</f>
        <v/>
      </c>
      <c r="GW84" s="155">
        <v>10</v>
      </c>
    </row>
    <row r="85" spans="1:205" ht="15" hidden="1" customHeight="1" x14ac:dyDescent="0.45">
      <c r="A85" s="155" t="str">
        <f>IFERROR(VLOOKUP(('LAG Girls'!$GW85*10)+'LAG Girls'!A$2,downloads!$X:$Z,2,FALSE),"")</f>
        <v>HELPS Macy</v>
      </c>
      <c r="AA85" s="155" t="str">
        <f>IFERROR(VLOOKUP(('LAG Girls'!$GW85*10)+'LAG Girls'!AA$2,downloads!$X:$Z,2,FALSE),"")</f>
        <v>JELONKIEWICZ Viktoria</v>
      </c>
      <c r="BA85" s="155" t="str">
        <f>IFERROR(VLOOKUP(('LAG Girls'!$GW85*10)+'LAG Girls'!BA$2,downloads!$X:$Z,2,FALSE),"")</f>
        <v>GASKIN Lucy</v>
      </c>
      <c r="CA85" s="155" t="str">
        <f>IFERROR(VLOOKUP(('LAG Girls'!$GW85*10)+'LAG Girls'!CA$2,downloads!$X:$Z,2,FALSE),"")</f>
        <v>HALL Isabelle</v>
      </c>
      <c r="DA85" s="155" t="str">
        <f>IFERROR(VLOOKUP(('LAG Girls'!$GW85*10)+'LAG Girls'!DA$2,downloads!$X:$Z,2,FALSE),"")</f>
        <v>LINGARD Beatrice</v>
      </c>
      <c r="EA85" s="155" t="str">
        <f>IFERROR(VLOOKUP(('LAG Girls'!$GW85*10)+'LAG Girls'!EA$2,downloads!$X:$Z,2,FALSE),"")</f>
        <v/>
      </c>
      <c r="FA85" s="155" t="str">
        <f>IFERROR(VLOOKUP(('LAG Girls'!$GW85*10)+'LAG Girls'!FA$2,downloads!$X:$Z,2,FALSE),"")</f>
        <v/>
      </c>
      <c r="GA85" s="155" t="str">
        <f>IFERROR(VLOOKUP(('LAG Girls'!$GW85*10)+'LAG Girls'!GA$2,downloads!$X:$Z,2,FALSE),"")</f>
        <v/>
      </c>
      <c r="GW85" s="155">
        <v>11</v>
      </c>
    </row>
    <row r="86" spans="1:205" ht="15" hidden="1" customHeight="1" x14ac:dyDescent="0.45">
      <c r="A86" s="155" t="str">
        <f>IFERROR(VLOOKUP(('LAG Girls'!$GW86*10)+'LAG Girls'!A$2,downloads!$X:$Z,2,FALSE),"")</f>
        <v>HIGHAM Ruby</v>
      </c>
      <c r="AA86" s="155" t="str">
        <f>IFERROR(VLOOKUP(('LAG Girls'!$GW86*10)+'LAG Girls'!AA$2,downloads!$X:$Z,2,FALSE),"")</f>
        <v>KRIEL PARR Daisy</v>
      </c>
      <c r="BA86" s="155" t="str">
        <f>IFERROR(VLOOKUP(('LAG Girls'!$GW86*10)+'LAG Girls'!BA$2,downloads!$X:$Z,2,FALSE),"")</f>
        <v>GREEN-HEMMINGS Grace</v>
      </c>
      <c r="CA86" s="155" t="str">
        <f>IFERROR(VLOOKUP(('LAG Girls'!$GW86*10)+'LAG Girls'!CA$2,downloads!$X:$Z,2,FALSE),"")</f>
        <v>HEDGER Ella</v>
      </c>
      <c r="DA86" s="155" t="str">
        <f>IFERROR(VLOOKUP(('LAG Girls'!$GW86*10)+'LAG Girls'!DA$2,downloads!$X:$Z,2,FALSE),"")</f>
        <v>LOVE Katie</v>
      </c>
      <c r="EA86" s="155" t="str">
        <f>IFERROR(VLOOKUP(('LAG Girls'!$GW86*10)+'LAG Girls'!EA$2,downloads!$X:$Z,2,FALSE),"")</f>
        <v/>
      </c>
      <c r="FA86" s="155" t="str">
        <f>IFERROR(VLOOKUP(('LAG Girls'!$GW86*10)+'LAG Girls'!FA$2,downloads!$X:$Z,2,FALSE),"")</f>
        <v/>
      </c>
      <c r="GA86" s="155" t="str">
        <f>IFERROR(VLOOKUP(('LAG Girls'!$GW86*10)+'LAG Girls'!GA$2,downloads!$X:$Z,2,FALSE),"")</f>
        <v/>
      </c>
      <c r="GW86" s="155">
        <v>12</v>
      </c>
    </row>
    <row r="87" spans="1:205" ht="15" hidden="1" customHeight="1" x14ac:dyDescent="0.45">
      <c r="A87" s="155" t="str">
        <f>IFERROR(VLOOKUP(('LAG Girls'!$GW87*10)+'LAG Girls'!A$2,downloads!$X:$Z,2,FALSE),"")</f>
        <v>HILL Kelsey</v>
      </c>
      <c r="AA87" s="155" t="str">
        <f>IFERROR(VLOOKUP(('LAG Girls'!$GW87*10)+'LAG Girls'!AA$2,downloads!$X:$Z,2,FALSE),"")</f>
        <v>KYNOCH Ella</v>
      </c>
      <c r="BA87" s="155" t="str">
        <f>IFERROR(VLOOKUP(('LAG Girls'!$GW87*10)+'LAG Girls'!BA$2,downloads!$X:$Z,2,FALSE),"")</f>
        <v>HADAWAY Alice</v>
      </c>
      <c r="CA87" s="155" t="str">
        <f>IFERROR(VLOOKUP(('LAG Girls'!$GW87*10)+'LAG Girls'!CA$2,downloads!$X:$Z,2,FALSE),"")</f>
        <v>HERBERT Isabel</v>
      </c>
      <c r="DA87" s="155" t="str">
        <f>IFERROR(VLOOKUP(('LAG Girls'!$GW87*10)+'LAG Girls'!DA$2,downloads!$X:$Z,2,FALSE),"")</f>
        <v>POTTER Niamh</v>
      </c>
      <c r="EA87" s="155" t="str">
        <f>IFERROR(VLOOKUP(('LAG Girls'!$GW87*10)+'LAG Girls'!EA$2,downloads!$X:$Z,2,FALSE),"")</f>
        <v/>
      </c>
      <c r="FA87" s="155" t="str">
        <f>IFERROR(VLOOKUP(('LAG Girls'!$GW87*10)+'LAG Girls'!FA$2,downloads!$X:$Z,2,FALSE),"")</f>
        <v/>
      </c>
      <c r="GA87" s="155" t="str">
        <f>IFERROR(VLOOKUP(('LAG Girls'!$GW87*10)+'LAG Girls'!GA$2,downloads!$X:$Z,2,FALSE),"")</f>
        <v/>
      </c>
      <c r="GW87" s="155">
        <v>13</v>
      </c>
    </row>
    <row r="88" spans="1:205" ht="15" hidden="1" customHeight="1" x14ac:dyDescent="0.45">
      <c r="A88" s="155" t="str">
        <f>IFERROR(VLOOKUP(('LAG Girls'!$GW88*10)+'LAG Girls'!A$2,downloads!$X:$Z,2,FALSE),"")</f>
        <v>HUMPHREYS Melissa</v>
      </c>
      <c r="AA88" s="155" t="str">
        <f>IFERROR(VLOOKUP(('LAG Girls'!$GW88*10)+'LAG Girls'!AA$2,downloads!$X:$Z,2,FALSE),"")</f>
        <v>MYCROFT Tilly</v>
      </c>
      <c r="BA88" s="155" t="str">
        <f>IFERROR(VLOOKUP(('LAG Girls'!$GW88*10)+'LAG Girls'!BA$2,downloads!$X:$Z,2,FALSE),"")</f>
        <v>HALL Gabi</v>
      </c>
      <c r="CA88" s="155" t="str">
        <f>IFERROR(VLOOKUP(('LAG Girls'!$GW88*10)+'LAG Girls'!CA$2,downloads!$X:$Z,2,FALSE),"")</f>
        <v>HILL Zoe</v>
      </c>
      <c r="DA88" s="155" t="str">
        <f>IFERROR(VLOOKUP(('LAG Girls'!$GW88*10)+'LAG Girls'!DA$2,downloads!$X:$Z,2,FALSE),"")</f>
        <v>STOW Libby</v>
      </c>
      <c r="EA88" s="155" t="str">
        <f>IFERROR(VLOOKUP(('LAG Girls'!$GW88*10)+'LAG Girls'!EA$2,downloads!$X:$Z,2,FALSE),"")</f>
        <v/>
      </c>
      <c r="FA88" s="155" t="str">
        <f>IFERROR(VLOOKUP(('LAG Girls'!$GW88*10)+'LAG Girls'!FA$2,downloads!$X:$Z,2,FALSE),"")</f>
        <v/>
      </c>
      <c r="GA88" s="155" t="str">
        <f>IFERROR(VLOOKUP(('LAG Girls'!$GW88*10)+'LAG Girls'!GA$2,downloads!$X:$Z,2,FALSE),"")</f>
        <v/>
      </c>
      <c r="GW88" s="155">
        <v>14</v>
      </c>
    </row>
    <row r="89" spans="1:205" ht="15" hidden="1" customHeight="1" x14ac:dyDescent="0.45">
      <c r="A89" s="155" t="str">
        <f>IFERROR(VLOOKUP(('LAG Girls'!$GW89*10)+'LAG Girls'!A$2,downloads!$X:$Z,2,FALSE),"")</f>
        <v>KIRKWOOD Eva</v>
      </c>
      <c r="AA89" s="155" t="str">
        <f>IFERROR(VLOOKUP(('LAG Girls'!$GW89*10)+'LAG Girls'!AA$2,downloads!$X:$Z,2,FALSE),"")</f>
        <v>PADDON Freya</v>
      </c>
      <c r="BA89" s="155" t="str">
        <f>IFERROR(VLOOKUP(('LAG Girls'!$GW89*10)+'LAG Girls'!BA$2,downloads!$X:$Z,2,FALSE),"")</f>
        <v>HANCOCK Daisy</v>
      </c>
      <c r="CA89" s="155" t="str">
        <f>IFERROR(VLOOKUP(('LAG Girls'!$GW89*10)+'LAG Girls'!CA$2,downloads!$X:$Z,2,FALSE),"")</f>
        <v>JOHNSON Althea</v>
      </c>
      <c r="DA89" s="155" t="str">
        <f>IFERROR(VLOOKUP(('LAG Girls'!$GW89*10)+'LAG Girls'!DA$2,downloads!$X:$Z,2,FALSE),"")</f>
        <v>THIRKETTLE Charlotte</v>
      </c>
      <c r="EA89" s="155" t="str">
        <f>IFERROR(VLOOKUP(('LAG Girls'!$GW89*10)+'LAG Girls'!EA$2,downloads!$X:$Z,2,FALSE),"")</f>
        <v/>
      </c>
      <c r="FA89" s="155" t="str">
        <f>IFERROR(VLOOKUP(('LAG Girls'!$GW89*10)+'LAG Girls'!FA$2,downloads!$X:$Z,2,FALSE),"")</f>
        <v/>
      </c>
      <c r="GA89" s="155" t="str">
        <f>IFERROR(VLOOKUP(('LAG Girls'!$GW89*10)+'LAG Girls'!GA$2,downloads!$X:$Z,2,FALSE),"")</f>
        <v/>
      </c>
      <c r="GW89" s="155">
        <v>15</v>
      </c>
    </row>
    <row r="90" spans="1:205" ht="15" hidden="1" customHeight="1" x14ac:dyDescent="0.45">
      <c r="A90" s="155" t="str">
        <f>IFERROR(VLOOKUP(('LAG Girls'!$GW90*10)+'LAG Girls'!A$2,downloads!$X:$Z,2,FALSE),"")</f>
        <v>LABAN Ella</v>
      </c>
      <c r="AA90" s="155" t="str">
        <f>IFERROR(VLOOKUP(('LAG Girls'!$GW90*10)+'LAG Girls'!AA$2,downloads!$X:$Z,2,FALSE),"")</f>
        <v>PADDON Olivia</v>
      </c>
      <c r="BA90" s="155" t="str">
        <f>IFERROR(VLOOKUP(('LAG Girls'!$GW90*10)+'LAG Girls'!BA$2,downloads!$X:$Z,2,FALSE),"")</f>
        <v>HASTIE Eve</v>
      </c>
      <c r="CA90" s="155" t="str">
        <f>IFERROR(VLOOKUP(('LAG Girls'!$GW90*10)+'LAG Girls'!CA$2,downloads!$X:$Z,2,FALSE),"")</f>
        <v>LILLIE Freya</v>
      </c>
      <c r="DA90" s="155" t="str">
        <f>IFERROR(VLOOKUP(('LAG Girls'!$GW90*10)+'LAG Girls'!DA$2,downloads!$X:$Z,2,FALSE),"")</f>
        <v>VICKERS Cerys</v>
      </c>
      <c r="EA90" s="155" t="str">
        <f>IFERROR(VLOOKUP(('LAG Girls'!$GW90*10)+'LAG Girls'!EA$2,downloads!$X:$Z,2,FALSE),"")</f>
        <v/>
      </c>
      <c r="FA90" s="155" t="str">
        <f>IFERROR(VLOOKUP(('LAG Girls'!$GW90*10)+'LAG Girls'!FA$2,downloads!$X:$Z,2,FALSE),"")</f>
        <v/>
      </c>
      <c r="GA90" s="155" t="str">
        <f>IFERROR(VLOOKUP(('LAG Girls'!$GW90*10)+'LAG Girls'!GA$2,downloads!$X:$Z,2,FALSE),"")</f>
        <v/>
      </c>
      <c r="GW90" s="155">
        <v>16</v>
      </c>
    </row>
    <row r="91" spans="1:205" ht="15" hidden="1" customHeight="1" x14ac:dyDescent="0.45">
      <c r="A91" s="155" t="str">
        <f>IFERROR(VLOOKUP(('LAG Girls'!$GW91*10)+'LAG Girls'!A$2,downloads!$X:$Z,2,FALSE),"")</f>
        <v>MOODY Hannah</v>
      </c>
      <c r="AA91" s="155" t="str">
        <f>IFERROR(VLOOKUP(('LAG Girls'!$GW91*10)+'LAG Girls'!AA$2,downloads!$X:$Z,2,FALSE),"")</f>
        <v>ROBERTS Eve</v>
      </c>
      <c r="BA91" s="155" t="str">
        <f>IFERROR(VLOOKUP(('LAG Girls'!$GW91*10)+'LAG Girls'!BA$2,downloads!$X:$Z,2,FALSE),"")</f>
        <v>HICKLING Rosie</v>
      </c>
      <c r="CA91" s="155" t="str">
        <f>IFERROR(VLOOKUP(('LAG Girls'!$GW91*10)+'LAG Girls'!CA$2,downloads!$X:$Z,2,FALSE),"")</f>
        <v>LILLIE Imogen</v>
      </c>
      <c r="DA91" s="155" t="str">
        <f>IFERROR(VLOOKUP(('LAG Girls'!$GW91*10)+'LAG Girls'!DA$2,downloads!$X:$Z,2,FALSE),"")</f>
        <v>WHITTAKER Millie</v>
      </c>
      <c r="EA91" s="155" t="str">
        <f>IFERROR(VLOOKUP(('LAG Girls'!$GW91*10)+'LAG Girls'!EA$2,downloads!$X:$Z,2,FALSE),"")</f>
        <v/>
      </c>
      <c r="FA91" s="155" t="str">
        <f>IFERROR(VLOOKUP(('LAG Girls'!$GW91*10)+'LAG Girls'!FA$2,downloads!$X:$Z,2,FALSE),"")</f>
        <v/>
      </c>
      <c r="GA91" s="155" t="str">
        <f>IFERROR(VLOOKUP(('LAG Girls'!$GW91*10)+'LAG Girls'!GA$2,downloads!$X:$Z,2,FALSE),"")</f>
        <v/>
      </c>
      <c r="GW91" s="155">
        <v>17</v>
      </c>
    </row>
    <row r="92" spans="1:205" ht="15" hidden="1" customHeight="1" x14ac:dyDescent="0.45">
      <c r="A92" s="155" t="str">
        <f>IFERROR(VLOOKUP(('LAG Girls'!$GW92*10)+'LAG Girls'!A$2,downloads!$X:$Z,2,FALSE),"")</f>
        <v>PELL Gracie</v>
      </c>
      <c r="AA92" s="155" t="str">
        <f>IFERROR(VLOOKUP(('LAG Girls'!$GW92*10)+'LAG Girls'!AA$2,downloads!$X:$Z,2,FALSE),"")</f>
        <v>SCOTT Violet</v>
      </c>
      <c r="BA92" s="155" t="str">
        <f>IFERROR(VLOOKUP(('LAG Girls'!$GW92*10)+'LAG Girls'!BA$2,downloads!$X:$Z,2,FALSE),"")</f>
        <v>HOGG Frances</v>
      </c>
      <c r="CA92" s="155" t="str">
        <f>IFERROR(VLOOKUP(('LAG Girls'!$GW92*10)+'LAG Girls'!CA$2,downloads!$X:$Z,2,FALSE),"")</f>
        <v>LOWE Katie</v>
      </c>
      <c r="DA92" s="155" t="str">
        <f>IFERROR(VLOOKUP(('LAG Girls'!$GW92*10)+'LAG Girls'!DA$2,downloads!$X:$Z,2,FALSE),"")</f>
        <v>WRIGHT Lucy</v>
      </c>
      <c r="EA92" s="155" t="str">
        <f>IFERROR(VLOOKUP(('LAG Girls'!$GW92*10)+'LAG Girls'!EA$2,downloads!$X:$Z,2,FALSE),"")</f>
        <v/>
      </c>
      <c r="FA92" s="155" t="str">
        <f>IFERROR(VLOOKUP(('LAG Girls'!$GW92*10)+'LAG Girls'!FA$2,downloads!$X:$Z,2,FALSE),"")</f>
        <v/>
      </c>
      <c r="GA92" s="155" t="str">
        <f>IFERROR(VLOOKUP(('LAG Girls'!$GW92*10)+'LAG Girls'!GA$2,downloads!$X:$Z,2,FALSE),"")</f>
        <v/>
      </c>
      <c r="GW92" s="155">
        <v>18</v>
      </c>
    </row>
    <row r="93" spans="1:205" ht="15" hidden="1" customHeight="1" x14ac:dyDescent="0.45">
      <c r="A93" s="155" t="str">
        <f>IFERROR(VLOOKUP(('LAG Girls'!$GW93*10)+'LAG Girls'!A$2,downloads!$X:$Z,2,FALSE),"")</f>
        <v>PROCTOR Alicia</v>
      </c>
      <c r="AA93" s="155" t="str">
        <f>IFERROR(VLOOKUP(('LAG Girls'!$GW93*10)+'LAG Girls'!AA$2,downloads!$X:$Z,2,FALSE),"")</f>
        <v>WOODHOUSE Polly</v>
      </c>
      <c r="BA93" s="155" t="str">
        <f>IFERROR(VLOOKUP(('LAG Girls'!$GW93*10)+'LAG Girls'!BA$2,downloads!$X:$Z,2,FALSE),"")</f>
        <v>KENNEDY Amy</v>
      </c>
      <c r="CA93" s="155" t="str">
        <f>IFERROR(VLOOKUP(('LAG Girls'!$GW93*10)+'LAG Girls'!CA$2,downloads!$X:$Z,2,FALSE),"")</f>
        <v>MANNION Grace</v>
      </c>
      <c r="DA93" s="155" t="str">
        <f>IFERROR(VLOOKUP(('LAG Girls'!$GW93*10)+'LAG Girls'!DA$2,downloads!$X:$Z,2,FALSE),"")</f>
        <v/>
      </c>
      <c r="EA93" s="155" t="str">
        <f>IFERROR(VLOOKUP(('LAG Girls'!$GW93*10)+'LAG Girls'!EA$2,downloads!$X:$Z,2,FALSE),"")</f>
        <v/>
      </c>
      <c r="FA93" s="155" t="str">
        <f>IFERROR(VLOOKUP(('LAG Girls'!$GW93*10)+'LAG Girls'!FA$2,downloads!$X:$Z,2,FALSE),"")</f>
        <v/>
      </c>
      <c r="GA93" s="155" t="str">
        <f>IFERROR(VLOOKUP(('LAG Girls'!$GW93*10)+'LAG Girls'!GA$2,downloads!$X:$Z,2,FALSE),"")</f>
        <v/>
      </c>
      <c r="GW93" s="155">
        <v>19</v>
      </c>
    </row>
    <row r="94" spans="1:205" ht="15" hidden="1" customHeight="1" x14ac:dyDescent="0.45">
      <c r="A94" s="155" t="str">
        <f>IFERROR(VLOOKUP(('LAG Girls'!$GW94*10)+'LAG Girls'!A$2,downloads!$X:$Z,2,FALSE),"")</f>
        <v>ROGERS Emily</v>
      </c>
      <c r="AA94" s="155" t="str">
        <f>IFERROR(VLOOKUP(('LAG Girls'!$GW94*10)+'LAG Girls'!AA$2,downloads!$X:$Z,2,FALSE),"")</f>
        <v/>
      </c>
      <c r="BA94" s="155" t="str">
        <f>IFERROR(VLOOKUP(('LAG Girls'!$GW94*10)+'LAG Girls'!BA$2,downloads!$X:$Z,2,FALSE),"")</f>
        <v>LANGAN Lottie</v>
      </c>
      <c r="CA94" s="155" t="str">
        <f>IFERROR(VLOOKUP(('LAG Girls'!$GW94*10)+'LAG Girls'!CA$2,downloads!$X:$Z,2,FALSE),"")</f>
        <v>MCDONALD Grace</v>
      </c>
      <c r="DA94" s="155" t="str">
        <f>IFERROR(VLOOKUP(('LAG Girls'!$GW94*10)+'LAG Girls'!DA$2,downloads!$X:$Z,2,FALSE),"")</f>
        <v/>
      </c>
      <c r="EA94" s="155" t="str">
        <f>IFERROR(VLOOKUP(('LAG Girls'!$GW94*10)+'LAG Girls'!EA$2,downloads!$X:$Z,2,FALSE),"")</f>
        <v/>
      </c>
      <c r="FA94" s="155" t="str">
        <f>IFERROR(VLOOKUP(('LAG Girls'!$GW94*10)+'LAG Girls'!FA$2,downloads!$X:$Z,2,FALSE),"")</f>
        <v/>
      </c>
      <c r="GA94" s="155" t="str">
        <f>IFERROR(VLOOKUP(('LAG Girls'!$GW94*10)+'LAG Girls'!GA$2,downloads!$X:$Z,2,FALSE),"")</f>
        <v/>
      </c>
      <c r="GW94" s="155">
        <v>20</v>
      </c>
    </row>
    <row r="95" spans="1:205" ht="15" hidden="1" customHeight="1" x14ac:dyDescent="0.45">
      <c r="A95" s="155" t="str">
        <f>IFERROR(VLOOKUP(('LAG Girls'!$GW95*10)+'LAG Girls'!A$2,downloads!$X:$Z,2,FALSE),"")</f>
        <v>SAS Evelyn</v>
      </c>
      <c r="AA95" s="155" t="str">
        <f>IFERROR(VLOOKUP(('LAG Girls'!$GW95*10)+'LAG Girls'!AA$2,downloads!$X:$Z,2,FALSE),"")</f>
        <v/>
      </c>
      <c r="BA95" s="155" t="str">
        <f>IFERROR(VLOOKUP(('LAG Girls'!$GW95*10)+'LAG Girls'!BA$2,downloads!$X:$Z,2,FALSE),"")</f>
        <v>LEE Isabel</v>
      </c>
      <c r="CA95" s="155" t="str">
        <f>IFERROR(VLOOKUP(('LAG Girls'!$GW95*10)+'LAG Girls'!CA$2,downloads!$X:$Z,2,FALSE),"")</f>
        <v>MCGOURAN Lucy</v>
      </c>
      <c r="DA95" s="155" t="str">
        <f>IFERROR(VLOOKUP(('LAG Girls'!$GW95*10)+'LAG Girls'!DA$2,downloads!$X:$Z,2,FALSE),"")</f>
        <v/>
      </c>
      <c r="EA95" s="155" t="str">
        <f>IFERROR(VLOOKUP(('LAG Girls'!$GW95*10)+'LAG Girls'!EA$2,downloads!$X:$Z,2,FALSE),"")</f>
        <v/>
      </c>
      <c r="FA95" s="155" t="str">
        <f>IFERROR(VLOOKUP(('LAG Girls'!$GW95*10)+'LAG Girls'!FA$2,downloads!$X:$Z,2,FALSE),"")</f>
        <v/>
      </c>
      <c r="GA95" s="155" t="str">
        <f>IFERROR(VLOOKUP(('LAG Girls'!$GW95*10)+'LAG Girls'!GA$2,downloads!$X:$Z,2,FALSE),"")</f>
        <v/>
      </c>
      <c r="GW95" s="155">
        <v>21</v>
      </c>
    </row>
    <row r="96" spans="1:205" ht="15" hidden="1" customHeight="1" x14ac:dyDescent="0.45">
      <c r="A96" s="155" t="str">
        <f>IFERROR(VLOOKUP(('LAG Girls'!$GW96*10)+'LAG Girls'!A$2,downloads!$X:$Z,2,FALSE),"")</f>
        <v>SMITH Robyn</v>
      </c>
      <c r="AA96" s="155" t="str">
        <f>IFERROR(VLOOKUP(('LAG Girls'!$GW96*10)+'LAG Girls'!AA$2,downloads!$X:$Z,2,FALSE),"")</f>
        <v/>
      </c>
      <c r="BA96" s="155" t="str">
        <f>IFERROR(VLOOKUP(('LAG Girls'!$GW96*10)+'LAG Girls'!BA$2,downloads!$X:$Z,2,FALSE),"")</f>
        <v>LINDRIDGE Maya</v>
      </c>
      <c r="CA96" s="155" t="str">
        <f>IFERROR(VLOOKUP(('LAG Girls'!$GW96*10)+'LAG Girls'!CA$2,downloads!$X:$Z,2,FALSE),"")</f>
        <v>MCNEILL Emma</v>
      </c>
      <c r="DA96" s="155" t="str">
        <f>IFERROR(VLOOKUP(('LAG Girls'!$GW96*10)+'LAG Girls'!DA$2,downloads!$X:$Z,2,FALSE),"")</f>
        <v/>
      </c>
      <c r="EA96" s="155" t="str">
        <f>IFERROR(VLOOKUP(('LAG Girls'!$GW96*10)+'LAG Girls'!EA$2,downloads!$X:$Z,2,FALSE),"")</f>
        <v/>
      </c>
      <c r="FA96" s="155" t="str">
        <f>IFERROR(VLOOKUP(('LAG Girls'!$GW96*10)+'LAG Girls'!FA$2,downloads!$X:$Z,2,FALSE),"")</f>
        <v/>
      </c>
      <c r="GA96" s="155" t="str">
        <f>IFERROR(VLOOKUP(('LAG Girls'!$GW96*10)+'LAG Girls'!GA$2,downloads!$X:$Z,2,FALSE),"")</f>
        <v/>
      </c>
      <c r="GW96" s="155">
        <v>22</v>
      </c>
    </row>
    <row r="97" spans="1:205" ht="15" hidden="1" customHeight="1" x14ac:dyDescent="0.45">
      <c r="A97" s="155" t="str">
        <f>IFERROR(VLOOKUP(('LAG Girls'!$GW97*10)+'LAG Girls'!A$2,downloads!$X:$Z,2,FALSE),"")</f>
        <v>SOLLEY Leah</v>
      </c>
      <c r="AA97" s="155" t="str">
        <f>IFERROR(VLOOKUP(('LAG Girls'!$GW97*10)+'LAG Girls'!AA$2,downloads!$X:$Z,2,FALSE),"")</f>
        <v/>
      </c>
      <c r="BA97" s="155" t="str">
        <f>IFERROR(VLOOKUP(('LAG Girls'!$GW97*10)+'LAG Girls'!BA$2,downloads!$X:$Z,2,FALSE),"")</f>
        <v>MARSHALL Nancy</v>
      </c>
      <c r="CA97" s="155" t="str">
        <f>IFERROR(VLOOKUP(('LAG Girls'!$GW97*10)+'LAG Girls'!CA$2,downloads!$X:$Z,2,FALSE),"")</f>
        <v>MONTAGUE Isabella</v>
      </c>
      <c r="DA97" s="155" t="str">
        <f>IFERROR(VLOOKUP(('LAG Girls'!$GW97*10)+'LAG Girls'!DA$2,downloads!$X:$Z,2,FALSE),"")</f>
        <v/>
      </c>
      <c r="EA97" s="155" t="str">
        <f>IFERROR(VLOOKUP(('LAG Girls'!$GW97*10)+'LAG Girls'!EA$2,downloads!$X:$Z,2,FALSE),"")</f>
        <v/>
      </c>
      <c r="FA97" s="155" t="str">
        <f>IFERROR(VLOOKUP(('LAG Girls'!$GW97*10)+'LAG Girls'!FA$2,downloads!$X:$Z,2,FALSE),"")</f>
        <v/>
      </c>
      <c r="GA97" s="155" t="str">
        <f>IFERROR(VLOOKUP(('LAG Girls'!$GW97*10)+'LAG Girls'!GA$2,downloads!$X:$Z,2,FALSE),"")</f>
        <v/>
      </c>
      <c r="GW97" s="155">
        <v>23</v>
      </c>
    </row>
    <row r="98" spans="1:205" ht="15" hidden="1" customHeight="1" x14ac:dyDescent="0.45">
      <c r="A98" s="155" t="str">
        <f>IFERROR(VLOOKUP(('LAG Girls'!$GW98*10)+'LAG Girls'!A$2,downloads!$X:$Z,2,FALSE),"")</f>
        <v>STANILAND Charlotte</v>
      </c>
      <c r="AA98" s="155" t="str">
        <f>IFERROR(VLOOKUP(('LAG Girls'!$GW98*10)+'LAG Girls'!AA$2,downloads!$X:$Z,2,FALSE),"")</f>
        <v/>
      </c>
      <c r="BA98" s="155" t="str">
        <f>IFERROR(VLOOKUP(('LAG Girls'!$GW98*10)+'LAG Girls'!BA$2,downloads!$X:$Z,2,FALSE),"")</f>
        <v>MAUDE Charlotte</v>
      </c>
      <c r="CA98" s="155" t="str">
        <f>IFERROR(VLOOKUP(('LAG Girls'!$GW98*10)+'LAG Girls'!CA$2,downloads!$X:$Z,2,FALSE),"")</f>
        <v>MORFITT Isobel</v>
      </c>
      <c r="DA98" s="155" t="str">
        <f>IFERROR(VLOOKUP(('LAG Girls'!$GW98*10)+'LAG Girls'!DA$2,downloads!$X:$Z,2,FALSE),"")</f>
        <v/>
      </c>
      <c r="EA98" s="155" t="str">
        <f>IFERROR(VLOOKUP(('LAG Girls'!$GW98*10)+'LAG Girls'!EA$2,downloads!$X:$Z,2,FALSE),"")</f>
        <v/>
      </c>
      <c r="FA98" s="155" t="str">
        <f>IFERROR(VLOOKUP(('LAG Girls'!$GW98*10)+'LAG Girls'!FA$2,downloads!$X:$Z,2,FALSE),"")</f>
        <v/>
      </c>
      <c r="GA98" s="155" t="str">
        <f>IFERROR(VLOOKUP(('LAG Girls'!$GW98*10)+'LAG Girls'!GA$2,downloads!$X:$Z,2,FALSE),"")</f>
        <v/>
      </c>
      <c r="GW98" s="155">
        <v>24</v>
      </c>
    </row>
    <row r="99" spans="1:205" ht="15" hidden="1" customHeight="1" x14ac:dyDescent="0.45">
      <c r="A99" s="155" t="str">
        <f>IFERROR(VLOOKUP(('LAG Girls'!$GW99*10)+'LAG Girls'!A$2,downloads!$X:$Z,2,FALSE),"")</f>
        <v/>
      </c>
      <c r="AA99" s="155" t="str">
        <f>IFERROR(VLOOKUP(('LAG Girls'!$GW99*10)+'LAG Girls'!AA$2,downloads!$X:$Z,2,FALSE),"")</f>
        <v/>
      </c>
      <c r="BA99" s="155" t="str">
        <f>IFERROR(VLOOKUP(('LAG Girls'!$GW99*10)+'LAG Girls'!BA$2,downloads!$X:$Z,2,FALSE),"")</f>
        <v>MAUDE Emily</v>
      </c>
      <c r="CA99" s="155" t="str">
        <f>IFERROR(VLOOKUP(('LAG Girls'!$GW99*10)+'LAG Girls'!CA$2,downloads!$X:$Z,2,FALSE),"")</f>
        <v>OKEY Busonma</v>
      </c>
      <c r="DA99" s="155" t="str">
        <f>IFERROR(VLOOKUP(('LAG Girls'!$GW99*10)+'LAG Girls'!DA$2,downloads!$X:$Z,2,FALSE),"")</f>
        <v/>
      </c>
      <c r="EA99" s="155" t="str">
        <f>IFERROR(VLOOKUP(('LAG Girls'!$GW99*10)+'LAG Girls'!EA$2,downloads!$X:$Z,2,FALSE),"")</f>
        <v/>
      </c>
      <c r="FA99" s="155" t="str">
        <f>IFERROR(VLOOKUP(('LAG Girls'!$GW99*10)+'LAG Girls'!FA$2,downloads!$X:$Z,2,FALSE),"")</f>
        <v/>
      </c>
      <c r="GA99" s="155" t="str">
        <f>IFERROR(VLOOKUP(('LAG Girls'!$GW99*10)+'LAG Girls'!GA$2,downloads!$X:$Z,2,FALSE),"")</f>
        <v/>
      </c>
      <c r="GW99" s="155">
        <v>25</v>
      </c>
    </row>
    <row r="100" spans="1:205" ht="15" hidden="1" customHeight="1" x14ac:dyDescent="0.45">
      <c r="A100" s="155" t="str">
        <f>IFERROR(VLOOKUP(('LAG Girls'!$GW100*10)+'LAG Girls'!A$2,downloads!$X:$Z,2,FALSE),"")</f>
        <v/>
      </c>
      <c r="AA100" s="155" t="str">
        <f>IFERROR(VLOOKUP(('LAG Girls'!$GW100*10)+'LAG Girls'!AA$2,downloads!$X:$Z,2,FALSE),"")</f>
        <v/>
      </c>
      <c r="BA100" s="155" t="str">
        <f>IFERROR(VLOOKUP(('LAG Girls'!$GW100*10)+'LAG Girls'!BA$2,downloads!$X:$Z,2,FALSE),"")</f>
        <v>MOAT Annabel</v>
      </c>
      <c r="CA100" s="155" t="str">
        <f>IFERROR(VLOOKUP(('LAG Girls'!$GW100*10)+'LAG Girls'!CA$2,downloads!$X:$Z,2,FALSE),"")</f>
        <v>OKEY Gift</v>
      </c>
      <c r="DA100" s="155" t="str">
        <f>IFERROR(VLOOKUP(('LAG Girls'!$GW100*10)+'LAG Girls'!DA$2,downloads!$X:$Z,2,FALSE),"")</f>
        <v/>
      </c>
      <c r="EA100" s="155" t="str">
        <f>IFERROR(VLOOKUP(('LAG Girls'!$GW100*10)+'LAG Girls'!EA$2,downloads!$X:$Z,2,FALSE),"")</f>
        <v/>
      </c>
      <c r="FA100" s="155" t="str">
        <f>IFERROR(VLOOKUP(('LAG Girls'!$GW100*10)+'LAG Girls'!FA$2,downloads!$X:$Z,2,FALSE),"")</f>
        <v/>
      </c>
      <c r="GA100" s="155" t="str">
        <f>IFERROR(VLOOKUP(('LAG Girls'!$GW100*10)+'LAG Girls'!GA$2,downloads!$X:$Z,2,FALSE),"")</f>
        <v/>
      </c>
      <c r="GW100" s="155">
        <v>26</v>
      </c>
    </row>
    <row r="101" spans="1:205" ht="15" hidden="1" customHeight="1" x14ac:dyDescent="0.45">
      <c r="A101" s="155" t="str">
        <f>IFERROR(VLOOKUP(('LAG Girls'!$GW101*10)+'LAG Girls'!A$2,downloads!$X:$Z,2,FALSE),"")</f>
        <v/>
      </c>
      <c r="AA101" s="155" t="str">
        <f>IFERROR(VLOOKUP(('LAG Girls'!$GW101*10)+'LAG Girls'!AA$2,downloads!$X:$Z,2,FALSE),"")</f>
        <v/>
      </c>
      <c r="BA101" s="155" t="str">
        <f>IFERROR(VLOOKUP(('LAG Girls'!$GW101*10)+'LAG Girls'!BA$2,downloads!$X:$Z,2,FALSE),"")</f>
        <v>POUNDER Esme</v>
      </c>
      <c r="CA101" s="155" t="str">
        <f>IFERROR(VLOOKUP(('LAG Girls'!$GW101*10)+'LAG Girls'!CA$2,downloads!$X:$Z,2,FALSE),"")</f>
        <v>PAWLETT Neve</v>
      </c>
      <c r="DA101" s="155" t="str">
        <f>IFERROR(VLOOKUP(('LAG Girls'!$GW101*10)+'LAG Girls'!DA$2,downloads!$X:$Z,2,FALSE),"")</f>
        <v/>
      </c>
      <c r="EA101" s="155" t="str">
        <f>IFERROR(VLOOKUP(('LAG Girls'!$GW101*10)+'LAG Girls'!EA$2,downloads!$X:$Z,2,FALSE),"")</f>
        <v/>
      </c>
      <c r="FA101" s="155" t="str">
        <f>IFERROR(VLOOKUP(('LAG Girls'!$GW101*10)+'LAG Girls'!FA$2,downloads!$X:$Z,2,FALSE),"")</f>
        <v/>
      </c>
      <c r="GA101" s="155" t="str">
        <f>IFERROR(VLOOKUP(('LAG Girls'!$GW101*10)+'LAG Girls'!GA$2,downloads!$X:$Z,2,FALSE),"")</f>
        <v/>
      </c>
      <c r="GW101" s="155">
        <v>27</v>
      </c>
    </row>
    <row r="102" spans="1:205" ht="15" hidden="1" customHeight="1" x14ac:dyDescent="0.45">
      <c r="A102" s="155" t="str">
        <f>IFERROR(VLOOKUP(('LAG Girls'!$GW102*10)+'LAG Girls'!A$2,downloads!$X:$Z,2,FALSE),"")</f>
        <v/>
      </c>
      <c r="AA102" s="155" t="str">
        <f>IFERROR(VLOOKUP(('LAG Girls'!$GW102*10)+'LAG Girls'!AA$2,downloads!$X:$Z,2,FALSE),"")</f>
        <v/>
      </c>
      <c r="BA102" s="155" t="str">
        <f>IFERROR(VLOOKUP(('LAG Girls'!$GW102*10)+'LAG Girls'!BA$2,downloads!$X:$Z,2,FALSE),"")</f>
        <v>RICHMOND Lucy</v>
      </c>
      <c r="CA102" s="155" t="str">
        <f>IFERROR(VLOOKUP(('LAG Girls'!$GW102*10)+'LAG Girls'!CA$2,downloads!$X:$Z,2,FALSE),"")</f>
        <v>PETTIT Grace</v>
      </c>
      <c r="DA102" s="155" t="str">
        <f>IFERROR(VLOOKUP(('LAG Girls'!$GW102*10)+'LAG Girls'!DA$2,downloads!$X:$Z,2,FALSE),"")</f>
        <v/>
      </c>
      <c r="EA102" s="155" t="str">
        <f>IFERROR(VLOOKUP(('LAG Girls'!$GW102*10)+'LAG Girls'!EA$2,downloads!$X:$Z,2,FALSE),"")</f>
        <v/>
      </c>
      <c r="FA102" s="155" t="str">
        <f>IFERROR(VLOOKUP(('LAG Girls'!$GW102*10)+'LAG Girls'!FA$2,downloads!$X:$Z,2,FALSE),"")</f>
        <v/>
      </c>
      <c r="GA102" s="155" t="str">
        <f>IFERROR(VLOOKUP(('LAG Girls'!$GW102*10)+'LAG Girls'!GA$2,downloads!$X:$Z,2,FALSE),"")</f>
        <v/>
      </c>
      <c r="GW102" s="155">
        <v>28</v>
      </c>
    </row>
    <row r="103" spans="1:205" ht="15" hidden="1" customHeight="1" x14ac:dyDescent="0.45">
      <c r="A103" s="155" t="str">
        <f>IFERROR(VLOOKUP(('LAG Girls'!$GW103*10)+'LAG Girls'!A$2,downloads!$X:$Z,2,FALSE),"")</f>
        <v/>
      </c>
      <c r="AA103" s="155" t="str">
        <f>IFERROR(VLOOKUP(('LAG Girls'!$GW103*10)+'LAG Girls'!AA$2,downloads!$X:$Z,2,FALSE),"")</f>
        <v/>
      </c>
      <c r="BA103" s="155" t="str">
        <f>IFERROR(VLOOKUP(('LAG Girls'!$GW103*10)+'LAG Girls'!BA$2,downloads!$X:$Z,2,FALSE),"")</f>
        <v>SIGSWORTH Martha</v>
      </c>
      <c r="CA103" s="155" t="str">
        <f>IFERROR(VLOOKUP(('LAG Girls'!$GW103*10)+'LAG Girls'!CA$2,downloads!$X:$Z,2,FALSE),"")</f>
        <v>PYE Leoni</v>
      </c>
      <c r="DA103" s="155" t="str">
        <f>IFERROR(VLOOKUP(('LAG Girls'!$GW103*10)+'LAG Girls'!DA$2,downloads!$X:$Z,2,FALSE),"")</f>
        <v/>
      </c>
      <c r="EA103" s="155" t="str">
        <f>IFERROR(VLOOKUP(('LAG Girls'!$GW103*10)+'LAG Girls'!EA$2,downloads!$X:$Z,2,FALSE),"")</f>
        <v/>
      </c>
      <c r="FA103" s="155" t="str">
        <f>IFERROR(VLOOKUP(('LAG Girls'!$GW103*10)+'LAG Girls'!FA$2,downloads!$X:$Z,2,FALSE),"")</f>
        <v/>
      </c>
      <c r="GA103" s="155" t="str">
        <f>IFERROR(VLOOKUP(('LAG Girls'!$GW103*10)+'LAG Girls'!GA$2,downloads!$X:$Z,2,FALSE),"")</f>
        <v/>
      </c>
      <c r="GW103" s="155">
        <v>29</v>
      </c>
    </row>
    <row r="104" spans="1:205" ht="15" hidden="1" customHeight="1" x14ac:dyDescent="0.45">
      <c r="A104" s="155" t="str">
        <f>IFERROR(VLOOKUP(('LAG Girls'!$GW104*10)+'LAG Girls'!A$2,downloads!$X:$Z,2,FALSE),"")</f>
        <v/>
      </c>
      <c r="AA104" s="155" t="str">
        <f>IFERROR(VLOOKUP(('LAG Girls'!$GW104*10)+'LAG Girls'!AA$2,downloads!$X:$Z,2,FALSE),"")</f>
        <v/>
      </c>
      <c r="BA104" s="155" t="str">
        <f>IFERROR(VLOOKUP(('LAG Girls'!$GW104*10)+'LAG Girls'!BA$2,downloads!$X:$Z,2,FALSE),"")</f>
        <v>TAYLOR Freya</v>
      </c>
      <c r="CA104" s="155" t="str">
        <f>IFERROR(VLOOKUP(('LAG Girls'!$GW104*10)+'LAG Girls'!CA$2,downloads!$X:$Z,2,FALSE),"")</f>
        <v>PYE Naiomi</v>
      </c>
      <c r="DA104" s="155" t="str">
        <f>IFERROR(VLOOKUP(('LAG Girls'!$GW104*10)+'LAG Girls'!DA$2,downloads!$X:$Z,2,FALSE),"")</f>
        <v/>
      </c>
      <c r="EA104" s="155" t="str">
        <f>IFERROR(VLOOKUP(('LAG Girls'!$GW104*10)+'LAG Girls'!EA$2,downloads!$X:$Z,2,FALSE),"")</f>
        <v/>
      </c>
      <c r="FA104" s="155" t="str">
        <f>IFERROR(VLOOKUP(('LAG Girls'!$GW104*10)+'LAG Girls'!FA$2,downloads!$X:$Z,2,FALSE),"")</f>
        <v/>
      </c>
      <c r="GA104" s="155" t="str">
        <f>IFERROR(VLOOKUP(('LAG Girls'!$GW104*10)+'LAG Girls'!GA$2,downloads!$X:$Z,2,FALSE),"")</f>
        <v/>
      </c>
      <c r="GW104" s="155">
        <v>30</v>
      </c>
    </row>
    <row r="105" spans="1:205" ht="15" hidden="1" customHeight="1" x14ac:dyDescent="0.45">
      <c r="A105" s="155" t="str">
        <f>IFERROR(VLOOKUP(('LAG Girls'!$GW105*10)+'LAG Girls'!A$2,downloads!$X:$Z,2,FALSE),"")</f>
        <v/>
      </c>
      <c r="AA105" s="155" t="str">
        <f>IFERROR(VLOOKUP(('LAG Girls'!$GW105*10)+'LAG Girls'!AA$2,downloads!$X:$Z,2,FALSE),"")</f>
        <v/>
      </c>
      <c r="BA105" s="155" t="str">
        <f>IFERROR(VLOOKUP(('LAG Girls'!$GW105*10)+'LAG Girls'!BA$2,downloads!$X:$Z,2,FALSE),"")</f>
        <v>TWEDDLE Bella</v>
      </c>
      <c r="CA105" s="155" t="str">
        <f>IFERROR(VLOOKUP(('LAG Girls'!$GW105*10)+'LAG Girls'!CA$2,downloads!$X:$Z,2,FALSE),"")</f>
        <v>RAMSEY Libby</v>
      </c>
      <c r="DA105" s="155" t="str">
        <f>IFERROR(VLOOKUP(('LAG Girls'!$GW105*10)+'LAG Girls'!DA$2,downloads!$X:$Z,2,FALSE),"")</f>
        <v/>
      </c>
      <c r="EA105" s="155" t="str">
        <f>IFERROR(VLOOKUP(('LAG Girls'!$GW105*10)+'LAG Girls'!EA$2,downloads!$X:$Z,2,FALSE),"")</f>
        <v/>
      </c>
      <c r="FA105" s="155" t="str">
        <f>IFERROR(VLOOKUP(('LAG Girls'!$GW105*10)+'LAG Girls'!FA$2,downloads!$X:$Z,2,FALSE),"")</f>
        <v/>
      </c>
      <c r="GA105" s="155" t="str">
        <f>IFERROR(VLOOKUP(('LAG Girls'!$GW105*10)+'LAG Girls'!GA$2,downloads!$X:$Z,2,FALSE),"")</f>
        <v/>
      </c>
      <c r="GW105" s="155">
        <v>31</v>
      </c>
    </row>
    <row r="106" spans="1:205" ht="15" hidden="1" customHeight="1" x14ac:dyDescent="0.45">
      <c r="A106" s="155" t="str">
        <f>IFERROR(VLOOKUP(('LAG Girls'!$GW106*10)+'LAG Girls'!A$2,downloads!$X:$Z,2,FALSE),"")</f>
        <v/>
      </c>
      <c r="AA106" s="155" t="str">
        <f>IFERROR(VLOOKUP(('LAG Girls'!$GW106*10)+'LAG Girls'!AA$2,downloads!$X:$Z,2,FALSE),"")</f>
        <v/>
      </c>
      <c r="BA106" s="155" t="str">
        <f>IFERROR(VLOOKUP(('LAG Girls'!$GW106*10)+'LAG Girls'!BA$2,downloads!$X:$Z,2,FALSE),"")</f>
        <v>VASSELL Elvina</v>
      </c>
      <c r="CA106" s="155" t="str">
        <f>IFERROR(VLOOKUP(('LAG Girls'!$GW106*10)+'LAG Girls'!CA$2,downloads!$X:$Z,2,FALSE),"")</f>
        <v>ROBSON Daisy</v>
      </c>
      <c r="DA106" s="155" t="str">
        <f>IFERROR(VLOOKUP(('LAG Girls'!$GW106*10)+'LAG Girls'!DA$2,downloads!$X:$Z,2,FALSE),"")</f>
        <v/>
      </c>
      <c r="EA106" s="155" t="str">
        <f>IFERROR(VLOOKUP(('LAG Girls'!$GW106*10)+'LAG Girls'!EA$2,downloads!$X:$Z,2,FALSE),"")</f>
        <v/>
      </c>
      <c r="FA106" s="155" t="str">
        <f>IFERROR(VLOOKUP(('LAG Girls'!$GW106*10)+'LAG Girls'!FA$2,downloads!$X:$Z,2,FALSE),"")</f>
        <v/>
      </c>
      <c r="GA106" s="155" t="str">
        <f>IFERROR(VLOOKUP(('LAG Girls'!$GW106*10)+'LAG Girls'!GA$2,downloads!$X:$Z,2,FALSE),"")</f>
        <v/>
      </c>
      <c r="GW106" s="155">
        <v>32</v>
      </c>
    </row>
    <row r="107" spans="1:205" ht="15" hidden="1" customHeight="1" x14ac:dyDescent="0.45">
      <c r="A107" s="155" t="str">
        <f>IFERROR(VLOOKUP(('LAG Girls'!$GW107*10)+'LAG Girls'!A$2,downloads!$X:$Z,2,FALSE),"")</f>
        <v/>
      </c>
      <c r="AA107" s="155" t="str">
        <f>IFERROR(VLOOKUP(('LAG Girls'!$GW107*10)+'LAG Girls'!AA$2,downloads!$X:$Z,2,FALSE),"")</f>
        <v/>
      </c>
      <c r="BA107" s="155" t="str">
        <f>IFERROR(VLOOKUP(('LAG Girls'!$GW107*10)+'LAG Girls'!BA$2,downloads!$X:$Z,2,FALSE),"")</f>
        <v>WALSH Tierney</v>
      </c>
      <c r="CA107" s="155" t="str">
        <f>IFERROR(VLOOKUP(('LAG Girls'!$GW107*10)+'LAG Girls'!CA$2,downloads!$X:$Z,2,FALSE),"")</f>
        <v>SEDGWICK Emma</v>
      </c>
      <c r="DA107" s="155" t="str">
        <f>IFERROR(VLOOKUP(('LAG Girls'!$GW107*10)+'LAG Girls'!DA$2,downloads!$X:$Z,2,FALSE),"")</f>
        <v/>
      </c>
      <c r="EA107" s="155" t="str">
        <f>IFERROR(VLOOKUP(('LAG Girls'!$GW107*10)+'LAG Girls'!EA$2,downloads!$X:$Z,2,FALSE),"")</f>
        <v/>
      </c>
      <c r="FA107" s="155" t="str">
        <f>IFERROR(VLOOKUP(('LAG Girls'!$GW107*10)+'LAG Girls'!FA$2,downloads!$X:$Z,2,FALSE),"")</f>
        <v/>
      </c>
      <c r="GA107" s="155" t="str">
        <f>IFERROR(VLOOKUP(('LAG Girls'!$GW107*10)+'LAG Girls'!GA$2,downloads!$X:$Z,2,FALSE),"")</f>
        <v/>
      </c>
      <c r="GW107" s="155">
        <v>33</v>
      </c>
    </row>
    <row r="108" spans="1:205" ht="15" hidden="1" customHeight="1" x14ac:dyDescent="0.45">
      <c r="A108" s="155" t="str">
        <f>IFERROR(VLOOKUP(('LAG Girls'!$GW108*10)+'LAG Girls'!A$2,downloads!$X:$Z,2,FALSE),"")</f>
        <v/>
      </c>
      <c r="AA108" s="155" t="str">
        <f>IFERROR(VLOOKUP(('LAG Girls'!$GW108*10)+'LAG Girls'!AA$2,downloads!$X:$Z,2,FALSE),"")</f>
        <v/>
      </c>
      <c r="BA108" s="155" t="str">
        <f>IFERROR(VLOOKUP(('LAG Girls'!$GW108*10)+'LAG Girls'!BA$2,downloads!$X:$Z,2,FALSE),"")</f>
        <v>WEATHERSTONE Olivia</v>
      </c>
      <c r="CA108" s="155" t="str">
        <f>IFERROR(VLOOKUP(('LAG Girls'!$GW108*10)+'LAG Girls'!CA$2,downloads!$X:$Z,2,FALSE),"")</f>
        <v>SULLOCK Amy</v>
      </c>
      <c r="DA108" s="155" t="str">
        <f>IFERROR(VLOOKUP(('LAG Girls'!$GW108*10)+'LAG Girls'!DA$2,downloads!$X:$Z,2,FALSE),"")</f>
        <v/>
      </c>
      <c r="EA108" s="155" t="str">
        <f>IFERROR(VLOOKUP(('LAG Girls'!$GW108*10)+'LAG Girls'!EA$2,downloads!$X:$Z,2,FALSE),"")</f>
        <v/>
      </c>
      <c r="FA108" s="155" t="str">
        <f>IFERROR(VLOOKUP(('LAG Girls'!$GW108*10)+'LAG Girls'!FA$2,downloads!$X:$Z,2,FALSE),"")</f>
        <v/>
      </c>
      <c r="GA108" s="155" t="str">
        <f>IFERROR(VLOOKUP(('LAG Girls'!$GW108*10)+'LAG Girls'!GA$2,downloads!$X:$Z,2,FALSE),"")</f>
        <v/>
      </c>
      <c r="GW108" s="155">
        <v>34</v>
      </c>
    </row>
    <row r="109" spans="1:205" ht="15" hidden="1" customHeight="1" x14ac:dyDescent="0.45">
      <c r="A109" s="155" t="str">
        <f>IFERROR(VLOOKUP(('LAG Girls'!$GW109*10)+'LAG Girls'!A$2,downloads!$X:$Z,2,FALSE),"")</f>
        <v/>
      </c>
      <c r="AA109" s="155" t="str">
        <f>IFERROR(VLOOKUP(('LAG Girls'!$GW109*10)+'LAG Girls'!AA$2,downloads!$X:$Z,2,FALSE),"")</f>
        <v/>
      </c>
      <c r="BA109" s="155" t="str">
        <f>IFERROR(VLOOKUP(('LAG Girls'!$GW109*10)+'LAG Girls'!BA$2,downloads!$X:$Z,2,FALSE),"")</f>
        <v>WRIGHT Ella</v>
      </c>
      <c r="CA109" s="155" t="str">
        <f>IFERROR(VLOOKUP(('LAG Girls'!$GW109*10)+'LAG Girls'!CA$2,downloads!$X:$Z,2,FALSE),"")</f>
        <v>SULLOCK Beth</v>
      </c>
      <c r="DA109" s="155" t="str">
        <f>IFERROR(VLOOKUP(('LAG Girls'!$GW109*10)+'LAG Girls'!DA$2,downloads!$X:$Z,2,FALSE),"")</f>
        <v/>
      </c>
      <c r="EA109" s="155" t="str">
        <f>IFERROR(VLOOKUP(('LAG Girls'!$GW109*10)+'LAG Girls'!EA$2,downloads!$X:$Z,2,FALSE),"")</f>
        <v/>
      </c>
      <c r="FA109" s="155" t="str">
        <f>IFERROR(VLOOKUP(('LAG Girls'!$GW109*10)+'LAG Girls'!FA$2,downloads!$X:$Z,2,FALSE),"")</f>
        <v/>
      </c>
      <c r="GA109" s="155" t="str">
        <f>IFERROR(VLOOKUP(('LAG Girls'!$GW109*10)+'LAG Girls'!GA$2,downloads!$X:$Z,2,FALSE),"")</f>
        <v/>
      </c>
      <c r="GW109" s="155">
        <v>35</v>
      </c>
    </row>
    <row r="110" spans="1:205" ht="15" hidden="1" customHeight="1" x14ac:dyDescent="0.45">
      <c r="A110" s="155" t="str">
        <f>IFERROR(VLOOKUP(('LAG Girls'!$GW110*10)+'LAG Girls'!A$2,downloads!$X:$Z,2,FALSE),"")</f>
        <v/>
      </c>
      <c r="AA110" s="155" t="str">
        <f>IFERROR(VLOOKUP(('LAG Girls'!$GW110*10)+'LAG Girls'!AA$2,downloads!$X:$Z,2,FALSE),"")</f>
        <v/>
      </c>
      <c r="BA110" s="155" t="str">
        <f>IFERROR(VLOOKUP(('LAG Girls'!$GW110*10)+'LAG Girls'!BA$2,downloads!$X:$Z,2,FALSE),"")</f>
        <v/>
      </c>
      <c r="CA110" s="155" t="str">
        <f>IFERROR(VLOOKUP(('LAG Girls'!$GW110*10)+'LAG Girls'!CA$2,downloads!$X:$Z,2,FALSE),"")</f>
        <v>USHIE Loraine</v>
      </c>
      <c r="DA110" s="155" t="str">
        <f>IFERROR(VLOOKUP(('LAG Girls'!$GW110*10)+'LAG Girls'!DA$2,downloads!$X:$Z,2,FALSE),"")</f>
        <v/>
      </c>
      <c r="EA110" s="155" t="str">
        <f>IFERROR(VLOOKUP(('LAG Girls'!$GW110*10)+'LAG Girls'!EA$2,downloads!$X:$Z,2,FALSE),"")</f>
        <v/>
      </c>
      <c r="FA110" s="155" t="str">
        <f>IFERROR(VLOOKUP(('LAG Girls'!$GW110*10)+'LAG Girls'!FA$2,downloads!$X:$Z,2,FALSE),"")</f>
        <v/>
      </c>
      <c r="GA110" s="155" t="str">
        <f>IFERROR(VLOOKUP(('LAG Girls'!$GW110*10)+'LAG Girls'!GA$2,downloads!$X:$Z,2,FALSE),"")</f>
        <v/>
      </c>
      <c r="GW110" s="155">
        <v>36</v>
      </c>
    </row>
    <row r="111" spans="1:205" ht="15" hidden="1" customHeight="1" x14ac:dyDescent="0.45">
      <c r="A111" s="155" t="str">
        <f>IFERROR(VLOOKUP(('LAG Girls'!$GW111*10)+'LAG Girls'!A$2,downloads!$X:$Z,2,FALSE),"")</f>
        <v/>
      </c>
      <c r="AA111" s="155" t="str">
        <f>IFERROR(VLOOKUP(('LAG Girls'!$GW111*10)+'LAG Girls'!AA$2,downloads!$X:$Z,2,FALSE),"")</f>
        <v/>
      </c>
      <c r="BA111" s="155" t="str">
        <f>IFERROR(VLOOKUP(('LAG Girls'!$GW111*10)+'LAG Girls'!BA$2,downloads!$X:$Z,2,FALSE),"")</f>
        <v/>
      </c>
      <c r="CA111" s="155" t="str">
        <f>IFERROR(VLOOKUP(('LAG Girls'!$GW111*10)+'LAG Girls'!CA$2,downloads!$X:$Z,2,FALSE),"")</f>
        <v>WALKER Ruby</v>
      </c>
      <c r="DA111" s="155" t="str">
        <f>IFERROR(VLOOKUP(('LAG Girls'!$GW111*10)+'LAG Girls'!DA$2,downloads!$X:$Z,2,FALSE),"")</f>
        <v/>
      </c>
      <c r="EA111" s="155" t="str">
        <f>IFERROR(VLOOKUP(('LAG Girls'!$GW111*10)+'LAG Girls'!EA$2,downloads!$X:$Z,2,FALSE),"")</f>
        <v/>
      </c>
      <c r="FA111" s="155" t="str">
        <f>IFERROR(VLOOKUP(('LAG Girls'!$GW111*10)+'LAG Girls'!FA$2,downloads!$X:$Z,2,FALSE),"")</f>
        <v/>
      </c>
      <c r="GA111" s="155" t="str">
        <f>IFERROR(VLOOKUP(('LAG Girls'!$GW111*10)+'LAG Girls'!GA$2,downloads!$X:$Z,2,FALSE),"")</f>
        <v/>
      </c>
      <c r="GW111" s="155">
        <v>37</v>
      </c>
    </row>
    <row r="112" spans="1:205" ht="15" hidden="1" customHeight="1" x14ac:dyDescent="0.45">
      <c r="A112" s="155" t="str">
        <f>IFERROR(VLOOKUP(('LAG Girls'!$GW112*10)+'LAG Girls'!A$2,downloads!$X:$Z,2,FALSE),"")</f>
        <v/>
      </c>
      <c r="AA112" s="155" t="str">
        <f>IFERROR(VLOOKUP(('LAG Girls'!$GW112*10)+'LAG Girls'!AA$2,downloads!$X:$Z,2,FALSE),"")</f>
        <v/>
      </c>
      <c r="BA112" s="155" t="str">
        <f>IFERROR(VLOOKUP(('LAG Girls'!$GW112*10)+'LAG Girls'!BA$2,downloads!$X:$Z,2,FALSE),"")</f>
        <v/>
      </c>
      <c r="CA112" s="155" t="str">
        <f>IFERROR(VLOOKUP(('LAG Girls'!$GW112*10)+'LAG Girls'!CA$2,downloads!$X:$Z,2,FALSE),"")</f>
        <v>WILMOT Amy</v>
      </c>
      <c r="DA112" s="155" t="str">
        <f>IFERROR(VLOOKUP(('LAG Girls'!$GW112*10)+'LAG Girls'!DA$2,downloads!$X:$Z,2,FALSE),"")</f>
        <v/>
      </c>
      <c r="EA112" s="155" t="str">
        <f>IFERROR(VLOOKUP(('LAG Girls'!$GW112*10)+'LAG Girls'!EA$2,downloads!$X:$Z,2,FALSE),"")</f>
        <v/>
      </c>
      <c r="FA112" s="155" t="str">
        <f>IFERROR(VLOOKUP(('LAG Girls'!$GW112*10)+'LAG Girls'!FA$2,downloads!$X:$Z,2,FALSE),"")</f>
        <v/>
      </c>
      <c r="GA112" s="155" t="str">
        <f>IFERROR(VLOOKUP(('LAG Girls'!$GW112*10)+'LAG Girls'!GA$2,downloads!$X:$Z,2,FALSE),"")</f>
        <v/>
      </c>
      <c r="GW112" s="155">
        <v>38</v>
      </c>
    </row>
    <row r="113" spans="1:205" ht="15" hidden="1" customHeight="1" x14ac:dyDescent="0.45">
      <c r="A113" s="155" t="str">
        <f>IFERROR(VLOOKUP(('LAG Girls'!$GW113*10)+'LAG Girls'!A$2,downloads!$X:$Z,2,FALSE),"")</f>
        <v/>
      </c>
      <c r="AA113" s="155" t="str">
        <f>IFERROR(VLOOKUP(('LAG Girls'!$GW113*10)+'LAG Girls'!AA$2,downloads!$X:$Z,2,FALSE),"")</f>
        <v/>
      </c>
      <c r="BA113" s="155" t="str">
        <f>IFERROR(VLOOKUP(('LAG Girls'!$GW113*10)+'LAG Girls'!BA$2,downloads!$X:$Z,2,FALSE),"")</f>
        <v/>
      </c>
      <c r="CA113" s="155" t="str">
        <f>IFERROR(VLOOKUP(('LAG Girls'!$GW113*10)+'LAG Girls'!CA$2,downloads!$X:$Z,2,FALSE),"")</f>
        <v>WILSON Pheobe</v>
      </c>
      <c r="DA113" s="155" t="str">
        <f>IFERROR(VLOOKUP(('LAG Girls'!$GW113*10)+'LAG Girls'!DA$2,downloads!$X:$Z,2,FALSE),"")</f>
        <v/>
      </c>
      <c r="EA113" s="155" t="str">
        <f>IFERROR(VLOOKUP(('LAG Girls'!$GW113*10)+'LAG Girls'!EA$2,downloads!$X:$Z,2,FALSE),"")</f>
        <v/>
      </c>
      <c r="FA113" s="155" t="str">
        <f>IFERROR(VLOOKUP(('LAG Girls'!$GW113*10)+'LAG Girls'!FA$2,downloads!$X:$Z,2,FALSE),"")</f>
        <v/>
      </c>
      <c r="GA113" s="155" t="str">
        <f>IFERROR(VLOOKUP(('LAG Girls'!$GW113*10)+'LAG Girls'!GA$2,downloads!$X:$Z,2,FALSE),"")</f>
        <v/>
      </c>
      <c r="GW113" s="155">
        <v>39</v>
      </c>
    </row>
    <row r="114" spans="1:205" ht="15" hidden="1" customHeight="1" x14ac:dyDescent="0.45">
      <c r="A114" s="155" t="str">
        <f>IFERROR(VLOOKUP(('LAG Girls'!$GW114*10)+'LAG Girls'!A$2,downloads!$X:$Z,2,FALSE),"")</f>
        <v/>
      </c>
      <c r="AA114" s="155" t="str">
        <f>IFERROR(VLOOKUP(('LAG Girls'!$GW114*10)+'LAG Girls'!AA$2,downloads!$X:$Z,2,FALSE),"")</f>
        <v/>
      </c>
      <c r="BA114" s="155" t="str">
        <f>IFERROR(VLOOKUP(('LAG Girls'!$GW114*10)+'LAG Girls'!BA$2,downloads!$X:$Z,2,FALSE),"")</f>
        <v/>
      </c>
      <c r="CA114" s="155" t="str">
        <f>IFERROR(VLOOKUP(('LAG Girls'!$GW114*10)+'LAG Girls'!CA$2,downloads!$X:$Z,2,FALSE),"")</f>
        <v>WYATT Martha</v>
      </c>
      <c r="DA114" s="155" t="str">
        <f>IFERROR(VLOOKUP(('LAG Girls'!$GW114*10)+'LAG Girls'!DA$2,downloads!$X:$Z,2,FALSE),"")</f>
        <v/>
      </c>
      <c r="EA114" s="155" t="str">
        <f>IFERROR(VLOOKUP(('LAG Girls'!$GW114*10)+'LAG Girls'!EA$2,downloads!$X:$Z,2,FALSE),"")</f>
        <v/>
      </c>
      <c r="FA114" s="155" t="str">
        <f>IFERROR(VLOOKUP(('LAG Girls'!$GW114*10)+'LAG Girls'!FA$2,downloads!$X:$Z,2,FALSE),"")</f>
        <v/>
      </c>
      <c r="GA114" s="155" t="str">
        <f>IFERROR(VLOOKUP(('LAG Girls'!$GW114*10)+'LAG Girls'!GA$2,downloads!$X:$Z,2,FALSE),"")</f>
        <v/>
      </c>
      <c r="GW114" s="155">
        <v>40</v>
      </c>
    </row>
    <row r="115" spans="1:205" ht="15" hidden="1" customHeight="1" x14ac:dyDescent="0.45">
      <c r="A115" s="155" t="str">
        <f>IFERROR(VLOOKUP(('LAG Girls'!$GW115*10)+'LAG Girls'!A$2,downloads!$X:$Z,2,FALSE),"")</f>
        <v/>
      </c>
      <c r="AA115" s="155" t="str">
        <f>IFERROR(VLOOKUP(('LAG Girls'!$GW115*10)+'LAG Girls'!AA$2,downloads!$X:$Z,2,FALSE),"")</f>
        <v/>
      </c>
      <c r="BA115" s="155" t="str">
        <f>IFERROR(VLOOKUP(('LAG Girls'!$GW115*10)+'LAG Girls'!BA$2,downloads!$X:$Z,2,FALSE),"")</f>
        <v/>
      </c>
      <c r="CA115" s="155" t="str">
        <f>IFERROR(VLOOKUP(('LAG Girls'!$GW115*10)+'LAG Girls'!CA$2,downloads!$X:$Z,2,FALSE),"")</f>
        <v/>
      </c>
      <c r="DA115" s="155" t="str">
        <f>IFERROR(VLOOKUP(('LAG Girls'!$GW115*10)+'LAG Girls'!DA$2,downloads!$X:$Z,2,FALSE),"")</f>
        <v/>
      </c>
      <c r="EA115" s="155" t="str">
        <f>IFERROR(VLOOKUP(('LAG Girls'!$GW115*10)+'LAG Girls'!EA$2,downloads!$X:$Z,2,FALSE),"")</f>
        <v/>
      </c>
      <c r="FA115" s="155" t="str">
        <f>IFERROR(VLOOKUP(('LAG Girls'!$GW115*10)+'LAG Girls'!FA$2,downloads!$X:$Z,2,FALSE),"")</f>
        <v/>
      </c>
      <c r="GA115" s="155" t="str">
        <f>IFERROR(VLOOKUP(('LAG Girls'!$GW115*10)+'LAG Girls'!GA$2,downloads!$X:$Z,2,FALSE),"")</f>
        <v/>
      </c>
      <c r="GW115" s="155">
        <v>41</v>
      </c>
    </row>
    <row r="116" spans="1:205" ht="15" hidden="1" customHeight="1" x14ac:dyDescent="0.45">
      <c r="A116" s="155" t="str">
        <f>IFERROR(VLOOKUP(('LAG Girls'!$GW116*10)+'LAG Girls'!A$2,downloads!$X:$Z,2,FALSE),"")</f>
        <v/>
      </c>
      <c r="AA116" s="155" t="str">
        <f>IFERROR(VLOOKUP(('LAG Girls'!$GW116*10)+'LAG Girls'!AA$2,downloads!$X:$Z,2,FALSE),"")</f>
        <v/>
      </c>
      <c r="BA116" s="155" t="str">
        <f>IFERROR(VLOOKUP(('LAG Girls'!$GW116*10)+'LAG Girls'!BA$2,downloads!$X:$Z,2,FALSE),"")</f>
        <v/>
      </c>
      <c r="CA116" s="155" t="str">
        <f>IFERROR(VLOOKUP(('LAG Girls'!$GW116*10)+'LAG Girls'!CA$2,downloads!$X:$Z,2,FALSE),"")</f>
        <v/>
      </c>
      <c r="DA116" s="155" t="str">
        <f>IFERROR(VLOOKUP(('LAG Girls'!$GW116*10)+'LAG Girls'!DA$2,downloads!$X:$Z,2,FALSE),"")</f>
        <v/>
      </c>
      <c r="EA116" s="155" t="str">
        <f>IFERROR(VLOOKUP(('LAG Girls'!$GW116*10)+'LAG Girls'!EA$2,downloads!$X:$Z,2,FALSE),"")</f>
        <v/>
      </c>
      <c r="FA116" s="155" t="str">
        <f>IFERROR(VLOOKUP(('LAG Girls'!$GW116*10)+'LAG Girls'!FA$2,downloads!$X:$Z,2,FALSE),"")</f>
        <v/>
      </c>
      <c r="GA116" s="155" t="str">
        <f>IFERROR(VLOOKUP(('LAG Girls'!$GW116*10)+'LAG Girls'!GA$2,downloads!$X:$Z,2,FALSE),"")</f>
        <v/>
      </c>
      <c r="GW116" s="155">
        <v>42</v>
      </c>
    </row>
    <row r="117" spans="1:205" ht="15" hidden="1" customHeight="1" x14ac:dyDescent="0.45">
      <c r="A117" s="155" t="str">
        <f>IFERROR(VLOOKUP(('LAG Girls'!$GW117*10)+'LAG Girls'!A$2,downloads!$X:$Z,2,FALSE),"")</f>
        <v/>
      </c>
      <c r="AA117" s="155" t="str">
        <f>IFERROR(VLOOKUP(('LAG Girls'!$GW117*10)+'LAG Girls'!AA$2,downloads!$X:$Z,2,FALSE),"")</f>
        <v/>
      </c>
      <c r="BA117" s="155" t="str">
        <f>IFERROR(VLOOKUP(('LAG Girls'!$GW117*10)+'LAG Girls'!BA$2,downloads!$X:$Z,2,FALSE),"")</f>
        <v/>
      </c>
      <c r="CA117" s="155" t="str">
        <f>IFERROR(VLOOKUP(('LAG Girls'!$GW117*10)+'LAG Girls'!CA$2,downloads!$X:$Z,2,FALSE),"")</f>
        <v/>
      </c>
      <c r="DA117" s="155" t="str">
        <f>IFERROR(VLOOKUP(('LAG Girls'!$GW117*10)+'LAG Girls'!DA$2,downloads!$X:$Z,2,FALSE),"")</f>
        <v/>
      </c>
      <c r="EA117" s="155" t="str">
        <f>IFERROR(VLOOKUP(('LAG Girls'!$GW117*10)+'LAG Girls'!EA$2,downloads!$X:$Z,2,FALSE),"")</f>
        <v/>
      </c>
      <c r="FA117" s="155" t="str">
        <f>IFERROR(VLOOKUP(('LAG Girls'!$GW117*10)+'LAG Girls'!FA$2,downloads!$X:$Z,2,FALSE),"")</f>
        <v/>
      </c>
      <c r="GA117" s="155" t="str">
        <f>IFERROR(VLOOKUP(('LAG Girls'!$GW117*10)+'LAG Girls'!GA$2,downloads!$X:$Z,2,FALSE),"")</f>
        <v/>
      </c>
      <c r="GW117" s="155">
        <v>43</v>
      </c>
    </row>
    <row r="118" spans="1:205" ht="15" hidden="1" customHeight="1" x14ac:dyDescent="0.45">
      <c r="A118" s="155" t="str">
        <f>IFERROR(VLOOKUP(('LAG Girls'!$GW118*10)+'LAG Girls'!A$2,downloads!$X:$Z,2,FALSE),"")</f>
        <v/>
      </c>
      <c r="AA118" s="155" t="str">
        <f>IFERROR(VLOOKUP(('LAG Girls'!$GW118*10)+'LAG Girls'!AA$2,downloads!$X:$Z,2,FALSE),"")</f>
        <v/>
      </c>
      <c r="BA118" s="155" t="str">
        <f>IFERROR(VLOOKUP(('LAG Girls'!$GW118*10)+'LAG Girls'!BA$2,downloads!$X:$Z,2,FALSE),"")</f>
        <v/>
      </c>
      <c r="CA118" s="155" t="str">
        <f>IFERROR(VLOOKUP(('LAG Girls'!$GW118*10)+'LAG Girls'!CA$2,downloads!$X:$Z,2,FALSE),"")</f>
        <v/>
      </c>
      <c r="DA118" s="155" t="str">
        <f>IFERROR(VLOOKUP(('LAG Girls'!$GW118*10)+'LAG Girls'!DA$2,downloads!$X:$Z,2,FALSE),"")</f>
        <v/>
      </c>
      <c r="EA118" s="155" t="str">
        <f>IFERROR(VLOOKUP(('LAG Girls'!$GW118*10)+'LAG Girls'!EA$2,downloads!$X:$Z,2,FALSE),"")</f>
        <v/>
      </c>
      <c r="FA118" s="155" t="str">
        <f>IFERROR(VLOOKUP(('LAG Girls'!$GW118*10)+'LAG Girls'!FA$2,downloads!$X:$Z,2,FALSE),"")</f>
        <v/>
      </c>
      <c r="GA118" s="155" t="str">
        <f>IFERROR(VLOOKUP(('LAG Girls'!$GW118*10)+'LAG Girls'!GA$2,downloads!$X:$Z,2,FALSE),"")</f>
        <v/>
      </c>
      <c r="GW118" s="155">
        <v>44</v>
      </c>
    </row>
    <row r="119" spans="1:205" ht="15" hidden="1" customHeight="1" x14ac:dyDescent="0.45">
      <c r="A119" s="155" t="str">
        <f>IFERROR(VLOOKUP(('LAG Girls'!$GW119*10)+'LAG Girls'!A$2,downloads!$X:$Z,2,FALSE),"")</f>
        <v/>
      </c>
      <c r="AA119" s="155" t="str">
        <f>IFERROR(VLOOKUP(('LAG Girls'!$GW119*10)+'LAG Girls'!AA$2,downloads!$X:$Z,2,FALSE),"")</f>
        <v/>
      </c>
      <c r="BA119" s="155" t="str">
        <f>IFERROR(VLOOKUP(('LAG Girls'!$GW119*10)+'LAG Girls'!BA$2,downloads!$X:$Z,2,FALSE),"")</f>
        <v/>
      </c>
      <c r="CA119" s="155" t="str">
        <f>IFERROR(VLOOKUP(('LAG Girls'!$GW119*10)+'LAG Girls'!CA$2,downloads!$X:$Z,2,FALSE),"")</f>
        <v/>
      </c>
      <c r="DA119" s="155" t="str">
        <f>IFERROR(VLOOKUP(('LAG Girls'!$GW119*10)+'LAG Girls'!DA$2,downloads!$X:$Z,2,FALSE),"")</f>
        <v/>
      </c>
      <c r="EA119" s="155" t="str">
        <f>IFERROR(VLOOKUP(('LAG Girls'!$GW119*10)+'LAG Girls'!EA$2,downloads!$X:$Z,2,FALSE),"")</f>
        <v/>
      </c>
      <c r="FA119" s="155" t="str">
        <f>IFERROR(VLOOKUP(('LAG Girls'!$GW119*10)+'LAG Girls'!FA$2,downloads!$X:$Z,2,FALSE),"")</f>
        <v/>
      </c>
      <c r="GA119" s="155" t="str">
        <f>IFERROR(VLOOKUP(('LAG Girls'!$GW119*10)+'LAG Girls'!GA$2,downloads!$X:$Z,2,FALSE),"")</f>
        <v/>
      </c>
      <c r="GW119" s="155">
        <v>45</v>
      </c>
    </row>
    <row r="120" spans="1:205" ht="15" hidden="1" customHeight="1" x14ac:dyDescent="0.45">
      <c r="A120" s="155" t="str">
        <f>IFERROR(VLOOKUP(('LAG Girls'!$GW120*10)+'LAG Girls'!A$2,downloads!$X:$Z,2,FALSE),"")</f>
        <v/>
      </c>
      <c r="AA120" s="155" t="str">
        <f>IFERROR(VLOOKUP(('LAG Girls'!$GW120*10)+'LAG Girls'!AA$2,downloads!$X:$Z,2,FALSE),"")</f>
        <v/>
      </c>
      <c r="BA120" s="155" t="str">
        <f>IFERROR(VLOOKUP(('LAG Girls'!$GW120*10)+'LAG Girls'!BA$2,downloads!$X:$Z,2,FALSE),"")</f>
        <v/>
      </c>
      <c r="CA120" s="155" t="str">
        <f>IFERROR(VLOOKUP(('LAG Girls'!$GW120*10)+'LAG Girls'!CA$2,downloads!$X:$Z,2,FALSE),"")</f>
        <v/>
      </c>
      <c r="DA120" s="155" t="str">
        <f>IFERROR(VLOOKUP(('LAG Girls'!$GW120*10)+'LAG Girls'!DA$2,downloads!$X:$Z,2,FALSE),"")</f>
        <v/>
      </c>
      <c r="EA120" s="155" t="str">
        <f>IFERROR(VLOOKUP(('LAG Girls'!$GW120*10)+'LAG Girls'!EA$2,downloads!$X:$Z,2,FALSE),"")</f>
        <v/>
      </c>
      <c r="FA120" s="155" t="str">
        <f>IFERROR(VLOOKUP(('LAG Girls'!$GW120*10)+'LAG Girls'!FA$2,downloads!$X:$Z,2,FALSE),"")</f>
        <v/>
      </c>
      <c r="GA120" s="155" t="str">
        <f>IFERROR(VLOOKUP(('LAG Girls'!$GW120*10)+'LAG Girls'!GA$2,downloads!$X:$Z,2,FALSE),"")</f>
        <v/>
      </c>
      <c r="GW120" s="155">
        <v>46</v>
      </c>
    </row>
    <row r="121" spans="1:205" ht="15" hidden="1" customHeight="1" x14ac:dyDescent="0.45">
      <c r="A121" s="155" t="str">
        <f>IFERROR(VLOOKUP(('LAG Girls'!$GW121*10)+'LAG Girls'!A$2,downloads!$X:$Z,2,FALSE),"")</f>
        <v/>
      </c>
      <c r="AA121" s="155" t="str">
        <f>IFERROR(VLOOKUP(('LAG Girls'!$GW121*10)+'LAG Girls'!AA$2,downloads!$X:$Z,2,FALSE),"")</f>
        <v/>
      </c>
      <c r="BA121" s="155" t="str">
        <f>IFERROR(VLOOKUP(('LAG Girls'!$GW121*10)+'LAG Girls'!BA$2,downloads!$X:$Z,2,FALSE),"")</f>
        <v/>
      </c>
      <c r="CA121" s="155" t="str">
        <f>IFERROR(VLOOKUP(('LAG Girls'!$GW121*10)+'LAG Girls'!CA$2,downloads!$X:$Z,2,FALSE),"")</f>
        <v/>
      </c>
      <c r="DA121" s="155" t="str">
        <f>IFERROR(VLOOKUP(('LAG Girls'!$GW121*10)+'LAG Girls'!DA$2,downloads!$X:$Z,2,FALSE),"")</f>
        <v/>
      </c>
      <c r="EA121" s="155" t="str">
        <f>IFERROR(VLOOKUP(('LAG Girls'!$GW121*10)+'LAG Girls'!EA$2,downloads!$X:$Z,2,FALSE),"")</f>
        <v/>
      </c>
      <c r="FA121" s="155" t="str">
        <f>IFERROR(VLOOKUP(('LAG Girls'!$GW121*10)+'LAG Girls'!FA$2,downloads!$X:$Z,2,FALSE),"")</f>
        <v/>
      </c>
      <c r="GA121" s="155" t="str">
        <f>IFERROR(VLOOKUP(('LAG Girls'!$GW121*10)+'LAG Girls'!GA$2,downloads!$X:$Z,2,FALSE),"")</f>
        <v/>
      </c>
      <c r="GW121" s="155">
        <v>47</v>
      </c>
    </row>
    <row r="122" spans="1:205" ht="15" hidden="1" customHeight="1" x14ac:dyDescent="0.45">
      <c r="A122" s="155" t="str">
        <f>IFERROR(VLOOKUP(('LAG Girls'!$GW122*10)+'LAG Girls'!A$2,downloads!$X:$Z,2,FALSE),"")</f>
        <v/>
      </c>
      <c r="AA122" s="155" t="str">
        <f>IFERROR(VLOOKUP(('LAG Girls'!$GW122*10)+'LAG Girls'!AA$2,downloads!$X:$Z,2,FALSE),"")</f>
        <v/>
      </c>
      <c r="BA122" s="155" t="str">
        <f>IFERROR(VLOOKUP(('LAG Girls'!$GW122*10)+'LAG Girls'!BA$2,downloads!$X:$Z,2,FALSE),"")</f>
        <v/>
      </c>
      <c r="CA122" s="155" t="str">
        <f>IFERROR(VLOOKUP(('LAG Girls'!$GW122*10)+'LAG Girls'!CA$2,downloads!$X:$Z,2,FALSE),"")</f>
        <v/>
      </c>
      <c r="DA122" s="155" t="str">
        <f>IFERROR(VLOOKUP(('LAG Girls'!$GW122*10)+'LAG Girls'!DA$2,downloads!$X:$Z,2,FALSE),"")</f>
        <v/>
      </c>
      <c r="EA122" s="155" t="str">
        <f>IFERROR(VLOOKUP(('LAG Girls'!$GW122*10)+'LAG Girls'!EA$2,downloads!$X:$Z,2,FALSE),"")</f>
        <v/>
      </c>
      <c r="FA122" s="155" t="str">
        <f>IFERROR(VLOOKUP(('LAG Girls'!$GW122*10)+'LAG Girls'!FA$2,downloads!$X:$Z,2,FALSE),"")</f>
        <v/>
      </c>
      <c r="GA122" s="155" t="str">
        <f>IFERROR(VLOOKUP(('LAG Girls'!$GW122*10)+'LAG Girls'!GA$2,downloads!$X:$Z,2,FALSE),"")</f>
        <v/>
      </c>
      <c r="GW122" s="155">
        <v>48</v>
      </c>
    </row>
    <row r="123" spans="1:205" ht="15" hidden="1" customHeight="1" x14ac:dyDescent="0.45">
      <c r="A123" s="155" t="str">
        <f>IFERROR(VLOOKUP(('LAG Girls'!$GW123*10)+'LAG Girls'!A$2,downloads!$X:$Z,2,FALSE),"")</f>
        <v/>
      </c>
      <c r="AA123" s="155" t="str">
        <f>IFERROR(VLOOKUP(('LAG Girls'!$GW123*10)+'LAG Girls'!AA$2,downloads!$X:$Z,2,FALSE),"")</f>
        <v/>
      </c>
      <c r="BA123" s="155" t="str">
        <f>IFERROR(VLOOKUP(('LAG Girls'!$GW123*10)+'LAG Girls'!BA$2,downloads!$X:$Z,2,FALSE),"")</f>
        <v/>
      </c>
      <c r="CA123" s="155" t="str">
        <f>IFERROR(VLOOKUP(('LAG Girls'!$GW123*10)+'LAG Girls'!CA$2,downloads!$X:$Z,2,FALSE),"")</f>
        <v/>
      </c>
      <c r="DA123" s="155" t="str">
        <f>IFERROR(VLOOKUP(('LAG Girls'!$GW123*10)+'LAG Girls'!DA$2,downloads!$X:$Z,2,FALSE),"")</f>
        <v/>
      </c>
      <c r="EA123" s="155" t="str">
        <f>IFERROR(VLOOKUP(('LAG Girls'!$GW123*10)+'LAG Girls'!EA$2,downloads!$X:$Z,2,FALSE),"")</f>
        <v/>
      </c>
      <c r="FA123" s="155" t="str">
        <f>IFERROR(VLOOKUP(('LAG Girls'!$GW123*10)+'LAG Girls'!FA$2,downloads!$X:$Z,2,FALSE),"")</f>
        <v/>
      </c>
      <c r="GA123" s="155" t="str">
        <f>IFERROR(VLOOKUP(('LAG Girls'!$GW123*10)+'LAG Girls'!GA$2,downloads!$X:$Z,2,FALSE),"")</f>
        <v/>
      </c>
      <c r="GW123" s="155">
        <v>49</v>
      </c>
    </row>
    <row r="124" spans="1:205" ht="15" hidden="1" customHeight="1" x14ac:dyDescent="0.45">
      <c r="A124" s="155" t="str">
        <f>IFERROR(VLOOKUP(('LAG Girls'!$GW124*10)+'LAG Girls'!A$2,downloads!$X:$Z,2,FALSE),"")</f>
        <v/>
      </c>
      <c r="AA124" s="155" t="str">
        <f>IFERROR(VLOOKUP(('LAG Girls'!$GW124*10)+'LAG Girls'!AA$2,downloads!$X:$Z,2,FALSE),"")</f>
        <v/>
      </c>
      <c r="BA124" s="155" t="str">
        <f>IFERROR(VLOOKUP(('LAG Girls'!$GW124*10)+'LAG Girls'!BA$2,downloads!$X:$Z,2,FALSE),"")</f>
        <v/>
      </c>
      <c r="CA124" s="155" t="str">
        <f>IFERROR(VLOOKUP(('LAG Girls'!$GW124*10)+'LAG Girls'!CA$2,downloads!$X:$Z,2,FALSE),"")</f>
        <v/>
      </c>
      <c r="DA124" s="155" t="str">
        <f>IFERROR(VLOOKUP(('LAG Girls'!$GW124*10)+'LAG Girls'!DA$2,downloads!$X:$Z,2,FALSE),"")</f>
        <v/>
      </c>
      <c r="EA124" s="155" t="str">
        <f>IFERROR(VLOOKUP(('LAG Girls'!$GW124*10)+'LAG Girls'!EA$2,downloads!$X:$Z,2,FALSE),"")</f>
        <v/>
      </c>
      <c r="FA124" s="155" t="str">
        <f>IFERROR(VLOOKUP(('LAG Girls'!$GW124*10)+'LAG Girls'!FA$2,downloads!$X:$Z,2,FALSE),"")</f>
        <v/>
      </c>
      <c r="GA124" s="155" t="str">
        <f>IFERROR(VLOOKUP(('LAG Girls'!$GW124*10)+'LAG Girls'!GA$2,downloads!$X:$Z,2,FALSE),"")</f>
        <v/>
      </c>
      <c r="GW124" s="155">
        <v>50</v>
      </c>
    </row>
    <row r="125" spans="1:205" ht="15" hidden="1" customHeight="1" x14ac:dyDescent="0.45">
      <c r="A125" s="155" t="str">
        <f>IFERROR(VLOOKUP(('LAG Girls'!$GW125*10)+'LAG Girls'!A$2,downloads!$X:$Z,2,FALSE),"")</f>
        <v/>
      </c>
      <c r="AA125" s="155" t="str">
        <f>IFERROR(VLOOKUP(('LAG Girls'!$GW125*10)+'LAG Girls'!AA$2,downloads!$X:$Z,2,FALSE),"")</f>
        <v/>
      </c>
      <c r="BA125" s="155" t="str">
        <f>IFERROR(VLOOKUP(('LAG Girls'!$GW125*10)+'LAG Girls'!BA$2,downloads!$X:$Z,2,FALSE),"")</f>
        <v/>
      </c>
      <c r="CA125" s="155" t="str">
        <f>IFERROR(VLOOKUP(('LAG Girls'!$GW125*10)+'LAG Girls'!CA$2,downloads!$X:$Z,2,FALSE),"")</f>
        <v/>
      </c>
      <c r="DA125" s="155" t="str">
        <f>IFERROR(VLOOKUP(('LAG Girls'!$GW125*10)+'LAG Girls'!DA$2,downloads!$X:$Z,2,FALSE),"")</f>
        <v/>
      </c>
      <c r="EA125" s="155" t="str">
        <f>IFERROR(VLOOKUP(('LAG Girls'!$GW125*10)+'LAG Girls'!EA$2,downloads!$X:$Z,2,FALSE),"")</f>
        <v/>
      </c>
      <c r="FA125" s="155" t="str">
        <f>IFERROR(VLOOKUP(('LAG Girls'!$GW125*10)+'LAG Girls'!FA$2,downloads!$X:$Z,2,FALSE),"")</f>
        <v/>
      </c>
      <c r="GA125" s="155" t="str">
        <f>IFERROR(VLOOKUP(('LAG Girls'!$GW125*10)+'LAG Girls'!GA$2,downloads!$X:$Z,2,FALSE),"")</f>
        <v/>
      </c>
      <c r="GW125" s="155">
        <v>51</v>
      </c>
    </row>
    <row r="126" spans="1:205" ht="15" hidden="1" customHeight="1" x14ac:dyDescent="0.45">
      <c r="A126" s="155" t="str">
        <f>IFERROR(VLOOKUP(('LAG Girls'!$GW126*10)+'LAG Girls'!A$2,downloads!$X:$Z,2,FALSE),"")</f>
        <v/>
      </c>
      <c r="AA126" s="155" t="str">
        <f>IFERROR(VLOOKUP(('LAG Girls'!$GW126*10)+'LAG Girls'!AA$2,downloads!$X:$Z,2,FALSE),"")</f>
        <v/>
      </c>
      <c r="BA126" s="155" t="str">
        <f>IFERROR(VLOOKUP(('LAG Girls'!$GW126*10)+'LAG Girls'!BA$2,downloads!$X:$Z,2,FALSE),"")</f>
        <v/>
      </c>
      <c r="CA126" s="155" t="str">
        <f>IFERROR(VLOOKUP(('LAG Girls'!$GW126*10)+'LAG Girls'!CA$2,downloads!$X:$Z,2,FALSE),"")</f>
        <v/>
      </c>
      <c r="DA126" s="155" t="str">
        <f>IFERROR(VLOOKUP(('LAG Girls'!$GW126*10)+'LAG Girls'!DA$2,downloads!$X:$Z,2,FALSE),"")</f>
        <v/>
      </c>
      <c r="EA126" s="155" t="str">
        <f>IFERROR(VLOOKUP(('LAG Girls'!$GW126*10)+'LAG Girls'!EA$2,downloads!$X:$Z,2,FALSE),"")</f>
        <v/>
      </c>
      <c r="FA126" s="155" t="str">
        <f>IFERROR(VLOOKUP(('LAG Girls'!$GW126*10)+'LAG Girls'!FA$2,downloads!$X:$Z,2,FALSE),"")</f>
        <v/>
      </c>
      <c r="GA126" s="155" t="str">
        <f>IFERROR(VLOOKUP(('LAG Girls'!$GW126*10)+'LAG Girls'!GA$2,downloads!$X:$Z,2,FALSE),"")</f>
        <v/>
      </c>
      <c r="GW126" s="155">
        <v>52</v>
      </c>
    </row>
    <row r="127" spans="1:205" ht="15" hidden="1" customHeight="1" x14ac:dyDescent="0.45">
      <c r="A127" s="155" t="str">
        <f>IFERROR(VLOOKUP(('LAG Girls'!$GW127*10)+'LAG Girls'!A$2,downloads!$X:$Z,2,FALSE),"")</f>
        <v/>
      </c>
      <c r="AA127" s="155" t="str">
        <f>IFERROR(VLOOKUP(('LAG Girls'!$GW127*10)+'LAG Girls'!AA$2,downloads!$X:$Z,2,FALSE),"")</f>
        <v/>
      </c>
      <c r="BA127" s="155" t="str">
        <f>IFERROR(VLOOKUP(('LAG Girls'!$GW127*10)+'LAG Girls'!BA$2,downloads!$X:$Z,2,FALSE),"")</f>
        <v/>
      </c>
      <c r="CA127" s="155" t="str">
        <f>IFERROR(VLOOKUP(('LAG Girls'!$GW127*10)+'LAG Girls'!CA$2,downloads!$X:$Z,2,FALSE),"")</f>
        <v/>
      </c>
      <c r="DA127" s="155" t="str">
        <f>IFERROR(VLOOKUP(('LAG Girls'!$GW127*10)+'LAG Girls'!DA$2,downloads!$X:$Z,2,FALSE),"")</f>
        <v/>
      </c>
      <c r="EA127" s="155" t="str">
        <f>IFERROR(VLOOKUP(('LAG Girls'!$GW127*10)+'LAG Girls'!EA$2,downloads!$X:$Z,2,FALSE),"")</f>
        <v/>
      </c>
      <c r="FA127" s="155" t="str">
        <f>IFERROR(VLOOKUP(('LAG Girls'!$GW127*10)+'LAG Girls'!FA$2,downloads!$X:$Z,2,FALSE),"")</f>
        <v/>
      </c>
      <c r="GA127" s="155" t="str">
        <f>IFERROR(VLOOKUP(('LAG Girls'!$GW127*10)+'LAG Girls'!GA$2,downloads!$X:$Z,2,FALSE),"")</f>
        <v/>
      </c>
      <c r="GW127" s="155">
        <v>53</v>
      </c>
    </row>
    <row r="128" spans="1:205" ht="15" hidden="1" customHeight="1" x14ac:dyDescent="0.45">
      <c r="A128" s="155" t="str">
        <f>IFERROR(VLOOKUP(('LAG Girls'!$GW128*10)+'LAG Girls'!A$2,downloads!$X:$Z,2,FALSE),"")</f>
        <v/>
      </c>
      <c r="AA128" s="155" t="str">
        <f>IFERROR(VLOOKUP(('LAG Girls'!$GW128*10)+'LAG Girls'!AA$2,downloads!$X:$Z,2,FALSE),"")</f>
        <v/>
      </c>
      <c r="BA128" s="155" t="str">
        <f>IFERROR(VLOOKUP(('LAG Girls'!$GW128*10)+'LAG Girls'!BA$2,downloads!$X:$Z,2,FALSE),"")</f>
        <v/>
      </c>
      <c r="CA128" s="155" t="str">
        <f>IFERROR(VLOOKUP(('LAG Girls'!$GW128*10)+'LAG Girls'!CA$2,downloads!$X:$Z,2,FALSE),"")</f>
        <v/>
      </c>
      <c r="DA128" s="155" t="str">
        <f>IFERROR(VLOOKUP(('LAG Girls'!$GW128*10)+'LAG Girls'!DA$2,downloads!$X:$Z,2,FALSE),"")</f>
        <v/>
      </c>
      <c r="EA128" s="155" t="str">
        <f>IFERROR(VLOOKUP(('LAG Girls'!$GW128*10)+'LAG Girls'!EA$2,downloads!$X:$Z,2,FALSE),"")</f>
        <v/>
      </c>
      <c r="FA128" s="155" t="str">
        <f>IFERROR(VLOOKUP(('LAG Girls'!$GW128*10)+'LAG Girls'!FA$2,downloads!$X:$Z,2,FALSE),"")</f>
        <v/>
      </c>
      <c r="GA128" s="155" t="str">
        <f>IFERROR(VLOOKUP(('LAG Girls'!$GW128*10)+'LAG Girls'!GA$2,downloads!$X:$Z,2,FALSE),"")</f>
        <v/>
      </c>
      <c r="GW128" s="155">
        <v>54</v>
      </c>
    </row>
    <row r="129" spans="1:205" ht="15" hidden="1" customHeight="1" x14ac:dyDescent="0.45">
      <c r="A129" s="155" t="str">
        <f>IFERROR(VLOOKUP(('LAG Girls'!$GW129*10)+'LAG Girls'!A$2,downloads!$X:$Z,2,FALSE),"")</f>
        <v/>
      </c>
      <c r="AA129" s="155" t="str">
        <f>IFERROR(VLOOKUP(('LAG Girls'!$GW129*10)+'LAG Girls'!AA$2,downloads!$X:$Z,2,FALSE),"")</f>
        <v/>
      </c>
      <c r="BA129" s="155" t="str">
        <f>IFERROR(VLOOKUP(('LAG Girls'!$GW129*10)+'LAG Girls'!BA$2,downloads!$X:$Z,2,FALSE),"")</f>
        <v/>
      </c>
      <c r="CA129" s="155" t="str">
        <f>IFERROR(VLOOKUP(('LAG Girls'!$GW129*10)+'LAG Girls'!CA$2,downloads!$X:$Z,2,FALSE),"")</f>
        <v/>
      </c>
      <c r="DA129" s="155" t="str">
        <f>IFERROR(VLOOKUP(('LAG Girls'!$GW129*10)+'LAG Girls'!DA$2,downloads!$X:$Z,2,FALSE),"")</f>
        <v/>
      </c>
      <c r="EA129" s="155" t="str">
        <f>IFERROR(VLOOKUP(('LAG Girls'!$GW129*10)+'LAG Girls'!EA$2,downloads!$X:$Z,2,FALSE),"")</f>
        <v/>
      </c>
      <c r="FA129" s="155" t="str">
        <f>IFERROR(VLOOKUP(('LAG Girls'!$GW129*10)+'LAG Girls'!FA$2,downloads!$X:$Z,2,FALSE),"")</f>
        <v/>
      </c>
      <c r="GA129" s="155" t="str">
        <f>IFERROR(VLOOKUP(('LAG Girls'!$GW129*10)+'LAG Girls'!GA$2,downloads!$X:$Z,2,FALSE),"")</f>
        <v/>
      </c>
      <c r="GW129" s="155">
        <v>55</v>
      </c>
    </row>
    <row r="130" spans="1:205" ht="15" hidden="1" customHeight="1" x14ac:dyDescent="0.45">
      <c r="A130" s="155" t="str">
        <f>IFERROR(VLOOKUP(('LAG Girls'!$GW130*10)+'LAG Girls'!A$2,downloads!$X:$Z,2,FALSE),"")</f>
        <v/>
      </c>
      <c r="AA130" s="155" t="str">
        <f>IFERROR(VLOOKUP(('LAG Girls'!$GW130*10)+'LAG Girls'!AA$2,downloads!$X:$Z,2,FALSE),"")</f>
        <v/>
      </c>
      <c r="BA130" s="155" t="str">
        <f>IFERROR(VLOOKUP(('LAG Girls'!$GW130*10)+'LAG Girls'!BA$2,downloads!$X:$Z,2,FALSE),"")</f>
        <v/>
      </c>
      <c r="CA130" s="155" t="str">
        <f>IFERROR(VLOOKUP(('LAG Girls'!$GW130*10)+'LAG Girls'!CA$2,downloads!$X:$Z,2,FALSE),"")</f>
        <v/>
      </c>
      <c r="DA130" s="155" t="str">
        <f>IFERROR(VLOOKUP(('LAG Girls'!$GW130*10)+'LAG Girls'!DA$2,downloads!$X:$Z,2,FALSE),"")</f>
        <v/>
      </c>
      <c r="EA130" s="155" t="str">
        <f>IFERROR(VLOOKUP(('LAG Girls'!$GW130*10)+'LAG Girls'!EA$2,downloads!$X:$Z,2,FALSE),"")</f>
        <v/>
      </c>
      <c r="FA130" s="155" t="str">
        <f>IFERROR(VLOOKUP(('LAG Girls'!$GW130*10)+'LAG Girls'!FA$2,downloads!$X:$Z,2,FALSE),"")</f>
        <v/>
      </c>
      <c r="GA130" s="155" t="str">
        <f>IFERROR(VLOOKUP(('LAG Girls'!$GW130*10)+'LAG Girls'!GA$2,downloads!$X:$Z,2,FALSE),"")</f>
        <v/>
      </c>
      <c r="GW130" s="155">
        <v>56</v>
      </c>
    </row>
    <row r="131" spans="1:205" ht="15" customHeight="1" x14ac:dyDescent="0.45">
      <c r="GW131" s="155">
        <v>57</v>
      </c>
    </row>
    <row r="132" spans="1:205" ht="15" customHeight="1" x14ac:dyDescent="0.45">
      <c r="GW132" s="155">
        <v>58</v>
      </c>
    </row>
    <row r="133" spans="1:205" ht="15" customHeight="1" x14ac:dyDescent="0.45">
      <c r="GW133" s="155">
        <v>59</v>
      </c>
    </row>
    <row r="134" spans="1:205" ht="15" customHeight="1" x14ac:dyDescent="0.45">
      <c r="GW134" s="155">
        <v>60</v>
      </c>
    </row>
    <row r="135" spans="1:205" ht="15" customHeight="1" x14ac:dyDescent="0.45">
      <c r="GW135" s="155">
        <v>61</v>
      </c>
    </row>
    <row r="136" spans="1:205" ht="15" customHeight="1" x14ac:dyDescent="0.45">
      <c r="GW136" s="155">
        <v>62</v>
      </c>
    </row>
    <row r="137" spans="1:205" ht="15" customHeight="1" x14ac:dyDescent="0.45">
      <c r="GW137" s="155">
        <v>63</v>
      </c>
    </row>
    <row r="138" spans="1:205" ht="15" customHeight="1" x14ac:dyDescent="0.45">
      <c r="GW138" s="155">
        <v>64</v>
      </c>
    </row>
    <row r="139" spans="1:205" ht="15" customHeight="1" x14ac:dyDescent="0.45">
      <c r="GW139" s="155">
        <v>65</v>
      </c>
    </row>
    <row r="140" spans="1:205" ht="15" customHeight="1" x14ac:dyDescent="0.45">
      <c r="GW140" s="155">
        <v>66</v>
      </c>
    </row>
    <row r="141" spans="1:205" ht="15" customHeight="1" x14ac:dyDescent="0.45">
      <c r="GW141" s="155">
        <v>67</v>
      </c>
    </row>
    <row r="142" spans="1:205" ht="15" customHeight="1" x14ac:dyDescent="0.45">
      <c r="GW142" s="155">
        <v>68</v>
      </c>
    </row>
    <row r="143" spans="1:205" ht="15" customHeight="1" x14ac:dyDescent="0.45">
      <c r="GW143" s="155">
        <v>69</v>
      </c>
    </row>
    <row r="144" spans="1:205" ht="15" customHeight="1" x14ac:dyDescent="0.45">
      <c r="GW144" s="155">
        <v>70</v>
      </c>
    </row>
    <row r="145" spans="205:205" ht="15" customHeight="1" x14ac:dyDescent="0.45">
      <c r="GW145" s="155">
        <v>71</v>
      </c>
    </row>
    <row r="146" spans="205:205" ht="15" customHeight="1" x14ac:dyDescent="0.45">
      <c r="GW146" s="155">
        <v>72</v>
      </c>
    </row>
    <row r="147" spans="205:205" ht="15" customHeight="1" x14ac:dyDescent="0.45">
      <c r="GW147" s="155">
        <v>73</v>
      </c>
    </row>
    <row r="148" spans="205:205" ht="15" customHeight="1" x14ac:dyDescent="0.45">
      <c r="GW148" s="155">
        <v>74</v>
      </c>
    </row>
    <row r="149" spans="205:205" ht="15" customHeight="1" x14ac:dyDescent="0.45">
      <c r="GW149" s="155">
        <v>75</v>
      </c>
    </row>
    <row r="150" spans="205:205" ht="15" customHeight="1" x14ac:dyDescent="0.45">
      <c r="GW150" s="155">
        <v>76</v>
      </c>
    </row>
    <row r="151" spans="205:205" ht="15" customHeight="1" x14ac:dyDescent="0.45">
      <c r="GW151" s="155">
        <v>77</v>
      </c>
    </row>
    <row r="152" spans="205:205" ht="15" customHeight="1" x14ac:dyDescent="0.45">
      <c r="GW152" s="155">
        <v>78</v>
      </c>
    </row>
    <row r="153" spans="205:205" ht="15" customHeight="1" x14ac:dyDescent="0.45">
      <c r="GW153" s="155">
        <v>79</v>
      </c>
    </row>
    <row r="154" spans="205:205" ht="15" customHeight="1" x14ac:dyDescent="0.45">
      <c r="GW154" s="155">
        <v>80</v>
      </c>
    </row>
    <row r="155" spans="205:205" ht="15" customHeight="1" x14ac:dyDescent="0.45">
      <c r="GW155" s="155">
        <v>81</v>
      </c>
    </row>
    <row r="156" spans="205:205" ht="15" customHeight="1" x14ac:dyDescent="0.45">
      <c r="GW156" s="155">
        <v>82</v>
      </c>
    </row>
    <row r="157" spans="205:205" ht="15" customHeight="1" x14ac:dyDescent="0.45">
      <c r="GW157" s="155">
        <v>83</v>
      </c>
    </row>
    <row r="158" spans="205:205" ht="15" customHeight="1" x14ac:dyDescent="0.45">
      <c r="GW158" s="155">
        <v>84</v>
      </c>
    </row>
    <row r="159" spans="205:205" ht="15" customHeight="1" x14ac:dyDescent="0.45">
      <c r="GW159" s="155">
        <v>85</v>
      </c>
    </row>
    <row r="160" spans="205:205" ht="15" customHeight="1" x14ac:dyDescent="0.45">
      <c r="GW160" s="155">
        <v>86</v>
      </c>
    </row>
    <row r="161" spans="205:205" ht="15" customHeight="1" x14ac:dyDescent="0.45">
      <c r="GW161" s="155">
        <v>87</v>
      </c>
    </row>
    <row r="162" spans="205:205" ht="15" customHeight="1" x14ac:dyDescent="0.45">
      <c r="GW162" s="155">
        <v>88</v>
      </c>
    </row>
    <row r="163" spans="205:205" ht="15" customHeight="1" x14ac:dyDescent="0.45">
      <c r="GW163" s="155">
        <v>89</v>
      </c>
    </row>
    <row r="164" spans="205:205" ht="15" customHeight="1" x14ac:dyDescent="0.45">
      <c r="GW164" s="155">
        <v>90</v>
      </c>
    </row>
    <row r="165" spans="205:205" ht="15" customHeight="1" x14ac:dyDescent="0.45">
      <c r="GW165" s="155">
        <v>91</v>
      </c>
    </row>
    <row r="166" spans="205:205" ht="15" customHeight="1" x14ac:dyDescent="0.45">
      <c r="GW166" s="155">
        <v>92</v>
      </c>
    </row>
    <row r="167" spans="205:205" ht="15" customHeight="1" x14ac:dyDescent="0.45">
      <c r="GW167" s="155">
        <v>93</v>
      </c>
    </row>
    <row r="168" spans="205:205" ht="15" customHeight="1" x14ac:dyDescent="0.45">
      <c r="GW168" s="155">
        <v>94</v>
      </c>
    </row>
    <row r="169" spans="205:205" ht="15" customHeight="1" x14ac:dyDescent="0.45">
      <c r="GW169" s="155">
        <v>95</v>
      </c>
    </row>
    <row r="170" spans="205:205" ht="15" customHeight="1" x14ac:dyDescent="0.45">
      <c r="GW170" s="155">
        <v>96</v>
      </c>
    </row>
    <row r="171" spans="205:205" ht="15" customHeight="1" x14ac:dyDescent="0.45">
      <c r="GW171" s="155">
        <v>97</v>
      </c>
    </row>
    <row r="172" spans="205:205" ht="15" customHeight="1" x14ac:dyDescent="0.45">
      <c r="GW172" s="155">
        <v>98</v>
      </c>
    </row>
    <row r="173" spans="205:205" ht="15" customHeight="1" x14ac:dyDescent="0.45">
      <c r="GW173" s="155">
        <v>99</v>
      </c>
    </row>
    <row r="174" spans="205:205" ht="15" customHeight="1" x14ac:dyDescent="0.45">
      <c r="GW174" s="155">
        <v>100</v>
      </c>
    </row>
    <row r="175" spans="205:205" ht="15" customHeight="1" x14ac:dyDescent="0.45">
      <c r="GW175" s="155">
        <v>101</v>
      </c>
    </row>
    <row r="176" spans="205:205" ht="15" customHeight="1" x14ac:dyDescent="0.45">
      <c r="GW176" s="155">
        <v>102</v>
      </c>
    </row>
    <row r="177" spans="205:205" ht="15" customHeight="1" x14ac:dyDescent="0.45">
      <c r="GW177" s="155">
        <v>103</v>
      </c>
    </row>
    <row r="178" spans="205:205" ht="15" customHeight="1" x14ac:dyDescent="0.45">
      <c r="GW178" s="155">
        <v>104</v>
      </c>
    </row>
    <row r="179" spans="205:205" ht="15" customHeight="1" x14ac:dyDescent="0.45">
      <c r="GW179" s="155">
        <v>105</v>
      </c>
    </row>
    <row r="180" spans="205:205" ht="15" customHeight="1" x14ac:dyDescent="0.45">
      <c r="GW180" s="155">
        <v>106</v>
      </c>
    </row>
    <row r="181" spans="205:205" ht="15" customHeight="1" x14ac:dyDescent="0.45">
      <c r="GW181" s="155">
        <v>107</v>
      </c>
    </row>
    <row r="182" spans="205:205" ht="15" customHeight="1" x14ac:dyDescent="0.45">
      <c r="GW182" s="155">
        <v>108</v>
      </c>
    </row>
    <row r="183" spans="205:205" ht="15" customHeight="1" x14ac:dyDescent="0.45">
      <c r="GW183" s="155">
        <v>109</v>
      </c>
    </row>
    <row r="184" spans="205:205" ht="15" customHeight="1" x14ac:dyDescent="0.45">
      <c r="GW184" s="155">
        <v>110</v>
      </c>
    </row>
    <row r="185" spans="205:205" ht="15" customHeight="1" x14ac:dyDescent="0.45">
      <c r="GW185" s="155">
        <v>111</v>
      </c>
    </row>
    <row r="186" spans="205:205" ht="15" customHeight="1" x14ac:dyDescent="0.45">
      <c r="GW186" s="155">
        <v>112</v>
      </c>
    </row>
    <row r="187" spans="205:205" ht="15" customHeight="1" x14ac:dyDescent="0.45">
      <c r="GW187" s="155">
        <v>113</v>
      </c>
    </row>
    <row r="188" spans="205:205" ht="15" customHeight="1" x14ac:dyDescent="0.45">
      <c r="GW188" s="155">
        <v>114</v>
      </c>
    </row>
    <row r="189" spans="205:205" ht="15" customHeight="1" x14ac:dyDescent="0.45">
      <c r="GW189" s="155">
        <v>115</v>
      </c>
    </row>
    <row r="190" spans="205:205" ht="15" customHeight="1" x14ac:dyDescent="0.45">
      <c r="GW190" s="155">
        <v>116</v>
      </c>
    </row>
    <row r="191" spans="205:205" ht="15" customHeight="1" x14ac:dyDescent="0.45">
      <c r="GW191" s="155">
        <v>117</v>
      </c>
    </row>
    <row r="192" spans="205:205" ht="15" customHeight="1" x14ac:dyDescent="0.45">
      <c r="GW192" s="155">
        <v>118</v>
      </c>
    </row>
    <row r="193" spans="205:205" ht="15" customHeight="1" x14ac:dyDescent="0.45">
      <c r="GW193" s="155">
        <v>119</v>
      </c>
    </row>
    <row r="194" spans="205:205" ht="15" customHeight="1" x14ac:dyDescent="0.45">
      <c r="GW194" s="155">
        <v>120</v>
      </c>
    </row>
  </sheetData>
  <sheetProtection algorithmName="SHA-512" hashValue="XErNuRybbfBC1s569I7zPR16HNdTIqZ6YOILIedLEpc9ZzhxcB51kqhvqPewH/h8gz7vOtE7DHrLGNc6K4/TAQ==" saltValue="XUt2bd2mJH2MTfdiKOnJ+w==" spinCount="100000" sheet="1" objects="1" scenarios="1" formatCells="0" formatColumns="0" formatRows="0" sort="0" autoFilter="0"/>
  <conditionalFormatting sqref="A5:A33 A35:A74">
    <cfRule type="duplicateValues" dxfId="21" priority="13"/>
  </conditionalFormatting>
  <conditionalFormatting sqref="AA5:AA33 AA35:AA74">
    <cfRule type="duplicateValues" dxfId="20" priority="12"/>
  </conditionalFormatting>
  <conditionalFormatting sqref="BA5:BA33 BA35:BA74">
    <cfRule type="duplicateValues" dxfId="19" priority="11"/>
  </conditionalFormatting>
  <conditionalFormatting sqref="CA5:CA33 CA35:CA74">
    <cfRule type="duplicateValues" dxfId="18" priority="10"/>
  </conditionalFormatting>
  <conditionalFormatting sqref="DA5:DA33 DA35:DA74">
    <cfRule type="duplicateValues" dxfId="17" priority="9"/>
  </conditionalFormatting>
  <conditionalFormatting sqref="EA5:EA33 EA35:EA74">
    <cfRule type="duplicateValues" dxfId="16" priority="8"/>
  </conditionalFormatting>
  <conditionalFormatting sqref="FA5:FA33 FA35:FA74">
    <cfRule type="duplicateValues" dxfId="15" priority="7"/>
  </conditionalFormatting>
  <conditionalFormatting sqref="GA5:GA33 GA35:GA74">
    <cfRule type="duplicateValues" dxfId="14" priority="6"/>
  </conditionalFormatting>
  <conditionalFormatting sqref="A1:A1048576 AA1:AA1048576 BA1:BA1048576 CA1:CA1048576 DA1:DA1048576 EA1:EA1048576 FA1:FA1048576 GA1:GA1048576">
    <cfRule type="expression" dxfId="13" priority="4">
      <formula>A1="-"</formula>
    </cfRule>
  </conditionalFormatting>
  <conditionalFormatting sqref="A5:A33 A35:A74 AA35:AA74 AA5:AA33 BA5:BA33 BA35:BA74 CA35:CA74 CA5:CA33 DA5:DA33 DA35:DA74 EA35:EA74 EA5:EA33 FA5:FA33 FA35:FA74 GA35:GA74 GA5:GA33">
    <cfRule type="uniqueValues" dxfId="12" priority="1"/>
  </conditionalFormatting>
  <dataValidations count="33">
    <dataValidation type="whole" allowBlank="1" showInputMessage="1" showErrorMessage="1" sqref="C1:C1048576 G1:G1048576 FC1:FC1048576 GC1:GC1048576 AC1:AC1048576 EG1:EG1048576 BC1:BC1048576 AG1:AG1048576 CC1:CC1048576 BG1:BG1048576 DC1:DC1048576 CG1:CG1048576 EC1:EC1048576 DG1:DG1048576 GG1:GG1048576 FG1:FG1048576" xr:uid="{00000000-0002-0000-1400-000000000000}">
      <formula1>1</formula1>
      <formula2>999</formula2>
    </dataValidation>
    <dataValidation type="list" allowBlank="1" showInputMessage="1" showErrorMessage="1" sqref="AB3:AB33 AD3:AF33 AH3:AI33 AM3:AQ33 AS3:AT33" xr:uid="{00000000-0002-0000-1400-000001000000}">
      <formula1>$AJ$1:$AK$1</formula1>
    </dataValidation>
    <dataValidation type="list" allowBlank="1" showInputMessage="1" showErrorMessage="1" sqref="AB34:AB74 AD34:AF74 AH34:AI74 AM34:AQ74 AS34:AT74" xr:uid="{00000000-0002-0000-1400-000002000000}">
      <formula1>$AJ$1:$AM$1</formula1>
    </dataValidation>
    <dataValidation type="list" allowBlank="1" showInputMessage="1" showErrorMessage="1" sqref="BB3:BB33 BD3:BF33 BH3:BI33 BM3:BQ33 BS3:BT33" xr:uid="{00000000-0002-0000-1400-000003000000}">
      <formula1>$BJ$1:$BK$1</formula1>
    </dataValidation>
    <dataValidation type="list" allowBlank="1" showInputMessage="1" showErrorMessage="1" sqref="BB34:BB74 BD34:BF74 BH34:BI74 BM34:BQ74 BS34:BT74" xr:uid="{00000000-0002-0000-1400-000004000000}">
      <formula1>$BJ$1:$BM$1</formula1>
    </dataValidation>
    <dataValidation type="list" allowBlank="1" showInputMessage="1" showErrorMessage="1" sqref="CB3:CB33 CD3:CF33 CH3:CI33 CM3:CQ33 CS3:CT33" xr:uid="{00000000-0002-0000-1400-000005000000}">
      <formula1>$CJ$1:$CK$1</formula1>
    </dataValidation>
    <dataValidation type="list" allowBlank="1" showInputMessage="1" showErrorMessage="1" sqref="CB34:CB74 CD34:CF74 CH34:CI74 CM34:CQ74 CS34:CT74" xr:uid="{00000000-0002-0000-1400-000006000000}">
      <formula1>$CJ$1:$CM$1</formula1>
    </dataValidation>
    <dataValidation type="list" allowBlank="1" showInputMessage="1" showErrorMessage="1" sqref="DB3:DB33 DD3:DF33 DH3:DI33 DM3:DQ33 DS3:DT33" xr:uid="{00000000-0002-0000-1400-000007000000}">
      <formula1>$DJ$1:$DK$1</formula1>
    </dataValidation>
    <dataValidation type="list" allowBlank="1" showInputMessage="1" showErrorMessage="1" sqref="DB34:DB74 DD34:DF74 DH34:DI74 DM34:DQ74 DS34:DT74" xr:uid="{00000000-0002-0000-1400-000008000000}">
      <formula1>$DJ$1:$DM$1</formula1>
    </dataValidation>
    <dataValidation type="list" allowBlank="1" showInputMessage="1" showErrorMessage="1" sqref="DU3:DV33" xr:uid="{00000000-0002-0000-1400-000009000000}">
      <formula1>$DN$1:$DQ$1</formula1>
    </dataValidation>
    <dataValidation type="list" allowBlank="1" showInputMessage="1" showErrorMessage="1" sqref="EB3:EB33 ED3:EF33 EH3:EI33 EM3:EQ33 ES3:ET33" xr:uid="{00000000-0002-0000-1400-00000A000000}">
      <formula1>$EJ$1:$EK$1</formula1>
    </dataValidation>
    <dataValidation type="list" allowBlank="1" showInputMessage="1" showErrorMessage="1" sqref="EB34:EB74 ED34:EF74 EH34:EI74 EM34:EQ74 ES34:ET74" xr:uid="{00000000-0002-0000-1400-00000B000000}">
      <formula1>$EJ$1:$EM$1</formula1>
    </dataValidation>
    <dataValidation type="list" allowBlank="1" showInputMessage="1" showErrorMessage="1" sqref="EU34:EV74" xr:uid="{00000000-0002-0000-1400-00000C000000}">
      <formula1>$EN$1:$EU$1</formula1>
    </dataValidation>
    <dataValidation type="list" allowBlank="1" showInputMessage="1" showErrorMessage="1" sqref="FB3:FB33 FD3:FF33 FH3:FI33 FM3:FQ33 FS3:FT33" xr:uid="{00000000-0002-0000-1400-00000D000000}">
      <formula1>$FJ$1:$FK$1</formula1>
    </dataValidation>
    <dataValidation type="list" allowBlank="1" showInputMessage="1" showErrorMessage="1" sqref="EU3:EV33" xr:uid="{00000000-0002-0000-1400-00000E000000}">
      <formula1>$EN$1:$EQ$1</formula1>
    </dataValidation>
    <dataValidation type="list" allowBlank="1" showInputMessage="1" showErrorMessage="1" sqref="FB34:FB74 FD34:FF74 FH34:FI74 FM34:FQ74 FS34:FT74" xr:uid="{00000000-0002-0000-1400-00000F000000}">
      <formula1>$FJ$1:$FM$1</formula1>
    </dataValidation>
    <dataValidation type="list" allowBlank="1" showInputMessage="1" showErrorMessage="1" sqref="FU34:FV74" xr:uid="{00000000-0002-0000-1400-000010000000}">
      <formula1>$FN$1:$FU$1</formula1>
    </dataValidation>
    <dataValidation type="list" allowBlank="1" showInputMessage="1" showErrorMessage="1" sqref="GB3:GB33 GD3:GF33 GH3:GI33 GM3:GQ33 GS3:GT33" xr:uid="{00000000-0002-0000-1400-000011000000}">
      <formula1>$GJ$1:$GK$1</formula1>
    </dataValidation>
    <dataValidation type="list" allowBlank="1" showInputMessage="1" showErrorMessage="1" sqref="GU3:GV33" xr:uid="{00000000-0002-0000-1400-000012000000}">
      <formula1>$GN$1:$GQ$1</formula1>
    </dataValidation>
    <dataValidation type="list" allowBlank="1" showInputMessage="1" showErrorMessage="1" sqref="GB34:GB74 GD34:GF74 GH34:GI74 GM34:GQ74 GS34:GT74" xr:uid="{00000000-0002-0000-1400-000013000000}">
      <formula1>$GJ$1:$GM$1</formula1>
    </dataValidation>
    <dataValidation type="list" allowBlank="1" showInputMessage="1" showErrorMessage="1" sqref="GU34:GV74" xr:uid="{00000000-0002-0000-1400-000014000000}">
      <formula1>$GN$1:$GU$1</formula1>
    </dataValidation>
    <dataValidation type="list" allowBlank="1" showInputMessage="1" showErrorMessage="1" sqref="B34:B74 D34:F74 H34:I74 M34:Q74 S34:T74" xr:uid="{00000000-0002-0000-1400-000015000000}">
      <formula1>$J$1:$M$1</formula1>
    </dataValidation>
    <dataValidation type="list" allowBlank="1" showInputMessage="1" showErrorMessage="1" sqref="U34:V74" xr:uid="{00000000-0002-0000-1400-000016000000}">
      <formula1>$N$1:$U$1</formula1>
    </dataValidation>
    <dataValidation type="list" allowBlank="1" showInputMessage="1" showErrorMessage="1" sqref="AU34:AV74" xr:uid="{00000000-0002-0000-1400-000017000000}">
      <formula1>$AN$1:$AU$1</formula1>
    </dataValidation>
    <dataValidation type="list" allowBlank="1" showInputMessage="1" showErrorMessage="1" sqref="B3:B33 D3:F33 H3:I33 M3:Q33 S3:T33" xr:uid="{00000000-0002-0000-1400-000018000000}">
      <formula1>$J$1:$K$1</formula1>
    </dataValidation>
    <dataValidation type="list" allowBlank="1" showInputMessage="1" showErrorMessage="1" sqref="U3:V33" xr:uid="{00000000-0002-0000-1400-000019000000}">
      <formula1>$N$1:$Q$1</formula1>
    </dataValidation>
    <dataValidation type="list" allowBlank="1" showInputMessage="1" showErrorMessage="1" sqref="AU3:AV33" xr:uid="{00000000-0002-0000-1400-00001A000000}">
      <formula1>$AN$1:$AQ$1</formula1>
    </dataValidation>
    <dataValidation type="list" allowBlank="1" showInputMessage="1" showErrorMessage="1" sqref="BU3:BV33" xr:uid="{00000000-0002-0000-1400-00001B000000}">
      <formula1>$BN$1:$BQ$1</formula1>
    </dataValidation>
    <dataValidation type="list" allowBlank="1" showInputMessage="1" showErrorMessage="1" sqref="BU34:BV74" xr:uid="{00000000-0002-0000-1400-00001C000000}">
      <formula1>$BN$1:$BU$1</formula1>
    </dataValidation>
    <dataValidation type="list" allowBlank="1" showInputMessage="1" showErrorMessage="1" sqref="CU3:CV33" xr:uid="{00000000-0002-0000-1400-00001D000000}">
      <formula1>$CN$1:$CQ$1</formula1>
    </dataValidation>
    <dataValidation type="list" allowBlank="1" showInputMessage="1" showErrorMessage="1" sqref="CU34:CV74" xr:uid="{00000000-0002-0000-1400-00001E000000}">
      <formula1>$CN$1:$CU$1</formula1>
    </dataValidation>
    <dataValidation type="list" allowBlank="1" showInputMessage="1" showErrorMessage="1" sqref="DU34:DV74" xr:uid="{00000000-0002-0000-1400-00001F000000}">
      <formula1>$DN$1:$DU$1</formula1>
    </dataValidation>
    <dataValidation type="list" allowBlank="1" showInputMessage="1" showErrorMessage="1" sqref="FU3:FV33" xr:uid="{00000000-0002-0000-1400-000020000000}">
      <formula1>$FN$1:$FQ$1</formula1>
    </dataValidation>
  </dataValidations>
  <hyperlinks>
    <hyperlink ref="A1" location="Dashboard!A1" display="Dashboard!A1" xr:uid="{00000000-0004-0000-1400-000000000000}"/>
    <hyperlink ref="AA1" location="Dashboard!A1" display="Dashboard!A1" xr:uid="{00000000-0004-0000-1400-000001000000}"/>
    <hyperlink ref="BA1" location="Dashboard!A1" display="Dashboard!A1" xr:uid="{00000000-0004-0000-1400-000002000000}"/>
    <hyperlink ref="CA1" location="Dashboard!A1" display="Dashboard!A1" xr:uid="{00000000-0004-0000-1400-000003000000}"/>
    <hyperlink ref="DA1" location="Dashboard!A1" display="Dashboard!A1" xr:uid="{00000000-0004-0000-1400-000004000000}"/>
    <hyperlink ref="EA1" location="Dashboard!A1" display="Dashboard!A1" xr:uid="{00000000-0004-0000-1400-000005000000}"/>
    <hyperlink ref="FA1" location="Dashboard!A1" display="Dashboard!A1" xr:uid="{00000000-0004-0000-1400-000006000000}"/>
    <hyperlink ref="GA1" location="Dashboard!A1" display="Dashboard!A1" xr:uid="{00000000-0004-0000-1400-000007000000}"/>
  </hyperlinks>
  <pageMargins left="0.7" right="0.7" top="0.75" bottom="0.75" header="0.3" footer="0.3"/>
  <pageSetup paperSize="9" scale="96" orientation="portrait" r:id="rId1"/>
  <rowBreaks count="1" manualBreakCount="1">
    <brk id="33" max="16383" man="1"/>
  </rowBreaks>
  <colBreaks count="1" manualBreakCount="1">
    <brk id="2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FFFF00"/>
  </sheetPr>
  <dimension ref="A1:HQ200"/>
  <sheetViews>
    <sheetView showZeros="0" zoomScale="80" zoomScaleNormal="80" workbookViewId="0">
      <pane ySplit="2" topLeftCell="A3" activePane="bottomLeft" state="frozen"/>
      <selection activeCell="K3" sqref="K3:N3"/>
      <selection pane="bottomLeft" activeCell="H6" sqref="H6"/>
    </sheetView>
  </sheetViews>
  <sheetFormatPr defaultColWidth="8.86328125" defaultRowHeight="15" customHeight="1" x14ac:dyDescent="0.45"/>
  <cols>
    <col min="1" max="1" width="24.86328125" style="155" customWidth="1"/>
    <col min="2" max="2" width="3.86328125" style="159" customWidth="1"/>
    <col min="3" max="3" width="3.86328125" style="166" customWidth="1"/>
    <col min="4" max="6" width="3.86328125" style="159" customWidth="1"/>
    <col min="7" max="7" width="3.86328125" style="166" customWidth="1"/>
    <col min="8" max="9" width="3.86328125" style="159" customWidth="1"/>
    <col min="10" max="12" width="3.86328125" style="159" hidden="1" customWidth="1"/>
    <col min="13" max="17" width="3.86328125" style="159" customWidth="1"/>
    <col min="18" max="18" width="3.86328125" style="159" hidden="1" customWidth="1"/>
    <col min="19" max="22" width="3.86328125" style="159" customWidth="1"/>
    <col min="23" max="26" width="8.86328125" style="155" hidden="1" customWidth="1"/>
    <col min="27" max="27" width="24.86328125" style="155" customWidth="1"/>
    <col min="28" max="28" width="3.86328125" style="159" customWidth="1"/>
    <col min="29" max="29" width="3.86328125" style="166" customWidth="1"/>
    <col min="30" max="32" width="3.86328125" style="159" customWidth="1"/>
    <col min="33" max="33" width="3.86328125" style="166" customWidth="1"/>
    <col min="34" max="35" width="3.86328125" style="159" customWidth="1"/>
    <col min="36" max="38" width="3.86328125" style="159" hidden="1" customWidth="1"/>
    <col min="39" max="43" width="3.86328125" style="159" customWidth="1"/>
    <col min="44" max="44" width="3.86328125" style="159" hidden="1" customWidth="1"/>
    <col min="45" max="48" width="3.86328125" style="159" customWidth="1"/>
    <col min="49" max="52" width="8.86328125" style="155" hidden="1" customWidth="1"/>
    <col min="53" max="53" width="24.86328125" style="155" customWidth="1"/>
    <col min="54" max="54" width="3.86328125" style="159" customWidth="1"/>
    <col min="55" max="55" width="3.86328125" style="166" customWidth="1"/>
    <col min="56" max="58" width="3.86328125" style="159" customWidth="1"/>
    <col min="59" max="59" width="3.86328125" style="166" customWidth="1"/>
    <col min="60" max="61" width="3.86328125" style="159" customWidth="1"/>
    <col min="62" max="64" width="3.86328125" style="159" hidden="1" customWidth="1"/>
    <col min="65" max="69" width="3.86328125" style="159" customWidth="1"/>
    <col min="70" max="70" width="3.86328125" style="159" hidden="1" customWidth="1"/>
    <col min="71" max="74" width="3.86328125" style="159" customWidth="1"/>
    <col min="75" max="78" width="8.86328125" style="155" hidden="1" customWidth="1"/>
    <col min="79" max="79" width="24.86328125" style="155" customWidth="1"/>
    <col min="80" max="80" width="3.86328125" style="159" customWidth="1"/>
    <col min="81" max="81" width="3.86328125" style="166" customWidth="1"/>
    <col min="82" max="84" width="3.86328125" style="159" customWidth="1"/>
    <col min="85" max="85" width="3.86328125" style="166" customWidth="1"/>
    <col min="86" max="87" width="3.86328125" style="159" customWidth="1"/>
    <col min="88" max="90" width="3.86328125" style="159" hidden="1" customWidth="1"/>
    <col min="91" max="95" width="3.86328125" style="159" customWidth="1"/>
    <col min="96" max="96" width="3.86328125" style="159" hidden="1" customWidth="1"/>
    <col min="97" max="100" width="3.86328125" style="159" customWidth="1"/>
    <col min="101" max="104" width="9.1328125" style="155" hidden="1" customWidth="1"/>
    <col min="105" max="105" width="24.86328125" style="155" customWidth="1"/>
    <col min="106" max="106" width="3.86328125" style="159" customWidth="1"/>
    <col min="107" max="107" width="3.86328125" style="166" customWidth="1"/>
    <col min="108" max="110" width="3.86328125" style="159" customWidth="1"/>
    <col min="111" max="111" width="3.86328125" style="166" customWidth="1"/>
    <col min="112" max="113" width="3.86328125" style="159" customWidth="1"/>
    <col min="114" max="116" width="3.86328125" style="159" hidden="1" customWidth="1"/>
    <col min="117" max="121" width="3.86328125" style="159" customWidth="1"/>
    <col min="122" max="122" width="3.86328125" style="159" hidden="1" customWidth="1"/>
    <col min="123" max="126" width="3.86328125" style="159" customWidth="1"/>
    <col min="127" max="130" width="9.1328125" style="155" hidden="1" customWidth="1"/>
    <col min="131" max="131" width="24.86328125" style="155" customWidth="1"/>
    <col min="132" max="132" width="3.86328125" style="159" customWidth="1"/>
    <col min="133" max="133" width="3.86328125" style="166" customWidth="1"/>
    <col min="134" max="136" width="3.86328125" style="159" customWidth="1"/>
    <col min="137" max="137" width="3.86328125" style="166" customWidth="1"/>
    <col min="138" max="139" width="3.86328125" style="159" customWidth="1"/>
    <col min="140" max="142" width="3.86328125" style="159" hidden="1" customWidth="1"/>
    <col min="143" max="147" width="3.86328125" style="159" customWidth="1"/>
    <col min="148" max="148" width="3.86328125" style="159" hidden="1" customWidth="1"/>
    <col min="149" max="152" width="3.86328125" style="159" customWidth="1"/>
    <col min="153" max="156" width="9.1328125" style="155" hidden="1" customWidth="1"/>
    <col min="157" max="157" width="24.86328125" style="155" customWidth="1"/>
    <col min="158" max="158" width="3.86328125" style="159" customWidth="1"/>
    <col min="159" max="159" width="3.86328125" style="166" customWidth="1"/>
    <col min="160" max="162" width="3.86328125" style="159" customWidth="1"/>
    <col min="163" max="163" width="3.86328125" style="166" customWidth="1"/>
    <col min="164" max="165" width="3.86328125" style="159" customWidth="1"/>
    <col min="166" max="168" width="3.86328125" style="159" hidden="1" customWidth="1"/>
    <col min="169" max="173" width="3.86328125" style="159" customWidth="1"/>
    <col min="174" max="174" width="3.86328125" style="159" hidden="1" customWidth="1"/>
    <col min="175" max="178" width="3.86328125" style="159" customWidth="1"/>
    <col min="179" max="182" width="9.1328125" style="155" hidden="1" customWidth="1"/>
    <col min="183" max="183" width="24.86328125" style="155" customWidth="1"/>
    <col min="184" max="184" width="3.86328125" style="159" customWidth="1"/>
    <col min="185" max="185" width="3.86328125" style="166" customWidth="1"/>
    <col min="186" max="188" width="3.86328125" style="159" customWidth="1"/>
    <col min="189" max="189" width="3.86328125" style="166" customWidth="1"/>
    <col min="190" max="191" width="3.86328125" style="159" customWidth="1"/>
    <col min="192" max="194" width="3.86328125" style="159" hidden="1" customWidth="1"/>
    <col min="195" max="199" width="3.86328125" style="159" customWidth="1"/>
    <col min="200" max="200" width="3.86328125" style="159" hidden="1" customWidth="1"/>
    <col min="201" max="204" width="3.86328125" style="159" customWidth="1"/>
    <col min="205" max="207" width="9.1328125" style="155" hidden="1" customWidth="1"/>
    <col min="226" max="16384" width="8.86328125" style="155"/>
  </cols>
  <sheetData>
    <row r="1" spans="1:207" ht="18.75" customHeight="1" x14ac:dyDescent="0.45">
      <c r="A1" s="188" t="str">
        <f>MatchDay!C13</f>
        <v>Chesterfield &amp; District AC</v>
      </c>
      <c r="B1" s="168"/>
      <c r="C1" s="163"/>
      <c r="D1" s="168"/>
      <c r="E1" s="154"/>
      <c r="F1" s="168"/>
      <c r="G1" s="163"/>
      <c r="H1" s="168"/>
      <c r="I1" s="154"/>
      <c r="J1" s="154">
        <f>MatchDay!B13</f>
        <v>1</v>
      </c>
      <c r="K1" s="154">
        <f>J1*11</f>
        <v>11</v>
      </c>
      <c r="L1" s="154" t="str">
        <f>IF(MatchDay!$C$2="UPPER",MatchDay!#REF!,"")</f>
        <v/>
      </c>
      <c r="M1" s="168" t="str">
        <f>IF(MatchDay!$C$2="UPPER",L1&amp;L1,"")</f>
        <v/>
      </c>
      <c r="N1" s="154">
        <v>1</v>
      </c>
      <c r="O1" s="168">
        <v>2</v>
      </c>
      <c r="P1" s="154">
        <v>3</v>
      </c>
      <c r="Q1" s="168">
        <v>4</v>
      </c>
      <c r="R1" s="154" t="str">
        <f>IF(MatchDay!$C$2="UPPER","A","")</f>
        <v/>
      </c>
      <c r="S1" s="154" t="str">
        <f>IF(MatchDay!$C$2="UPPER","B","")</f>
        <v/>
      </c>
      <c r="T1" s="168" t="str">
        <f>IF(MatchDay!$C$2="UPPER","C","")</f>
        <v/>
      </c>
      <c r="U1" s="154" t="str">
        <f>IF(MatchDay!$C$2="UPPER","D","")</f>
        <v/>
      </c>
      <c r="V1" s="172"/>
      <c r="AA1" s="188" t="str">
        <f>MatchDay!C14</f>
        <v>City of Sheffield &amp; Dearne AC</v>
      </c>
      <c r="AB1" s="174"/>
      <c r="AC1" s="163"/>
      <c r="AD1" s="174"/>
      <c r="AE1" s="154"/>
      <c r="AF1" s="174"/>
      <c r="AG1" s="163"/>
      <c r="AH1" s="174"/>
      <c r="AI1" s="154"/>
      <c r="AJ1" s="154">
        <f>MatchDay!B14</f>
        <v>2</v>
      </c>
      <c r="AK1" s="154">
        <f>AJ1*11</f>
        <v>22</v>
      </c>
      <c r="AL1" s="154" t="str">
        <f>IF(MatchDay!$C$2="UPPER",MatchDay!#REF!,"")</f>
        <v/>
      </c>
      <c r="AM1" s="174" t="str">
        <f>IF(MatchDay!$C$2="UPPER",AL1&amp;AL1,"")</f>
        <v/>
      </c>
      <c r="AN1" s="154">
        <v>1</v>
      </c>
      <c r="AO1" s="174">
        <v>2</v>
      </c>
      <c r="AP1" s="154">
        <v>3</v>
      </c>
      <c r="AQ1" s="174">
        <v>4</v>
      </c>
      <c r="AR1" s="154" t="str">
        <f>IF(MatchDay!$C$2="UPPER","A","")</f>
        <v/>
      </c>
      <c r="AS1" s="154" t="str">
        <f>IF(MatchDay!$C$2="UPPER","B","")</f>
        <v/>
      </c>
      <c r="AT1" s="174" t="str">
        <f>IF(MatchDay!$C$2="UPPER","C","")</f>
        <v/>
      </c>
      <c r="AU1" s="154" t="str">
        <f>IF(MatchDay!$C$2="UPPER","D","")</f>
        <v/>
      </c>
      <c r="AV1" s="178"/>
      <c r="BA1" s="188" t="str">
        <f>MatchDay!C15</f>
        <v>City of York AC</v>
      </c>
      <c r="BB1" s="168"/>
      <c r="BC1" s="163"/>
      <c r="BD1" s="168"/>
      <c r="BE1" s="154"/>
      <c r="BF1" s="168"/>
      <c r="BG1" s="163"/>
      <c r="BH1" s="168"/>
      <c r="BI1" s="154"/>
      <c r="BJ1" s="154">
        <f>MatchDay!B15</f>
        <v>3</v>
      </c>
      <c r="BK1" s="154">
        <f>BJ1*11</f>
        <v>33</v>
      </c>
      <c r="BL1" s="154" t="str">
        <f>IF(MatchDay!$C$2="UPPER",MatchDay!#REF!,"")</f>
        <v/>
      </c>
      <c r="BM1" s="168" t="str">
        <f>IF(MatchDay!$C$2="UPPER",BL1&amp;BL1,"")</f>
        <v/>
      </c>
      <c r="BN1" s="154">
        <v>1</v>
      </c>
      <c r="BO1" s="168">
        <v>2</v>
      </c>
      <c r="BP1" s="154">
        <v>3</v>
      </c>
      <c r="BQ1" s="168">
        <v>4</v>
      </c>
      <c r="BR1" s="154" t="str">
        <f>IF(MatchDay!$C$2="UPPER","A","")</f>
        <v/>
      </c>
      <c r="BS1" s="154" t="str">
        <f>IF(MatchDay!$C$2="UPPER","B","")</f>
        <v/>
      </c>
      <c r="BT1" s="168" t="str">
        <f>IF(MatchDay!$C$2="UPPER","C","")</f>
        <v/>
      </c>
      <c r="BU1" s="154" t="str">
        <f>IF(MatchDay!$C$2="UPPER","D","")</f>
        <v/>
      </c>
      <c r="BV1" s="172"/>
      <c r="CA1" s="188" t="str">
        <f>MatchDay!C16</f>
        <v>Middlesbrough AC (Mandale)</v>
      </c>
      <c r="CB1" s="174"/>
      <c r="CC1" s="163"/>
      <c r="CD1" s="174"/>
      <c r="CE1" s="154"/>
      <c r="CF1" s="174"/>
      <c r="CG1" s="163"/>
      <c r="CH1" s="174"/>
      <c r="CI1" s="154"/>
      <c r="CJ1" s="154">
        <f>MatchDay!B16</f>
        <v>4</v>
      </c>
      <c r="CK1" s="154">
        <f>CJ1*11</f>
        <v>44</v>
      </c>
      <c r="CL1" s="154" t="str">
        <f>IF(MatchDay!$C$2="UPPER",MatchDay!#REF!,"")</f>
        <v/>
      </c>
      <c r="CM1" s="174" t="str">
        <f>IF(MatchDay!$C$2="UPPER",CL1&amp;CL1,"")</f>
        <v/>
      </c>
      <c r="CN1" s="154">
        <v>1</v>
      </c>
      <c r="CO1" s="174">
        <v>2</v>
      </c>
      <c r="CP1" s="154">
        <v>3</v>
      </c>
      <c r="CQ1" s="174">
        <v>4</v>
      </c>
      <c r="CR1" s="154" t="str">
        <f>IF(MatchDay!$C$2="UPPER","A","")</f>
        <v/>
      </c>
      <c r="CS1" s="154" t="str">
        <f>IF(MatchDay!$C$2="UPPER","B","")</f>
        <v/>
      </c>
      <c r="CT1" s="174" t="str">
        <f>IF(MatchDay!$C$2="UPPER","C","")</f>
        <v/>
      </c>
      <c r="CU1" s="154" t="str">
        <f>IF(MatchDay!$C$2="UPPER","D","")</f>
        <v/>
      </c>
      <c r="CV1" s="178"/>
      <c r="DA1" s="188" t="str">
        <f>MatchDay!C17</f>
        <v>Scunthorpe &amp; District AC</v>
      </c>
      <c r="DB1" s="168"/>
      <c r="DC1" s="163"/>
      <c r="DD1" s="168"/>
      <c r="DE1" s="154"/>
      <c r="DF1" s="168"/>
      <c r="DG1" s="163"/>
      <c r="DH1" s="168"/>
      <c r="DI1" s="154"/>
      <c r="DJ1" s="154">
        <f>MatchDay!B17</f>
        <v>5</v>
      </c>
      <c r="DK1" s="154">
        <f>DJ1*11</f>
        <v>55</v>
      </c>
      <c r="DL1" s="154" t="str">
        <f>IF(MatchDay!$C$2="UPPER",MatchDay!#REF!,"")</f>
        <v/>
      </c>
      <c r="DM1" s="168" t="str">
        <f>IF(MatchDay!$C$2="UPPER",DL1&amp;DL1,"")</f>
        <v/>
      </c>
      <c r="DN1" s="154">
        <v>1</v>
      </c>
      <c r="DO1" s="168">
        <v>2</v>
      </c>
      <c r="DP1" s="154">
        <v>3</v>
      </c>
      <c r="DQ1" s="168">
        <v>4</v>
      </c>
      <c r="DR1" s="154" t="str">
        <f>IF(MatchDay!$C$2="UPPER","A","")</f>
        <v/>
      </c>
      <c r="DS1" s="154" t="str">
        <f>IF(MatchDay!$C$2="UPPER","B","")</f>
        <v/>
      </c>
      <c r="DT1" s="168" t="str">
        <f>IF(MatchDay!$C$2="UPPER","C","")</f>
        <v/>
      </c>
      <c r="DU1" s="154" t="str">
        <f>IF(MatchDay!$C$2="UPPER","D","")</f>
        <v/>
      </c>
      <c r="DV1" s="172"/>
      <c r="EA1" s="188" t="str">
        <f>MatchDay!C18</f>
        <v/>
      </c>
      <c r="EB1" s="174"/>
      <c r="EC1" s="163"/>
      <c r="ED1" s="174"/>
      <c r="EE1" s="154"/>
      <c r="EF1" s="174"/>
      <c r="EG1" s="163"/>
      <c r="EH1" s="174"/>
      <c r="EI1" s="154"/>
      <c r="EJ1" s="154" t="str">
        <f>MatchDay!B18</f>
        <v>-</v>
      </c>
      <c r="EK1" s="154" t="e">
        <f>EJ1*11</f>
        <v>#VALUE!</v>
      </c>
      <c r="EL1" s="154" t="str">
        <f>IF(MatchDay!$C$2="UPPER",MatchDay!#REF!,"")</f>
        <v/>
      </c>
      <c r="EM1" s="174" t="str">
        <f>IF(MatchDay!$C$2="UPPER",EL1&amp;EL1,"")</f>
        <v/>
      </c>
      <c r="EN1" s="154">
        <v>1</v>
      </c>
      <c r="EO1" s="174">
        <v>2</v>
      </c>
      <c r="EP1" s="154">
        <v>3</v>
      </c>
      <c r="EQ1" s="174">
        <v>4</v>
      </c>
      <c r="ER1" s="154" t="str">
        <f>IF(MatchDay!$C$2="UPPER","A","")</f>
        <v/>
      </c>
      <c r="ES1" s="154" t="str">
        <f>IF(MatchDay!$C$2="UPPER","B","")</f>
        <v/>
      </c>
      <c r="ET1" s="174" t="str">
        <f>IF(MatchDay!$C$2="UPPER","C","")</f>
        <v/>
      </c>
      <c r="EU1" s="154" t="str">
        <f>IF(MatchDay!$C$2="UPPER","D","")</f>
        <v/>
      </c>
      <c r="EV1" s="178"/>
      <c r="FA1" s="188" t="str">
        <f>MatchDay!C19</f>
        <v/>
      </c>
      <c r="FB1" s="168"/>
      <c r="FC1" s="163"/>
      <c r="FD1" s="168"/>
      <c r="FE1" s="154"/>
      <c r="FF1" s="168"/>
      <c r="FG1" s="163"/>
      <c r="FH1" s="168"/>
      <c r="FI1" s="154"/>
      <c r="FJ1" s="154" t="str">
        <f>MatchDay!B19</f>
        <v>-</v>
      </c>
      <c r="FK1" s="154" t="str">
        <f>IFERROR(FJ1*11,"-")</f>
        <v>-</v>
      </c>
      <c r="FL1" s="154" t="str">
        <f>IF(MatchDay!$C$2="UPPER",MatchDay!Q19,"")</f>
        <v/>
      </c>
      <c r="FM1" s="168" t="str">
        <f>IF(MatchDay!$C$2="UPPER",FL1&amp;FL1,"")</f>
        <v/>
      </c>
      <c r="FN1" s="154">
        <v>1</v>
      </c>
      <c r="FO1" s="168">
        <v>2</v>
      </c>
      <c r="FP1" s="154">
        <v>3</v>
      </c>
      <c r="FQ1" s="168">
        <v>4</v>
      </c>
      <c r="FR1" s="154" t="str">
        <f>IF(MatchDay!$C$2="UPPER","A","")</f>
        <v/>
      </c>
      <c r="FS1" s="154" t="str">
        <f>IF(MatchDay!$C$2="UPPER","B","")</f>
        <v/>
      </c>
      <c r="FT1" s="168" t="str">
        <f>IF(MatchDay!$C$2="UPPER","C","")</f>
        <v/>
      </c>
      <c r="FU1" s="154" t="str">
        <f>IF(MatchDay!$C$2="UPPER","D","")</f>
        <v/>
      </c>
      <c r="FV1" s="172"/>
      <c r="GA1" s="188" t="str">
        <f>MatchDay!C20</f>
        <v/>
      </c>
      <c r="GB1" s="174"/>
      <c r="GC1" s="163"/>
      <c r="GD1" s="174"/>
      <c r="GE1" s="154"/>
      <c r="GF1" s="174"/>
      <c r="GG1" s="163"/>
      <c r="GH1" s="174"/>
      <c r="GI1" s="154"/>
      <c r="GJ1" s="154" t="str">
        <f>MatchDay!B20</f>
        <v>-</v>
      </c>
      <c r="GK1" s="154" t="str">
        <f>IFERROR(GJ1*11,"-")</f>
        <v>-</v>
      </c>
      <c r="GL1" s="154" t="str">
        <f>IF(MatchDay!$C$2="UPPER",MatchDay!Q20,"")</f>
        <v/>
      </c>
      <c r="GM1" s="174" t="str">
        <f>IF(MatchDay!$C$2="UPPER",GL1&amp;GL1,"")</f>
        <v/>
      </c>
      <c r="GN1" s="154">
        <v>1</v>
      </c>
      <c r="GO1" s="174">
        <v>2</v>
      </c>
      <c r="GP1" s="154">
        <v>3</v>
      </c>
      <c r="GQ1" s="174">
        <v>4</v>
      </c>
      <c r="GR1" s="154" t="str">
        <f>IF(MatchDay!$C$2="UPPER","A","")</f>
        <v/>
      </c>
      <c r="GS1" s="154" t="str">
        <f>IF(MatchDay!$C$2="UPPER","B","")</f>
        <v/>
      </c>
      <c r="GT1" s="174" t="str">
        <f>IF(MatchDay!$C$2="UPPER","C","")</f>
        <v/>
      </c>
      <c r="GU1" s="154" t="str">
        <f>IF(MatchDay!$C$2="UPPER","D","")</f>
        <v/>
      </c>
      <c r="GV1" s="178"/>
    </row>
    <row r="2" spans="1:207" ht="90" customHeight="1" x14ac:dyDescent="0.45">
      <c r="A2" s="167">
        <f>MatchDay!B13</f>
        <v>1</v>
      </c>
      <c r="B2" s="169" t="s">
        <v>532</v>
      </c>
      <c r="C2" s="162" t="s">
        <v>535</v>
      </c>
      <c r="D2" s="169" t="s">
        <v>533</v>
      </c>
      <c r="E2" s="156" t="s">
        <v>531</v>
      </c>
      <c r="F2" s="169">
        <v>800</v>
      </c>
      <c r="G2" s="162" t="s">
        <v>536</v>
      </c>
      <c r="H2" s="169" t="s">
        <v>534</v>
      </c>
      <c r="I2" s="156" t="s">
        <v>526</v>
      </c>
      <c r="J2" s="156">
        <v>3000</v>
      </c>
      <c r="K2" s="156" t="s">
        <v>525</v>
      </c>
      <c r="L2" s="156" t="s">
        <v>527</v>
      </c>
      <c r="M2" s="169" t="s">
        <v>25</v>
      </c>
      <c r="N2" s="156" t="s">
        <v>21</v>
      </c>
      <c r="O2" s="169" t="s">
        <v>28</v>
      </c>
      <c r="P2" s="156" t="s">
        <v>24</v>
      </c>
      <c r="Q2" s="169" t="s">
        <v>22</v>
      </c>
      <c r="R2" s="156" t="s">
        <v>528</v>
      </c>
      <c r="S2" s="156" t="s">
        <v>23</v>
      </c>
      <c r="T2" s="169" t="s">
        <v>27</v>
      </c>
      <c r="U2" s="156" t="s">
        <v>529</v>
      </c>
      <c r="V2" s="173" t="s">
        <v>530</v>
      </c>
      <c r="AA2" s="167">
        <f>MatchDay!B14</f>
        <v>2</v>
      </c>
      <c r="AB2" s="175" t="s">
        <v>532</v>
      </c>
      <c r="AC2" s="162" t="s">
        <v>535</v>
      </c>
      <c r="AD2" s="175" t="s">
        <v>533</v>
      </c>
      <c r="AE2" s="156" t="s">
        <v>531</v>
      </c>
      <c r="AF2" s="175">
        <v>800</v>
      </c>
      <c r="AG2" s="162" t="s">
        <v>536</v>
      </c>
      <c r="AH2" s="175" t="s">
        <v>534</v>
      </c>
      <c r="AI2" s="156" t="s">
        <v>526</v>
      </c>
      <c r="AJ2" s="156">
        <v>3000</v>
      </c>
      <c r="AK2" s="156" t="s">
        <v>525</v>
      </c>
      <c r="AL2" s="156" t="s">
        <v>527</v>
      </c>
      <c r="AM2" s="175" t="s">
        <v>25</v>
      </c>
      <c r="AN2" s="156" t="s">
        <v>21</v>
      </c>
      <c r="AO2" s="175" t="s">
        <v>28</v>
      </c>
      <c r="AP2" s="156" t="s">
        <v>24</v>
      </c>
      <c r="AQ2" s="175" t="s">
        <v>22</v>
      </c>
      <c r="AR2" s="156" t="s">
        <v>528</v>
      </c>
      <c r="AS2" s="156" t="s">
        <v>23</v>
      </c>
      <c r="AT2" s="175" t="s">
        <v>27</v>
      </c>
      <c r="AU2" s="156" t="s">
        <v>529</v>
      </c>
      <c r="AV2" s="179" t="s">
        <v>530</v>
      </c>
      <c r="BA2" s="167">
        <f>MatchDay!B15</f>
        <v>3</v>
      </c>
      <c r="BB2" s="169" t="s">
        <v>532</v>
      </c>
      <c r="BC2" s="162" t="s">
        <v>535</v>
      </c>
      <c r="BD2" s="169" t="s">
        <v>533</v>
      </c>
      <c r="BE2" s="156" t="s">
        <v>531</v>
      </c>
      <c r="BF2" s="169">
        <v>800</v>
      </c>
      <c r="BG2" s="162" t="s">
        <v>536</v>
      </c>
      <c r="BH2" s="169" t="s">
        <v>534</v>
      </c>
      <c r="BI2" s="156" t="s">
        <v>526</v>
      </c>
      <c r="BJ2" s="156">
        <v>3000</v>
      </c>
      <c r="BK2" s="156" t="s">
        <v>525</v>
      </c>
      <c r="BL2" s="156" t="s">
        <v>527</v>
      </c>
      <c r="BM2" s="169" t="s">
        <v>25</v>
      </c>
      <c r="BN2" s="156" t="s">
        <v>21</v>
      </c>
      <c r="BO2" s="169" t="s">
        <v>28</v>
      </c>
      <c r="BP2" s="156" t="s">
        <v>24</v>
      </c>
      <c r="BQ2" s="169" t="s">
        <v>22</v>
      </c>
      <c r="BR2" s="156" t="s">
        <v>528</v>
      </c>
      <c r="BS2" s="156" t="s">
        <v>23</v>
      </c>
      <c r="BT2" s="169" t="s">
        <v>27</v>
      </c>
      <c r="BU2" s="156" t="s">
        <v>529</v>
      </c>
      <c r="BV2" s="173" t="s">
        <v>530</v>
      </c>
      <c r="CA2" s="167">
        <f>MatchDay!B16</f>
        <v>4</v>
      </c>
      <c r="CB2" s="175" t="s">
        <v>532</v>
      </c>
      <c r="CC2" s="162" t="s">
        <v>535</v>
      </c>
      <c r="CD2" s="175" t="s">
        <v>533</v>
      </c>
      <c r="CE2" s="156" t="s">
        <v>531</v>
      </c>
      <c r="CF2" s="175">
        <v>800</v>
      </c>
      <c r="CG2" s="162" t="s">
        <v>536</v>
      </c>
      <c r="CH2" s="175" t="s">
        <v>534</v>
      </c>
      <c r="CI2" s="156" t="s">
        <v>526</v>
      </c>
      <c r="CJ2" s="156">
        <v>3000</v>
      </c>
      <c r="CK2" s="156" t="s">
        <v>525</v>
      </c>
      <c r="CL2" s="156" t="s">
        <v>527</v>
      </c>
      <c r="CM2" s="175" t="s">
        <v>25</v>
      </c>
      <c r="CN2" s="156" t="s">
        <v>21</v>
      </c>
      <c r="CO2" s="175" t="s">
        <v>28</v>
      </c>
      <c r="CP2" s="156" t="s">
        <v>24</v>
      </c>
      <c r="CQ2" s="175" t="s">
        <v>22</v>
      </c>
      <c r="CR2" s="156" t="s">
        <v>528</v>
      </c>
      <c r="CS2" s="156" t="s">
        <v>23</v>
      </c>
      <c r="CT2" s="175" t="s">
        <v>27</v>
      </c>
      <c r="CU2" s="156" t="s">
        <v>529</v>
      </c>
      <c r="CV2" s="179" t="s">
        <v>530</v>
      </c>
      <c r="DA2" s="167">
        <f>MatchDay!B17</f>
        <v>5</v>
      </c>
      <c r="DB2" s="169" t="s">
        <v>532</v>
      </c>
      <c r="DC2" s="162" t="s">
        <v>535</v>
      </c>
      <c r="DD2" s="169" t="s">
        <v>533</v>
      </c>
      <c r="DE2" s="156" t="s">
        <v>531</v>
      </c>
      <c r="DF2" s="169">
        <v>800</v>
      </c>
      <c r="DG2" s="162" t="s">
        <v>536</v>
      </c>
      <c r="DH2" s="169" t="s">
        <v>534</v>
      </c>
      <c r="DI2" s="156" t="s">
        <v>526</v>
      </c>
      <c r="DJ2" s="156">
        <v>3000</v>
      </c>
      <c r="DK2" s="156" t="s">
        <v>525</v>
      </c>
      <c r="DL2" s="156" t="s">
        <v>527</v>
      </c>
      <c r="DM2" s="169" t="s">
        <v>25</v>
      </c>
      <c r="DN2" s="156" t="s">
        <v>21</v>
      </c>
      <c r="DO2" s="169" t="s">
        <v>28</v>
      </c>
      <c r="DP2" s="156" t="s">
        <v>24</v>
      </c>
      <c r="DQ2" s="169" t="s">
        <v>22</v>
      </c>
      <c r="DR2" s="156" t="s">
        <v>528</v>
      </c>
      <c r="DS2" s="156" t="s">
        <v>23</v>
      </c>
      <c r="DT2" s="169" t="s">
        <v>27</v>
      </c>
      <c r="DU2" s="156" t="s">
        <v>529</v>
      </c>
      <c r="DV2" s="173" t="s">
        <v>530</v>
      </c>
      <c r="EA2" s="167" t="str">
        <f>MatchDay!B18</f>
        <v>-</v>
      </c>
      <c r="EB2" s="175" t="s">
        <v>532</v>
      </c>
      <c r="EC2" s="162" t="s">
        <v>535</v>
      </c>
      <c r="ED2" s="175" t="s">
        <v>533</v>
      </c>
      <c r="EE2" s="156" t="s">
        <v>531</v>
      </c>
      <c r="EF2" s="175">
        <v>800</v>
      </c>
      <c r="EG2" s="162" t="s">
        <v>536</v>
      </c>
      <c r="EH2" s="175" t="s">
        <v>534</v>
      </c>
      <c r="EI2" s="156" t="s">
        <v>526</v>
      </c>
      <c r="EJ2" s="156">
        <v>3000</v>
      </c>
      <c r="EK2" s="156" t="s">
        <v>525</v>
      </c>
      <c r="EL2" s="156" t="s">
        <v>527</v>
      </c>
      <c r="EM2" s="175" t="s">
        <v>25</v>
      </c>
      <c r="EN2" s="156" t="s">
        <v>21</v>
      </c>
      <c r="EO2" s="175" t="s">
        <v>28</v>
      </c>
      <c r="EP2" s="156" t="s">
        <v>24</v>
      </c>
      <c r="EQ2" s="175" t="s">
        <v>22</v>
      </c>
      <c r="ER2" s="156" t="s">
        <v>528</v>
      </c>
      <c r="ES2" s="156" t="s">
        <v>23</v>
      </c>
      <c r="ET2" s="175" t="s">
        <v>27</v>
      </c>
      <c r="EU2" s="156" t="s">
        <v>529</v>
      </c>
      <c r="EV2" s="179" t="s">
        <v>530</v>
      </c>
      <c r="FA2" s="167" t="str">
        <f>MatchDay!B19</f>
        <v>-</v>
      </c>
      <c r="FB2" s="169" t="s">
        <v>532</v>
      </c>
      <c r="FC2" s="162" t="s">
        <v>535</v>
      </c>
      <c r="FD2" s="169" t="s">
        <v>533</v>
      </c>
      <c r="FE2" s="156" t="s">
        <v>531</v>
      </c>
      <c r="FF2" s="169">
        <v>800</v>
      </c>
      <c r="FG2" s="162" t="s">
        <v>536</v>
      </c>
      <c r="FH2" s="169" t="s">
        <v>534</v>
      </c>
      <c r="FI2" s="156" t="s">
        <v>526</v>
      </c>
      <c r="FJ2" s="156">
        <v>3000</v>
      </c>
      <c r="FK2" s="156" t="s">
        <v>525</v>
      </c>
      <c r="FL2" s="156" t="s">
        <v>527</v>
      </c>
      <c r="FM2" s="169" t="s">
        <v>25</v>
      </c>
      <c r="FN2" s="156" t="s">
        <v>21</v>
      </c>
      <c r="FO2" s="169" t="s">
        <v>28</v>
      </c>
      <c r="FP2" s="156" t="s">
        <v>24</v>
      </c>
      <c r="FQ2" s="169" t="s">
        <v>22</v>
      </c>
      <c r="FR2" s="156" t="s">
        <v>528</v>
      </c>
      <c r="FS2" s="156" t="s">
        <v>23</v>
      </c>
      <c r="FT2" s="169" t="s">
        <v>27</v>
      </c>
      <c r="FU2" s="156" t="s">
        <v>529</v>
      </c>
      <c r="FV2" s="173" t="s">
        <v>530</v>
      </c>
      <c r="GA2" s="167" t="str">
        <f>MatchDay!B20</f>
        <v>-</v>
      </c>
      <c r="GB2" s="175" t="s">
        <v>532</v>
      </c>
      <c r="GC2" s="162" t="s">
        <v>535</v>
      </c>
      <c r="GD2" s="175" t="s">
        <v>533</v>
      </c>
      <c r="GE2" s="156" t="s">
        <v>531</v>
      </c>
      <c r="GF2" s="175">
        <v>800</v>
      </c>
      <c r="GG2" s="162" t="s">
        <v>536</v>
      </c>
      <c r="GH2" s="175" t="s">
        <v>534</v>
      </c>
      <c r="GI2" s="156" t="s">
        <v>526</v>
      </c>
      <c r="GJ2" s="156">
        <v>3000</v>
      </c>
      <c r="GK2" s="156" t="s">
        <v>525</v>
      </c>
      <c r="GL2" s="156" t="s">
        <v>527</v>
      </c>
      <c r="GM2" s="175" t="s">
        <v>25</v>
      </c>
      <c r="GN2" s="156" t="s">
        <v>21</v>
      </c>
      <c r="GO2" s="175" t="s">
        <v>28</v>
      </c>
      <c r="GP2" s="156" t="s">
        <v>24</v>
      </c>
      <c r="GQ2" s="175" t="s">
        <v>22</v>
      </c>
      <c r="GR2" s="156" t="s">
        <v>528</v>
      </c>
      <c r="GS2" s="156" t="s">
        <v>23</v>
      </c>
      <c r="GT2" s="175" t="s">
        <v>27</v>
      </c>
      <c r="GU2" s="156" t="s">
        <v>529</v>
      </c>
      <c r="GV2" s="179" t="s">
        <v>530</v>
      </c>
    </row>
    <row r="3" spans="1:207" ht="16.5" customHeight="1" x14ac:dyDescent="0.45">
      <c r="A3" s="161" t="s">
        <v>9</v>
      </c>
      <c r="B3" s="170"/>
      <c r="C3" s="164"/>
      <c r="D3" s="170"/>
      <c r="E3" s="160"/>
      <c r="F3" s="170"/>
      <c r="G3" s="164"/>
      <c r="H3" s="170"/>
      <c r="I3" s="160"/>
      <c r="J3" s="160"/>
      <c r="K3" s="160"/>
      <c r="L3" s="160"/>
      <c r="M3" s="170"/>
      <c r="N3" s="160"/>
      <c r="O3" s="170"/>
      <c r="P3" s="160"/>
      <c r="Q3" s="170"/>
      <c r="R3" s="160"/>
      <c r="S3" s="160"/>
      <c r="T3" s="170"/>
      <c r="U3" s="160"/>
      <c r="V3" s="170"/>
      <c r="AA3" s="161" t="s">
        <v>9</v>
      </c>
      <c r="AB3" s="176"/>
      <c r="AC3" s="164"/>
      <c r="AD3" s="176"/>
      <c r="AE3" s="160"/>
      <c r="AF3" s="176"/>
      <c r="AG3" s="164"/>
      <c r="AH3" s="176"/>
      <c r="AI3" s="160"/>
      <c r="AJ3" s="160"/>
      <c r="AK3" s="160"/>
      <c r="AL3" s="160"/>
      <c r="AM3" s="176"/>
      <c r="AN3" s="160"/>
      <c r="AO3" s="176"/>
      <c r="AP3" s="160"/>
      <c r="AQ3" s="176"/>
      <c r="AR3" s="160"/>
      <c r="AS3" s="160"/>
      <c r="AT3" s="176"/>
      <c r="AU3" s="160"/>
      <c r="AV3" s="176"/>
      <c r="BA3" s="161" t="s">
        <v>9</v>
      </c>
      <c r="BB3" s="170"/>
      <c r="BC3" s="164"/>
      <c r="BD3" s="170"/>
      <c r="BE3" s="160"/>
      <c r="BF3" s="170"/>
      <c r="BG3" s="164"/>
      <c r="BH3" s="170"/>
      <c r="BI3" s="160"/>
      <c r="BJ3" s="160"/>
      <c r="BK3" s="160"/>
      <c r="BL3" s="160"/>
      <c r="BM3" s="170"/>
      <c r="BN3" s="160"/>
      <c r="BO3" s="170"/>
      <c r="BP3" s="160"/>
      <c r="BQ3" s="170"/>
      <c r="BR3" s="160"/>
      <c r="BS3" s="160"/>
      <c r="BT3" s="170"/>
      <c r="BU3" s="160"/>
      <c r="BV3" s="170"/>
      <c r="CA3" s="161" t="s">
        <v>9</v>
      </c>
      <c r="CB3" s="176"/>
      <c r="CC3" s="164"/>
      <c r="CD3" s="176"/>
      <c r="CE3" s="160"/>
      <c r="CF3" s="176"/>
      <c r="CG3" s="164"/>
      <c r="CH3" s="176"/>
      <c r="CI3" s="160"/>
      <c r="CJ3" s="160"/>
      <c r="CK3" s="160"/>
      <c r="CL3" s="160"/>
      <c r="CM3" s="176"/>
      <c r="CN3" s="160"/>
      <c r="CO3" s="176"/>
      <c r="CP3" s="160"/>
      <c r="CQ3" s="176"/>
      <c r="CR3" s="160"/>
      <c r="CS3" s="160"/>
      <c r="CT3" s="176"/>
      <c r="CU3" s="160"/>
      <c r="CV3" s="176"/>
      <c r="DA3" s="161" t="s">
        <v>9</v>
      </c>
      <c r="DB3" s="170"/>
      <c r="DC3" s="164"/>
      <c r="DD3" s="170"/>
      <c r="DE3" s="160"/>
      <c r="DF3" s="170"/>
      <c r="DG3" s="164"/>
      <c r="DH3" s="170"/>
      <c r="DI3" s="160"/>
      <c r="DJ3" s="160"/>
      <c r="DK3" s="160"/>
      <c r="DL3" s="160"/>
      <c r="DM3" s="170"/>
      <c r="DN3" s="160"/>
      <c r="DO3" s="170"/>
      <c r="DP3" s="160"/>
      <c r="DQ3" s="170"/>
      <c r="DR3" s="160"/>
      <c r="DS3" s="160"/>
      <c r="DT3" s="170"/>
      <c r="DU3" s="160"/>
      <c r="DV3" s="170"/>
      <c r="EA3" s="161" t="s">
        <v>9</v>
      </c>
      <c r="EB3" s="176"/>
      <c r="EC3" s="164"/>
      <c r="ED3" s="176"/>
      <c r="EE3" s="160"/>
      <c r="EF3" s="176"/>
      <c r="EG3" s="164"/>
      <c r="EH3" s="176"/>
      <c r="EI3" s="160"/>
      <c r="EJ3" s="160"/>
      <c r="EK3" s="160"/>
      <c r="EL3" s="160"/>
      <c r="EM3" s="176"/>
      <c r="EN3" s="160"/>
      <c r="EO3" s="176"/>
      <c r="EP3" s="160"/>
      <c r="EQ3" s="176"/>
      <c r="ER3" s="160"/>
      <c r="ES3" s="160"/>
      <c r="ET3" s="176"/>
      <c r="EU3" s="160"/>
      <c r="EV3" s="176"/>
      <c r="FA3" s="161" t="s">
        <v>9</v>
      </c>
      <c r="FB3" s="170"/>
      <c r="FC3" s="164"/>
      <c r="FD3" s="170"/>
      <c r="FE3" s="160"/>
      <c r="FF3" s="170"/>
      <c r="FG3" s="164"/>
      <c r="FH3" s="170"/>
      <c r="FI3" s="160"/>
      <c r="FJ3" s="160"/>
      <c r="FK3" s="160"/>
      <c r="FL3" s="160"/>
      <c r="FM3" s="170"/>
      <c r="FN3" s="160"/>
      <c r="FO3" s="170"/>
      <c r="FP3" s="160"/>
      <c r="FQ3" s="170"/>
      <c r="FR3" s="160"/>
      <c r="FS3" s="160"/>
      <c r="FT3" s="170"/>
      <c r="FU3" s="160"/>
      <c r="FV3" s="170"/>
      <c r="GA3" s="161" t="s">
        <v>9</v>
      </c>
      <c r="GB3" s="176"/>
      <c r="GC3" s="164"/>
      <c r="GD3" s="176"/>
      <c r="GE3" s="160"/>
      <c r="GF3" s="176"/>
      <c r="GG3" s="164"/>
      <c r="GH3" s="176"/>
      <c r="GI3" s="160"/>
      <c r="GJ3" s="160"/>
      <c r="GK3" s="160"/>
      <c r="GL3" s="160"/>
      <c r="GM3" s="176"/>
      <c r="GN3" s="160"/>
      <c r="GO3" s="176"/>
      <c r="GP3" s="160"/>
      <c r="GQ3" s="176"/>
      <c r="GR3" s="160"/>
      <c r="GS3" s="160"/>
      <c r="GT3" s="176"/>
      <c r="GU3" s="160"/>
      <c r="GV3" s="176"/>
    </row>
    <row r="4" spans="1:207" ht="16.5" customHeight="1" x14ac:dyDescent="0.45">
      <c r="A4" s="157" t="s">
        <v>916</v>
      </c>
      <c r="B4" s="171"/>
      <c r="C4" s="165"/>
      <c r="D4" s="171"/>
      <c r="E4" s="158"/>
      <c r="F4" s="171"/>
      <c r="G4" s="165"/>
      <c r="H4" s="171"/>
      <c r="I4" s="158"/>
      <c r="J4" s="180"/>
      <c r="K4" s="180"/>
      <c r="L4" s="180"/>
      <c r="M4" s="171"/>
      <c r="N4" s="158"/>
      <c r="O4" s="171"/>
      <c r="P4" s="158"/>
      <c r="Q4" s="171"/>
      <c r="R4" s="180"/>
      <c r="S4" s="158"/>
      <c r="T4" s="171"/>
      <c r="U4" s="158"/>
      <c r="V4" s="171"/>
      <c r="W4" s="155">
        <f t="shared" ref="W4:W67" si="0">COUNTA(B4:T4)</f>
        <v>0</v>
      </c>
      <c r="X4" s="155">
        <f t="shared" ref="X4:X67" si="1">COUNTA(U4:V4)</f>
        <v>0</v>
      </c>
      <c r="Y4" s="155">
        <f>IF(MatchDay!$C$2="LOWER",COUNTA(F4:H4),0)</f>
        <v>0</v>
      </c>
      <c r="AA4" s="157" t="s">
        <v>916</v>
      </c>
      <c r="AB4" s="177"/>
      <c r="AC4" s="165"/>
      <c r="AD4" s="177"/>
      <c r="AE4" s="158"/>
      <c r="AF4" s="177"/>
      <c r="AG4" s="165"/>
      <c r="AH4" s="177"/>
      <c r="AI4" s="158"/>
      <c r="AJ4" s="180"/>
      <c r="AK4" s="180"/>
      <c r="AL4" s="180"/>
      <c r="AM4" s="177"/>
      <c r="AN4" s="158"/>
      <c r="AO4" s="177"/>
      <c r="AP4" s="158"/>
      <c r="AQ4" s="177"/>
      <c r="AR4" s="180"/>
      <c r="AS4" s="158"/>
      <c r="AT4" s="177"/>
      <c r="AU4" s="158"/>
      <c r="AV4" s="177"/>
      <c r="AW4" s="155">
        <f t="shared" ref="AW4:AW67" si="2">COUNTA(AB4:AT4)</f>
        <v>0</v>
      </c>
      <c r="AX4" s="155">
        <f t="shared" ref="AX4:AX67" si="3">COUNTA(AU4:AV4)</f>
        <v>0</v>
      </c>
      <c r="AY4" s="155">
        <f>IF(MatchDay!$C$2="LOWER",COUNTA(AF4:AH4),0)</f>
        <v>0</v>
      </c>
      <c r="BA4" s="157" t="s">
        <v>916</v>
      </c>
      <c r="BB4" s="171"/>
      <c r="BC4" s="165"/>
      <c r="BD4" s="171"/>
      <c r="BE4" s="158"/>
      <c r="BF4" s="171"/>
      <c r="BG4" s="165"/>
      <c r="BH4" s="171"/>
      <c r="BI4" s="158"/>
      <c r="BJ4" s="180"/>
      <c r="BK4" s="180"/>
      <c r="BL4" s="180"/>
      <c r="BM4" s="171"/>
      <c r="BN4" s="158"/>
      <c r="BO4" s="171"/>
      <c r="BP4" s="158"/>
      <c r="BQ4" s="171"/>
      <c r="BR4" s="180"/>
      <c r="BS4" s="158"/>
      <c r="BT4" s="171"/>
      <c r="BU4" s="158"/>
      <c r="BV4" s="171"/>
      <c r="BW4" s="155">
        <f t="shared" ref="BW4:BW67" si="4">COUNTA(BB4:BT4)</f>
        <v>0</v>
      </c>
      <c r="BX4" s="155">
        <f t="shared" ref="BX4:BX67" si="5">COUNTA(BU4:BV4)</f>
        <v>0</v>
      </c>
      <c r="BY4" s="155">
        <f>IF(MatchDay!$C$2="LOWER",COUNTA(BF4:BH4),0)</f>
        <v>0</v>
      </c>
      <c r="CA4" s="157" t="s">
        <v>916</v>
      </c>
      <c r="CB4" s="177"/>
      <c r="CC4" s="165"/>
      <c r="CD4" s="177"/>
      <c r="CE4" s="158"/>
      <c r="CF4" s="177"/>
      <c r="CG4" s="165"/>
      <c r="CH4" s="177"/>
      <c r="CI4" s="158"/>
      <c r="CJ4" s="180"/>
      <c r="CK4" s="180"/>
      <c r="CL4" s="180"/>
      <c r="CM4" s="177"/>
      <c r="CN4" s="158"/>
      <c r="CO4" s="177"/>
      <c r="CP4" s="158"/>
      <c r="CQ4" s="177"/>
      <c r="CR4" s="180"/>
      <c r="CS4" s="158"/>
      <c r="CT4" s="177"/>
      <c r="CU4" s="158"/>
      <c r="CV4" s="177"/>
      <c r="CW4" s="155">
        <f t="shared" ref="CW4:CW67" si="6">COUNTA(CB4:CT4)</f>
        <v>0</v>
      </c>
      <c r="CX4" s="155">
        <f t="shared" ref="CX4:CX67" si="7">COUNTA(CU4:CV4)</f>
        <v>0</v>
      </c>
      <c r="CY4" s="155">
        <f>IF(MatchDay!$C$2="LOWER",COUNTA(CF4:CH4),0)</f>
        <v>0</v>
      </c>
      <c r="DA4" s="157" t="s">
        <v>916</v>
      </c>
      <c r="DB4" s="171"/>
      <c r="DC4" s="165"/>
      <c r="DD4" s="171"/>
      <c r="DE4" s="158"/>
      <c r="DF4" s="171"/>
      <c r="DG4" s="165"/>
      <c r="DH4" s="171"/>
      <c r="DI4" s="158"/>
      <c r="DJ4" s="180"/>
      <c r="DK4" s="180"/>
      <c r="DL4" s="180"/>
      <c r="DM4" s="171"/>
      <c r="DN4" s="158"/>
      <c r="DO4" s="171"/>
      <c r="DP4" s="158"/>
      <c r="DQ4" s="171"/>
      <c r="DR4" s="180"/>
      <c r="DS4" s="158"/>
      <c r="DT4" s="171"/>
      <c r="DU4" s="158"/>
      <c r="DV4" s="171"/>
      <c r="DW4" s="155">
        <f t="shared" ref="DW4:DW67" si="8">COUNTA(DB4:DT4)</f>
        <v>0</v>
      </c>
      <c r="DX4" s="155">
        <f t="shared" ref="DX4:DX67" si="9">COUNTA(DU4:DV4)</f>
        <v>0</v>
      </c>
      <c r="DY4" s="155">
        <f>IF(MatchDay!$C$2="LOWER",COUNTA(DF4:DH4),0)</f>
        <v>0</v>
      </c>
      <c r="EA4" s="157" t="s">
        <v>916</v>
      </c>
      <c r="EB4" s="177"/>
      <c r="EC4" s="165"/>
      <c r="ED4" s="177"/>
      <c r="EE4" s="158"/>
      <c r="EF4" s="177"/>
      <c r="EG4" s="165"/>
      <c r="EH4" s="177"/>
      <c r="EI4" s="158"/>
      <c r="EJ4" s="180"/>
      <c r="EK4" s="180"/>
      <c r="EL4" s="180"/>
      <c r="EM4" s="177"/>
      <c r="EN4" s="158"/>
      <c r="EO4" s="177"/>
      <c r="EP4" s="158"/>
      <c r="EQ4" s="177"/>
      <c r="ER4" s="180"/>
      <c r="ES4" s="158"/>
      <c r="ET4" s="177"/>
      <c r="EU4" s="158"/>
      <c r="EV4" s="177"/>
      <c r="EW4" s="155">
        <f t="shared" ref="EW4:EW67" si="10">COUNTA(EB4:ET4)</f>
        <v>0</v>
      </c>
      <c r="EX4" s="155">
        <f t="shared" ref="EX4:EX67" si="11">COUNTA(EU4:EV4)</f>
        <v>0</v>
      </c>
      <c r="EY4" s="155">
        <f>IF(MatchDay!$C$2="LOWER",COUNTA(EF4:EH4),0)</f>
        <v>0</v>
      </c>
      <c r="FA4" s="157" t="s">
        <v>916</v>
      </c>
      <c r="FB4" s="171"/>
      <c r="FC4" s="165"/>
      <c r="FD4" s="171"/>
      <c r="FE4" s="158"/>
      <c r="FF4" s="171"/>
      <c r="FG4" s="165"/>
      <c r="FH4" s="171"/>
      <c r="FI4" s="158"/>
      <c r="FJ4" s="180"/>
      <c r="FK4" s="180"/>
      <c r="FL4" s="180"/>
      <c r="FM4" s="171"/>
      <c r="FN4" s="158"/>
      <c r="FO4" s="171"/>
      <c r="FP4" s="158"/>
      <c r="FQ4" s="171"/>
      <c r="FR4" s="180"/>
      <c r="FS4" s="158"/>
      <c r="FT4" s="171"/>
      <c r="FU4" s="158"/>
      <c r="FV4" s="171"/>
      <c r="FW4" s="155">
        <f t="shared" ref="FW4:FW67" si="12">COUNTA(FB4:FT4)</f>
        <v>0</v>
      </c>
      <c r="FX4" s="155">
        <f t="shared" ref="FX4:FX67" si="13">COUNTA(FU4:FV4)</f>
        <v>0</v>
      </c>
      <c r="FY4" s="155">
        <f>IF(MatchDay!$C$2="LOWER",COUNTA(FF4:FH4),0)</f>
        <v>0</v>
      </c>
      <c r="GA4" s="157" t="s">
        <v>916</v>
      </c>
      <c r="GB4" s="177"/>
      <c r="GC4" s="165"/>
      <c r="GD4" s="177"/>
      <c r="GE4" s="158"/>
      <c r="GF4" s="177"/>
      <c r="GG4" s="165"/>
      <c r="GH4" s="177"/>
      <c r="GI4" s="158"/>
      <c r="GJ4" s="180"/>
      <c r="GK4" s="180"/>
      <c r="GL4" s="180"/>
      <c r="GM4" s="177"/>
      <c r="GN4" s="158"/>
      <c r="GO4" s="177"/>
      <c r="GP4" s="158"/>
      <c r="GQ4" s="177"/>
      <c r="GR4" s="180"/>
      <c r="GS4" s="158"/>
      <c r="GT4" s="177"/>
      <c r="GU4" s="158"/>
      <c r="GV4" s="177"/>
      <c r="GW4" s="155">
        <f t="shared" ref="GW4:GW67" si="14">COUNTA(GB4:GT4)</f>
        <v>0</v>
      </c>
      <c r="GX4" s="155">
        <f t="shared" ref="GX4:GX67" si="15">COUNTA(GU4:GV4)</f>
        <v>0</v>
      </c>
      <c r="GY4" s="155">
        <f>IF(MatchDay!$C$2="LOWER",COUNTA(GF4:GH4),0)</f>
        <v>0</v>
      </c>
    </row>
    <row r="5" spans="1:207" ht="16.5" customHeight="1" x14ac:dyDescent="0.45">
      <c r="A5" s="157" t="s">
        <v>912</v>
      </c>
      <c r="B5" s="171"/>
      <c r="C5" s="165"/>
      <c r="D5" s="171"/>
      <c r="E5" s="158"/>
      <c r="F5" s="171"/>
      <c r="G5" s="165"/>
      <c r="H5" s="171"/>
      <c r="I5" s="158"/>
      <c r="J5" s="180"/>
      <c r="K5" s="180"/>
      <c r="L5" s="180"/>
      <c r="M5" s="171"/>
      <c r="N5" s="158"/>
      <c r="O5" s="171"/>
      <c r="P5" s="158"/>
      <c r="Q5" s="171"/>
      <c r="R5" s="180"/>
      <c r="S5" s="158"/>
      <c r="T5" s="171"/>
      <c r="U5" s="158"/>
      <c r="V5" s="171"/>
      <c r="W5" s="155">
        <f t="shared" si="0"/>
        <v>0</v>
      </c>
      <c r="X5" s="155">
        <f t="shared" si="1"/>
        <v>0</v>
      </c>
      <c r="Y5" s="155">
        <f>IF(MatchDay!$C$2="LOWER",COUNTA(F5:H5),0)</f>
        <v>0</v>
      </c>
      <c r="AA5" s="157" t="s">
        <v>912</v>
      </c>
      <c r="AB5" s="177"/>
      <c r="AC5" s="165"/>
      <c r="AD5" s="177"/>
      <c r="AE5" s="158"/>
      <c r="AF5" s="177"/>
      <c r="AG5" s="165"/>
      <c r="AH5" s="177"/>
      <c r="AI5" s="158"/>
      <c r="AJ5" s="180"/>
      <c r="AK5" s="180"/>
      <c r="AL5" s="180"/>
      <c r="AM5" s="177"/>
      <c r="AN5" s="158"/>
      <c r="AO5" s="177"/>
      <c r="AP5" s="158"/>
      <c r="AQ5" s="177"/>
      <c r="AR5" s="180"/>
      <c r="AS5" s="158"/>
      <c r="AT5" s="177"/>
      <c r="AU5" s="158"/>
      <c r="AV5" s="177"/>
      <c r="AW5" s="155">
        <f t="shared" si="2"/>
        <v>0</v>
      </c>
      <c r="AX5" s="155">
        <f t="shared" si="3"/>
        <v>0</v>
      </c>
      <c r="AY5" s="155">
        <f>IF(MatchDay!$C$2="LOWER",COUNTA(AF5:AH5),0)</f>
        <v>0</v>
      </c>
      <c r="BA5" s="157" t="s">
        <v>912</v>
      </c>
      <c r="BB5" s="171"/>
      <c r="BC5" s="165"/>
      <c r="BD5" s="171"/>
      <c r="BE5" s="158"/>
      <c r="BF5" s="171"/>
      <c r="BG5" s="165"/>
      <c r="BH5" s="171"/>
      <c r="BI5" s="158"/>
      <c r="BJ5" s="180"/>
      <c r="BK5" s="180"/>
      <c r="BL5" s="180"/>
      <c r="BM5" s="171"/>
      <c r="BN5" s="158"/>
      <c r="BO5" s="171"/>
      <c r="BP5" s="158"/>
      <c r="BQ5" s="171"/>
      <c r="BR5" s="180"/>
      <c r="BS5" s="158"/>
      <c r="BT5" s="171"/>
      <c r="BU5" s="158"/>
      <c r="BV5" s="171"/>
      <c r="BW5" s="155">
        <f t="shared" si="4"/>
        <v>0</v>
      </c>
      <c r="BX5" s="155">
        <f t="shared" si="5"/>
        <v>0</v>
      </c>
      <c r="BY5" s="155">
        <f>IF(MatchDay!$C$2="LOWER",COUNTA(BF5:BH5),0)</f>
        <v>0</v>
      </c>
      <c r="CA5" s="157" t="s">
        <v>912</v>
      </c>
      <c r="CB5" s="177"/>
      <c r="CC5" s="165"/>
      <c r="CD5" s="177"/>
      <c r="CE5" s="158"/>
      <c r="CF5" s="177"/>
      <c r="CG5" s="165"/>
      <c r="CH5" s="177"/>
      <c r="CI5" s="158"/>
      <c r="CJ5" s="180"/>
      <c r="CK5" s="180"/>
      <c r="CL5" s="180"/>
      <c r="CM5" s="177"/>
      <c r="CN5" s="158"/>
      <c r="CO5" s="177"/>
      <c r="CP5" s="158"/>
      <c r="CQ5" s="177"/>
      <c r="CR5" s="180"/>
      <c r="CS5" s="158"/>
      <c r="CT5" s="177"/>
      <c r="CU5" s="158"/>
      <c r="CV5" s="177"/>
      <c r="CW5" s="155">
        <f t="shared" si="6"/>
        <v>0</v>
      </c>
      <c r="CX5" s="155">
        <f t="shared" si="7"/>
        <v>0</v>
      </c>
      <c r="CY5" s="155">
        <f>IF(MatchDay!$C$2="LOWER",COUNTA(CF5:CH5),0)</f>
        <v>0</v>
      </c>
      <c r="DA5" s="157" t="s">
        <v>912</v>
      </c>
      <c r="DB5" s="171"/>
      <c r="DC5" s="165"/>
      <c r="DD5" s="171"/>
      <c r="DE5" s="158"/>
      <c r="DF5" s="171"/>
      <c r="DG5" s="165"/>
      <c r="DH5" s="171"/>
      <c r="DI5" s="158"/>
      <c r="DJ5" s="180"/>
      <c r="DK5" s="180"/>
      <c r="DL5" s="180"/>
      <c r="DM5" s="171"/>
      <c r="DN5" s="158"/>
      <c r="DO5" s="171"/>
      <c r="DP5" s="158"/>
      <c r="DQ5" s="171"/>
      <c r="DR5" s="180"/>
      <c r="DS5" s="158"/>
      <c r="DT5" s="171"/>
      <c r="DU5" s="158"/>
      <c r="DV5" s="171"/>
      <c r="DW5" s="155">
        <f t="shared" si="8"/>
        <v>0</v>
      </c>
      <c r="DX5" s="155">
        <f t="shared" si="9"/>
        <v>0</v>
      </c>
      <c r="DY5" s="155">
        <f>IF(MatchDay!$C$2="LOWER",COUNTA(DF5:DH5),0)</f>
        <v>0</v>
      </c>
      <c r="EA5" s="157" t="s">
        <v>912</v>
      </c>
      <c r="EB5" s="177"/>
      <c r="EC5" s="165"/>
      <c r="ED5" s="177"/>
      <c r="EE5" s="158"/>
      <c r="EF5" s="177"/>
      <c r="EG5" s="165"/>
      <c r="EH5" s="177"/>
      <c r="EI5" s="158"/>
      <c r="EJ5" s="180"/>
      <c r="EK5" s="180"/>
      <c r="EL5" s="180"/>
      <c r="EM5" s="177"/>
      <c r="EN5" s="158"/>
      <c r="EO5" s="177"/>
      <c r="EP5" s="158"/>
      <c r="EQ5" s="177"/>
      <c r="ER5" s="180"/>
      <c r="ES5" s="158"/>
      <c r="ET5" s="177"/>
      <c r="EU5" s="158"/>
      <c r="EV5" s="177"/>
      <c r="EW5" s="155">
        <f t="shared" si="10"/>
        <v>0</v>
      </c>
      <c r="EX5" s="155">
        <f t="shared" si="11"/>
        <v>0</v>
      </c>
      <c r="EY5" s="155">
        <f>IF(MatchDay!$C$2="LOWER",COUNTA(EF5:EH5),0)</f>
        <v>0</v>
      </c>
      <c r="FA5" s="157" t="s">
        <v>912</v>
      </c>
      <c r="FB5" s="171"/>
      <c r="FC5" s="165"/>
      <c r="FD5" s="171"/>
      <c r="FE5" s="158"/>
      <c r="FF5" s="171"/>
      <c r="FG5" s="165"/>
      <c r="FH5" s="171"/>
      <c r="FI5" s="158"/>
      <c r="FJ5" s="180"/>
      <c r="FK5" s="180"/>
      <c r="FL5" s="180"/>
      <c r="FM5" s="171"/>
      <c r="FN5" s="158"/>
      <c r="FO5" s="171"/>
      <c r="FP5" s="158"/>
      <c r="FQ5" s="171"/>
      <c r="FR5" s="180"/>
      <c r="FS5" s="158"/>
      <c r="FT5" s="171"/>
      <c r="FU5" s="158"/>
      <c r="FV5" s="171"/>
      <c r="FW5" s="155">
        <f t="shared" si="12"/>
        <v>0</v>
      </c>
      <c r="FX5" s="155">
        <f t="shared" si="13"/>
        <v>0</v>
      </c>
      <c r="FY5" s="155">
        <f>IF(MatchDay!$C$2="LOWER",COUNTA(FF5:FH5),0)</f>
        <v>0</v>
      </c>
      <c r="GA5" s="157" t="s">
        <v>912</v>
      </c>
      <c r="GB5" s="177"/>
      <c r="GC5" s="165"/>
      <c r="GD5" s="177"/>
      <c r="GE5" s="158"/>
      <c r="GF5" s="177"/>
      <c r="GG5" s="165"/>
      <c r="GH5" s="177"/>
      <c r="GI5" s="158"/>
      <c r="GJ5" s="180"/>
      <c r="GK5" s="180"/>
      <c r="GL5" s="180"/>
      <c r="GM5" s="177"/>
      <c r="GN5" s="158"/>
      <c r="GO5" s="177"/>
      <c r="GP5" s="158"/>
      <c r="GQ5" s="177"/>
      <c r="GR5" s="180"/>
      <c r="GS5" s="158"/>
      <c r="GT5" s="177"/>
      <c r="GU5" s="158"/>
      <c r="GV5" s="177"/>
      <c r="GW5" s="155">
        <f t="shared" si="14"/>
        <v>0</v>
      </c>
      <c r="GX5" s="155">
        <f t="shared" si="15"/>
        <v>0</v>
      </c>
      <c r="GY5" s="155">
        <f>IF(MatchDay!$C$2="LOWER",COUNTA(GF5:GH5),0)</f>
        <v>0</v>
      </c>
    </row>
    <row r="6" spans="1:207" ht="16.5" customHeight="1" x14ac:dyDescent="0.45">
      <c r="A6" s="157" t="s">
        <v>912</v>
      </c>
      <c r="B6" s="171"/>
      <c r="C6" s="165"/>
      <c r="D6" s="171"/>
      <c r="E6" s="158"/>
      <c r="F6" s="171"/>
      <c r="G6" s="165"/>
      <c r="H6" s="171"/>
      <c r="I6" s="158"/>
      <c r="J6" s="180"/>
      <c r="K6" s="180"/>
      <c r="L6" s="180"/>
      <c r="M6" s="171"/>
      <c r="N6" s="158"/>
      <c r="O6" s="171"/>
      <c r="P6" s="158"/>
      <c r="Q6" s="171"/>
      <c r="R6" s="180"/>
      <c r="S6" s="158"/>
      <c r="T6" s="171"/>
      <c r="U6" s="158"/>
      <c r="V6" s="171"/>
      <c r="W6" s="155">
        <f t="shared" si="0"/>
        <v>0</v>
      </c>
      <c r="X6" s="155">
        <f t="shared" si="1"/>
        <v>0</v>
      </c>
      <c r="Y6" s="155">
        <f>IF(MatchDay!$C$2="LOWER",COUNTA(F6:H6),0)</f>
        <v>0</v>
      </c>
      <c r="AA6" s="157" t="s">
        <v>912</v>
      </c>
      <c r="AB6" s="177"/>
      <c r="AC6" s="165"/>
      <c r="AD6" s="177"/>
      <c r="AE6" s="158"/>
      <c r="AF6" s="177"/>
      <c r="AG6" s="165"/>
      <c r="AH6" s="177"/>
      <c r="AI6" s="158"/>
      <c r="AJ6" s="180"/>
      <c r="AK6" s="180"/>
      <c r="AL6" s="180"/>
      <c r="AM6" s="177"/>
      <c r="AN6" s="158"/>
      <c r="AO6" s="177"/>
      <c r="AP6" s="158"/>
      <c r="AQ6" s="177"/>
      <c r="AR6" s="180"/>
      <c r="AS6" s="158"/>
      <c r="AT6" s="177"/>
      <c r="AU6" s="158"/>
      <c r="AV6" s="177"/>
      <c r="AW6" s="155">
        <f t="shared" si="2"/>
        <v>0</v>
      </c>
      <c r="AX6" s="155">
        <f t="shared" si="3"/>
        <v>0</v>
      </c>
      <c r="AY6" s="155">
        <f>IF(MatchDay!$C$2="LOWER",COUNTA(AF6:AH6),0)</f>
        <v>0</v>
      </c>
      <c r="BA6" s="157" t="s">
        <v>912</v>
      </c>
      <c r="BB6" s="171"/>
      <c r="BC6" s="165"/>
      <c r="BD6" s="171"/>
      <c r="BE6" s="158"/>
      <c r="BF6" s="171"/>
      <c r="BG6" s="165"/>
      <c r="BH6" s="171"/>
      <c r="BI6" s="158"/>
      <c r="BJ6" s="180"/>
      <c r="BK6" s="180"/>
      <c r="BL6" s="180"/>
      <c r="BM6" s="171"/>
      <c r="BN6" s="158"/>
      <c r="BO6" s="171"/>
      <c r="BP6" s="158"/>
      <c r="BQ6" s="171"/>
      <c r="BR6" s="180"/>
      <c r="BS6" s="158"/>
      <c r="BT6" s="171"/>
      <c r="BU6" s="158"/>
      <c r="BV6" s="171"/>
      <c r="BW6" s="155">
        <f t="shared" si="4"/>
        <v>0</v>
      </c>
      <c r="BX6" s="155">
        <f t="shared" si="5"/>
        <v>0</v>
      </c>
      <c r="BY6" s="155">
        <f>IF(MatchDay!$C$2="LOWER",COUNTA(BF6:BH6),0)</f>
        <v>0</v>
      </c>
      <c r="CA6" s="157" t="s">
        <v>912</v>
      </c>
      <c r="CB6" s="177"/>
      <c r="CC6" s="165"/>
      <c r="CD6" s="177"/>
      <c r="CE6" s="158"/>
      <c r="CF6" s="177"/>
      <c r="CG6" s="165"/>
      <c r="CH6" s="177"/>
      <c r="CI6" s="158"/>
      <c r="CJ6" s="180"/>
      <c r="CK6" s="180"/>
      <c r="CL6" s="180"/>
      <c r="CM6" s="177"/>
      <c r="CN6" s="158"/>
      <c r="CO6" s="177"/>
      <c r="CP6" s="158"/>
      <c r="CQ6" s="177"/>
      <c r="CR6" s="180"/>
      <c r="CS6" s="158"/>
      <c r="CT6" s="177"/>
      <c r="CU6" s="158"/>
      <c r="CV6" s="177"/>
      <c r="CW6" s="155">
        <f t="shared" si="6"/>
        <v>0</v>
      </c>
      <c r="CX6" s="155">
        <f t="shared" si="7"/>
        <v>0</v>
      </c>
      <c r="CY6" s="155">
        <f>IF(MatchDay!$C$2="LOWER",COUNTA(CF6:CH6),0)</f>
        <v>0</v>
      </c>
      <c r="DA6" s="157" t="s">
        <v>912</v>
      </c>
      <c r="DB6" s="171"/>
      <c r="DC6" s="165"/>
      <c r="DD6" s="171"/>
      <c r="DE6" s="158"/>
      <c r="DF6" s="171"/>
      <c r="DG6" s="165"/>
      <c r="DH6" s="171"/>
      <c r="DI6" s="158"/>
      <c r="DJ6" s="180"/>
      <c r="DK6" s="180"/>
      <c r="DL6" s="180"/>
      <c r="DM6" s="171"/>
      <c r="DN6" s="158"/>
      <c r="DO6" s="171"/>
      <c r="DP6" s="158"/>
      <c r="DQ6" s="171"/>
      <c r="DR6" s="180"/>
      <c r="DS6" s="158"/>
      <c r="DT6" s="171"/>
      <c r="DU6" s="158"/>
      <c r="DV6" s="171"/>
      <c r="DW6" s="155">
        <f t="shared" si="8"/>
        <v>0</v>
      </c>
      <c r="DX6" s="155">
        <f t="shared" si="9"/>
        <v>0</v>
      </c>
      <c r="DY6" s="155">
        <f>IF(MatchDay!$C$2="LOWER",COUNTA(DF6:DH6),0)</f>
        <v>0</v>
      </c>
      <c r="EA6" s="157" t="s">
        <v>912</v>
      </c>
      <c r="EB6" s="177"/>
      <c r="EC6" s="165"/>
      <c r="ED6" s="177"/>
      <c r="EE6" s="158"/>
      <c r="EF6" s="177"/>
      <c r="EG6" s="165"/>
      <c r="EH6" s="177"/>
      <c r="EI6" s="158"/>
      <c r="EJ6" s="180"/>
      <c r="EK6" s="180"/>
      <c r="EL6" s="180"/>
      <c r="EM6" s="177"/>
      <c r="EN6" s="158"/>
      <c r="EO6" s="177"/>
      <c r="EP6" s="158"/>
      <c r="EQ6" s="177"/>
      <c r="ER6" s="180"/>
      <c r="ES6" s="158"/>
      <c r="ET6" s="177"/>
      <c r="EU6" s="158"/>
      <c r="EV6" s="177"/>
      <c r="EW6" s="155">
        <f t="shared" si="10"/>
        <v>0</v>
      </c>
      <c r="EX6" s="155">
        <f t="shared" si="11"/>
        <v>0</v>
      </c>
      <c r="EY6" s="155">
        <f>IF(MatchDay!$C$2="LOWER",COUNTA(EF6:EH6),0)</f>
        <v>0</v>
      </c>
      <c r="FA6" s="157" t="s">
        <v>912</v>
      </c>
      <c r="FB6" s="171"/>
      <c r="FC6" s="165"/>
      <c r="FD6" s="171"/>
      <c r="FE6" s="158"/>
      <c r="FF6" s="171"/>
      <c r="FG6" s="165"/>
      <c r="FH6" s="171"/>
      <c r="FI6" s="158"/>
      <c r="FJ6" s="180"/>
      <c r="FK6" s="180"/>
      <c r="FL6" s="180"/>
      <c r="FM6" s="171"/>
      <c r="FN6" s="158"/>
      <c r="FO6" s="171"/>
      <c r="FP6" s="158"/>
      <c r="FQ6" s="171"/>
      <c r="FR6" s="180"/>
      <c r="FS6" s="158"/>
      <c r="FT6" s="171"/>
      <c r="FU6" s="158"/>
      <c r="FV6" s="171"/>
      <c r="FW6" s="155">
        <f t="shared" si="12"/>
        <v>0</v>
      </c>
      <c r="FX6" s="155">
        <f t="shared" si="13"/>
        <v>0</v>
      </c>
      <c r="FY6" s="155">
        <f>IF(MatchDay!$C$2="LOWER",COUNTA(FF6:FH6),0)</f>
        <v>0</v>
      </c>
      <c r="GA6" s="157" t="s">
        <v>912</v>
      </c>
      <c r="GB6" s="177"/>
      <c r="GC6" s="165"/>
      <c r="GD6" s="177"/>
      <c r="GE6" s="158"/>
      <c r="GF6" s="177"/>
      <c r="GG6" s="165"/>
      <c r="GH6" s="177"/>
      <c r="GI6" s="158"/>
      <c r="GJ6" s="180"/>
      <c r="GK6" s="180"/>
      <c r="GL6" s="180"/>
      <c r="GM6" s="177"/>
      <c r="GN6" s="158"/>
      <c r="GO6" s="177"/>
      <c r="GP6" s="158"/>
      <c r="GQ6" s="177"/>
      <c r="GR6" s="180"/>
      <c r="GS6" s="158"/>
      <c r="GT6" s="177"/>
      <c r="GU6" s="158"/>
      <c r="GV6" s="177"/>
      <c r="GW6" s="155">
        <f t="shared" si="14"/>
        <v>0</v>
      </c>
      <c r="GX6" s="155">
        <f t="shared" si="15"/>
        <v>0</v>
      </c>
      <c r="GY6" s="155">
        <f>IF(MatchDay!$C$2="LOWER",COUNTA(GF6:GH6),0)</f>
        <v>0</v>
      </c>
    </row>
    <row r="7" spans="1:207" ht="16.5" customHeight="1" x14ac:dyDescent="0.45">
      <c r="A7" s="157" t="s">
        <v>912</v>
      </c>
      <c r="B7" s="171"/>
      <c r="C7" s="165"/>
      <c r="D7" s="171"/>
      <c r="E7" s="158"/>
      <c r="F7" s="171"/>
      <c r="G7" s="165"/>
      <c r="H7" s="171"/>
      <c r="I7" s="158"/>
      <c r="J7" s="180"/>
      <c r="K7" s="180"/>
      <c r="L7" s="180"/>
      <c r="M7" s="171"/>
      <c r="N7" s="158"/>
      <c r="O7" s="171"/>
      <c r="P7" s="158"/>
      <c r="Q7" s="171"/>
      <c r="R7" s="180"/>
      <c r="S7" s="158"/>
      <c r="T7" s="171"/>
      <c r="U7" s="158"/>
      <c r="V7" s="171"/>
      <c r="W7" s="155">
        <f t="shared" si="0"/>
        <v>0</v>
      </c>
      <c r="X7" s="155">
        <f t="shared" si="1"/>
        <v>0</v>
      </c>
      <c r="Y7" s="155">
        <f>IF(MatchDay!$C$2="LOWER",COUNTA(F7:H7),0)</f>
        <v>0</v>
      </c>
      <c r="AA7" s="157" t="s">
        <v>912</v>
      </c>
      <c r="AB7" s="177"/>
      <c r="AC7" s="165"/>
      <c r="AD7" s="177"/>
      <c r="AE7" s="158"/>
      <c r="AF7" s="177"/>
      <c r="AG7" s="165"/>
      <c r="AH7" s="177"/>
      <c r="AI7" s="158"/>
      <c r="AJ7" s="180"/>
      <c r="AK7" s="180"/>
      <c r="AL7" s="180"/>
      <c r="AM7" s="177"/>
      <c r="AN7" s="158"/>
      <c r="AO7" s="177"/>
      <c r="AP7" s="158"/>
      <c r="AQ7" s="177"/>
      <c r="AR7" s="180"/>
      <c r="AS7" s="158"/>
      <c r="AT7" s="177"/>
      <c r="AU7" s="158"/>
      <c r="AV7" s="177"/>
      <c r="AW7" s="155">
        <f t="shared" si="2"/>
        <v>0</v>
      </c>
      <c r="AX7" s="155">
        <f t="shared" si="3"/>
        <v>0</v>
      </c>
      <c r="AY7" s="155">
        <f>IF(MatchDay!$C$2="LOWER",COUNTA(AF7:AH7),0)</f>
        <v>0</v>
      </c>
      <c r="BA7" s="157" t="s">
        <v>912</v>
      </c>
      <c r="BB7" s="171"/>
      <c r="BC7" s="165"/>
      <c r="BD7" s="171"/>
      <c r="BE7" s="158"/>
      <c r="BF7" s="171"/>
      <c r="BG7" s="165"/>
      <c r="BH7" s="171"/>
      <c r="BI7" s="158"/>
      <c r="BJ7" s="180"/>
      <c r="BK7" s="180"/>
      <c r="BL7" s="180"/>
      <c r="BM7" s="171"/>
      <c r="BN7" s="158"/>
      <c r="BO7" s="171"/>
      <c r="BP7" s="158"/>
      <c r="BQ7" s="171"/>
      <c r="BR7" s="180"/>
      <c r="BS7" s="158"/>
      <c r="BT7" s="171"/>
      <c r="BU7" s="158"/>
      <c r="BV7" s="171"/>
      <c r="BW7" s="155">
        <f t="shared" si="4"/>
        <v>0</v>
      </c>
      <c r="BX7" s="155">
        <f t="shared" si="5"/>
        <v>0</v>
      </c>
      <c r="BY7" s="155">
        <f>IF(MatchDay!$C$2="LOWER",COUNTA(BF7:BH7),0)</f>
        <v>0</v>
      </c>
      <c r="CA7" s="157" t="s">
        <v>912</v>
      </c>
      <c r="CB7" s="177"/>
      <c r="CC7" s="165"/>
      <c r="CD7" s="177"/>
      <c r="CE7" s="158"/>
      <c r="CF7" s="177"/>
      <c r="CG7" s="165"/>
      <c r="CH7" s="177"/>
      <c r="CI7" s="158"/>
      <c r="CJ7" s="180"/>
      <c r="CK7" s="180"/>
      <c r="CL7" s="180"/>
      <c r="CM7" s="177"/>
      <c r="CN7" s="158"/>
      <c r="CO7" s="177"/>
      <c r="CP7" s="158"/>
      <c r="CQ7" s="177"/>
      <c r="CR7" s="180"/>
      <c r="CS7" s="158"/>
      <c r="CT7" s="177"/>
      <c r="CU7" s="158"/>
      <c r="CV7" s="177"/>
      <c r="CW7" s="155">
        <f t="shared" si="6"/>
        <v>0</v>
      </c>
      <c r="CX7" s="155">
        <f t="shared" si="7"/>
        <v>0</v>
      </c>
      <c r="CY7" s="155">
        <f>IF(MatchDay!$C$2="LOWER",COUNTA(CF7:CH7),0)</f>
        <v>0</v>
      </c>
      <c r="DA7" s="157" t="s">
        <v>912</v>
      </c>
      <c r="DB7" s="171"/>
      <c r="DC7" s="165"/>
      <c r="DD7" s="171"/>
      <c r="DE7" s="158"/>
      <c r="DF7" s="171"/>
      <c r="DG7" s="165"/>
      <c r="DH7" s="171"/>
      <c r="DI7" s="158"/>
      <c r="DJ7" s="180"/>
      <c r="DK7" s="180"/>
      <c r="DL7" s="180"/>
      <c r="DM7" s="171"/>
      <c r="DN7" s="158"/>
      <c r="DO7" s="171"/>
      <c r="DP7" s="158"/>
      <c r="DQ7" s="171"/>
      <c r="DR7" s="180"/>
      <c r="DS7" s="158"/>
      <c r="DT7" s="171"/>
      <c r="DU7" s="158"/>
      <c r="DV7" s="171"/>
      <c r="DW7" s="155">
        <f t="shared" si="8"/>
        <v>0</v>
      </c>
      <c r="DX7" s="155">
        <f t="shared" si="9"/>
        <v>0</v>
      </c>
      <c r="DY7" s="155">
        <f>IF(MatchDay!$C$2="LOWER",COUNTA(DF7:DH7),0)</f>
        <v>0</v>
      </c>
      <c r="EA7" s="157" t="s">
        <v>912</v>
      </c>
      <c r="EB7" s="177"/>
      <c r="EC7" s="165"/>
      <c r="ED7" s="177"/>
      <c r="EE7" s="158"/>
      <c r="EF7" s="177"/>
      <c r="EG7" s="165"/>
      <c r="EH7" s="177"/>
      <c r="EI7" s="158"/>
      <c r="EJ7" s="180"/>
      <c r="EK7" s="180"/>
      <c r="EL7" s="180"/>
      <c r="EM7" s="177"/>
      <c r="EN7" s="158"/>
      <c r="EO7" s="177"/>
      <c r="EP7" s="158"/>
      <c r="EQ7" s="177"/>
      <c r="ER7" s="180"/>
      <c r="ES7" s="158"/>
      <c r="ET7" s="177"/>
      <c r="EU7" s="158"/>
      <c r="EV7" s="177"/>
      <c r="EW7" s="155">
        <f t="shared" si="10"/>
        <v>0</v>
      </c>
      <c r="EX7" s="155">
        <f t="shared" si="11"/>
        <v>0</v>
      </c>
      <c r="EY7" s="155">
        <f>IF(MatchDay!$C$2="LOWER",COUNTA(EF7:EH7),0)</f>
        <v>0</v>
      </c>
      <c r="FA7" s="157" t="s">
        <v>912</v>
      </c>
      <c r="FB7" s="171"/>
      <c r="FC7" s="165"/>
      <c r="FD7" s="171"/>
      <c r="FE7" s="158"/>
      <c r="FF7" s="171"/>
      <c r="FG7" s="165"/>
      <c r="FH7" s="171"/>
      <c r="FI7" s="158"/>
      <c r="FJ7" s="180"/>
      <c r="FK7" s="180"/>
      <c r="FL7" s="180"/>
      <c r="FM7" s="171"/>
      <c r="FN7" s="158"/>
      <c r="FO7" s="171"/>
      <c r="FP7" s="158"/>
      <c r="FQ7" s="171"/>
      <c r="FR7" s="180"/>
      <c r="FS7" s="158"/>
      <c r="FT7" s="171"/>
      <c r="FU7" s="158"/>
      <c r="FV7" s="171"/>
      <c r="FW7" s="155">
        <f t="shared" si="12"/>
        <v>0</v>
      </c>
      <c r="FX7" s="155">
        <f t="shared" si="13"/>
        <v>0</v>
      </c>
      <c r="FY7" s="155">
        <f>IF(MatchDay!$C$2="LOWER",COUNTA(FF7:FH7),0)</f>
        <v>0</v>
      </c>
      <c r="GA7" s="157" t="s">
        <v>912</v>
      </c>
      <c r="GB7" s="177"/>
      <c r="GC7" s="165"/>
      <c r="GD7" s="177"/>
      <c r="GE7" s="158"/>
      <c r="GF7" s="177"/>
      <c r="GG7" s="165"/>
      <c r="GH7" s="177"/>
      <c r="GI7" s="158"/>
      <c r="GJ7" s="180"/>
      <c r="GK7" s="180"/>
      <c r="GL7" s="180"/>
      <c r="GM7" s="177"/>
      <c r="GN7" s="158"/>
      <c r="GO7" s="177"/>
      <c r="GP7" s="158"/>
      <c r="GQ7" s="177"/>
      <c r="GR7" s="180"/>
      <c r="GS7" s="158"/>
      <c r="GT7" s="177"/>
      <c r="GU7" s="158"/>
      <c r="GV7" s="177"/>
      <c r="GW7" s="155">
        <f t="shared" si="14"/>
        <v>0</v>
      </c>
      <c r="GX7" s="155">
        <f t="shared" si="15"/>
        <v>0</v>
      </c>
      <c r="GY7" s="155">
        <f>IF(MatchDay!$C$2="LOWER",COUNTA(GF7:GH7),0)</f>
        <v>0</v>
      </c>
    </row>
    <row r="8" spans="1:207" ht="16.5" customHeight="1" x14ac:dyDescent="0.45">
      <c r="A8" s="157" t="s">
        <v>912</v>
      </c>
      <c r="B8" s="171"/>
      <c r="C8" s="165"/>
      <c r="D8" s="171"/>
      <c r="E8" s="158"/>
      <c r="F8" s="171"/>
      <c r="G8" s="165"/>
      <c r="H8" s="171"/>
      <c r="I8" s="158"/>
      <c r="J8" s="180"/>
      <c r="K8" s="180"/>
      <c r="L8" s="180"/>
      <c r="M8" s="171"/>
      <c r="N8" s="158"/>
      <c r="O8" s="171"/>
      <c r="P8" s="158"/>
      <c r="Q8" s="171"/>
      <c r="R8" s="180"/>
      <c r="S8" s="158"/>
      <c r="T8" s="171"/>
      <c r="U8" s="158"/>
      <c r="V8" s="171"/>
      <c r="W8" s="155">
        <f t="shared" si="0"/>
        <v>0</v>
      </c>
      <c r="X8" s="155">
        <f t="shared" si="1"/>
        <v>0</v>
      </c>
      <c r="Y8" s="155">
        <f>IF(MatchDay!$C$2="LOWER",COUNTA(F8:H8),0)</f>
        <v>0</v>
      </c>
      <c r="AA8" s="157" t="s">
        <v>912</v>
      </c>
      <c r="AB8" s="177"/>
      <c r="AC8" s="165"/>
      <c r="AD8" s="177"/>
      <c r="AE8" s="158"/>
      <c r="AF8" s="177"/>
      <c r="AG8" s="165"/>
      <c r="AH8" s="177"/>
      <c r="AI8" s="158"/>
      <c r="AJ8" s="180"/>
      <c r="AK8" s="180"/>
      <c r="AL8" s="180"/>
      <c r="AM8" s="177"/>
      <c r="AN8" s="158"/>
      <c r="AO8" s="177"/>
      <c r="AP8" s="158"/>
      <c r="AQ8" s="177"/>
      <c r="AR8" s="180"/>
      <c r="AS8" s="158"/>
      <c r="AT8" s="177"/>
      <c r="AU8" s="158"/>
      <c r="AV8" s="177"/>
      <c r="AW8" s="155">
        <f t="shared" si="2"/>
        <v>0</v>
      </c>
      <c r="AX8" s="155">
        <f t="shared" si="3"/>
        <v>0</v>
      </c>
      <c r="AY8" s="155">
        <f>IF(MatchDay!$C$2="LOWER",COUNTA(AF8:AH8),0)</f>
        <v>0</v>
      </c>
      <c r="BA8" s="157" t="s">
        <v>912</v>
      </c>
      <c r="BB8" s="171"/>
      <c r="BC8" s="165"/>
      <c r="BD8" s="171"/>
      <c r="BE8" s="158"/>
      <c r="BF8" s="171"/>
      <c r="BG8" s="165"/>
      <c r="BH8" s="171"/>
      <c r="BI8" s="158"/>
      <c r="BJ8" s="180"/>
      <c r="BK8" s="180"/>
      <c r="BL8" s="180"/>
      <c r="BM8" s="171"/>
      <c r="BN8" s="158"/>
      <c r="BO8" s="171"/>
      <c r="BP8" s="158"/>
      <c r="BQ8" s="171"/>
      <c r="BR8" s="180"/>
      <c r="BS8" s="158"/>
      <c r="BT8" s="171"/>
      <c r="BU8" s="158"/>
      <c r="BV8" s="171"/>
      <c r="BW8" s="155">
        <f t="shared" si="4"/>
        <v>0</v>
      </c>
      <c r="BX8" s="155">
        <f t="shared" si="5"/>
        <v>0</v>
      </c>
      <c r="BY8" s="155">
        <f>IF(MatchDay!$C$2="LOWER",COUNTA(BF8:BH8),0)</f>
        <v>0</v>
      </c>
      <c r="CA8" s="157" t="s">
        <v>912</v>
      </c>
      <c r="CB8" s="177"/>
      <c r="CC8" s="165"/>
      <c r="CD8" s="177"/>
      <c r="CE8" s="158"/>
      <c r="CF8" s="177"/>
      <c r="CG8" s="165"/>
      <c r="CH8" s="177"/>
      <c r="CI8" s="158"/>
      <c r="CJ8" s="180"/>
      <c r="CK8" s="180"/>
      <c r="CL8" s="180"/>
      <c r="CM8" s="177"/>
      <c r="CN8" s="158"/>
      <c r="CO8" s="177"/>
      <c r="CP8" s="158"/>
      <c r="CQ8" s="177"/>
      <c r="CR8" s="180"/>
      <c r="CS8" s="158"/>
      <c r="CT8" s="177"/>
      <c r="CU8" s="158"/>
      <c r="CV8" s="177"/>
      <c r="CW8" s="155">
        <f t="shared" si="6"/>
        <v>0</v>
      </c>
      <c r="CX8" s="155">
        <f t="shared" si="7"/>
        <v>0</v>
      </c>
      <c r="CY8" s="155">
        <f>IF(MatchDay!$C$2="LOWER",COUNTA(CF8:CH8),0)</f>
        <v>0</v>
      </c>
      <c r="DA8" s="157" t="s">
        <v>912</v>
      </c>
      <c r="DB8" s="171"/>
      <c r="DC8" s="165"/>
      <c r="DD8" s="171"/>
      <c r="DE8" s="158"/>
      <c r="DF8" s="171"/>
      <c r="DG8" s="165"/>
      <c r="DH8" s="171"/>
      <c r="DI8" s="158"/>
      <c r="DJ8" s="180"/>
      <c r="DK8" s="180"/>
      <c r="DL8" s="180"/>
      <c r="DM8" s="171"/>
      <c r="DN8" s="158"/>
      <c r="DO8" s="171"/>
      <c r="DP8" s="158"/>
      <c r="DQ8" s="171"/>
      <c r="DR8" s="180"/>
      <c r="DS8" s="158"/>
      <c r="DT8" s="171"/>
      <c r="DU8" s="158"/>
      <c r="DV8" s="171"/>
      <c r="DW8" s="155">
        <f t="shared" si="8"/>
        <v>0</v>
      </c>
      <c r="DX8" s="155">
        <f t="shared" si="9"/>
        <v>0</v>
      </c>
      <c r="DY8" s="155">
        <f>IF(MatchDay!$C$2="LOWER",COUNTA(DF8:DH8),0)</f>
        <v>0</v>
      </c>
      <c r="EA8" s="157" t="s">
        <v>912</v>
      </c>
      <c r="EB8" s="177"/>
      <c r="EC8" s="165"/>
      <c r="ED8" s="177"/>
      <c r="EE8" s="158"/>
      <c r="EF8" s="177"/>
      <c r="EG8" s="165"/>
      <c r="EH8" s="177"/>
      <c r="EI8" s="158"/>
      <c r="EJ8" s="180"/>
      <c r="EK8" s="180"/>
      <c r="EL8" s="180"/>
      <c r="EM8" s="177"/>
      <c r="EN8" s="158"/>
      <c r="EO8" s="177"/>
      <c r="EP8" s="158"/>
      <c r="EQ8" s="177"/>
      <c r="ER8" s="180"/>
      <c r="ES8" s="158"/>
      <c r="ET8" s="177"/>
      <c r="EU8" s="158"/>
      <c r="EV8" s="177"/>
      <c r="EW8" s="155">
        <f t="shared" si="10"/>
        <v>0</v>
      </c>
      <c r="EX8" s="155">
        <f t="shared" si="11"/>
        <v>0</v>
      </c>
      <c r="EY8" s="155">
        <f>IF(MatchDay!$C$2="LOWER",COUNTA(EF8:EH8),0)</f>
        <v>0</v>
      </c>
      <c r="FA8" s="157" t="s">
        <v>912</v>
      </c>
      <c r="FB8" s="171"/>
      <c r="FC8" s="165"/>
      <c r="FD8" s="171"/>
      <c r="FE8" s="158"/>
      <c r="FF8" s="171"/>
      <c r="FG8" s="165"/>
      <c r="FH8" s="171"/>
      <c r="FI8" s="158"/>
      <c r="FJ8" s="180"/>
      <c r="FK8" s="180"/>
      <c r="FL8" s="180"/>
      <c r="FM8" s="171"/>
      <c r="FN8" s="158"/>
      <c r="FO8" s="171"/>
      <c r="FP8" s="158"/>
      <c r="FQ8" s="171"/>
      <c r="FR8" s="180"/>
      <c r="FS8" s="158"/>
      <c r="FT8" s="171"/>
      <c r="FU8" s="158"/>
      <c r="FV8" s="171"/>
      <c r="FW8" s="155">
        <f t="shared" si="12"/>
        <v>0</v>
      </c>
      <c r="FX8" s="155">
        <f t="shared" si="13"/>
        <v>0</v>
      </c>
      <c r="FY8" s="155">
        <f>IF(MatchDay!$C$2="LOWER",COUNTA(FF8:FH8),0)</f>
        <v>0</v>
      </c>
      <c r="GA8" s="157" t="s">
        <v>912</v>
      </c>
      <c r="GB8" s="177"/>
      <c r="GC8" s="165"/>
      <c r="GD8" s="177"/>
      <c r="GE8" s="158"/>
      <c r="GF8" s="177"/>
      <c r="GG8" s="165"/>
      <c r="GH8" s="177"/>
      <c r="GI8" s="158"/>
      <c r="GJ8" s="180"/>
      <c r="GK8" s="180"/>
      <c r="GL8" s="180"/>
      <c r="GM8" s="177"/>
      <c r="GN8" s="158"/>
      <c r="GO8" s="177"/>
      <c r="GP8" s="158"/>
      <c r="GQ8" s="177"/>
      <c r="GR8" s="180"/>
      <c r="GS8" s="158"/>
      <c r="GT8" s="177"/>
      <c r="GU8" s="158"/>
      <c r="GV8" s="177"/>
      <c r="GW8" s="155">
        <f t="shared" si="14"/>
        <v>0</v>
      </c>
      <c r="GX8" s="155">
        <f t="shared" si="15"/>
        <v>0</v>
      </c>
      <c r="GY8" s="155">
        <f>IF(MatchDay!$C$2="LOWER",COUNTA(GF8:GH8),0)</f>
        <v>0</v>
      </c>
    </row>
    <row r="9" spans="1:207" ht="16.5" customHeight="1" x14ac:dyDescent="0.45">
      <c r="A9" s="157" t="s">
        <v>912</v>
      </c>
      <c r="B9" s="171"/>
      <c r="C9" s="165"/>
      <c r="D9" s="171"/>
      <c r="E9" s="158"/>
      <c r="F9" s="171"/>
      <c r="G9" s="165"/>
      <c r="H9" s="171"/>
      <c r="I9" s="158"/>
      <c r="J9" s="180"/>
      <c r="K9" s="180"/>
      <c r="L9" s="180"/>
      <c r="M9" s="171"/>
      <c r="N9" s="158"/>
      <c r="O9" s="171"/>
      <c r="P9" s="158"/>
      <c r="Q9" s="171"/>
      <c r="R9" s="180"/>
      <c r="S9" s="158"/>
      <c r="T9" s="171"/>
      <c r="U9" s="158"/>
      <c r="V9" s="171"/>
      <c r="W9" s="155">
        <f t="shared" si="0"/>
        <v>0</v>
      </c>
      <c r="X9" s="155">
        <f t="shared" si="1"/>
        <v>0</v>
      </c>
      <c r="Y9" s="155">
        <f>IF(MatchDay!$C$2="LOWER",COUNTA(F9:H9),0)</f>
        <v>0</v>
      </c>
      <c r="AA9" s="157" t="s">
        <v>912</v>
      </c>
      <c r="AB9" s="177"/>
      <c r="AC9" s="165"/>
      <c r="AD9" s="177"/>
      <c r="AE9" s="158"/>
      <c r="AF9" s="177"/>
      <c r="AG9" s="165"/>
      <c r="AH9" s="177"/>
      <c r="AI9" s="158"/>
      <c r="AJ9" s="180"/>
      <c r="AK9" s="180"/>
      <c r="AL9" s="180"/>
      <c r="AM9" s="177"/>
      <c r="AN9" s="158"/>
      <c r="AO9" s="177"/>
      <c r="AP9" s="158"/>
      <c r="AQ9" s="177"/>
      <c r="AR9" s="180"/>
      <c r="AS9" s="158"/>
      <c r="AT9" s="177"/>
      <c r="AU9" s="158"/>
      <c r="AV9" s="177"/>
      <c r="AW9" s="155">
        <f t="shared" si="2"/>
        <v>0</v>
      </c>
      <c r="AX9" s="155">
        <f t="shared" si="3"/>
        <v>0</v>
      </c>
      <c r="AY9" s="155">
        <f>IF(MatchDay!$C$2="LOWER",COUNTA(AF9:AH9),0)</f>
        <v>0</v>
      </c>
      <c r="BA9" s="157" t="s">
        <v>912</v>
      </c>
      <c r="BB9" s="171"/>
      <c r="BC9" s="165"/>
      <c r="BD9" s="171"/>
      <c r="BE9" s="158"/>
      <c r="BF9" s="171"/>
      <c r="BG9" s="165"/>
      <c r="BH9" s="171"/>
      <c r="BI9" s="158"/>
      <c r="BJ9" s="180"/>
      <c r="BK9" s="180"/>
      <c r="BL9" s="180"/>
      <c r="BM9" s="171"/>
      <c r="BN9" s="158"/>
      <c r="BO9" s="171"/>
      <c r="BP9" s="158"/>
      <c r="BQ9" s="171"/>
      <c r="BR9" s="180"/>
      <c r="BS9" s="158"/>
      <c r="BT9" s="171"/>
      <c r="BU9" s="158"/>
      <c r="BV9" s="171"/>
      <c r="BW9" s="155">
        <f t="shared" si="4"/>
        <v>0</v>
      </c>
      <c r="BX9" s="155">
        <f t="shared" si="5"/>
        <v>0</v>
      </c>
      <c r="BY9" s="155">
        <f>IF(MatchDay!$C$2="LOWER",COUNTA(BF9:BH9),0)</f>
        <v>0</v>
      </c>
      <c r="CA9" s="157" t="s">
        <v>912</v>
      </c>
      <c r="CB9" s="177"/>
      <c r="CC9" s="165"/>
      <c r="CD9" s="177"/>
      <c r="CE9" s="158"/>
      <c r="CF9" s="177"/>
      <c r="CG9" s="165"/>
      <c r="CH9" s="177"/>
      <c r="CI9" s="158"/>
      <c r="CJ9" s="180"/>
      <c r="CK9" s="180"/>
      <c r="CL9" s="180"/>
      <c r="CM9" s="177"/>
      <c r="CN9" s="158"/>
      <c r="CO9" s="177"/>
      <c r="CP9" s="158"/>
      <c r="CQ9" s="177"/>
      <c r="CR9" s="180"/>
      <c r="CS9" s="158"/>
      <c r="CT9" s="177"/>
      <c r="CU9" s="158"/>
      <c r="CV9" s="177"/>
      <c r="CW9" s="155">
        <f t="shared" si="6"/>
        <v>0</v>
      </c>
      <c r="CX9" s="155">
        <f t="shared" si="7"/>
        <v>0</v>
      </c>
      <c r="CY9" s="155">
        <f>IF(MatchDay!$C$2="LOWER",COUNTA(CF9:CH9),0)</f>
        <v>0</v>
      </c>
      <c r="DA9" s="157" t="s">
        <v>912</v>
      </c>
      <c r="DB9" s="171"/>
      <c r="DC9" s="165"/>
      <c r="DD9" s="171"/>
      <c r="DE9" s="158"/>
      <c r="DF9" s="171"/>
      <c r="DG9" s="165"/>
      <c r="DH9" s="171"/>
      <c r="DI9" s="158"/>
      <c r="DJ9" s="180"/>
      <c r="DK9" s="180"/>
      <c r="DL9" s="180"/>
      <c r="DM9" s="171"/>
      <c r="DN9" s="158"/>
      <c r="DO9" s="171"/>
      <c r="DP9" s="158"/>
      <c r="DQ9" s="171"/>
      <c r="DR9" s="180"/>
      <c r="DS9" s="158"/>
      <c r="DT9" s="171"/>
      <c r="DU9" s="158"/>
      <c r="DV9" s="171"/>
      <c r="DW9" s="155">
        <f t="shared" si="8"/>
        <v>0</v>
      </c>
      <c r="DX9" s="155">
        <f t="shared" si="9"/>
        <v>0</v>
      </c>
      <c r="DY9" s="155">
        <f>IF(MatchDay!$C$2="LOWER",COUNTA(DF9:DH9),0)</f>
        <v>0</v>
      </c>
      <c r="EA9" s="157" t="s">
        <v>912</v>
      </c>
      <c r="EB9" s="177"/>
      <c r="EC9" s="165"/>
      <c r="ED9" s="177"/>
      <c r="EE9" s="158"/>
      <c r="EF9" s="177"/>
      <c r="EG9" s="165"/>
      <c r="EH9" s="177"/>
      <c r="EI9" s="158"/>
      <c r="EJ9" s="180"/>
      <c r="EK9" s="180"/>
      <c r="EL9" s="180"/>
      <c r="EM9" s="177"/>
      <c r="EN9" s="158"/>
      <c r="EO9" s="177"/>
      <c r="EP9" s="158"/>
      <c r="EQ9" s="177"/>
      <c r="ER9" s="180"/>
      <c r="ES9" s="158"/>
      <c r="ET9" s="177"/>
      <c r="EU9" s="158"/>
      <c r="EV9" s="177"/>
      <c r="EW9" s="155">
        <f t="shared" si="10"/>
        <v>0</v>
      </c>
      <c r="EX9" s="155">
        <f t="shared" si="11"/>
        <v>0</v>
      </c>
      <c r="EY9" s="155">
        <f>IF(MatchDay!$C$2="LOWER",COUNTA(EF9:EH9),0)</f>
        <v>0</v>
      </c>
      <c r="FA9" s="157" t="s">
        <v>912</v>
      </c>
      <c r="FB9" s="171"/>
      <c r="FC9" s="165"/>
      <c r="FD9" s="171"/>
      <c r="FE9" s="158"/>
      <c r="FF9" s="171"/>
      <c r="FG9" s="165"/>
      <c r="FH9" s="171"/>
      <c r="FI9" s="158"/>
      <c r="FJ9" s="180"/>
      <c r="FK9" s="180"/>
      <c r="FL9" s="180"/>
      <c r="FM9" s="171"/>
      <c r="FN9" s="158"/>
      <c r="FO9" s="171"/>
      <c r="FP9" s="158"/>
      <c r="FQ9" s="171"/>
      <c r="FR9" s="180"/>
      <c r="FS9" s="158"/>
      <c r="FT9" s="171"/>
      <c r="FU9" s="158"/>
      <c r="FV9" s="171"/>
      <c r="FW9" s="155">
        <f t="shared" si="12"/>
        <v>0</v>
      </c>
      <c r="FX9" s="155">
        <f t="shared" si="13"/>
        <v>0</v>
      </c>
      <c r="FY9" s="155">
        <f>IF(MatchDay!$C$2="LOWER",COUNTA(FF9:FH9),0)</f>
        <v>0</v>
      </c>
      <c r="GA9" s="157" t="s">
        <v>912</v>
      </c>
      <c r="GB9" s="177"/>
      <c r="GC9" s="165"/>
      <c r="GD9" s="177"/>
      <c r="GE9" s="158"/>
      <c r="GF9" s="177"/>
      <c r="GG9" s="165"/>
      <c r="GH9" s="177"/>
      <c r="GI9" s="158"/>
      <c r="GJ9" s="180"/>
      <c r="GK9" s="180"/>
      <c r="GL9" s="180"/>
      <c r="GM9" s="177"/>
      <c r="GN9" s="158"/>
      <c r="GO9" s="177"/>
      <c r="GP9" s="158"/>
      <c r="GQ9" s="177"/>
      <c r="GR9" s="180"/>
      <c r="GS9" s="158"/>
      <c r="GT9" s="177"/>
      <c r="GU9" s="158"/>
      <c r="GV9" s="177"/>
      <c r="GW9" s="155">
        <f t="shared" si="14"/>
        <v>0</v>
      </c>
      <c r="GX9" s="155">
        <f t="shared" si="15"/>
        <v>0</v>
      </c>
      <c r="GY9" s="155">
        <f>IF(MatchDay!$C$2="LOWER",COUNTA(GF9:GH9),0)</f>
        <v>0</v>
      </c>
    </row>
    <row r="10" spans="1:207" ht="16.5" customHeight="1" x14ac:dyDescent="0.45">
      <c r="A10" s="157" t="s">
        <v>912</v>
      </c>
      <c r="B10" s="171"/>
      <c r="C10" s="165"/>
      <c r="D10" s="171"/>
      <c r="E10" s="158"/>
      <c r="F10" s="171"/>
      <c r="G10" s="165"/>
      <c r="H10" s="171"/>
      <c r="I10" s="158"/>
      <c r="J10" s="180"/>
      <c r="K10" s="180"/>
      <c r="L10" s="180"/>
      <c r="M10" s="171"/>
      <c r="N10" s="158"/>
      <c r="O10" s="171"/>
      <c r="P10" s="158"/>
      <c r="Q10" s="171"/>
      <c r="R10" s="180"/>
      <c r="S10" s="158"/>
      <c r="T10" s="171"/>
      <c r="U10" s="158"/>
      <c r="V10" s="171"/>
      <c r="W10" s="155">
        <f t="shared" si="0"/>
        <v>0</v>
      </c>
      <c r="X10" s="155">
        <f t="shared" si="1"/>
        <v>0</v>
      </c>
      <c r="Y10" s="155">
        <f>IF(MatchDay!$C$2="LOWER",COUNTA(F10:H10),0)</f>
        <v>0</v>
      </c>
      <c r="AA10" s="157" t="s">
        <v>912</v>
      </c>
      <c r="AB10" s="177"/>
      <c r="AC10" s="165"/>
      <c r="AD10" s="177"/>
      <c r="AE10" s="158"/>
      <c r="AF10" s="177"/>
      <c r="AG10" s="165"/>
      <c r="AH10" s="177"/>
      <c r="AI10" s="158"/>
      <c r="AJ10" s="180"/>
      <c r="AK10" s="180"/>
      <c r="AL10" s="180"/>
      <c r="AM10" s="177"/>
      <c r="AN10" s="158"/>
      <c r="AO10" s="177"/>
      <c r="AP10" s="158"/>
      <c r="AQ10" s="177"/>
      <c r="AR10" s="180"/>
      <c r="AS10" s="158"/>
      <c r="AT10" s="177"/>
      <c r="AU10" s="158"/>
      <c r="AV10" s="177"/>
      <c r="AW10" s="155">
        <f t="shared" si="2"/>
        <v>0</v>
      </c>
      <c r="AX10" s="155">
        <f t="shared" si="3"/>
        <v>0</v>
      </c>
      <c r="AY10" s="155">
        <f>IF(MatchDay!$C$2="LOWER",COUNTA(AF10:AH10),0)</f>
        <v>0</v>
      </c>
      <c r="BA10" s="157" t="s">
        <v>912</v>
      </c>
      <c r="BB10" s="171"/>
      <c r="BC10" s="165"/>
      <c r="BD10" s="171"/>
      <c r="BE10" s="158"/>
      <c r="BF10" s="171"/>
      <c r="BG10" s="165"/>
      <c r="BH10" s="171"/>
      <c r="BI10" s="158"/>
      <c r="BJ10" s="180"/>
      <c r="BK10" s="180"/>
      <c r="BL10" s="180"/>
      <c r="BM10" s="171"/>
      <c r="BN10" s="158"/>
      <c r="BO10" s="171"/>
      <c r="BP10" s="158"/>
      <c r="BQ10" s="171"/>
      <c r="BR10" s="180"/>
      <c r="BS10" s="158"/>
      <c r="BT10" s="171"/>
      <c r="BU10" s="158"/>
      <c r="BV10" s="171"/>
      <c r="BW10" s="155">
        <f t="shared" si="4"/>
        <v>0</v>
      </c>
      <c r="BX10" s="155">
        <f t="shared" si="5"/>
        <v>0</v>
      </c>
      <c r="BY10" s="155">
        <f>IF(MatchDay!$C$2="LOWER",COUNTA(BF10:BH10),0)</f>
        <v>0</v>
      </c>
      <c r="CA10" s="157" t="s">
        <v>912</v>
      </c>
      <c r="CB10" s="177"/>
      <c r="CC10" s="165"/>
      <c r="CD10" s="177"/>
      <c r="CE10" s="158"/>
      <c r="CF10" s="177"/>
      <c r="CG10" s="165"/>
      <c r="CH10" s="177"/>
      <c r="CI10" s="158"/>
      <c r="CJ10" s="180"/>
      <c r="CK10" s="180"/>
      <c r="CL10" s="180"/>
      <c r="CM10" s="177"/>
      <c r="CN10" s="158"/>
      <c r="CO10" s="177"/>
      <c r="CP10" s="158"/>
      <c r="CQ10" s="177"/>
      <c r="CR10" s="180"/>
      <c r="CS10" s="158"/>
      <c r="CT10" s="177"/>
      <c r="CU10" s="158"/>
      <c r="CV10" s="177"/>
      <c r="CW10" s="155">
        <f t="shared" si="6"/>
        <v>0</v>
      </c>
      <c r="CX10" s="155">
        <f t="shared" si="7"/>
        <v>0</v>
      </c>
      <c r="CY10" s="155">
        <f>IF(MatchDay!$C$2="LOWER",COUNTA(CF10:CH10),0)</f>
        <v>0</v>
      </c>
      <c r="DA10" s="157" t="s">
        <v>912</v>
      </c>
      <c r="DB10" s="171"/>
      <c r="DC10" s="165"/>
      <c r="DD10" s="171"/>
      <c r="DE10" s="158"/>
      <c r="DF10" s="171"/>
      <c r="DG10" s="165"/>
      <c r="DH10" s="171"/>
      <c r="DI10" s="158"/>
      <c r="DJ10" s="180"/>
      <c r="DK10" s="180"/>
      <c r="DL10" s="180"/>
      <c r="DM10" s="171"/>
      <c r="DN10" s="158"/>
      <c r="DO10" s="171"/>
      <c r="DP10" s="158"/>
      <c r="DQ10" s="171"/>
      <c r="DR10" s="180"/>
      <c r="DS10" s="158"/>
      <c r="DT10" s="171"/>
      <c r="DU10" s="158"/>
      <c r="DV10" s="171"/>
      <c r="DW10" s="155">
        <f t="shared" si="8"/>
        <v>0</v>
      </c>
      <c r="DX10" s="155">
        <f t="shared" si="9"/>
        <v>0</v>
      </c>
      <c r="DY10" s="155">
        <f>IF(MatchDay!$C$2="LOWER",COUNTA(DF10:DH10),0)</f>
        <v>0</v>
      </c>
      <c r="EA10" s="157" t="s">
        <v>912</v>
      </c>
      <c r="EB10" s="177"/>
      <c r="EC10" s="165"/>
      <c r="ED10" s="177"/>
      <c r="EE10" s="158"/>
      <c r="EF10" s="177"/>
      <c r="EG10" s="165"/>
      <c r="EH10" s="177"/>
      <c r="EI10" s="158"/>
      <c r="EJ10" s="180"/>
      <c r="EK10" s="180"/>
      <c r="EL10" s="180"/>
      <c r="EM10" s="177"/>
      <c r="EN10" s="158"/>
      <c r="EO10" s="177"/>
      <c r="EP10" s="158"/>
      <c r="EQ10" s="177"/>
      <c r="ER10" s="180"/>
      <c r="ES10" s="158"/>
      <c r="ET10" s="177"/>
      <c r="EU10" s="158"/>
      <c r="EV10" s="177"/>
      <c r="EW10" s="155">
        <f t="shared" si="10"/>
        <v>0</v>
      </c>
      <c r="EX10" s="155">
        <f t="shared" si="11"/>
        <v>0</v>
      </c>
      <c r="EY10" s="155">
        <f>IF(MatchDay!$C$2="LOWER",COUNTA(EF10:EH10),0)</f>
        <v>0</v>
      </c>
      <c r="FA10" s="157" t="s">
        <v>912</v>
      </c>
      <c r="FB10" s="171"/>
      <c r="FC10" s="165"/>
      <c r="FD10" s="171"/>
      <c r="FE10" s="158"/>
      <c r="FF10" s="171"/>
      <c r="FG10" s="165"/>
      <c r="FH10" s="171"/>
      <c r="FI10" s="158"/>
      <c r="FJ10" s="180"/>
      <c r="FK10" s="180"/>
      <c r="FL10" s="180"/>
      <c r="FM10" s="171"/>
      <c r="FN10" s="158"/>
      <c r="FO10" s="171"/>
      <c r="FP10" s="158"/>
      <c r="FQ10" s="171"/>
      <c r="FR10" s="180"/>
      <c r="FS10" s="158"/>
      <c r="FT10" s="171"/>
      <c r="FU10" s="158"/>
      <c r="FV10" s="171"/>
      <c r="FW10" s="155">
        <f t="shared" si="12"/>
        <v>0</v>
      </c>
      <c r="FX10" s="155">
        <f t="shared" si="13"/>
        <v>0</v>
      </c>
      <c r="FY10" s="155">
        <f>IF(MatchDay!$C$2="LOWER",COUNTA(FF10:FH10),0)</f>
        <v>0</v>
      </c>
      <c r="GA10" s="157" t="s">
        <v>912</v>
      </c>
      <c r="GB10" s="177"/>
      <c r="GC10" s="165"/>
      <c r="GD10" s="177"/>
      <c r="GE10" s="158"/>
      <c r="GF10" s="177"/>
      <c r="GG10" s="165"/>
      <c r="GH10" s="177"/>
      <c r="GI10" s="158"/>
      <c r="GJ10" s="180"/>
      <c r="GK10" s="180"/>
      <c r="GL10" s="180"/>
      <c r="GM10" s="177"/>
      <c r="GN10" s="158"/>
      <c r="GO10" s="177"/>
      <c r="GP10" s="158"/>
      <c r="GQ10" s="177"/>
      <c r="GR10" s="180"/>
      <c r="GS10" s="158"/>
      <c r="GT10" s="177"/>
      <c r="GU10" s="158"/>
      <c r="GV10" s="177"/>
      <c r="GW10" s="155">
        <f t="shared" si="14"/>
        <v>0</v>
      </c>
      <c r="GX10" s="155">
        <f t="shared" si="15"/>
        <v>0</v>
      </c>
      <c r="GY10" s="155">
        <f>IF(MatchDay!$C$2="LOWER",COUNTA(GF10:GH10),0)</f>
        <v>0</v>
      </c>
    </row>
    <row r="11" spans="1:207" ht="16.5" customHeight="1" x14ac:dyDescent="0.45">
      <c r="A11" s="157" t="s">
        <v>912</v>
      </c>
      <c r="B11" s="171"/>
      <c r="C11" s="165"/>
      <c r="D11" s="171"/>
      <c r="E11" s="158"/>
      <c r="F11" s="171"/>
      <c r="G11" s="165"/>
      <c r="H11" s="171"/>
      <c r="I11" s="158"/>
      <c r="J11" s="180"/>
      <c r="K11" s="180"/>
      <c r="L11" s="180"/>
      <c r="M11" s="171"/>
      <c r="N11" s="158"/>
      <c r="O11" s="171"/>
      <c r="P11" s="158"/>
      <c r="Q11" s="171"/>
      <c r="R11" s="180"/>
      <c r="S11" s="158"/>
      <c r="T11" s="171"/>
      <c r="U11" s="158"/>
      <c r="V11" s="171"/>
      <c r="W11" s="155">
        <f t="shared" si="0"/>
        <v>0</v>
      </c>
      <c r="X11" s="155">
        <f t="shared" si="1"/>
        <v>0</v>
      </c>
      <c r="Y11" s="155">
        <f>IF(MatchDay!$C$2="LOWER",COUNTA(F11:H11),0)</f>
        <v>0</v>
      </c>
      <c r="AA11" s="157" t="s">
        <v>912</v>
      </c>
      <c r="AB11" s="177"/>
      <c r="AC11" s="165"/>
      <c r="AD11" s="177"/>
      <c r="AE11" s="158"/>
      <c r="AF11" s="177"/>
      <c r="AG11" s="165"/>
      <c r="AH11" s="177"/>
      <c r="AI11" s="158"/>
      <c r="AJ11" s="180"/>
      <c r="AK11" s="180"/>
      <c r="AL11" s="180"/>
      <c r="AM11" s="177"/>
      <c r="AN11" s="158"/>
      <c r="AO11" s="177"/>
      <c r="AP11" s="158"/>
      <c r="AQ11" s="177"/>
      <c r="AR11" s="180"/>
      <c r="AS11" s="158"/>
      <c r="AT11" s="177"/>
      <c r="AU11" s="158"/>
      <c r="AV11" s="177"/>
      <c r="AW11" s="155">
        <f t="shared" si="2"/>
        <v>0</v>
      </c>
      <c r="AX11" s="155">
        <f t="shared" si="3"/>
        <v>0</v>
      </c>
      <c r="AY11" s="155">
        <f>IF(MatchDay!$C$2="LOWER",COUNTA(AF11:AH11),0)</f>
        <v>0</v>
      </c>
      <c r="BA11" s="157" t="s">
        <v>912</v>
      </c>
      <c r="BB11" s="171"/>
      <c r="BC11" s="165"/>
      <c r="BD11" s="171"/>
      <c r="BE11" s="158"/>
      <c r="BF11" s="171"/>
      <c r="BG11" s="165"/>
      <c r="BH11" s="171"/>
      <c r="BI11" s="158"/>
      <c r="BJ11" s="180"/>
      <c r="BK11" s="180"/>
      <c r="BL11" s="180"/>
      <c r="BM11" s="171"/>
      <c r="BN11" s="158"/>
      <c r="BO11" s="171"/>
      <c r="BP11" s="158"/>
      <c r="BQ11" s="171"/>
      <c r="BR11" s="180"/>
      <c r="BS11" s="158"/>
      <c r="BT11" s="171"/>
      <c r="BU11" s="158"/>
      <c r="BV11" s="171"/>
      <c r="BW11" s="155">
        <f t="shared" si="4"/>
        <v>0</v>
      </c>
      <c r="BX11" s="155">
        <f t="shared" si="5"/>
        <v>0</v>
      </c>
      <c r="BY11" s="155">
        <f>IF(MatchDay!$C$2="LOWER",COUNTA(BF11:BH11),0)</f>
        <v>0</v>
      </c>
      <c r="CA11" s="157" t="s">
        <v>912</v>
      </c>
      <c r="CB11" s="177"/>
      <c r="CC11" s="165"/>
      <c r="CD11" s="177"/>
      <c r="CE11" s="158"/>
      <c r="CF11" s="177"/>
      <c r="CG11" s="165"/>
      <c r="CH11" s="177"/>
      <c r="CI11" s="158"/>
      <c r="CJ11" s="180"/>
      <c r="CK11" s="180"/>
      <c r="CL11" s="180"/>
      <c r="CM11" s="177"/>
      <c r="CN11" s="158"/>
      <c r="CO11" s="177"/>
      <c r="CP11" s="158"/>
      <c r="CQ11" s="177"/>
      <c r="CR11" s="180"/>
      <c r="CS11" s="158"/>
      <c r="CT11" s="177"/>
      <c r="CU11" s="158"/>
      <c r="CV11" s="177"/>
      <c r="CW11" s="155">
        <f t="shared" si="6"/>
        <v>0</v>
      </c>
      <c r="CX11" s="155">
        <f t="shared" si="7"/>
        <v>0</v>
      </c>
      <c r="CY11" s="155">
        <f>IF(MatchDay!$C$2="LOWER",COUNTA(CF11:CH11),0)</f>
        <v>0</v>
      </c>
      <c r="DA11" s="157" t="s">
        <v>912</v>
      </c>
      <c r="DB11" s="171"/>
      <c r="DC11" s="165"/>
      <c r="DD11" s="171"/>
      <c r="DE11" s="158"/>
      <c r="DF11" s="171"/>
      <c r="DG11" s="165"/>
      <c r="DH11" s="171"/>
      <c r="DI11" s="158"/>
      <c r="DJ11" s="180"/>
      <c r="DK11" s="180"/>
      <c r="DL11" s="180"/>
      <c r="DM11" s="171"/>
      <c r="DN11" s="158"/>
      <c r="DO11" s="171"/>
      <c r="DP11" s="158"/>
      <c r="DQ11" s="171"/>
      <c r="DR11" s="180"/>
      <c r="DS11" s="158"/>
      <c r="DT11" s="171"/>
      <c r="DU11" s="158"/>
      <c r="DV11" s="171"/>
      <c r="DW11" s="155">
        <f t="shared" si="8"/>
        <v>0</v>
      </c>
      <c r="DX11" s="155">
        <f t="shared" si="9"/>
        <v>0</v>
      </c>
      <c r="DY11" s="155">
        <f>IF(MatchDay!$C$2="LOWER",COUNTA(DF11:DH11),0)</f>
        <v>0</v>
      </c>
      <c r="EA11" s="157" t="s">
        <v>912</v>
      </c>
      <c r="EB11" s="177"/>
      <c r="EC11" s="165"/>
      <c r="ED11" s="177"/>
      <c r="EE11" s="158"/>
      <c r="EF11" s="177"/>
      <c r="EG11" s="165"/>
      <c r="EH11" s="177"/>
      <c r="EI11" s="158"/>
      <c r="EJ11" s="180"/>
      <c r="EK11" s="180"/>
      <c r="EL11" s="180"/>
      <c r="EM11" s="177"/>
      <c r="EN11" s="158"/>
      <c r="EO11" s="177"/>
      <c r="EP11" s="158"/>
      <c r="EQ11" s="177"/>
      <c r="ER11" s="180"/>
      <c r="ES11" s="158"/>
      <c r="ET11" s="177"/>
      <c r="EU11" s="158"/>
      <c r="EV11" s="177"/>
      <c r="EW11" s="155">
        <f t="shared" si="10"/>
        <v>0</v>
      </c>
      <c r="EX11" s="155">
        <f t="shared" si="11"/>
        <v>0</v>
      </c>
      <c r="EY11" s="155">
        <f>IF(MatchDay!$C$2="LOWER",COUNTA(EF11:EH11),0)</f>
        <v>0</v>
      </c>
      <c r="FA11" s="157" t="s">
        <v>912</v>
      </c>
      <c r="FB11" s="171"/>
      <c r="FC11" s="165"/>
      <c r="FD11" s="171"/>
      <c r="FE11" s="158"/>
      <c r="FF11" s="171"/>
      <c r="FG11" s="165"/>
      <c r="FH11" s="171"/>
      <c r="FI11" s="158"/>
      <c r="FJ11" s="180"/>
      <c r="FK11" s="180"/>
      <c r="FL11" s="180"/>
      <c r="FM11" s="171"/>
      <c r="FN11" s="158"/>
      <c r="FO11" s="171"/>
      <c r="FP11" s="158"/>
      <c r="FQ11" s="171"/>
      <c r="FR11" s="180"/>
      <c r="FS11" s="158"/>
      <c r="FT11" s="171"/>
      <c r="FU11" s="158"/>
      <c r="FV11" s="171"/>
      <c r="FW11" s="155">
        <f t="shared" si="12"/>
        <v>0</v>
      </c>
      <c r="FX11" s="155">
        <f t="shared" si="13"/>
        <v>0</v>
      </c>
      <c r="FY11" s="155">
        <f>IF(MatchDay!$C$2="LOWER",COUNTA(FF11:FH11),0)</f>
        <v>0</v>
      </c>
      <c r="GA11" s="157" t="s">
        <v>912</v>
      </c>
      <c r="GB11" s="177"/>
      <c r="GC11" s="165"/>
      <c r="GD11" s="177"/>
      <c r="GE11" s="158"/>
      <c r="GF11" s="177"/>
      <c r="GG11" s="165"/>
      <c r="GH11" s="177"/>
      <c r="GI11" s="158"/>
      <c r="GJ11" s="180"/>
      <c r="GK11" s="180"/>
      <c r="GL11" s="180"/>
      <c r="GM11" s="177"/>
      <c r="GN11" s="158"/>
      <c r="GO11" s="177"/>
      <c r="GP11" s="158"/>
      <c r="GQ11" s="177"/>
      <c r="GR11" s="180"/>
      <c r="GS11" s="158"/>
      <c r="GT11" s="177"/>
      <c r="GU11" s="158"/>
      <c r="GV11" s="177"/>
      <c r="GW11" s="155">
        <f t="shared" si="14"/>
        <v>0</v>
      </c>
      <c r="GX11" s="155">
        <f t="shared" si="15"/>
        <v>0</v>
      </c>
      <c r="GY11" s="155">
        <f>IF(MatchDay!$C$2="LOWER",COUNTA(GF11:GH11),0)</f>
        <v>0</v>
      </c>
    </row>
    <row r="12" spans="1:207" ht="16.5" customHeight="1" x14ac:dyDescent="0.45">
      <c r="A12" s="157" t="s">
        <v>912</v>
      </c>
      <c r="B12" s="171"/>
      <c r="C12" s="165"/>
      <c r="D12" s="171"/>
      <c r="E12" s="158"/>
      <c r="F12" s="171"/>
      <c r="G12" s="165"/>
      <c r="H12" s="171"/>
      <c r="I12" s="158"/>
      <c r="J12" s="180"/>
      <c r="K12" s="180"/>
      <c r="L12" s="180"/>
      <c r="M12" s="171"/>
      <c r="N12" s="158"/>
      <c r="O12" s="171"/>
      <c r="P12" s="158"/>
      <c r="Q12" s="171"/>
      <c r="R12" s="180"/>
      <c r="S12" s="158"/>
      <c r="T12" s="171"/>
      <c r="U12" s="158"/>
      <c r="V12" s="171"/>
      <c r="W12" s="155">
        <f t="shared" si="0"/>
        <v>0</v>
      </c>
      <c r="X12" s="155">
        <f t="shared" si="1"/>
        <v>0</v>
      </c>
      <c r="Y12" s="155">
        <f>IF(MatchDay!$C$2="LOWER",COUNTA(F12:H12),0)</f>
        <v>0</v>
      </c>
      <c r="AA12" s="157" t="s">
        <v>912</v>
      </c>
      <c r="AB12" s="177"/>
      <c r="AC12" s="165"/>
      <c r="AD12" s="177"/>
      <c r="AE12" s="158"/>
      <c r="AF12" s="177"/>
      <c r="AG12" s="165"/>
      <c r="AH12" s="177"/>
      <c r="AI12" s="158"/>
      <c r="AJ12" s="180"/>
      <c r="AK12" s="180"/>
      <c r="AL12" s="180"/>
      <c r="AM12" s="177"/>
      <c r="AN12" s="158"/>
      <c r="AO12" s="177"/>
      <c r="AP12" s="158"/>
      <c r="AQ12" s="177"/>
      <c r="AR12" s="180"/>
      <c r="AS12" s="158"/>
      <c r="AT12" s="177"/>
      <c r="AU12" s="158"/>
      <c r="AV12" s="177"/>
      <c r="AW12" s="155">
        <f t="shared" si="2"/>
        <v>0</v>
      </c>
      <c r="AX12" s="155">
        <f t="shared" si="3"/>
        <v>0</v>
      </c>
      <c r="AY12" s="155">
        <f>IF(MatchDay!$C$2="LOWER",COUNTA(AF12:AH12),0)</f>
        <v>0</v>
      </c>
      <c r="BA12" s="157" t="s">
        <v>912</v>
      </c>
      <c r="BB12" s="171"/>
      <c r="BC12" s="165"/>
      <c r="BD12" s="171"/>
      <c r="BE12" s="158"/>
      <c r="BF12" s="171"/>
      <c r="BG12" s="165"/>
      <c r="BH12" s="171"/>
      <c r="BI12" s="158"/>
      <c r="BJ12" s="180"/>
      <c r="BK12" s="180"/>
      <c r="BL12" s="180"/>
      <c r="BM12" s="171"/>
      <c r="BN12" s="158"/>
      <c r="BO12" s="171"/>
      <c r="BP12" s="158"/>
      <c r="BQ12" s="171"/>
      <c r="BR12" s="180"/>
      <c r="BS12" s="158"/>
      <c r="BT12" s="171"/>
      <c r="BU12" s="158"/>
      <c r="BV12" s="171"/>
      <c r="BW12" s="155">
        <f t="shared" si="4"/>
        <v>0</v>
      </c>
      <c r="BX12" s="155">
        <f t="shared" si="5"/>
        <v>0</v>
      </c>
      <c r="BY12" s="155">
        <f>IF(MatchDay!$C$2="LOWER",COUNTA(BF12:BH12),0)</f>
        <v>0</v>
      </c>
      <c r="CA12" s="157" t="s">
        <v>912</v>
      </c>
      <c r="CB12" s="177"/>
      <c r="CC12" s="165"/>
      <c r="CD12" s="177"/>
      <c r="CE12" s="158"/>
      <c r="CF12" s="177"/>
      <c r="CG12" s="165"/>
      <c r="CH12" s="177"/>
      <c r="CI12" s="158"/>
      <c r="CJ12" s="180"/>
      <c r="CK12" s="180"/>
      <c r="CL12" s="180"/>
      <c r="CM12" s="177"/>
      <c r="CN12" s="158"/>
      <c r="CO12" s="177"/>
      <c r="CP12" s="158"/>
      <c r="CQ12" s="177"/>
      <c r="CR12" s="180"/>
      <c r="CS12" s="158"/>
      <c r="CT12" s="177"/>
      <c r="CU12" s="158"/>
      <c r="CV12" s="177"/>
      <c r="CW12" s="155">
        <f t="shared" si="6"/>
        <v>0</v>
      </c>
      <c r="CX12" s="155">
        <f t="shared" si="7"/>
        <v>0</v>
      </c>
      <c r="CY12" s="155">
        <f>IF(MatchDay!$C$2="LOWER",COUNTA(CF12:CH12),0)</f>
        <v>0</v>
      </c>
      <c r="DA12" s="157" t="s">
        <v>912</v>
      </c>
      <c r="DB12" s="171"/>
      <c r="DC12" s="165"/>
      <c r="DD12" s="171"/>
      <c r="DE12" s="158"/>
      <c r="DF12" s="171"/>
      <c r="DG12" s="165"/>
      <c r="DH12" s="171"/>
      <c r="DI12" s="158"/>
      <c r="DJ12" s="180"/>
      <c r="DK12" s="180"/>
      <c r="DL12" s="180"/>
      <c r="DM12" s="171"/>
      <c r="DN12" s="158"/>
      <c r="DO12" s="171"/>
      <c r="DP12" s="158"/>
      <c r="DQ12" s="171"/>
      <c r="DR12" s="180"/>
      <c r="DS12" s="158"/>
      <c r="DT12" s="171"/>
      <c r="DU12" s="158"/>
      <c r="DV12" s="171"/>
      <c r="DW12" s="155">
        <f t="shared" si="8"/>
        <v>0</v>
      </c>
      <c r="DX12" s="155">
        <f t="shared" si="9"/>
        <v>0</v>
      </c>
      <c r="DY12" s="155">
        <f>IF(MatchDay!$C$2="LOWER",COUNTA(DF12:DH12),0)</f>
        <v>0</v>
      </c>
      <c r="EA12" s="157" t="s">
        <v>912</v>
      </c>
      <c r="EB12" s="177"/>
      <c r="EC12" s="165"/>
      <c r="ED12" s="177"/>
      <c r="EE12" s="158"/>
      <c r="EF12" s="177"/>
      <c r="EG12" s="165"/>
      <c r="EH12" s="177"/>
      <c r="EI12" s="158"/>
      <c r="EJ12" s="180"/>
      <c r="EK12" s="180"/>
      <c r="EL12" s="180"/>
      <c r="EM12" s="177"/>
      <c r="EN12" s="158"/>
      <c r="EO12" s="177"/>
      <c r="EP12" s="158"/>
      <c r="EQ12" s="177"/>
      <c r="ER12" s="180"/>
      <c r="ES12" s="158"/>
      <c r="ET12" s="177"/>
      <c r="EU12" s="158"/>
      <c r="EV12" s="177"/>
      <c r="EW12" s="155">
        <f t="shared" si="10"/>
        <v>0</v>
      </c>
      <c r="EX12" s="155">
        <f t="shared" si="11"/>
        <v>0</v>
      </c>
      <c r="EY12" s="155">
        <f>IF(MatchDay!$C$2="LOWER",COUNTA(EF12:EH12),0)</f>
        <v>0</v>
      </c>
      <c r="FA12" s="157" t="s">
        <v>912</v>
      </c>
      <c r="FB12" s="171"/>
      <c r="FC12" s="165"/>
      <c r="FD12" s="171"/>
      <c r="FE12" s="158"/>
      <c r="FF12" s="171"/>
      <c r="FG12" s="165"/>
      <c r="FH12" s="171"/>
      <c r="FI12" s="158"/>
      <c r="FJ12" s="180"/>
      <c r="FK12" s="180"/>
      <c r="FL12" s="180"/>
      <c r="FM12" s="171"/>
      <c r="FN12" s="158"/>
      <c r="FO12" s="171"/>
      <c r="FP12" s="158"/>
      <c r="FQ12" s="171"/>
      <c r="FR12" s="180"/>
      <c r="FS12" s="158"/>
      <c r="FT12" s="171"/>
      <c r="FU12" s="158"/>
      <c r="FV12" s="171"/>
      <c r="FW12" s="155">
        <f t="shared" si="12"/>
        <v>0</v>
      </c>
      <c r="FX12" s="155">
        <f t="shared" si="13"/>
        <v>0</v>
      </c>
      <c r="FY12" s="155">
        <f>IF(MatchDay!$C$2="LOWER",COUNTA(FF12:FH12),0)</f>
        <v>0</v>
      </c>
      <c r="GA12" s="157" t="s">
        <v>912</v>
      </c>
      <c r="GB12" s="177"/>
      <c r="GC12" s="165"/>
      <c r="GD12" s="177"/>
      <c r="GE12" s="158"/>
      <c r="GF12" s="177"/>
      <c r="GG12" s="165"/>
      <c r="GH12" s="177"/>
      <c r="GI12" s="158"/>
      <c r="GJ12" s="180"/>
      <c r="GK12" s="180"/>
      <c r="GL12" s="180"/>
      <c r="GM12" s="177"/>
      <c r="GN12" s="158"/>
      <c r="GO12" s="177"/>
      <c r="GP12" s="158"/>
      <c r="GQ12" s="177"/>
      <c r="GR12" s="180"/>
      <c r="GS12" s="158"/>
      <c r="GT12" s="177"/>
      <c r="GU12" s="158"/>
      <c r="GV12" s="177"/>
      <c r="GW12" s="155">
        <f t="shared" si="14"/>
        <v>0</v>
      </c>
      <c r="GX12" s="155">
        <f t="shared" si="15"/>
        <v>0</v>
      </c>
      <c r="GY12" s="155">
        <f>IF(MatchDay!$C$2="LOWER",COUNTA(GF12:GH12),0)</f>
        <v>0</v>
      </c>
    </row>
    <row r="13" spans="1:207" ht="16.5" customHeight="1" x14ac:dyDescent="0.45">
      <c r="A13" s="157" t="s">
        <v>912</v>
      </c>
      <c r="B13" s="171"/>
      <c r="C13" s="165"/>
      <c r="D13" s="171"/>
      <c r="E13" s="158"/>
      <c r="F13" s="171"/>
      <c r="G13" s="165"/>
      <c r="H13" s="171"/>
      <c r="I13" s="158"/>
      <c r="J13" s="180"/>
      <c r="K13" s="180"/>
      <c r="L13" s="180"/>
      <c r="M13" s="171"/>
      <c r="N13" s="158"/>
      <c r="O13" s="171"/>
      <c r="P13" s="158"/>
      <c r="Q13" s="171"/>
      <c r="R13" s="180"/>
      <c r="S13" s="158"/>
      <c r="T13" s="171"/>
      <c r="U13" s="158"/>
      <c r="V13" s="171"/>
      <c r="W13" s="155">
        <f t="shared" si="0"/>
        <v>0</v>
      </c>
      <c r="X13" s="155">
        <f t="shared" si="1"/>
        <v>0</v>
      </c>
      <c r="Y13" s="155">
        <f>IF(MatchDay!$C$2="LOWER",COUNTA(F13:H13),0)</f>
        <v>0</v>
      </c>
      <c r="AA13" s="157" t="s">
        <v>912</v>
      </c>
      <c r="AB13" s="177"/>
      <c r="AC13" s="165"/>
      <c r="AD13" s="177"/>
      <c r="AE13" s="158"/>
      <c r="AF13" s="177"/>
      <c r="AG13" s="165"/>
      <c r="AH13" s="177"/>
      <c r="AI13" s="158"/>
      <c r="AJ13" s="180"/>
      <c r="AK13" s="180"/>
      <c r="AL13" s="180"/>
      <c r="AM13" s="177"/>
      <c r="AN13" s="158"/>
      <c r="AO13" s="177"/>
      <c r="AP13" s="158"/>
      <c r="AQ13" s="177"/>
      <c r="AR13" s="180"/>
      <c r="AS13" s="158"/>
      <c r="AT13" s="177"/>
      <c r="AU13" s="158"/>
      <c r="AV13" s="177"/>
      <c r="AW13" s="155">
        <f t="shared" si="2"/>
        <v>0</v>
      </c>
      <c r="AX13" s="155">
        <f t="shared" si="3"/>
        <v>0</v>
      </c>
      <c r="AY13" s="155">
        <f>IF(MatchDay!$C$2="LOWER",COUNTA(AF13:AH13),0)</f>
        <v>0</v>
      </c>
      <c r="BA13" s="157" t="s">
        <v>912</v>
      </c>
      <c r="BB13" s="171"/>
      <c r="BC13" s="165"/>
      <c r="BD13" s="171"/>
      <c r="BE13" s="158"/>
      <c r="BF13" s="171"/>
      <c r="BG13" s="165"/>
      <c r="BH13" s="171"/>
      <c r="BI13" s="158"/>
      <c r="BJ13" s="180"/>
      <c r="BK13" s="180"/>
      <c r="BL13" s="180"/>
      <c r="BM13" s="171"/>
      <c r="BN13" s="158"/>
      <c r="BO13" s="171"/>
      <c r="BP13" s="158"/>
      <c r="BQ13" s="171"/>
      <c r="BR13" s="180"/>
      <c r="BS13" s="158"/>
      <c r="BT13" s="171"/>
      <c r="BU13" s="158"/>
      <c r="BV13" s="171"/>
      <c r="BW13" s="155">
        <f t="shared" si="4"/>
        <v>0</v>
      </c>
      <c r="BX13" s="155">
        <f t="shared" si="5"/>
        <v>0</v>
      </c>
      <c r="BY13" s="155">
        <f>IF(MatchDay!$C$2="LOWER",COUNTA(BF13:BH13),0)</f>
        <v>0</v>
      </c>
      <c r="CA13" s="157" t="s">
        <v>912</v>
      </c>
      <c r="CB13" s="177"/>
      <c r="CC13" s="165"/>
      <c r="CD13" s="177"/>
      <c r="CE13" s="158"/>
      <c r="CF13" s="177"/>
      <c r="CG13" s="165"/>
      <c r="CH13" s="177"/>
      <c r="CI13" s="158"/>
      <c r="CJ13" s="180"/>
      <c r="CK13" s="180"/>
      <c r="CL13" s="180"/>
      <c r="CM13" s="177"/>
      <c r="CN13" s="158"/>
      <c r="CO13" s="177"/>
      <c r="CP13" s="158"/>
      <c r="CQ13" s="177"/>
      <c r="CR13" s="180"/>
      <c r="CS13" s="158"/>
      <c r="CT13" s="177"/>
      <c r="CU13" s="158"/>
      <c r="CV13" s="177"/>
      <c r="CW13" s="155">
        <f t="shared" si="6"/>
        <v>0</v>
      </c>
      <c r="CX13" s="155">
        <f t="shared" si="7"/>
        <v>0</v>
      </c>
      <c r="CY13" s="155">
        <f>IF(MatchDay!$C$2="LOWER",COUNTA(CF13:CH13),0)</f>
        <v>0</v>
      </c>
      <c r="DA13" s="157" t="s">
        <v>912</v>
      </c>
      <c r="DB13" s="171"/>
      <c r="DC13" s="165"/>
      <c r="DD13" s="171"/>
      <c r="DE13" s="158"/>
      <c r="DF13" s="171"/>
      <c r="DG13" s="165"/>
      <c r="DH13" s="171"/>
      <c r="DI13" s="158"/>
      <c r="DJ13" s="180"/>
      <c r="DK13" s="180"/>
      <c r="DL13" s="180"/>
      <c r="DM13" s="171"/>
      <c r="DN13" s="158"/>
      <c r="DO13" s="171"/>
      <c r="DP13" s="158"/>
      <c r="DQ13" s="171"/>
      <c r="DR13" s="180"/>
      <c r="DS13" s="158"/>
      <c r="DT13" s="171"/>
      <c r="DU13" s="158"/>
      <c r="DV13" s="171"/>
      <c r="DW13" s="155">
        <f t="shared" si="8"/>
        <v>0</v>
      </c>
      <c r="DX13" s="155">
        <f t="shared" si="9"/>
        <v>0</v>
      </c>
      <c r="DY13" s="155">
        <f>IF(MatchDay!$C$2="LOWER",COUNTA(DF13:DH13),0)</f>
        <v>0</v>
      </c>
      <c r="EA13" s="157" t="s">
        <v>912</v>
      </c>
      <c r="EB13" s="177"/>
      <c r="EC13" s="165"/>
      <c r="ED13" s="177"/>
      <c r="EE13" s="158"/>
      <c r="EF13" s="177"/>
      <c r="EG13" s="165"/>
      <c r="EH13" s="177"/>
      <c r="EI13" s="158"/>
      <c r="EJ13" s="180"/>
      <c r="EK13" s="180"/>
      <c r="EL13" s="180"/>
      <c r="EM13" s="177"/>
      <c r="EN13" s="158"/>
      <c r="EO13" s="177"/>
      <c r="EP13" s="158"/>
      <c r="EQ13" s="177"/>
      <c r="ER13" s="180"/>
      <c r="ES13" s="158"/>
      <c r="ET13" s="177"/>
      <c r="EU13" s="158"/>
      <c r="EV13" s="177"/>
      <c r="EW13" s="155">
        <f t="shared" si="10"/>
        <v>0</v>
      </c>
      <c r="EX13" s="155">
        <f t="shared" si="11"/>
        <v>0</v>
      </c>
      <c r="EY13" s="155">
        <f>IF(MatchDay!$C$2="LOWER",COUNTA(EF13:EH13),0)</f>
        <v>0</v>
      </c>
      <c r="FA13" s="157" t="s">
        <v>912</v>
      </c>
      <c r="FB13" s="171"/>
      <c r="FC13" s="165"/>
      <c r="FD13" s="171"/>
      <c r="FE13" s="158"/>
      <c r="FF13" s="171"/>
      <c r="FG13" s="165"/>
      <c r="FH13" s="171"/>
      <c r="FI13" s="158"/>
      <c r="FJ13" s="180"/>
      <c r="FK13" s="180"/>
      <c r="FL13" s="180"/>
      <c r="FM13" s="171"/>
      <c r="FN13" s="158"/>
      <c r="FO13" s="171"/>
      <c r="FP13" s="158"/>
      <c r="FQ13" s="171"/>
      <c r="FR13" s="180"/>
      <c r="FS13" s="158"/>
      <c r="FT13" s="171"/>
      <c r="FU13" s="158"/>
      <c r="FV13" s="171"/>
      <c r="FW13" s="155">
        <f t="shared" si="12"/>
        <v>0</v>
      </c>
      <c r="FX13" s="155">
        <f t="shared" si="13"/>
        <v>0</v>
      </c>
      <c r="FY13" s="155">
        <f>IF(MatchDay!$C$2="LOWER",COUNTA(FF13:FH13),0)</f>
        <v>0</v>
      </c>
      <c r="GA13" s="157" t="s">
        <v>912</v>
      </c>
      <c r="GB13" s="177"/>
      <c r="GC13" s="165"/>
      <c r="GD13" s="177"/>
      <c r="GE13" s="158"/>
      <c r="GF13" s="177"/>
      <c r="GG13" s="165"/>
      <c r="GH13" s="177"/>
      <c r="GI13" s="158"/>
      <c r="GJ13" s="180"/>
      <c r="GK13" s="180"/>
      <c r="GL13" s="180"/>
      <c r="GM13" s="177"/>
      <c r="GN13" s="158"/>
      <c r="GO13" s="177"/>
      <c r="GP13" s="158"/>
      <c r="GQ13" s="177"/>
      <c r="GR13" s="180"/>
      <c r="GS13" s="158"/>
      <c r="GT13" s="177"/>
      <c r="GU13" s="158"/>
      <c r="GV13" s="177"/>
      <c r="GW13" s="155">
        <f t="shared" si="14"/>
        <v>0</v>
      </c>
      <c r="GX13" s="155">
        <f t="shared" si="15"/>
        <v>0</v>
      </c>
      <c r="GY13" s="155">
        <f>IF(MatchDay!$C$2="LOWER",COUNTA(GF13:GH13),0)</f>
        <v>0</v>
      </c>
    </row>
    <row r="14" spans="1:207" ht="16.5" customHeight="1" x14ac:dyDescent="0.45">
      <c r="A14" s="157" t="s">
        <v>912</v>
      </c>
      <c r="B14" s="171"/>
      <c r="C14" s="165"/>
      <c r="D14" s="171"/>
      <c r="E14" s="158"/>
      <c r="F14" s="171"/>
      <c r="G14" s="165"/>
      <c r="H14" s="171"/>
      <c r="I14" s="158"/>
      <c r="J14" s="180"/>
      <c r="K14" s="180"/>
      <c r="L14" s="180"/>
      <c r="M14" s="171"/>
      <c r="N14" s="158"/>
      <c r="O14" s="171"/>
      <c r="P14" s="158"/>
      <c r="Q14" s="171"/>
      <c r="R14" s="180"/>
      <c r="S14" s="158"/>
      <c r="T14" s="171"/>
      <c r="U14" s="158"/>
      <c r="V14" s="171"/>
      <c r="W14" s="155">
        <f t="shared" si="0"/>
        <v>0</v>
      </c>
      <c r="X14" s="155">
        <f t="shared" si="1"/>
        <v>0</v>
      </c>
      <c r="Y14" s="155">
        <f>IF(MatchDay!$C$2="LOWER",COUNTA(F14:H14),0)</f>
        <v>0</v>
      </c>
      <c r="AA14" s="157" t="s">
        <v>912</v>
      </c>
      <c r="AB14" s="177"/>
      <c r="AC14" s="165"/>
      <c r="AD14" s="177"/>
      <c r="AE14" s="158"/>
      <c r="AF14" s="177"/>
      <c r="AG14" s="165"/>
      <c r="AH14" s="177"/>
      <c r="AI14" s="158"/>
      <c r="AJ14" s="180"/>
      <c r="AK14" s="180"/>
      <c r="AL14" s="180"/>
      <c r="AM14" s="177"/>
      <c r="AN14" s="158"/>
      <c r="AO14" s="177"/>
      <c r="AP14" s="158"/>
      <c r="AQ14" s="177"/>
      <c r="AR14" s="180"/>
      <c r="AS14" s="158"/>
      <c r="AT14" s="177"/>
      <c r="AU14" s="158"/>
      <c r="AV14" s="177"/>
      <c r="AW14" s="155">
        <f t="shared" si="2"/>
        <v>0</v>
      </c>
      <c r="AX14" s="155">
        <f t="shared" si="3"/>
        <v>0</v>
      </c>
      <c r="AY14" s="155">
        <f>IF(MatchDay!$C$2="LOWER",COUNTA(AF14:AH14),0)</f>
        <v>0</v>
      </c>
      <c r="BA14" s="157" t="s">
        <v>912</v>
      </c>
      <c r="BB14" s="171"/>
      <c r="BC14" s="165"/>
      <c r="BD14" s="171"/>
      <c r="BE14" s="158"/>
      <c r="BF14" s="171"/>
      <c r="BG14" s="165"/>
      <c r="BH14" s="171"/>
      <c r="BI14" s="158"/>
      <c r="BJ14" s="180"/>
      <c r="BK14" s="180"/>
      <c r="BL14" s="180"/>
      <c r="BM14" s="171"/>
      <c r="BN14" s="158"/>
      <c r="BO14" s="171"/>
      <c r="BP14" s="158"/>
      <c r="BQ14" s="171"/>
      <c r="BR14" s="180"/>
      <c r="BS14" s="158"/>
      <c r="BT14" s="171"/>
      <c r="BU14" s="158"/>
      <c r="BV14" s="171"/>
      <c r="BW14" s="155">
        <f t="shared" si="4"/>
        <v>0</v>
      </c>
      <c r="BX14" s="155">
        <f t="shared" si="5"/>
        <v>0</v>
      </c>
      <c r="BY14" s="155">
        <f>IF(MatchDay!$C$2="LOWER",COUNTA(BF14:BH14),0)</f>
        <v>0</v>
      </c>
      <c r="CA14" s="157" t="s">
        <v>912</v>
      </c>
      <c r="CB14" s="177"/>
      <c r="CC14" s="165"/>
      <c r="CD14" s="177"/>
      <c r="CE14" s="158"/>
      <c r="CF14" s="177"/>
      <c r="CG14" s="165"/>
      <c r="CH14" s="177"/>
      <c r="CI14" s="158"/>
      <c r="CJ14" s="180"/>
      <c r="CK14" s="180"/>
      <c r="CL14" s="180"/>
      <c r="CM14" s="177"/>
      <c r="CN14" s="158"/>
      <c r="CO14" s="177"/>
      <c r="CP14" s="158"/>
      <c r="CQ14" s="177"/>
      <c r="CR14" s="180"/>
      <c r="CS14" s="158"/>
      <c r="CT14" s="177"/>
      <c r="CU14" s="158"/>
      <c r="CV14" s="177"/>
      <c r="CW14" s="155">
        <f t="shared" si="6"/>
        <v>0</v>
      </c>
      <c r="CX14" s="155">
        <f t="shared" si="7"/>
        <v>0</v>
      </c>
      <c r="CY14" s="155">
        <f>IF(MatchDay!$C$2="LOWER",COUNTA(CF14:CH14),0)</f>
        <v>0</v>
      </c>
      <c r="DA14" s="157" t="s">
        <v>912</v>
      </c>
      <c r="DB14" s="171"/>
      <c r="DC14" s="165"/>
      <c r="DD14" s="171"/>
      <c r="DE14" s="158"/>
      <c r="DF14" s="171"/>
      <c r="DG14" s="165"/>
      <c r="DH14" s="171"/>
      <c r="DI14" s="158"/>
      <c r="DJ14" s="180"/>
      <c r="DK14" s="180"/>
      <c r="DL14" s="180"/>
      <c r="DM14" s="171"/>
      <c r="DN14" s="158"/>
      <c r="DO14" s="171"/>
      <c r="DP14" s="158"/>
      <c r="DQ14" s="171"/>
      <c r="DR14" s="180"/>
      <c r="DS14" s="158"/>
      <c r="DT14" s="171"/>
      <c r="DU14" s="158"/>
      <c r="DV14" s="171"/>
      <c r="DW14" s="155">
        <f t="shared" si="8"/>
        <v>0</v>
      </c>
      <c r="DX14" s="155">
        <f t="shared" si="9"/>
        <v>0</v>
      </c>
      <c r="DY14" s="155">
        <f>IF(MatchDay!$C$2="LOWER",COUNTA(DF14:DH14),0)</f>
        <v>0</v>
      </c>
      <c r="EA14" s="157" t="s">
        <v>912</v>
      </c>
      <c r="EB14" s="177"/>
      <c r="EC14" s="165"/>
      <c r="ED14" s="177"/>
      <c r="EE14" s="158"/>
      <c r="EF14" s="177"/>
      <c r="EG14" s="165"/>
      <c r="EH14" s="177"/>
      <c r="EI14" s="158"/>
      <c r="EJ14" s="180"/>
      <c r="EK14" s="180"/>
      <c r="EL14" s="180"/>
      <c r="EM14" s="177"/>
      <c r="EN14" s="158"/>
      <c r="EO14" s="177"/>
      <c r="EP14" s="158"/>
      <c r="EQ14" s="177"/>
      <c r="ER14" s="180"/>
      <c r="ES14" s="158"/>
      <c r="ET14" s="177"/>
      <c r="EU14" s="158"/>
      <c r="EV14" s="177"/>
      <c r="EW14" s="155">
        <f t="shared" si="10"/>
        <v>0</v>
      </c>
      <c r="EX14" s="155">
        <f t="shared" si="11"/>
        <v>0</v>
      </c>
      <c r="EY14" s="155">
        <f>IF(MatchDay!$C$2="LOWER",COUNTA(EF14:EH14),0)</f>
        <v>0</v>
      </c>
      <c r="FA14" s="157" t="s">
        <v>912</v>
      </c>
      <c r="FB14" s="171"/>
      <c r="FC14" s="165"/>
      <c r="FD14" s="171"/>
      <c r="FE14" s="158"/>
      <c r="FF14" s="171"/>
      <c r="FG14" s="165"/>
      <c r="FH14" s="171"/>
      <c r="FI14" s="158"/>
      <c r="FJ14" s="180"/>
      <c r="FK14" s="180"/>
      <c r="FL14" s="180"/>
      <c r="FM14" s="171"/>
      <c r="FN14" s="158"/>
      <c r="FO14" s="171"/>
      <c r="FP14" s="158"/>
      <c r="FQ14" s="171"/>
      <c r="FR14" s="180"/>
      <c r="FS14" s="158"/>
      <c r="FT14" s="171"/>
      <c r="FU14" s="158"/>
      <c r="FV14" s="171"/>
      <c r="FW14" s="155">
        <f t="shared" si="12"/>
        <v>0</v>
      </c>
      <c r="FX14" s="155">
        <f t="shared" si="13"/>
        <v>0</v>
      </c>
      <c r="FY14" s="155">
        <f>IF(MatchDay!$C$2="LOWER",COUNTA(FF14:FH14),0)</f>
        <v>0</v>
      </c>
      <c r="GA14" s="157" t="s">
        <v>912</v>
      </c>
      <c r="GB14" s="177"/>
      <c r="GC14" s="165"/>
      <c r="GD14" s="177"/>
      <c r="GE14" s="158"/>
      <c r="GF14" s="177"/>
      <c r="GG14" s="165"/>
      <c r="GH14" s="177"/>
      <c r="GI14" s="158"/>
      <c r="GJ14" s="180"/>
      <c r="GK14" s="180"/>
      <c r="GL14" s="180"/>
      <c r="GM14" s="177"/>
      <c r="GN14" s="158"/>
      <c r="GO14" s="177"/>
      <c r="GP14" s="158"/>
      <c r="GQ14" s="177"/>
      <c r="GR14" s="180"/>
      <c r="GS14" s="158"/>
      <c r="GT14" s="177"/>
      <c r="GU14" s="158"/>
      <c r="GV14" s="177"/>
      <c r="GW14" s="155">
        <f t="shared" si="14"/>
        <v>0</v>
      </c>
      <c r="GX14" s="155">
        <f t="shared" si="15"/>
        <v>0</v>
      </c>
      <c r="GY14" s="155">
        <f>IF(MatchDay!$C$2="LOWER",COUNTA(GF14:GH14),0)</f>
        <v>0</v>
      </c>
    </row>
    <row r="15" spans="1:207" ht="16.5" customHeight="1" x14ac:dyDescent="0.45">
      <c r="A15" s="157" t="s">
        <v>912</v>
      </c>
      <c r="B15" s="171"/>
      <c r="C15" s="165"/>
      <c r="D15" s="171"/>
      <c r="E15" s="158"/>
      <c r="F15" s="171"/>
      <c r="G15" s="165"/>
      <c r="H15" s="171"/>
      <c r="I15" s="158"/>
      <c r="J15" s="180"/>
      <c r="K15" s="180"/>
      <c r="L15" s="180"/>
      <c r="M15" s="171"/>
      <c r="N15" s="158"/>
      <c r="O15" s="171"/>
      <c r="P15" s="158"/>
      <c r="Q15" s="171"/>
      <c r="R15" s="180"/>
      <c r="S15" s="158"/>
      <c r="T15" s="171"/>
      <c r="U15" s="158"/>
      <c r="V15" s="171"/>
      <c r="W15" s="155">
        <f t="shared" si="0"/>
        <v>0</v>
      </c>
      <c r="X15" s="155">
        <f t="shared" si="1"/>
        <v>0</v>
      </c>
      <c r="Y15" s="155">
        <f>IF(MatchDay!$C$2="LOWER",COUNTA(F15:H15),0)</f>
        <v>0</v>
      </c>
      <c r="AA15" s="157" t="s">
        <v>912</v>
      </c>
      <c r="AB15" s="177"/>
      <c r="AC15" s="165"/>
      <c r="AD15" s="177"/>
      <c r="AE15" s="158"/>
      <c r="AF15" s="177"/>
      <c r="AG15" s="165"/>
      <c r="AH15" s="177"/>
      <c r="AI15" s="158"/>
      <c r="AJ15" s="180"/>
      <c r="AK15" s="180"/>
      <c r="AL15" s="180"/>
      <c r="AM15" s="177"/>
      <c r="AN15" s="158"/>
      <c r="AO15" s="177"/>
      <c r="AP15" s="158"/>
      <c r="AQ15" s="177"/>
      <c r="AR15" s="180"/>
      <c r="AS15" s="158"/>
      <c r="AT15" s="177"/>
      <c r="AU15" s="158"/>
      <c r="AV15" s="177"/>
      <c r="AW15" s="155">
        <f t="shared" si="2"/>
        <v>0</v>
      </c>
      <c r="AX15" s="155">
        <f t="shared" si="3"/>
        <v>0</v>
      </c>
      <c r="AY15" s="155">
        <f>IF(MatchDay!$C$2="LOWER",COUNTA(AF15:AH15),0)</f>
        <v>0</v>
      </c>
      <c r="BA15" s="157" t="s">
        <v>912</v>
      </c>
      <c r="BB15" s="171"/>
      <c r="BC15" s="165"/>
      <c r="BD15" s="171"/>
      <c r="BE15" s="158"/>
      <c r="BF15" s="171"/>
      <c r="BG15" s="165"/>
      <c r="BH15" s="171"/>
      <c r="BI15" s="158"/>
      <c r="BJ15" s="180"/>
      <c r="BK15" s="180"/>
      <c r="BL15" s="180"/>
      <c r="BM15" s="171"/>
      <c r="BN15" s="158"/>
      <c r="BO15" s="171"/>
      <c r="BP15" s="158"/>
      <c r="BQ15" s="171"/>
      <c r="BR15" s="180"/>
      <c r="BS15" s="158"/>
      <c r="BT15" s="171"/>
      <c r="BU15" s="158"/>
      <c r="BV15" s="171"/>
      <c r="BW15" s="155">
        <f t="shared" si="4"/>
        <v>0</v>
      </c>
      <c r="BX15" s="155">
        <f t="shared" si="5"/>
        <v>0</v>
      </c>
      <c r="BY15" s="155">
        <f>IF(MatchDay!$C$2="LOWER",COUNTA(BF15:BH15),0)</f>
        <v>0</v>
      </c>
      <c r="CA15" s="157" t="s">
        <v>912</v>
      </c>
      <c r="CB15" s="177"/>
      <c r="CC15" s="165"/>
      <c r="CD15" s="177"/>
      <c r="CE15" s="158"/>
      <c r="CF15" s="177"/>
      <c r="CG15" s="165"/>
      <c r="CH15" s="177"/>
      <c r="CI15" s="158"/>
      <c r="CJ15" s="180"/>
      <c r="CK15" s="180"/>
      <c r="CL15" s="180"/>
      <c r="CM15" s="177"/>
      <c r="CN15" s="158"/>
      <c r="CO15" s="177"/>
      <c r="CP15" s="158"/>
      <c r="CQ15" s="177"/>
      <c r="CR15" s="180"/>
      <c r="CS15" s="158"/>
      <c r="CT15" s="177"/>
      <c r="CU15" s="158"/>
      <c r="CV15" s="177"/>
      <c r="CW15" s="155">
        <f t="shared" si="6"/>
        <v>0</v>
      </c>
      <c r="CX15" s="155">
        <f t="shared" si="7"/>
        <v>0</v>
      </c>
      <c r="CY15" s="155">
        <f>IF(MatchDay!$C$2="LOWER",COUNTA(CF15:CH15),0)</f>
        <v>0</v>
      </c>
      <c r="DA15" s="157" t="s">
        <v>912</v>
      </c>
      <c r="DB15" s="171"/>
      <c r="DC15" s="165"/>
      <c r="DD15" s="171"/>
      <c r="DE15" s="158"/>
      <c r="DF15" s="171"/>
      <c r="DG15" s="165"/>
      <c r="DH15" s="171"/>
      <c r="DI15" s="158"/>
      <c r="DJ15" s="180"/>
      <c r="DK15" s="180"/>
      <c r="DL15" s="180"/>
      <c r="DM15" s="171"/>
      <c r="DN15" s="158"/>
      <c r="DO15" s="171"/>
      <c r="DP15" s="158"/>
      <c r="DQ15" s="171"/>
      <c r="DR15" s="180"/>
      <c r="DS15" s="158"/>
      <c r="DT15" s="171"/>
      <c r="DU15" s="158"/>
      <c r="DV15" s="171"/>
      <c r="DW15" s="155">
        <f t="shared" si="8"/>
        <v>0</v>
      </c>
      <c r="DX15" s="155">
        <f t="shared" si="9"/>
        <v>0</v>
      </c>
      <c r="DY15" s="155">
        <f>IF(MatchDay!$C$2="LOWER",COUNTA(DF15:DH15),0)</f>
        <v>0</v>
      </c>
      <c r="EA15" s="157" t="s">
        <v>912</v>
      </c>
      <c r="EB15" s="177"/>
      <c r="EC15" s="165"/>
      <c r="ED15" s="177"/>
      <c r="EE15" s="158"/>
      <c r="EF15" s="177"/>
      <c r="EG15" s="165"/>
      <c r="EH15" s="177"/>
      <c r="EI15" s="158"/>
      <c r="EJ15" s="180"/>
      <c r="EK15" s="180"/>
      <c r="EL15" s="180"/>
      <c r="EM15" s="177"/>
      <c r="EN15" s="158"/>
      <c r="EO15" s="177"/>
      <c r="EP15" s="158"/>
      <c r="EQ15" s="177"/>
      <c r="ER15" s="180"/>
      <c r="ES15" s="158"/>
      <c r="ET15" s="177"/>
      <c r="EU15" s="158"/>
      <c r="EV15" s="177"/>
      <c r="EW15" s="155">
        <f t="shared" si="10"/>
        <v>0</v>
      </c>
      <c r="EX15" s="155">
        <f t="shared" si="11"/>
        <v>0</v>
      </c>
      <c r="EY15" s="155">
        <f>IF(MatchDay!$C$2="LOWER",COUNTA(EF15:EH15),0)</f>
        <v>0</v>
      </c>
      <c r="FA15" s="157" t="s">
        <v>912</v>
      </c>
      <c r="FB15" s="171"/>
      <c r="FC15" s="165"/>
      <c r="FD15" s="171"/>
      <c r="FE15" s="158"/>
      <c r="FF15" s="171"/>
      <c r="FG15" s="165"/>
      <c r="FH15" s="171"/>
      <c r="FI15" s="158"/>
      <c r="FJ15" s="180"/>
      <c r="FK15" s="180"/>
      <c r="FL15" s="180"/>
      <c r="FM15" s="171"/>
      <c r="FN15" s="158"/>
      <c r="FO15" s="171"/>
      <c r="FP15" s="158"/>
      <c r="FQ15" s="171"/>
      <c r="FR15" s="180"/>
      <c r="FS15" s="158"/>
      <c r="FT15" s="171"/>
      <c r="FU15" s="158"/>
      <c r="FV15" s="171"/>
      <c r="FW15" s="155">
        <f t="shared" si="12"/>
        <v>0</v>
      </c>
      <c r="FX15" s="155">
        <f t="shared" si="13"/>
        <v>0</v>
      </c>
      <c r="FY15" s="155">
        <f>IF(MatchDay!$C$2="LOWER",COUNTA(FF15:FH15),0)</f>
        <v>0</v>
      </c>
      <c r="GA15" s="157" t="s">
        <v>912</v>
      </c>
      <c r="GB15" s="177"/>
      <c r="GC15" s="165"/>
      <c r="GD15" s="177"/>
      <c r="GE15" s="158"/>
      <c r="GF15" s="177"/>
      <c r="GG15" s="165"/>
      <c r="GH15" s="177"/>
      <c r="GI15" s="158"/>
      <c r="GJ15" s="180"/>
      <c r="GK15" s="180"/>
      <c r="GL15" s="180"/>
      <c r="GM15" s="177"/>
      <c r="GN15" s="158"/>
      <c r="GO15" s="177"/>
      <c r="GP15" s="158"/>
      <c r="GQ15" s="177"/>
      <c r="GR15" s="180"/>
      <c r="GS15" s="158"/>
      <c r="GT15" s="177"/>
      <c r="GU15" s="158"/>
      <c r="GV15" s="177"/>
      <c r="GW15" s="155">
        <f t="shared" si="14"/>
        <v>0</v>
      </c>
      <c r="GX15" s="155">
        <f t="shared" si="15"/>
        <v>0</v>
      </c>
      <c r="GY15" s="155">
        <f>IF(MatchDay!$C$2="LOWER",COUNTA(GF15:GH15),0)</f>
        <v>0</v>
      </c>
    </row>
    <row r="16" spans="1:207" ht="16.5" customHeight="1" x14ac:dyDescent="0.45">
      <c r="A16" s="157" t="s">
        <v>912</v>
      </c>
      <c r="B16" s="171"/>
      <c r="C16" s="165"/>
      <c r="D16" s="171"/>
      <c r="E16" s="158"/>
      <c r="F16" s="171"/>
      <c r="G16" s="165"/>
      <c r="H16" s="171"/>
      <c r="I16" s="158"/>
      <c r="J16" s="180"/>
      <c r="K16" s="180"/>
      <c r="L16" s="180"/>
      <c r="M16" s="171"/>
      <c r="N16" s="158"/>
      <c r="O16" s="171"/>
      <c r="P16" s="158"/>
      <c r="Q16" s="171"/>
      <c r="R16" s="180"/>
      <c r="S16" s="158"/>
      <c r="T16" s="171"/>
      <c r="U16" s="158"/>
      <c r="V16" s="171"/>
      <c r="W16" s="155">
        <f t="shared" si="0"/>
        <v>0</v>
      </c>
      <c r="X16" s="155">
        <f t="shared" si="1"/>
        <v>0</v>
      </c>
      <c r="Y16" s="155">
        <f>IF(MatchDay!$C$2="LOWER",COUNTA(F16:H16),0)</f>
        <v>0</v>
      </c>
      <c r="AA16" s="157" t="s">
        <v>912</v>
      </c>
      <c r="AB16" s="177"/>
      <c r="AC16" s="165"/>
      <c r="AD16" s="177"/>
      <c r="AE16" s="158"/>
      <c r="AF16" s="177"/>
      <c r="AG16" s="165"/>
      <c r="AH16" s="177"/>
      <c r="AI16" s="158"/>
      <c r="AJ16" s="180"/>
      <c r="AK16" s="180"/>
      <c r="AL16" s="180"/>
      <c r="AM16" s="177"/>
      <c r="AN16" s="158"/>
      <c r="AO16" s="177"/>
      <c r="AP16" s="158"/>
      <c r="AQ16" s="177"/>
      <c r="AR16" s="180"/>
      <c r="AS16" s="158"/>
      <c r="AT16" s="177"/>
      <c r="AU16" s="158"/>
      <c r="AV16" s="177"/>
      <c r="AW16" s="155">
        <f t="shared" si="2"/>
        <v>0</v>
      </c>
      <c r="AX16" s="155">
        <f t="shared" si="3"/>
        <v>0</v>
      </c>
      <c r="AY16" s="155">
        <f>IF(MatchDay!$C$2="LOWER",COUNTA(AF16:AH16),0)</f>
        <v>0</v>
      </c>
      <c r="BA16" s="157" t="s">
        <v>912</v>
      </c>
      <c r="BB16" s="171"/>
      <c r="BC16" s="165"/>
      <c r="BD16" s="171"/>
      <c r="BE16" s="158"/>
      <c r="BF16" s="171"/>
      <c r="BG16" s="165"/>
      <c r="BH16" s="171"/>
      <c r="BI16" s="158"/>
      <c r="BJ16" s="180"/>
      <c r="BK16" s="180"/>
      <c r="BL16" s="180"/>
      <c r="BM16" s="171"/>
      <c r="BN16" s="158"/>
      <c r="BO16" s="171"/>
      <c r="BP16" s="158"/>
      <c r="BQ16" s="171"/>
      <c r="BR16" s="180"/>
      <c r="BS16" s="158"/>
      <c r="BT16" s="171"/>
      <c r="BU16" s="158"/>
      <c r="BV16" s="171"/>
      <c r="BW16" s="155">
        <f t="shared" si="4"/>
        <v>0</v>
      </c>
      <c r="BX16" s="155">
        <f t="shared" si="5"/>
        <v>0</v>
      </c>
      <c r="BY16" s="155">
        <f>IF(MatchDay!$C$2="LOWER",COUNTA(BF16:BH16),0)</f>
        <v>0</v>
      </c>
      <c r="CA16" s="157" t="s">
        <v>912</v>
      </c>
      <c r="CB16" s="177"/>
      <c r="CC16" s="165"/>
      <c r="CD16" s="177"/>
      <c r="CE16" s="158"/>
      <c r="CF16" s="177"/>
      <c r="CG16" s="165"/>
      <c r="CH16" s="177"/>
      <c r="CI16" s="158"/>
      <c r="CJ16" s="180"/>
      <c r="CK16" s="180"/>
      <c r="CL16" s="180"/>
      <c r="CM16" s="177"/>
      <c r="CN16" s="158"/>
      <c r="CO16" s="177"/>
      <c r="CP16" s="158"/>
      <c r="CQ16" s="177"/>
      <c r="CR16" s="180"/>
      <c r="CS16" s="158"/>
      <c r="CT16" s="177"/>
      <c r="CU16" s="158"/>
      <c r="CV16" s="177"/>
      <c r="CW16" s="155">
        <f t="shared" si="6"/>
        <v>0</v>
      </c>
      <c r="CX16" s="155">
        <f t="shared" si="7"/>
        <v>0</v>
      </c>
      <c r="CY16" s="155">
        <f>IF(MatchDay!$C$2="LOWER",COUNTA(CF16:CH16),0)</f>
        <v>0</v>
      </c>
      <c r="DA16" s="157" t="s">
        <v>912</v>
      </c>
      <c r="DB16" s="171"/>
      <c r="DC16" s="165"/>
      <c r="DD16" s="171"/>
      <c r="DE16" s="158"/>
      <c r="DF16" s="171"/>
      <c r="DG16" s="165"/>
      <c r="DH16" s="171"/>
      <c r="DI16" s="158"/>
      <c r="DJ16" s="180"/>
      <c r="DK16" s="180"/>
      <c r="DL16" s="180"/>
      <c r="DM16" s="171"/>
      <c r="DN16" s="158"/>
      <c r="DO16" s="171"/>
      <c r="DP16" s="158"/>
      <c r="DQ16" s="171"/>
      <c r="DR16" s="180"/>
      <c r="DS16" s="158"/>
      <c r="DT16" s="171"/>
      <c r="DU16" s="158"/>
      <c r="DV16" s="171"/>
      <c r="DW16" s="155">
        <f t="shared" si="8"/>
        <v>0</v>
      </c>
      <c r="DX16" s="155">
        <f t="shared" si="9"/>
        <v>0</v>
      </c>
      <c r="DY16" s="155">
        <f>IF(MatchDay!$C$2="LOWER",COUNTA(DF16:DH16),0)</f>
        <v>0</v>
      </c>
      <c r="EA16" s="157" t="s">
        <v>912</v>
      </c>
      <c r="EB16" s="177"/>
      <c r="EC16" s="165"/>
      <c r="ED16" s="177"/>
      <c r="EE16" s="158"/>
      <c r="EF16" s="177"/>
      <c r="EG16" s="165"/>
      <c r="EH16" s="177"/>
      <c r="EI16" s="158"/>
      <c r="EJ16" s="180"/>
      <c r="EK16" s="180"/>
      <c r="EL16" s="180"/>
      <c r="EM16" s="177"/>
      <c r="EN16" s="158"/>
      <c r="EO16" s="177"/>
      <c r="EP16" s="158"/>
      <c r="EQ16" s="177"/>
      <c r="ER16" s="180"/>
      <c r="ES16" s="158"/>
      <c r="ET16" s="177"/>
      <c r="EU16" s="158"/>
      <c r="EV16" s="177"/>
      <c r="EW16" s="155">
        <f t="shared" si="10"/>
        <v>0</v>
      </c>
      <c r="EX16" s="155">
        <f t="shared" si="11"/>
        <v>0</v>
      </c>
      <c r="EY16" s="155">
        <f>IF(MatchDay!$C$2="LOWER",COUNTA(EF16:EH16),0)</f>
        <v>0</v>
      </c>
      <c r="FA16" s="157" t="s">
        <v>912</v>
      </c>
      <c r="FB16" s="171"/>
      <c r="FC16" s="165"/>
      <c r="FD16" s="171"/>
      <c r="FE16" s="158"/>
      <c r="FF16" s="171"/>
      <c r="FG16" s="165"/>
      <c r="FH16" s="171"/>
      <c r="FI16" s="158"/>
      <c r="FJ16" s="180"/>
      <c r="FK16" s="180"/>
      <c r="FL16" s="180"/>
      <c r="FM16" s="171"/>
      <c r="FN16" s="158"/>
      <c r="FO16" s="171"/>
      <c r="FP16" s="158"/>
      <c r="FQ16" s="171"/>
      <c r="FR16" s="180"/>
      <c r="FS16" s="158"/>
      <c r="FT16" s="171"/>
      <c r="FU16" s="158"/>
      <c r="FV16" s="171"/>
      <c r="FW16" s="155">
        <f t="shared" si="12"/>
        <v>0</v>
      </c>
      <c r="FX16" s="155">
        <f t="shared" si="13"/>
        <v>0</v>
      </c>
      <c r="FY16" s="155">
        <f>IF(MatchDay!$C$2="LOWER",COUNTA(FF16:FH16),0)</f>
        <v>0</v>
      </c>
      <c r="GA16" s="157" t="s">
        <v>912</v>
      </c>
      <c r="GB16" s="177"/>
      <c r="GC16" s="165"/>
      <c r="GD16" s="177"/>
      <c r="GE16" s="158"/>
      <c r="GF16" s="177"/>
      <c r="GG16" s="165"/>
      <c r="GH16" s="177"/>
      <c r="GI16" s="158"/>
      <c r="GJ16" s="180"/>
      <c r="GK16" s="180"/>
      <c r="GL16" s="180"/>
      <c r="GM16" s="177"/>
      <c r="GN16" s="158"/>
      <c r="GO16" s="177"/>
      <c r="GP16" s="158"/>
      <c r="GQ16" s="177"/>
      <c r="GR16" s="180"/>
      <c r="GS16" s="158"/>
      <c r="GT16" s="177"/>
      <c r="GU16" s="158"/>
      <c r="GV16" s="177"/>
      <c r="GW16" s="155">
        <f t="shared" si="14"/>
        <v>0</v>
      </c>
      <c r="GX16" s="155">
        <f t="shared" si="15"/>
        <v>0</v>
      </c>
      <c r="GY16" s="155">
        <f>IF(MatchDay!$C$2="LOWER",COUNTA(GF16:GH16),0)</f>
        <v>0</v>
      </c>
    </row>
    <row r="17" spans="1:207" ht="16.5" customHeight="1" x14ac:dyDescent="0.45">
      <c r="A17" s="157" t="s">
        <v>912</v>
      </c>
      <c r="B17" s="171"/>
      <c r="C17" s="165"/>
      <c r="D17" s="171"/>
      <c r="E17" s="158"/>
      <c r="F17" s="171"/>
      <c r="G17" s="165"/>
      <c r="H17" s="171"/>
      <c r="I17" s="158"/>
      <c r="J17" s="180"/>
      <c r="K17" s="180"/>
      <c r="L17" s="180"/>
      <c r="M17" s="171"/>
      <c r="N17" s="158"/>
      <c r="O17" s="171"/>
      <c r="P17" s="158"/>
      <c r="Q17" s="171"/>
      <c r="R17" s="180"/>
      <c r="S17" s="158"/>
      <c r="T17" s="171"/>
      <c r="U17" s="158"/>
      <c r="V17" s="171"/>
      <c r="W17" s="155">
        <f t="shared" si="0"/>
        <v>0</v>
      </c>
      <c r="X17" s="155">
        <f t="shared" si="1"/>
        <v>0</v>
      </c>
      <c r="Y17" s="155">
        <f>IF(MatchDay!$C$2="LOWER",COUNTA(F17:H17),0)</f>
        <v>0</v>
      </c>
      <c r="AA17" s="157" t="s">
        <v>912</v>
      </c>
      <c r="AB17" s="177"/>
      <c r="AC17" s="165"/>
      <c r="AD17" s="177"/>
      <c r="AE17" s="158"/>
      <c r="AF17" s="177"/>
      <c r="AG17" s="165"/>
      <c r="AH17" s="177"/>
      <c r="AI17" s="158"/>
      <c r="AJ17" s="180"/>
      <c r="AK17" s="180"/>
      <c r="AL17" s="180"/>
      <c r="AM17" s="177"/>
      <c r="AN17" s="158"/>
      <c r="AO17" s="177"/>
      <c r="AP17" s="158"/>
      <c r="AQ17" s="177"/>
      <c r="AR17" s="180"/>
      <c r="AS17" s="158"/>
      <c r="AT17" s="177"/>
      <c r="AU17" s="158"/>
      <c r="AV17" s="177"/>
      <c r="AW17" s="155">
        <f t="shared" si="2"/>
        <v>0</v>
      </c>
      <c r="AX17" s="155">
        <f t="shared" si="3"/>
        <v>0</v>
      </c>
      <c r="AY17" s="155">
        <f>IF(MatchDay!$C$2="LOWER",COUNTA(AF17:AH17),0)</f>
        <v>0</v>
      </c>
      <c r="BA17" s="157" t="s">
        <v>912</v>
      </c>
      <c r="BB17" s="171"/>
      <c r="BC17" s="165"/>
      <c r="BD17" s="171"/>
      <c r="BE17" s="158"/>
      <c r="BF17" s="171"/>
      <c r="BG17" s="165"/>
      <c r="BH17" s="171"/>
      <c r="BI17" s="158"/>
      <c r="BJ17" s="180"/>
      <c r="BK17" s="180"/>
      <c r="BL17" s="180"/>
      <c r="BM17" s="171"/>
      <c r="BN17" s="158"/>
      <c r="BO17" s="171"/>
      <c r="BP17" s="158"/>
      <c r="BQ17" s="171"/>
      <c r="BR17" s="180"/>
      <c r="BS17" s="158"/>
      <c r="BT17" s="171"/>
      <c r="BU17" s="158"/>
      <c r="BV17" s="171"/>
      <c r="BW17" s="155">
        <f t="shared" si="4"/>
        <v>0</v>
      </c>
      <c r="BX17" s="155">
        <f t="shared" si="5"/>
        <v>0</v>
      </c>
      <c r="BY17" s="155">
        <f>IF(MatchDay!$C$2="LOWER",COUNTA(BF17:BH17),0)</f>
        <v>0</v>
      </c>
      <c r="CA17" s="157" t="s">
        <v>912</v>
      </c>
      <c r="CB17" s="177"/>
      <c r="CC17" s="165"/>
      <c r="CD17" s="177"/>
      <c r="CE17" s="158"/>
      <c r="CF17" s="177"/>
      <c r="CG17" s="165"/>
      <c r="CH17" s="177"/>
      <c r="CI17" s="158"/>
      <c r="CJ17" s="180"/>
      <c r="CK17" s="180"/>
      <c r="CL17" s="180"/>
      <c r="CM17" s="177"/>
      <c r="CN17" s="158"/>
      <c r="CO17" s="177"/>
      <c r="CP17" s="158"/>
      <c r="CQ17" s="177"/>
      <c r="CR17" s="180"/>
      <c r="CS17" s="158"/>
      <c r="CT17" s="177"/>
      <c r="CU17" s="158"/>
      <c r="CV17" s="177"/>
      <c r="CW17" s="155">
        <f t="shared" si="6"/>
        <v>0</v>
      </c>
      <c r="CX17" s="155">
        <f t="shared" si="7"/>
        <v>0</v>
      </c>
      <c r="CY17" s="155">
        <f>IF(MatchDay!$C$2="LOWER",COUNTA(CF17:CH17),0)</f>
        <v>0</v>
      </c>
      <c r="DA17" s="157" t="s">
        <v>912</v>
      </c>
      <c r="DB17" s="171"/>
      <c r="DC17" s="165"/>
      <c r="DD17" s="171"/>
      <c r="DE17" s="158"/>
      <c r="DF17" s="171"/>
      <c r="DG17" s="165"/>
      <c r="DH17" s="171"/>
      <c r="DI17" s="158"/>
      <c r="DJ17" s="180"/>
      <c r="DK17" s="180"/>
      <c r="DL17" s="180"/>
      <c r="DM17" s="171"/>
      <c r="DN17" s="158"/>
      <c r="DO17" s="171"/>
      <c r="DP17" s="158"/>
      <c r="DQ17" s="171"/>
      <c r="DR17" s="180"/>
      <c r="DS17" s="158"/>
      <c r="DT17" s="171"/>
      <c r="DU17" s="158"/>
      <c r="DV17" s="171"/>
      <c r="DW17" s="155">
        <f t="shared" si="8"/>
        <v>0</v>
      </c>
      <c r="DX17" s="155">
        <f t="shared" si="9"/>
        <v>0</v>
      </c>
      <c r="DY17" s="155">
        <f>IF(MatchDay!$C$2="LOWER",COUNTA(DF17:DH17),0)</f>
        <v>0</v>
      </c>
      <c r="EA17" s="157" t="s">
        <v>912</v>
      </c>
      <c r="EB17" s="177"/>
      <c r="EC17" s="165"/>
      <c r="ED17" s="177"/>
      <c r="EE17" s="158"/>
      <c r="EF17" s="177"/>
      <c r="EG17" s="165"/>
      <c r="EH17" s="177"/>
      <c r="EI17" s="158"/>
      <c r="EJ17" s="180"/>
      <c r="EK17" s="180"/>
      <c r="EL17" s="180"/>
      <c r="EM17" s="177"/>
      <c r="EN17" s="158"/>
      <c r="EO17" s="177"/>
      <c r="EP17" s="158"/>
      <c r="EQ17" s="177"/>
      <c r="ER17" s="180"/>
      <c r="ES17" s="158"/>
      <c r="ET17" s="177"/>
      <c r="EU17" s="158"/>
      <c r="EV17" s="177"/>
      <c r="EW17" s="155">
        <f t="shared" si="10"/>
        <v>0</v>
      </c>
      <c r="EX17" s="155">
        <f t="shared" si="11"/>
        <v>0</v>
      </c>
      <c r="EY17" s="155">
        <f>IF(MatchDay!$C$2="LOWER",COUNTA(EF17:EH17),0)</f>
        <v>0</v>
      </c>
      <c r="FA17" s="157" t="s">
        <v>912</v>
      </c>
      <c r="FB17" s="171"/>
      <c r="FC17" s="165"/>
      <c r="FD17" s="171"/>
      <c r="FE17" s="158"/>
      <c r="FF17" s="171"/>
      <c r="FG17" s="165"/>
      <c r="FH17" s="171"/>
      <c r="FI17" s="158"/>
      <c r="FJ17" s="180"/>
      <c r="FK17" s="180"/>
      <c r="FL17" s="180"/>
      <c r="FM17" s="171"/>
      <c r="FN17" s="158"/>
      <c r="FO17" s="171"/>
      <c r="FP17" s="158"/>
      <c r="FQ17" s="171"/>
      <c r="FR17" s="180"/>
      <c r="FS17" s="158"/>
      <c r="FT17" s="171"/>
      <c r="FU17" s="158"/>
      <c r="FV17" s="171"/>
      <c r="FW17" s="155">
        <f t="shared" si="12"/>
        <v>0</v>
      </c>
      <c r="FX17" s="155">
        <f t="shared" si="13"/>
        <v>0</v>
      </c>
      <c r="FY17" s="155">
        <f>IF(MatchDay!$C$2="LOWER",COUNTA(FF17:FH17),0)</f>
        <v>0</v>
      </c>
      <c r="GA17" s="157" t="s">
        <v>912</v>
      </c>
      <c r="GB17" s="177"/>
      <c r="GC17" s="165"/>
      <c r="GD17" s="177"/>
      <c r="GE17" s="158"/>
      <c r="GF17" s="177"/>
      <c r="GG17" s="165"/>
      <c r="GH17" s="177"/>
      <c r="GI17" s="158"/>
      <c r="GJ17" s="180"/>
      <c r="GK17" s="180"/>
      <c r="GL17" s="180"/>
      <c r="GM17" s="177"/>
      <c r="GN17" s="158"/>
      <c r="GO17" s="177"/>
      <c r="GP17" s="158"/>
      <c r="GQ17" s="177"/>
      <c r="GR17" s="180"/>
      <c r="GS17" s="158"/>
      <c r="GT17" s="177"/>
      <c r="GU17" s="158"/>
      <c r="GV17" s="177"/>
      <c r="GW17" s="155">
        <f t="shared" si="14"/>
        <v>0</v>
      </c>
      <c r="GX17" s="155">
        <f t="shared" si="15"/>
        <v>0</v>
      </c>
      <c r="GY17" s="155">
        <f>IF(MatchDay!$C$2="LOWER",COUNTA(GF17:GH17),0)</f>
        <v>0</v>
      </c>
    </row>
    <row r="18" spans="1:207" ht="16.5" customHeight="1" x14ac:dyDescent="0.45">
      <c r="A18" s="157" t="s">
        <v>912</v>
      </c>
      <c r="B18" s="171"/>
      <c r="C18" s="165"/>
      <c r="D18" s="171"/>
      <c r="E18" s="158"/>
      <c r="F18" s="171"/>
      <c r="G18" s="165"/>
      <c r="H18" s="171"/>
      <c r="I18" s="158"/>
      <c r="J18" s="180"/>
      <c r="K18" s="180"/>
      <c r="L18" s="180"/>
      <c r="M18" s="171"/>
      <c r="N18" s="158"/>
      <c r="O18" s="171"/>
      <c r="P18" s="158"/>
      <c r="Q18" s="171"/>
      <c r="R18" s="180"/>
      <c r="S18" s="158"/>
      <c r="T18" s="171"/>
      <c r="U18" s="158"/>
      <c r="V18" s="171"/>
      <c r="W18" s="155">
        <f t="shared" si="0"/>
        <v>0</v>
      </c>
      <c r="X18" s="155">
        <f t="shared" si="1"/>
        <v>0</v>
      </c>
      <c r="Y18" s="155">
        <f>IF(MatchDay!$C$2="LOWER",COUNTA(F18:H18),0)</f>
        <v>0</v>
      </c>
      <c r="AA18" s="157" t="s">
        <v>912</v>
      </c>
      <c r="AB18" s="177"/>
      <c r="AC18" s="165"/>
      <c r="AD18" s="177"/>
      <c r="AE18" s="158"/>
      <c r="AF18" s="177"/>
      <c r="AG18" s="165"/>
      <c r="AH18" s="177"/>
      <c r="AI18" s="158"/>
      <c r="AJ18" s="180"/>
      <c r="AK18" s="180"/>
      <c r="AL18" s="180"/>
      <c r="AM18" s="177"/>
      <c r="AN18" s="158"/>
      <c r="AO18" s="177"/>
      <c r="AP18" s="158"/>
      <c r="AQ18" s="177"/>
      <c r="AR18" s="180"/>
      <c r="AS18" s="158"/>
      <c r="AT18" s="177"/>
      <c r="AU18" s="158"/>
      <c r="AV18" s="177"/>
      <c r="AW18" s="155">
        <f t="shared" si="2"/>
        <v>0</v>
      </c>
      <c r="AX18" s="155">
        <f t="shared" si="3"/>
        <v>0</v>
      </c>
      <c r="AY18" s="155">
        <f>IF(MatchDay!$C$2="LOWER",COUNTA(AF18:AH18),0)</f>
        <v>0</v>
      </c>
      <c r="BA18" s="157" t="s">
        <v>912</v>
      </c>
      <c r="BB18" s="171"/>
      <c r="BC18" s="165"/>
      <c r="BD18" s="171"/>
      <c r="BE18" s="158"/>
      <c r="BF18" s="171"/>
      <c r="BG18" s="165"/>
      <c r="BH18" s="171"/>
      <c r="BI18" s="158"/>
      <c r="BJ18" s="180"/>
      <c r="BK18" s="180"/>
      <c r="BL18" s="180"/>
      <c r="BM18" s="171"/>
      <c r="BN18" s="158"/>
      <c r="BO18" s="171"/>
      <c r="BP18" s="158"/>
      <c r="BQ18" s="171"/>
      <c r="BR18" s="180"/>
      <c r="BS18" s="158"/>
      <c r="BT18" s="171"/>
      <c r="BU18" s="158"/>
      <c r="BV18" s="171"/>
      <c r="BW18" s="155">
        <f t="shared" si="4"/>
        <v>0</v>
      </c>
      <c r="BX18" s="155">
        <f t="shared" si="5"/>
        <v>0</v>
      </c>
      <c r="BY18" s="155">
        <f>IF(MatchDay!$C$2="LOWER",COUNTA(BF18:BH18),0)</f>
        <v>0</v>
      </c>
      <c r="CA18" s="157" t="s">
        <v>912</v>
      </c>
      <c r="CB18" s="177"/>
      <c r="CC18" s="165"/>
      <c r="CD18" s="177"/>
      <c r="CE18" s="158"/>
      <c r="CF18" s="177"/>
      <c r="CG18" s="165"/>
      <c r="CH18" s="177"/>
      <c r="CI18" s="158"/>
      <c r="CJ18" s="180"/>
      <c r="CK18" s="180"/>
      <c r="CL18" s="180"/>
      <c r="CM18" s="177"/>
      <c r="CN18" s="158"/>
      <c r="CO18" s="177"/>
      <c r="CP18" s="158"/>
      <c r="CQ18" s="177"/>
      <c r="CR18" s="180"/>
      <c r="CS18" s="158"/>
      <c r="CT18" s="177"/>
      <c r="CU18" s="158"/>
      <c r="CV18" s="177"/>
      <c r="CW18" s="155">
        <f t="shared" si="6"/>
        <v>0</v>
      </c>
      <c r="CX18" s="155">
        <f t="shared" si="7"/>
        <v>0</v>
      </c>
      <c r="CY18" s="155">
        <f>IF(MatchDay!$C$2="LOWER",COUNTA(CF18:CH18),0)</f>
        <v>0</v>
      </c>
      <c r="DA18" s="157" t="s">
        <v>912</v>
      </c>
      <c r="DB18" s="171"/>
      <c r="DC18" s="165"/>
      <c r="DD18" s="171"/>
      <c r="DE18" s="158"/>
      <c r="DF18" s="171"/>
      <c r="DG18" s="165"/>
      <c r="DH18" s="171"/>
      <c r="DI18" s="158"/>
      <c r="DJ18" s="180"/>
      <c r="DK18" s="180"/>
      <c r="DL18" s="180"/>
      <c r="DM18" s="171"/>
      <c r="DN18" s="158"/>
      <c r="DO18" s="171"/>
      <c r="DP18" s="158"/>
      <c r="DQ18" s="171"/>
      <c r="DR18" s="180"/>
      <c r="DS18" s="158"/>
      <c r="DT18" s="171"/>
      <c r="DU18" s="158"/>
      <c r="DV18" s="171"/>
      <c r="DW18" s="155">
        <f t="shared" si="8"/>
        <v>0</v>
      </c>
      <c r="DX18" s="155">
        <f t="shared" si="9"/>
        <v>0</v>
      </c>
      <c r="DY18" s="155">
        <f>IF(MatchDay!$C$2="LOWER",COUNTA(DF18:DH18),0)</f>
        <v>0</v>
      </c>
      <c r="EA18" s="157" t="s">
        <v>912</v>
      </c>
      <c r="EB18" s="177"/>
      <c r="EC18" s="165"/>
      <c r="ED18" s="177"/>
      <c r="EE18" s="158"/>
      <c r="EF18" s="177"/>
      <c r="EG18" s="165"/>
      <c r="EH18" s="177"/>
      <c r="EI18" s="158"/>
      <c r="EJ18" s="180"/>
      <c r="EK18" s="180"/>
      <c r="EL18" s="180"/>
      <c r="EM18" s="177"/>
      <c r="EN18" s="158"/>
      <c r="EO18" s="177"/>
      <c r="EP18" s="158"/>
      <c r="EQ18" s="177"/>
      <c r="ER18" s="180"/>
      <c r="ES18" s="158"/>
      <c r="ET18" s="177"/>
      <c r="EU18" s="158"/>
      <c r="EV18" s="177"/>
      <c r="EW18" s="155">
        <f t="shared" si="10"/>
        <v>0</v>
      </c>
      <c r="EX18" s="155">
        <f t="shared" si="11"/>
        <v>0</v>
      </c>
      <c r="EY18" s="155">
        <f>IF(MatchDay!$C$2="LOWER",COUNTA(EF18:EH18),0)</f>
        <v>0</v>
      </c>
      <c r="FA18" s="157" t="s">
        <v>912</v>
      </c>
      <c r="FB18" s="171"/>
      <c r="FC18" s="165"/>
      <c r="FD18" s="171"/>
      <c r="FE18" s="158"/>
      <c r="FF18" s="171"/>
      <c r="FG18" s="165"/>
      <c r="FH18" s="171"/>
      <c r="FI18" s="158"/>
      <c r="FJ18" s="180"/>
      <c r="FK18" s="180"/>
      <c r="FL18" s="180"/>
      <c r="FM18" s="171"/>
      <c r="FN18" s="158"/>
      <c r="FO18" s="171"/>
      <c r="FP18" s="158"/>
      <c r="FQ18" s="171"/>
      <c r="FR18" s="180"/>
      <c r="FS18" s="158"/>
      <c r="FT18" s="171"/>
      <c r="FU18" s="158"/>
      <c r="FV18" s="171"/>
      <c r="FW18" s="155">
        <f t="shared" si="12"/>
        <v>0</v>
      </c>
      <c r="FX18" s="155">
        <f t="shared" si="13"/>
        <v>0</v>
      </c>
      <c r="FY18" s="155">
        <f>IF(MatchDay!$C$2="LOWER",COUNTA(FF18:FH18),0)</f>
        <v>0</v>
      </c>
      <c r="GA18" s="157" t="s">
        <v>912</v>
      </c>
      <c r="GB18" s="177"/>
      <c r="GC18" s="165"/>
      <c r="GD18" s="177"/>
      <c r="GE18" s="158"/>
      <c r="GF18" s="177"/>
      <c r="GG18" s="165"/>
      <c r="GH18" s="177"/>
      <c r="GI18" s="158"/>
      <c r="GJ18" s="180"/>
      <c r="GK18" s="180"/>
      <c r="GL18" s="180"/>
      <c r="GM18" s="177"/>
      <c r="GN18" s="158"/>
      <c r="GO18" s="177"/>
      <c r="GP18" s="158"/>
      <c r="GQ18" s="177"/>
      <c r="GR18" s="180"/>
      <c r="GS18" s="158"/>
      <c r="GT18" s="177"/>
      <c r="GU18" s="158"/>
      <c r="GV18" s="177"/>
      <c r="GW18" s="155">
        <f t="shared" si="14"/>
        <v>0</v>
      </c>
      <c r="GX18" s="155">
        <f t="shared" si="15"/>
        <v>0</v>
      </c>
      <c r="GY18" s="155">
        <f>IF(MatchDay!$C$2="LOWER",COUNTA(GF18:GH18),0)</f>
        <v>0</v>
      </c>
    </row>
    <row r="19" spans="1:207" ht="16.5" customHeight="1" x14ac:dyDescent="0.45">
      <c r="A19" s="157" t="s">
        <v>912</v>
      </c>
      <c r="B19" s="171"/>
      <c r="C19" s="165"/>
      <c r="D19" s="171"/>
      <c r="E19" s="158"/>
      <c r="F19" s="171"/>
      <c r="G19" s="165"/>
      <c r="H19" s="171"/>
      <c r="I19" s="158"/>
      <c r="J19" s="180"/>
      <c r="K19" s="180"/>
      <c r="L19" s="180"/>
      <c r="M19" s="171"/>
      <c r="N19" s="158"/>
      <c r="O19" s="171"/>
      <c r="P19" s="158"/>
      <c r="Q19" s="171"/>
      <c r="R19" s="180"/>
      <c r="S19" s="158"/>
      <c r="T19" s="171"/>
      <c r="U19" s="158"/>
      <c r="V19" s="171"/>
      <c r="W19" s="155">
        <f t="shared" si="0"/>
        <v>0</v>
      </c>
      <c r="X19" s="155">
        <f t="shared" si="1"/>
        <v>0</v>
      </c>
      <c r="Y19" s="155">
        <f>IF(MatchDay!$C$2="LOWER",COUNTA(F19:H19),0)</f>
        <v>0</v>
      </c>
      <c r="AA19" s="157" t="s">
        <v>912</v>
      </c>
      <c r="AB19" s="177"/>
      <c r="AC19" s="165"/>
      <c r="AD19" s="177"/>
      <c r="AE19" s="158"/>
      <c r="AF19" s="177"/>
      <c r="AG19" s="165"/>
      <c r="AH19" s="177"/>
      <c r="AI19" s="158"/>
      <c r="AJ19" s="180"/>
      <c r="AK19" s="180"/>
      <c r="AL19" s="180"/>
      <c r="AM19" s="177"/>
      <c r="AN19" s="158"/>
      <c r="AO19" s="177"/>
      <c r="AP19" s="158"/>
      <c r="AQ19" s="177"/>
      <c r="AR19" s="180"/>
      <c r="AS19" s="158"/>
      <c r="AT19" s="177"/>
      <c r="AU19" s="158"/>
      <c r="AV19" s="177"/>
      <c r="AW19" s="155">
        <f t="shared" si="2"/>
        <v>0</v>
      </c>
      <c r="AX19" s="155">
        <f t="shared" si="3"/>
        <v>0</v>
      </c>
      <c r="AY19" s="155">
        <f>IF(MatchDay!$C$2="LOWER",COUNTA(AF19:AH19),0)</f>
        <v>0</v>
      </c>
      <c r="BA19" s="157" t="s">
        <v>912</v>
      </c>
      <c r="BB19" s="171"/>
      <c r="BC19" s="165"/>
      <c r="BD19" s="171"/>
      <c r="BE19" s="158"/>
      <c r="BF19" s="171"/>
      <c r="BG19" s="165"/>
      <c r="BH19" s="171"/>
      <c r="BI19" s="158"/>
      <c r="BJ19" s="180"/>
      <c r="BK19" s="180"/>
      <c r="BL19" s="180"/>
      <c r="BM19" s="171"/>
      <c r="BN19" s="158"/>
      <c r="BO19" s="171"/>
      <c r="BP19" s="158"/>
      <c r="BQ19" s="171"/>
      <c r="BR19" s="180"/>
      <c r="BS19" s="158"/>
      <c r="BT19" s="171"/>
      <c r="BU19" s="158"/>
      <c r="BV19" s="171"/>
      <c r="BW19" s="155">
        <f t="shared" si="4"/>
        <v>0</v>
      </c>
      <c r="BX19" s="155">
        <f t="shared" si="5"/>
        <v>0</v>
      </c>
      <c r="BY19" s="155">
        <f>IF(MatchDay!$C$2="LOWER",COUNTA(BF19:BH19),0)</f>
        <v>0</v>
      </c>
      <c r="CA19" s="157" t="s">
        <v>912</v>
      </c>
      <c r="CB19" s="177"/>
      <c r="CC19" s="165"/>
      <c r="CD19" s="177"/>
      <c r="CE19" s="158"/>
      <c r="CF19" s="177"/>
      <c r="CG19" s="165"/>
      <c r="CH19" s="177"/>
      <c r="CI19" s="158"/>
      <c r="CJ19" s="180"/>
      <c r="CK19" s="180"/>
      <c r="CL19" s="180"/>
      <c r="CM19" s="177"/>
      <c r="CN19" s="158"/>
      <c r="CO19" s="177"/>
      <c r="CP19" s="158"/>
      <c r="CQ19" s="177"/>
      <c r="CR19" s="180"/>
      <c r="CS19" s="158"/>
      <c r="CT19" s="177"/>
      <c r="CU19" s="158"/>
      <c r="CV19" s="177"/>
      <c r="CW19" s="155">
        <f t="shared" si="6"/>
        <v>0</v>
      </c>
      <c r="CX19" s="155">
        <f t="shared" si="7"/>
        <v>0</v>
      </c>
      <c r="CY19" s="155">
        <f>IF(MatchDay!$C$2="LOWER",COUNTA(CF19:CH19),0)</f>
        <v>0</v>
      </c>
      <c r="DA19" s="157" t="s">
        <v>912</v>
      </c>
      <c r="DB19" s="171"/>
      <c r="DC19" s="165"/>
      <c r="DD19" s="171"/>
      <c r="DE19" s="158"/>
      <c r="DF19" s="171"/>
      <c r="DG19" s="165"/>
      <c r="DH19" s="171"/>
      <c r="DI19" s="158"/>
      <c r="DJ19" s="180"/>
      <c r="DK19" s="180"/>
      <c r="DL19" s="180"/>
      <c r="DM19" s="171"/>
      <c r="DN19" s="158"/>
      <c r="DO19" s="171"/>
      <c r="DP19" s="158"/>
      <c r="DQ19" s="171"/>
      <c r="DR19" s="180"/>
      <c r="DS19" s="158"/>
      <c r="DT19" s="171"/>
      <c r="DU19" s="158"/>
      <c r="DV19" s="171"/>
      <c r="DW19" s="155">
        <f t="shared" si="8"/>
        <v>0</v>
      </c>
      <c r="DX19" s="155">
        <f t="shared" si="9"/>
        <v>0</v>
      </c>
      <c r="DY19" s="155">
        <f>IF(MatchDay!$C$2="LOWER",COUNTA(DF19:DH19),0)</f>
        <v>0</v>
      </c>
      <c r="EA19" s="157" t="s">
        <v>912</v>
      </c>
      <c r="EB19" s="177"/>
      <c r="EC19" s="165"/>
      <c r="ED19" s="177"/>
      <c r="EE19" s="158"/>
      <c r="EF19" s="177"/>
      <c r="EG19" s="165"/>
      <c r="EH19" s="177"/>
      <c r="EI19" s="158"/>
      <c r="EJ19" s="180"/>
      <c r="EK19" s="180"/>
      <c r="EL19" s="180"/>
      <c r="EM19" s="177"/>
      <c r="EN19" s="158"/>
      <c r="EO19" s="177"/>
      <c r="EP19" s="158"/>
      <c r="EQ19" s="177"/>
      <c r="ER19" s="180"/>
      <c r="ES19" s="158"/>
      <c r="ET19" s="177"/>
      <c r="EU19" s="158"/>
      <c r="EV19" s="177"/>
      <c r="EW19" s="155">
        <f t="shared" si="10"/>
        <v>0</v>
      </c>
      <c r="EX19" s="155">
        <f t="shared" si="11"/>
        <v>0</v>
      </c>
      <c r="EY19" s="155">
        <f>IF(MatchDay!$C$2="LOWER",COUNTA(EF19:EH19),0)</f>
        <v>0</v>
      </c>
      <c r="FA19" s="157" t="s">
        <v>912</v>
      </c>
      <c r="FB19" s="171"/>
      <c r="FC19" s="165"/>
      <c r="FD19" s="171"/>
      <c r="FE19" s="158"/>
      <c r="FF19" s="171"/>
      <c r="FG19" s="165"/>
      <c r="FH19" s="171"/>
      <c r="FI19" s="158"/>
      <c r="FJ19" s="180"/>
      <c r="FK19" s="180"/>
      <c r="FL19" s="180"/>
      <c r="FM19" s="171"/>
      <c r="FN19" s="158"/>
      <c r="FO19" s="171"/>
      <c r="FP19" s="158"/>
      <c r="FQ19" s="171"/>
      <c r="FR19" s="180"/>
      <c r="FS19" s="158"/>
      <c r="FT19" s="171"/>
      <c r="FU19" s="158"/>
      <c r="FV19" s="171"/>
      <c r="FW19" s="155">
        <f t="shared" si="12"/>
        <v>0</v>
      </c>
      <c r="FX19" s="155">
        <f t="shared" si="13"/>
        <v>0</v>
      </c>
      <c r="FY19" s="155">
        <f>IF(MatchDay!$C$2="LOWER",COUNTA(FF19:FH19),0)</f>
        <v>0</v>
      </c>
      <c r="GA19" s="157" t="s">
        <v>912</v>
      </c>
      <c r="GB19" s="177"/>
      <c r="GC19" s="165"/>
      <c r="GD19" s="177"/>
      <c r="GE19" s="158"/>
      <c r="GF19" s="177"/>
      <c r="GG19" s="165"/>
      <c r="GH19" s="177"/>
      <c r="GI19" s="158"/>
      <c r="GJ19" s="180"/>
      <c r="GK19" s="180"/>
      <c r="GL19" s="180"/>
      <c r="GM19" s="177"/>
      <c r="GN19" s="158"/>
      <c r="GO19" s="177"/>
      <c r="GP19" s="158"/>
      <c r="GQ19" s="177"/>
      <c r="GR19" s="180"/>
      <c r="GS19" s="158"/>
      <c r="GT19" s="177"/>
      <c r="GU19" s="158"/>
      <c r="GV19" s="177"/>
      <c r="GW19" s="155">
        <f t="shared" si="14"/>
        <v>0</v>
      </c>
      <c r="GX19" s="155">
        <f t="shared" si="15"/>
        <v>0</v>
      </c>
      <c r="GY19" s="155">
        <f>IF(MatchDay!$C$2="LOWER",COUNTA(GF19:GH19),0)</f>
        <v>0</v>
      </c>
    </row>
    <row r="20" spans="1:207" ht="16.5" customHeight="1" x14ac:dyDescent="0.45">
      <c r="A20" s="157" t="s">
        <v>912</v>
      </c>
      <c r="B20" s="171"/>
      <c r="C20" s="165"/>
      <c r="D20" s="171"/>
      <c r="E20" s="158"/>
      <c r="F20" s="171"/>
      <c r="G20" s="165"/>
      <c r="H20" s="171"/>
      <c r="I20" s="158"/>
      <c r="J20" s="180"/>
      <c r="K20" s="180"/>
      <c r="L20" s="180"/>
      <c r="M20" s="171"/>
      <c r="N20" s="158"/>
      <c r="O20" s="171"/>
      <c r="P20" s="158"/>
      <c r="Q20" s="171"/>
      <c r="R20" s="180"/>
      <c r="S20" s="158"/>
      <c r="T20" s="171"/>
      <c r="U20" s="158"/>
      <c r="V20" s="171"/>
      <c r="W20" s="155">
        <f t="shared" si="0"/>
        <v>0</v>
      </c>
      <c r="X20" s="155">
        <f t="shared" si="1"/>
        <v>0</v>
      </c>
      <c r="Y20" s="155">
        <f>IF(MatchDay!$C$2="LOWER",COUNTA(F20:H20),0)</f>
        <v>0</v>
      </c>
      <c r="AA20" s="157" t="s">
        <v>912</v>
      </c>
      <c r="AB20" s="177"/>
      <c r="AC20" s="165"/>
      <c r="AD20" s="177"/>
      <c r="AE20" s="158"/>
      <c r="AF20" s="177"/>
      <c r="AG20" s="165"/>
      <c r="AH20" s="177"/>
      <c r="AI20" s="158"/>
      <c r="AJ20" s="180"/>
      <c r="AK20" s="180"/>
      <c r="AL20" s="180"/>
      <c r="AM20" s="177"/>
      <c r="AN20" s="158"/>
      <c r="AO20" s="177"/>
      <c r="AP20" s="158"/>
      <c r="AQ20" s="177"/>
      <c r="AR20" s="180"/>
      <c r="AS20" s="158"/>
      <c r="AT20" s="177"/>
      <c r="AU20" s="158"/>
      <c r="AV20" s="177"/>
      <c r="AW20" s="155">
        <f t="shared" si="2"/>
        <v>0</v>
      </c>
      <c r="AX20" s="155">
        <f t="shared" si="3"/>
        <v>0</v>
      </c>
      <c r="AY20" s="155">
        <f>IF(MatchDay!$C$2="LOWER",COUNTA(AF20:AH20),0)</f>
        <v>0</v>
      </c>
      <c r="BA20" s="157" t="s">
        <v>912</v>
      </c>
      <c r="BB20" s="171"/>
      <c r="BC20" s="165"/>
      <c r="BD20" s="171"/>
      <c r="BE20" s="158"/>
      <c r="BF20" s="171"/>
      <c r="BG20" s="165"/>
      <c r="BH20" s="171"/>
      <c r="BI20" s="158"/>
      <c r="BJ20" s="180"/>
      <c r="BK20" s="180"/>
      <c r="BL20" s="180"/>
      <c r="BM20" s="171"/>
      <c r="BN20" s="158"/>
      <c r="BO20" s="171"/>
      <c r="BP20" s="158"/>
      <c r="BQ20" s="171"/>
      <c r="BR20" s="180"/>
      <c r="BS20" s="158"/>
      <c r="BT20" s="171"/>
      <c r="BU20" s="158"/>
      <c r="BV20" s="171"/>
      <c r="BW20" s="155">
        <f t="shared" si="4"/>
        <v>0</v>
      </c>
      <c r="BX20" s="155">
        <f t="shared" si="5"/>
        <v>0</v>
      </c>
      <c r="BY20" s="155">
        <f>IF(MatchDay!$C$2="LOWER",COUNTA(BF20:BH20),0)</f>
        <v>0</v>
      </c>
      <c r="CA20" s="157" t="s">
        <v>912</v>
      </c>
      <c r="CB20" s="177"/>
      <c r="CC20" s="165"/>
      <c r="CD20" s="177"/>
      <c r="CE20" s="158"/>
      <c r="CF20" s="177"/>
      <c r="CG20" s="165"/>
      <c r="CH20" s="177"/>
      <c r="CI20" s="158"/>
      <c r="CJ20" s="180"/>
      <c r="CK20" s="180"/>
      <c r="CL20" s="180"/>
      <c r="CM20" s="177"/>
      <c r="CN20" s="158"/>
      <c r="CO20" s="177"/>
      <c r="CP20" s="158"/>
      <c r="CQ20" s="177"/>
      <c r="CR20" s="180"/>
      <c r="CS20" s="158"/>
      <c r="CT20" s="177"/>
      <c r="CU20" s="158"/>
      <c r="CV20" s="177"/>
      <c r="CW20" s="155">
        <f t="shared" si="6"/>
        <v>0</v>
      </c>
      <c r="CX20" s="155">
        <f t="shared" si="7"/>
        <v>0</v>
      </c>
      <c r="CY20" s="155">
        <f>IF(MatchDay!$C$2="LOWER",COUNTA(CF20:CH20),0)</f>
        <v>0</v>
      </c>
      <c r="DA20" s="157" t="s">
        <v>912</v>
      </c>
      <c r="DB20" s="171"/>
      <c r="DC20" s="165"/>
      <c r="DD20" s="171"/>
      <c r="DE20" s="158"/>
      <c r="DF20" s="171"/>
      <c r="DG20" s="165"/>
      <c r="DH20" s="171"/>
      <c r="DI20" s="158"/>
      <c r="DJ20" s="180"/>
      <c r="DK20" s="180"/>
      <c r="DL20" s="180"/>
      <c r="DM20" s="171"/>
      <c r="DN20" s="158"/>
      <c r="DO20" s="171"/>
      <c r="DP20" s="158"/>
      <c r="DQ20" s="171"/>
      <c r="DR20" s="180"/>
      <c r="DS20" s="158"/>
      <c r="DT20" s="171"/>
      <c r="DU20" s="158"/>
      <c r="DV20" s="171"/>
      <c r="DW20" s="155">
        <f t="shared" si="8"/>
        <v>0</v>
      </c>
      <c r="DX20" s="155">
        <f t="shared" si="9"/>
        <v>0</v>
      </c>
      <c r="DY20" s="155">
        <f>IF(MatchDay!$C$2="LOWER",COUNTA(DF20:DH20),0)</f>
        <v>0</v>
      </c>
      <c r="EA20" s="157" t="s">
        <v>912</v>
      </c>
      <c r="EB20" s="177"/>
      <c r="EC20" s="165"/>
      <c r="ED20" s="177"/>
      <c r="EE20" s="158"/>
      <c r="EF20" s="177"/>
      <c r="EG20" s="165"/>
      <c r="EH20" s="177"/>
      <c r="EI20" s="158"/>
      <c r="EJ20" s="180"/>
      <c r="EK20" s="180"/>
      <c r="EL20" s="180"/>
      <c r="EM20" s="177"/>
      <c r="EN20" s="158"/>
      <c r="EO20" s="177"/>
      <c r="EP20" s="158"/>
      <c r="EQ20" s="177"/>
      <c r="ER20" s="180"/>
      <c r="ES20" s="158"/>
      <c r="ET20" s="177"/>
      <c r="EU20" s="158"/>
      <c r="EV20" s="177"/>
      <c r="EW20" s="155">
        <f t="shared" si="10"/>
        <v>0</v>
      </c>
      <c r="EX20" s="155">
        <f t="shared" si="11"/>
        <v>0</v>
      </c>
      <c r="EY20" s="155">
        <f>IF(MatchDay!$C$2="LOWER",COUNTA(EF20:EH20),0)</f>
        <v>0</v>
      </c>
      <c r="FA20" s="157" t="s">
        <v>912</v>
      </c>
      <c r="FB20" s="171"/>
      <c r="FC20" s="165"/>
      <c r="FD20" s="171"/>
      <c r="FE20" s="158"/>
      <c r="FF20" s="171"/>
      <c r="FG20" s="165"/>
      <c r="FH20" s="171"/>
      <c r="FI20" s="158"/>
      <c r="FJ20" s="180"/>
      <c r="FK20" s="180"/>
      <c r="FL20" s="180"/>
      <c r="FM20" s="171"/>
      <c r="FN20" s="158"/>
      <c r="FO20" s="171"/>
      <c r="FP20" s="158"/>
      <c r="FQ20" s="171"/>
      <c r="FR20" s="180"/>
      <c r="FS20" s="158"/>
      <c r="FT20" s="171"/>
      <c r="FU20" s="158"/>
      <c r="FV20" s="171"/>
      <c r="FW20" s="155">
        <f t="shared" si="12"/>
        <v>0</v>
      </c>
      <c r="FX20" s="155">
        <f t="shared" si="13"/>
        <v>0</v>
      </c>
      <c r="FY20" s="155">
        <f>IF(MatchDay!$C$2="LOWER",COUNTA(FF20:FH20),0)</f>
        <v>0</v>
      </c>
      <c r="GA20" s="157" t="s">
        <v>912</v>
      </c>
      <c r="GB20" s="177"/>
      <c r="GC20" s="165"/>
      <c r="GD20" s="177"/>
      <c r="GE20" s="158"/>
      <c r="GF20" s="177"/>
      <c r="GG20" s="165"/>
      <c r="GH20" s="177"/>
      <c r="GI20" s="158"/>
      <c r="GJ20" s="180"/>
      <c r="GK20" s="180"/>
      <c r="GL20" s="180"/>
      <c r="GM20" s="177"/>
      <c r="GN20" s="158"/>
      <c r="GO20" s="177"/>
      <c r="GP20" s="158"/>
      <c r="GQ20" s="177"/>
      <c r="GR20" s="180"/>
      <c r="GS20" s="158"/>
      <c r="GT20" s="177"/>
      <c r="GU20" s="158"/>
      <c r="GV20" s="177"/>
      <c r="GW20" s="155">
        <f t="shared" si="14"/>
        <v>0</v>
      </c>
      <c r="GX20" s="155">
        <f t="shared" si="15"/>
        <v>0</v>
      </c>
      <c r="GY20" s="155">
        <f>IF(MatchDay!$C$2="LOWER",COUNTA(GF20:GH20),0)</f>
        <v>0</v>
      </c>
    </row>
    <row r="21" spans="1:207" ht="16.5" customHeight="1" x14ac:dyDescent="0.45">
      <c r="A21" s="157" t="s">
        <v>912</v>
      </c>
      <c r="B21" s="171"/>
      <c r="C21" s="165"/>
      <c r="D21" s="171"/>
      <c r="E21" s="158"/>
      <c r="F21" s="171"/>
      <c r="G21" s="165"/>
      <c r="H21" s="171"/>
      <c r="I21" s="158"/>
      <c r="J21" s="180"/>
      <c r="K21" s="180"/>
      <c r="L21" s="180"/>
      <c r="M21" s="171"/>
      <c r="N21" s="158"/>
      <c r="O21" s="171"/>
      <c r="P21" s="158"/>
      <c r="Q21" s="171"/>
      <c r="R21" s="180"/>
      <c r="S21" s="158"/>
      <c r="T21" s="171"/>
      <c r="U21" s="158"/>
      <c r="V21" s="171"/>
      <c r="W21" s="155">
        <f t="shared" si="0"/>
        <v>0</v>
      </c>
      <c r="X21" s="155">
        <f t="shared" si="1"/>
        <v>0</v>
      </c>
      <c r="Y21" s="155">
        <f>IF(MatchDay!$C$2="LOWER",COUNTA(F21:H21),0)</f>
        <v>0</v>
      </c>
      <c r="AA21" s="157" t="s">
        <v>912</v>
      </c>
      <c r="AB21" s="177"/>
      <c r="AC21" s="165"/>
      <c r="AD21" s="177"/>
      <c r="AE21" s="158"/>
      <c r="AF21" s="177"/>
      <c r="AG21" s="165"/>
      <c r="AH21" s="177"/>
      <c r="AI21" s="158"/>
      <c r="AJ21" s="180"/>
      <c r="AK21" s="180"/>
      <c r="AL21" s="180"/>
      <c r="AM21" s="177"/>
      <c r="AN21" s="158"/>
      <c r="AO21" s="177"/>
      <c r="AP21" s="158"/>
      <c r="AQ21" s="177"/>
      <c r="AR21" s="180"/>
      <c r="AS21" s="158"/>
      <c r="AT21" s="177"/>
      <c r="AU21" s="158"/>
      <c r="AV21" s="177"/>
      <c r="AW21" s="155">
        <f t="shared" si="2"/>
        <v>0</v>
      </c>
      <c r="AX21" s="155">
        <f t="shared" si="3"/>
        <v>0</v>
      </c>
      <c r="AY21" s="155">
        <f>IF(MatchDay!$C$2="LOWER",COUNTA(AF21:AH21),0)</f>
        <v>0</v>
      </c>
      <c r="BA21" s="157" t="s">
        <v>912</v>
      </c>
      <c r="BB21" s="171"/>
      <c r="BC21" s="165"/>
      <c r="BD21" s="171"/>
      <c r="BE21" s="158"/>
      <c r="BF21" s="171"/>
      <c r="BG21" s="165"/>
      <c r="BH21" s="171"/>
      <c r="BI21" s="158"/>
      <c r="BJ21" s="180"/>
      <c r="BK21" s="180"/>
      <c r="BL21" s="180"/>
      <c r="BM21" s="171"/>
      <c r="BN21" s="158"/>
      <c r="BO21" s="171"/>
      <c r="BP21" s="158"/>
      <c r="BQ21" s="171"/>
      <c r="BR21" s="180"/>
      <c r="BS21" s="158"/>
      <c r="BT21" s="171"/>
      <c r="BU21" s="158"/>
      <c r="BV21" s="171"/>
      <c r="BW21" s="155">
        <f t="shared" si="4"/>
        <v>0</v>
      </c>
      <c r="BX21" s="155">
        <f t="shared" si="5"/>
        <v>0</v>
      </c>
      <c r="BY21" s="155">
        <f>IF(MatchDay!$C$2="LOWER",COUNTA(BF21:BH21),0)</f>
        <v>0</v>
      </c>
      <c r="CA21" s="157" t="s">
        <v>912</v>
      </c>
      <c r="CB21" s="177"/>
      <c r="CC21" s="165"/>
      <c r="CD21" s="177"/>
      <c r="CE21" s="158"/>
      <c r="CF21" s="177"/>
      <c r="CG21" s="165"/>
      <c r="CH21" s="177"/>
      <c r="CI21" s="158"/>
      <c r="CJ21" s="180"/>
      <c r="CK21" s="180"/>
      <c r="CL21" s="180"/>
      <c r="CM21" s="177"/>
      <c r="CN21" s="158"/>
      <c r="CO21" s="177"/>
      <c r="CP21" s="158"/>
      <c r="CQ21" s="177"/>
      <c r="CR21" s="180"/>
      <c r="CS21" s="158"/>
      <c r="CT21" s="177"/>
      <c r="CU21" s="158"/>
      <c r="CV21" s="177"/>
      <c r="CW21" s="155">
        <f t="shared" si="6"/>
        <v>0</v>
      </c>
      <c r="CX21" s="155">
        <f t="shared" si="7"/>
        <v>0</v>
      </c>
      <c r="CY21" s="155">
        <f>IF(MatchDay!$C$2="LOWER",COUNTA(CF21:CH21),0)</f>
        <v>0</v>
      </c>
      <c r="DA21" s="157" t="s">
        <v>912</v>
      </c>
      <c r="DB21" s="171"/>
      <c r="DC21" s="165"/>
      <c r="DD21" s="171"/>
      <c r="DE21" s="158"/>
      <c r="DF21" s="171"/>
      <c r="DG21" s="165"/>
      <c r="DH21" s="171"/>
      <c r="DI21" s="158"/>
      <c r="DJ21" s="180"/>
      <c r="DK21" s="180"/>
      <c r="DL21" s="180"/>
      <c r="DM21" s="171"/>
      <c r="DN21" s="158"/>
      <c r="DO21" s="171"/>
      <c r="DP21" s="158"/>
      <c r="DQ21" s="171"/>
      <c r="DR21" s="180"/>
      <c r="DS21" s="158"/>
      <c r="DT21" s="171"/>
      <c r="DU21" s="158"/>
      <c r="DV21" s="171"/>
      <c r="DW21" s="155">
        <f t="shared" si="8"/>
        <v>0</v>
      </c>
      <c r="DX21" s="155">
        <f t="shared" si="9"/>
        <v>0</v>
      </c>
      <c r="DY21" s="155">
        <f>IF(MatchDay!$C$2="LOWER",COUNTA(DF21:DH21),0)</f>
        <v>0</v>
      </c>
      <c r="EA21" s="157" t="s">
        <v>912</v>
      </c>
      <c r="EB21" s="177"/>
      <c r="EC21" s="165"/>
      <c r="ED21" s="177"/>
      <c r="EE21" s="158"/>
      <c r="EF21" s="177"/>
      <c r="EG21" s="165"/>
      <c r="EH21" s="177"/>
      <c r="EI21" s="158"/>
      <c r="EJ21" s="180"/>
      <c r="EK21" s="180"/>
      <c r="EL21" s="180"/>
      <c r="EM21" s="177"/>
      <c r="EN21" s="158"/>
      <c r="EO21" s="177"/>
      <c r="EP21" s="158"/>
      <c r="EQ21" s="177"/>
      <c r="ER21" s="180"/>
      <c r="ES21" s="158"/>
      <c r="ET21" s="177"/>
      <c r="EU21" s="158"/>
      <c r="EV21" s="177"/>
      <c r="EW21" s="155">
        <f t="shared" si="10"/>
        <v>0</v>
      </c>
      <c r="EX21" s="155">
        <f t="shared" si="11"/>
        <v>0</v>
      </c>
      <c r="EY21" s="155">
        <f>IF(MatchDay!$C$2="LOWER",COUNTA(EF21:EH21),0)</f>
        <v>0</v>
      </c>
      <c r="FA21" s="157" t="s">
        <v>912</v>
      </c>
      <c r="FB21" s="171"/>
      <c r="FC21" s="165"/>
      <c r="FD21" s="171"/>
      <c r="FE21" s="158"/>
      <c r="FF21" s="171"/>
      <c r="FG21" s="165"/>
      <c r="FH21" s="171"/>
      <c r="FI21" s="158"/>
      <c r="FJ21" s="180"/>
      <c r="FK21" s="180"/>
      <c r="FL21" s="180"/>
      <c r="FM21" s="171"/>
      <c r="FN21" s="158"/>
      <c r="FO21" s="171"/>
      <c r="FP21" s="158"/>
      <c r="FQ21" s="171"/>
      <c r="FR21" s="180"/>
      <c r="FS21" s="158"/>
      <c r="FT21" s="171"/>
      <c r="FU21" s="158"/>
      <c r="FV21" s="171"/>
      <c r="FW21" s="155">
        <f t="shared" si="12"/>
        <v>0</v>
      </c>
      <c r="FX21" s="155">
        <f t="shared" si="13"/>
        <v>0</v>
      </c>
      <c r="FY21" s="155">
        <f>IF(MatchDay!$C$2="LOWER",COUNTA(FF21:FH21),0)</f>
        <v>0</v>
      </c>
      <c r="GA21" s="157" t="s">
        <v>912</v>
      </c>
      <c r="GB21" s="177"/>
      <c r="GC21" s="165"/>
      <c r="GD21" s="177"/>
      <c r="GE21" s="158"/>
      <c r="GF21" s="177"/>
      <c r="GG21" s="165"/>
      <c r="GH21" s="177"/>
      <c r="GI21" s="158"/>
      <c r="GJ21" s="180"/>
      <c r="GK21" s="180"/>
      <c r="GL21" s="180"/>
      <c r="GM21" s="177"/>
      <c r="GN21" s="158"/>
      <c r="GO21" s="177"/>
      <c r="GP21" s="158"/>
      <c r="GQ21" s="177"/>
      <c r="GR21" s="180"/>
      <c r="GS21" s="158"/>
      <c r="GT21" s="177"/>
      <c r="GU21" s="158"/>
      <c r="GV21" s="177"/>
      <c r="GW21" s="155">
        <f t="shared" si="14"/>
        <v>0</v>
      </c>
      <c r="GX21" s="155">
        <f t="shared" si="15"/>
        <v>0</v>
      </c>
      <c r="GY21" s="155">
        <f>IF(MatchDay!$C$2="LOWER",COUNTA(GF21:GH21),0)</f>
        <v>0</v>
      </c>
    </row>
    <row r="22" spans="1:207" ht="16.5" customHeight="1" x14ac:dyDescent="0.45">
      <c r="A22" s="157" t="s">
        <v>912</v>
      </c>
      <c r="B22" s="171"/>
      <c r="C22" s="165"/>
      <c r="D22" s="171"/>
      <c r="E22" s="158"/>
      <c r="F22" s="171"/>
      <c r="G22" s="165"/>
      <c r="H22" s="171"/>
      <c r="I22" s="158"/>
      <c r="J22" s="180"/>
      <c r="K22" s="180"/>
      <c r="L22" s="180"/>
      <c r="M22" s="171"/>
      <c r="N22" s="158"/>
      <c r="O22" s="171"/>
      <c r="P22" s="158"/>
      <c r="Q22" s="171"/>
      <c r="R22" s="180"/>
      <c r="S22" s="158"/>
      <c r="T22" s="171"/>
      <c r="U22" s="158"/>
      <c r="V22" s="171"/>
      <c r="W22" s="155">
        <f t="shared" si="0"/>
        <v>0</v>
      </c>
      <c r="X22" s="155">
        <f t="shared" si="1"/>
        <v>0</v>
      </c>
      <c r="Y22" s="155">
        <f>IF(MatchDay!$C$2="LOWER",COUNTA(F22:H22),0)</f>
        <v>0</v>
      </c>
      <c r="AA22" s="157" t="s">
        <v>912</v>
      </c>
      <c r="AB22" s="177"/>
      <c r="AC22" s="165"/>
      <c r="AD22" s="177"/>
      <c r="AE22" s="158"/>
      <c r="AF22" s="177"/>
      <c r="AG22" s="165"/>
      <c r="AH22" s="177"/>
      <c r="AI22" s="158"/>
      <c r="AJ22" s="180"/>
      <c r="AK22" s="180"/>
      <c r="AL22" s="180"/>
      <c r="AM22" s="177"/>
      <c r="AN22" s="158"/>
      <c r="AO22" s="177"/>
      <c r="AP22" s="158"/>
      <c r="AQ22" s="177"/>
      <c r="AR22" s="180"/>
      <c r="AS22" s="158"/>
      <c r="AT22" s="177"/>
      <c r="AU22" s="158"/>
      <c r="AV22" s="177"/>
      <c r="AW22" s="155">
        <f t="shared" si="2"/>
        <v>0</v>
      </c>
      <c r="AX22" s="155">
        <f t="shared" si="3"/>
        <v>0</v>
      </c>
      <c r="AY22" s="155">
        <f>IF(MatchDay!$C$2="LOWER",COUNTA(AF22:AH22),0)</f>
        <v>0</v>
      </c>
      <c r="BA22" s="157" t="s">
        <v>912</v>
      </c>
      <c r="BB22" s="171"/>
      <c r="BC22" s="165"/>
      <c r="BD22" s="171"/>
      <c r="BE22" s="158"/>
      <c r="BF22" s="171"/>
      <c r="BG22" s="165"/>
      <c r="BH22" s="171"/>
      <c r="BI22" s="158"/>
      <c r="BJ22" s="180"/>
      <c r="BK22" s="180"/>
      <c r="BL22" s="180"/>
      <c r="BM22" s="171"/>
      <c r="BN22" s="158"/>
      <c r="BO22" s="171"/>
      <c r="BP22" s="158"/>
      <c r="BQ22" s="171"/>
      <c r="BR22" s="180"/>
      <c r="BS22" s="158"/>
      <c r="BT22" s="171"/>
      <c r="BU22" s="158"/>
      <c r="BV22" s="171"/>
      <c r="BW22" s="155">
        <f t="shared" si="4"/>
        <v>0</v>
      </c>
      <c r="BX22" s="155">
        <f t="shared" si="5"/>
        <v>0</v>
      </c>
      <c r="BY22" s="155">
        <f>IF(MatchDay!$C$2="LOWER",COUNTA(BF22:BH22),0)</f>
        <v>0</v>
      </c>
      <c r="CA22" s="157" t="s">
        <v>912</v>
      </c>
      <c r="CB22" s="177"/>
      <c r="CC22" s="165"/>
      <c r="CD22" s="177"/>
      <c r="CE22" s="158"/>
      <c r="CF22" s="177"/>
      <c r="CG22" s="165"/>
      <c r="CH22" s="177"/>
      <c r="CI22" s="158"/>
      <c r="CJ22" s="180"/>
      <c r="CK22" s="180"/>
      <c r="CL22" s="180"/>
      <c r="CM22" s="177"/>
      <c r="CN22" s="158"/>
      <c r="CO22" s="177"/>
      <c r="CP22" s="158"/>
      <c r="CQ22" s="177"/>
      <c r="CR22" s="180"/>
      <c r="CS22" s="158"/>
      <c r="CT22" s="177"/>
      <c r="CU22" s="158"/>
      <c r="CV22" s="177"/>
      <c r="CW22" s="155">
        <f t="shared" si="6"/>
        <v>0</v>
      </c>
      <c r="CX22" s="155">
        <f t="shared" si="7"/>
        <v>0</v>
      </c>
      <c r="CY22" s="155">
        <f>IF(MatchDay!$C$2="LOWER",COUNTA(CF22:CH22),0)</f>
        <v>0</v>
      </c>
      <c r="DA22" s="157" t="s">
        <v>912</v>
      </c>
      <c r="DB22" s="171"/>
      <c r="DC22" s="165"/>
      <c r="DD22" s="171"/>
      <c r="DE22" s="158"/>
      <c r="DF22" s="171"/>
      <c r="DG22" s="165"/>
      <c r="DH22" s="171"/>
      <c r="DI22" s="158"/>
      <c r="DJ22" s="180"/>
      <c r="DK22" s="180"/>
      <c r="DL22" s="180"/>
      <c r="DM22" s="171"/>
      <c r="DN22" s="158"/>
      <c r="DO22" s="171"/>
      <c r="DP22" s="158"/>
      <c r="DQ22" s="171"/>
      <c r="DR22" s="180"/>
      <c r="DS22" s="158"/>
      <c r="DT22" s="171"/>
      <c r="DU22" s="158"/>
      <c r="DV22" s="171"/>
      <c r="DW22" s="155">
        <f t="shared" si="8"/>
        <v>0</v>
      </c>
      <c r="DX22" s="155">
        <f t="shared" si="9"/>
        <v>0</v>
      </c>
      <c r="DY22" s="155">
        <f>IF(MatchDay!$C$2="LOWER",COUNTA(DF22:DH22),0)</f>
        <v>0</v>
      </c>
      <c r="EA22" s="157" t="s">
        <v>912</v>
      </c>
      <c r="EB22" s="177"/>
      <c r="EC22" s="165"/>
      <c r="ED22" s="177"/>
      <c r="EE22" s="158"/>
      <c r="EF22" s="177"/>
      <c r="EG22" s="165"/>
      <c r="EH22" s="177"/>
      <c r="EI22" s="158"/>
      <c r="EJ22" s="180"/>
      <c r="EK22" s="180"/>
      <c r="EL22" s="180"/>
      <c r="EM22" s="177"/>
      <c r="EN22" s="158"/>
      <c r="EO22" s="177"/>
      <c r="EP22" s="158"/>
      <c r="EQ22" s="177"/>
      <c r="ER22" s="180"/>
      <c r="ES22" s="158"/>
      <c r="ET22" s="177"/>
      <c r="EU22" s="158"/>
      <c r="EV22" s="177"/>
      <c r="EW22" s="155">
        <f t="shared" si="10"/>
        <v>0</v>
      </c>
      <c r="EX22" s="155">
        <f t="shared" si="11"/>
        <v>0</v>
      </c>
      <c r="EY22" s="155">
        <f>IF(MatchDay!$C$2="LOWER",COUNTA(EF22:EH22),0)</f>
        <v>0</v>
      </c>
      <c r="FA22" s="157" t="s">
        <v>912</v>
      </c>
      <c r="FB22" s="171"/>
      <c r="FC22" s="165"/>
      <c r="FD22" s="171"/>
      <c r="FE22" s="158"/>
      <c r="FF22" s="171"/>
      <c r="FG22" s="165"/>
      <c r="FH22" s="171"/>
      <c r="FI22" s="158"/>
      <c r="FJ22" s="180"/>
      <c r="FK22" s="180"/>
      <c r="FL22" s="180"/>
      <c r="FM22" s="171"/>
      <c r="FN22" s="158"/>
      <c r="FO22" s="171"/>
      <c r="FP22" s="158"/>
      <c r="FQ22" s="171"/>
      <c r="FR22" s="180"/>
      <c r="FS22" s="158"/>
      <c r="FT22" s="171"/>
      <c r="FU22" s="158"/>
      <c r="FV22" s="171"/>
      <c r="FW22" s="155">
        <f t="shared" si="12"/>
        <v>0</v>
      </c>
      <c r="FX22" s="155">
        <f t="shared" si="13"/>
        <v>0</v>
      </c>
      <c r="FY22" s="155">
        <f>IF(MatchDay!$C$2="LOWER",COUNTA(FF22:FH22),0)</f>
        <v>0</v>
      </c>
      <c r="GA22" s="157" t="s">
        <v>912</v>
      </c>
      <c r="GB22" s="177"/>
      <c r="GC22" s="165"/>
      <c r="GD22" s="177"/>
      <c r="GE22" s="158"/>
      <c r="GF22" s="177"/>
      <c r="GG22" s="165"/>
      <c r="GH22" s="177"/>
      <c r="GI22" s="158"/>
      <c r="GJ22" s="180"/>
      <c r="GK22" s="180"/>
      <c r="GL22" s="180"/>
      <c r="GM22" s="177"/>
      <c r="GN22" s="158"/>
      <c r="GO22" s="177"/>
      <c r="GP22" s="158"/>
      <c r="GQ22" s="177"/>
      <c r="GR22" s="180"/>
      <c r="GS22" s="158"/>
      <c r="GT22" s="177"/>
      <c r="GU22" s="158"/>
      <c r="GV22" s="177"/>
      <c r="GW22" s="155">
        <f t="shared" si="14"/>
        <v>0</v>
      </c>
      <c r="GX22" s="155">
        <f t="shared" si="15"/>
        <v>0</v>
      </c>
      <c r="GY22" s="155">
        <f>IF(MatchDay!$C$2="LOWER",COUNTA(GF22:GH22),0)</f>
        <v>0</v>
      </c>
    </row>
    <row r="23" spans="1:207" ht="16.5" customHeight="1" x14ac:dyDescent="0.45">
      <c r="A23" s="157" t="s">
        <v>912</v>
      </c>
      <c r="B23" s="171"/>
      <c r="C23" s="165"/>
      <c r="D23" s="171"/>
      <c r="E23" s="158"/>
      <c r="F23" s="171"/>
      <c r="G23" s="165"/>
      <c r="H23" s="171"/>
      <c r="I23" s="158"/>
      <c r="J23" s="180"/>
      <c r="K23" s="180"/>
      <c r="L23" s="180"/>
      <c r="M23" s="171"/>
      <c r="N23" s="158"/>
      <c r="O23" s="171"/>
      <c r="P23" s="158"/>
      <c r="Q23" s="171"/>
      <c r="R23" s="180"/>
      <c r="S23" s="158"/>
      <c r="T23" s="171"/>
      <c r="U23" s="158"/>
      <c r="V23" s="171"/>
      <c r="W23" s="155">
        <f t="shared" si="0"/>
        <v>0</v>
      </c>
      <c r="X23" s="155">
        <f t="shared" si="1"/>
        <v>0</v>
      </c>
      <c r="Y23" s="155">
        <f>IF(MatchDay!$C$2="LOWER",COUNTA(F23:H23),0)</f>
        <v>0</v>
      </c>
      <c r="AA23" s="157" t="s">
        <v>912</v>
      </c>
      <c r="AB23" s="177"/>
      <c r="AC23" s="165"/>
      <c r="AD23" s="177"/>
      <c r="AE23" s="158"/>
      <c r="AF23" s="177"/>
      <c r="AG23" s="165"/>
      <c r="AH23" s="177"/>
      <c r="AI23" s="158"/>
      <c r="AJ23" s="180"/>
      <c r="AK23" s="180"/>
      <c r="AL23" s="180"/>
      <c r="AM23" s="177"/>
      <c r="AN23" s="158"/>
      <c r="AO23" s="177"/>
      <c r="AP23" s="158"/>
      <c r="AQ23" s="177"/>
      <c r="AR23" s="180"/>
      <c r="AS23" s="158"/>
      <c r="AT23" s="177"/>
      <c r="AU23" s="158"/>
      <c r="AV23" s="177"/>
      <c r="AW23" s="155">
        <f t="shared" si="2"/>
        <v>0</v>
      </c>
      <c r="AX23" s="155">
        <f t="shared" si="3"/>
        <v>0</v>
      </c>
      <c r="AY23" s="155">
        <f>IF(MatchDay!$C$2="LOWER",COUNTA(AF23:AH23),0)</f>
        <v>0</v>
      </c>
      <c r="BA23" s="157" t="s">
        <v>912</v>
      </c>
      <c r="BB23" s="171"/>
      <c r="BC23" s="165"/>
      <c r="BD23" s="171"/>
      <c r="BE23" s="158"/>
      <c r="BF23" s="171"/>
      <c r="BG23" s="165"/>
      <c r="BH23" s="171"/>
      <c r="BI23" s="158"/>
      <c r="BJ23" s="180"/>
      <c r="BK23" s="180"/>
      <c r="BL23" s="180"/>
      <c r="BM23" s="171"/>
      <c r="BN23" s="158"/>
      <c r="BO23" s="171"/>
      <c r="BP23" s="158"/>
      <c r="BQ23" s="171"/>
      <c r="BR23" s="180"/>
      <c r="BS23" s="158"/>
      <c r="BT23" s="171"/>
      <c r="BU23" s="158"/>
      <c r="BV23" s="171"/>
      <c r="BW23" s="155">
        <f t="shared" si="4"/>
        <v>0</v>
      </c>
      <c r="BX23" s="155">
        <f t="shared" si="5"/>
        <v>0</v>
      </c>
      <c r="BY23" s="155">
        <f>IF(MatchDay!$C$2="LOWER",COUNTA(BF23:BH23),0)</f>
        <v>0</v>
      </c>
      <c r="CA23" s="157" t="s">
        <v>912</v>
      </c>
      <c r="CB23" s="177"/>
      <c r="CC23" s="165"/>
      <c r="CD23" s="177"/>
      <c r="CE23" s="158"/>
      <c r="CF23" s="177"/>
      <c r="CG23" s="165"/>
      <c r="CH23" s="177"/>
      <c r="CI23" s="158"/>
      <c r="CJ23" s="180"/>
      <c r="CK23" s="180"/>
      <c r="CL23" s="180"/>
      <c r="CM23" s="177"/>
      <c r="CN23" s="158"/>
      <c r="CO23" s="177"/>
      <c r="CP23" s="158"/>
      <c r="CQ23" s="177"/>
      <c r="CR23" s="180"/>
      <c r="CS23" s="158"/>
      <c r="CT23" s="177"/>
      <c r="CU23" s="158"/>
      <c r="CV23" s="177"/>
      <c r="CW23" s="155">
        <f t="shared" si="6"/>
        <v>0</v>
      </c>
      <c r="CX23" s="155">
        <f t="shared" si="7"/>
        <v>0</v>
      </c>
      <c r="CY23" s="155">
        <f>IF(MatchDay!$C$2="LOWER",COUNTA(CF23:CH23),0)</f>
        <v>0</v>
      </c>
      <c r="DA23" s="157" t="s">
        <v>912</v>
      </c>
      <c r="DB23" s="171"/>
      <c r="DC23" s="165"/>
      <c r="DD23" s="171"/>
      <c r="DE23" s="158"/>
      <c r="DF23" s="171"/>
      <c r="DG23" s="165"/>
      <c r="DH23" s="171"/>
      <c r="DI23" s="158"/>
      <c r="DJ23" s="180"/>
      <c r="DK23" s="180"/>
      <c r="DL23" s="180"/>
      <c r="DM23" s="171"/>
      <c r="DN23" s="158"/>
      <c r="DO23" s="171"/>
      <c r="DP23" s="158"/>
      <c r="DQ23" s="171"/>
      <c r="DR23" s="180"/>
      <c r="DS23" s="158"/>
      <c r="DT23" s="171"/>
      <c r="DU23" s="158"/>
      <c r="DV23" s="171"/>
      <c r="DW23" s="155">
        <f t="shared" si="8"/>
        <v>0</v>
      </c>
      <c r="DX23" s="155">
        <f t="shared" si="9"/>
        <v>0</v>
      </c>
      <c r="DY23" s="155">
        <f>IF(MatchDay!$C$2="LOWER",COUNTA(DF23:DH23),0)</f>
        <v>0</v>
      </c>
      <c r="EA23" s="157" t="s">
        <v>912</v>
      </c>
      <c r="EB23" s="177"/>
      <c r="EC23" s="165"/>
      <c r="ED23" s="177"/>
      <c r="EE23" s="158"/>
      <c r="EF23" s="177"/>
      <c r="EG23" s="165"/>
      <c r="EH23" s="177"/>
      <c r="EI23" s="158"/>
      <c r="EJ23" s="180"/>
      <c r="EK23" s="180"/>
      <c r="EL23" s="180"/>
      <c r="EM23" s="177"/>
      <c r="EN23" s="158"/>
      <c r="EO23" s="177"/>
      <c r="EP23" s="158"/>
      <c r="EQ23" s="177"/>
      <c r="ER23" s="180"/>
      <c r="ES23" s="158"/>
      <c r="ET23" s="177"/>
      <c r="EU23" s="158"/>
      <c r="EV23" s="177"/>
      <c r="EW23" s="155">
        <f t="shared" si="10"/>
        <v>0</v>
      </c>
      <c r="EX23" s="155">
        <f t="shared" si="11"/>
        <v>0</v>
      </c>
      <c r="EY23" s="155">
        <f>IF(MatchDay!$C$2="LOWER",COUNTA(EF23:EH23),0)</f>
        <v>0</v>
      </c>
      <c r="FA23" s="157" t="s">
        <v>912</v>
      </c>
      <c r="FB23" s="171"/>
      <c r="FC23" s="165"/>
      <c r="FD23" s="171"/>
      <c r="FE23" s="158"/>
      <c r="FF23" s="171"/>
      <c r="FG23" s="165"/>
      <c r="FH23" s="171"/>
      <c r="FI23" s="158"/>
      <c r="FJ23" s="180"/>
      <c r="FK23" s="180"/>
      <c r="FL23" s="180"/>
      <c r="FM23" s="171"/>
      <c r="FN23" s="158"/>
      <c r="FO23" s="171"/>
      <c r="FP23" s="158"/>
      <c r="FQ23" s="171"/>
      <c r="FR23" s="180"/>
      <c r="FS23" s="158"/>
      <c r="FT23" s="171"/>
      <c r="FU23" s="158"/>
      <c r="FV23" s="171"/>
      <c r="FW23" s="155">
        <f t="shared" si="12"/>
        <v>0</v>
      </c>
      <c r="FX23" s="155">
        <f t="shared" si="13"/>
        <v>0</v>
      </c>
      <c r="FY23" s="155">
        <f>IF(MatchDay!$C$2="LOWER",COUNTA(FF23:FH23),0)</f>
        <v>0</v>
      </c>
      <c r="GA23" s="157" t="s">
        <v>912</v>
      </c>
      <c r="GB23" s="177"/>
      <c r="GC23" s="165"/>
      <c r="GD23" s="177"/>
      <c r="GE23" s="158"/>
      <c r="GF23" s="177"/>
      <c r="GG23" s="165"/>
      <c r="GH23" s="177"/>
      <c r="GI23" s="158"/>
      <c r="GJ23" s="180"/>
      <c r="GK23" s="180"/>
      <c r="GL23" s="180"/>
      <c r="GM23" s="177"/>
      <c r="GN23" s="158"/>
      <c r="GO23" s="177"/>
      <c r="GP23" s="158"/>
      <c r="GQ23" s="177"/>
      <c r="GR23" s="180"/>
      <c r="GS23" s="158"/>
      <c r="GT23" s="177"/>
      <c r="GU23" s="158"/>
      <c r="GV23" s="177"/>
      <c r="GW23" s="155">
        <f t="shared" si="14"/>
        <v>0</v>
      </c>
      <c r="GX23" s="155">
        <f t="shared" si="15"/>
        <v>0</v>
      </c>
      <c r="GY23" s="155">
        <f>IF(MatchDay!$C$2="LOWER",COUNTA(GF23:GH23),0)</f>
        <v>0</v>
      </c>
    </row>
    <row r="24" spans="1:207" ht="16.5" customHeight="1" x14ac:dyDescent="0.45">
      <c r="A24" s="157" t="s">
        <v>912</v>
      </c>
      <c r="B24" s="171"/>
      <c r="C24" s="165"/>
      <c r="D24" s="171"/>
      <c r="E24" s="158"/>
      <c r="F24" s="171"/>
      <c r="G24" s="165"/>
      <c r="H24" s="171"/>
      <c r="I24" s="158"/>
      <c r="J24" s="180"/>
      <c r="K24" s="180"/>
      <c r="L24" s="180"/>
      <c r="M24" s="171"/>
      <c r="N24" s="158"/>
      <c r="O24" s="171"/>
      <c r="P24" s="158"/>
      <c r="Q24" s="171"/>
      <c r="R24" s="180"/>
      <c r="S24" s="158"/>
      <c r="T24" s="171"/>
      <c r="U24" s="158"/>
      <c r="V24" s="171"/>
      <c r="W24" s="155">
        <f t="shared" si="0"/>
        <v>0</v>
      </c>
      <c r="X24" s="155">
        <f t="shared" si="1"/>
        <v>0</v>
      </c>
      <c r="Y24" s="155">
        <f>IF(MatchDay!$C$2="LOWER",COUNTA(F24:H24),0)</f>
        <v>0</v>
      </c>
      <c r="AA24" s="157" t="s">
        <v>912</v>
      </c>
      <c r="AB24" s="177"/>
      <c r="AC24" s="165"/>
      <c r="AD24" s="177"/>
      <c r="AE24" s="158"/>
      <c r="AF24" s="177"/>
      <c r="AG24" s="165"/>
      <c r="AH24" s="177"/>
      <c r="AI24" s="158"/>
      <c r="AJ24" s="180"/>
      <c r="AK24" s="180"/>
      <c r="AL24" s="180"/>
      <c r="AM24" s="177"/>
      <c r="AN24" s="158"/>
      <c r="AO24" s="177"/>
      <c r="AP24" s="158"/>
      <c r="AQ24" s="177"/>
      <c r="AR24" s="180"/>
      <c r="AS24" s="158"/>
      <c r="AT24" s="177"/>
      <c r="AU24" s="158"/>
      <c r="AV24" s="177"/>
      <c r="AW24" s="155">
        <f t="shared" si="2"/>
        <v>0</v>
      </c>
      <c r="AX24" s="155">
        <f t="shared" si="3"/>
        <v>0</v>
      </c>
      <c r="AY24" s="155">
        <f>IF(MatchDay!$C$2="LOWER",COUNTA(AF24:AH24),0)</f>
        <v>0</v>
      </c>
      <c r="BA24" s="157" t="s">
        <v>912</v>
      </c>
      <c r="BB24" s="171"/>
      <c r="BC24" s="165"/>
      <c r="BD24" s="171"/>
      <c r="BE24" s="158"/>
      <c r="BF24" s="171"/>
      <c r="BG24" s="165"/>
      <c r="BH24" s="171"/>
      <c r="BI24" s="158"/>
      <c r="BJ24" s="180"/>
      <c r="BK24" s="180"/>
      <c r="BL24" s="180"/>
      <c r="BM24" s="171"/>
      <c r="BN24" s="158"/>
      <c r="BO24" s="171"/>
      <c r="BP24" s="158"/>
      <c r="BQ24" s="171"/>
      <c r="BR24" s="180"/>
      <c r="BS24" s="158"/>
      <c r="BT24" s="171"/>
      <c r="BU24" s="158"/>
      <c r="BV24" s="171"/>
      <c r="BW24" s="155">
        <f t="shared" si="4"/>
        <v>0</v>
      </c>
      <c r="BX24" s="155">
        <f t="shared" si="5"/>
        <v>0</v>
      </c>
      <c r="BY24" s="155">
        <f>IF(MatchDay!$C$2="LOWER",COUNTA(BF24:BH24),0)</f>
        <v>0</v>
      </c>
      <c r="CA24" s="157" t="s">
        <v>912</v>
      </c>
      <c r="CB24" s="177"/>
      <c r="CC24" s="165"/>
      <c r="CD24" s="177"/>
      <c r="CE24" s="158"/>
      <c r="CF24" s="177"/>
      <c r="CG24" s="165"/>
      <c r="CH24" s="177"/>
      <c r="CI24" s="158"/>
      <c r="CJ24" s="180"/>
      <c r="CK24" s="180"/>
      <c r="CL24" s="180"/>
      <c r="CM24" s="177"/>
      <c r="CN24" s="158"/>
      <c r="CO24" s="177"/>
      <c r="CP24" s="158"/>
      <c r="CQ24" s="177"/>
      <c r="CR24" s="180"/>
      <c r="CS24" s="158"/>
      <c r="CT24" s="177"/>
      <c r="CU24" s="158"/>
      <c r="CV24" s="177"/>
      <c r="CW24" s="155">
        <f t="shared" si="6"/>
        <v>0</v>
      </c>
      <c r="CX24" s="155">
        <f t="shared" si="7"/>
        <v>0</v>
      </c>
      <c r="CY24" s="155">
        <f>IF(MatchDay!$C$2="LOWER",COUNTA(CF24:CH24),0)</f>
        <v>0</v>
      </c>
      <c r="DA24" s="157" t="s">
        <v>912</v>
      </c>
      <c r="DB24" s="171"/>
      <c r="DC24" s="165"/>
      <c r="DD24" s="171"/>
      <c r="DE24" s="158"/>
      <c r="DF24" s="171"/>
      <c r="DG24" s="165"/>
      <c r="DH24" s="171"/>
      <c r="DI24" s="158"/>
      <c r="DJ24" s="180"/>
      <c r="DK24" s="180"/>
      <c r="DL24" s="180"/>
      <c r="DM24" s="171"/>
      <c r="DN24" s="158"/>
      <c r="DO24" s="171"/>
      <c r="DP24" s="158"/>
      <c r="DQ24" s="171"/>
      <c r="DR24" s="180"/>
      <c r="DS24" s="158"/>
      <c r="DT24" s="171"/>
      <c r="DU24" s="158"/>
      <c r="DV24" s="171"/>
      <c r="DW24" s="155">
        <f t="shared" si="8"/>
        <v>0</v>
      </c>
      <c r="DX24" s="155">
        <f t="shared" si="9"/>
        <v>0</v>
      </c>
      <c r="DY24" s="155">
        <f>IF(MatchDay!$C$2="LOWER",COUNTA(DF24:DH24),0)</f>
        <v>0</v>
      </c>
      <c r="EA24" s="157" t="s">
        <v>912</v>
      </c>
      <c r="EB24" s="177"/>
      <c r="EC24" s="165"/>
      <c r="ED24" s="177"/>
      <c r="EE24" s="158"/>
      <c r="EF24" s="177"/>
      <c r="EG24" s="165"/>
      <c r="EH24" s="177"/>
      <c r="EI24" s="158"/>
      <c r="EJ24" s="180"/>
      <c r="EK24" s="180"/>
      <c r="EL24" s="180"/>
      <c r="EM24" s="177"/>
      <c r="EN24" s="158"/>
      <c r="EO24" s="177"/>
      <c r="EP24" s="158"/>
      <c r="EQ24" s="177"/>
      <c r="ER24" s="180"/>
      <c r="ES24" s="158"/>
      <c r="ET24" s="177"/>
      <c r="EU24" s="158"/>
      <c r="EV24" s="177"/>
      <c r="EW24" s="155">
        <f t="shared" si="10"/>
        <v>0</v>
      </c>
      <c r="EX24" s="155">
        <f t="shared" si="11"/>
        <v>0</v>
      </c>
      <c r="EY24" s="155">
        <f>IF(MatchDay!$C$2="LOWER",COUNTA(EF24:EH24),0)</f>
        <v>0</v>
      </c>
      <c r="FA24" s="157" t="s">
        <v>912</v>
      </c>
      <c r="FB24" s="171"/>
      <c r="FC24" s="165"/>
      <c r="FD24" s="171"/>
      <c r="FE24" s="158"/>
      <c r="FF24" s="171"/>
      <c r="FG24" s="165"/>
      <c r="FH24" s="171"/>
      <c r="FI24" s="158"/>
      <c r="FJ24" s="180"/>
      <c r="FK24" s="180"/>
      <c r="FL24" s="180"/>
      <c r="FM24" s="171"/>
      <c r="FN24" s="158"/>
      <c r="FO24" s="171"/>
      <c r="FP24" s="158"/>
      <c r="FQ24" s="171"/>
      <c r="FR24" s="180"/>
      <c r="FS24" s="158"/>
      <c r="FT24" s="171"/>
      <c r="FU24" s="158"/>
      <c r="FV24" s="171"/>
      <c r="FW24" s="155">
        <f t="shared" si="12"/>
        <v>0</v>
      </c>
      <c r="FX24" s="155">
        <f t="shared" si="13"/>
        <v>0</v>
      </c>
      <c r="FY24" s="155">
        <f>IF(MatchDay!$C$2="LOWER",COUNTA(FF24:FH24),0)</f>
        <v>0</v>
      </c>
      <c r="GA24" s="157" t="s">
        <v>912</v>
      </c>
      <c r="GB24" s="177"/>
      <c r="GC24" s="165"/>
      <c r="GD24" s="177"/>
      <c r="GE24" s="158"/>
      <c r="GF24" s="177"/>
      <c r="GG24" s="165"/>
      <c r="GH24" s="177"/>
      <c r="GI24" s="158"/>
      <c r="GJ24" s="180"/>
      <c r="GK24" s="180"/>
      <c r="GL24" s="180"/>
      <c r="GM24" s="177"/>
      <c r="GN24" s="158"/>
      <c r="GO24" s="177"/>
      <c r="GP24" s="158"/>
      <c r="GQ24" s="177"/>
      <c r="GR24" s="180"/>
      <c r="GS24" s="158"/>
      <c r="GT24" s="177"/>
      <c r="GU24" s="158"/>
      <c r="GV24" s="177"/>
      <c r="GW24" s="155">
        <f t="shared" si="14"/>
        <v>0</v>
      </c>
      <c r="GX24" s="155">
        <f t="shared" si="15"/>
        <v>0</v>
      </c>
      <c r="GY24" s="155">
        <f>IF(MatchDay!$C$2="LOWER",COUNTA(GF24:GH24),0)</f>
        <v>0</v>
      </c>
    </row>
    <row r="25" spans="1:207" ht="16.5" customHeight="1" x14ac:dyDescent="0.45">
      <c r="A25" s="157" t="s">
        <v>912</v>
      </c>
      <c r="B25" s="171"/>
      <c r="C25" s="165"/>
      <c r="D25" s="171"/>
      <c r="E25" s="158"/>
      <c r="F25" s="171"/>
      <c r="G25" s="165"/>
      <c r="H25" s="171"/>
      <c r="I25" s="158"/>
      <c r="J25" s="180"/>
      <c r="K25" s="180"/>
      <c r="L25" s="180"/>
      <c r="M25" s="171"/>
      <c r="N25" s="158"/>
      <c r="O25" s="171"/>
      <c r="P25" s="158"/>
      <c r="Q25" s="171"/>
      <c r="R25" s="180"/>
      <c r="S25" s="158"/>
      <c r="T25" s="171"/>
      <c r="U25" s="158"/>
      <c r="V25" s="171"/>
      <c r="W25" s="155">
        <f t="shared" si="0"/>
        <v>0</v>
      </c>
      <c r="X25" s="155">
        <f t="shared" si="1"/>
        <v>0</v>
      </c>
      <c r="Y25" s="155">
        <f>IF(MatchDay!$C$2="LOWER",COUNTA(F25:H25),0)</f>
        <v>0</v>
      </c>
      <c r="AA25" s="157" t="s">
        <v>912</v>
      </c>
      <c r="AB25" s="177"/>
      <c r="AC25" s="165"/>
      <c r="AD25" s="177"/>
      <c r="AE25" s="158"/>
      <c r="AF25" s="177"/>
      <c r="AG25" s="165"/>
      <c r="AH25" s="177"/>
      <c r="AI25" s="158"/>
      <c r="AJ25" s="180"/>
      <c r="AK25" s="180"/>
      <c r="AL25" s="180"/>
      <c r="AM25" s="177"/>
      <c r="AN25" s="158"/>
      <c r="AO25" s="177"/>
      <c r="AP25" s="158"/>
      <c r="AQ25" s="177"/>
      <c r="AR25" s="180"/>
      <c r="AS25" s="158"/>
      <c r="AT25" s="177"/>
      <c r="AU25" s="158"/>
      <c r="AV25" s="177"/>
      <c r="AW25" s="155">
        <f t="shared" si="2"/>
        <v>0</v>
      </c>
      <c r="AX25" s="155">
        <f t="shared" si="3"/>
        <v>0</v>
      </c>
      <c r="AY25" s="155">
        <f>IF(MatchDay!$C$2="LOWER",COUNTA(AF25:AH25),0)</f>
        <v>0</v>
      </c>
      <c r="BA25" s="157" t="s">
        <v>912</v>
      </c>
      <c r="BB25" s="171"/>
      <c r="BC25" s="165"/>
      <c r="BD25" s="171"/>
      <c r="BE25" s="158"/>
      <c r="BF25" s="171"/>
      <c r="BG25" s="165"/>
      <c r="BH25" s="171"/>
      <c r="BI25" s="158"/>
      <c r="BJ25" s="180"/>
      <c r="BK25" s="180"/>
      <c r="BL25" s="180"/>
      <c r="BM25" s="171"/>
      <c r="BN25" s="158"/>
      <c r="BO25" s="171"/>
      <c r="BP25" s="158"/>
      <c r="BQ25" s="171"/>
      <c r="BR25" s="180"/>
      <c r="BS25" s="158"/>
      <c r="BT25" s="171"/>
      <c r="BU25" s="158"/>
      <c r="BV25" s="171"/>
      <c r="BW25" s="155">
        <f t="shared" si="4"/>
        <v>0</v>
      </c>
      <c r="BX25" s="155">
        <f t="shared" si="5"/>
        <v>0</v>
      </c>
      <c r="BY25" s="155">
        <f>IF(MatchDay!$C$2="LOWER",COUNTA(BF25:BH25),0)</f>
        <v>0</v>
      </c>
      <c r="CA25" s="157" t="s">
        <v>912</v>
      </c>
      <c r="CB25" s="177"/>
      <c r="CC25" s="165"/>
      <c r="CD25" s="177"/>
      <c r="CE25" s="158"/>
      <c r="CF25" s="177"/>
      <c r="CG25" s="165"/>
      <c r="CH25" s="177"/>
      <c r="CI25" s="158"/>
      <c r="CJ25" s="180"/>
      <c r="CK25" s="180"/>
      <c r="CL25" s="180"/>
      <c r="CM25" s="177"/>
      <c r="CN25" s="158"/>
      <c r="CO25" s="177"/>
      <c r="CP25" s="158"/>
      <c r="CQ25" s="177"/>
      <c r="CR25" s="180"/>
      <c r="CS25" s="158"/>
      <c r="CT25" s="177"/>
      <c r="CU25" s="158"/>
      <c r="CV25" s="177"/>
      <c r="CW25" s="155">
        <f t="shared" si="6"/>
        <v>0</v>
      </c>
      <c r="CX25" s="155">
        <f t="shared" si="7"/>
        <v>0</v>
      </c>
      <c r="CY25" s="155">
        <f>IF(MatchDay!$C$2="LOWER",COUNTA(CF25:CH25),0)</f>
        <v>0</v>
      </c>
      <c r="DA25" s="157" t="s">
        <v>912</v>
      </c>
      <c r="DB25" s="171"/>
      <c r="DC25" s="165"/>
      <c r="DD25" s="171"/>
      <c r="DE25" s="158"/>
      <c r="DF25" s="171"/>
      <c r="DG25" s="165"/>
      <c r="DH25" s="171"/>
      <c r="DI25" s="158"/>
      <c r="DJ25" s="180"/>
      <c r="DK25" s="180"/>
      <c r="DL25" s="180"/>
      <c r="DM25" s="171"/>
      <c r="DN25" s="158"/>
      <c r="DO25" s="171"/>
      <c r="DP25" s="158"/>
      <c r="DQ25" s="171"/>
      <c r="DR25" s="180"/>
      <c r="DS25" s="158"/>
      <c r="DT25" s="171"/>
      <c r="DU25" s="158"/>
      <c r="DV25" s="171"/>
      <c r="DW25" s="155">
        <f t="shared" si="8"/>
        <v>0</v>
      </c>
      <c r="DX25" s="155">
        <f t="shared" si="9"/>
        <v>0</v>
      </c>
      <c r="DY25" s="155">
        <f>IF(MatchDay!$C$2="LOWER",COUNTA(DF25:DH25),0)</f>
        <v>0</v>
      </c>
      <c r="EA25" s="157" t="s">
        <v>912</v>
      </c>
      <c r="EB25" s="177"/>
      <c r="EC25" s="165"/>
      <c r="ED25" s="177"/>
      <c r="EE25" s="158"/>
      <c r="EF25" s="177"/>
      <c r="EG25" s="165"/>
      <c r="EH25" s="177"/>
      <c r="EI25" s="158"/>
      <c r="EJ25" s="180"/>
      <c r="EK25" s="180"/>
      <c r="EL25" s="180"/>
      <c r="EM25" s="177"/>
      <c r="EN25" s="158"/>
      <c r="EO25" s="177"/>
      <c r="EP25" s="158"/>
      <c r="EQ25" s="177"/>
      <c r="ER25" s="180"/>
      <c r="ES25" s="158"/>
      <c r="ET25" s="177"/>
      <c r="EU25" s="158"/>
      <c r="EV25" s="177"/>
      <c r="EW25" s="155">
        <f t="shared" si="10"/>
        <v>0</v>
      </c>
      <c r="EX25" s="155">
        <f t="shared" si="11"/>
        <v>0</v>
      </c>
      <c r="EY25" s="155">
        <f>IF(MatchDay!$C$2="LOWER",COUNTA(EF25:EH25),0)</f>
        <v>0</v>
      </c>
      <c r="FA25" s="157" t="s">
        <v>912</v>
      </c>
      <c r="FB25" s="171"/>
      <c r="FC25" s="165"/>
      <c r="FD25" s="171"/>
      <c r="FE25" s="158"/>
      <c r="FF25" s="171"/>
      <c r="FG25" s="165"/>
      <c r="FH25" s="171"/>
      <c r="FI25" s="158"/>
      <c r="FJ25" s="180"/>
      <c r="FK25" s="180"/>
      <c r="FL25" s="180"/>
      <c r="FM25" s="171"/>
      <c r="FN25" s="158"/>
      <c r="FO25" s="171"/>
      <c r="FP25" s="158"/>
      <c r="FQ25" s="171"/>
      <c r="FR25" s="180"/>
      <c r="FS25" s="158"/>
      <c r="FT25" s="171"/>
      <c r="FU25" s="158"/>
      <c r="FV25" s="171"/>
      <c r="FW25" s="155">
        <f t="shared" si="12"/>
        <v>0</v>
      </c>
      <c r="FX25" s="155">
        <f t="shared" si="13"/>
        <v>0</v>
      </c>
      <c r="FY25" s="155">
        <f>IF(MatchDay!$C$2="LOWER",COUNTA(FF25:FH25),0)</f>
        <v>0</v>
      </c>
      <c r="GA25" s="157" t="s">
        <v>912</v>
      </c>
      <c r="GB25" s="177"/>
      <c r="GC25" s="165"/>
      <c r="GD25" s="177"/>
      <c r="GE25" s="158"/>
      <c r="GF25" s="177"/>
      <c r="GG25" s="165"/>
      <c r="GH25" s="177"/>
      <c r="GI25" s="158"/>
      <c r="GJ25" s="180"/>
      <c r="GK25" s="180"/>
      <c r="GL25" s="180"/>
      <c r="GM25" s="177"/>
      <c r="GN25" s="158"/>
      <c r="GO25" s="177"/>
      <c r="GP25" s="158"/>
      <c r="GQ25" s="177"/>
      <c r="GR25" s="180"/>
      <c r="GS25" s="158"/>
      <c r="GT25" s="177"/>
      <c r="GU25" s="158"/>
      <c r="GV25" s="177"/>
      <c r="GW25" s="155">
        <f t="shared" si="14"/>
        <v>0</v>
      </c>
      <c r="GX25" s="155">
        <f t="shared" si="15"/>
        <v>0</v>
      </c>
      <c r="GY25" s="155">
        <f>IF(MatchDay!$C$2="LOWER",COUNTA(GF25:GH25),0)</f>
        <v>0</v>
      </c>
    </row>
    <row r="26" spans="1:207" ht="16.5" customHeight="1" x14ac:dyDescent="0.45">
      <c r="A26" s="157" t="s">
        <v>912</v>
      </c>
      <c r="B26" s="171"/>
      <c r="C26" s="165"/>
      <c r="D26" s="171"/>
      <c r="E26" s="158"/>
      <c r="F26" s="171"/>
      <c r="G26" s="165"/>
      <c r="H26" s="171"/>
      <c r="I26" s="158"/>
      <c r="J26" s="180"/>
      <c r="K26" s="180"/>
      <c r="L26" s="180"/>
      <c r="M26" s="171"/>
      <c r="N26" s="158"/>
      <c r="O26" s="171"/>
      <c r="P26" s="158"/>
      <c r="Q26" s="171"/>
      <c r="R26" s="180"/>
      <c r="S26" s="158"/>
      <c r="T26" s="171"/>
      <c r="U26" s="158"/>
      <c r="V26" s="171"/>
      <c r="W26" s="155">
        <f t="shared" si="0"/>
        <v>0</v>
      </c>
      <c r="X26" s="155">
        <f t="shared" si="1"/>
        <v>0</v>
      </c>
      <c r="Y26" s="155">
        <f>IF(MatchDay!$C$2="LOWER",COUNTA(F26:H26),0)</f>
        <v>0</v>
      </c>
      <c r="AA26" s="157" t="s">
        <v>912</v>
      </c>
      <c r="AB26" s="177"/>
      <c r="AC26" s="165"/>
      <c r="AD26" s="177"/>
      <c r="AE26" s="158"/>
      <c r="AF26" s="177"/>
      <c r="AG26" s="165"/>
      <c r="AH26" s="177"/>
      <c r="AI26" s="158"/>
      <c r="AJ26" s="180"/>
      <c r="AK26" s="180"/>
      <c r="AL26" s="180"/>
      <c r="AM26" s="177"/>
      <c r="AN26" s="158"/>
      <c r="AO26" s="177"/>
      <c r="AP26" s="158"/>
      <c r="AQ26" s="177"/>
      <c r="AR26" s="180"/>
      <c r="AS26" s="158"/>
      <c r="AT26" s="177"/>
      <c r="AU26" s="158"/>
      <c r="AV26" s="177"/>
      <c r="AW26" s="155">
        <f t="shared" si="2"/>
        <v>0</v>
      </c>
      <c r="AX26" s="155">
        <f t="shared" si="3"/>
        <v>0</v>
      </c>
      <c r="AY26" s="155">
        <f>IF(MatchDay!$C$2="LOWER",COUNTA(AF26:AH26),0)</f>
        <v>0</v>
      </c>
      <c r="BA26" s="157" t="s">
        <v>912</v>
      </c>
      <c r="BB26" s="171"/>
      <c r="BC26" s="165"/>
      <c r="BD26" s="171"/>
      <c r="BE26" s="158"/>
      <c r="BF26" s="171"/>
      <c r="BG26" s="165"/>
      <c r="BH26" s="171"/>
      <c r="BI26" s="158"/>
      <c r="BJ26" s="180"/>
      <c r="BK26" s="180"/>
      <c r="BL26" s="180"/>
      <c r="BM26" s="171"/>
      <c r="BN26" s="158"/>
      <c r="BO26" s="171"/>
      <c r="BP26" s="158"/>
      <c r="BQ26" s="171"/>
      <c r="BR26" s="180"/>
      <c r="BS26" s="158"/>
      <c r="BT26" s="171"/>
      <c r="BU26" s="158"/>
      <c r="BV26" s="171"/>
      <c r="BW26" s="155">
        <f t="shared" si="4"/>
        <v>0</v>
      </c>
      <c r="BX26" s="155">
        <f t="shared" si="5"/>
        <v>0</v>
      </c>
      <c r="BY26" s="155">
        <f>IF(MatchDay!$C$2="LOWER",COUNTA(BF26:BH26),0)</f>
        <v>0</v>
      </c>
      <c r="CA26" s="157" t="s">
        <v>912</v>
      </c>
      <c r="CB26" s="177"/>
      <c r="CC26" s="165"/>
      <c r="CD26" s="177"/>
      <c r="CE26" s="158"/>
      <c r="CF26" s="177"/>
      <c r="CG26" s="165"/>
      <c r="CH26" s="177"/>
      <c r="CI26" s="158"/>
      <c r="CJ26" s="180"/>
      <c r="CK26" s="180"/>
      <c r="CL26" s="180"/>
      <c r="CM26" s="177"/>
      <c r="CN26" s="158"/>
      <c r="CO26" s="177"/>
      <c r="CP26" s="158"/>
      <c r="CQ26" s="177"/>
      <c r="CR26" s="180"/>
      <c r="CS26" s="158"/>
      <c r="CT26" s="177"/>
      <c r="CU26" s="158"/>
      <c r="CV26" s="177"/>
      <c r="CW26" s="155">
        <f t="shared" si="6"/>
        <v>0</v>
      </c>
      <c r="CX26" s="155">
        <f t="shared" si="7"/>
        <v>0</v>
      </c>
      <c r="CY26" s="155">
        <f>IF(MatchDay!$C$2="LOWER",COUNTA(CF26:CH26),0)</f>
        <v>0</v>
      </c>
      <c r="DA26" s="157" t="s">
        <v>912</v>
      </c>
      <c r="DB26" s="171"/>
      <c r="DC26" s="165"/>
      <c r="DD26" s="171"/>
      <c r="DE26" s="158"/>
      <c r="DF26" s="171"/>
      <c r="DG26" s="165"/>
      <c r="DH26" s="171"/>
      <c r="DI26" s="158"/>
      <c r="DJ26" s="180"/>
      <c r="DK26" s="180"/>
      <c r="DL26" s="180"/>
      <c r="DM26" s="171"/>
      <c r="DN26" s="158"/>
      <c r="DO26" s="171"/>
      <c r="DP26" s="158"/>
      <c r="DQ26" s="171"/>
      <c r="DR26" s="180"/>
      <c r="DS26" s="158"/>
      <c r="DT26" s="171"/>
      <c r="DU26" s="158"/>
      <c r="DV26" s="171"/>
      <c r="DW26" s="155">
        <f t="shared" si="8"/>
        <v>0</v>
      </c>
      <c r="DX26" s="155">
        <f t="shared" si="9"/>
        <v>0</v>
      </c>
      <c r="DY26" s="155">
        <f>IF(MatchDay!$C$2="LOWER",COUNTA(DF26:DH26),0)</f>
        <v>0</v>
      </c>
      <c r="EA26" s="157" t="s">
        <v>912</v>
      </c>
      <c r="EB26" s="177"/>
      <c r="EC26" s="165"/>
      <c r="ED26" s="177"/>
      <c r="EE26" s="158"/>
      <c r="EF26" s="177"/>
      <c r="EG26" s="165"/>
      <c r="EH26" s="177"/>
      <c r="EI26" s="158"/>
      <c r="EJ26" s="180"/>
      <c r="EK26" s="180"/>
      <c r="EL26" s="180"/>
      <c r="EM26" s="177"/>
      <c r="EN26" s="158"/>
      <c r="EO26" s="177"/>
      <c r="EP26" s="158"/>
      <c r="EQ26" s="177"/>
      <c r="ER26" s="180"/>
      <c r="ES26" s="158"/>
      <c r="ET26" s="177"/>
      <c r="EU26" s="158"/>
      <c r="EV26" s="177"/>
      <c r="EW26" s="155">
        <f t="shared" si="10"/>
        <v>0</v>
      </c>
      <c r="EX26" s="155">
        <f t="shared" si="11"/>
        <v>0</v>
      </c>
      <c r="EY26" s="155">
        <f>IF(MatchDay!$C$2="LOWER",COUNTA(EF26:EH26),0)</f>
        <v>0</v>
      </c>
      <c r="FA26" s="157" t="s">
        <v>912</v>
      </c>
      <c r="FB26" s="171"/>
      <c r="FC26" s="165"/>
      <c r="FD26" s="171"/>
      <c r="FE26" s="158"/>
      <c r="FF26" s="171"/>
      <c r="FG26" s="165"/>
      <c r="FH26" s="171"/>
      <c r="FI26" s="158"/>
      <c r="FJ26" s="180"/>
      <c r="FK26" s="180"/>
      <c r="FL26" s="180"/>
      <c r="FM26" s="171"/>
      <c r="FN26" s="158"/>
      <c r="FO26" s="171"/>
      <c r="FP26" s="158"/>
      <c r="FQ26" s="171"/>
      <c r="FR26" s="180"/>
      <c r="FS26" s="158"/>
      <c r="FT26" s="171"/>
      <c r="FU26" s="158"/>
      <c r="FV26" s="171"/>
      <c r="FW26" s="155">
        <f t="shared" si="12"/>
        <v>0</v>
      </c>
      <c r="FX26" s="155">
        <f t="shared" si="13"/>
        <v>0</v>
      </c>
      <c r="FY26" s="155">
        <f>IF(MatchDay!$C$2="LOWER",COUNTA(FF26:FH26),0)</f>
        <v>0</v>
      </c>
      <c r="GA26" s="157" t="s">
        <v>912</v>
      </c>
      <c r="GB26" s="177"/>
      <c r="GC26" s="165"/>
      <c r="GD26" s="177"/>
      <c r="GE26" s="158"/>
      <c r="GF26" s="177"/>
      <c r="GG26" s="165"/>
      <c r="GH26" s="177"/>
      <c r="GI26" s="158"/>
      <c r="GJ26" s="180"/>
      <c r="GK26" s="180"/>
      <c r="GL26" s="180"/>
      <c r="GM26" s="177"/>
      <c r="GN26" s="158"/>
      <c r="GO26" s="177"/>
      <c r="GP26" s="158"/>
      <c r="GQ26" s="177"/>
      <c r="GR26" s="180"/>
      <c r="GS26" s="158"/>
      <c r="GT26" s="177"/>
      <c r="GU26" s="158"/>
      <c r="GV26" s="177"/>
      <c r="GW26" s="155">
        <f t="shared" si="14"/>
        <v>0</v>
      </c>
      <c r="GX26" s="155">
        <f t="shared" si="15"/>
        <v>0</v>
      </c>
      <c r="GY26" s="155">
        <f>IF(MatchDay!$C$2="LOWER",COUNTA(GF26:GH26),0)</f>
        <v>0</v>
      </c>
    </row>
    <row r="27" spans="1:207" ht="16.5" customHeight="1" x14ac:dyDescent="0.45">
      <c r="A27" s="157" t="s">
        <v>912</v>
      </c>
      <c r="B27" s="171"/>
      <c r="C27" s="165"/>
      <c r="D27" s="171"/>
      <c r="E27" s="158"/>
      <c r="F27" s="171"/>
      <c r="G27" s="165"/>
      <c r="H27" s="171"/>
      <c r="I27" s="158"/>
      <c r="J27" s="180"/>
      <c r="K27" s="180"/>
      <c r="L27" s="180"/>
      <c r="M27" s="171"/>
      <c r="N27" s="158"/>
      <c r="O27" s="171"/>
      <c r="P27" s="158"/>
      <c r="Q27" s="171"/>
      <c r="R27" s="180"/>
      <c r="S27" s="158"/>
      <c r="T27" s="171"/>
      <c r="U27" s="158"/>
      <c r="V27" s="171"/>
      <c r="W27" s="155">
        <f t="shared" si="0"/>
        <v>0</v>
      </c>
      <c r="X27" s="155">
        <f t="shared" si="1"/>
        <v>0</v>
      </c>
      <c r="Y27" s="155">
        <f>IF(MatchDay!$C$2="LOWER",COUNTA(F27:H27),0)</f>
        <v>0</v>
      </c>
      <c r="AA27" s="157" t="s">
        <v>912</v>
      </c>
      <c r="AB27" s="177"/>
      <c r="AC27" s="165"/>
      <c r="AD27" s="177"/>
      <c r="AE27" s="158"/>
      <c r="AF27" s="177"/>
      <c r="AG27" s="165"/>
      <c r="AH27" s="177"/>
      <c r="AI27" s="158"/>
      <c r="AJ27" s="180"/>
      <c r="AK27" s="180"/>
      <c r="AL27" s="180"/>
      <c r="AM27" s="177"/>
      <c r="AN27" s="158"/>
      <c r="AO27" s="177"/>
      <c r="AP27" s="158"/>
      <c r="AQ27" s="177"/>
      <c r="AR27" s="180"/>
      <c r="AS27" s="158"/>
      <c r="AT27" s="177"/>
      <c r="AU27" s="158"/>
      <c r="AV27" s="177"/>
      <c r="AW27" s="155">
        <f t="shared" si="2"/>
        <v>0</v>
      </c>
      <c r="AX27" s="155">
        <f t="shared" si="3"/>
        <v>0</v>
      </c>
      <c r="AY27" s="155">
        <f>IF(MatchDay!$C$2="LOWER",COUNTA(AF27:AH27),0)</f>
        <v>0</v>
      </c>
      <c r="BA27" s="157" t="s">
        <v>912</v>
      </c>
      <c r="BB27" s="171"/>
      <c r="BC27" s="165"/>
      <c r="BD27" s="171"/>
      <c r="BE27" s="158"/>
      <c r="BF27" s="171"/>
      <c r="BG27" s="165"/>
      <c r="BH27" s="171"/>
      <c r="BI27" s="158"/>
      <c r="BJ27" s="180"/>
      <c r="BK27" s="180"/>
      <c r="BL27" s="180"/>
      <c r="BM27" s="171"/>
      <c r="BN27" s="158"/>
      <c r="BO27" s="171"/>
      <c r="BP27" s="158"/>
      <c r="BQ27" s="171"/>
      <c r="BR27" s="180"/>
      <c r="BS27" s="158"/>
      <c r="BT27" s="171"/>
      <c r="BU27" s="158"/>
      <c r="BV27" s="171"/>
      <c r="BW27" s="155">
        <f t="shared" si="4"/>
        <v>0</v>
      </c>
      <c r="BX27" s="155">
        <f t="shared" si="5"/>
        <v>0</v>
      </c>
      <c r="BY27" s="155">
        <f>IF(MatchDay!$C$2="LOWER",COUNTA(BF27:BH27),0)</f>
        <v>0</v>
      </c>
      <c r="CA27" s="157" t="s">
        <v>912</v>
      </c>
      <c r="CB27" s="177"/>
      <c r="CC27" s="165"/>
      <c r="CD27" s="177"/>
      <c r="CE27" s="158"/>
      <c r="CF27" s="177"/>
      <c r="CG27" s="165"/>
      <c r="CH27" s="177"/>
      <c r="CI27" s="158"/>
      <c r="CJ27" s="180"/>
      <c r="CK27" s="180"/>
      <c r="CL27" s="180"/>
      <c r="CM27" s="177"/>
      <c r="CN27" s="158"/>
      <c r="CO27" s="177"/>
      <c r="CP27" s="158"/>
      <c r="CQ27" s="177"/>
      <c r="CR27" s="180"/>
      <c r="CS27" s="158"/>
      <c r="CT27" s="177"/>
      <c r="CU27" s="158"/>
      <c r="CV27" s="177"/>
      <c r="CW27" s="155">
        <f t="shared" si="6"/>
        <v>0</v>
      </c>
      <c r="CX27" s="155">
        <f t="shared" si="7"/>
        <v>0</v>
      </c>
      <c r="CY27" s="155">
        <f>IF(MatchDay!$C$2="LOWER",COUNTA(CF27:CH27),0)</f>
        <v>0</v>
      </c>
      <c r="DA27" s="157" t="s">
        <v>912</v>
      </c>
      <c r="DB27" s="171"/>
      <c r="DC27" s="165"/>
      <c r="DD27" s="171"/>
      <c r="DE27" s="158"/>
      <c r="DF27" s="171"/>
      <c r="DG27" s="165"/>
      <c r="DH27" s="171"/>
      <c r="DI27" s="158"/>
      <c r="DJ27" s="180"/>
      <c r="DK27" s="180"/>
      <c r="DL27" s="180"/>
      <c r="DM27" s="171"/>
      <c r="DN27" s="158"/>
      <c r="DO27" s="171"/>
      <c r="DP27" s="158"/>
      <c r="DQ27" s="171"/>
      <c r="DR27" s="180"/>
      <c r="DS27" s="158"/>
      <c r="DT27" s="171"/>
      <c r="DU27" s="158"/>
      <c r="DV27" s="171"/>
      <c r="DW27" s="155">
        <f t="shared" si="8"/>
        <v>0</v>
      </c>
      <c r="DX27" s="155">
        <f t="shared" si="9"/>
        <v>0</v>
      </c>
      <c r="DY27" s="155">
        <f>IF(MatchDay!$C$2="LOWER",COUNTA(DF27:DH27),0)</f>
        <v>0</v>
      </c>
      <c r="EA27" s="157" t="s">
        <v>912</v>
      </c>
      <c r="EB27" s="177"/>
      <c r="EC27" s="165"/>
      <c r="ED27" s="177"/>
      <c r="EE27" s="158"/>
      <c r="EF27" s="177"/>
      <c r="EG27" s="165"/>
      <c r="EH27" s="177"/>
      <c r="EI27" s="158"/>
      <c r="EJ27" s="180"/>
      <c r="EK27" s="180"/>
      <c r="EL27" s="180"/>
      <c r="EM27" s="177"/>
      <c r="EN27" s="158"/>
      <c r="EO27" s="177"/>
      <c r="EP27" s="158"/>
      <c r="EQ27" s="177"/>
      <c r="ER27" s="180"/>
      <c r="ES27" s="158"/>
      <c r="ET27" s="177"/>
      <c r="EU27" s="158"/>
      <c r="EV27" s="177"/>
      <c r="EW27" s="155">
        <f t="shared" si="10"/>
        <v>0</v>
      </c>
      <c r="EX27" s="155">
        <f t="shared" si="11"/>
        <v>0</v>
      </c>
      <c r="EY27" s="155">
        <f>IF(MatchDay!$C$2="LOWER",COUNTA(EF27:EH27),0)</f>
        <v>0</v>
      </c>
      <c r="FA27" s="157" t="s">
        <v>912</v>
      </c>
      <c r="FB27" s="171"/>
      <c r="FC27" s="165"/>
      <c r="FD27" s="171"/>
      <c r="FE27" s="158"/>
      <c r="FF27" s="171"/>
      <c r="FG27" s="165"/>
      <c r="FH27" s="171"/>
      <c r="FI27" s="158"/>
      <c r="FJ27" s="180"/>
      <c r="FK27" s="180"/>
      <c r="FL27" s="180"/>
      <c r="FM27" s="171"/>
      <c r="FN27" s="158"/>
      <c r="FO27" s="171"/>
      <c r="FP27" s="158"/>
      <c r="FQ27" s="171"/>
      <c r="FR27" s="180"/>
      <c r="FS27" s="158"/>
      <c r="FT27" s="171"/>
      <c r="FU27" s="158"/>
      <c r="FV27" s="171"/>
      <c r="FW27" s="155">
        <f t="shared" si="12"/>
        <v>0</v>
      </c>
      <c r="FX27" s="155">
        <f t="shared" si="13"/>
        <v>0</v>
      </c>
      <c r="FY27" s="155">
        <f>IF(MatchDay!$C$2="LOWER",COUNTA(FF27:FH27),0)</f>
        <v>0</v>
      </c>
      <c r="GA27" s="157" t="s">
        <v>912</v>
      </c>
      <c r="GB27" s="177"/>
      <c r="GC27" s="165"/>
      <c r="GD27" s="177"/>
      <c r="GE27" s="158"/>
      <c r="GF27" s="177"/>
      <c r="GG27" s="165"/>
      <c r="GH27" s="177"/>
      <c r="GI27" s="158"/>
      <c r="GJ27" s="180"/>
      <c r="GK27" s="180"/>
      <c r="GL27" s="180"/>
      <c r="GM27" s="177"/>
      <c r="GN27" s="158"/>
      <c r="GO27" s="177"/>
      <c r="GP27" s="158"/>
      <c r="GQ27" s="177"/>
      <c r="GR27" s="180"/>
      <c r="GS27" s="158"/>
      <c r="GT27" s="177"/>
      <c r="GU27" s="158"/>
      <c r="GV27" s="177"/>
      <c r="GW27" s="155">
        <f t="shared" si="14"/>
        <v>0</v>
      </c>
      <c r="GX27" s="155">
        <f t="shared" si="15"/>
        <v>0</v>
      </c>
      <c r="GY27" s="155">
        <f>IF(MatchDay!$C$2="LOWER",COUNTA(GF27:GH27),0)</f>
        <v>0</v>
      </c>
    </row>
    <row r="28" spans="1:207" ht="16.5" customHeight="1" x14ac:dyDescent="0.45">
      <c r="A28" s="157" t="s">
        <v>912</v>
      </c>
      <c r="B28" s="171"/>
      <c r="C28" s="165"/>
      <c r="D28" s="171"/>
      <c r="E28" s="158"/>
      <c r="F28" s="171"/>
      <c r="G28" s="165"/>
      <c r="H28" s="171"/>
      <c r="I28" s="158"/>
      <c r="J28" s="180"/>
      <c r="K28" s="180"/>
      <c r="L28" s="180"/>
      <c r="M28" s="171"/>
      <c r="N28" s="158"/>
      <c r="O28" s="171"/>
      <c r="P28" s="158"/>
      <c r="Q28" s="171"/>
      <c r="R28" s="180"/>
      <c r="S28" s="158"/>
      <c r="T28" s="171"/>
      <c r="U28" s="158"/>
      <c r="V28" s="171"/>
      <c r="W28" s="155">
        <f t="shared" si="0"/>
        <v>0</v>
      </c>
      <c r="X28" s="155">
        <f t="shared" si="1"/>
        <v>0</v>
      </c>
      <c r="Y28" s="155">
        <f>IF(MatchDay!$C$2="LOWER",COUNTA(F28:H28),0)</f>
        <v>0</v>
      </c>
      <c r="AA28" s="157" t="s">
        <v>912</v>
      </c>
      <c r="AB28" s="177"/>
      <c r="AC28" s="165"/>
      <c r="AD28" s="177"/>
      <c r="AE28" s="158"/>
      <c r="AF28" s="177"/>
      <c r="AG28" s="165"/>
      <c r="AH28" s="177"/>
      <c r="AI28" s="158"/>
      <c r="AJ28" s="180"/>
      <c r="AK28" s="180"/>
      <c r="AL28" s="180"/>
      <c r="AM28" s="177"/>
      <c r="AN28" s="158"/>
      <c r="AO28" s="177"/>
      <c r="AP28" s="158"/>
      <c r="AQ28" s="177"/>
      <c r="AR28" s="180"/>
      <c r="AS28" s="158"/>
      <c r="AT28" s="177"/>
      <c r="AU28" s="158"/>
      <c r="AV28" s="177"/>
      <c r="AW28" s="155">
        <f t="shared" si="2"/>
        <v>0</v>
      </c>
      <c r="AX28" s="155">
        <f t="shared" si="3"/>
        <v>0</v>
      </c>
      <c r="AY28" s="155">
        <f>IF(MatchDay!$C$2="LOWER",COUNTA(AF28:AH28),0)</f>
        <v>0</v>
      </c>
      <c r="BA28" s="157" t="s">
        <v>912</v>
      </c>
      <c r="BB28" s="171"/>
      <c r="BC28" s="165"/>
      <c r="BD28" s="171"/>
      <c r="BE28" s="158"/>
      <c r="BF28" s="171"/>
      <c r="BG28" s="165"/>
      <c r="BH28" s="171"/>
      <c r="BI28" s="158"/>
      <c r="BJ28" s="180"/>
      <c r="BK28" s="180"/>
      <c r="BL28" s="180"/>
      <c r="BM28" s="171"/>
      <c r="BN28" s="158"/>
      <c r="BO28" s="171"/>
      <c r="BP28" s="158"/>
      <c r="BQ28" s="171"/>
      <c r="BR28" s="180"/>
      <c r="BS28" s="158"/>
      <c r="BT28" s="171"/>
      <c r="BU28" s="158"/>
      <c r="BV28" s="171"/>
      <c r="BW28" s="155">
        <f t="shared" si="4"/>
        <v>0</v>
      </c>
      <c r="BX28" s="155">
        <f t="shared" si="5"/>
        <v>0</v>
      </c>
      <c r="BY28" s="155">
        <f>IF(MatchDay!$C$2="LOWER",COUNTA(BF28:BH28),0)</f>
        <v>0</v>
      </c>
      <c r="CA28" s="157" t="s">
        <v>912</v>
      </c>
      <c r="CB28" s="177"/>
      <c r="CC28" s="165"/>
      <c r="CD28" s="177"/>
      <c r="CE28" s="158"/>
      <c r="CF28" s="177"/>
      <c r="CG28" s="165"/>
      <c r="CH28" s="177"/>
      <c r="CI28" s="158"/>
      <c r="CJ28" s="180"/>
      <c r="CK28" s="180"/>
      <c r="CL28" s="180"/>
      <c r="CM28" s="177"/>
      <c r="CN28" s="158"/>
      <c r="CO28" s="177"/>
      <c r="CP28" s="158"/>
      <c r="CQ28" s="177"/>
      <c r="CR28" s="180"/>
      <c r="CS28" s="158"/>
      <c r="CT28" s="177"/>
      <c r="CU28" s="158"/>
      <c r="CV28" s="177"/>
      <c r="CW28" s="155">
        <f t="shared" si="6"/>
        <v>0</v>
      </c>
      <c r="CX28" s="155">
        <f t="shared" si="7"/>
        <v>0</v>
      </c>
      <c r="CY28" s="155">
        <f>IF(MatchDay!$C$2="LOWER",COUNTA(CF28:CH28),0)</f>
        <v>0</v>
      </c>
      <c r="DA28" s="157" t="s">
        <v>912</v>
      </c>
      <c r="DB28" s="171"/>
      <c r="DC28" s="165"/>
      <c r="DD28" s="171"/>
      <c r="DE28" s="158"/>
      <c r="DF28" s="171"/>
      <c r="DG28" s="165"/>
      <c r="DH28" s="171"/>
      <c r="DI28" s="158"/>
      <c r="DJ28" s="180"/>
      <c r="DK28" s="180"/>
      <c r="DL28" s="180"/>
      <c r="DM28" s="171"/>
      <c r="DN28" s="158"/>
      <c r="DO28" s="171"/>
      <c r="DP28" s="158"/>
      <c r="DQ28" s="171"/>
      <c r="DR28" s="180"/>
      <c r="DS28" s="158"/>
      <c r="DT28" s="171"/>
      <c r="DU28" s="158"/>
      <c r="DV28" s="171"/>
      <c r="DW28" s="155">
        <f t="shared" si="8"/>
        <v>0</v>
      </c>
      <c r="DX28" s="155">
        <f t="shared" si="9"/>
        <v>0</v>
      </c>
      <c r="DY28" s="155">
        <f>IF(MatchDay!$C$2="LOWER",COUNTA(DF28:DH28),0)</f>
        <v>0</v>
      </c>
      <c r="EA28" s="157" t="s">
        <v>912</v>
      </c>
      <c r="EB28" s="177"/>
      <c r="EC28" s="165"/>
      <c r="ED28" s="177"/>
      <c r="EE28" s="158"/>
      <c r="EF28" s="177"/>
      <c r="EG28" s="165"/>
      <c r="EH28" s="177"/>
      <c r="EI28" s="158"/>
      <c r="EJ28" s="180"/>
      <c r="EK28" s="180"/>
      <c r="EL28" s="180"/>
      <c r="EM28" s="177"/>
      <c r="EN28" s="158"/>
      <c r="EO28" s="177"/>
      <c r="EP28" s="158"/>
      <c r="EQ28" s="177"/>
      <c r="ER28" s="180"/>
      <c r="ES28" s="158"/>
      <c r="ET28" s="177"/>
      <c r="EU28" s="158"/>
      <c r="EV28" s="177"/>
      <c r="EW28" s="155">
        <f t="shared" si="10"/>
        <v>0</v>
      </c>
      <c r="EX28" s="155">
        <f t="shared" si="11"/>
        <v>0</v>
      </c>
      <c r="EY28" s="155">
        <f>IF(MatchDay!$C$2="LOWER",COUNTA(EF28:EH28),0)</f>
        <v>0</v>
      </c>
      <c r="FA28" s="157" t="s">
        <v>912</v>
      </c>
      <c r="FB28" s="171"/>
      <c r="FC28" s="165"/>
      <c r="FD28" s="171"/>
      <c r="FE28" s="158"/>
      <c r="FF28" s="171"/>
      <c r="FG28" s="165"/>
      <c r="FH28" s="171"/>
      <c r="FI28" s="158"/>
      <c r="FJ28" s="180"/>
      <c r="FK28" s="180"/>
      <c r="FL28" s="180"/>
      <c r="FM28" s="171"/>
      <c r="FN28" s="158"/>
      <c r="FO28" s="171"/>
      <c r="FP28" s="158"/>
      <c r="FQ28" s="171"/>
      <c r="FR28" s="180"/>
      <c r="FS28" s="158"/>
      <c r="FT28" s="171"/>
      <c r="FU28" s="158"/>
      <c r="FV28" s="171"/>
      <c r="FW28" s="155">
        <f t="shared" si="12"/>
        <v>0</v>
      </c>
      <c r="FX28" s="155">
        <f t="shared" si="13"/>
        <v>0</v>
      </c>
      <c r="FY28" s="155">
        <f>IF(MatchDay!$C$2="LOWER",COUNTA(FF28:FH28),0)</f>
        <v>0</v>
      </c>
      <c r="GA28" s="157" t="s">
        <v>912</v>
      </c>
      <c r="GB28" s="177"/>
      <c r="GC28" s="165"/>
      <c r="GD28" s="177"/>
      <c r="GE28" s="158"/>
      <c r="GF28" s="177"/>
      <c r="GG28" s="165"/>
      <c r="GH28" s="177"/>
      <c r="GI28" s="158"/>
      <c r="GJ28" s="180"/>
      <c r="GK28" s="180"/>
      <c r="GL28" s="180"/>
      <c r="GM28" s="177"/>
      <c r="GN28" s="158"/>
      <c r="GO28" s="177"/>
      <c r="GP28" s="158"/>
      <c r="GQ28" s="177"/>
      <c r="GR28" s="180"/>
      <c r="GS28" s="158"/>
      <c r="GT28" s="177"/>
      <c r="GU28" s="158"/>
      <c r="GV28" s="177"/>
      <c r="GW28" s="155">
        <f t="shared" si="14"/>
        <v>0</v>
      </c>
      <c r="GX28" s="155">
        <f t="shared" si="15"/>
        <v>0</v>
      </c>
      <c r="GY28" s="155">
        <f>IF(MatchDay!$C$2="LOWER",COUNTA(GF28:GH28),0)</f>
        <v>0</v>
      </c>
    </row>
    <row r="29" spans="1:207" ht="16.5" customHeight="1" x14ac:dyDescent="0.45">
      <c r="A29" s="157" t="s">
        <v>912</v>
      </c>
      <c r="B29" s="171"/>
      <c r="C29" s="165"/>
      <c r="D29" s="171"/>
      <c r="E29" s="158"/>
      <c r="F29" s="171"/>
      <c r="G29" s="165"/>
      <c r="H29" s="171"/>
      <c r="I29" s="158"/>
      <c r="J29" s="180"/>
      <c r="K29" s="180"/>
      <c r="L29" s="180"/>
      <c r="M29" s="171"/>
      <c r="N29" s="158"/>
      <c r="O29" s="171"/>
      <c r="P29" s="158"/>
      <c r="Q29" s="171"/>
      <c r="R29" s="180"/>
      <c r="S29" s="158"/>
      <c r="T29" s="171"/>
      <c r="U29" s="158"/>
      <c r="V29" s="171"/>
      <c r="W29" s="155">
        <f t="shared" si="0"/>
        <v>0</v>
      </c>
      <c r="X29" s="155">
        <f t="shared" si="1"/>
        <v>0</v>
      </c>
      <c r="Y29" s="155">
        <f>IF(MatchDay!$C$2="LOWER",COUNTA(F29:H29),0)</f>
        <v>0</v>
      </c>
      <c r="AA29" s="157" t="s">
        <v>912</v>
      </c>
      <c r="AB29" s="177"/>
      <c r="AC29" s="165"/>
      <c r="AD29" s="177"/>
      <c r="AE29" s="158"/>
      <c r="AF29" s="177"/>
      <c r="AG29" s="165"/>
      <c r="AH29" s="177"/>
      <c r="AI29" s="158"/>
      <c r="AJ29" s="180"/>
      <c r="AK29" s="180"/>
      <c r="AL29" s="180"/>
      <c r="AM29" s="177"/>
      <c r="AN29" s="158"/>
      <c r="AO29" s="177"/>
      <c r="AP29" s="158"/>
      <c r="AQ29" s="177"/>
      <c r="AR29" s="180"/>
      <c r="AS29" s="158"/>
      <c r="AT29" s="177"/>
      <c r="AU29" s="158"/>
      <c r="AV29" s="177"/>
      <c r="AW29" s="155">
        <f t="shared" si="2"/>
        <v>0</v>
      </c>
      <c r="AX29" s="155">
        <f t="shared" si="3"/>
        <v>0</v>
      </c>
      <c r="AY29" s="155">
        <f>IF(MatchDay!$C$2="LOWER",COUNTA(AF29:AH29),0)</f>
        <v>0</v>
      </c>
      <c r="BA29" s="157" t="s">
        <v>912</v>
      </c>
      <c r="BB29" s="171"/>
      <c r="BC29" s="165"/>
      <c r="BD29" s="171"/>
      <c r="BE29" s="158"/>
      <c r="BF29" s="171"/>
      <c r="BG29" s="165"/>
      <c r="BH29" s="171"/>
      <c r="BI29" s="158"/>
      <c r="BJ29" s="180"/>
      <c r="BK29" s="180"/>
      <c r="BL29" s="180"/>
      <c r="BM29" s="171"/>
      <c r="BN29" s="158"/>
      <c r="BO29" s="171"/>
      <c r="BP29" s="158"/>
      <c r="BQ29" s="171"/>
      <c r="BR29" s="180"/>
      <c r="BS29" s="158"/>
      <c r="BT29" s="171"/>
      <c r="BU29" s="158"/>
      <c r="BV29" s="171"/>
      <c r="BW29" s="155">
        <f t="shared" si="4"/>
        <v>0</v>
      </c>
      <c r="BX29" s="155">
        <f t="shared" si="5"/>
        <v>0</v>
      </c>
      <c r="BY29" s="155">
        <f>IF(MatchDay!$C$2="LOWER",COUNTA(BF29:BH29),0)</f>
        <v>0</v>
      </c>
      <c r="CA29" s="157" t="s">
        <v>912</v>
      </c>
      <c r="CB29" s="177"/>
      <c r="CC29" s="165"/>
      <c r="CD29" s="177"/>
      <c r="CE29" s="158"/>
      <c r="CF29" s="177"/>
      <c r="CG29" s="165"/>
      <c r="CH29" s="177"/>
      <c r="CI29" s="158"/>
      <c r="CJ29" s="180"/>
      <c r="CK29" s="180"/>
      <c r="CL29" s="180"/>
      <c r="CM29" s="177"/>
      <c r="CN29" s="158"/>
      <c r="CO29" s="177"/>
      <c r="CP29" s="158"/>
      <c r="CQ29" s="177"/>
      <c r="CR29" s="180"/>
      <c r="CS29" s="158"/>
      <c r="CT29" s="177"/>
      <c r="CU29" s="158"/>
      <c r="CV29" s="177"/>
      <c r="CW29" s="155">
        <f t="shared" si="6"/>
        <v>0</v>
      </c>
      <c r="CX29" s="155">
        <f t="shared" si="7"/>
        <v>0</v>
      </c>
      <c r="CY29" s="155">
        <f>IF(MatchDay!$C$2="LOWER",COUNTA(CF29:CH29),0)</f>
        <v>0</v>
      </c>
      <c r="DA29" s="157" t="s">
        <v>912</v>
      </c>
      <c r="DB29" s="171"/>
      <c r="DC29" s="165"/>
      <c r="DD29" s="171"/>
      <c r="DE29" s="158"/>
      <c r="DF29" s="171"/>
      <c r="DG29" s="165"/>
      <c r="DH29" s="171"/>
      <c r="DI29" s="158"/>
      <c r="DJ29" s="180"/>
      <c r="DK29" s="180"/>
      <c r="DL29" s="180"/>
      <c r="DM29" s="171"/>
      <c r="DN29" s="158"/>
      <c r="DO29" s="171"/>
      <c r="DP29" s="158"/>
      <c r="DQ29" s="171"/>
      <c r="DR29" s="180"/>
      <c r="DS29" s="158"/>
      <c r="DT29" s="171"/>
      <c r="DU29" s="158"/>
      <c r="DV29" s="171"/>
      <c r="DW29" s="155">
        <f t="shared" si="8"/>
        <v>0</v>
      </c>
      <c r="DX29" s="155">
        <f t="shared" si="9"/>
        <v>0</v>
      </c>
      <c r="DY29" s="155">
        <f>IF(MatchDay!$C$2="LOWER",COUNTA(DF29:DH29),0)</f>
        <v>0</v>
      </c>
      <c r="EA29" s="157" t="s">
        <v>912</v>
      </c>
      <c r="EB29" s="177"/>
      <c r="EC29" s="165"/>
      <c r="ED29" s="177"/>
      <c r="EE29" s="158"/>
      <c r="EF29" s="177"/>
      <c r="EG29" s="165"/>
      <c r="EH29" s="177"/>
      <c r="EI29" s="158"/>
      <c r="EJ29" s="180"/>
      <c r="EK29" s="180"/>
      <c r="EL29" s="180"/>
      <c r="EM29" s="177"/>
      <c r="EN29" s="158"/>
      <c r="EO29" s="177"/>
      <c r="EP29" s="158"/>
      <c r="EQ29" s="177"/>
      <c r="ER29" s="180"/>
      <c r="ES29" s="158"/>
      <c r="ET29" s="177"/>
      <c r="EU29" s="158"/>
      <c r="EV29" s="177"/>
      <c r="EW29" s="155">
        <f t="shared" si="10"/>
        <v>0</v>
      </c>
      <c r="EX29" s="155">
        <f t="shared" si="11"/>
        <v>0</v>
      </c>
      <c r="EY29" s="155">
        <f>IF(MatchDay!$C$2="LOWER",COUNTA(EF29:EH29),0)</f>
        <v>0</v>
      </c>
      <c r="FA29" s="157" t="s">
        <v>912</v>
      </c>
      <c r="FB29" s="171"/>
      <c r="FC29" s="165"/>
      <c r="FD29" s="171"/>
      <c r="FE29" s="158"/>
      <c r="FF29" s="171"/>
      <c r="FG29" s="165"/>
      <c r="FH29" s="171"/>
      <c r="FI29" s="158"/>
      <c r="FJ29" s="180"/>
      <c r="FK29" s="180"/>
      <c r="FL29" s="180"/>
      <c r="FM29" s="171"/>
      <c r="FN29" s="158"/>
      <c r="FO29" s="171"/>
      <c r="FP29" s="158"/>
      <c r="FQ29" s="171"/>
      <c r="FR29" s="180"/>
      <c r="FS29" s="158"/>
      <c r="FT29" s="171"/>
      <c r="FU29" s="158"/>
      <c r="FV29" s="171"/>
      <c r="FW29" s="155">
        <f t="shared" si="12"/>
        <v>0</v>
      </c>
      <c r="FX29" s="155">
        <f t="shared" si="13"/>
        <v>0</v>
      </c>
      <c r="FY29" s="155">
        <f>IF(MatchDay!$C$2="LOWER",COUNTA(FF29:FH29),0)</f>
        <v>0</v>
      </c>
      <c r="GA29" s="157" t="s">
        <v>912</v>
      </c>
      <c r="GB29" s="177"/>
      <c r="GC29" s="165"/>
      <c r="GD29" s="177"/>
      <c r="GE29" s="158"/>
      <c r="GF29" s="177"/>
      <c r="GG29" s="165"/>
      <c r="GH29" s="177"/>
      <c r="GI29" s="158"/>
      <c r="GJ29" s="180"/>
      <c r="GK29" s="180"/>
      <c r="GL29" s="180"/>
      <c r="GM29" s="177"/>
      <c r="GN29" s="158"/>
      <c r="GO29" s="177"/>
      <c r="GP29" s="158"/>
      <c r="GQ29" s="177"/>
      <c r="GR29" s="180"/>
      <c r="GS29" s="158"/>
      <c r="GT29" s="177"/>
      <c r="GU29" s="158"/>
      <c r="GV29" s="177"/>
      <c r="GW29" s="155">
        <f t="shared" si="14"/>
        <v>0</v>
      </c>
      <c r="GX29" s="155">
        <f t="shared" si="15"/>
        <v>0</v>
      </c>
      <c r="GY29" s="155">
        <f>IF(MatchDay!$C$2="LOWER",COUNTA(GF29:GH29),0)</f>
        <v>0</v>
      </c>
    </row>
    <row r="30" spans="1:207" ht="16.5" customHeight="1" x14ac:dyDescent="0.45">
      <c r="A30" s="157" t="s">
        <v>912</v>
      </c>
      <c r="B30" s="171"/>
      <c r="C30" s="165"/>
      <c r="D30" s="171"/>
      <c r="E30" s="158"/>
      <c r="F30" s="171"/>
      <c r="G30" s="165"/>
      <c r="H30" s="171"/>
      <c r="I30" s="158"/>
      <c r="J30" s="180"/>
      <c r="K30" s="180"/>
      <c r="L30" s="180"/>
      <c r="M30" s="171"/>
      <c r="N30" s="158"/>
      <c r="O30" s="171"/>
      <c r="P30" s="158"/>
      <c r="Q30" s="171"/>
      <c r="R30" s="180"/>
      <c r="S30" s="158"/>
      <c r="T30" s="171"/>
      <c r="U30" s="158"/>
      <c r="V30" s="171"/>
      <c r="W30" s="155">
        <f t="shared" si="0"/>
        <v>0</v>
      </c>
      <c r="X30" s="155">
        <f t="shared" si="1"/>
        <v>0</v>
      </c>
      <c r="Y30" s="155">
        <f>IF(MatchDay!$C$2="LOWER",COUNTA(F30:H30),0)</f>
        <v>0</v>
      </c>
      <c r="AA30" s="157" t="s">
        <v>912</v>
      </c>
      <c r="AB30" s="177"/>
      <c r="AC30" s="165"/>
      <c r="AD30" s="177"/>
      <c r="AE30" s="158"/>
      <c r="AF30" s="177"/>
      <c r="AG30" s="165"/>
      <c r="AH30" s="177"/>
      <c r="AI30" s="158"/>
      <c r="AJ30" s="180"/>
      <c r="AK30" s="180"/>
      <c r="AL30" s="180"/>
      <c r="AM30" s="177"/>
      <c r="AN30" s="158"/>
      <c r="AO30" s="177"/>
      <c r="AP30" s="158"/>
      <c r="AQ30" s="177"/>
      <c r="AR30" s="180"/>
      <c r="AS30" s="158"/>
      <c r="AT30" s="177"/>
      <c r="AU30" s="158"/>
      <c r="AV30" s="177"/>
      <c r="AW30" s="155">
        <f t="shared" si="2"/>
        <v>0</v>
      </c>
      <c r="AX30" s="155">
        <f t="shared" si="3"/>
        <v>0</v>
      </c>
      <c r="AY30" s="155">
        <f>IF(MatchDay!$C$2="LOWER",COUNTA(AF30:AH30),0)</f>
        <v>0</v>
      </c>
      <c r="BA30" s="157" t="s">
        <v>912</v>
      </c>
      <c r="BB30" s="171"/>
      <c r="BC30" s="165"/>
      <c r="BD30" s="171"/>
      <c r="BE30" s="158"/>
      <c r="BF30" s="171"/>
      <c r="BG30" s="165"/>
      <c r="BH30" s="171"/>
      <c r="BI30" s="158"/>
      <c r="BJ30" s="180"/>
      <c r="BK30" s="180"/>
      <c r="BL30" s="180"/>
      <c r="BM30" s="171"/>
      <c r="BN30" s="158"/>
      <c r="BO30" s="171"/>
      <c r="BP30" s="158"/>
      <c r="BQ30" s="171"/>
      <c r="BR30" s="180"/>
      <c r="BS30" s="158"/>
      <c r="BT30" s="171"/>
      <c r="BU30" s="158"/>
      <c r="BV30" s="171"/>
      <c r="BW30" s="155">
        <f t="shared" si="4"/>
        <v>0</v>
      </c>
      <c r="BX30" s="155">
        <f t="shared" si="5"/>
        <v>0</v>
      </c>
      <c r="BY30" s="155">
        <f>IF(MatchDay!$C$2="LOWER",COUNTA(BF30:BH30),0)</f>
        <v>0</v>
      </c>
      <c r="CA30" s="157" t="s">
        <v>912</v>
      </c>
      <c r="CB30" s="177"/>
      <c r="CC30" s="165"/>
      <c r="CD30" s="177"/>
      <c r="CE30" s="158"/>
      <c r="CF30" s="177"/>
      <c r="CG30" s="165"/>
      <c r="CH30" s="177"/>
      <c r="CI30" s="158"/>
      <c r="CJ30" s="180"/>
      <c r="CK30" s="180"/>
      <c r="CL30" s="180"/>
      <c r="CM30" s="177"/>
      <c r="CN30" s="158"/>
      <c r="CO30" s="177"/>
      <c r="CP30" s="158"/>
      <c r="CQ30" s="177"/>
      <c r="CR30" s="180"/>
      <c r="CS30" s="158"/>
      <c r="CT30" s="177"/>
      <c r="CU30" s="158"/>
      <c r="CV30" s="177"/>
      <c r="CW30" s="155">
        <f t="shared" si="6"/>
        <v>0</v>
      </c>
      <c r="CX30" s="155">
        <f t="shared" si="7"/>
        <v>0</v>
      </c>
      <c r="CY30" s="155">
        <f>IF(MatchDay!$C$2="LOWER",COUNTA(CF30:CH30),0)</f>
        <v>0</v>
      </c>
      <c r="DA30" s="157" t="s">
        <v>912</v>
      </c>
      <c r="DB30" s="171"/>
      <c r="DC30" s="165"/>
      <c r="DD30" s="171"/>
      <c r="DE30" s="158"/>
      <c r="DF30" s="171"/>
      <c r="DG30" s="165"/>
      <c r="DH30" s="171"/>
      <c r="DI30" s="158"/>
      <c r="DJ30" s="180"/>
      <c r="DK30" s="180"/>
      <c r="DL30" s="180"/>
      <c r="DM30" s="171"/>
      <c r="DN30" s="158"/>
      <c r="DO30" s="171"/>
      <c r="DP30" s="158"/>
      <c r="DQ30" s="171"/>
      <c r="DR30" s="180"/>
      <c r="DS30" s="158"/>
      <c r="DT30" s="171"/>
      <c r="DU30" s="158"/>
      <c r="DV30" s="171"/>
      <c r="DW30" s="155">
        <f t="shared" si="8"/>
        <v>0</v>
      </c>
      <c r="DX30" s="155">
        <f t="shared" si="9"/>
        <v>0</v>
      </c>
      <c r="DY30" s="155">
        <f>IF(MatchDay!$C$2="LOWER",COUNTA(DF30:DH30),0)</f>
        <v>0</v>
      </c>
      <c r="EA30" s="157" t="s">
        <v>912</v>
      </c>
      <c r="EB30" s="177"/>
      <c r="EC30" s="165"/>
      <c r="ED30" s="177"/>
      <c r="EE30" s="158"/>
      <c r="EF30" s="177"/>
      <c r="EG30" s="165"/>
      <c r="EH30" s="177"/>
      <c r="EI30" s="158"/>
      <c r="EJ30" s="180"/>
      <c r="EK30" s="180"/>
      <c r="EL30" s="180"/>
      <c r="EM30" s="177"/>
      <c r="EN30" s="158"/>
      <c r="EO30" s="177"/>
      <c r="EP30" s="158"/>
      <c r="EQ30" s="177"/>
      <c r="ER30" s="180"/>
      <c r="ES30" s="158"/>
      <c r="ET30" s="177"/>
      <c r="EU30" s="158"/>
      <c r="EV30" s="177"/>
      <c r="EW30" s="155">
        <f t="shared" si="10"/>
        <v>0</v>
      </c>
      <c r="EX30" s="155">
        <f t="shared" si="11"/>
        <v>0</v>
      </c>
      <c r="EY30" s="155">
        <f>IF(MatchDay!$C$2="LOWER",COUNTA(EF30:EH30),0)</f>
        <v>0</v>
      </c>
      <c r="FA30" s="157" t="s">
        <v>912</v>
      </c>
      <c r="FB30" s="171"/>
      <c r="FC30" s="165"/>
      <c r="FD30" s="171"/>
      <c r="FE30" s="158"/>
      <c r="FF30" s="171"/>
      <c r="FG30" s="165"/>
      <c r="FH30" s="171"/>
      <c r="FI30" s="158"/>
      <c r="FJ30" s="180"/>
      <c r="FK30" s="180"/>
      <c r="FL30" s="180"/>
      <c r="FM30" s="171"/>
      <c r="FN30" s="158"/>
      <c r="FO30" s="171"/>
      <c r="FP30" s="158"/>
      <c r="FQ30" s="171"/>
      <c r="FR30" s="180"/>
      <c r="FS30" s="158"/>
      <c r="FT30" s="171"/>
      <c r="FU30" s="158"/>
      <c r="FV30" s="171"/>
      <c r="FW30" s="155">
        <f t="shared" si="12"/>
        <v>0</v>
      </c>
      <c r="FX30" s="155">
        <f t="shared" si="13"/>
        <v>0</v>
      </c>
      <c r="FY30" s="155">
        <f>IF(MatchDay!$C$2="LOWER",COUNTA(FF30:FH30),0)</f>
        <v>0</v>
      </c>
      <c r="GA30" s="157" t="s">
        <v>912</v>
      </c>
      <c r="GB30" s="177"/>
      <c r="GC30" s="165"/>
      <c r="GD30" s="177"/>
      <c r="GE30" s="158"/>
      <c r="GF30" s="177"/>
      <c r="GG30" s="165"/>
      <c r="GH30" s="177"/>
      <c r="GI30" s="158"/>
      <c r="GJ30" s="180"/>
      <c r="GK30" s="180"/>
      <c r="GL30" s="180"/>
      <c r="GM30" s="177"/>
      <c r="GN30" s="158"/>
      <c r="GO30" s="177"/>
      <c r="GP30" s="158"/>
      <c r="GQ30" s="177"/>
      <c r="GR30" s="180"/>
      <c r="GS30" s="158"/>
      <c r="GT30" s="177"/>
      <c r="GU30" s="158"/>
      <c r="GV30" s="177"/>
      <c r="GW30" s="155">
        <f t="shared" si="14"/>
        <v>0</v>
      </c>
      <c r="GX30" s="155">
        <f t="shared" si="15"/>
        <v>0</v>
      </c>
      <c r="GY30" s="155">
        <f>IF(MatchDay!$C$2="LOWER",COUNTA(GF30:GH30),0)</f>
        <v>0</v>
      </c>
    </row>
    <row r="31" spans="1:207" ht="16.5" customHeight="1" x14ac:dyDescent="0.45">
      <c r="A31" s="157" t="s">
        <v>912</v>
      </c>
      <c r="B31" s="171"/>
      <c r="C31" s="165"/>
      <c r="D31" s="171"/>
      <c r="E31" s="158"/>
      <c r="F31" s="171"/>
      <c r="G31" s="165"/>
      <c r="H31" s="171"/>
      <c r="I31" s="158"/>
      <c r="J31" s="180"/>
      <c r="K31" s="180"/>
      <c r="L31" s="180"/>
      <c r="M31" s="171"/>
      <c r="N31" s="158"/>
      <c r="O31" s="171"/>
      <c r="P31" s="158"/>
      <c r="Q31" s="171"/>
      <c r="R31" s="180"/>
      <c r="S31" s="158"/>
      <c r="T31" s="171"/>
      <c r="U31" s="158"/>
      <c r="V31" s="171"/>
      <c r="W31" s="155">
        <f t="shared" si="0"/>
        <v>0</v>
      </c>
      <c r="X31" s="155">
        <f t="shared" si="1"/>
        <v>0</v>
      </c>
      <c r="Y31" s="155">
        <f>IF(MatchDay!$C$2="LOWER",COUNTA(F31:H31),0)</f>
        <v>0</v>
      </c>
      <c r="AA31" s="157" t="s">
        <v>912</v>
      </c>
      <c r="AB31" s="177"/>
      <c r="AC31" s="165"/>
      <c r="AD31" s="177"/>
      <c r="AE31" s="158"/>
      <c r="AF31" s="177"/>
      <c r="AG31" s="165"/>
      <c r="AH31" s="177"/>
      <c r="AI31" s="158"/>
      <c r="AJ31" s="180"/>
      <c r="AK31" s="180"/>
      <c r="AL31" s="180"/>
      <c r="AM31" s="177"/>
      <c r="AN31" s="158"/>
      <c r="AO31" s="177"/>
      <c r="AP31" s="158"/>
      <c r="AQ31" s="177"/>
      <c r="AR31" s="180"/>
      <c r="AS31" s="158"/>
      <c r="AT31" s="177"/>
      <c r="AU31" s="158"/>
      <c r="AV31" s="177"/>
      <c r="AW31" s="155">
        <f t="shared" si="2"/>
        <v>0</v>
      </c>
      <c r="AX31" s="155">
        <f t="shared" si="3"/>
        <v>0</v>
      </c>
      <c r="AY31" s="155">
        <f>IF(MatchDay!$C$2="LOWER",COUNTA(AF31:AH31),0)</f>
        <v>0</v>
      </c>
      <c r="BA31" s="157" t="s">
        <v>912</v>
      </c>
      <c r="BB31" s="171"/>
      <c r="BC31" s="165"/>
      <c r="BD31" s="171"/>
      <c r="BE31" s="158"/>
      <c r="BF31" s="171"/>
      <c r="BG31" s="165"/>
      <c r="BH31" s="171"/>
      <c r="BI31" s="158"/>
      <c r="BJ31" s="180"/>
      <c r="BK31" s="180"/>
      <c r="BL31" s="180"/>
      <c r="BM31" s="171"/>
      <c r="BN31" s="158"/>
      <c r="BO31" s="171"/>
      <c r="BP31" s="158"/>
      <c r="BQ31" s="171"/>
      <c r="BR31" s="180"/>
      <c r="BS31" s="158"/>
      <c r="BT31" s="171"/>
      <c r="BU31" s="158"/>
      <c r="BV31" s="171"/>
      <c r="BW31" s="155">
        <f t="shared" si="4"/>
        <v>0</v>
      </c>
      <c r="BX31" s="155">
        <f t="shared" si="5"/>
        <v>0</v>
      </c>
      <c r="BY31" s="155">
        <f>IF(MatchDay!$C$2="LOWER",COUNTA(BF31:BH31),0)</f>
        <v>0</v>
      </c>
      <c r="CA31" s="157" t="s">
        <v>912</v>
      </c>
      <c r="CB31" s="177"/>
      <c r="CC31" s="165"/>
      <c r="CD31" s="177"/>
      <c r="CE31" s="158"/>
      <c r="CF31" s="177"/>
      <c r="CG31" s="165"/>
      <c r="CH31" s="177"/>
      <c r="CI31" s="158"/>
      <c r="CJ31" s="180"/>
      <c r="CK31" s="180"/>
      <c r="CL31" s="180"/>
      <c r="CM31" s="177"/>
      <c r="CN31" s="158"/>
      <c r="CO31" s="177"/>
      <c r="CP31" s="158"/>
      <c r="CQ31" s="177"/>
      <c r="CR31" s="180"/>
      <c r="CS31" s="158"/>
      <c r="CT31" s="177"/>
      <c r="CU31" s="158"/>
      <c r="CV31" s="177"/>
      <c r="CW31" s="155">
        <f t="shared" si="6"/>
        <v>0</v>
      </c>
      <c r="CX31" s="155">
        <f t="shared" si="7"/>
        <v>0</v>
      </c>
      <c r="CY31" s="155">
        <f>IF(MatchDay!$C$2="LOWER",COUNTA(CF31:CH31),0)</f>
        <v>0</v>
      </c>
      <c r="DA31" s="157" t="s">
        <v>912</v>
      </c>
      <c r="DB31" s="171"/>
      <c r="DC31" s="165"/>
      <c r="DD31" s="171"/>
      <c r="DE31" s="158"/>
      <c r="DF31" s="171"/>
      <c r="DG31" s="165"/>
      <c r="DH31" s="171"/>
      <c r="DI31" s="158"/>
      <c r="DJ31" s="180"/>
      <c r="DK31" s="180"/>
      <c r="DL31" s="180"/>
      <c r="DM31" s="171"/>
      <c r="DN31" s="158"/>
      <c r="DO31" s="171"/>
      <c r="DP31" s="158"/>
      <c r="DQ31" s="171"/>
      <c r="DR31" s="180"/>
      <c r="DS31" s="158"/>
      <c r="DT31" s="171"/>
      <c r="DU31" s="158"/>
      <c r="DV31" s="171"/>
      <c r="DW31" s="155">
        <f t="shared" si="8"/>
        <v>0</v>
      </c>
      <c r="DX31" s="155">
        <f t="shared" si="9"/>
        <v>0</v>
      </c>
      <c r="DY31" s="155">
        <f>IF(MatchDay!$C$2="LOWER",COUNTA(DF31:DH31),0)</f>
        <v>0</v>
      </c>
      <c r="EA31" s="157" t="s">
        <v>912</v>
      </c>
      <c r="EB31" s="177"/>
      <c r="EC31" s="165"/>
      <c r="ED31" s="177"/>
      <c r="EE31" s="158"/>
      <c r="EF31" s="177"/>
      <c r="EG31" s="165"/>
      <c r="EH31" s="177"/>
      <c r="EI31" s="158"/>
      <c r="EJ31" s="180"/>
      <c r="EK31" s="180"/>
      <c r="EL31" s="180"/>
      <c r="EM31" s="177"/>
      <c r="EN31" s="158"/>
      <c r="EO31" s="177"/>
      <c r="EP31" s="158"/>
      <c r="EQ31" s="177"/>
      <c r="ER31" s="180"/>
      <c r="ES31" s="158"/>
      <c r="ET31" s="177"/>
      <c r="EU31" s="158"/>
      <c r="EV31" s="177"/>
      <c r="EW31" s="155">
        <f t="shared" si="10"/>
        <v>0</v>
      </c>
      <c r="EX31" s="155">
        <f t="shared" si="11"/>
        <v>0</v>
      </c>
      <c r="EY31" s="155">
        <f>IF(MatchDay!$C$2="LOWER",COUNTA(EF31:EH31),0)</f>
        <v>0</v>
      </c>
      <c r="FA31" s="157" t="s">
        <v>912</v>
      </c>
      <c r="FB31" s="171"/>
      <c r="FC31" s="165"/>
      <c r="FD31" s="171"/>
      <c r="FE31" s="158"/>
      <c r="FF31" s="171"/>
      <c r="FG31" s="165"/>
      <c r="FH31" s="171"/>
      <c r="FI31" s="158"/>
      <c r="FJ31" s="180"/>
      <c r="FK31" s="180"/>
      <c r="FL31" s="180"/>
      <c r="FM31" s="171"/>
      <c r="FN31" s="158"/>
      <c r="FO31" s="171"/>
      <c r="FP31" s="158"/>
      <c r="FQ31" s="171"/>
      <c r="FR31" s="180"/>
      <c r="FS31" s="158"/>
      <c r="FT31" s="171"/>
      <c r="FU31" s="158"/>
      <c r="FV31" s="171"/>
      <c r="FW31" s="155">
        <f t="shared" si="12"/>
        <v>0</v>
      </c>
      <c r="FX31" s="155">
        <f t="shared" si="13"/>
        <v>0</v>
      </c>
      <c r="FY31" s="155">
        <f>IF(MatchDay!$C$2="LOWER",COUNTA(FF31:FH31),0)</f>
        <v>0</v>
      </c>
      <c r="GA31" s="157" t="s">
        <v>912</v>
      </c>
      <c r="GB31" s="177"/>
      <c r="GC31" s="165"/>
      <c r="GD31" s="177"/>
      <c r="GE31" s="158"/>
      <c r="GF31" s="177"/>
      <c r="GG31" s="165"/>
      <c r="GH31" s="177"/>
      <c r="GI31" s="158"/>
      <c r="GJ31" s="180"/>
      <c r="GK31" s="180"/>
      <c r="GL31" s="180"/>
      <c r="GM31" s="177"/>
      <c r="GN31" s="158"/>
      <c r="GO31" s="177"/>
      <c r="GP31" s="158"/>
      <c r="GQ31" s="177"/>
      <c r="GR31" s="180"/>
      <c r="GS31" s="158"/>
      <c r="GT31" s="177"/>
      <c r="GU31" s="158"/>
      <c r="GV31" s="177"/>
      <c r="GW31" s="155">
        <f t="shared" si="14"/>
        <v>0</v>
      </c>
      <c r="GX31" s="155">
        <f t="shared" si="15"/>
        <v>0</v>
      </c>
      <c r="GY31" s="155">
        <f>IF(MatchDay!$C$2="LOWER",COUNTA(GF31:GH31),0)</f>
        <v>0</v>
      </c>
    </row>
    <row r="32" spans="1:207" ht="16.5" customHeight="1" x14ac:dyDescent="0.45">
      <c r="A32" s="157" t="s">
        <v>912</v>
      </c>
      <c r="B32" s="171"/>
      <c r="C32" s="165"/>
      <c r="D32" s="171"/>
      <c r="E32" s="158"/>
      <c r="F32" s="171"/>
      <c r="G32" s="165"/>
      <c r="H32" s="171"/>
      <c r="I32" s="158"/>
      <c r="J32" s="180"/>
      <c r="K32" s="180"/>
      <c r="L32" s="180"/>
      <c r="M32" s="171"/>
      <c r="N32" s="158"/>
      <c r="O32" s="171"/>
      <c r="P32" s="158"/>
      <c r="Q32" s="171"/>
      <c r="R32" s="180"/>
      <c r="S32" s="158"/>
      <c r="T32" s="171"/>
      <c r="U32" s="158"/>
      <c r="V32" s="171"/>
      <c r="W32" s="155">
        <f t="shared" si="0"/>
        <v>0</v>
      </c>
      <c r="X32" s="155">
        <f t="shared" si="1"/>
        <v>0</v>
      </c>
      <c r="Y32" s="155">
        <f>IF(MatchDay!$C$2="LOWER",COUNTA(F32:H32),0)</f>
        <v>0</v>
      </c>
      <c r="AA32" s="157" t="s">
        <v>912</v>
      </c>
      <c r="AB32" s="177"/>
      <c r="AC32" s="165"/>
      <c r="AD32" s="177"/>
      <c r="AE32" s="158"/>
      <c r="AF32" s="177"/>
      <c r="AG32" s="165"/>
      <c r="AH32" s="177"/>
      <c r="AI32" s="158"/>
      <c r="AJ32" s="180"/>
      <c r="AK32" s="180"/>
      <c r="AL32" s="180"/>
      <c r="AM32" s="177"/>
      <c r="AN32" s="158"/>
      <c r="AO32" s="177"/>
      <c r="AP32" s="158"/>
      <c r="AQ32" s="177"/>
      <c r="AR32" s="180"/>
      <c r="AS32" s="158"/>
      <c r="AT32" s="177"/>
      <c r="AU32" s="158"/>
      <c r="AV32" s="177"/>
      <c r="AW32" s="155">
        <f t="shared" si="2"/>
        <v>0</v>
      </c>
      <c r="AX32" s="155">
        <f t="shared" si="3"/>
        <v>0</v>
      </c>
      <c r="AY32" s="155">
        <f>IF(MatchDay!$C$2="LOWER",COUNTA(AF32:AH32),0)</f>
        <v>0</v>
      </c>
      <c r="BA32" s="157" t="s">
        <v>912</v>
      </c>
      <c r="BB32" s="171"/>
      <c r="BC32" s="165"/>
      <c r="BD32" s="171"/>
      <c r="BE32" s="158"/>
      <c r="BF32" s="171"/>
      <c r="BG32" s="165"/>
      <c r="BH32" s="171"/>
      <c r="BI32" s="158"/>
      <c r="BJ32" s="180"/>
      <c r="BK32" s="180"/>
      <c r="BL32" s="180"/>
      <c r="BM32" s="171"/>
      <c r="BN32" s="158"/>
      <c r="BO32" s="171"/>
      <c r="BP32" s="158"/>
      <c r="BQ32" s="171"/>
      <c r="BR32" s="180"/>
      <c r="BS32" s="158"/>
      <c r="BT32" s="171"/>
      <c r="BU32" s="158"/>
      <c r="BV32" s="171"/>
      <c r="BW32" s="155">
        <f t="shared" si="4"/>
        <v>0</v>
      </c>
      <c r="BX32" s="155">
        <f t="shared" si="5"/>
        <v>0</v>
      </c>
      <c r="BY32" s="155">
        <f>IF(MatchDay!$C$2="LOWER",COUNTA(BF32:BH32),0)</f>
        <v>0</v>
      </c>
      <c r="CA32" s="157" t="s">
        <v>912</v>
      </c>
      <c r="CB32" s="177"/>
      <c r="CC32" s="165"/>
      <c r="CD32" s="177"/>
      <c r="CE32" s="158"/>
      <c r="CF32" s="177"/>
      <c r="CG32" s="165"/>
      <c r="CH32" s="177"/>
      <c r="CI32" s="158"/>
      <c r="CJ32" s="180"/>
      <c r="CK32" s="180"/>
      <c r="CL32" s="180"/>
      <c r="CM32" s="177"/>
      <c r="CN32" s="158"/>
      <c r="CO32" s="177"/>
      <c r="CP32" s="158"/>
      <c r="CQ32" s="177"/>
      <c r="CR32" s="180"/>
      <c r="CS32" s="158"/>
      <c r="CT32" s="177"/>
      <c r="CU32" s="158"/>
      <c r="CV32" s="177"/>
      <c r="CW32" s="155">
        <f t="shared" si="6"/>
        <v>0</v>
      </c>
      <c r="CX32" s="155">
        <f t="shared" si="7"/>
        <v>0</v>
      </c>
      <c r="CY32" s="155">
        <f>IF(MatchDay!$C$2="LOWER",COUNTA(CF32:CH32),0)</f>
        <v>0</v>
      </c>
      <c r="DA32" s="157" t="s">
        <v>912</v>
      </c>
      <c r="DB32" s="171"/>
      <c r="DC32" s="165"/>
      <c r="DD32" s="171"/>
      <c r="DE32" s="158"/>
      <c r="DF32" s="171"/>
      <c r="DG32" s="165"/>
      <c r="DH32" s="171"/>
      <c r="DI32" s="158"/>
      <c r="DJ32" s="180"/>
      <c r="DK32" s="180"/>
      <c r="DL32" s="180"/>
      <c r="DM32" s="171"/>
      <c r="DN32" s="158"/>
      <c r="DO32" s="171"/>
      <c r="DP32" s="158"/>
      <c r="DQ32" s="171"/>
      <c r="DR32" s="180"/>
      <c r="DS32" s="158"/>
      <c r="DT32" s="171"/>
      <c r="DU32" s="158"/>
      <c r="DV32" s="171"/>
      <c r="DW32" s="155">
        <f t="shared" si="8"/>
        <v>0</v>
      </c>
      <c r="DX32" s="155">
        <f t="shared" si="9"/>
        <v>0</v>
      </c>
      <c r="DY32" s="155">
        <f>IF(MatchDay!$C$2="LOWER",COUNTA(DF32:DH32),0)</f>
        <v>0</v>
      </c>
      <c r="EA32" s="157" t="s">
        <v>912</v>
      </c>
      <c r="EB32" s="177"/>
      <c r="EC32" s="165"/>
      <c r="ED32" s="177"/>
      <c r="EE32" s="158"/>
      <c r="EF32" s="177"/>
      <c r="EG32" s="165"/>
      <c r="EH32" s="177"/>
      <c r="EI32" s="158"/>
      <c r="EJ32" s="180"/>
      <c r="EK32" s="180"/>
      <c r="EL32" s="180"/>
      <c r="EM32" s="177"/>
      <c r="EN32" s="158"/>
      <c r="EO32" s="177"/>
      <c r="EP32" s="158"/>
      <c r="EQ32" s="177"/>
      <c r="ER32" s="180"/>
      <c r="ES32" s="158"/>
      <c r="ET32" s="177"/>
      <c r="EU32" s="158"/>
      <c r="EV32" s="177"/>
      <c r="EW32" s="155">
        <f t="shared" si="10"/>
        <v>0</v>
      </c>
      <c r="EX32" s="155">
        <f t="shared" si="11"/>
        <v>0</v>
      </c>
      <c r="EY32" s="155">
        <f>IF(MatchDay!$C$2="LOWER",COUNTA(EF32:EH32),0)</f>
        <v>0</v>
      </c>
      <c r="FA32" s="157" t="s">
        <v>912</v>
      </c>
      <c r="FB32" s="171"/>
      <c r="FC32" s="165"/>
      <c r="FD32" s="171"/>
      <c r="FE32" s="158"/>
      <c r="FF32" s="171"/>
      <c r="FG32" s="165"/>
      <c r="FH32" s="171"/>
      <c r="FI32" s="158"/>
      <c r="FJ32" s="180"/>
      <c r="FK32" s="180"/>
      <c r="FL32" s="180"/>
      <c r="FM32" s="171"/>
      <c r="FN32" s="158"/>
      <c r="FO32" s="171"/>
      <c r="FP32" s="158"/>
      <c r="FQ32" s="171"/>
      <c r="FR32" s="180"/>
      <c r="FS32" s="158"/>
      <c r="FT32" s="171"/>
      <c r="FU32" s="158"/>
      <c r="FV32" s="171"/>
      <c r="FW32" s="155">
        <f t="shared" si="12"/>
        <v>0</v>
      </c>
      <c r="FX32" s="155">
        <f t="shared" si="13"/>
        <v>0</v>
      </c>
      <c r="FY32" s="155">
        <f>IF(MatchDay!$C$2="LOWER",COUNTA(FF32:FH32),0)</f>
        <v>0</v>
      </c>
      <c r="GA32" s="157" t="s">
        <v>912</v>
      </c>
      <c r="GB32" s="177"/>
      <c r="GC32" s="165"/>
      <c r="GD32" s="177"/>
      <c r="GE32" s="158"/>
      <c r="GF32" s="177"/>
      <c r="GG32" s="165"/>
      <c r="GH32" s="177"/>
      <c r="GI32" s="158"/>
      <c r="GJ32" s="180"/>
      <c r="GK32" s="180"/>
      <c r="GL32" s="180"/>
      <c r="GM32" s="177"/>
      <c r="GN32" s="158"/>
      <c r="GO32" s="177"/>
      <c r="GP32" s="158"/>
      <c r="GQ32" s="177"/>
      <c r="GR32" s="180"/>
      <c r="GS32" s="158"/>
      <c r="GT32" s="177"/>
      <c r="GU32" s="158"/>
      <c r="GV32" s="177"/>
      <c r="GW32" s="155">
        <f t="shared" si="14"/>
        <v>0</v>
      </c>
      <c r="GX32" s="155">
        <f t="shared" si="15"/>
        <v>0</v>
      </c>
      <c r="GY32" s="155">
        <f>IF(MatchDay!$C$2="LOWER",COUNTA(GF32:GH32),0)</f>
        <v>0</v>
      </c>
    </row>
    <row r="33" spans="1:207" ht="16.5" customHeight="1" x14ac:dyDescent="0.45">
      <c r="A33" s="157" t="s">
        <v>912</v>
      </c>
      <c r="B33" s="171"/>
      <c r="C33" s="165"/>
      <c r="D33" s="171"/>
      <c r="E33" s="158"/>
      <c r="F33" s="171"/>
      <c r="G33" s="165"/>
      <c r="H33" s="171"/>
      <c r="I33" s="158"/>
      <c r="J33" s="180"/>
      <c r="K33" s="180"/>
      <c r="L33" s="180"/>
      <c r="M33" s="171"/>
      <c r="N33" s="158"/>
      <c r="O33" s="171"/>
      <c r="P33" s="158"/>
      <c r="Q33" s="171"/>
      <c r="R33" s="180"/>
      <c r="S33" s="158"/>
      <c r="T33" s="171"/>
      <c r="U33" s="158"/>
      <c r="V33" s="171"/>
      <c r="W33" s="155">
        <f t="shared" si="0"/>
        <v>0</v>
      </c>
      <c r="X33" s="155">
        <f t="shared" si="1"/>
        <v>0</v>
      </c>
      <c r="Y33" s="155">
        <f>IF(MatchDay!$C$2="LOWER",COUNTA(F33:H33),0)</f>
        <v>0</v>
      </c>
      <c r="AA33" s="157" t="s">
        <v>912</v>
      </c>
      <c r="AB33" s="177"/>
      <c r="AC33" s="165"/>
      <c r="AD33" s="177"/>
      <c r="AE33" s="158"/>
      <c r="AF33" s="177"/>
      <c r="AG33" s="165"/>
      <c r="AH33" s="177"/>
      <c r="AI33" s="158"/>
      <c r="AJ33" s="180"/>
      <c r="AK33" s="180"/>
      <c r="AL33" s="180"/>
      <c r="AM33" s="177"/>
      <c r="AN33" s="158"/>
      <c r="AO33" s="177"/>
      <c r="AP33" s="158"/>
      <c r="AQ33" s="177"/>
      <c r="AR33" s="180"/>
      <c r="AS33" s="158"/>
      <c r="AT33" s="177"/>
      <c r="AU33" s="158"/>
      <c r="AV33" s="177"/>
      <c r="AW33" s="155">
        <f t="shared" si="2"/>
        <v>0</v>
      </c>
      <c r="AX33" s="155">
        <f t="shared" si="3"/>
        <v>0</v>
      </c>
      <c r="AY33" s="155">
        <f>IF(MatchDay!$C$2="LOWER",COUNTA(AF33:AH33),0)</f>
        <v>0</v>
      </c>
      <c r="BA33" s="157" t="s">
        <v>912</v>
      </c>
      <c r="BB33" s="171"/>
      <c r="BC33" s="165"/>
      <c r="BD33" s="171"/>
      <c r="BE33" s="158"/>
      <c r="BF33" s="171"/>
      <c r="BG33" s="165"/>
      <c r="BH33" s="171"/>
      <c r="BI33" s="158"/>
      <c r="BJ33" s="180"/>
      <c r="BK33" s="180"/>
      <c r="BL33" s="180"/>
      <c r="BM33" s="171"/>
      <c r="BN33" s="158"/>
      <c r="BO33" s="171"/>
      <c r="BP33" s="158"/>
      <c r="BQ33" s="171"/>
      <c r="BR33" s="180"/>
      <c r="BS33" s="158"/>
      <c r="BT33" s="171"/>
      <c r="BU33" s="158"/>
      <c r="BV33" s="171"/>
      <c r="BW33" s="155">
        <f t="shared" si="4"/>
        <v>0</v>
      </c>
      <c r="BX33" s="155">
        <f t="shared" si="5"/>
        <v>0</v>
      </c>
      <c r="BY33" s="155">
        <f>IF(MatchDay!$C$2="LOWER",COUNTA(BF33:BH33),0)</f>
        <v>0</v>
      </c>
      <c r="CA33" s="157" t="s">
        <v>912</v>
      </c>
      <c r="CB33" s="177"/>
      <c r="CC33" s="165"/>
      <c r="CD33" s="177"/>
      <c r="CE33" s="158"/>
      <c r="CF33" s="177"/>
      <c r="CG33" s="165"/>
      <c r="CH33" s="177"/>
      <c r="CI33" s="158"/>
      <c r="CJ33" s="180"/>
      <c r="CK33" s="180"/>
      <c r="CL33" s="180"/>
      <c r="CM33" s="177"/>
      <c r="CN33" s="158"/>
      <c r="CO33" s="177"/>
      <c r="CP33" s="158"/>
      <c r="CQ33" s="177"/>
      <c r="CR33" s="180"/>
      <c r="CS33" s="158"/>
      <c r="CT33" s="177"/>
      <c r="CU33" s="158"/>
      <c r="CV33" s="177"/>
      <c r="CW33" s="155">
        <f t="shared" si="6"/>
        <v>0</v>
      </c>
      <c r="CX33" s="155">
        <f t="shared" si="7"/>
        <v>0</v>
      </c>
      <c r="CY33" s="155">
        <f>IF(MatchDay!$C$2="LOWER",COUNTA(CF33:CH33),0)</f>
        <v>0</v>
      </c>
      <c r="DA33" s="157" t="s">
        <v>912</v>
      </c>
      <c r="DB33" s="171"/>
      <c r="DC33" s="165"/>
      <c r="DD33" s="171"/>
      <c r="DE33" s="158"/>
      <c r="DF33" s="171"/>
      <c r="DG33" s="165"/>
      <c r="DH33" s="171"/>
      <c r="DI33" s="158"/>
      <c r="DJ33" s="180"/>
      <c r="DK33" s="180"/>
      <c r="DL33" s="180"/>
      <c r="DM33" s="171"/>
      <c r="DN33" s="158"/>
      <c r="DO33" s="171"/>
      <c r="DP33" s="158"/>
      <c r="DQ33" s="171"/>
      <c r="DR33" s="180"/>
      <c r="DS33" s="158"/>
      <c r="DT33" s="171"/>
      <c r="DU33" s="158"/>
      <c r="DV33" s="171"/>
      <c r="DW33" s="155">
        <f t="shared" si="8"/>
        <v>0</v>
      </c>
      <c r="DX33" s="155">
        <f t="shared" si="9"/>
        <v>0</v>
      </c>
      <c r="DY33" s="155">
        <f>IF(MatchDay!$C$2="LOWER",COUNTA(DF33:DH33),0)</f>
        <v>0</v>
      </c>
      <c r="EA33" s="157" t="s">
        <v>912</v>
      </c>
      <c r="EB33" s="177"/>
      <c r="EC33" s="165"/>
      <c r="ED33" s="177"/>
      <c r="EE33" s="158"/>
      <c r="EF33" s="177"/>
      <c r="EG33" s="165"/>
      <c r="EH33" s="177"/>
      <c r="EI33" s="158"/>
      <c r="EJ33" s="180"/>
      <c r="EK33" s="180"/>
      <c r="EL33" s="180"/>
      <c r="EM33" s="177"/>
      <c r="EN33" s="158"/>
      <c r="EO33" s="177"/>
      <c r="EP33" s="158"/>
      <c r="EQ33" s="177"/>
      <c r="ER33" s="180"/>
      <c r="ES33" s="158"/>
      <c r="ET33" s="177"/>
      <c r="EU33" s="158"/>
      <c r="EV33" s="177"/>
      <c r="EW33" s="155">
        <f t="shared" si="10"/>
        <v>0</v>
      </c>
      <c r="EX33" s="155">
        <f t="shared" si="11"/>
        <v>0</v>
      </c>
      <c r="EY33" s="155">
        <f>IF(MatchDay!$C$2="LOWER",COUNTA(EF33:EH33),0)</f>
        <v>0</v>
      </c>
      <c r="FA33" s="157" t="s">
        <v>912</v>
      </c>
      <c r="FB33" s="171"/>
      <c r="FC33" s="165"/>
      <c r="FD33" s="171"/>
      <c r="FE33" s="158"/>
      <c r="FF33" s="171"/>
      <c r="FG33" s="165"/>
      <c r="FH33" s="171"/>
      <c r="FI33" s="158"/>
      <c r="FJ33" s="180"/>
      <c r="FK33" s="180"/>
      <c r="FL33" s="180"/>
      <c r="FM33" s="171"/>
      <c r="FN33" s="158"/>
      <c r="FO33" s="171"/>
      <c r="FP33" s="158"/>
      <c r="FQ33" s="171"/>
      <c r="FR33" s="180"/>
      <c r="FS33" s="158"/>
      <c r="FT33" s="171"/>
      <c r="FU33" s="158"/>
      <c r="FV33" s="171"/>
      <c r="FW33" s="155">
        <f t="shared" si="12"/>
        <v>0</v>
      </c>
      <c r="FX33" s="155">
        <f t="shared" si="13"/>
        <v>0</v>
      </c>
      <c r="FY33" s="155">
        <f>IF(MatchDay!$C$2="LOWER",COUNTA(FF33:FH33),0)</f>
        <v>0</v>
      </c>
      <c r="GA33" s="157" t="s">
        <v>912</v>
      </c>
      <c r="GB33" s="177"/>
      <c r="GC33" s="165"/>
      <c r="GD33" s="177"/>
      <c r="GE33" s="158"/>
      <c r="GF33" s="177"/>
      <c r="GG33" s="165"/>
      <c r="GH33" s="177"/>
      <c r="GI33" s="158"/>
      <c r="GJ33" s="180"/>
      <c r="GK33" s="180"/>
      <c r="GL33" s="180"/>
      <c r="GM33" s="177"/>
      <c r="GN33" s="158"/>
      <c r="GO33" s="177"/>
      <c r="GP33" s="158"/>
      <c r="GQ33" s="177"/>
      <c r="GR33" s="180"/>
      <c r="GS33" s="158"/>
      <c r="GT33" s="177"/>
      <c r="GU33" s="158"/>
      <c r="GV33" s="177"/>
      <c r="GW33" s="155">
        <f t="shared" si="14"/>
        <v>0</v>
      </c>
      <c r="GX33" s="155">
        <f t="shared" si="15"/>
        <v>0</v>
      </c>
      <c r="GY33" s="155">
        <f>IF(MatchDay!$C$2="LOWER",COUNTA(GF33:GH33),0)</f>
        <v>0</v>
      </c>
    </row>
    <row r="34" spans="1:207" ht="16.5" customHeight="1" x14ac:dyDescent="0.45">
      <c r="A34" s="161" t="s">
        <v>6</v>
      </c>
      <c r="B34" s="170"/>
      <c r="C34" s="164"/>
      <c r="D34" s="170"/>
      <c r="E34" s="185"/>
      <c r="F34" s="170"/>
      <c r="G34" s="164"/>
      <c r="H34" s="170"/>
      <c r="I34" s="160"/>
      <c r="J34" s="160"/>
      <c r="K34" s="160"/>
      <c r="L34" s="160"/>
      <c r="M34" s="160"/>
      <c r="N34" s="160"/>
      <c r="O34" s="170"/>
      <c r="P34" s="160"/>
      <c r="Q34" s="170"/>
      <c r="R34" s="160"/>
      <c r="S34" s="160"/>
      <c r="T34" s="186"/>
      <c r="U34" s="160"/>
      <c r="V34" s="160"/>
      <c r="W34" s="155">
        <f t="shared" si="0"/>
        <v>0</v>
      </c>
      <c r="X34" s="155">
        <f t="shared" si="1"/>
        <v>0</v>
      </c>
      <c r="Y34" s="155">
        <f>IF(MatchDay!$C$2="LOWER",COUNTA(F34:H34),0)</f>
        <v>0</v>
      </c>
      <c r="AA34" s="161" t="s">
        <v>6</v>
      </c>
      <c r="AB34" s="176"/>
      <c r="AC34" s="164"/>
      <c r="AD34" s="176"/>
      <c r="AE34" s="185"/>
      <c r="AF34" s="176"/>
      <c r="AG34" s="164"/>
      <c r="AH34" s="176"/>
      <c r="AI34" s="160"/>
      <c r="AJ34" s="160"/>
      <c r="AK34" s="160"/>
      <c r="AL34" s="160"/>
      <c r="AM34" s="160"/>
      <c r="AN34" s="160"/>
      <c r="AO34" s="176"/>
      <c r="AP34" s="160"/>
      <c r="AQ34" s="176"/>
      <c r="AR34" s="160"/>
      <c r="AS34" s="160"/>
      <c r="AT34" s="187"/>
      <c r="AU34" s="160"/>
      <c r="AV34" s="160"/>
      <c r="AW34" s="155">
        <f t="shared" si="2"/>
        <v>0</v>
      </c>
      <c r="AX34" s="155">
        <f t="shared" si="3"/>
        <v>0</v>
      </c>
      <c r="AY34" s="155">
        <f>IF(MatchDay!$C$2="LOWER",COUNTA(AF34:AH34),0)</f>
        <v>0</v>
      </c>
      <c r="BA34" s="161" t="s">
        <v>6</v>
      </c>
      <c r="BB34" s="170"/>
      <c r="BC34" s="164"/>
      <c r="BD34" s="170"/>
      <c r="BE34" s="185"/>
      <c r="BF34" s="170"/>
      <c r="BG34" s="164"/>
      <c r="BH34" s="170"/>
      <c r="BI34" s="160"/>
      <c r="BJ34" s="160"/>
      <c r="BK34" s="160"/>
      <c r="BL34" s="160"/>
      <c r="BM34" s="160"/>
      <c r="BN34" s="160"/>
      <c r="BO34" s="170"/>
      <c r="BP34" s="160"/>
      <c r="BQ34" s="170"/>
      <c r="BR34" s="160"/>
      <c r="BS34" s="160"/>
      <c r="BT34" s="186"/>
      <c r="BU34" s="160"/>
      <c r="BV34" s="160"/>
      <c r="BW34" s="155">
        <f t="shared" si="4"/>
        <v>0</v>
      </c>
      <c r="BX34" s="155">
        <f t="shared" si="5"/>
        <v>0</v>
      </c>
      <c r="BY34" s="155">
        <f>IF(MatchDay!$C$2="LOWER",COUNTA(BF34:BH34),0)</f>
        <v>0</v>
      </c>
      <c r="CA34" s="161" t="s">
        <v>6</v>
      </c>
      <c r="CB34" s="176"/>
      <c r="CC34" s="164"/>
      <c r="CD34" s="176"/>
      <c r="CE34" s="185"/>
      <c r="CF34" s="176"/>
      <c r="CG34" s="164"/>
      <c r="CH34" s="176"/>
      <c r="CI34" s="160"/>
      <c r="CJ34" s="160"/>
      <c r="CK34" s="160"/>
      <c r="CL34" s="160"/>
      <c r="CM34" s="160"/>
      <c r="CN34" s="160"/>
      <c r="CO34" s="176"/>
      <c r="CP34" s="160"/>
      <c r="CQ34" s="176"/>
      <c r="CR34" s="160"/>
      <c r="CS34" s="160"/>
      <c r="CT34" s="187"/>
      <c r="CU34" s="160"/>
      <c r="CV34" s="160"/>
      <c r="CW34" s="155">
        <f t="shared" si="6"/>
        <v>0</v>
      </c>
      <c r="CX34" s="155">
        <f t="shared" si="7"/>
        <v>0</v>
      </c>
      <c r="CY34" s="155">
        <f>IF(MatchDay!$C$2="LOWER",COUNTA(CF34:CH34),0)</f>
        <v>0</v>
      </c>
      <c r="DA34" s="161" t="s">
        <v>6</v>
      </c>
      <c r="DB34" s="170"/>
      <c r="DC34" s="164"/>
      <c r="DD34" s="170"/>
      <c r="DE34" s="185"/>
      <c r="DF34" s="170"/>
      <c r="DG34" s="164"/>
      <c r="DH34" s="170"/>
      <c r="DI34" s="160"/>
      <c r="DJ34" s="160"/>
      <c r="DK34" s="160"/>
      <c r="DL34" s="160"/>
      <c r="DM34" s="160"/>
      <c r="DN34" s="160"/>
      <c r="DO34" s="170"/>
      <c r="DP34" s="160"/>
      <c r="DQ34" s="170"/>
      <c r="DR34" s="160"/>
      <c r="DS34" s="160"/>
      <c r="DT34" s="186"/>
      <c r="DU34" s="160"/>
      <c r="DV34" s="160"/>
      <c r="DW34" s="155">
        <f t="shared" si="8"/>
        <v>0</v>
      </c>
      <c r="DX34" s="155">
        <f t="shared" si="9"/>
        <v>0</v>
      </c>
      <c r="DY34" s="155">
        <f>IF(MatchDay!$C$2="LOWER",COUNTA(DF34:DH34),0)</f>
        <v>0</v>
      </c>
      <c r="EA34" s="161" t="s">
        <v>6</v>
      </c>
      <c r="EB34" s="176"/>
      <c r="EC34" s="164"/>
      <c r="ED34" s="176"/>
      <c r="EE34" s="185"/>
      <c r="EF34" s="176"/>
      <c r="EG34" s="164"/>
      <c r="EH34" s="176"/>
      <c r="EI34" s="160"/>
      <c r="EJ34" s="160"/>
      <c r="EK34" s="160"/>
      <c r="EL34" s="160"/>
      <c r="EM34" s="160"/>
      <c r="EN34" s="160"/>
      <c r="EO34" s="176"/>
      <c r="EP34" s="160"/>
      <c r="EQ34" s="176"/>
      <c r="ER34" s="160"/>
      <c r="ES34" s="160"/>
      <c r="ET34" s="187"/>
      <c r="EU34" s="160"/>
      <c r="EV34" s="160"/>
      <c r="EW34" s="155">
        <f t="shared" si="10"/>
        <v>0</v>
      </c>
      <c r="EX34" s="155">
        <f t="shared" si="11"/>
        <v>0</v>
      </c>
      <c r="EY34" s="155">
        <f>IF(MatchDay!$C$2="LOWER",COUNTA(EF34:EH34),0)</f>
        <v>0</v>
      </c>
      <c r="FA34" s="161" t="s">
        <v>6</v>
      </c>
      <c r="FB34" s="170"/>
      <c r="FC34" s="164"/>
      <c r="FD34" s="170"/>
      <c r="FE34" s="185"/>
      <c r="FF34" s="170"/>
      <c r="FG34" s="164"/>
      <c r="FH34" s="170"/>
      <c r="FI34" s="160"/>
      <c r="FJ34" s="160"/>
      <c r="FK34" s="160"/>
      <c r="FL34" s="160"/>
      <c r="FM34" s="170"/>
      <c r="FN34" s="160"/>
      <c r="FO34" s="170"/>
      <c r="FP34" s="160"/>
      <c r="FQ34" s="170"/>
      <c r="FR34" s="160"/>
      <c r="FS34" s="160"/>
      <c r="FT34" s="186"/>
      <c r="FU34" s="160"/>
      <c r="FV34" s="170"/>
      <c r="FW34" s="155">
        <f t="shared" si="12"/>
        <v>0</v>
      </c>
      <c r="FX34" s="155">
        <f t="shared" si="13"/>
        <v>0</v>
      </c>
      <c r="FY34" s="155">
        <f>IF(MatchDay!$C$2="LOWER",COUNTA(FF34:FH34),0)</f>
        <v>0</v>
      </c>
      <c r="GA34" s="161" t="s">
        <v>6</v>
      </c>
      <c r="GB34" s="176"/>
      <c r="GC34" s="164"/>
      <c r="GD34" s="176"/>
      <c r="GE34" s="185"/>
      <c r="GF34" s="176"/>
      <c r="GG34" s="164"/>
      <c r="GH34" s="176"/>
      <c r="GI34" s="160"/>
      <c r="GJ34" s="160"/>
      <c r="GK34" s="160"/>
      <c r="GL34" s="160"/>
      <c r="GM34" s="176"/>
      <c r="GN34" s="160"/>
      <c r="GO34" s="176"/>
      <c r="GP34" s="160"/>
      <c r="GQ34" s="176"/>
      <c r="GR34" s="160"/>
      <c r="GS34" s="160"/>
      <c r="GT34" s="187"/>
      <c r="GU34" s="160"/>
      <c r="GV34" s="345"/>
      <c r="GW34" s="155">
        <f t="shared" si="14"/>
        <v>0</v>
      </c>
      <c r="GX34" s="155">
        <f t="shared" si="15"/>
        <v>0</v>
      </c>
      <c r="GY34" s="155">
        <f>IF(MatchDay!$C$2="LOWER",COUNTA(GF34:GH34),0)</f>
        <v>0</v>
      </c>
    </row>
    <row r="35" spans="1:207" ht="16.5" customHeight="1" x14ac:dyDescent="0.45">
      <c r="A35" s="157" t="s">
        <v>912</v>
      </c>
      <c r="B35" s="171"/>
      <c r="C35" s="165"/>
      <c r="D35" s="171"/>
      <c r="E35" s="344"/>
      <c r="F35" s="171"/>
      <c r="G35" s="165"/>
      <c r="H35" s="171"/>
      <c r="I35" s="158"/>
      <c r="J35" s="180"/>
      <c r="K35" s="180"/>
      <c r="L35" s="180"/>
      <c r="M35" s="345"/>
      <c r="N35" s="345"/>
      <c r="O35" s="171"/>
      <c r="P35" s="158"/>
      <c r="Q35" s="171"/>
      <c r="R35" s="180"/>
      <c r="S35" s="158"/>
      <c r="T35" s="344"/>
      <c r="U35" s="158"/>
      <c r="V35" s="345"/>
      <c r="W35" s="155">
        <f t="shared" si="0"/>
        <v>0</v>
      </c>
      <c r="X35" s="155">
        <f t="shared" si="1"/>
        <v>0</v>
      </c>
      <c r="Y35" s="155">
        <f>IF(MatchDay!$C$2="LOWER",COUNTA(F35:H35),0)</f>
        <v>0</v>
      </c>
      <c r="AA35" s="157" t="s">
        <v>916</v>
      </c>
      <c r="AB35" s="177"/>
      <c r="AC35" s="165"/>
      <c r="AD35" s="177"/>
      <c r="AE35" s="344"/>
      <c r="AF35" s="177"/>
      <c r="AG35" s="165"/>
      <c r="AH35" s="177"/>
      <c r="AI35" s="158"/>
      <c r="AJ35" s="180"/>
      <c r="AK35" s="180"/>
      <c r="AL35" s="180"/>
      <c r="AM35" s="345"/>
      <c r="AN35" s="345"/>
      <c r="AO35" s="177"/>
      <c r="AP35" s="158"/>
      <c r="AQ35" s="177"/>
      <c r="AR35" s="180"/>
      <c r="AS35" s="158"/>
      <c r="AT35" s="344"/>
      <c r="AU35" s="158"/>
      <c r="AV35" s="345"/>
      <c r="AW35" s="155">
        <f t="shared" si="2"/>
        <v>0</v>
      </c>
      <c r="AX35" s="155">
        <f t="shared" si="3"/>
        <v>0</v>
      </c>
      <c r="AY35" s="155">
        <f>IF(MatchDay!$C$2="LOWER",COUNTA(AF35:AH35),0)</f>
        <v>0</v>
      </c>
      <c r="BA35" s="157" t="s">
        <v>916</v>
      </c>
      <c r="BB35" s="171"/>
      <c r="BC35" s="165"/>
      <c r="BD35" s="171"/>
      <c r="BE35" s="344"/>
      <c r="BF35" s="171"/>
      <c r="BG35" s="165"/>
      <c r="BH35" s="171"/>
      <c r="BI35" s="158"/>
      <c r="BJ35" s="180"/>
      <c r="BK35" s="180"/>
      <c r="BL35" s="180"/>
      <c r="BM35" s="345"/>
      <c r="BN35" s="345"/>
      <c r="BO35" s="171"/>
      <c r="BP35" s="158"/>
      <c r="BQ35" s="171"/>
      <c r="BR35" s="180"/>
      <c r="BS35" s="158"/>
      <c r="BT35" s="344"/>
      <c r="BU35" s="158"/>
      <c r="BV35" s="345"/>
      <c r="BW35" s="155">
        <f t="shared" si="4"/>
        <v>0</v>
      </c>
      <c r="BX35" s="155">
        <f t="shared" si="5"/>
        <v>0</v>
      </c>
      <c r="BY35" s="155">
        <f>IF(MatchDay!$C$2="LOWER",COUNTA(BF35:BH35),0)</f>
        <v>0</v>
      </c>
      <c r="CA35" s="157" t="s">
        <v>916</v>
      </c>
      <c r="CB35" s="177"/>
      <c r="CC35" s="165"/>
      <c r="CD35" s="177"/>
      <c r="CE35" s="344"/>
      <c r="CF35" s="177"/>
      <c r="CG35" s="165"/>
      <c r="CH35" s="177"/>
      <c r="CI35" s="158"/>
      <c r="CJ35" s="180"/>
      <c r="CK35" s="180"/>
      <c r="CL35" s="180"/>
      <c r="CM35" s="345"/>
      <c r="CN35" s="345"/>
      <c r="CO35" s="177"/>
      <c r="CP35" s="158"/>
      <c r="CQ35" s="177"/>
      <c r="CR35" s="180"/>
      <c r="CS35" s="158"/>
      <c r="CT35" s="344"/>
      <c r="CU35" s="158"/>
      <c r="CV35" s="345"/>
      <c r="CW35" s="155">
        <f t="shared" si="6"/>
        <v>0</v>
      </c>
      <c r="CX35" s="155">
        <f t="shared" si="7"/>
        <v>0</v>
      </c>
      <c r="CY35" s="155">
        <f>IF(MatchDay!$C$2="LOWER",COUNTA(CF35:CH35),0)</f>
        <v>0</v>
      </c>
      <c r="DA35" s="157" t="s">
        <v>916</v>
      </c>
      <c r="DB35" s="171"/>
      <c r="DC35" s="165"/>
      <c r="DD35" s="171"/>
      <c r="DE35" s="344"/>
      <c r="DF35" s="171"/>
      <c r="DG35" s="165"/>
      <c r="DH35" s="171"/>
      <c r="DI35" s="158"/>
      <c r="DJ35" s="180"/>
      <c r="DK35" s="180"/>
      <c r="DL35" s="180"/>
      <c r="DM35" s="345"/>
      <c r="DN35" s="345"/>
      <c r="DO35" s="171"/>
      <c r="DP35" s="158"/>
      <c r="DQ35" s="171"/>
      <c r="DR35" s="180"/>
      <c r="DS35" s="158"/>
      <c r="DT35" s="344"/>
      <c r="DU35" s="158"/>
      <c r="DV35" s="345"/>
      <c r="DW35" s="155">
        <f t="shared" si="8"/>
        <v>0</v>
      </c>
      <c r="DX35" s="155">
        <f t="shared" si="9"/>
        <v>0</v>
      </c>
      <c r="DY35" s="155">
        <f>IF(MatchDay!$C$2="LOWER",COUNTA(DF35:DH35),0)</f>
        <v>0</v>
      </c>
      <c r="EA35" s="157" t="s">
        <v>916</v>
      </c>
      <c r="EB35" s="177"/>
      <c r="EC35" s="165"/>
      <c r="ED35" s="177"/>
      <c r="EE35" s="344"/>
      <c r="EF35" s="177"/>
      <c r="EG35" s="165"/>
      <c r="EH35" s="177"/>
      <c r="EI35" s="158"/>
      <c r="EJ35" s="180"/>
      <c r="EK35" s="180"/>
      <c r="EL35" s="180"/>
      <c r="EM35" s="345"/>
      <c r="EN35" s="345"/>
      <c r="EO35" s="177"/>
      <c r="EP35" s="158"/>
      <c r="EQ35" s="177"/>
      <c r="ER35" s="180"/>
      <c r="ES35" s="158"/>
      <c r="ET35" s="344"/>
      <c r="EU35" s="158"/>
      <c r="EV35" s="345"/>
      <c r="EW35" s="155">
        <f t="shared" si="10"/>
        <v>0</v>
      </c>
      <c r="EX35" s="155">
        <f t="shared" si="11"/>
        <v>0</v>
      </c>
      <c r="EY35" s="155">
        <f>IF(MatchDay!$C$2="LOWER",COUNTA(EF35:EH35),0)</f>
        <v>0</v>
      </c>
      <c r="FA35" s="157" t="s">
        <v>916</v>
      </c>
      <c r="FB35" s="171"/>
      <c r="FC35" s="165"/>
      <c r="FD35" s="171"/>
      <c r="FE35" s="344"/>
      <c r="FF35" s="171"/>
      <c r="FG35" s="165"/>
      <c r="FH35" s="171"/>
      <c r="FI35" s="158"/>
      <c r="FJ35" s="180"/>
      <c r="FK35" s="180"/>
      <c r="FL35" s="180"/>
      <c r="FM35" s="345"/>
      <c r="FN35" s="345"/>
      <c r="FO35" s="171"/>
      <c r="FP35" s="158"/>
      <c r="FQ35" s="171"/>
      <c r="FR35" s="180"/>
      <c r="FS35" s="158"/>
      <c r="FT35" s="344"/>
      <c r="FU35" s="158"/>
      <c r="FV35" s="345"/>
      <c r="FW35" s="155">
        <f t="shared" si="12"/>
        <v>0</v>
      </c>
      <c r="FX35" s="155">
        <f t="shared" si="13"/>
        <v>0</v>
      </c>
      <c r="FY35" s="155">
        <f>IF(MatchDay!$C$2="LOWER",COUNTA(FF35:FH35),0)</f>
        <v>0</v>
      </c>
      <c r="GA35" s="157" t="s">
        <v>916</v>
      </c>
      <c r="GB35" s="177"/>
      <c r="GC35" s="165"/>
      <c r="GD35" s="177"/>
      <c r="GE35" s="344"/>
      <c r="GF35" s="177"/>
      <c r="GG35" s="165"/>
      <c r="GH35" s="177"/>
      <c r="GI35" s="158"/>
      <c r="GJ35" s="180"/>
      <c r="GK35" s="180"/>
      <c r="GL35" s="180"/>
      <c r="GM35" s="345"/>
      <c r="GN35" s="345"/>
      <c r="GO35" s="177"/>
      <c r="GP35" s="158"/>
      <c r="GQ35" s="177"/>
      <c r="GR35" s="180"/>
      <c r="GS35" s="158"/>
      <c r="GT35" s="344"/>
      <c r="GU35" s="158"/>
      <c r="GV35" s="345"/>
      <c r="GW35" s="155">
        <f t="shared" si="14"/>
        <v>0</v>
      </c>
      <c r="GX35" s="155">
        <f t="shared" si="15"/>
        <v>0</v>
      </c>
      <c r="GY35" s="155">
        <f>IF(MatchDay!$C$2="LOWER",COUNTA(GF35:GH35),0)</f>
        <v>0</v>
      </c>
    </row>
    <row r="36" spans="1:207" ht="16.5" customHeight="1" x14ac:dyDescent="0.45">
      <c r="A36" s="157" t="s">
        <v>912</v>
      </c>
      <c r="B36" s="171"/>
      <c r="C36" s="165"/>
      <c r="D36" s="171"/>
      <c r="E36" s="344"/>
      <c r="F36" s="171"/>
      <c r="G36" s="165"/>
      <c r="H36" s="171"/>
      <c r="I36" s="158"/>
      <c r="J36" s="180"/>
      <c r="K36" s="180"/>
      <c r="L36" s="180"/>
      <c r="M36" s="345"/>
      <c r="N36" s="345"/>
      <c r="O36" s="171"/>
      <c r="P36" s="158"/>
      <c r="Q36" s="171"/>
      <c r="R36" s="180"/>
      <c r="S36" s="158"/>
      <c r="T36" s="344"/>
      <c r="U36" s="158"/>
      <c r="V36" s="345"/>
      <c r="W36" s="155">
        <f t="shared" si="0"/>
        <v>0</v>
      </c>
      <c r="X36" s="155">
        <f t="shared" si="1"/>
        <v>0</v>
      </c>
      <c r="Y36" s="155">
        <f>IF(MatchDay!$C$2="LOWER",COUNTA(F36:H36),0)</f>
        <v>0</v>
      </c>
      <c r="AA36" s="157" t="s">
        <v>912</v>
      </c>
      <c r="AB36" s="177"/>
      <c r="AC36" s="165"/>
      <c r="AD36" s="177"/>
      <c r="AE36" s="344"/>
      <c r="AF36" s="177"/>
      <c r="AG36" s="165"/>
      <c r="AH36" s="177"/>
      <c r="AI36" s="158"/>
      <c r="AJ36" s="180"/>
      <c r="AK36" s="180"/>
      <c r="AL36" s="180"/>
      <c r="AM36" s="345"/>
      <c r="AN36" s="345"/>
      <c r="AO36" s="177"/>
      <c r="AP36" s="158"/>
      <c r="AQ36" s="177"/>
      <c r="AR36" s="180"/>
      <c r="AS36" s="158"/>
      <c r="AT36" s="344"/>
      <c r="AU36" s="158"/>
      <c r="AV36" s="345"/>
      <c r="AW36" s="155">
        <f t="shared" si="2"/>
        <v>0</v>
      </c>
      <c r="AX36" s="155">
        <f t="shared" si="3"/>
        <v>0</v>
      </c>
      <c r="AY36" s="155">
        <f>IF(MatchDay!$C$2="LOWER",COUNTA(AF36:AH36),0)</f>
        <v>0</v>
      </c>
      <c r="BA36" s="157" t="s">
        <v>912</v>
      </c>
      <c r="BB36" s="171"/>
      <c r="BC36" s="165"/>
      <c r="BD36" s="171"/>
      <c r="BE36" s="344"/>
      <c r="BF36" s="171"/>
      <c r="BG36" s="165"/>
      <c r="BH36" s="171"/>
      <c r="BI36" s="158"/>
      <c r="BJ36" s="180"/>
      <c r="BK36" s="180"/>
      <c r="BL36" s="180"/>
      <c r="BM36" s="345"/>
      <c r="BN36" s="345"/>
      <c r="BO36" s="171"/>
      <c r="BP36" s="158"/>
      <c r="BQ36" s="171"/>
      <c r="BR36" s="180"/>
      <c r="BS36" s="158"/>
      <c r="BT36" s="344"/>
      <c r="BU36" s="158"/>
      <c r="BV36" s="345"/>
      <c r="BW36" s="155">
        <f t="shared" si="4"/>
        <v>0</v>
      </c>
      <c r="BX36" s="155">
        <f t="shared" si="5"/>
        <v>0</v>
      </c>
      <c r="BY36" s="155">
        <f>IF(MatchDay!$C$2="LOWER",COUNTA(BF36:BH36),0)</f>
        <v>0</v>
      </c>
      <c r="CA36" s="157" t="s">
        <v>912</v>
      </c>
      <c r="CB36" s="177"/>
      <c r="CC36" s="165"/>
      <c r="CD36" s="177"/>
      <c r="CE36" s="344"/>
      <c r="CF36" s="177"/>
      <c r="CG36" s="165"/>
      <c r="CH36" s="177"/>
      <c r="CI36" s="158"/>
      <c r="CJ36" s="180"/>
      <c r="CK36" s="180"/>
      <c r="CL36" s="180"/>
      <c r="CM36" s="345"/>
      <c r="CN36" s="345"/>
      <c r="CO36" s="177"/>
      <c r="CP36" s="158"/>
      <c r="CQ36" s="177"/>
      <c r="CR36" s="180"/>
      <c r="CS36" s="158"/>
      <c r="CT36" s="344"/>
      <c r="CU36" s="158"/>
      <c r="CV36" s="345"/>
      <c r="CW36" s="155">
        <f t="shared" si="6"/>
        <v>0</v>
      </c>
      <c r="CX36" s="155">
        <f t="shared" si="7"/>
        <v>0</v>
      </c>
      <c r="CY36" s="155">
        <f>IF(MatchDay!$C$2="LOWER",COUNTA(CF36:CH36),0)</f>
        <v>0</v>
      </c>
      <c r="DA36" s="157" t="s">
        <v>912</v>
      </c>
      <c r="DB36" s="171"/>
      <c r="DC36" s="165"/>
      <c r="DD36" s="171"/>
      <c r="DE36" s="344"/>
      <c r="DF36" s="171"/>
      <c r="DG36" s="165"/>
      <c r="DH36" s="171"/>
      <c r="DI36" s="158"/>
      <c r="DJ36" s="180"/>
      <c r="DK36" s="180"/>
      <c r="DL36" s="180"/>
      <c r="DM36" s="345"/>
      <c r="DN36" s="345"/>
      <c r="DO36" s="171"/>
      <c r="DP36" s="158"/>
      <c r="DQ36" s="171"/>
      <c r="DR36" s="180"/>
      <c r="DS36" s="158"/>
      <c r="DT36" s="344"/>
      <c r="DU36" s="158"/>
      <c r="DV36" s="345"/>
      <c r="DW36" s="155">
        <f t="shared" si="8"/>
        <v>0</v>
      </c>
      <c r="DX36" s="155">
        <f t="shared" si="9"/>
        <v>0</v>
      </c>
      <c r="DY36" s="155">
        <f>IF(MatchDay!$C$2="LOWER",COUNTA(DF36:DH36),0)</f>
        <v>0</v>
      </c>
      <c r="EA36" s="157" t="s">
        <v>912</v>
      </c>
      <c r="EB36" s="177"/>
      <c r="EC36" s="165"/>
      <c r="ED36" s="177"/>
      <c r="EE36" s="344"/>
      <c r="EF36" s="177"/>
      <c r="EG36" s="165"/>
      <c r="EH36" s="177"/>
      <c r="EI36" s="158"/>
      <c r="EJ36" s="180"/>
      <c r="EK36" s="180"/>
      <c r="EL36" s="180"/>
      <c r="EM36" s="345"/>
      <c r="EN36" s="345"/>
      <c r="EO36" s="177"/>
      <c r="EP36" s="158"/>
      <c r="EQ36" s="177"/>
      <c r="ER36" s="180"/>
      <c r="ES36" s="158"/>
      <c r="ET36" s="344"/>
      <c r="EU36" s="158"/>
      <c r="EV36" s="345"/>
      <c r="EW36" s="155">
        <f t="shared" si="10"/>
        <v>0</v>
      </c>
      <c r="EX36" s="155">
        <f t="shared" si="11"/>
        <v>0</v>
      </c>
      <c r="EY36" s="155">
        <f>IF(MatchDay!$C$2="LOWER",COUNTA(EF36:EH36),0)</f>
        <v>0</v>
      </c>
      <c r="FA36" s="157" t="s">
        <v>912</v>
      </c>
      <c r="FB36" s="171"/>
      <c r="FC36" s="165"/>
      <c r="FD36" s="171"/>
      <c r="FE36" s="344"/>
      <c r="FF36" s="171"/>
      <c r="FG36" s="165"/>
      <c r="FH36" s="171"/>
      <c r="FI36" s="158"/>
      <c r="FJ36" s="180"/>
      <c r="FK36" s="180"/>
      <c r="FL36" s="180"/>
      <c r="FM36" s="345"/>
      <c r="FN36" s="345"/>
      <c r="FO36" s="171"/>
      <c r="FP36" s="158"/>
      <c r="FQ36" s="171"/>
      <c r="FR36" s="180"/>
      <c r="FS36" s="158"/>
      <c r="FT36" s="344"/>
      <c r="FU36" s="158"/>
      <c r="FV36" s="345"/>
      <c r="FW36" s="155">
        <f t="shared" si="12"/>
        <v>0</v>
      </c>
      <c r="FX36" s="155">
        <f t="shared" si="13"/>
        <v>0</v>
      </c>
      <c r="FY36" s="155">
        <f>IF(MatchDay!$C$2="LOWER",COUNTA(FF36:FH36),0)</f>
        <v>0</v>
      </c>
      <c r="GA36" s="157" t="s">
        <v>912</v>
      </c>
      <c r="GB36" s="177"/>
      <c r="GC36" s="165"/>
      <c r="GD36" s="177"/>
      <c r="GE36" s="344"/>
      <c r="GF36" s="177"/>
      <c r="GG36" s="165"/>
      <c r="GH36" s="177"/>
      <c r="GI36" s="158"/>
      <c r="GJ36" s="180"/>
      <c r="GK36" s="180"/>
      <c r="GL36" s="180"/>
      <c r="GM36" s="345"/>
      <c r="GN36" s="345"/>
      <c r="GO36" s="177"/>
      <c r="GP36" s="158"/>
      <c r="GQ36" s="177"/>
      <c r="GR36" s="180"/>
      <c r="GS36" s="158"/>
      <c r="GT36" s="344"/>
      <c r="GU36" s="158"/>
      <c r="GV36" s="345"/>
      <c r="GW36" s="155">
        <f t="shared" si="14"/>
        <v>0</v>
      </c>
      <c r="GX36" s="155">
        <f t="shared" si="15"/>
        <v>0</v>
      </c>
      <c r="GY36" s="155">
        <f>IF(MatchDay!$C$2="LOWER",COUNTA(GF36:GH36),0)</f>
        <v>0</v>
      </c>
    </row>
    <row r="37" spans="1:207" ht="16.5" customHeight="1" x14ac:dyDescent="0.45">
      <c r="A37" s="157" t="s">
        <v>912</v>
      </c>
      <c r="B37" s="171"/>
      <c r="C37" s="165"/>
      <c r="D37" s="171"/>
      <c r="E37" s="344"/>
      <c r="F37" s="171"/>
      <c r="G37" s="165"/>
      <c r="H37" s="171"/>
      <c r="I37" s="158"/>
      <c r="J37" s="180"/>
      <c r="K37" s="180"/>
      <c r="L37" s="180"/>
      <c r="M37" s="345"/>
      <c r="N37" s="345"/>
      <c r="O37" s="171"/>
      <c r="P37" s="158"/>
      <c r="Q37" s="171"/>
      <c r="R37" s="180"/>
      <c r="S37" s="158"/>
      <c r="T37" s="344"/>
      <c r="U37" s="158"/>
      <c r="V37" s="345"/>
      <c r="W37" s="155">
        <f t="shared" si="0"/>
        <v>0</v>
      </c>
      <c r="X37" s="155">
        <f t="shared" si="1"/>
        <v>0</v>
      </c>
      <c r="Y37" s="155">
        <f>IF(MatchDay!$C$2="LOWER",COUNTA(F37:H37),0)</f>
        <v>0</v>
      </c>
      <c r="AA37" s="157" t="s">
        <v>912</v>
      </c>
      <c r="AB37" s="177"/>
      <c r="AC37" s="165"/>
      <c r="AD37" s="177"/>
      <c r="AE37" s="344"/>
      <c r="AF37" s="177"/>
      <c r="AG37" s="165"/>
      <c r="AH37" s="177"/>
      <c r="AI37" s="158"/>
      <c r="AJ37" s="180"/>
      <c r="AK37" s="180"/>
      <c r="AL37" s="180"/>
      <c r="AM37" s="345"/>
      <c r="AN37" s="345"/>
      <c r="AO37" s="177"/>
      <c r="AP37" s="158"/>
      <c r="AQ37" s="177"/>
      <c r="AR37" s="180"/>
      <c r="AS37" s="158"/>
      <c r="AT37" s="344"/>
      <c r="AU37" s="158"/>
      <c r="AV37" s="345"/>
      <c r="AW37" s="155">
        <f t="shared" si="2"/>
        <v>0</v>
      </c>
      <c r="AX37" s="155">
        <f t="shared" si="3"/>
        <v>0</v>
      </c>
      <c r="AY37" s="155">
        <f>IF(MatchDay!$C$2="LOWER",COUNTA(AF37:AH37),0)</f>
        <v>0</v>
      </c>
      <c r="BA37" s="157" t="s">
        <v>912</v>
      </c>
      <c r="BB37" s="171"/>
      <c r="BC37" s="165"/>
      <c r="BD37" s="171"/>
      <c r="BE37" s="344"/>
      <c r="BF37" s="171"/>
      <c r="BG37" s="165"/>
      <c r="BH37" s="171"/>
      <c r="BI37" s="158"/>
      <c r="BJ37" s="180"/>
      <c r="BK37" s="180"/>
      <c r="BL37" s="180"/>
      <c r="BM37" s="345"/>
      <c r="BN37" s="345"/>
      <c r="BO37" s="171"/>
      <c r="BP37" s="158"/>
      <c r="BQ37" s="171"/>
      <c r="BR37" s="180"/>
      <c r="BS37" s="158"/>
      <c r="BT37" s="344"/>
      <c r="BU37" s="158"/>
      <c r="BV37" s="345"/>
      <c r="BW37" s="155">
        <f t="shared" si="4"/>
        <v>0</v>
      </c>
      <c r="BX37" s="155">
        <f t="shared" si="5"/>
        <v>0</v>
      </c>
      <c r="BY37" s="155">
        <f>IF(MatchDay!$C$2="LOWER",COUNTA(BF37:BH37),0)</f>
        <v>0</v>
      </c>
      <c r="CA37" s="157" t="s">
        <v>912</v>
      </c>
      <c r="CB37" s="177"/>
      <c r="CC37" s="165"/>
      <c r="CD37" s="177"/>
      <c r="CE37" s="344"/>
      <c r="CF37" s="177"/>
      <c r="CG37" s="165"/>
      <c r="CH37" s="177"/>
      <c r="CI37" s="158"/>
      <c r="CJ37" s="180"/>
      <c r="CK37" s="180"/>
      <c r="CL37" s="180"/>
      <c r="CM37" s="345"/>
      <c r="CN37" s="345"/>
      <c r="CO37" s="177"/>
      <c r="CP37" s="158"/>
      <c r="CQ37" s="177"/>
      <c r="CR37" s="180"/>
      <c r="CS37" s="158"/>
      <c r="CT37" s="344"/>
      <c r="CU37" s="158"/>
      <c r="CV37" s="345"/>
      <c r="CW37" s="155">
        <f t="shared" si="6"/>
        <v>0</v>
      </c>
      <c r="CX37" s="155">
        <f t="shared" si="7"/>
        <v>0</v>
      </c>
      <c r="CY37" s="155">
        <f>IF(MatchDay!$C$2="LOWER",COUNTA(CF37:CH37),0)</f>
        <v>0</v>
      </c>
      <c r="DA37" s="157" t="s">
        <v>912</v>
      </c>
      <c r="DB37" s="171"/>
      <c r="DC37" s="165"/>
      <c r="DD37" s="171"/>
      <c r="DE37" s="344"/>
      <c r="DF37" s="171"/>
      <c r="DG37" s="165"/>
      <c r="DH37" s="171"/>
      <c r="DI37" s="158"/>
      <c r="DJ37" s="180"/>
      <c r="DK37" s="180"/>
      <c r="DL37" s="180"/>
      <c r="DM37" s="345"/>
      <c r="DN37" s="345"/>
      <c r="DO37" s="171"/>
      <c r="DP37" s="158"/>
      <c r="DQ37" s="171"/>
      <c r="DR37" s="180"/>
      <c r="DS37" s="158"/>
      <c r="DT37" s="344"/>
      <c r="DU37" s="158"/>
      <c r="DV37" s="345"/>
      <c r="DW37" s="155">
        <f t="shared" si="8"/>
        <v>0</v>
      </c>
      <c r="DX37" s="155">
        <f t="shared" si="9"/>
        <v>0</v>
      </c>
      <c r="DY37" s="155">
        <f>IF(MatchDay!$C$2="LOWER",COUNTA(DF37:DH37),0)</f>
        <v>0</v>
      </c>
      <c r="EA37" s="157" t="s">
        <v>912</v>
      </c>
      <c r="EB37" s="177"/>
      <c r="EC37" s="165"/>
      <c r="ED37" s="177"/>
      <c r="EE37" s="344"/>
      <c r="EF37" s="177"/>
      <c r="EG37" s="165"/>
      <c r="EH37" s="177"/>
      <c r="EI37" s="158"/>
      <c r="EJ37" s="180"/>
      <c r="EK37" s="180"/>
      <c r="EL37" s="180"/>
      <c r="EM37" s="345"/>
      <c r="EN37" s="345"/>
      <c r="EO37" s="177"/>
      <c r="EP37" s="158"/>
      <c r="EQ37" s="177"/>
      <c r="ER37" s="180"/>
      <c r="ES37" s="158"/>
      <c r="ET37" s="344"/>
      <c r="EU37" s="158"/>
      <c r="EV37" s="345"/>
      <c r="EW37" s="155">
        <f t="shared" si="10"/>
        <v>0</v>
      </c>
      <c r="EX37" s="155">
        <f t="shared" si="11"/>
        <v>0</v>
      </c>
      <c r="EY37" s="155">
        <f>IF(MatchDay!$C$2="LOWER",COUNTA(EF37:EH37),0)</f>
        <v>0</v>
      </c>
      <c r="FA37" s="157" t="s">
        <v>912</v>
      </c>
      <c r="FB37" s="171"/>
      <c r="FC37" s="165"/>
      <c r="FD37" s="171"/>
      <c r="FE37" s="344"/>
      <c r="FF37" s="171"/>
      <c r="FG37" s="165"/>
      <c r="FH37" s="171"/>
      <c r="FI37" s="158"/>
      <c r="FJ37" s="180"/>
      <c r="FK37" s="180"/>
      <c r="FL37" s="180"/>
      <c r="FM37" s="345"/>
      <c r="FN37" s="345"/>
      <c r="FO37" s="171"/>
      <c r="FP37" s="158"/>
      <c r="FQ37" s="171"/>
      <c r="FR37" s="180"/>
      <c r="FS37" s="158"/>
      <c r="FT37" s="344"/>
      <c r="FU37" s="158"/>
      <c r="FV37" s="345"/>
      <c r="FW37" s="155">
        <f t="shared" si="12"/>
        <v>0</v>
      </c>
      <c r="FX37" s="155">
        <f t="shared" si="13"/>
        <v>0</v>
      </c>
      <c r="FY37" s="155">
        <f>IF(MatchDay!$C$2="LOWER",COUNTA(FF37:FH37),0)</f>
        <v>0</v>
      </c>
      <c r="GA37" s="157" t="s">
        <v>912</v>
      </c>
      <c r="GB37" s="177"/>
      <c r="GC37" s="165"/>
      <c r="GD37" s="177"/>
      <c r="GE37" s="344"/>
      <c r="GF37" s="177"/>
      <c r="GG37" s="165"/>
      <c r="GH37" s="177"/>
      <c r="GI37" s="158"/>
      <c r="GJ37" s="180"/>
      <c r="GK37" s="180"/>
      <c r="GL37" s="180"/>
      <c r="GM37" s="345"/>
      <c r="GN37" s="345"/>
      <c r="GO37" s="177"/>
      <c r="GP37" s="158"/>
      <c r="GQ37" s="177"/>
      <c r="GR37" s="180"/>
      <c r="GS37" s="158"/>
      <c r="GT37" s="344"/>
      <c r="GU37" s="158"/>
      <c r="GV37" s="345"/>
      <c r="GW37" s="155">
        <f t="shared" si="14"/>
        <v>0</v>
      </c>
      <c r="GX37" s="155">
        <f t="shared" si="15"/>
        <v>0</v>
      </c>
      <c r="GY37" s="155">
        <f>IF(MatchDay!$C$2="LOWER",COUNTA(GF37:GH37),0)</f>
        <v>0</v>
      </c>
    </row>
    <row r="38" spans="1:207" ht="16.5" customHeight="1" x14ac:dyDescent="0.45">
      <c r="A38" s="157" t="s">
        <v>912</v>
      </c>
      <c r="B38" s="171"/>
      <c r="C38" s="165"/>
      <c r="D38" s="171"/>
      <c r="E38" s="344"/>
      <c r="F38" s="171"/>
      <c r="G38" s="165"/>
      <c r="H38" s="171"/>
      <c r="I38" s="158"/>
      <c r="J38" s="180"/>
      <c r="K38" s="180"/>
      <c r="L38" s="180"/>
      <c r="M38" s="345"/>
      <c r="N38" s="345"/>
      <c r="O38" s="171"/>
      <c r="P38" s="158"/>
      <c r="Q38" s="171"/>
      <c r="R38" s="180"/>
      <c r="S38" s="158"/>
      <c r="T38" s="344"/>
      <c r="U38" s="158"/>
      <c r="V38" s="345"/>
      <c r="W38" s="155">
        <f t="shared" si="0"/>
        <v>0</v>
      </c>
      <c r="X38" s="155">
        <f t="shared" si="1"/>
        <v>0</v>
      </c>
      <c r="Y38" s="155">
        <f>IF(MatchDay!$C$2="LOWER",COUNTA(F38:H38),0)</f>
        <v>0</v>
      </c>
      <c r="AA38" s="157" t="s">
        <v>912</v>
      </c>
      <c r="AB38" s="177"/>
      <c r="AC38" s="165"/>
      <c r="AD38" s="177"/>
      <c r="AE38" s="344"/>
      <c r="AF38" s="177"/>
      <c r="AG38" s="165"/>
      <c r="AH38" s="177"/>
      <c r="AI38" s="158"/>
      <c r="AJ38" s="180"/>
      <c r="AK38" s="180"/>
      <c r="AL38" s="180"/>
      <c r="AM38" s="345"/>
      <c r="AN38" s="345"/>
      <c r="AO38" s="177"/>
      <c r="AP38" s="158"/>
      <c r="AQ38" s="177"/>
      <c r="AR38" s="180"/>
      <c r="AS38" s="158"/>
      <c r="AT38" s="344"/>
      <c r="AU38" s="158"/>
      <c r="AV38" s="345"/>
      <c r="AW38" s="155">
        <f t="shared" si="2"/>
        <v>0</v>
      </c>
      <c r="AX38" s="155">
        <f t="shared" si="3"/>
        <v>0</v>
      </c>
      <c r="AY38" s="155">
        <f>IF(MatchDay!$C$2="LOWER",COUNTA(AF38:AH38),0)</f>
        <v>0</v>
      </c>
      <c r="BA38" s="157" t="s">
        <v>912</v>
      </c>
      <c r="BB38" s="171"/>
      <c r="BC38" s="165"/>
      <c r="BD38" s="171"/>
      <c r="BE38" s="344"/>
      <c r="BF38" s="171"/>
      <c r="BG38" s="165"/>
      <c r="BH38" s="171"/>
      <c r="BI38" s="158"/>
      <c r="BJ38" s="180"/>
      <c r="BK38" s="180"/>
      <c r="BL38" s="180"/>
      <c r="BM38" s="345"/>
      <c r="BN38" s="345"/>
      <c r="BO38" s="171"/>
      <c r="BP38" s="158"/>
      <c r="BQ38" s="171"/>
      <c r="BR38" s="180"/>
      <c r="BS38" s="158"/>
      <c r="BT38" s="344"/>
      <c r="BU38" s="158"/>
      <c r="BV38" s="345"/>
      <c r="BW38" s="155">
        <f t="shared" si="4"/>
        <v>0</v>
      </c>
      <c r="BX38" s="155">
        <f t="shared" si="5"/>
        <v>0</v>
      </c>
      <c r="BY38" s="155">
        <f>IF(MatchDay!$C$2="LOWER",COUNTA(BF38:BH38),0)</f>
        <v>0</v>
      </c>
      <c r="CA38" s="157" t="s">
        <v>912</v>
      </c>
      <c r="CB38" s="177"/>
      <c r="CC38" s="165"/>
      <c r="CD38" s="177"/>
      <c r="CE38" s="344"/>
      <c r="CF38" s="177"/>
      <c r="CG38" s="165"/>
      <c r="CH38" s="177"/>
      <c r="CI38" s="158"/>
      <c r="CJ38" s="180"/>
      <c r="CK38" s="180"/>
      <c r="CL38" s="180"/>
      <c r="CM38" s="345"/>
      <c r="CN38" s="345"/>
      <c r="CO38" s="177"/>
      <c r="CP38" s="158"/>
      <c r="CQ38" s="177"/>
      <c r="CR38" s="180"/>
      <c r="CS38" s="158"/>
      <c r="CT38" s="344"/>
      <c r="CU38" s="158"/>
      <c r="CV38" s="345"/>
      <c r="CW38" s="155">
        <f t="shared" si="6"/>
        <v>0</v>
      </c>
      <c r="CX38" s="155">
        <f t="shared" si="7"/>
        <v>0</v>
      </c>
      <c r="CY38" s="155">
        <f>IF(MatchDay!$C$2="LOWER",COUNTA(CF38:CH38),0)</f>
        <v>0</v>
      </c>
      <c r="DA38" s="157" t="s">
        <v>912</v>
      </c>
      <c r="DB38" s="171"/>
      <c r="DC38" s="165"/>
      <c r="DD38" s="171"/>
      <c r="DE38" s="344"/>
      <c r="DF38" s="171"/>
      <c r="DG38" s="165"/>
      <c r="DH38" s="171"/>
      <c r="DI38" s="158"/>
      <c r="DJ38" s="180"/>
      <c r="DK38" s="180"/>
      <c r="DL38" s="180"/>
      <c r="DM38" s="345"/>
      <c r="DN38" s="345"/>
      <c r="DO38" s="171"/>
      <c r="DP38" s="158"/>
      <c r="DQ38" s="171"/>
      <c r="DR38" s="180"/>
      <c r="DS38" s="158"/>
      <c r="DT38" s="344"/>
      <c r="DU38" s="158"/>
      <c r="DV38" s="345"/>
      <c r="DW38" s="155">
        <f t="shared" si="8"/>
        <v>0</v>
      </c>
      <c r="DX38" s="155">
        <f t="shared" si="9"/>
        <v>0</v>
      </c>
      <c r="DY38" s="155">
        <f>IF(MatchDay!$C$2="LOWER",COUNTA(DF38:DH38),0)</f>
        <v>0</v>
      </c>
      <c r="EA38" s="157" t="s">
        <v>912</v>
      </c>
      <c r="EB38" s="177"/>
      <c r="EC38" s="165"/>
      <c r="ED38" s="177"/>
      <c r="EE38" s="344"/>
      <c r="EF38" s="177"/>
      <c r="EG38" s="165"/>
      <c r="EH38" s="177"/>
      <c r="EI38" s="158"/>
      <c r="EJ38" s="180"/>
      <c r="EK38" s="180"/>
      <c r="EL38" s="180"/>
      <c r="EM38" s="345"/>
      <c r="EN38" s="345"/>
      <c r="EO38" s="177"/>
      <c r="EP38" s="158"/>
      <c r="EQ38" s="177"/>
      <c r="ER38" s="180"/>
      <c r="ES38" s="158"/>
      <c r="ET38" s="344"/>
      <c r="EU38" s="158"/>
      <c r="EV38" s="345"/>
      <c r="EW38" s="155">
        <f t="shared" si="10"/>
        <v>0</v>
      </c>
      <c r="EX38" s="155">
        <f t="shared" si="11"/>
        <v>0</v>
      </c>
      <c r="EY38" s="155">
        <f>IF(MatchDay!$C$2="LOWER",COUNTA(EF38:EH38),0)</f>
        <v>0</v>
      </c>
      <c r="FA38" s="157" t="s">
        <v>912</v>
      </c>
      <c r="FB38" s="171"/>
      <c r="FC38" s="165"/>
      <c r="FD38" s="171"/>
      <c r="FE38" s="344"/>
      <c r="FF38" s="171"/>
      <c r="FG38" s="165"/>
      <c r="FH38" s="171"/>
      <c r="FI38" s="158"/>
      <c r="FJ38" s="180"/>
      <c r="FK38" s="180"/>
      <c r="FL38" s="180"/>
      <c r="FM38" s="345"/>
      <c r="FN38" s="345"/>
      <c r="FO38" s="171"/>
      <c r="FP38" s="158"/>
      <c r="FQ38" s="171"/>
      <c r="FR38" s="180"/>
      <c r="FS38" s="158"/>
      <c r="FT38" s="344"/>
      <c r="FU38" s="158"/>
      <c r="FV38" s="345"/>
      <c r="FW38" s="155">
        <f t="shared" si="12"/>
        <v>0</v>
      </c>
      <c r="FX38" s="155">
        <f t="shared" si="13"/>
        <v>0</v>
      </c>
      <c r="FY38" s="155">
        <f>IF(MatchDay!$C$2="LOWER",COUNTA(FF38:FH38),0)</f>
        <v>0</v>
      </c>
      <c r="GA38" s="157" t="s">
        <v>912</v>
      </c>
      <c r="GB38" s="177"/>
      <c r="GC38" s="165"/>
      <c r="GD38" s="177"/>
      <c r="GE38" s="344"/>
      <c r="GF38" s="177"/>
      <c r="GG38" s="165"/>
      <c r="GH38" s="177"/>
      <c r="GI38" s="158"/>
      <c r="GJ38" s="180"/>
      <c r="GK38" s="180"/>
      <c r="GL38" s="180"/>
      <c r="GM38" s="345"/>
      <c r="GN38" s="345"/>
      <c r="GO38" s="177"/>
      <c r="GP38" s="158"/>
      <c r="GQ38" s="177"/>
      <c r="GR38" s="180"/>
      <c r="GS38" s="158"/>
      <c r="GT38" s="344"/>
      <c r="GU38" s="158"/>
      <c r="GV38" s="345"/>
      <c r="GW38" s="155">
        <f t="shared" si="14"/>
        <v>0</v>
      </c>
      <c r="GX38" s="155">
        <f t="shared" si="15"/>
        <v>0</v>
      </c>
      <c r="GY38" s="155">
        <f>IF(MatchDay!$C$2="LOWER",COUNTA(GF38:GH38),0)</f>
        <v>0</v>
      </c>
    </row>
    <row r="39" spans="1:207" ht="16.5" customHeight="1" x14ac:dyDescent="0.45">
      <c r="A39" s="157" t="s">
        <v>912</v>
      </c>
      <c r="B39" s="171"/>
      <c r="C39" s="165"/>
      <c r="D39" s="171"/>
      <c r="E39" s="344"/>
      <c r="F39" s="171"/>
      <c r="G39" s="165"/>
      <c r="H39" s="171"/>
      <c r="I39" s="158"/>
      <c r="J39" s="180"/>
      <c r="K39" s="180"/>
      <c r="L39" s="180"/>
      <c r="M39" s="345"/>
      <c r="N39" s="345"/>
      <c r="O39" s="171"/>
      <c r="P39" s="158"/>
      <c r="Q39" s="171"/>
      <c r="R39" s="180"/>
      <c r="S39" s="158"/>
      <c r="T39" s="344"/>
      <c r="U39" s="158"/>
      <c r="V39" s="345"/>
      <c r="W39" s="155">
        <f t="shared" si="0"/>
        <v>0</v>
      </c>
      <c r="X39" s="155">
        <f t="shared" si="1"/>
        <v>0</v>
      </c>
      <c r="Y39" s="155">
        <f>IF(MatchDay!$C$2="LOWER",COUNTA(F39:H39),0)</f>
        <v>0</v>
      </c>
      <c r="AA39" s="157" t="s">
        <v>912</v>
      </c>
      <c r="AB39" s="177"/>
      <c r="AC39" s="165"/>
      <c r="AD39" s="177"/>
      <c r="AE39" s="344"/>
      <c r="AF39" s="177"/>
      <c r="AG39" s="165"/>
      <c r="AH39" s="177"/>
      <c r="AI39" s="158"/>
      <c r="AJ39" s="180"/>
      <c r="AK39" s="180"/>
      <c r="AL39" s="180"/>
      <c r="AM39" s="345"/>
      <c r="AN39" s="345"/>
      <c r="AO39" s="177"/>
      <c r="AP39" s="158"/>
      <c r="AQ39" s="177"/>
      <c r="AR39" s="180"/>
      <c r="AS39" s="158"/>
      <c r="AT39" s="344"/>
      <c r="AU39" s="158"/>
      <c r="AV39" s="345"/>
      <c r="AW39" s="155">
        <f t="shared" si="2"/>
        <v>0</v>
      </c>
      <c r="AX39" s="155">
        <f t="shared" si="3"/>
        <v>0</v>
      </c>
      <c r="AY39" s="155">
        <f>IF(MatchDay!$C$2="LOWER",COUNTA(AF39:AH39),0)</f>
        <v>0</v>
      </c>
      <c r="BA39" s="157" t="s">
        <v>912</v>
      </c>
      <c r="BB39" s="171"/>
      <c r="BC39" s="165"/>
      <c r="BD39" s="171"/>
      <c r="BE39" s="344"/>
      <c r="BF39" s="171"/>
      <c r="BG39" s="165"/>
      <c r="BH39" s="171"/>
      <c r="BI39" s="158"/>
      <c r="BJ39" s="180"/>
      <c r="BK39" s="180"/>
      <c r="BL39" s="180"/>
      <c r="BM39" s="345"/>
      <c r="BN39" s="345"/>
      <c r="BO39" s="171"/>
      <c r="BP39" s="158"/>
      <c r="BQ39" s="171"/>
      <c r="BR39" s="180"/>
      <c r="BS39" s="158"/>
      <c r="BT39" s="344"/>
      <c r="BU39" s="158"/>
      <c r="BV39" s="345"/>
      <c r="BW39" s="155">
        <f t="shared" si="4"/>
        <v>0</v>
      </c>
      <c r="BX39" s="155">
        <f t="shared" si="5"/>
        <v>0</v>
      </c>
      <c r="BY39" s="155">
        <f>IF(MatchDay!$C$2="LOWER",COUNTA(BF39:BH39),0)</f>
        <v>0</v>
      </c>
      <c r="CA39" s="157" t="s">
        <v>912</v>
      </c>
      <c r="CB39" s="177"/>
      <c r="CC39" s="165"/>
      <c r="CD39" s="177"/>
      <c r="CE39" s="344"/>
      <c r="CF39" s="177"/>
      <c r="CG39" s="165"/>
      <c r="CH39" s="177"/>
      <c r="CI39" s="158"/>
      <c r="CJ39" s="180"/>
      <c r="CK39" s="180"/>
      <c r="CL39" s="180"/>
      <c r="CM39" s="345"/>
      <c r="CN39" s="345"/>
      <c r="CO39" s="177"/>
      <c r="CP39" s="158"/>
      <c r="CQ39" s="177"/>
      <c r="CR39" s="180"/>
      <c r="CS39" s="158"/>
      <c r="CT39" s="344"/>
      <c r="CU39" s="158"/>
      <c r="CV39" s="345"/>
      <c r="CW39" s="155">
        <f t="shared" si="6"/>
        <v>0</v>
      </c>
      <c r="CX39" s="155">
        <f t="shared" si="7"/>
        <v>0</v>
      </c>
      <c r="CY39" s="155">
        <f>IF(MatchDay!$C$2="LOWER",COUNTA(CF39:CH39),0)</f>
        <v>0</v>
      </c>
      <c r="DA39" s="157" t="s">
        <v>912</v>
      </c>
      <c r="DB39" s="171"/>
      <c r="DC39" s="165"/>
      <c r="DD39" s="171"/>
      <c r="DE39" s="344"/>
      <c r="DF39" s="171"/>
      <c r="DG39" s="165"/>
      <c r="DH39" s="171"/>
      <c r="DI39" s="158"/>
      <c r="DJ39" s="180"/>
      <c r="DK39" s="180"/>
      <c r="DL39" s="180"/>
      <c r="DM39" s="345"/>
      <c r="DN39" s="345"/>
      <c r="DO39" s="171"/>
      <c r="DP39" s="158"/>
      <c r="DQ39" s="171"/>
      <c r="DR39" s="180"/>
      <c r="DS39" s="158"/>
      <c r="DT39" s="344"/>
      <c r="DU39" s="158"/>
      <c r="DV39" s="345"/>
      <c r="DW39" s="155">
        <f t="shared" si="8"/>
        <v>0</v>
      </c>
      <c r="DX39" s="155">
        <f t="shared" si="9"/>
        <v>0</v>
      </c>
      <c r="DY39" s="155">
        <f>IF(MatchDay!$C$2="LOWER",COUNTA(DF39:DH39),0)</f>
        <v>0</v>
      </c>
      <c r="EA39" s="157" t="s">
        <v>912</v>
      </c>
      <c r="EB39" s="177"/>
      <c r="EC39" s="165"/>
      <c r="ED39" s="177"/>
      <c r="EE39" s="344"/>
      <c r="EF39" s="177"/>
      <c r="EG39" s="165"/>
      <c r="EH39" s="177"/>
      <c r="EI39" s="158"/>
      <c r="EJ39" s="180"/>
      <c r="EK39" s="180"/>
      <c r="EL39" s="180"/>
      <c r="EM39" s="345"/>
      <c r="EN39" s="345"/>
      <c r="EO39" s="177"/>
      <c r="EP39" s="158"/>
      <c r="EQ39" s="177"/>
      <c r="ER39" s="180"/>
      <c r="ES39" s="158"/>
      <c r="ET39" s="344"/>
      <c r="EU39" s="158"/>
      <c r="EV39" s="345"/>
      <c r="EW39" s="155">
        <f t="shared" si="10"/>
        <v>0</v>
      </c>
      <c r="EX39" s="155">
        <f t="shared" si="11"/>
        <v>0</v>
      </c>
      <c r="EY39" s="155">
        <f>IF(MatchDay!$C$2="LOWER",COUNTA(EF39:EH39),0)</f>
        <v>0</v>
      </c>
      <c r="FA39" s="157" t="s">
        <v>912</v>
      </c>
      <c r="FB39" s="171"/>
      <c r="FC39" s="165"/>
      <c r="FD39" s="171"/>
      <c r="FE39" s="344"/>
      <c r="FF39" s="171"/>
      <c r="FG39" s="165"/>
      <c r="FH39" s="171"/>
      <c r="FI39" s="158"/>
      <c r="FJ39" s="180"/>
      <c r="FK39" s="180"/>
      <c r="FL39" s="180"/>
      <c r="FM39" s="345"/>
      <c r="FN39" s="345"/>
      <c r="FO39" s="171"/>
      <c r="FP39" s="158"/>
      <c r="FQ39" s="171"/>
      <c r="FR39" s="180"/>
      <c r="FS39" s="158"/>
      <c r="FT39" s="344"/>
      <c r="FU39" s="158"/>
      <c r="FV39" s="345"/>
      <c r="FW39" s="155">
        <f t="shared" si="12"/>
        <v>0</v>
      </c>
      <c r="FX39" s="155">
        <f t="shared" si="13"/>
        <v>0</v>
      </c>
      <c r="FY39" s="155">
        <f>IF(MatchDay!$C$2="LOWER",COUNTA(FF39:FH39),0)</f>
        <v>0</v>
      </c>
      <c r="GA39" s="157" t="s">
        <v>912</v>
      </c>
      <c r="GB39" s="177"/>
      <c r="GC39" s="165"/>
      <c r="GD39" s="177"/>
      <c r="GE39" s="344"/>
      <c r="GF39" s="177"/>
      <c r="GG39" s="165"/>
      <c r="GH39" s="177"/>
      <c r="GI39" s="158"/>
      <c r="GJ39" s="180"/>
      <c r="GK39" s="180"/>
      <c r="GL39" s="180"/>
      <c r="GM39" s="345"/>
      <c r="GN39" s="345"/>
      <c r="GO39" s="177"/>
      <c r="GP39" s="158"/>
      <c r="GQ39" s="177"/>
      <c r="GR39" s="180"/>
      <c r="GS39" s="158"/>
      <c r="GT39" s="344"/>
      <c r="GU39" s="158"/>
      <c r="GV39" s="345"/>
      <c r="GW39" s="155">
        <f t="shared" si="14"/>
        <v>0</v>
      </c>
      <c r="GX39" s="155">
        <f t="shared" si="15"/>
        <v>0</v>
      </c>
      <c r="GY39" s="155">
        <f>IF(MatchDay!$C$2="LOWER",COUNTA(GF39:GH39),0)</f>
        <v>0</v>
      </c>
    </row>
    <row r="40" spans="1:207" ht="16.5" customHeight="1" x14ac:dyDescent="0.45">
      <c r="A40" s="157" t="s">
        <v>912</v>
      </c>
      <c r="B40" s="171"/>
      <c r="C40" s="165"/>
      <c r="D40" s="171"/>
      <c r="E40" s="344"/>
      <c r="F40" s="171"/>
      <c r="G40" s="165"/>
      <c r="H40" s="171"/>
      <c r="I40" s="158"/>
      <c r="J40" s="180"/>
      <c r="K40" s="180"/>
      <c r="L40" s="180"/>
      <c r="M40" s="345"/>
      <c r="N40" s="345"/>
      <c r="O40" s="171"/>
      <c r="P40" s="158"/>
      <c r="Q40" s="171"/>
      <c r="R40" s="180"/>
      <c r="S40" s="158"/>
      <c r="T40" s="344"/>
      <c r="U40" s="158"/>
      <c r="V40" s="345"/>
      <c r="W40" s="155">
        <f t="shared" si="0"/>
        <v>0</v>
      </c>
      <c r="X40" s="155">
        <f t="shared" si="1"/>
        <v>0</v>
      </c>
      <c r="Y40" s="155">
        <f>IF(MatchDay!$C$2="LOWER",COUNTA(F40:H40),0)</f>
        <v>0</v>
      </c>
      <c r="AA40" s="157" t="s">
        <v>912</v>
      </c>
      <c r="AB40" s="177"/>
      <c r="AC40" s="165"/>
      <c r="AD40" s="177"/>
      <c r="AE40" s="344"/>
      <c r="AF40" s="177"/>
      <c r="AG40" s="165"/>
      <c r="AH40" s="177"/>
      <c r="AI40" s="158"/>
      <c r="AJ40" s="180"/>
      <c r="AK40" s="180"/>
      <c r="AL40" s="180"/>
      <c r="AM40" s="345"/>
      <c r="AN40" s="345"/>
      <c r="AO40" s="177"/>
      <c r="AP40" s="158"/>
      <c r="AQ40" s="177"/>
      <c r="AR40" s="180"/>
      <c r="AS40" s="158"/>
      <c r="AT40" s="344"/>
      <c r="AU40" s="158"/>
      <c r="AV40" s="345"/>
      <c r="AW40" s="155">
        <f t="shared" si="2"/>
        <v>0</v>
      </c>
      <c r="AX40" s="155">
        <f t="shared" si="3"/>
        <v>0</v>
      </c>
      <c r="AY40" s="155">
        <f>IF(MatchDay!$C$2="LOWER",COUNTA(AF40:AH40),0)</f>
        <v>0</v>
      </c>
      <c r="BA40" s="157" t="s">
        <v>912</v>
      </c>
      <c r="BB40" s="171"/>
      <c r="BC40" s="165"/>
      <c r="BD40" s="171"/>
      <c r="BE40" s="344"/>
      <c r="BF40" s="171"/>
      <c r="BG40" s="165"/>
      <c r="BH40" s="171"/>
      <c r="BI40" s="158"/>
      <c r="BJ40" s="180"/>
      <c r="BK40" s="180"/>
      <c r="BL40" s="180"/>
      <c r="BM40" s="345"/>
      <c r="BN40" s="345"/>
      <c r="BO40" s="171"/>
      <c r="BP40" s="158"/>
      <c r="BQ40" s="171"/>
      <c r="BR40" s="180"/>
      <c r="BS40" s="158"/>
      <c r="BT40" s="344"/>
      <c r="BU40" s="158"/>
      <c r="BV40" s="345"/>
      <c r="BW40" s="155">
        <f t="shared" si="4"/>
        <v>0</v>
      </c>
      <c r="BX40" s="155">
        <f t="shared" si="5"/>
        <v>0</v>
      </c>
      <c r="BY40" s="155">
        <f>IF(MatchDay!$C$2="LOWER",COUNTA(BF40:BH40),0)</f>
        <v>0</v>
      </c>
      <c r="CA40" s="157" t="s">
        <v>912</v>
      </c>
      <c r="CB40" s="177"/>
      <c r="CC40" s="165"/>
      <c r="CD40" s="177"/>
      <c r="CE40" s="344"/>
      <c r="CF40" s="177"/>
      <c r="CG40" s="165"/>
      <c r="CH40" s="177"/>
      <c r="CI40" s="158"/>
      <c r="CJ40" s="180"/>
      <c r="CK40" s="180"/>
      <c r="CL40" s="180"/>
      <c r="CM40" s="345"/>
      <c r="CN40" s="345"/>
      <c r="CO40" s="177"/>
      <c r="CP40" s="158"/>
      <c r="CQ40" s="177"/>
      <c r="CR40" s="180"/>
      <c r="CS40" s="158"/>
      <c r="CT40" s="344"/>
      <c r="CU40" s="158"/>
      <c r="CV40" s="345"/>
      <c r="CW40" s="155">
        <f t="shared" si="6"/>
        <v>0</v>
      </c>
      <c r="CX40" s="155">
        <f t="shared" si="7"/>
        <v>0</v>
      </c>
      <c r="CY40" s="155">
        <f>IF(MatchDay!$C$2="LOWER",COUNTA(CF40:CH40),0)</f>
        <v>0</v>
      </c>
      <c r="DA40" s="157" t="s">
        <v>912</v>
      </c>
      <c r="DB40" s="171"/>
      <c r="DC40" s="165"/>
      <c r="DD40" s="171"/>
      <c r="DE40" s="344"/>
      <c r="DF40" s="171"/>
      <c r="DG40" s="165"/>
      <c r="DH40" s="171"/>
      <c r="DI40" s="158"/>
      <c r="DJ40" s="180"/>
      <c r="DK40" s="180"/>
      <c r="DL40" s="180"/>
      <c r="DM40" s="345"/>
      <c r="DN40" s="345"/>
      <c r="DO40" s="171"/>
      <c r="DP40" s="158"/>
      <c r="DQ40" s="171"/>
      <c r="DR40" s="180"/>
      <c r="DS40" s="158"/>
      <c r="DT40" s="344"/>
      <c r="DU40" s="158"/>
      <c r="DV40" s="345"/>
      <c r="DW40" s="155">
        <f t="shared" si="8"/>
        <v>0</v>
      </c>
      <c r="DX40" s="155">
        <f t="shared" si="9"/>
        <v>0</v>
      </c>
      <c r="DY40" s="155">
        <f>IF(MatchDay!$C$2="LOWER",COUNTA(DF40:DH40),0)</f>
        <v>0</v>
      </c>
      <c r="EA40" s="157" t="s">
        <v>912</v>
      </c>
      <c r="EB40" s="177"/>
      <c r="EC40" s="165"/>
      <c r="ED40" s="177"/>
      <c r="EE40" s="344"/>
      <c r="EF40" s="177"/>
      <c r="EG40" s="165"/>
      <c r="EH40" s="177"/>
      <c r="EI40" s="158"/>
      <c r="EJ40" s="180"/>
      <c r="EK40" s="180"/>
      <c r="EL40" s="180"/>
      <c r="EM40" s="345"/>
      <c r="EN40" s="345"/>
      <c r="EO40" s="177"/>
      <c r="EP40" s="158"/>
      <c r="EQ40" s="177"/>
      <c r="ER40" s="180"/>
      <c r="ES40" s="158"/>
      <c r="ET40" s="344"/>
      <c r="EU40" s="158"/>
      <c r="EV40" s="345"/>
      <c r="EW40" s="155">
        <f t="shared" si="10"/>
        <v>0</v>
      </c>
      <c r="EX40" s="155">
        <f t="shared" si="11"/>
        <v>0</v>
      </c>
      <c r="EY40" s="155">
        <f>IF(MatchDay!$C$2="LOWER",COUNTA(EF40:EH40),0)</f>
        <v>0</v>
      </c>
      <c r="FA40" s="157" t="s">
        <v>912</v>
      </c>
      <c r="FB40" s="171"/>
      <c r="FC40" s="165"/>
      <c r="FD40" s="171"/>
      <c r="FE40" s="344"/>
      <c r="FF40" s="171"/>
      <c r="FG40" s="165"/>
      <c r="FH40" s="171"/>
      <c r="FI40" s="158"/>
      <c r="FJ40" s="180"/>
      <c r="FK40" s="180"/>
      <c r="FL40" s="180"/>
      <c r="FM40" s="345"/>
      <c r="FN40" s="345"/>
      <c r="FO40" s="171"/>
      <c r="FP40" s="158"/>
      <c r="FQ40" s="171"/>
      <c r="FR40" s="180"/>
      <c r="FS40" s="158"/>
      <c r="FT40" s="344"/>
      <c r="FU40" s="158"/>
      <c r="FV40" s="345"/>
      <c r="FW40" s="155">
        <f t="shared" si="12"/>
        <v>0</v>
      </c>
      <c r="FX40" s="155">
        <f t="shared" si="13"/>
        <v>0</v>
      </c>
      <c r="FY40" s="155">
        <f>IF(MatchDay!$C$2="LOWER",COUNTA(FF40:FH40),0)</f>
        <v>0</v>
      </c>
      <c r="GA40" s="157" t="s">
        <v>912</v>
      </c>
      <c r="GB40" s="177"/>
      <c r="GC40" s="165"/>
      <c r="GD40" s="177"/>
      <c r="GE40" s="344"/>
      <c r="GF40" s="177"/>
      <c r="GG40" s="165"/>
      <c r="GH40" s="177"/>
      <c r="GI40" s="158"/>
      <c r="GJ40" s="180"/>
      <c r="GK40" s="180"/>
      <c r="GL40" s="180"/>
      <c r="GM40" s="345"/>
      <c r="GN40" s="345"/>
      <c r="GO40" s="177"/>
      <c r="GP40" s="158"/>
      <c r="GQ40" s="177"/>
      <c r="GR40" s="180"/>
      <c r="GS40" s="158"/>
      <c r="GT40" s="344"/>
      <c r="GU40" s="158"/>
      <c r="GV40" s="345"/>
      <c r="GW40" s="155">
        <f t="shared" si="14"/>
        <v>0</v>
      </c>
      <c r="GX40" s="155">
        <f t="shared" si="15"/>
        <v>0</v>
      </c>
      <c r="GY40" s="155">
        <f>IF(MatchDay!$C$2="LOWER",COUNTA(GF40:GH40),0)</f>
        <v>0</v>
      </c>
    </row>
    <row r="41" spans="1:207" ht="16.5" customHeight="1" x14ac:dyDescent="0.45">
      <c r="A41" s="157" t="s">
        <v>912</v>
      </c>
      <c r="B41" s="171"/>
      <c r="C41" s="165"/>
      <c r="D41" s="171"/>
      <c r="E41" s="344"/>
      <c r="F41" s="171"/>
      <c r="G41" s="165"/>
      <c r="H41" s="171"/>
      <c r="I41" s="158"/>
      <c r="J41" s="180"/>
      <c r="K41" s="180"/>
      <c r="L41" s="180"/>
      <c r="M41" s="345"/>
      <c r="N41" s="345"/>
      <c r="O41" s="171"/>
      <c r="P41" s="158"/>
      <c r="Q41" s="171"/>
      <c r="R41" s="180"/>
      <c r="S41" s="158"/>
      <c r="T41" s="344"/>
      <c r="U41" s="158"/>
      <c r="V41" s="345"/>
      <c r="W41" s="155">
        <f t="shared" si="0"/>
        <v>0</v>
      </c>
      <c r="X41" s="155">
        <f t="shared" si="1"/>
        <v>0</v>
      </c>
      <c r="Y41" s="155">
        <f>IF(MatchDay!$C$2="LOWER",COUNTA(F41:H41),0)</f>
        <v>0</v>
      </c>
      <c r="AA41" s="157" t="s">
        <v>912</v>
      </c>
      <c r="AB41" s="177"/>
      <c r="AC41" s="165"/>
      <c r="AD41" s="177"/>
      <c r="AE41" s="344"/>
      <c r="AF41" s="177"/>
      <c r="AG41" s="165"/>
      <c r="AH41" s="177"/>
      <c r="AI41" s="158"/>
      <c r="AJ41" s="180"/>
      <c r="AK41" s="180"/>
      <c r="AL41" s="180"/>
      <c r="AM41" s="345"/>
      <c r="AN41" s="345"/>
      <c r="AO41" s="177"/>
      <c r="AP41" s="158"/>
      <c r="AQ41" s="177"/>
      <c r="AR41" s="180"/>
      <c r="AS41" s="158"/>
      <c r="AT41" s="344"/>
      <c r="AU41" s="158"/>
      <c r="AV41" s="345"/>
      <c r="AW41" s="155">
        <f t="shared" si="2"/>
        <v>0</v>
      </c>
      <c r="AX41" s="155">
        <f t="shared" si="3"/>
        <v>0</v>
      </c>
      <c r="AY41" s="155">
        <f>IF(MatchDay!$C$2="LOWER",COUNTA(AF41:AH41),0)</f>
        <v>0</v>
      </c>
      <c r="BA41" s="157" t="s">
        <v>912</v>
      </c>
      <c r="BB41" s="171"/>
      <c r="BC41" s="165"/>
      <c r="BD41" s="171"/>
      <c r="BE41" s="344"/>
      <c r="BF41" s="171"/>
      <c r="BG41" s="165"/>
      <c r="BH41" s="171"/>
      <c r="BI41" s="158"/>
      <c r="BJ41" s="180"/>
      <c r="BK41" s="180"/>
      <c r="BL41" s="180"/>
      <c r="BM41" s="345"/>
      <c r="BN41" s="345"/>
      <c r="BO41" s="171"/>
      <c r="BP41" s="158"/>
      <c r="BQ41" s="171"/>
      <c r="BR41" s="180"/>
      <c r="BS41" s="158"/>
      <c r="BT41" s="344"/>
      <c r="BU41" s="158"/>
      <c r="BV41" s="345"/>
      <c r="BW41" s="155">
        <f t="shared" si="4"/>
        <v>0</v>
      </c>
      <c r="BX41" s="155">
        <f t="shared" si="5"/>
        <v>0</v>
      </c>
      <c r="BY41" s="155">
        <f>IF(MatchDay!$C$2="LOWER",COUNTA(BF41:BH41),0)</f>
        <v>0</v>
      </c>
      <c r="CA41" s="157" t="s">
        <v>912</v>
      </c>
      <c r="CB41" s="177"/>
      <c r="CC41" s="165"/>
      <c r="CD41" s="177"/>
      <c r="CE41" s="344"/>
      <c r="CF41" s="177"/>
      <c r="CG41" s="165"/>
      <c r="CH41" s="177"/>
      <c r="CI41" s="158"/>
      <c r="CJ41" s="180"/>
      <c r="CK41" s="180"/>
      <c r="CL41" s="180"/>
      <c r="CM41" s="345"/>
      <c r="CN41" s="345"/>
      <c r="CO41" s="177"/>
      <c r="CP41" s="158"/>
      <c r="CQ41" s="177"/>
      <c r="CR41" s="180"/>
      <c r="CS41" s="158"/>
      <c r="CT41" s="344"/>
      <c r="CU41" s="158"/>
      <c r="CV41" s="345"/>
      <c r="CW41" s="155">
        <f t="shared" si="6"/>
        <v>0</v>
      </c>
      <c r="CX41" s="155">
        <f t="shared" si="7"/>
        <v>0</v>
      </c>
      <c r="CY41" s="155">
        <f>IF(MatchDay!$C$2="LOWER",COUNTA(CF41:CH41),0)</f>
        <v>0</v>
      </c>
      <c r="DA41" s="157" t="s">
        <v>912</v>
      </c>
      <c r="DB41" s="171"/>
      <c r="DC41" s="165"/>
      <c r="DD41" s="171"/>
      <c r="DE41" s="344"/>
      <c r="DF41" s="171"/>
      <c r="DG41" s="165"/>
      <c r="DH41" s="171"/>
      <c r="DI41" s="158"/>
      <c r="DJ41" s="180"/>
      <c r="DK41" s="180"/>
      <c r="DL41" s="180"/>
      <c r="DM41" s="345"/>
      <c r="DN41" s="345"/>
      <c r="DO41" s="171"/>
      <c r="DP41" s="158"/>
      <c r="DQ41" s="171"/>
      <c r="DR41" s="180"/>
      <c r="DS41" s="158"/>
      <c r="DT41" s="344"/>
      <c r="DU41" s="158"/>
      <c r="DV41" s="345"/>
      <c r="DW41" s="155">
        <f t="shared" si="8"/>
        <v>0</v>
      </c>
      <c r="DX41" s="155">
        <f t="shared" si="9"/>
        <v>0</v>
      </c>
      <c r="DY41" s="155">
        <f>IF(MatchDay!$C$2="LOWER",COUNTA(DF41:DH41),0)</f>
        <v>0</v>
      </c>
      <c r="EA41" s="157" t="s">
        <v>912</v>
      </c>
      <c r="EB41" s="177"/>
      <c r="EC41" s="165"/>
      <c r="ED41" s="177"/>
      <c r="EE41" s="344"/>
      <c r="EF41" s="177"/>
      <c r="EG41" s="165"/>
      <c r="EH41" s="177"/>
      <c r="EI41" s="158"/>
      <c r="EJ41" s="180"/>
      <c r="EK41" s="180"/>
      <c r="EL41" s="180"/>
      <c r="EM41" s="345"/>
      <c r="EN41" s="345"/>
      <c r="EO41" s="177"/>
      <c r="EP41" s="158"/>
      <c r="EQ41" s="177"/>
      <c r="ER41" s="180"/>
      <c r="ES41" s="158"/>
      <c r="ET41" s="344"/>
      <c r="EU41" s="158"/>
      <c r="EV41" s="345"/>
      <c r="EW41" s="155">
        <f t="shared" si="10"/>
        <v>0</v>
      </c>
      <c r="EX41" s="155">
        <f t="shared" si="11"/>
        <v>0</v>
      </c>
      <c r="EY41" s="155">
        <f>IF(MatchDay!$C$2="LOWER",COUNTA(EF41:EH41),0)</f>
        <v>0</v>
      </c>
      <c r="FA41" s="157" t="s">
        <v>912</v>
      </c>
      <c r="FB41" s="171"/>
      <c r="FC41" s="165"/>
      <c r="FD41" s="171"/>
      <c r="FE41" s="344"/>
      <c r="FF41" s="171"/>
      <c r="FG41" s="165"/>
      <c r="FH41" s="171"/>
      <c r="FI41" s="158"/>
      <c r="FJ41" s="180"/>
      <c r="FK41" s="180"/>
      <c r="FL41" s="180"/>
      <c r="FM41" s="345"/>
      <c r="FN41" s="345"/>
      <c r="FO41" s="171"/>
      <c r="FP41" s="158"/>
      <c r="FQ41" s="171"/>
      <c r="FR41" s="180"/>
      <c r="FS41" s="158"/>
      <c r="FT41" s="344"/>
      <c r="FU41" s="158"/>
      <c r="FV41" s="345"/>
      <c r="FW41" s="155">
        <f t="shared" si="12"/>
        <v>0</v>
      </c>
      <c r="FX41" s="155">
        <f t="shared" si="13"/>
        <v>0</v>
      </c>
      <c r="FY41" s="155">
        <f>IF(MatchDay!$C$2="LOWER",COUNTA(FF41:FH41),0)</f>
        <v>0</v>
      </c>
      <c r="GA41" s="157" t="s">
        <v>912</v>
      </c>
      <c r="GB41" s="177"/>
      <c r="GC41" s="165"/>
      <c r="GD41" s="177"/>
      <c r="GE41" s="344"/>
      <c r="GF41" s="177"/>
      <c r="GG41" s="165"/>
      <c r="GH41" s="177"/>
      <c r="GI41" s="158"/>
      <c r="GJ41" s="180"/>
      <c r="GK41" s="180"/>
      <c r="GL41" s="180"/>
      <c r="GM41" s="345"/>
      <c r="GN41" s="345"/>
      <c r="GO41" s="177"/>
      <c r="GP41" s="158"/>
      <c r="GQ41" s="177"/>
      <c r="GR41" s="180"/>
      <c r="GS41" s="158"/>
      <c r="GT41" s="344"/>
      <c r="GU41" s="158"/>
      <c r="GV41" s="345"/>
      <c r="GW41" s="155">
        <f t="shared" si="14"/>
        <v>0</v>
      </c>
      <c r="GX41" s="155">
        <f t="shared" si="15"/>
        <v>0</v>
      </c>
      <c r="GY41" s="155">
        <f>IF(MatchDay!$C$2="LOWER",COUNTA(GF41:GH41),0)</f>
        <v>0</v>
      </c>
    </row>
    <row r="42" spans="1:207" ht="16.5" customHeight="1" x14ac:dyDescent="0.45">
      <c r="A42" s="157" t="s">
        <v>912</v>
      </c>
      <c r="B42" s="171"/>
      <c r="C42" s="165"/>
      <c r="D42" s="171"/>
      <c r="E42" s="344"/>
      <c r="F42" s="171"/>
      <c r="G42" s="165"/>
      <c r="H42" s="171"/>
      <c r="I42" s="158"/>
      <c r="J42" s="180"/>
      <c r="K42" s="180"/>
      <c r="L42" s="180"/>
      <c r="M42" s="345"/>
      <c r="N42" s="345"/>
      <c r="O42" s="171"/>
      <c r="P42" s="158"/>
      <c r="Q42" s="171"/>
      <c r="R42" s="180"/>
      <c r="S42" s="158"/>
      <c r="T42" s="344"/>
      <c r="U42" s="158"/>
      <c r="V42" s="345"/>
      <c r="W42" s="155">
        <f t="shared" si="0"/>
        <v>0</v>
      </c>
      <c r="X42" s="155">
        <f t="shared" si="1"/>
        <v>0</v>
      </c>
      <c r="Y42" s="155">
        <f>IF(MatchDay!$C$2="LOWER",COUNTA(F42:H42),0)</f>
        <v>0</v>
      </c>
      <c r="AA42" s="157" t="s">
        <v>912</v>
      </c>
      <c r="AB42" s="177"/>
      <c r="AC42" s="165"/>
      <c r="AD42" s="177"/>
      <c r="AE42" s="344"/>
      <c r="AF42" s="177"/>
      <c r="AG42" s="165"/>
      <c r="AH42" s="177"/>
      <c r="AI42" s="158"/>
      <c r="AJ42" s="180"/>
      <c r="AK42" s="180"/>
      <c r="AL42" s="180"/>
      <c r="AM42" s="345"/>
      <c r="AN42" s="345"/>
      <c r="AO42" s="177"/>
      <c r="AP42" s="158"/>
      <c r="AQ42" s="177"/>
      <c r="AR42" s="180"/>
      <c r="AS42" s="158"/>
      <c r="AT42" s="344"/>
      <c r="AU42" s="158"/>
      <c r="AV42" s="345"/>
      <c r="AW42" s="155">
        <f t="shared" si="2"/>
        <v>0</v>
      </c>
      <c r="AX42" s="155">
        <f t="shared" si="3"/>
        <v>0</v>
      </c>
      <c r="AY42" s="155">
        <f>IF(MatchDay!$C$2="LOWER",COUNTA(AF42:AH42),0)</f>
        <v>0</v>
      </c>
      <c r="BA42" s="157" t="s">
        <v>912</v>
      </c>
      <c r="BB42" s="171"/>
      <c r="BC42" s="165"/>
      <c r="BD42" s="171"/>
      <c r="BE42" s="344"/>
      <c r="BF42" s="171"/>
      <c r="BG42" s="165"/>
      <c r="BH42" s="171"/>
      <c r="BI42" s="158"/>
      <c r="BJ42" s="180"/>
      <c r="BK42" s="180"/>
      <c r="BL42" s="180"/>
      <c r="BM42" s="345"/>
      <c r="BN42" s="345"/>
      <c r="BO42" s="171"/>
      <c r="BP42" s="158"/>
      <c r="BQ42" s="171"/>
      <c r="BR42" s="180"/>
      <c r="BS42" s="158"/>
      <c r="BT42" s="344"/>
      <c r="BU42" s="158"/>
      <c r="BV42" s="345"/>
      <c r="BW42" s="155">
        <f t="shared" si="4"/>
        <v>0</v>
      </c>
      <c r="BX42" s="155">
        <f t="shared" si="5"/>
        <v>0</v>
      </c>
      <c r="BY42" s="155">
        <f>IF(MatchDay!$C$2="LOWER",COUNTA(BF42:BH42),0)</f>
        <v>0</v>
      </c>
      <c r="CA42" s="157" t="s">
        <v>912</v>
      </c>
      <c r="CB42" s="177"/>
      <c r="CC42" s="165"/>
      <c r="CD42" s="177"/>
      <c r="CE42" s="344"/>
      <c r="CF42" s="177"/>
      <c r="CG42" s="165"/>
      <c r="CH42" s="177"/>
      <c r="CI42" s="158"/>
      <c r="CJ42" s="180"/>
      <c r="CK42" s="180"/>
      <c r="CL42" s="180"/>
      <c r="CM42" s="345"/>
      <c r="CN42" s="345"/>
      <c r="CO42" s="177"/>
      <c r="CP42" s="158"/>
      <c r="CQ42" s="177"/>
      <c r="CR42" s="180"/>
      <c r="CS42" s="158"/>
      <c r="CT42" s="344"/>
      <c r="CU42" s="158"/>
      <c r="CV42" s="345"/>
      <c r="CW42" s="155">
        <f t="shared" si="6"/>
        <v>0</v>
      </c>
      <c r="CX42" s="155">
        <f t="shared" si="7"/>
        <v>0</v>
      </c>
      <c r="CY42" s="155">
        <f>IF(MatchDay!$C$2="LOWER",COUNTA(CF42:CH42),0)</f>
        <v>0</v>
      </c>
      <c r="DA42" s="157" t="s">
        <v>912</v>
      </c>
      <c r="DB42" s="171"/>
      <c r="DC42" s="165"/>
      <c r="DD42" s="171"/>
      <c r="DE42" s="344"/>
      <c r="DF42" s="171"/>
      <c r="DG42" s="165"/>
      <c r="DH42" s="171"/>
      <c r="DI42" s="158"/>
      <c r="DJ42" s="180"/>
      <c r="DK42" s="180"/>
      <c r="DL42" s="180"/>
      <c r="DM42" s="345"/>
      <c r="DN42" s="345"/>
      <c r="DO42" s="171"/>
      <c r="DP42" s="158"/>
      <c r="DQ42" s="171"/>
      <c r="DR42" s="180"/>
      <c r="DS42" s="158"/>
      <c r="DT42" s="344"/>
      <c r="DU42" s="158"/>
      <c r="DV42" s="345"/>
      <c r="DW42" s="155">
        <f t="shared" si="8"/>
        <v>0</v>
      </c>
      <c r="DX42" s="155">
        <f t="shared" si="9"/>
        <v>0</v>
      </c>
      <c r="DY42" s="155">
        <f>IF(MatchDay!$C$2="LOWER",COUNTA(DF42:DH42),0)</f>
        <v>0</v>
      </c>
      <c r="EA42" s="157" t="s">
        <v>912</v>
      </c>
      <c r="EB42" s="177"/>
      <c r="EC42" s="165"/>
      <c r="ED42" s="177"/>
      <c r="EE42" s="344"/>
      <c r="EF42" s="177"/>
      <c r="EG42" s="165"/>
      <c r="EH42" s="177"/>
      <c r="EI42" s="158"/>
      <c r="EJ42" s="180"/>
      <c r="EK42" s="180"/>
      <c r="EL42" s="180"/>
      <c r="EM42" s="345"/>
      <c r="EN42" s="345"/>
      <c r="EO42" s="177"/>
      <c r="EP42" s="158"/>
      <c r="EQ42" s="177"/>
      <c r="ER42" s="180"/>
      <c r="ES42" s="158"/>
      <c r="ET42" s="344"/>
      <c r="EU42" s="158"/>
      <c r="EV42" s="345"/>
      <c r="EW42" s="155">
        <f t="shared" si="10"/>
        <v>0</v>
      </c>
      <c r="EX42" s="155">
        <f t="shared" si="11"/>
        <v>0</v>
      </c>
      <c r="EY42" s="155">
        <f>IF(MatchDay!$C$2="LOWER",COUNTA(EF42:EH42),0)</f>
        <v>0</v>
      </c>
      <c r="FA42" s="157" t="s">
        <v>912</v>
      </c>
      <c r="FB42" s="171"/>
      <c r="FC42" s="165"/>
      <c r="FD42" s="171"/>
      <c r="FE42" s="344"/>
      <c r="FF42" s="171"/>
      <c r="FG42" s="165"/>
      <c r="FH42" s="171"/>
      <c r="FI42" s="158"/>
      <c r="FJ42" s="180"/>
      <c r="FK42" s="180"/>
      <c r="FL42" s="180"/>
      <c r="FM42" s="345"/>
      <c r="FN42" s="345"/>
      <c r="FO42" s="171"/>
      <c r="FP42" s="158"/>
      <c r="FQ42" s="171"/>
      <c r="FR42" s="180"/>
      <c r="FS42" s="158"/>
      <c r="FT42" s="344"/>
      <c r="FU42" s="158"/>
      <c r="FV42" s="345"/>
      <c r="FW42" s="155">
        <f t="shared" si="12"/>
        <v>0</v>
      </c>
      <c r="FX42" s="155">
        <f t="shared" si="13"/>
        <v>0</v>
      </c>
      <c r="FY42" s="155">
        <f>IF(MatchDay!$C$2="LOWER",COUNTA(FF42:FH42),0)</f>
        <v>0</v>
      </c>
      <c r="GA42" s="157" t="s">
        <v>912</v>
      </c>
      <c r="GB42" s="177"/>
      <c r="GC42" s="165"/>
      <c r="GD42" s="177"/>
      <c r="GE42" s="344"/>
      <c r="GF42" s="177"/>
      <c r="GG42" s="165"/>
      <c r="GH42" s="177"/>
      <c r="GI42" s="158"/>
      <c r="GJ42" s="180"/>
      <c r="GK42" s="180"/>
      <c r="GL42" s="180"/>
      <c r="GM42" s="345"/>
      <c r="GN42" s="345"/>
      <c r="GO42" s="177"/>
      <c r="GP42" s="158"/>
      <c r="GQ42" s="177"/>
      <c r="GR42" s="180"/>
      <c r="GS42" s="158"/>
      <c r="GT42" s="344"/>
      <c r="GU42" s="158"/>
      <c r="GV42" s="345"/>
      <c r="GW42" s="155">
        <f t="shared" si="14"/>
        <v>0</v>
      </c>
      <c r="GX42" s="155">
        <f t="shared" si="15"/>
        <v>0</v>
      </c>
      <c r="GY42" s="155">
        <f>IF(MatchDay!$C$2="LOWER",COUNTA(GF42:GH42),0)</f>
        <v>0</v>
      </c>
    </row>
    <row r="43" spans="1:207" ht="16.5" customHeight="1" x14ac:dyDescent="0.45">
      <c r="A43" s="157" t="s">
        <v>912</v>
      </c>
      <c r="B43" s="171"/>
      <c r="C43" s="165"/>
      <c r="D43" s="171"/>
      <c r="E43" s="344"/>
      <c r="F43" s="171"/>
      <c r="G43" s="165"/>
      <c r="H43" s="171"/>
      <c r="I43" s="158"/>
      <c r="J43" s="180"/>
      <c r="K43" s="180"/>
      <c r="L43" s="180"/>
      <c r="M43" s="345"/>
      <c r="N43" s="345"/>
      <c r="O43" s="171"/>
      <c r="P43" s="158"/>
      <c r="Q43" s="171"/>
      <c r="R43" s="180"/>
      <c r="S43" s="158"/>
      <c r="T43" s="344"/>
      <c r="U43" s="158"/>
      <c r="V43" s="345"/>
      <c r="W43" s="155">
        <f t="shared" si="0"/>
        <v>0</v>
      </c>
      <c r="X43" s="155">
        <f t="shared" si="1"/>
        <v>0</v>
      </c>
      <c r="Y43" s="155">
        <f>IF(MatchDay!$C$2="LOWER",COUNTA(F43:H43),0)</f>
        <v>0</v>
      </c>
      <c r="AA43" s="157" t="s">
        <v>912</v>
      </c>
      <c r="AB43" s="177"/>
      <c r="AC43" s="165"/>
      <c r="AD43" s="177"/>
      <c r="AE43" s="344"/>
      <c r="AF43" s="177"/>
      <c r="AG43" s="165"/>
      <c r="AH43" s="177"/>
      <c r="AI43" s="158"/>
      <c r="AJ43" s="180"/>
      <c r="AK43" s="180"/>
      <c r="AL43" s="180"/>
      <c r="AM43" s="345"/>
      <c r="AN43" s="345"/>
      <c r="AO43" s="177"/>
      <c r="AP43" s="158"/>
      <c r="AQ43" s="177"/>
      <c r="AR43" s="180"/>
      <c r="AS43" s="158"/>
      <c r="AT43" s="344"/>
      <c r="AU43" s="158"/>
      <c r="AV43" s="345"/>
      <c r="AW43" s="155">
        <f t="shared" si="2"/>
        <v>0</v>
      </c>
      <c r="AX43" s="155">
        <f t="shared" si="3"/>
        <v>0</v>
      </c>
      <c r="AY43" s="155">
        <f>IF(MatchDay!$C$2="LOWER",COUNTA(AF43:AH43),0)</f>
        <v>0</v>
      </c>
      <c r="BA43" s="157" t="s">
        <v>912</v>
      </c>
      <c r="BB43" s="171"/>
      <c r="BC43" s="165"/>
      <c r="BD43" s="171"/>
      <c r="BE43" s="344"/>
      <c r="BF43" s="171"/>
      <c r="BG43" s="165"/>
      <c r="BH43" s="171"/>
      <c r="BI43" s="158"/>
      <c r="BJ43" s="180"/>
      <c r="BK43" s="180"/>
      <c r="BL43" s="180"/>
      <c r="BM43" s="345"/>
      <c r="BN43" s="345"/>
      <c r="BO43" s="171"/>
      <c r="BP43" s="158"/>
      <c r="BQ43" s="171"/>
      <c r="BR43" s="180"/>
      <c r="BS43" s="158"/>
      <c r="BT43" s="344"/>
      <c r="BU43" s="158"/>
      <c r="BV43" s="345"/>
      <c r="BW43" s="155">
        <f t="shared" si="4"/>
        <v>0</v>
      </c>
      <c r="BX43" s="155">
        <f t="shared" si="5"/>
        <v>0</v>
      </c>
      <c r="BY43" s="155">
        <f>IF(MatchDay!$C$2="LOWER",COUNTA(BF43:BH43),0)</f>
        <v>0</v>
      </c>
      <c r="CA43" s="157" t="s">
        <v>912</v>
      </c>
      <c r="CB43" s="177"/>
      <c r="CC43" s="165"/>
      <c r="CD43" s="177"/>
      <c r="CE43" s="344"/>
      <c r="CF43" s="177"/>
      <c r="CG43" s="165"/>
      <c r="CH43" s="177"/>
      <c r="CI43" s="158"/>
      <c r="CJ43" s="180"/>
      <c r="CK43" s="180"/>
      <c r="CL43" s="180"/>
      <c r="CM43" s="345"/>
      <c r="CN43" s="345"/>
      <c r="CO43" s="177"/>
      <c r="CP43" s="158"/>
      <c r="CQ43" s="177"/>
      <c r="CR43" s="180"/>
      <c r="CS43" s="158"/>
      <c r="CT43" s="344"/>
      <c r="CU43" s="158"/>
      <c r="CV43" s="345"/>
      <c r="CW43" s="155">
        <f t="shared" si="6"/>
        <v>0</v>
      </c>
      <c r="CX43" s="155">
        <f t="shared" si="7"/>
        <v>0</v>
      </c>
      <c r="CY43" s="155">
        <f>IF(MatchDay!$C$2="LOWER",COUNTA(CF43:CH43),0)</f>
        <v>0</v>
      </c>
      <c r="DA43" s="157" t="s">
        <v>912</v>
      </c>
      <c r="DB43" s="171"/>
      <c r="DC43" s="165"/>
      <c r="DD43" s="171"/>
      <c r="DE43" s="344"/>
      <c r="DF43" s="171"/>
      <c r="DG43" s="165"/>
      <c r="DH43" s="171"/>
      <c r="DI43" s="158"/>
      <c r="DJ43" s="180"/>
      <c r="DK43" s="180"/>
      <c r="DL43" s="180"/>
      <c r="DM43" s="345"/>
      <c r="DN43" s="345"/>
      <c r="DO43" s="171"/>
      <c r="DP43" s="158"/>
      <c r="DQ43" s="171"/>
      <c r="DR43" s="180"/>
      <c r="DS43" s="158"/>
      <c r="DT43" s="344"/>
      <c r="DU43" s="158"/>
      <c r="DV43" s="345"/>
      <c r="DW43" s="155">
        <f t="shared" si="8"/>
        <v>0</v>
      </c>
      <c r="DX43" s="155">
        <f t="shared" si="9"/>
        <v>0</v>
      </c>
      <c r="DY43" s="155">
        <f>IF(MatchDay!$C$2="LOWER",COUNTA(DF43:DH43),0)</f>
        <v>0</v>
      </c>
      <c r="EA43" s="157" t="s">
        <v>912</v>
      </c>
      <c r="EB43" s="177"/>
      <c r="EC43" s="165"/>
      <c r="ED43" s="177"/>
      <c r="EE43" s="344"/>
      <c r="EF43" s="177"/>
      <c r="EG43" s="165"/>
      <c r="EH43" s="177"/>
      <c r="EI43" s="158"/>
      <c r="EJ43" s="180"/>
      <c r="EK43" s="180"/>
      <c r="EL43" s="180"/>
      <c r="EM43" s="345"/>
      <c r="EN43" s="345"/>
      <c r="EO43" s="177"/>
      <c r="EP43" s="158"/>
      <c r="EQ43" s="177"/>
      <c r="ER43" s="180"/>
      <c r="ES43" s="158"/>
      <c r="ET43" s="344"/>
      <c r="EU43" s="158"/>
      <c r="EV43" s="345"/>
      <c r="EW43" s="155">
        <f t="shared" si="10"/>
        <v>0</v>
      </c>
      <c r="EX43" s="155">
        <f t="shared" si="11"/>
        <v>0</v>
      </c>
      <c r="EY43" s="155">
        <f>IF(MatchDay!$C$2="LOWER",COUNTA(EF43:EH43),0)</f>
        <v>0</v>
      </c>
      <c r="FA43" s="157" t="s">
        <v>912</v>
      </c>
      <c r="FB43" s="171"/>
      <c r="FC43" s="165"/>
      <c r="FD43" s="171"/>
      <c r="FE43" s="344"/>
      <c r="FF43" s="171"/>
      <c r="FG43" s="165"/>
      <c r="FH43" s="171"/>
      <c r="FI43" s="158"/>
      <c r="FJ43" s="180"/>
      <c r="FK43" s="180"/>
      <c r="FL43" s="180"/>
      <c r="FM43" s="345"/>
      <c r="FN43" s="345"/>
      <c r="FO43" s="171"/>
      <c r="FP43" s="158"/>
      <c r="FQ43" s="171"/>
      <c r="FR43" s="180"/>
      <c r="FS43" s="158"/>
      <c r="FT43" s="344"/>
      <c r="FU43" s="158"/>
      <c r="FV43" s="345"/>
      <c r="FW43" s="155">
        <f t="shared" si="12"/>
        <v>0</v>
      </c>
      <c r="FX43" s="155">
        <f t="shared" si="13"/>
        <v>0</v>
      </c>
      <c r="FY43" s="155">
        <f>IF(MatchDay!$C$2="LOWER",COUNTA(FF43:FH43),0)</f>
        <v>0</v>
      </c>
      <c r="GA43" s="157" t="s">
        <v>912</v>
      </c>
      <c r="GB43" s="177"/>
      <c r="GC43" s="165"/>
      <c r="GD43" s="177"/>
      <c r="GE43" s="344"/>
      <c r="GF43" s="177"/>
      <c r="GG43" s="165"/>
      <c r="GH43" s="177"/>
      <c r="GI43" s="158"/>
      <c r="GJ43" s="180"/>
      <c r="GK43" s="180"/>
      <c r="GL43" s="180"/>
      <c r="GM43" s="345"/>
      <c r="GN43" s="345"/>
      <c r="GO43" s="177"/>
      <c r="GP43" s="158"/>
      <c r="GQ43" s="177"/>
      <c r="GR43" s="180"/>
      <c r="GS43" s="158"/>
      <c r="GT43" s="344"/>
      <c r="GU43" s="158"/>
      <c r="GV43" s="345"/>
      <c r="GW43" s="155">
        <f t="shared" si="14"/>
        <v>0</v>
      </c>
      <c r="GX43" s="155">
        <f t="shared" si="15"/>
        <v>0</v>
      </c>
      <c r="GY43" s="155">
        <f>IF(MatchDay!$C$2="LOWER",COUNTA(GF43:GH43),0)</f>
        <v>0</v>
      </c>
    </row>
    <row r="44" spans="1:207" ht="16.5" customHeight="1" x14ac:dyDescent="0.45">
      <c r="A44" s="157" t="s">
        <v>912</v>
      </c>
      <c r="B44" s="171"/>
      <c r="C44" s="165"/>
      <c r="D44" s="171"/>
      <c r="E44" s="344"/>
      <c r="F44" s="171"/>
      <c r="G44" s="165"/>
      <c r="H44" s="171"/>
      <c r="I44" s="158"/>
      <c r="J44" s="180"/>
      <c r="K44" s="180"/>
      <c r="L44" s="180"/>
      <c r="M44" s="345"/>
      <c r="N44" s="345"/>
      <c r="O44" s="171"/>
      <c r="P44" s="158"/>
      <c r="Q44" s="171"/>
      <c r="R44" s="180"/>
      <c r="S44" s="158"/>
      <c r="T44" s="344"/>
      <c r="U44" s="158"/>
      <c r="V44" s="345"/>
      <c r="W44" s="155">
        <f t="shared" si="0"/>
        <v>0</v>
      </c>
      <c r="X44" s="155">
        <f t="shared" si="1"/>
        <v>0</v>
      </c>
      <c r="Y44" s="155">
        <f>IF(MatchDay!$C$2="LOWER",COUNTA(F44:H44),0)</f>
        <v>0</v>
      </c>
      <c r="AA44" s="157" t="s">
        <v>912</v>
      </c>
      <c r="AB44" s="177"/>
      <c r="AC44" s="165"/>
      <c r="AD44" s="177"/>
      <c r="AE44" s="344"/>
      <c r="AF44" s="177"/>
      <c r="AG44" s="165"/>
      <c r="AH44" s="177"/>
      <c r="AI44" s="158"/>
      <c r="AJ44" s="180"/>
      <c r="AK44" s="180"/>
      <c r="AL44" s="180"/>
      <c r="AM44" s="345"/>
      <c r="AN44" s="345"/>
      <c r="AO44" s="177"/>
      <c r="AP44" s="158"/>
      <c r="AQ44" s="177"/>
      <c r="AR44" s="180"/>
      <c r="AS44" s="158"/>
      <c r="AT44" s="344"/>
      <c r="AU44" s="158"/>
      <c r="AV44" s="345"/>
      <c r="AW44" s="155">
        <f t="shared" si="2"/>
        <v>0</v>
      </c>
      <c r="AX44" s="155">
        <f t="shared" si="3"/>
        <v>0</v>
      </c>
      <c r="AY44" s="155">
        <f>IF(MatchDay!$C$2="LOWER",COUNTA(AF44:AH44),0)</f>
        <v>0</v>
      </c>
      <c r="BA44" s="157" t="s">
        <v>912</v>
      </c>
      <c r="BB44" s="171"/>
      <c r="BC44" s="165"/>
      <c r="BD44" s="171"/>
      <c r="BE44" s="344"/>
      <c r="BF44" s="171"/>
      <c r="BG44" s="165"/>
      <c r="BH44" s="171"/>
      <c r="BI44" s="158"/>
      <c r="BJ44" s="180"/>
      <c r="BK44" s="180"/>
      <c r="BL44" s="180"/>
      <c r="BM44" s="345"/>
      <c r="BN44" s="345"/>
      <c r="BO44" s="171"/>
      <c r="BP44" s="158"/>
      <c r="BQ44" s="171"/>
      <c r="BR44" s="180"/>
      <c r="BS44" s="158"/>
      <c r="BT44" s="344"/>
      <c r="BU44" s="158"/>
      <c r="BV44" s="345"/>
      <c r="BW44" s="155">
        <f t="shared" si="4"/>
        <v>0</v>
      </c>
      <c r="BX44" s="155">
        <f t="shared" si="5"/>
        <v>0</v>
      </c>
      <c r="BY44" s="155">
        <f>IF(MatchDay!$C$2="LOWER",COUNTA(BF44:BH44),0)</f>
        <v>0</v>
      </c>
      <c r="CA44" s="157" t="s">
        <v>912</v>
      </c>
      <c r="CB44" s="177"/>
      <c r="CC44" s="165"/>
      <c r="CD44" s="177"/>
      <c r="CE44" s="344"/>
      <c r="CF44" s="177"/>
      <c r="CG44" s="165"/>
      <c r="CH44" s="177"/>
      <c r="CI44" s="158"/>
      <c r="CJ44" s="180"/>
      <c r="CK44" s="180"/>
      <c r="CL44" s="180"/>
      <c r="CM44" s="345"/>
      <c r="CN44" s="345"/>
      <c r="CO44" s="177"/>
      <c r="CP44" s="158"/>
      <c r="CQ44" s="177"/>
      <c r="CR44" s="180"/>
      <c r="CS44" s="158"/>
      <c r="CT44" s="344"/>
      <c r="CU44" s="158"/>
      <c r="CV44" s="345"/>
      <c r="CW44" s="155">
        <f t="shared" si="6"/>
        <v>0</v>
      </c>
      <c r="CX44" s="155">
        <f t="shared" si="7"/>
        <v>0</v>
      </c>
      <c r="CY44" s="155">
        <f>IF(MatchDay!$C$2="LOWER",COUNTA(CF44:CH44),0)</f>
        <v>0</v>
      </c>
      <c r="DA44" s="157" t="s">
        <v>912</v>
      </c>
      <c r="DB44" s="171"/>
      <c r="DC44" s="165"/>
      <c r="DD44" s="171"/>
      <c r="DE44" s="344"/>
      <c r="DF44" s="171"/>
      <c r="DG44" s="165"/>
      <c r="DH44" s="171"/>
      <c r="DI44" s="158"/>
      <c r="DJ44" s="180"/>
      <c r="DK44" s="180"/>
      <c r="DL44" s="180"/>
      <c r="DM44" s="345"/>
      <c r="DN44" s="345"/>
      <c r="DO44" s="171"/>
      <c r="DP44" s="158"/>
      <c r="DQ44" s="171"/>
      <c r="DR44" s="180"/>
      <c r="DS44" s="158"/>
      <c r="DT44" s="344"/>
      <c r="DU44" s="158"/>
      <c r="DV44" s="345"/>
      <c r="DW44" s="155">
        <f t="shared" si="8"/>
        <v>0</v>
      </c>
      <c r="DX44" s="155">
        <f t="shared" si="9"/>
        <v>0</v>
      </c>
      <c r="DY44" s="155">
        <f>IF(MatchDay!$C$2="LOWER",COUNTA(DF44:DH44),0)</f>
        <v>0</v>
      </c>
      <c r="EA44" s="157" t="s">
        <v>912</v>
      </c>
      <c r="EB44" s="177"/>
      <c r="EC44" s="165"/>
      <c r="ED44" s="177"/>
      <c r="EE44" s="344"/>
      <c r="EF44" s="177"/>
      <c r="EG44" s="165"/>
      <c r="EH44" s="177"/>
      <c r="EI44" s="158"/>
      <c r="EJ44" s="180"/>
      <c r="EK44" s="180"/>
      <c r="EL44" s="180"/>
      <c r="EM44" s="345"/>
      <c r="EN44" s="345"/>
      <c r="EO44" s="177"/>
      <c r="EP44" s="158"/>
      <c r="EQ44" s="177"/>
      <c r="ER44" s="180"/>
      <c r="ES44" s="158"/>
      <c r="ET44" s="344"/>
      <c r="EU44" s="158"/>
      <c r="EV44" s="345"/>
      <c r="EW44" s="155">
        <f t="shared" si="10"/>
        <v>0</v>
      </c>
      <c r="EX44" s="155">
        <f t="shared" si="11"/>
        <v>0</v>
      </c>
      <c r="EY44" s="155">
        <f>IF(MatchDay!$C$2="LOWER",COUNTA(EF44:EH44),0)</f>
        <v>0</v>
      </c>
      <c r="FA44" s="157" t="s">
        <v>912</v>
      </c>
      <c r="FB44" s="171"/>
      <c r="FC44" s="165"/>
      <c r="FD44" s="171"/>
      <c r="FE44" s="344"/>
      <c r="FF44" s="171"/>
      <c r="FG44" s="165"/>
      <c r="FH44" s="171"/>
      <c r="FI44" s="158"/>
      <c r="FJ44" s="180"/>
      <c r="FK44" s="180"/>
      <c r="FL44" s="180"/>
      <c r="FM44" s="345"/>
      <c r="FN44" s="345"/>
      <c r="FO44" s="171"/>
      <c r="FP44" s="158"/>
      <c r="FQ44" s="171"/>
      <c r="FR44" s="180"/>
      <c r="FS44" s="158"/>
      <c r="FT44" s="344"/>
      <c r="FU44" s="158"/>
      <c r="FV44" s="345"/>
      <c r="FW44" s="155">
        <f t="shared" si="12"/>
        <v>0</v>
      </c>
      <c r="FX44" s="155">
        <f t="shared" si="13"/>
        <v>0</v>
      </c>
      <c r="FY44" s="155">
        <f>IF(MatchDay!$C$2="LOWER",COUNTA(FF44:FH44),0)</f>
        <v>0</v>
      </c>
      <c r="GA44" s="157" t="s">
        <v>912</v>
      </c>
      <c r="GB44" s="177"/>
      <c r="GC44" s="165"/>
      <c r="GD44" s="177"/>
      <c r="GE44" s="344"/>
      <c r="GF44" s="177"/>
      <c r="GG44" s="165"/>
      <c r="GH44" s="177"/>
      <c r="GI44" s="158"/>
      <c r="GJ44" s="180"/>
      <c r="GK44" s="180"/>
      <c r="GL44" s="180"/>
      <c r="GM44" s="345"/>
      <c r="GN44" s="345"/>
      <c r="GO44" s="177"/>
      <c r="GP44" s="158"/>
      <c r="GQ44" s="177"/>
      <c r="GR44" s="180"/>
      <c r="GS44" s="158"/>
      <c r="GT44" s="344"/>
      <c r="GU44" s="158"/>
      <c r="GV44" s="345"/>
      <c r="GW44" s="155">
        <f t="shared" si="14"/>
        <v>0</v>
      </c>
      <c r="GX44" s="155">
        <f t="shared" si="15"/>
        <v>0</v>
      </c>
      <c r="GY44" s="155">
        <f>IF(MatchDay!$C$2="LOWER",COUNTA(GF44:GH44),0)</f>
        <v>0</v>
      </c>
    </row>
    <row r="45" spans="1:207" ht="16.5" customHeight="1" x14ac:dyDescent="0.45">
      <c r="A45" s="157" t="s">
        <v>912</v>
      </c>
      <c r="B45" s="171"/>
      <c r="C45" s="165"/>
      <c r="D45" s="171"/>
      <c r="E45" s="344"/>
      <c r="F45" s="171"/>
      <c r="G45" s="165"/>
      <c r="H45" s="171"/>
      <c r="I45" s="158"/>
      <c r="J45" s="180"/>
      <c r="K45" s="180"/>
      <c r="L45" s="180"/>
      <c r="M45" s="345"/>
      <c r="N45" s="345"/>
      <c r="O45" s="171"/>
      <c r="P45" s="158"/>
      <c r="Q45" s="171"/>
      <c r="R45" s="180"/>
      <c r="S45" s="158"/>
      <c r="T45" s="344"/>
      <c r="U45" s="158"/>
      <c r="V45" s="345"/>
      <c r="W45" s="155">
        <f t="shared" si="0"/>
        <v>0</v>
      </c>
      <c r="X45" s="155">
        <f t="shared" si="1"/>
        <v>0</v>
      </c>
      <c r="Y45" s="155">
        <f>IF(MatchDay!$C$2="LOWER",COUNTA(F45:H45),0)</f>
        <v>0</v>
      </c>
      <c r="AA45" s="157" t="s">
        <v>912</v>
      </c>
      <c r="AB45" s="177"/>
      <c r="AC45" s="165"/>
      <c r="AD45" s="177"/>
      <c r="AE45" s="344"/>
      <c r="AF45" s="177"/>
      <c r="AG45" s="165"/>
      <c r="AH45" s="177"/>
      <c r="AI45" s="158"/>
      <c r="AJ45" s="180"/>
      <c r="AK45" s="180"/>
      <c r="AL45" s="180"/>
      <c r="AM45" s="345"/>
      <c r="AN45" s="345"/>
      <c r="AO45" s="177"/>
      <c r="AP45" s="158"/>
      <c r="AQ45" s="177"/>
      <c r="AR45" s="180"/>
      <c r="AS45" s="158"/>
      <c r="AT45" s="344"/>
      <c r="AU45" s="158"/>
      <c r="AV45" s="345"/>
      <c r="AW45" s="155">
        <f t="shared" si="2"/>
        <v>0</v>
      </c>
      <c r="AX45" s="155">
        <f t="shared" si="3"/>
        <v>0</v>
      </c>
      <c r="AY45" s="155">
        <f>IF(MatchDay!$C$2="LOWER",COUNTA(AF45:AH45),0)</f>
        <v>0</v>
      </c>
      <c r="BA45" s="157" t="s">
        <v>912</v>
      </c>
      <c r="BB45" s="171"/>
      <c r="BC45" s="165"/>
      <c r="BD45" s="171"/>
      <c r="BE45" s="344"/>
      <c r="BF45" s="171"/>
      <c r="BG45" s="165"/>
      <c r="BH45" s="171"/>
      <c r="BI45" s="158"/>
      <c r="BJ45" s="180"/>
      <c r="BK45" s="180"/>
      <c r="BL45" s="180"/>
      <c r="BM45" s="345"/>
      <c r="BN45" s="345"/>
      <c r="BO45" s="171"/>
      <c r="BP45" s="158"/>
      <c r="BQ45" s="171"/>
      <c r="BR45" s="180"/>
      <c r="BS45" s="158"/>
      <c r="BT45" s="344"/>
      <c r="BU45" s="158"/>
      <c r="BV45" s="345"/>
      <c r="BW45" s="155">
        <f t="shared" si="4"/>
        <v>0</v>
      </c>
      <c r="BX45" s="155">
        <f t="shared" si="5"/>
        <v>0</v>
      </c>
      <c r="BY45" s="155">
        <f>IF(MatchDay!$C$2="LOWER",COUNTA(BF45:BH45),0)</f>
        <v>0</v>
      </c>
      <c r="CA45" s="157" t="s">
        <v>912</v>
      </c>
      <c r="CB45" s="177"/>
      <c r="CC45" s="165"/>
      <c r="CD45" s="177"/>
      <c r="CE45" s="344"/>
      <c r="CF45" s="177"/>
      <c r="CG45" s="165"/>
      <c r="CH45" s="177"/>
      <c r="CI45" s="158"/>
      <c r="CJ45" s="180"/>
      <c r="CK45" s="180"/>
      <c r="CL45" s="180"/>
      <c r="CM45" s="345"/>
      <c r="CN45" s="345"/>
      <c r="CO45" s="177"/>
      <c r="CP45" s="158"/>
      <c r="CQ45" s="177"/>
      <c r="CR45" s="180"/>
      <c r="CS45" s="158"/>
      <c r="CT45" s="344"/>
      <c r="CU45" s="158"/>
      <c r="CV45" s="345"/>
      <c r="CW45" s="155">
        <f t="shared" si="6"/>
        <v>0</v>
      </c>
      <c r="CX45" s="155">
        <f t="shared" si="7"/>
        <v>0</v>
      </c>
      <c r="CY45" s="155">
        <f>IF(MatchDay!$C$2="LOWER",COUNTA(CF45:CH45),0)</f>
        <v>0</v>
      </c>
      <c r="DA45" s="157" t="s">
        <v>912</v>
      </c>
      <c r="DB45" s="171"/>
      <c r="DC45" s="165"/>
      <c r="DD45" s="171"/>
      <c r="DE45" s="344"/>
      <c r="DF45" s="171"/>
      <c r="DG45" s="165"/>
      <c r="DH45" s="171"/>
      <c r="DI45" s="158"/>
      <c r="DJ45" s="180"/>
      <c r="DK45" s="180"/>
      <c r="DL45" s="180"/>
      <c r="DM45" s="345"/>
      <c r="DN45" s="345"/>
      <c r="DO45" s="171"/>
      <c r="DP45" s="158"/>
      <c r="DQ45" s="171"/>
      <c r="DR45" s="180"/>
      <c r="DS45" s="158"/>
      <c r="DT45" s="344"/>
      <c r="DU45" s="158"/>
      <c r="DV45" s="345"/>
      <c r="DW45" s="155">
        <f t="shared" si="8"/>
        <v>0</v>
      </c>
      <c r="DX45" s="155">
        <f t="shared" si="9"/>
        <v>0</v>
      </c>
      <c r="DY45" s="155">
        <f>IF(MatchDay!$C$2="LOWER",COUNTA(DF45:DH45),0)</f>
        <v>0</v>
      </c>
      <c r="EA45" s="157" t="s">
        <v>912</v>
      </c>
      <c r="EB45" s="177"/>
      <c r="EC45" s="165"/>
      <c r="ED45" s="177"/>
      <c r="EE45" s="344"/>
      <c r="EF45" s="177"/>
      <c r="EG45" s="165"/>
      <c r="EH45" s="177"/>
      <c r="EI45" s="158"/>
      <c r="EJ45" s="180"/>
      <c r="EK45" s="180"/>
      <c r="EL45" s="180"/>
      <c r="EM45" s="345"/>
      <c r="EN45" s="345"/>
      <c r="EO45" s="177"/>
      <c r="EP45" s="158"/>
      <c r="EQ45" s="177"/>
      <c r="ER45" s="180"/>
      <c r="ES45" s="158"/>
      <c r="ET45" s="344"/>
      <c r="EU45" s="158"/>
      <c r="EV45" s="345"/>
      <c r="EW45" s="155">
        <f t="shared" si="10"/>
        <v>0</v>
      </c>
      <c r="EX45" s="155">
        <f t="shared" si="11"/>
        <v>0</v>
      </c>
      <c r="EY45" s="155">
        <f>IF(MatchDay!$C$2="LOWER",COUNTA(EF45:EH45),0)</f>
        <v>0</v>
      </c>
      <c r="FA45" s="157" t="s">
        <v>912</v>
      </c>
      <c r="FB45" s="171"/>
      <c r="FC45" s="165"/>
      <c r="FD45" s="171"/>
      <c r="FE45" s="344"/>
      <c r="FF45" s="171"/>
      <c r="FG45" s="165"/>
      <c r="FH45" s="171"/>
      <c r="FI45" s="158"/>
      <c r="FJ45" s="180"/>
      <c r="FK45" s="180"/>
      <c r="FL45" s="180"/>
      <c r="FM45" s="345"/>
      <c r="FN45" s="345"/>
      <c r="FO45" s="171"/>
      <c r="FP45" s="158"/>
      <c r="FQ45" s="171"/>
      <c r="FR45" s="180"/>
      <c r="FS45" s="158"/>
      <c r="FT45" s="344"/>
      <c r="FU45" s="158"/>
      <c r="FV45" s="345"/>
      <c r="FW45" s="155">
        <f t="shared" si="12"/>
        <v>0</v>
      </c>
      <c r="FX45" s="155">
        <f t="shared" si="13"/>
        <v>0</v>
      </c>
      <c r="FY45" s="155">
        <f>IF(MatchDay!$C$2="LOWER",COUNTA(FF45:FH45),0)</f>
        <v>0</v>
      </c>
      <c r="GA45" s="157" t="s">
        <v>912</v>
      </c>
      <c r="GB45" s="177"/>
      <c r="GC45" s="165"/>
      <c r="GD45" s="177"/>
      <c r="GE45" s="344"/>
      <c r="GF45" s="177"/>
      <c r="GG45" s="165"/>
      <c r="GH45" s="177"/>
      <c r="GI45" s="158"/>
      <c r="GJ45" s="180"/>
      <c r="GK45" s="180"/>
      <c r="GL45" s="180"/>
      <c r="GM45" s="345"/>
      <c r="GN45" s="345"/>
      <c r="GO45" s="177"/>
      <c r="GP45" s="158"/>
      <c r="GQ45" s="177"/>
      <c r="GR45" s="180"/>
      <c r="GS45" s="158"/>
      <c r="GT45" s="344"/>
      <c r="GU45" s="158"/>
      <c r="GV45" s="345"/>
      <c r="GW45" s="155">
        <f t="shared" si="14"/>
        <v>0</v>
      </c>
      <c r="GX45" s="155">
        <f t="shared" si="15"/>
        <v>0</v>
      </c>
      <c r="GY45" s="155">
        <f>IF(MatchDay!$C$2="LOWER",COUNTA(GF45:GH45),0)</f>
        <v>0</v>
      </c>
    </row>
    <row r="46" spans="1:207" ht="16.5" customHeight="1" x14ac:dyDescent="0.45">
      <c r="A46" s="157" t="s">
        <v>912</v>
      </c>
      <c r="B46" s="171"/>
      <c r="C46" s="165"/>
      <c r="D46" s="171"/>
      <c r="E46" s="344"/>
      <c r="F46" s="171"/>
      <c r="G46" s="165"/>
      <c r="H46" s="171"/>
      <c r="I46" s="158"/>
      <c r="J46" s="180"/>
      <c r="K46" s="180"/>
      <c r="L46" s="180"/>
      <c r="M46" s="345"/>
      <c r="N46" s="345"/>
      <c r="O46" s="171"/>
      <c r="P46" s="158"/>
      <c r="Q46" s="171"/>
      <c r="R46" s="180"/>
      <c r="S46" s="158"/>
      <c r="T46" s="344"/>
      <c r="U46" s="158"/>
      <c r="V46" s="345"/>
      <c r="W46" s="155">
        <f t="shared" si="0"/>
        <v>0</v>
      </c>
      <c r="X46" s="155">
        <f t="shared" si="1"/>
        <v>0</v>
      </c>
      <c r="Y46" s="155">
        <f>IF(MatchDay!$C$2="LOWER",COUNTA(F46:H46),0)</f>
        <v>0</v>
      </c>
      <c r="AA46" s="157" t="s">
        <v>912</v>
      </c>
      <c r="AB46" s="177"/>
      <c r="AC46" s="165"/>
      <c r="AD46" s="177"/>
      <c r="AE46" s="344"/>
      <c r="AF46" s="177"/>
      <c r="AG46" s="165"/>
      <c r="AH46" s="177"/>
      <c r="AI46" s="158"/>
      <c r="AJ46" s="180"/>
      <c r="AK46" s="180"/>
      <c r="AL46" s="180"/>
      <c r="AM46" s="345"/>
      <c r="AN46" s="345"/>
      <c r="AO46" s="177"/>
      <c r="AP46" s="158"/>
      <c r="AQ46" s="177"/>
      <c r="AR46" s="180"/>
      <c r="AS46" s="158"/>
      <c r="AT46" s="344"/>
      <c r="AU46" s="158"/>
      <c r="AV46" s="345"/>
      <c r="AW46" s="155">
        <f t="shared" si="2"/>
        <v>0</v>
      </c>
      <c r="AX46" s="155">
        <f t="shared" si="3"/>
        <v>0</v>
      </c>
      <c r="AY46" s="155">
        <f>IF(MatchDay!$C$2="LOWER",COUNTA(AF46:AH46),0)</f>
        <v>0</v>
      </c>
      <c r="BA46" s="157" t="s">
        <v>912</v>
      </c>
      <c r="BB46" s="171"/>
      <c r="BC46" s="165"/>
      <c r="BD46" s="171"/>
      <c r="BE46" s="344"/>
      <c r="BF46" s="171"/>
      <c r="BG46" s="165"/>
      <c r="BH46" s="171"/>
      <c r="BI46" s="158"/>
      <c r="BJ46" s="180"/>
      <c r="BK46" s="180"/>
      <c r="BL46" s="180"/>
      <c r="BM46" s="345"/>
      <c r="BN46" s="345"/>
      <c r="BO46" s="171"/>
      <c r="BP46" s="158"/>
      <c r="BQ46" s="171"/>
      <c r="BR46" s="180"/>
      <c r="BS46" s="158"/>
      <c r="BT46" s="344"/>
      <c r="BU46" s="158"/>
      <c r="BV46" s="345"/>
      <c r="BW46" s="155">
        <f t="shared" si="4"/>
        <v>0</v>
      </c>
      <c r="BX46" s="155">
        <f t="shared" si="5"/>
        <v>0</v>
      </c>
      <c r="BY46" s="155">
        <f>IF(MatchDay!$C$2="LOWER",COUNTA(BF46:BH46),0)</f>
        <v>0</v>
      </c>
      <c r="CA46" s="157" t="s">
        <v>912</v>
      </c>
      <c r="CB46" s="177"/>
      <c r="CC46" s="165"/>
      <c r="CD46" s="177"/>
      <c r="CE46" s="344"/>
      <c r="CF46" s="177"/>
      <c r="CG46" s="165"/>
      <c r="CH46" s="177"/>
      <c r="CI46" s="158"/>
      <c r="CJ46" s="180"/>
      <c r="CK46" s="180"/>
      <c r="CL46" s="180"/>
      <c r="CM46" s="345"/>
      <c r="CN46" s="345"/>
      <c r="CO46" s="177"/>
      <c r="CP46" s="158"/>
      <c r="CQ46" s="177"/>
      <c r="CR46" s="180"/>
      <c r="CS46" s="158"/>
      <c r="CT46" s="344"/>
      <c r="CU46" s="158"/>
      <c r="CV46" s="345"/>
      <c r="CW46" s="155">
        <f t="shared" si="6"/>
        <v>0</v>
      </c>
      <c r="CX46" s="155">
        <f t="shared" si="7"/>
        <v>0</v>
      </c>
      <c r="CY46" s="155">
        <f>IF(MatchDay!$C$2="LOWER",COUNTA(CF46:CH46),0)</f>
        <v>0</v>
      </c>
      <c r="DA46" s="157" t="s">
        <v>912</v>
      </c>
      <c r="DB46" s="171"/>
      <c r="DC46" s="165"/>
      <c r="DD46" s="171"/>
      <c r="DE46" s="344"/>
      <c r="DF46" s="171"/>
      <c r="DG46" s="165"/>
      <c r="DH46" s="171"/>
      <c r="DI46" s="158"/>
      <c r="DJ46" s="180"/>
      <c r="DK46" s="180"/>
      <c r="DL46" s="180"/>
      <c r="DM46" s="345"/>
      <c r="DN46" s="345"/>
      <c r="DO46" s="171"/>
      <c r="DP46" s="158"/>
      <c r="DQ46" s="171"/>
      <c r="DR46" s="180"/>
      <c r="DS46" s="158"/>
      <c r="DT46" s="344"/>
      <c r="DU46" s="158"/>
      <c r="DV46" s="345"/>
      <c r="DW46" s="155">
        <f t="shared" si="8"/>
        <v>0</v>
      </c>
      <c r="DX46" s="155">
        <f t="shared" si="9"/>
        <v>0</v>
      </c>
      <c r="DY46" s="155">
        <f>IF(MatchDay!$C$2="LOWER",COUNTA(DF46:DH46),0)</f>
        <v>0</v>
      </c>
      <c r="EA46" s="157" t="s">
        <v>912</v>
      </c>
      <c r="EB46" s="177"/>
      <c r="EC46" s="165"/>
      <c r="ED46" s="177"/>
      <c r="EE46" s="344"/>
      <c r="EF46" s="177"/>
      <c r="EG46" s="165"/>
      <c r="EH46" s="177"/>
      <c r="EI46" s="158"/>
      <c r="EJ46" s="180"/>
      <c r="EK46" s="180"/>
      <c r="EL46" s="180"/>
      <c r="EM46" s="345"/>
      <c r="EN46" s="345"/>
      <c r="EO46" s="177"/>
      <c r="EP46" s="158"/>
      <c r="EQ46" s="177"/>
      <c r="ER46" s="180"/>
      <c r="ES46" s="158"/>
      <c r="ET46" s="344"/>
      <c r="EU46" s="158"/>
      <c r="EV46" s="345"/>
      <c r="EW46" s="155">
        <f t="shared" si="10"/>
        <v>0</v>
      </c>
      <c r="EX46" s="155">
        <f t="shared" si="11"/>
        <v>0</v>
      </c>
      <c r="EY46" s="155">
        <f>IF(MatchDay!$C$2="LOWER",COUNTA(EF46:EH46),0)</f>
        <v>0</v>
      </c>
      <c r="FA46" s="157" t="s">
        <v>912</v>
      </c>
      <c r="FB46" s="171"/>
      <c r="FC46" s="165"/>
      <c r="FD46" s="171"/>
      <c r="FE46" s="344"/>
      <c r="FF46" s="171"/>
      <c r="FG46" s="165"/>
      <c r="FH46" s="171"/>
      <c r="FI46" s="158"/>
      <c r="FJ46" s="180"/>
      <c r="FK46" s="180"/>
      <c r="FL46" s="180"/>
      <c r="FM46" s="345"/>
      <c r="FN46" s="345"/>
      <c r="FO46" s="171"/>
      <c r="FP46" s="158"/>
      <c r="FQ46" s="171"/>
      <c r="FR46" s="180"/>
      <c r="FS46" s="158"/>
      <c r="FT46" s="344"/>
      <c r="FU46" s="158"/>
      <c r="FV46" s="345"/>
      <c r="FW46" s="155">
        <f t="shared" si="12"/>
        <v>0</v>
      </c>
      <c r="FX46" s="155">
        <f t="shared" si="13"/>
        <v>0</v>
      </c>
      <c r="FY46" s="155">
        <f>IF(MatchDay!$C$2="LOWER",COUNTA(FF46:FH46),0)</f>
        <v>0</v>
      </c>
      <c r="GA46" s="157" t="s">
        <v>912</v>
      </c>
      <c r="GB46" s="177"/>
      <c r="GC46" s="165"/>
      <c r="GD46" s="177"/>
      <c r="GE46" s="344"/>
      <c r="GF46" s="177"/>
      <c r="GG46" s="165"/>
      <c r="GH46" s="177"/>
      <c r="GI46" s="158"/>
      <c r="GJ46" s="180"/>
      <c r="GK46" s="180"/>
      <c r="GL46" s="180"/>
      <c r="GM46" s="345"/>
      <c r="GN46" s="345"/>
      <c r="GO46" s="177"/>
      <c r="GP46" s="158"/>
      <c r="GQ46" s="177"/>
      <c r="GR46" s="180"/>
      <c r="GS46" s="158"/>
      <c r="GT46" s="344"/>
      <c r="GU46" s="158"/>
      <c r="GV46" s="345"/>
      <c r="GW46" s="155">
        <f t="shared" si="14"/>
        <v>0</v>
      </c>
      <c r="GX46" s="155">
        <f t="shared" si="15"/>
        <v>0</v>
      </c>
      <c r="GY46" s="155">
        <f>IF(MatchDay!$C$2="LOWER",COUNTA(GF46:GH46),0)</f>
        <v>0</v>
      </c>
    </row>
    <row r="47" spans="1:207" ht="16.5" customHeight="1" x14ac:dyDescent="0.45">
      <c r="A47" s="157" t="s">
        <v>912</v>
      </c>
      <c r="B47" s="171"/>
      <c r="C47" s="165"/>
      <c r="D47" s="171"/>
      <c r="E47" s="344"/>
      <c r="F47" s="171"/>
      <c r="G47" s="165"/>
      <c r="H47" s="171"/>
      <c r="I47" s="158"/>
      <c r="J47" s="180"/>
      <c r="K47" s="180"/>
      <c r="L47" s="180"/>
      <c r="M47" s="345"/>
      <c r="N47" s="345"/>
      <c r="O47" s="171"/>
      <c r="P47" s="158"/>
      <c r="Q47" s="171"/>
      <c r="R47" s="180"/>
      <c r="S47" s="158"/>
      <c r="T47" s="344"/>
      <c r="U47" s="158"/>
      <c r="V47" s="345"/>
      <c r="W47" s="155">
        <f t="shared" si="0"/>
        <v>0</v>
      </c>
      <c r="X47" s="155">
        <f t="shared" si="1"/>
        <v>0</v>
      </c>
      <c r="Y47" s="155">
        <f>IF(MatchDay!$C$2="LOWER",COUNTA(F47:H47),0)</f>
        <v>0</v>
      </c>
      <c r="AA47" s="157" t="s">
        <v>912</v>
      </c>
      <c r="AB47" s="177"/>
      <c r="AC47" s="165"/>
      <c r="AD47" s="177"/>
      <c r="AE47" s="344"/>
      <c r="AF47" s="177"/>
      <c r="AG47" s="165"/>
      <c r="AH47" s="177"/>
      <c r="AI47" s="158"/>
      <c r="AJ47" s="180"/>
      <c r="AK47" s="180"/>
      <c r="AL47" s="180"/>
      <c r="AM47" s="345"/>
      <c r="AN47" s="345"/>
      <c r="AO47" s="177"/>
      <c r="AP47" s="158"/>
      <c r="AQ47" s="177"/>
      <c r="AR47" s="180"/>
      <c r="AS47" s="158"/>
      <c r="AT47" s="344"/>
      <c r="AU47" s="158"/>
      <c r="AV47" s="345"/>
      <c r="AW47" s="155">
        <f t="shared" si="2"/>
        <v>0</v>
      </c>
      <c r="AX47" s="155">
        <f t="shared" si="3"/>
        <v>0</v>
      </c>
      <c r="AY47" s="155">
        <f>IF(MatchDay!$C$2="LOWER",COUNTA(AF47:AH47),0)</f>
        <v>0</v>
      </c>
      <c r="BA47" s="157" t="s">
        <v>912</v>
      </c>
      <c r="BB47" s="171"/>
      <c r="BC47" s="165"/>
      <c r="BD47" s="171"/>
      <c r="BE47" s="344"/>
      <c r="BF47" s="171"/>
      <c r="BG47" s="165"/>
      <c r="BH47" s="171"/>
      <c r="BI47" s="158"/>
      <c r="BJ47" s="180"/>
      <c r="BK47" s="180"/>
      <c r="BL47" s="180"/>
      <c r="BM47" s="345"/>
      <c r="BN47" s="345"/>
      <c r="BO47" s="171"/>
      <c r="BP47" s="158"/>
      <c r="BQ47" s="171"/>
      <c r="BR47" s="180"/>
      <c r="BS47" s="158"/>
      <c r="BT47" s="344"/>
      <c r="BU47" s="158"/>
      <c r="BV47" s="345"/>
      <c r="BW47" s="155">
        <f t="shared" si="4"/>
        <v>0</v>
      </c>
      <c r="BX47" s="155">
        <f t="shared" si="5"/>
        <v>0</v>
      </c>
      <c r="BY47" s="155">
        <f>IF(MatchDay!$C$2="LOWER",COUNTA(BF47:BH47),0)</f>
        <v>0</v>
      </c>
      <c r="CA47" s="157" t="s">
        <v>912</v>
      </c>
      <c r="CB47" s="177"/>
      <c r="CC47" s="165"/>
      <c r="CD47" s="177"/>
      <c r="CE47" s="344"/>
      <c r="CF47" s="177"/>
      <c r="CG47" s="165"/>
      <c r="CH47" s="177"/>
      <c r="CI47" s="158"/>
      <c r="CJ47" s="180"/>
      <c r="CK47" s="180"/>
      <c r="CL47" s="180"/>
      <c r="CM47" s="345"/>
      <c r="CN47" s="345"/>
      <c r="CO47" s="177"/>
      <c r="CP47" s="158"/>
      <c r="CQ47" s="177"/>
      <c r="CR47" s="180"/>
      <c r="CS47" s="158"/>
      <c r="CT47" s="344"/>
      <c r="CU47" s="158"/>
      <c r="CV47" s="345"/>
      <c r="CW47" s="155">
        <f t="shared" si="6"/>
        <v>0</v>
      </c>
      <c r="CX47" s="155">
        <f t="shared" si="7"/>
        <v>0</v>
      </c>
      <c r="CY47" s="155">
        <f>IF(MatchDay!$C$2="LOWER",COUNTA(CF47:CH47),0)</f>
        <v>0</v>
      </c>
      <c r="DA47" s="157" t="s">
        <v>912</v>
      </c>
      <c r="DB47" s="171"/>
      <c r="DC47" s="165"/>
      <c r="DD47" s="171"/>
      <c r="DE47" s="344"/>
      <c r="DF47" s="171"/>
      <c r="DG47" s="165"/>
      <c r="DH47" s="171"/>
      <c r="DI47" s="158"/>
      <c r="DJ47" s="180"/>
      <c r="DK47" s="180"/>
      <c r="DL47" s="180"/>
      <c r="DM47" s="345"/>
      <c r="DN47" s="345"/>
      <c r="DO47" s="171"/>
      <c r="DP47" s="158"/>
      <c r="DQ47" s="171"/>
      <c r="DR47" s="180"/>
      <c r="DS47" s="158"/>
      <c r="DT47" s="344"/>
      <c r="DU47" s="158"/>
      <c r="DV47" s="345"/>
      <c r="DW47" s="155">
        <f t="shared" si="8"/>
        <v>0</v>
      </c>
      <c r="DX47" s="155">
        <f t="shared" si="9"/>
        <v>0</v>
      </c>
      <c r="DY47" s="155">
        <f>IF(MatchDay!$C$2="LOWER",COUNTA(DF47:DH47),0)</f>
        <v>0</v>
      </c>
      <c r="EA47" s="157" t="s">
        <v>912</v>
      </c>
      <c r="EB47" s="177"/>
      <c r="EC47" s="165"/>
      <c r="ED47" s="177"/>
      <c r="EE47" s="344"/>
      <c r="EF47" s="177"/>
      <c r="EG47" s="165"/>
      <c r="EH47" s="177"/>
      <c r="EI47" s="158"/>
      <c r="EJ47" s="180"/>
      <c r="EK47" s="180"/>
      <c r="EL47" s="180"/>
      <c r="EM47" s="345"/>
      <c r="EN47" s="345"/>
      <c r="EO47" s="177"/>
      <c r="EP47" s="158"/>
      <c r="EQ47" s="177"/>
      <c r="ER47" s="180"/>
      <c r="ES47" s="158"/>
      <c r="ET47" s="344"/>
      <c r="EU47" s="158"/>
      <c r="EV47" s="345"/>
      <c r="EW47" s="155">
        <f t="shared" si="10"/>
        <v>0</v>
      </c>
      <c r="EX47" s="155">
        <f t="shared" si="11"/>
        <v>0</v>
      </c>
      <c r="EY47" s="155">
        <f>IF(MatchDay!$C$2="LOWER",COUNTA(EF47:EH47),0)</f>
        <v>0</v>
      </c>
      <c r="FA47" s="157" t="s">
        <v>912</v>
      </c>
      <c r="FB47" s="171"/>
      <c r="FC47" s="165"/>
      <c r="FD47" s="171"/>
      <c r="FE47" s="344"/>
      <c r="FF47" s="171"/>
      <c r="FG47" s="165"/>
      <c r="FH47" s="171"/>
      <c r="FI47" s="158"/>
      <c r="FJ47" s="180"/>
      <c r="FK47" s="180"/>
      <c r="FL47" s="180"/>
      <c r="FM47" s="345"/>
      <c r="FN47" s="345"/>
      <c r="FO47" s="171"/>
      <c r="FP47" s="158"/>
      <c r="FQ47" s="171"/>
      <c r="FR47" s="180"/>
      <c r="FS47" s="158"/>
      <c r="FT47" s="344"/>
      <c r="FU47" s="158"/>
      <c r="FV47" s="345"/>
      <c r="FW47" s="155">
        <f t="shared" si="12"/>
        <v>0</v>
      </c>
      <c r="FX47" s="155">
        <f t="shared" si="13"/>
        <v>0</v>
      </c>
      <c r="FY47" s="155">
        <f>IF(MatchDay!$C$2="LOWER",COUNTA(FF47:FH47),0)</f>
        <v>0</v>
      </c>
      <c r="GA47" s="157" t="s">
        <v>912</v>
      </c>
      <c r="GB47" s="177"/>
      <c r="GC47" s="165"/>
      <c r="GD47" s="177"/>
      <c r="GE47" s="344"/>
      <c r="GF47" s="177"/>
      <c r="GG47" s="165"/>
      <c r="GH47" s="177"/>
      <c r="GI47" s="158"/>
      <c r="GJ47" s="180"/>
      <c r="GK47" s="180"/>
      <c r="GL47" s="180"/>
      <c r="GM47" s="345"/>
      <c r="GN47" s="345"/>
      <c r="GO47" s="177"/>
      <c r="GP47" s="158"/>
      <c r="GQ47" s="177"/>
      <c r="GR47" s="180"/>
      <c r="GS47" s="158"/>
      <c r="GT47" s="344"/>
      <c r="GU47" s="158"/>
      <c r="GV47" s="345"/>
      <c r="GW47" s="155">
        <f t="shared" si="14"/>
        <v>0</v>
      </c>
      <c r="GX47" s="155">
        <f t="shared" si="15"/>
        <v>0</v>
      </c>
      <c r="GY47" s="155">
        <f>IF(MatchDay!$C$2="LOWER",COUNTA(GF47:GH47),0)</f>
        <v>0</v>
      </c>
    </row>
    <row r="48" spans="1:207" ht="16.5" customHeight="1" x14ac:dyDescent="0.45">
      <c r="A48" s="157" t="s">
        <v>912</v>
      </c>
      <c r="B48" s="171"/>
      <c r="C48" s="165"/>
      <c r="D48" s="171"/>
      <c r="E48" s="344"/>
      <c r="F48" s="171"/>
      <c r="G48" s="165"/>
      <c r="H48" s="171"/>
      <c r="I48" s="158"/>
      <c r="J48" s="180"/>
      <c r="K48" s="180"/>
      <c r="L48" s="180"/>
      <c r="M48" s="345"/>
      <c r="N48" s="345"/>
      <c r="O48" s="171"/>
      <c r="P48" s="158"/>
      <c r="Q48" s="171"/>
      <c r="R48" s="180"/>
      <c r="S48" s="158"/>
      <c r="T48" s="344"/>
      <c r="U48" s="158"/>
      <c r="V48" s="345"/>
      <c r="W48" s="155">
        <f t="shared" si="0"/>
        <v>0</v>
      </c>
      <c r="X48" s="155">
        <f t="shared" si="1"/>
        <v>0</v>
      </c>
      <c r="Y48" s="155">
        <f>IF(MatchDay!$C$2="LOWER",COUNTA(F48:H48),0)</f>
        <v>0</v>
      </c>
      <c r="AA48" s="157" t="s">
        <v>912</v>
      </c>
      <c r="AB48" s="177"/>
      <c r="AC48" s="165"/>
      <c r="AD48" s="177"/>
      <c r="AE48" s="344"/>
      <c r="AF48" s="177"/>
      <c r="AG48" s="165"/>
      <c r="AH48" s="177"/>
      <c r="AI48" s="158"/>
      <c r="AJ48" s="180"/>
      <c r="AK48" s="180"/>
      <c r="AL48" s="180"/>
      <c r="AM48" s="345"/>
      <c r="AN48" s="345"/>
      <c r="AO48" s="177"/>
      <c r="AP48" s="158"/>
      <c r="AQ48" s="177"/>
      <c r="AR48" s="180"/>
      <c r="AS48" s="158"/>
      <c r="AT48" s="344"/>
      <c r="AU48" s="158"/>
      <c r="AV48" s="345"/>
      <c r="AW48" s="155">
        <f t="shared" si="2"/>
        <v>0</v>
      </c>
      <c r="AX48" s="155">
        <f t="shared" si="3"/>
        <v>0</v>
      </c>
      <c r="AY48" s="155">
        <f>IF(MatchDay!$C$2="LOWER",COUNTA(AF48:AH48),0)</f>
        <v>0</v>
      </c>
      <c r="BA48" s="157" t="s">
        <v>912</v>
      </c>
      <c r="BB48" s="171"/>
      <c r="BC48" s="165"/>
      <c r="BD48" s="171"/>
      <c r="BE48" s="344"/>
      <c r="BF48" s="171"/>
      <c r="BG48" s="165"/>
      <c r="BH48" s="171"/>
      <c r="BI48" s="158"/>
      <c r="BJ48" s="180"/>
      <c r="BK48" s="180"/>
      <c r="BL48" s="180"/>
      <c r="BM48" s="345"/>
      <c r="BN48" s="345"/>
      <c r="BO48" s="171"/>
      <c r="BP48" s="158"/>
      <c r="BQ48" s="171"/>
      <c r="BR48" s="180"/>
      <c r="BS48" s="158"/>
      <c r="BT48" s="344"/>
      <c r="BU48" s="158"/>
      <c r="BV48" s="345"/>
      <c r="BW48" s="155">
        <f t="shared" si="4"/>
        <v>0</v>
      </c>
      <c r="BX48" s="155">
        <f t="shared" si="5"/>
        <v>0</v>
      </c>
      <c r="BY48" s="155">
        <f>IF(MatchDay!$C$2="LOWER",COUNTA(BF48:BH48),0)</f>
        <v>0</v>
      </c>
      <c r="CA48" s="157" t="s">
        <v>912</v>
      </c>
      <c r="CB48" s="177"/>
      <c r="CC48" s="165"/>
      <c r="CD48" s="177"/>
      <c r="CE48" s="344"/>
      <c r="CF48" s="177"/>
      <c r="CG48" s="165"/>
      <c r="CH48" s="177"/>
      <c r="CI48" s="158"/>
      <c r="CJ48" s="180"/>
      <c r="CK48" s="180"/>
      <c r="CL48" s="180"/>
      <c r="CM48" s="345"/>
      <c r="CN48" s="345"/>
      <c r="CO48" s="177"/>
      <c r="CP48" s="158"/>
      <c r="CQ48" s="177"/>
      <c r="CR48" s="180"/>
      <c r="CS48" s="158"/>
      <c r="CT48" s="344"/>
      <c r="CU48" s="158"/>
      <c r="CV48" s="345"/>
      <c r="CW48" s="155">
        <f t="shared" si="6"/>
        <v>0</v>
      </c>
      <c r="CX48" s="155">
        <f t="shared" si="7"/>
        <v>0</v>
      </c>
      <c r="CY48" s="155">
        <f>IF(MatchDay!$C$2="LOWER",COUNTA(CF48:CH48),0)</f>
        <v>0</v>
      </c>
      <c r="DA48" s="157" t="s">
        <v>912</v>
      </c>
      <c r="DB48" s="171"/>
      <c r="DC48" s="165"/>
      <c r="DD48" s="171"/>
      <c r="DE48" s="344"/>
      <c r="DF48" s="171"/>
      <c r="DG48" s="165"/>
      <c r="DH48" s="171"/>
      <c r="DI48" s="158"/>
      <c r="DJ48" s="180"/>
      <c r="DK48" s="180"/>
      <c r="DL48" s="180"/>
      <c r="DM48" s="345"/>
      <c r="DN48" s="345"/>
      <c r="DO48" s="171"/>
      <c r="DP48" s="158"/>
      <c r="DQ48" s="171"/>
      <c r="DR48" s="180"/>
      <c r="DS48" s="158"/>
      <c r="DT48" s="344"/>
      <c r="DU48" s="158"/>
      <c r="DV48" s="345"/>
      <c r="DW48" s="155">
        <f t="shared" si="8"/>
        <v>0</v>
      </c>
      <c r="DX48" s="155">
        <f t="shared" si="9"/>
        <v>0</v>
      </c>
      <c r="DY48" s="155">
        <f>IF(MatchDay!$C$2="LOWER",COUNTA(DF48:DH48),0)</f>
        <v>0</v>
      </c>
      <c r="EA48" s="157" t="s">
        <v>912</v>
      </c>
      <c r="EB48" s="177"/>
      <c r="EC48" s="165"/>
      <c r="ED48" s="177"/>
      <c r="EE48" s="344"/>
      <c r="EF48" s="177"/>
      <c r="EG48" s="165"/>
      <c r="EH48" s="177"/>
      <c r="EI48" s="158"/>
      <c r="EJ48" s="180"/>
      <c r="EK48" s="180"/>
      <c r="EL48" s="180"/>
      <c r="EM48" s="345"/>
      <c r="EN48" s="345"/>
      <c r="EO48" s="177"/>
      <c r="EP48" s="158"/>
      <c r="EQ48" s="177"/>
      <c r="ER48" s="180"/>
      <c r="ES48" s="158"/>
      <c r="ET48" s="344"/>
      <c r="EU48" s="158"/>
      <c r="EV48" s="345"/>
      <c r="EW48" s="155">
        <f t="shared" si="10"/>
        <v>0</v>
      </c>
      <c r="EX48" s="155">
        <f t="shared" si="11"/>
        <v>0</v>
      </c>
      <c r="EY48" s="155">
        <f>IF(MatchDay!$C$2="LOWER",COUNTA(EF48:EH48),0)</f>
        <v>0</v>
      </c>
      <c r="FA48" s="157" t="s">
        <v>912</v>
      </c>
      <c r="FB48" s="171"/>
      <c r="FC48" s="165"/>
      <c r="FD48" s="171"/>
      <c r="FE48" s="344"/>
      <c r="FF48" s="171"/>
      <c r="FG48" s="165"/>
      <c r="FH48" s="171"/>
      <c r="FI48" s="158"/>
      <c r="FJ48" s="180"/>
      <c r="FK48" s="180"/>
      <c r="FL48" s="180"/>
      <c r="FM48" s="345"/>
      <c r="FN48" s="345"/>
      <c r="FO48" s="171"/>
      <c r="FP48" s="158"/>
      <c r="FQ48" s="171"/>
      <c r="FR48" s="180"/>
      <c r="FS48" s="158"/>
      <c r="FT48" s="344"/>
      <c r="FU48" s="158"/>
      <c r="FV48" s="345"/>
      <c r="FW48" s="155">
        <f t="shared" si="12"/>
        <v>0</v>
      </c>
      <c r="FX48" s="155">
        <f t="shared" si="13"/>
        <v>0</v>
      </c>
      <c r="FY48" s="155">
        <f>IF(MatchDay!$C$2="LOWER",COUNTA(FF48:FH48),0)</f>
        <v>0</v>
      </c>
      <c r="GA48" s="157" t="s">
        <v>912</v>
      </c>
      <c r="GB48" s="177"/>
      <c r="GC48" s="165"/>
      <c r="GD48" s="177"/>
      <c r="GE48" s="344"/>
      <c r="GF48" s="177"/>
      <c r="GG48" s="165"/>
      <c r="GH48" s="177"/>
      <c r="GI48" s="158"/>
      <c r="GJ48" s="180"/>
      <c r="GK48" s="180"/>
      <c r="GL48" s="180"/>
      <c r="GM48" s="345"/>
      <c r="GN48" s="345"/>
      <c r="GO48" s="177"/>
      <c r="GP48" s="158"/>
      <c r="GQ48" s="177"/>
      <c r="GR48" s="180"/>
      <c r="GS48" s="158"/>
      <c r="GT48" s="344"/>
      <c r="GU48" s="158"/>
      <c r="GV48" s="345"/>
      <c r="GW48" s="155">
        <f t="shared" si="14"/>
        <v>0</v>
      </c>
      <c r="GX48" s="155">
        <f t="shared" si="15"/>
        <v>0</v>
      </c>
      <c r="GY48" s="155">
        <f>IF(MatchDay!$C$2="LOWER",COUNTA(GF48:GH48),0)</f>
        <v>0</v>
      </c>
    </row>
    <row r="49" spans="1:207" ht="16.5" customHeight="1" x14ac:dyDescent="0.45">
      <c r="A49" s="157" t="s">
        <v>912</v>
      </c>
      <c r="B49" s="171"/>
      <c r="C49" s="165"/>
      <c r="D49" s="171"/>
      <c r="E49" s="344"/>
      <c r="F49" s="171"/>
      <c r="G49" s="165"/>
      <c r="H49" s="171"/>
      <c r="I49" s="158"/>
      <c r="J49" s="180"/>
      <c r="K49" s="180"/>
      <c r="L49" s="180"/>
      <c r="M49" s="345"/>
      <c r="N49" s="345"/>
      <c r="O49" s="171"/>
      <c r="P49" s="158"/>
      <c r="Q49" s="171"/>
      <c r="R49" s="180"/>
      <c r="S49" s="158"/>
      <c r="T49" s="344"/>
      <c r="U49" s="158"/>
      <c r="V49" s="345"/>
      <c r="W49" s="155">
        <f t="shared" si="0"/>
        <v>0</v>
      </c>
      <c r="X49" s="155">
        <f t="shared" si="1"/>
        <v>0</v>
      </c>
      <c r="Y49" s="155">
        <f>IF(MatchDay!$C$2="LOWER",COUNTA(F49:H49),0)</f>
        <v>0</v>
      </c>
      <c r="AA49" s="157" t="s">
        <v>912</v>
      </c>
      <c r="AB49" s="177"/>
      <c r="AC49" s="165"/>
      <c r="AD49" s="177"/>
      <c r="AE49" s="344"/>
      <c r="AF49" s="177"/>
      <c r="AG49" s="165"/>
      <c r="AH49" s="177"/>
      <c r="AI49" s="158"/>
      <c r="AJ49" s="180"/>
      <c r="AK49" s="180"/>
      <c r="AL49" s="180"/>
      <c r="AM49" s="345"/>
      <c r="AN49" s="345"/>
      <c r="AO49" s="177"/>
      <c r="AP49" s="158"/>
      <c r="AQ49" s="177"/>
      <c r="AR49" s="180"/>
      <c r="AS49" s="158"/>
      <c r="AT49" s="344"/>
      <c r="AU49" s="158"/>
      <c r="AV49" s="345"/>
      <c r="AW49" s="155">
        <f t="shared" si="2"/>
        <v>0</v>
      </c>
      <c r="AX49" s="155">
        <f t="shared" si="3"/>
        <v>0</v>
      </c>
      <c r="AY49" s="155">
        <f>IF(MatchDay!$C$2="LOWER",COUNTA(AF49:AH49),0)</f>
        <v>0</v>
      </c>
      <c r="BA49" s="157" t="s">
        <v>912</v>
      </c>
      <c r="BB49" s="171"/>
      <c r="BC49" s="165"/>
      <c r="BD49" s="171"/>
      <c r="BE49" s="344"/>
      <c r="BF49" s="171"/>
      <c r="BG49" s="165"/>
      <c r="BH49" s="171"/>
      <c r="BI49" s="158"/>
      <c r="BJ49" s="180"/>
      <c r="BK49" s="180"/>
      <c r="BL49" s="180"/>
      <c r="BM49" s="345"/>
      <c r="BN49" s="345"/>
      <c r="BO49" s="171"/>
      <c r="BP49" s="158"/>
      <c r="BQ49" s="171"/>
      <c r="BR49" s="180"/>
      <c r="BS49" s="158"/>
      <c r="BT49" s="344"/>
      <c r="BU49" s="158"/>
      <c r="BV49" s="345"/>
      <c r="BW49" s="155">
        <f t="shared" si="4"/>
        <v>0</v>
      </c>
      <c r="BX49" s="155">
        <f t="shared" si="5"/>
        <v>0</v>
      </c>
      <c r="BY49" s="155">
        <f>IF(MatchDay!$C$2="LOWER",COUNTA(BF49:BH49),0)</f>
        <v>0</v>
      </c>
      <c r="CA49" s="157" t="s">
        <v>912</v>
      </c>
      <c r="CB49" s="177"/>
      <c r="CC49" s="165"/>
      <c r="CD49" s="177"/>
      <c r="CE49" s="344"/>
      <c r="CF49" s="177"/>
      <c r="CG49" s="165"/>
      <c r="CH49" s="177"/>
      <c r="CI49" s="158"/>
      <c r="CJ49" s="180"/>
      <c r="CK49" s="180"/>
      <c r="CL49" s="180"/>
      <c r="CM49" s="345"/>
      <c r="CN49" s="345"/>
      <c r="CO49" s="177"/>
      <c r="CP49" s="158"/>
      <c r="CQ49" s="177"/>
      <c r="CR49" s="180"/>
      <c r="CS49" s="158"/>
      <c r="CT49" s="344"/>
      <c r="CU49" s="158"/>
      <c r="CV49" s="345"/>
      <c r="CW49" s="155">
        <f t="shared" si="6"/>
        <v>0</v>
      </c>
      <c r="CX49" s="155">
        <f t="shared" si="7"/>
        <v>0</v>
      </c>
      <c r="CY49" s="155">
        <f>IF(MatchDay!$C$2="LOWER",COUNTA(CF49:CH49),0)</f>
        <v>0</v>
      </c>
      <c r="DA49" s="157" t="s">
        <v>912</v>
      </c>
      <c r="DB49" s="171"/>
      <c r="DC49" s="165"/>
      <c r="DD49" s="171"/>
      <c r="DE49" s="344"/>
      <c r="DF49" s="171"/>
      <c r="DG49" s="165"/>
      <c r="DH49" s="171"/>
      <c r="DI49" s="158"/>
      <c r="DJ49" s="180"/>
      <c r="DK49" s="180"/>
      <c r="DL49" s="180"/>
      <c r="DM49" s="345"/>
      <c r="DN49" s="345"/>
      <c r="DO49" s="171"/>
      <c r="DP49" s="158"/>
      <c r="DQ49" s="171"/>
      <c r="DR49" s="180"/>
      <c r="DS49" s="158"/>
      <c r="DT49" s="344"/>
      <c r="DU49" s="158"/>
      <c r="DV49" s="345"/>
      <c r="DW49" s="155">
        <f t="shared" si="8"/>
        <v>0</v>
      </c>
      <c r="DX49" s="155">
        <f t="shared" si="9"/>
        <v>0</v>
      </c>
      <c r="DY49" s="155">
        <f>IF(MatchDay!$C$2="LOWER",COUNTA(DF49:DH49),0)</f>
        <v>0</v>
      </c>
      <c r="EA49" s="157" t="s">
        <v>912</v>
      </c>
      <c r="EB49" s="177"/>
      <c r="EC49" s="165"/>
      <c r="ED49" s="177"/>
      <c r="EE49" s="344"/>
      <c r="EF49" s="177"/>
      <c r="EG49" s="165"/>
      <c r="EH49" s="177"/>
      <c r="EI49" s="158"/>
      <c r="EJ49" s="180"/>
      <c r="EK49" s="180"/>
      <c r="EL49" s="180"/>
      <c r="EM49" s="345"/>
      <c r="EN49" s="345"/>
      <c r="EO49" s="177"/>
      <c r="EP49" s="158"/>
      <c r="EQ49" s="177"/>
      <c r="ER49" s="180"/>
      <c r="ES49" s="158"/>
      <c r="ET49" s="344"/>
      <c r="EU49" s="158"/>
      <c r="EV49" s="345"/>
      <c r="EW49" s="155">
        <f t="shared" si="10"/>
        <v>0</v>
      </c>
      <c r="EX49" s="155">
        <f t="shared" si="11"/>
        <v>0</v>
      </c>
      <c r="EY49" s="155">
        <f>IF(MatchDay!$C$2="LOWER",COUNTA(EF49:EH49),0)</f>
        <v>0</v>
      </c>
      <c r="FA49" s="157" t="s">
        <v>912</v>
      </c>
      <c r="FB49" s="171"/>
      <c r="FC49" s="165"/>
      <c r="FD49" s="171"/>
      <c r="FE49" s="344"/>
      <c r="FF49" s="171"/>
      <c r="FG49" s="165"/>
      <c r="FH49" s="171"/>
      <c r="FI49" s="158"/>
      <c r="FJ49" s="180"/>
      <c r="FK49" s="180"/>
      <c r="FL49" s="180"/>
      <c r="FM49" s="345"/>
      <c r="FN49" s="345"/>
      <c r="FO49" s="171"/>
      <c r="FP49" s="158"/>
      <c r="FQ49" s="171"/>
      <c r="FR49" s="180"/>
      <c r="FS49" s="158"/>
      <c r="FT49" s="344"/>
      <c r="FU49" s="158"/>
      <c r="FV49" s="345"/>
      <c r="FW49" s="155">
        <f t="shared" si="12"/>
        <v>0</v>
      </c>
      <c r="FX49" s="155">
        <f t="shared" si="13"/>
        <v>0</v>
      </c>
      <c r="FY49" s="155">
        <f>IF(MatchDay!$C$2="LOWER",COUNTA(FF49:FH49),0)</f>
        <v>0</v>
      </c>
      <c r="GA49" s="157" t="s">
        <v>912</v>
      </c>
      <c r="GB49" s="177"/>
      <c r="GC49" s="165"/>
      <c r="GD49" s="177"/>
      <c r="GE49" s="344"/>
      <c r="GF49" s="177"/>
      <c r="GG49" s="165"/>
      <c r="GH49" s="177"/>
      <c r="GI49" s="158"/>
      <c r="GJ49" s="180"/>
      <c r="GK49" s="180"/>
      <c r="GL49" s="180"/>
      <c r="GM49" s="345"/>
      <c r="GN49" s="345"/>
      <c r="GO49" s="177"/>
      <c r="GP49" s="158"/>
      <c r="GQ49" s="177"/>
      <c r="GR49" s="180"/>
      <c r="GS49" s="158"/>
      <c r="GT49" s="344"/>
      <c r="GU49" s="158"/>
      <c r="GV49" s="345"/>
      <c r="GW49" s="155">
        <f t="shared" si="14"/>
        <v>0</v>
      </c>
      <c r="GX49" s="155">
        <f t="shared" si="15"/>
        <v>0</v>
      </c>
      <c r="GY49" s="155">
        <f>IF(MatchDay!$C$2="LOWER",COUNTA(GF49:GH49),0)</f>
        <v>0</v>
      </c>
    </row>
    <row r="50" spans="1:207" ht="16.5" customHeight="1" x14ac:dyDescent="0.45">
      <c r="A50" s="157" t="s">
        <v>912</v>
      </c>
      <c r="B50" s="171"/>
      <c r="C50" s="165"/>
      <c r="D50" s="171"/>
      <c r="E50" s="344"/>
      <c r="F50" s="171"/>
      <c r="G50" s="165"/>
      <c r="H50" s="171"/>
      <c r="I50" s="158"/>
      <c r="J50" s="180"/>
      <c r="K50" s="180"/>
      <c r="L50" s="180"/>
      <c r="M50" s="345"/>
      <c r="N50" s="345"/>
      <c r="O50" s="171"/>
      <c r="P50" s="158"/>
      <c r="Q50" s="171"/>
      <c r="R50" s="180"/>
      <c r="S50" s="158"/>
      <c r="T50" s="344"/>
      <c r="U50" s="158"/>
      <c r="V50" s="345"/>
      <c r="W50" s="155">
        <f t="shared" si="0"/>
        <v>0</v>
      </c>
      <c r="X50" s="155">
        <f t="shared" si="1"/>
        <v>0</v>
      </c>
      <c r="Y50" s="155">
        <f>IF(MatchDay!$C$2="LOWER",COUNTA(F50:H50),0)</f>
        <v>0</v>
      </c>
      <c r="AA50" s="157" t="s">
        <v>912</v>
      </c>
      <c r="AB50" s="177"/>
      <c r="AC50" s="165"/>
      <c r="AD50" s="177"/>
      <c r="AE50" s="344"/>
      <c r="AF50" s="177"/>
      <c r="AG50" s="165"/>
      <c r="AH50" s="177"/>
      <c r="AI50" s="158"/>
      <c r="AJ50" s="180"/>
      <c r="AK50" s="180"/>
      <c r="AL50" s="180"/>
      <c r="AM50" s="345"/>
      <c r="AN50" s="345"/>
      <c r="AO50" s="177"/>
      <c r="AP50" s="158"/>
      <c r="AQ50" s="177"/>
      <c r="AR50" s="180"/>
      <c r="AS50" s="158"/>
      <c r="AT50" s="344"/>
      <c r="AU50" s="158"/>
      <c r="AV50" s="345"/>
      <c r="AW50" s="155">
        <f t="shared" si="2"/>
        <v>0</v>
      </c>
      <c r="AX50" s="155">
        <f t="shared" si="3"/>
        <v>0</v>
      </c>
      <c r="AY50" s="155">
        <f>IF(MatchDay!$C$2="LOWER",COUNTA(AF50:AH50),0)</f>
        <v>0</v>
      </c>
      <c r="BA50" s="157" t="s">
        <v>912</v>
      </c>
      <c r="BB50" s="171"/>
      <c r="BC50" s="165"/>
      <c r="BD50" s="171"/>
      <c r="BE50" s="344"/>
      <c r="BF50" s="171"/>
      <c r="BG50" s="165"/>
      <c r="BH50" s="171"/>
      <c r="BI50" s="158"/>
      <c r="BJ50" s="180"/>
      <c r="BK50" s="180"/>
      <c r="BL50" s="180"/>
      <c r="BM50" s="345"/>
      <c r="BN50" s="345"/>
      <c r="BO50" s="171"/>
      <c r="BP50" s="158"/>
      <c r="BQ50" s="171"/>
      <c r="BR50" s="180"/>
      <c r="BS50" s="158"/>
      <c r="BT50" s="344"/>
      <c r="BU50" s="158"/>
      <c r="BV50" s="345"/>
      <c r="BW50" s="155">
        <f t="shared" si="4"/>
        <v>0</v>
      </c>
      <c r="BX50" s="155">
        <f t="shared" si="5"/>
        <v>0</v>
      </c>
      <c r="BY50" s="155">
        <f>IF(MatchDay!$C$2="LOWER",COUNTA(BF50:BH50),0)</f>
        <v>0</v>
      </c>
      <c r="CA50" s="157" t="s">
        <v>912</v>
      </c>
      <c r="CB50" s="177"/>
      <c r="CC50" s="165"/>
      <c r="CD50" s="177"/>
      <c r="CE50" s="344"/>
      <c r="CF50" s="177"/>
      <c r="CG50" s="165"/>
      <c r="CH50" s="177"/>
      <c r="CI50" s="158"/>
      <c r="CJ50" s="180"/>
      <c r="CK50" s="180"/>
      <c r="CL50" s="180"/>
      <c r="CM50" s="345"/>
      <c r="CN50" s="345"/>
      <c r="CO50" s="177"/>
      <c r="CP50" s="158"/>
      <c r="CQ50" s="177"/>
      <c r="CR50" s="180"/>
      <c r="CS50" s="158"/>
      <c r="CT50" s="344"/>
      <c r="CU50" s="158"/>
      <c r="CV50" s="345"/>
      <c r="CW50" s="155">
        <f t="shared" si="6"/>
        <v>0</v>
      </c>
      <c r="CX50" s="155">
        <f t="shared" si="7"/>
        <v>0</v>
      </c>
      <c r="CY50" s="155">
        <f>IF(MatchDay!$C$2="LOWER",COUNTA(CF50:CH50),0)</f>
        <v>0</v>
      </c>
      <c r="DA50" s="157" t="s">
        <v>912</v>
      </c>
      <c r="DB50" s="171"/>
      <c r="DC50" s="165"/>
      <c r="DD50" s="171"/>
      <c r="DE50" s="344"/>
      <c r="DF50" s="171"/>
      <c r="DG50" s="165"/>
      <c r="DH50" s="171"/>
      <c r="DI50" s="158"/>
      <c r="DJ50" s="180"/>
      <c r="DK50" s="180"/>
      <c r="DL50" s="180"/>
      <c r="DM50" s="345"/>
      <c r="DN50" s="345"/>
      <c r="DO50" s="171"/>
      <c r="DP50" s="158"/>
      <c r="DQ50" s="171"/>
      <c r="DR50" s="180"/>
      <c r="DS50" s="158"/>
      <c r="DT50" s="344"/>
      <c r="DU50" s="158"/>
      <c r="DV50" s="345"/>
      <c r="DW50" s="155">
        <f t="shared" si="8"/>
        <v>0</v>
      </c>
      <c r="DX50" s="155">
        <f t="shared" si="9"/>
        <v>0</v>
      </c>
      <c r="DY50" s="155">
        <f>IF(MatchDay!$C$2="LOWER",COUNTA(DF50:DH50),0)</f>
        <v>0</v>
      </c>
      <c r="EA50" s="157" t="s">
        <v>912</v>
      </c>
      <c r="EB50" s="177"/>
      <c r="EC50" s="165"/>
      <c r="ED50" s="177"/>
      <c r="EE50" s="344"/>
      <c r="EF50" s="177"/>
      <c r="EG50" s="165"/>
      <c r="EH50" s="177"/>
      <c r="EI50" s="158"/>
      <c r="EJ50" s="180"/>
      <c r="EK50" s="180"/>
      <c r="EL50" s="180"/>
      <c r="EM50" s="345"/>
      <c r="EN50" s="345"/>
      <c r="EO50" s="177"/>
      <c r="EP50" s="158"/>
      <c r="EQ50" s="177"/>
      <c r="ER50" s="180"/>
      <c r="ES50" s="158"/>
      <c r="ET50" s="344"/>
      <c r="EU50" s="158"/>
      <c r="EV50" s="345"/>
      <c r="EW50" s="155">
        <f t="shared" si="10"/>
        <v>0</v>
      </c>
      <c r="EX50" s="155">
        <f t="shared" si="11"/>
        <v>0</v>
      </c>
      <c r="EY50" s="155">
        <f>IF(MatchDay!$C$2="LOWER",COUNTA(EF50:EH50),0)</f>
        <v>0</v>
      </c>
      <c r="FA50" s="157" t="s">
        <v>912</v>
      </c>
      <c r="FB50" s="171"/>
      <c r="FC50" s="165"/>
      <c r="FD50" s="171"/>
      <c r="FE50" s="344"/>
      <c r="FF50" s="171"/>
      <c r="FG50" s="165"/>
      <c r="FH50" s="171"/>
      <c r="FI50" s="158"/>
      <c r="FJ50" s="180"/>
      <c r="FK50" s="180"/>
      <c r="FL50" s="180"/>
      <c r="FM50" s="345"/>
      <c r="FN50" s="345"/>
      <c r="FO50" s="171"/>
      <c r="FP50" s="158"/>
      <c r="FQ50" s="171"/>
      <c r="FR50" s="180"/>
      <c r="FS50" s="158"/>
      <c r="FT50" s="344"/>
      <c r="FU50" s="158"/>
      <c r="FV50" s="345"/>
      <c r="FW50" s="155">
        <f t="shared" si="12"/>
        <v>0</v>
      </c>
      <c r="FX50" s="155">
        <f t="shared" si="13"/>
        <v>0</v>
      </c>
      <c r="FY50" s="155">
        <f>IF(MatchDay!$C$2="LOWER",COUNTA(FF50:FH50),0)</f>
        <v>0</v>
      </c>
      <c r="GA50" s="157" t="s">
        <v>912</v>
      </c>
      <c r="GB50" s="177"/>
      <c r="GC50" s="165"/>
      <c r="GD50" s="177"/>
      <c r="GE50" s="344"/>
      <c r="GF50" s="177"/>
      <c r="GG50" s="165"/>
      <c r="GH50" s="177"/>
      <c r="GI50" s="158"/>
      <c r="GJ50" s="180"/>
      <c r="GK50" s="180"/>
      <c r="GL50" s="180"/>
      <c r="GM50" s="345"/>
      <c r="GN50" s="345"/>
      <c r="GO50" s="177"/>
      <c r="GP50" s="158"/>
      <c r="GQ50" s="177"/>
      <c r="GR50" s="180"/>
      <c r="GS50" s="158"/>
      <c r="GT50" s="344"/>
      <c r="GU50" s="158"/>
      <c r="GV50" s="345"/>
      <c r="GW50" s="155">
        <f t="shared" si="14"/>
        <v>0</v>
      </c>
      <c r="GX50" s="155">
        <f t="shared" si="15"/>
        <v>0</v>
      </c>
      <c r="GY50" s="155">
        <f>IF(MatchDay!$C$2="LOWER",COUNTA(GF50:GH50),0)</f>
        <v>0</v>
      </c>
    </row>
    <row r="51" spans="1:207" ht="16.5" customHeight="1" x14ac:dyDescent="0.45">
      <c r="A51" s="157" t="s">
        <v>912</v>
      </c>
      <c r="B51" s="171"/>
      <c r="C51" s="165"/>
      <c r="D51" s="171"/>
      <c r="E51" s="344"/>
      <c r="F51" s="171"/>
      <c r="G51" s="165"/>
      <c r="H51" s="171"/>
      <c r="I51" s="158"/>
      <c r="J51" s="180"/>
      <c r="K51" s="180"/>
      <c r="L51" s="180"/>
      <c r="M51" s="345"/>
      <c r="N51" s="345"/>
      <c r="O51" s="171"/>
      <c r="P51" s="158"/>
      <c r="Q51" s="171"/>
      <c r="R51" s="180"/>
      <c r="S51" s="158"/>
      <c r="T51" s="344"/>
      <c r="U51" s="158"/>
      <c r="V51" s="345"/>
      <c r="W51" s="155">
        <f t="shared" si="0"/>
        <v>0</v>
      </c>
      <c r="X51" s="155">
        <f t="shared" si="1"/>
        <v>0</v>
      </c>
      <c r="Y51" s="155">
        <f>IF(MatchDay!$C$2="LOWER",COUNTA(F51:H51),0)</f>
        <v>0</v>
      </c>
      <c r="AA51" s="157" t="s">
        <v>912</v>
      </c>
      <c r="AB51" s="177"/>
      <c r="AC51" s="165"/>
      <c r="AD51" s="177"/>
      <c r="AE51" s="344"/>
      <c r="AF51" s="177"/>
      <c r="AG51" s="165"/>
      <c r="AH51" s="177"/>
      <c r="AI51" s="158"/>
      <c r="AJ51" s="180"/>
      <c r="AK51" s="180"/>
      <c r="AL51" s="180"/>
      <c r="AM51" s="345"/>
      <c r="AN51" s="345"/>
      <c r="AO51" s="177"/>
      <c r="AP51" s="158"/>
      <c r="AQ51" s="177"/>
      <c r="AR51" s="180"/>
      <c r="AS51" s="158"/>
      <c r="AT51" s="344"/>
      <c r="AU51" s="158"/>
      <c r="AV51" s="345"/>
      <c r="AW51" s="155">
        <f t="shared" si="2"/>
        <v>0</v>
      </c>
      <c r="AX51" s="155">
        <f t="shared" si="3"/>
        <v>0</v>
      </c>
      <c r="AY51" s="155">
        <f>IF(MatchDay!$C$2="LOWER",COUNTA(AF51:AH51),0)</f>
        <v>0</v>
      </c>
      <c r="BA51" s="157" t="s">
        <v>912</v>
      </c>
      <c r="BB51" s="171"/>
      <c r="BC51" s="165"/>
      <c r="BD51" s="171"/>
      <c r="BE51" s="344"/>
      <c r="BF51" s="171"/>
      <c r="BG51" s="165"/>
      <c r="BH51" s="171"/>
      <c r="BI51" s="158"/>
      <c r="BJ51" s="180"/>
      <c r="BK51" s="180"/>
      <c r="BL51" s="180"/>
      <c r="BM51" s="345"/>
      <c r="BN51" s="345"/>
      <c r="BO51" s="171"/>
      <c r="BP51" s="158"/>
      <c r="BQ51" s="171"/>
      <c r="BR51" s="180"/>
      <c r="BS51" s="158"/>
      <c r="BT51" s="344"/>
      <c r="BU51" s="158"/>
      <c r="BV51" s="345"/>
      <c r="BW51" s="155">
        <f t="shared" si="4"/>
        <v>0</v>
      </c>
      <c r="BX51" s="155">
        <f t="shared" si="5"/>
        <v>0</v>
      </c>
      <c r="BY51" s="155">
        <f>IF(MatchDay!$C$2="LOWER",COUNTA(BF51:BH51),0)</f>
        <v>0</v>
      </c>
      <c r="CA51" s="157" t="s">
        <v>912</v>
      </c>
      <c r="CB51" s="177"/>
      <c r="CC51" s="165"/>
      <c r="CD51" s="177"/>
      <c r="CE51" s="344"/>
      <c r="CF51" s="177"/>
      <c r="CG51" s="165"/>
      <c r="CH51" s="177"/>
      <c r="CI51" s="158"/>
      <c r="CJ51" s="180"/>
      <c r="CK51" s="180"/>
      <c r="CL51" s="180"/>
      <c r="CM51" s="345"/>
      <c r="CN51" s="345"/>
      <c r="CO51" s="177"/>
      <c r="CP51" s="158"/>
      <c r="CQ51" s="177"/>
      <c r="CR51" s="180"/>
      <c r="CS51" s="158"/>
      <c r="CT51" s="344"/>
      <c r="CU51" s="158"/>
      <c r="CV51" s="345"/>
      <c r="CW51" s="155">
        <f t="shared" si="6"/>
        <v>0</v>
      </c>
      <c r="CX51" s="155">
        <f t="shared" si="7"/>
        <v>0</v>
      </c>
      <c r="CY51" s="155">
        <f>IF(MatchDay!$C$2="LOWER",COUNTA(CF51:CH51),0)</f>
        <v>0</v>
      </c>
      <c r="DA51" s="157" t="s">
        <v>912</v>
      </c>
      <c r="DB51" s="171"/>
      <c r="DC51" s="165"/>
      <c r="DD51" s="171"/>
      <c r="DE51" s="344"/>
      <c r="DF51" s="171"/>
      <c r="DG51" s="165"/>
      <c r="DH51" s="171"/>
      <c r="DI51" s="158"/>
      <c r="DJ51" s="180"/>
      <c r="DK51" s="180"/>
      <c r="DL51" s="180"/>
      <c r="DM51" s="345"/>
      <c r="DN51" s="345"/>
      <c r="DO51" s="171"/>
      <c r="DP51" s="158"/>
      <c r="DQ51" s="171"/>
      <c r="DR51" s="180"/>
      <c r="DS51" s="158"/>
      <c r="DT51" s="344"/>
      <c r="DU51" s="158"/>
      <c r="DV51" s="345"/>
      <c r="DW51" s="155">
        <f t="shared" si="8"/>
        <v>0</v>
      </c>
      <c r="DX51" s="155">
        <f t="shared" si="9"/>
        <v>0</v>
      </c>
      <c r="DY51" s="155">
        <f>IF(MatchDay!$C$2="LOWER",COUNTA(DF51:DH51),0)</f>
        <v>0</v>
      </c>
      <c r="EA51" s="157" t="s">
        <v>912</v>
      </c>
      <c r="EB51" s="177"/>
      <c r="EC51" s="165"/>
      <c r="ED51" s="177"/>
      <c r="EE51" s="344"/>
      <c r="EF51" s="177"/>
      <c r="EG51" s="165"/>
      <c r="EH51" s="177"/>
      <c r="EI51" s="158"/>
      <c r="EJ51" s="180"/>
      <c r="EK51" s="180"/>
      <c r="EL51" s="180"/>
      <c r="EM51" s="345"/>
      <c r="EN51" s="345"/>
      <c r="EO51" s="177"/>
      <c r="EP51" s="158"/>
      <c r="EQ51" s="177"/>
      <c r="ER51" s="180"/>
      <c r="ES51" s="158"/>
      <c r="ET51" s="344"/>
      <c r="EU51" s="158"/>
      <c r="EV51" s="345"/>
      <c r="EW51" s="155">
        <f t="shared" si="10"/>
        <v>0</v>
      </c>
      <c r="EX51" s="155">
        <f t="shared" si="11"/>
        <v>0</v>
      </c>
      <c r="EY51" s="155">
        <f>IF(MatchDay!$C$2="LOWER",COUNTA(EF51:EH51),0)</f>
        <v>0</v>
      </c>
      <c r="FA51" s="157" t="s">
        <v>912</v>
      </c>
      <c r="FB51" s="171"/>
      <c r="FC51" s="165"/>
      <c r="FD51" s="171"/>
      <c r="FE51" s="344"/>
      <c r="FF51" s="171"/>
      <c r="FG51" s="165"/>
      <c r="FH51" s="171"/>
      <c r="FI51" s="158"/>
      <c r="FJ51" s="180"/>
      <c r="FK51" s="180"/>
      <c r="FL51" s="180"/>
      <c r="FM51" s="345"/>
      <c r="FN51" s="345"/>
      <c r="FO51" s="171"/>
      <c r="FP51" s="158"/>
      <c r="FQ51" s="171"/>
      <c r="FR51" s="180"/>
      <c r="FS51" s="158"/>
      <c r="FT51" s="344"/>
      <c r="FU51" s="158"/>
      <c r="FV51" s="345"/>
      <c r="FW51" s="155">
        <f t="shared" si="12"/>
        <v>0</v>
      </c>
      <c r="FX51" s="155">
        <f t="shared" si="13"/>
        <v>0</v>
      </c>
      <c r="FY51" s="155">
        <f>IF(MatchDay!$C$2="LOWER",COUNTA(FF51:FH51),0)</f>
        <v>0</v>
      </c>
      <c r="GA51" s="157" t="s">
        <v>912</v>
      </c>
      <c r="GB51" s="177"/>
      <c r="GC51" s="165"/>
      <c r="GD51" s="177"/>
      <c r="GE51" s="344"/>
      <c r="GF51" s="177"/>
      <c r="GG51" s="165"/>
      <c r="GH51" s="177"/>
      <c r="GI51" s="158"/>
      <c r="GJ51" s="180"/>
      <c r="GK51" s="180"/>
      <c r="GL51" s="180"/>
      <c r="GM51" s="345"/>
      <c r="GN51" s="345"/>
      <c r="GO51" s="177"/>
      <c r="GP51" s="158"/>
      <c r="GQ51" s="177"/>
      <c r="GR51" s="180"/>
      <c r="GS51" s="158"/>
      <c r="GT51" s="344"/>
      <c r="GU51" s="158"/>
      <c r="GV51" s="345"/>
      <c r="GW51" s="155">
        <f t="shared" si="14"/>
        <v>0</v>
      </c>
      <c r="GX51" s="155">
        <f t="shared" si="15"/>
        <v>0</v>
      </c>
      <c r="GY51" s="155">
        <f>IF(MatchDay!$C$2="LOWER",COUNTA(GF51:GH51),0)</f>
        <v>0</v>
      </c>
    </row>
    <row r="52" spans="1:207" ht="16.5" customHeight="1" x14ac:dyDescent="0.45">
      <c r="A52" s="157" t="s">
        <v>912</v>
      </c>
      <c r="B52" s="171"/>
      <c r="C52" s="165"/>
      <c r="D52" s="171"/>
      <c r="E52" s="344"/>
      <c r="F52" s="171"/>
      <c r="G52" s="165"/>
      <c r="H52" s="171"/>
      <c r="I52" s="158"/>
      <c r="J52" s="180"/>
      <c r="K52" s="180"/>
      <c r="L52" s="180"/>
      <c r="M52" s="345"/>
      <c r="N52" s="345"/>
      <c r="O52" s="171"/>
      <c r="P52" s="158"/>
      <c r="Q52" s="171"/>
      <c r="R52" s="180"/>
      <c r="S52" s="158"/>
      <c r="T52" s="344"/>
      <c r="U52" s="158"/>
      <c r="V52" s="345"/>
      <c r="W52" s="155">
        <f t="shared" si="0"/>
        <v>0</v>
      </c>
      <c r="X52" s="155">
        <f t="shared" si="1"/>
        <v>0</v>
      </c>
      <c r="Y52" s="155">
        <f>IF(MatchDay!$C$2="LOWER",COUNTA(F52:H52),0)</f>
        <v>0</v>
      </c>
      <c r="AA52" s="157" t="s">
        <v>912</v>
      </c>
      <c r="AB52" s="177"/>
      <c r="AC52" s="165"/>
      <c r="AD52" s="177"/>
      <c r="AE52" s="344"/>
      <c r="AF52" s="177"/>
      <c r="AG52" s="165"/>
      <c r="AH52" s="177"/>
      <c r="AI52" s="158"/>
      <c r="AJ52" s="180"/>
      <c r="AK52" s="180"/>
      <c r="AL52" s="180"/>
      <c r="AM52" s="345"/>
      <c r="AN52" s="345"/>
      <c r="AO52" s="177"/>
      <c r="AP52" s="158"/>
      <c r="AQ52" s="177"/>
      <c r="AR52" s="180"/>
      <c r="AS52" s="158"/>
      <c r="AT52" s="344"/>
      <c r="AU52" s="158"/>
      <c r="AV52" s="345"/>
      <c r="AW52" s="155">
        <f t="shared" si="2"/>
        <v>0</v>
      </c>
      <c r="AX52" s="155">
        <f t="shared" si="3"/>
        <v>0</v>
      </c>
      <c r="AY52" s="155">
        <f>IF(MatchDay!$C$2="LOWER",COUNTA(AF52:AH52),0)</f>
        <v>0</v>
      </c>
      <c r="BA52" s="157" t="s">
        <v>912</v>
      </c>
      <c r="BB52" s="171"/>
      <c r="BC52" s="165"/>
      <c r="BD52" s="171"/>
      <c r="BE52" s="344"/>
      <c r="BF52" s="171"/>
      <c r="BG52" s="165"/>
      <c r="BH52" s="171"/>
      <c r="BI52" s="158"/>
      <c r="BJ52" s="180"/>
      <c r="BK52" s="180"/>
      <c r="BL52" s="180"/>
      <c r="BM52" s="345"/>
      <c r="BN52" s="345"/>
      <c r="BO52" s="171"/>
      <c r="BP52" s="158"/>
      <c r="BQ52" s="171"/>
      <c r="BR52" s="180"/>
      <c r="BS52" s="158"/>
      <c r="BT52" s="344"/>
      <c r="BU52" s="158"/>
      <c r="BV52" s="345"/>
      <c r="BW52" s="155">
        <f t="shared" si="4"/>
        <v>0</v>
      </c>
      <c r="BX52" s="155">
        <f t="shared" si="5"/>
        <v>0</v>
      </c>
      <c r="BY52" s="155">
        <f>IF(MatchDay!$C$2="LOWER",COUNTA(BF52:BH52),0)</f>
        <v>0</v>
      </c>
      <c r="CA52" s="157" t="s">
        <v>912</v>
      </c>
      <c r="CB52" s="177"/>
      <c r="CC52" s="165"/>
      <c r="CD52" s="177"/>
      <c r="CE52" s="344"/>
      <c r="CF52" s="177"/>
      <c r="CG52" s="165"/>
      <c r="CH52" s="177"/>
      <c r="CI52" s="158"/>
      <c r="CJ52" s="180"/>
      <c r="CK52" s="180"/>
      <c r="CL52" s="180"/>
      <c r="CM52" s="345"/>
      <c r="CN52" s="345"/>
      <c r="CO52" s="177"/>
      <c r="CP52" s="158"/>
      <c r="CQ52" s="177"/>
      <c r="CR52" s="180"/>
      <c r="CS52" s="158"/>
      <c r="CT52" s="344"/>
      <c r="CU52" s="158"/>
      <c r="CV52" s="345"/>
      <c r="CW52" s="155">
        <f t="shared" si="6"/>
        <v>0</v>
      </c>
      <c r="CX52" s="155">
        <f t="shared" si="7"/>
        <v>0</v>
      </c>
      <c r="CY52" s="155">
        <f>IF(MatchDay!$C$2="LOWER",COUNTA(CF52:CH52),0)</f>
        <v>0</v>
      </c>
      <c r="DA52" s="157" t="s">
        <v>912</v>
      </c>
      <c r="DB52" s="171"/>
      <c r="DC52" s="165"/>
      <c r="DD52" s="171"/>
      <c r="DE52" s="344"/>
      <c r="DF52" s="171"/>
      <c r="DG52" s="165"/>
      <c r="DH52" s="171"/>
      <c r="DI52" s="158"/>
      <c r="DJ52" s="180"/>
      <c r="DK52" s="180"/>
      <c r="DL52" s="180"/>
      <c r="DM52" s="345"/>
      <c r="DN52" s="345"/>
      <c r="DO52" s="171"/>
      <c r="DP52" s="158"/>
      <c r="DQ52" s="171"/>
      <c r="DR52" s="180"/>
      <c r="DS52" s="158"/>
      <c r="DT52" s="344"/>
      <c r="DU52" s="158"/>
      <c r="DV52" s="345"/>
      <c r="DW52" s="155">
        <f t="shared" si="8"/>
        <v>0</v>
      </c>
      <c r="DX52" s="155">
        <f t="shared" si="9"/>
        <v>0</v>
      </c>
      <c r="DY52" s="155">
        <f>IF(MatchDay!$C$2="LOWER",COUNTA(DF52:DH52),0)</f>
        <v>0</v>
      </c>
      <c r="EA52" s="157" t="s">
        <v>912</v>
      </c>
      <c r="EB52" s="177"/>
      <c r="EC52" s="165"/>
      <c r="ED52" s="177"/>
      <c r="EE52" s="344"/>
      <c r="EF52" s="177"/>
      <c r="EG52" s="165"/>
      <c r="EH52" s="177"/>
      <c r="EI52" s="158"/>
      <c r="EJ52" s="180"/>
      <c r="EK52" s="180"/>
      <c r="EL52" s="180"/>
      <c r="EM52" s="345"/>
      <c r="EN52" s="345"/>
      <c r="EO52" s="177"/>
      <c r="EP52" s="158"/>
      <c r="EQ52" s="177"/>
      <c r="ER52" s="180"/>
      <c r="ES52" s="158"/>
      <c r="ET52" s="344"/>
      <c r="EU52" s="158"/>
      <c r="EV52" s="345"/>
      <c r="EW52" s="155">
        <f t="shared" si="10"/>
        <v>0</v>
      </c>
      <c r="EX52" s="155">
        <f t="shared" si="11"/>
        <v>0</v>
      </c>
      <c r="EY52" s="155">
        <f>IF(MatchDay!$C$2="LOWER",COUNTA(EF52:EH52),0)</f>
        <v>0</v>
      </c>
      <c r="FA52" s="157" t="s">
        <v>912</v>
      </c>
      <c r="FB52" s="171"/>
      <c r="FC52" s="165"/>
      <c r="FD52" s="171"/>
      <c r="FE52" s="344"/>
      <c r="FF52" s="171"/>
      <c r="FG52" s="165"/>
      <c r="FH52" s="171"/>
      <c r="FI52" s="158"/>
      <c r="FJ52" s="180"/>
      <c r="FK52" s="180"/>
      <c r="FL52" s="180"/>
      <c r="FM52" s="345"/>
      <c r="FN52" s="345"/>
      <c r="FO52" s="171"/>
      <c r="FP52" s="158"/>
      <c r="FQ52" s="171"/>
      <c r="FR52" s="180"/>
      <c r="FS52" s="158"/>
      <c r="FT52" s="344"/>
      <c r="FU52" s="158"/>
      <c r="FV52" s="345"/>
      <c r="FW52" s="155">
        <f t="shared" si="12"/>
        <v>0</v>
      </c>
      <c r="FX52" s="155">
        <f t="shared" si="13"/>
        <v>0</v>
      </c>
      <c r="FY52" s="155">
        <f>IF(MatchDay!$C$2="LOWER",COUNTA(FF52:FH52),0)</f>
        <v>0</v>
      </c>
      <c r="GA52" s="157" t="s">
        <v>912</v>
      </c>
      <c r="GB52" s="177"/>
      <c r="GC52" s="165"/>
      <c r="GD52" s="177"/>
      <c r="GE52" s="344"/>
      <c r="GF52" s="177"/>
      <c r="GG52" s="165"/>
      <c r="GH52" s="177"/>
      <c r="GI52" s="158"/>
      <c r="GJ52" s="180"/>
      <c r="GK52" s="180"/>
      <c r="GL52" s="180"/>
      <c r="GM52" s="345"/>
      <c r="GN52" s="345"/>
      <c r="GO52" s="177"/>
      <c r="GP52" s="158"/>
      <c r="GQ52" s="177"/>
      <c r="GR52" s="180"/>
      <c r="GS52" s="158"/>
      <c r="GT52" s="344"/>
      <c r="GU52" s="158"/>
      <c r="GV52" s="345"/>
      <c r="GW52" s="155">
        <f t="shared" si="14"/>
        <v>0</v>
      </c>
      <c r="GX52" s="155">
        <f t="shared" si="15"/>
        <v>0</v>
      </c>
      <c r="GY52" s="155">
        <f>IF(MatchDay!$C$2="LOWER",COUNTA(GF52:GH52),0)</f>
        <v>0</v>
      </c>
    </row>
    <row r="53" spans="1:207" ht="16.5" customHeight="1" x14ac:dyDescent="0.45">
      <c r="A53" s="157" t="s">
        <v>912</v>
      </c>
      <c r="B53" s="171"/>
      <c r="C53" s="165"/>
      <c r="D53" s="171"/>
      <c r="E53" s="344"/>
      <c r="F53" s="171"/>
      <c r="G53" s="165"/>
      <c r="H53" s="171"/>
      <c r="I53" s="158"/>
      <c r="J53" s="180"/>
      <c r="K53" s="180"/>
      <c r="L53" s="180"/>
      <c r="M53" s="345"/>
      <c r="N53" s="345"/>
      <c r="O53" s="171"/>
      <c r="P53" s="158"/>
      <c r="Q53" s="171"/>
      <c r="R53" s="180"/>
      <c r="S53" s="158"/>
      <c r="T53" s="344"/>
      <c r="U53" s="158"/>
      <c r="V53" s="345"/>
      <c r="W53" s="155">
        <f t="shared" si="0"/>
        <v>0</v>
      </c>
      <c r="X53" s="155">
        <f t="shared" si="1"/>
        <v>0</v>
      </c>
      <c r="Y53" s="155">
        <f>IF(MatchDay!$C$2="LOWER",COUNTA(F53:H53),0)</f>
        <v>0</v>
      </c>
      <c r="AA53" s="157" t="s">
        <v>912</v>
      </c>
      <c r="AB53" s="177"/>
      <c r="AC53" s="165"/>
      <c r="AD53" s="177"/>
      <c r="AE53" s="344"/>
      <c r="AF53" s="177"/>
      <c r="AG53" s="165"/>
      <c r="AH53" s="177"/>
      <c r="AI53" s="158"/>
      <c r="AJ53" s="180"/>
      <c r="AK53" s="180"/>
      <c r="AL53" s="180"/>
      <c r="AM53" s="345"/>
      <c r="AN53" s="345"/>
      <c r="AO53" s="177"/>
      <c r="AP53" s="158"/>
      <c r="AQ53" s="177"/>
      <c r="AR53" s="180"/>
      <c r="AS53" s="158"/>
      <c r="AT53" s="344"/>
      <c r="AU53" s="158"/>
      <c r="AV53" s="345"/>
      <c r="AW53" s="155">
        <f t="shared" si="2"/>
        <v>0</v>
      </c>
      <c r="AX53" s="155">
        <f t="shared" si="3"/>
        <v>0</v>
      </c>
      <c r="AY53" s="155">
        <f>IF(MatchDay!$C$2="LOWER",COUNTA(AF53:AH53),0)</f>
        <v>0</v>
      </c>
      <c r="BA53" s="157" t="s">
        <v>912</v>
      </c>
      <c r="BB53" s="171"/>
      <c r="BC53" s="165"/>
      <c r="BD53" s="171"/>
      <c r="BE53" s="344"/>
      <c r="BF53" s="171"/>
      <c r="BG53" s="165"/>
      <c r="BH53" s="171"/>
      <c r="BI53" s="158"/>
      <c r="BJ53" s="180"/>
      <c r="BK53" s="180"/>
      <c r="BL53" s="180"/>
      <c r="BM53" s="345"/>
      <c r="BN53" s="345"/>
      <c r="BO53" s="171"/>
      <c r="BP53" s="158"/>
      <c r="BQ53" s="171"/>
      <c r="BR53" s="180"/>
      <c r="BS53" s="158"/>
      <c r="BT53" s="344"/>
      <c r="BU53" s="158"/>
      <c r="BV53" s="345"/>
      <c r="BW53" s="155">
        <f t="shared" si="4"/>
        <v>0</v>
      </c>
      <c r="BX53" s="155">
        <f t="shared" si="5"/>
        <v>0</v>
      </c>
      <c r="BY53" s="155">
        <f>IF(MatchDay!$C$2="LOWER",COUNTA(BF53:BH53),0)</f>
        <v>0</v>
      </c>
      <c r="CA53" s="157" t="s">
        <v>912</v>
      </c>
      <c r="CB53" s="177"/>
      <c r="CC53" s="165"/>
      <c r="CD53" s="177"/>
      <c r="CE53" s="344"/>
      <c r="CF53" s="177"/>
      <c r="CG53" s="165"/>
      <c r="CH53" s="177"/>
      <c r="CI53" s="158"/>
      <c r="CJ53" s="180"/>
      <c r="CK53" s="180"/>
      <c r="CL53" s="180"/>
      <c r="CM53" s="345"/>
      <c r="CN53" s="345"/>
      <c r="CO53" s="177"/>
      <c r="CP53" s="158"/>
      <c r="CQ53" s="177"/>
      <c r="CR53" s="180"/>
      <c r="CS53" s="158"/>
      <c r="CT53" s="344"/>
      <c r="CU53" s="158"/>
      <c r="CV53" s="345"/>
      <c r="CW53" s="155">
        <f t="shared" si="6"/>
        <v>0</v>
      </c>
      <c r="CX53" s="155">
        <f t="shared" si="7"/>
        <v>0</v>
      </c>
      <c r="CY53" s="155">
        <f>IF(MatchDay!$C$2="LOWER",COUNTA(CF53:CH53),0)</f>
        <v>0</v>
      </c>
      <c r="DA53" s="157" t="s">
        <v>912</v>
      </c>
      <c r="DB53" s="171"/>
      <c r="DC53" s="165"/>
      <c r="DD53" s="171"/>
      <c r="DE53" s="344"/>
      <c r="DF53" s="171"/>
      <c r="DG53" s="165"/>
      <c r="DH53" s="171"/>
      <c r="DI53" s="158"/>
      <c r="DJ53" s="180"/>
      <c r="DK53" s="180"/>
      <c r="DL53" s="180"/>
      <c r="DM53" s="345"/>
      <c r="DN53" s="345"/>
      <c r="DO53" s="171"/>
      <c r="DP53" s="158"/>
      <c r="DQ53" s="171"/>
      <c r="DR53" s="180"/>
      <c r="DS53" s="158"/>
      <c r="DT53" s="344"/>
      <c r="DU53" s="158"/>
      <c r="DV53" s="345"/>
      <c r="DW53" s="155">
        <f t="shared" si="8"/>
        <v>0</v>
      </c>
      <c r="DX53" s="155">
        <f t="shared" si="9"/>
        <v>0</v>
      </c>
      <c r="DY53" s="155">
        <f>IF(MatchDay!$C$2="LOWER",COUNTA(DF53:DH53),0)</f>
        <v>0</v>
      </c>
      <c r="EA53" s="157" t="s">
        <v>912</v>
      </c>
      <c r="EB53" s="177"/>
      <c r="EC53" s="165"/>
      <c r="ED53" s="177"/>
      <c r="EE53" s="344"/>
      <c r="EF53" s="177"/>
      <c r="EG53" s="165"/>
      <c r="EH53" s="177"/>
      <c r="EI53" s="158"/>
      <c r="EJ53" s="180"/>
      <c r="EK53" s="180"/>
      <c r="EL53" s="180"/>
      <c r="EM53" s="345"/>
      <c r="EN53" s="345"/>
      <c r="EO53" s="177"/>
      <c r="EP53" s="158"/>
      <c r="EQ53" s="177"/>
      <c r="ER53" s="180"/>
      <c r="ES53" s="158"/>
      <c r="ET53" s="344"/>
      <c r="EU53" s="158"/>
      <c r="EV53" s="345"/>
      <c r="EW53" s="155">
        <f t="shared" si="10"/>
        <v>0</v>
      </c>
      <c r="EX53" s="155">
        <f t="shared" si="11"/>
        <v>0</v>
      </c>
      <c r="EY53" s="155">
        <f>IF(MatchDay!$C$2="LOWER",COUNTA(EF53:EH53),0)</f>
        <v>0</v>
      </c>
      <c r="FA53" s="157" t="s">
        <v>912</v>
      </c>
      <c r="FB53" s="171"/>
      <c r="FC53" s="165"/>
      <c r="FD53" s="171"/>
      <c r="FE53" s="344"/>
      <c r="FF53" s="171"/>
      <c r="FG53" s="165"/>
      <c r="FH53" s="171"/>
      <c r="FI53" s="158"/>
      <c r="FJ53" s="180"/>
      <c r="FK53" s="180"/>
      <c r="FL53" s="180"/>
      <c r="FM53" s="345"/>
      <c r="FN53" s="345"/>
      <c r="FO53" s="171"/>
      <c r="FP53" s="158"/>
      <c r="FQ53" s="171"/>
      <c r="FR53" s="180"/>
      <c r="FS53" s="158"/>
      <c r="FT53" s="344"/>
      <c r="FU53" s="158"/>
      <c r="FV53" s="345"/>
      <c r="FW53" s="155">
        <f t="shared" si="12"/>
        <v>0</v>
      </c>
      <c r="FX53" s="155">
        <f t="shared" si="13"/>
        <v>0</v>
      </c>
      <c r="FY53" s="155">
        <f>IF(MatchDay!$C$2="LOWER",COUNTA(FF53:FH53),0)</f>
        <v>0</v>
      </c>
      <c r="GA53" s="157" t="s">
        <v>912</v>
      </c>
      <c r="GB53" s="177"/>
      <c r="GC53" s="165"/>
      <c r="GD53" s="177"/>
      <c r="GE53" s="344"/>
      <c r="GF53" s="177"/>
      <c r="GG53" s="165"/>
      <c r="GH53" s="177"/>
      <c r="GI53" s="158"/>
      <c r="GJ53" s="180"/>
      <c r="GK53" s="180"/>
      <c r="GL53" s="180"/>
      <c r="GM53" s="345"/>
      <c r="GN53" s="345"/>
      <c r="GO53" s="177"/>
      <c r="GP53" s="158"/>
      <c r="GQ53" s="177"/>
      <c r="GR53" s="180"/>
      <c r="GS53" s="158"/>
      <c r="GT53" s="344"/>
      <c r="GU53" s="158"/>
      <c r="GV53" s="345"/>
      <c r="GW53" s="155">
        <f t="shared" si="14"/>
        <v>0</v>
      </c>
      <c r="GX53" s="155">
        <f t="shared" si="15"/>
        <v>0</v>
      </c>
      <c r="GY53" s="155">
        <f>IF(MatchDay!$C$2="LOWER",COUNTA(GF53:GH53),0)</f>
        <v>0</v>
      </c>
    </row>
    <row r="54" spans="1:207" ht="16.5" customHeight="1" x14ac:dyDescent="0.45">
      <c r="A54" s="157" t="s">
        <v>912</v>
      </c>
      <c r="B54" s="171"/>
      <c r="C54" s="165"/>
      <c r="D54" s="171"/>
      <c r="E54" s="344"/>
      <c r="F54" s="171"/>
      <c r="G54" s="165"/>
      <c r="H54" s="171"/>
      <c r="I54" s="158"/>
      <c r="J54" s="180"/>
      <c r="K54" s="180"/>
      <c r="L54" s="180"/>
      <c r="M54" s="345"/>
      <c r="N54" s="345"/>
      <c r="O54" s="171"/>
      <c r="P54" s="158"/>
      <c r="Q54" s="171"/>
      <c r="R54" s="180"/>
      <c r="S54" s="158"/>
      <c r="T54" s="344"/>
      <c r="U54" s="158"/>
      <c r="V54" s="345"/>
      <c r="W54" s="155">
        <f t="shared" si="0"/>
        <v>0</v>
      </c>
      <c r="X54" s="155">
        <f t="shared" si="1"/>
        <v>0</v>
      </c>
      <c r="Y54" s="155">
        <f>IF(MatchDay!$C$2="LOWER",COUNTA(F54:H54),0)</f>
        <v>0</v>
      </c>
      <c r="AA54" s="157" t="s">
        <v>912</v>
      </c>
      <c r="AB54" s="177"/>
      <c r="AC54" s="165"/>
      <c r="AD54" s="177"/>
      <c r="AE54" s="344"/>
      <c r="AF54" s="177"/>
      <c r="AG54" s="165"/>
      <c r="AH54" s="177"/>
      <c r="AI54" s="158"/>
      <c r="AJ54" s="180"/>
      <c r="AK54" s="180"/>
      <c r="AL54" s="180"/>
      <c r="AM54" s="345"/>
      <c r="AN54" s="345"/>
      <c r="AO54" s="177"/>
      <c r="AP54" s="158"/>
      <c r="AQ54" s="177"/>
      <c r="AR54" s="180"/>
      <c r="AS54" s="158"/>
      <c r="AT54" s="344"/>
      <c r="AU54" s="158"/>
      <c r="AV54" s="345"/>
      <c r="AW54" s="155">
        <f t="shared" si="2"/>
        <v>0</v>
      </c>
      <c r="AX54" s="155">
        <f t="shared" si="3"/>
        <v>0</v>
      </c>
      <c r="AY54" s="155">
        <f>IF(MatchDay!$C$2="LOWER",COUNTA(AF54:AH54),0)</f>
        <v>0</v>
      </c>
      <c r="BA54" s="157" t="s">
        <v>912</v>
      </c>
      <c r="BB54" s="171"/>
      <c r="BC54" s="165"/>
      <c r="BD54" s="171"/>
      <c r="BE54" s="344"/>
      <c r="BF54" s="171"/>
      <c r="BG54" s="165"/>
      <c r="BH54" s="171"/>
      <c r="BI54" s="158"/>
      <c r="BJ54" s="180"/>
      <c r="BK54" s="180"/>
      <c r="BL54" s="180"/>
      <c r="BM54" s="345"/>
      <c r="BN54" s="345"/>
      <c r="BO54" s="171"/>
      <c r="BP54" s="158"/>
      <c r="BQ54" s="171"/>
      <c r="BR54" s="180"/>
      <c r="BS54" s="158"/>
      <c r="BT54" s="344"/>
      <c r="BU54" s="158"/>
      <c r="BV54" s="345"/>
      <c r="BW54" s="155">
        <f t="shared" si="4"/>
        <v>0</v>
      </c>
      <c r="BX54" s="155">
        <f t="shared" si="5"/>
        <v>0</v>
      </c>
      <c r="BY54" s="155">
        <f>IF(MatchDay!$C$2="LOWER",COUNTA(BF54:BH54),0)</f>
        <v>0</v>
      </c>
      <c r="CA54" s="157" t="s">
        <v>912</v>
      </c>
      <c r="CB54" s="177"/>
      <c r="CC54" s="165"/>
      <c r="CD54" s="177"/>
      <c r="CE54" s="344"/>
      <c r="CF54" s="177"/>
      <c r="CG54" s="165"/>
      <c r="CH54" s="177"/>
      <c r="CI54" s="158"/>
      <c r="CJ54" s="180"/>
      <c r="CK54" s="180"/>
      <c r="CL54" s="180"/>
      <c r="CM54" s="345"/>
      <c r="CN54" s="345"/>
      <c r="CO54" s="177"/>
      <c r="CP54" s="158"/>
      <c r="CQ54" s="177"/>
      <c r="CR54" s="180"/>
      <c r="CS54" s="158"/>
      <c r="CT54" s="344"/>
      <c r="CU54" s="158"/>
      <c r="CV54" s="345"/>
      <c r="CW54" s="155">
        <f t="shared" si="6"/>
        <v>0</v>
      </c>
      <c r="CX54" s="155">
        <f t="shared" si="7"/>
        <v>0</v>
      </c>
      <c r="CY54" s="155">
        <f>IF(MatchDay!$C$2="LOWER",COUNTA(CF54:CH54),0)</f>
        <v>0</v>
      </c>
      <c r="DA54" s="157" t="s">
        <v>912</v>
      </c>
      <c r="DB54" s="171"/>
      <c r="DC54" s="165"/>
      <c r="DD54" s="171"/>
      <c r="DE54" s="344"/>
      <c r="DF54" s="171"/>
      <c r="DG54" s="165"/>
      <c r="DH54" s="171"/>
      <c r="DI54" s="158"/>
      <c r="DJ54" s="180"/>
      <c r="DK54" s="180"/>
      <c r="DL54" s="180"/>
      <c r="DM54" s="345"/>
      <c r="DN54" s="345"/>
      <c r="DO54" s="171"/>
      <c r="DP54" s="158"/>
      <c r="DQ54" s="171"/>
      <c r="DR54" s="180"/>
      <c r="DS54" s="158"/>
      <c r="DT54" s="344"/>
      <c r="DU54" s="158"/>
      <c r="DV54" s="345"/>
      <c r="DW54" s="155">
        <f t="shared" si="8"/>
        <v>0</v>
      </c>
      <c r="DX54" s="155">
        <f t="shared" si="9"/>
        <v>0</v>
      </c>
      <c r="DY54" s="155">
        <f>IF(MatchDay!$C$2="LOWER",COUNTA(DF54:DH54),0)</f>
        <v>0</v>
      </c>
      <c r="EA54" s="157" t="s">
        <v>912</v>
      </c>
      <c r="EB54" s="177"/>
      <c r="EC54" s="165"/>
      <c r="ED54" s="177"/>
      <c r="EE54" s="344"/>
      <c r="EF54" s="177"/>
      <c r="EG54" s="165"/>
      <c r="EH54" s="177"/>
      <c r="EI54" s="158"/>
      <c r="EJ54" s="180"/>
      <c r="EK54" s="180"/>
      <c r="EL54" s="180"/>
      <c r="EM54" s="345"/>
      <c r="EN54" s="345"/>
      <c r="EO54" s="177"/>
      <c r="EP54" s="158"/>
      <c r="EQ54" s="177"/>
      <c r="ER54" s="180"/>
      <c r="ES54" s="158"/>
      <c r="ET54" s="344"/>
      <c r="EU54" s="158"/>
      <c r="EV54" s="345"/>
      <c r="EW54" s="155">
        <f t="shared" si="10"/>
        <v>0</v>
      </c>
      <c r="EX54" s="155">
        <f t="shared" si="11"/>
        <v>0</v>
      </c>
      <c r="EY54" s="155">
        <f>IF(MatchDay!$C$2="LOWER",COUNTA(EF54:EH54),0)</f>
        <v>0</v>
      </c>
      <c r="FA54" s="157" t="s">
        <v>912</v>
      </c>
      <c r="FB54" s="171"/>
      <c r="FC54" s="165"/>
      <c r="FD54" s="171"/>
      <c r="FE54" s="344"/>
      <c r="FF54" s="171"/>
      <c r="FG54" s="165"/>
      <c r="FH54" s="171"/>
      <c r="FI54" s="158"/>
      <c r="FJ54" s="180"/>
      <c r="FK54" s="180"/>
      <c r="FL54" s="180"/>
      <c r="FM54" s="345"/>
      <c r="FN54" s="345"/>
      <c r="FO54" s="171"/>
      <c r="FP54" s="158"/>
      <c r="FQ54" s="171"/>
      <c r="FR54" s="180"/>
      <c r="FS54" s="158"/>
      <c r="FT54" s="344"/>
      <c r="FU54" s="158"/>
      <c r="FV54" s="345"/>
      <c r="FW54" s="155">
        <f t="shared" si="12"/>
        <v>0</v>
      </c>
      <c r="FX54" s="155">
        <f t="shared" si="13"/>
        <v>0</v>
      </c>
      <c r="FY54" s="155">
        <f>IF(MatchDay!$C$2="LOWER",COUNTA(FF54:FH54),0)</f>
        <v>0</v>
      </c>
      <c r="GA54" s="157" t="s">
        <v>912</v>
      </c>
      <c r="GB54" s="177"/>
      <c r="GC54" s="165"/>
      <c r="GD54" s="177"/>
      <c r="GE54" s="344"/>
      <c r="GF54" s="177"/>
      <c r="GG54" s="165"/>
      <c r="GH54" s="177"/>
      <c r="GI54" s="158"/>
      <c r="GJ54" s="180"/>
      <c r="GK54" s="180"/>
      <c r="GL54" s="180"/>
      <c r="GM54" s="345"/>
      <c r="GN54" s="345"/>
      <c r="GO54" s="177"/>
      <c r="GP54" s="158"/>
      <c r="GQ54" s="177"/>
      <c r="GR54" s="180"/>
      <c r="GS54" s="158"/>
      <c r="GT54" s="344"/>
      <c r="GU54" s="158"/>
      <c r="GV54" s="345"/>
      <c r="GW54" s="155">
        <f t="shared" si="14"/>
        <v>0</v>
      </c>
      <c r="GX54" s="155">
        <f t="shared" si="15"/>
        <v>0</v>
      </c>
      <c r="GY54" s="155">
        <f>IF(MatchDay!$C$2="LOWER",COUNTA(GF54:GH54),0)</f>
        <v>0</v>
      </c>
    </row>
    <row r="55" spans="1:207" ht="16.5" customHeight="1" x14ac:dyDescent="0.45">
      <c r="A55" s="157" t="s">
        <v>912</v>
      </c>
      <c r="B55" s="171"/>
      <c r="C55" s="165"/>
      <c r="D55" s="171"/>
      <c r="E55" s="344"/>
      <c r="F55" s="171"/>
      <c r="G55" s="165"/>
      <c r="H55" s="171"/>
      <c r="I55" s="158"/>
      <c r="J55" s="180"/>
      <c r="K55" s="180"/>
      <c r="L55" s="180"/>
      <c r="M55" s="345"/>
      <c r="N55" s="345"/>
      <c r="O55" s="171"/>
      <c r="P55" s="158"/>
      <c r="Q55" s="171"/>
      <c r="R55" s="180"/>
      <c r="S55" s="158"/>
      <c r="T55" s="344"/>
      <c r="U55" s="158"/>
      <c r="V55" s="345"/>
      <c r="W55" s="155">
        <f t="shared" si="0"/>
        <v>0</v>
      </c>
      <c r="X55" s="155">
        <f t="shared" si="1"/>
        <v>0</v>
      </c>
      <c r="Y55" s="155">
        <f>IF(MatchDay!$C$2="LOWER",COUNTA(F55:H55),0)</f>
        <v>0</v>
      </c>
      <c r="AA55" s="157" t="s">
        <v>912</v>
      </c>
      <c r="AB55" s="177"/>
      <c r="AC55" s="165"/>
      <c r="AD55" s="177"/>
      <c r="AE55" s="344"/>
      <c r="AF55" s="177"/>
      <c r="AG55" s="165"/>
      <c r="AH55" s="177"/>
      <c r="AI55" s="158"/>
      <c r="AJ55" s="180"/>
      <c r="AK55" s="180"/>
      <c r="AL55" s="180"/>
      <c r="AM55" s="345"/>
      <c r="AN55" s="345"/>
      <c r="AO55" s="177"/>
      <c r="AP55" s="158"/>
      <c r="AQ55" s="177"/>
      <c r="AR55" s="180"/>
      <c r="AS55" s="158"/>
      <c r="AT55" s="344"/>
      <c r="AU55" s="158"/>
      <c r="AV55" s="345"/>
      <c r="AW55" s="155">
        <f t="shared" si="2"/>
        <v>0</v>
      </c>
      <c r="AX55" s="155">
        <f t="shared" si="3"/>
        <v>0</v>
      </c>
      <c r="AY55" s="155">
        <f>IF(MatchDay!$C$2="LOWER",COUNTA(AF55:AH55),0)</f>
        <v>0</v>
      </c>
      <c r="BA55" s="157" t="s">
        <v>912</v>
      </c>
      <c r="BB55" s="171"/>
      <c r="BC55" s="165"/>
      <c r="BD55" s="171"/>
      <c r="BE55" s="344"/>
      <c r="BF55" s="171"/>
      <c r="BG55" s="165"/>
      <c r="BH55" s="171"/>
      <c r="BI55" s="158"/>
      <c r="BJ55" s="180"/>
      <c r="BK55" s="180"/>
      <c r="BL55" s="180"/>
      <c r="BM55" s="345"/>
      <c r="BN55" s="345"/>
      <c r="BO55" s="171"/>
      <c r="BP55" s="158"/>
      <c r="BQ55" s="171"/>
      <c r="BR55" s="180"/>
      <c r="BS55" s="158"/>
      <c r="BT55" s="344"/>
      <c r="BU55" s="158"/>
      <c r="BV55" s="345"/>
      <c r="BW55" s="155">
        <f t="shared" si="4"/>
        <v>0</v>
      </c>
      <c r="BX55" s="155">
        <f t="shared" si="5"/>
        <v>0</v>
      </c>
      <c r="BY55" s="155">
        <f>IF(MatchDay!$C$2="LOWER",COUNTA(BF55:BH55),0)</f>
        <v>0</v>
      </c>
      <c r="CA55" s="157" t="s">
        <v>912</v>
      </c>
      <c r="CB55" s="177"/>
      <c r="CC55" s="165"/>
      <c r="CD55" s="177"/>
      <c r="CE55" s="344"/>
      <c r="CF55" s="177"/>
      <c r="CG55" s="165"/>
      <c r="CH55" s="177"/>
      <c r="CI55" s="158"/>
      <c r="CJ55" s="180"/>
      <c r="CK55" s="180"/>
      <c r="CL55" s="180"/>
      <c r="CM55" s="345"/>
      <c r="CN55" s="345"/>
      <c r="CO55" s="177"/>
      <c r="CP55" s="158"/>
      <c r="CQ55" s="177"/>
      <c r="CR55" s="180"/>
      <c r="CS55" s="158"/>
      <c r="CT55" s="344"/>
      <c r="CU55" s="158"/>
      <c r="CV55" s="345"/>
      <c r="CW55" s="155">
        <f t="shared" si="6"/>
        <v>0</v>
      </c>
      <c r="CX55" s="155">
        <f t="shared" si="7"/>
        <v>0</v>
      </c>
      <c r="CY55" s="155">
        <f>IF(MatchDay!$C$2="LOWER",COUNTA(CF55:CH55),0)</f>
        <v>0</v>
      </c>
      <c r="DA55" s="157" t="s">
        <v>912</v>
      </c>
      <c r="DB55" s="171"/>
      <c r="DC55" s="165"/>
      <c r="DD55" s="171"/>
      <c r="DE55" s="344"/>
      <c r="DF55" s="171"/>
      <c r="DG55" s="165"/>
      <c r="DH55" s="171"/>
      <c r="DI55" s="158"/>
      <c r="DJ55" s="180"/>
      <c r="DK55" s="180"/>
      <c r="DL55" s="180"/>
      <c r="DM55" s="345"/>
      <c r="DN55" s="345"/>
      <c r="DO55" s="171"/>
      <c r="DP55" s="158"/>
      <c r="DQ55" s="171"/>
      <c r="DR55" s="180"/>
      <c r="DS55" s="158"/>
      <c r="DT55" s="344"/>
      <c r="DU55" s="158"/>
      <c r="DV55" s="345"/>
      <c r="DW55" s="155">
        <f t="shared" si="8"/>
        <v>0</v>
      </c>
      <c r="DX55" s="155">
        <f t="shared" si="9"/>
        <v>0</v>
      </c>
      <c r="DY55" s="155">
        <f>IF(MatchDay!$C$2="LOWER",COUNTA(DF55:DH55),0)</f>
        <v>0</v>
      </c>
      <c r="EA55" s="157" t="s">
        <v>912</v>
      </c>
      <c r="EB55" s="177"/>
      <c r="EC55" s="165"/>
      <c r="ED55" s="177"/>
      <c r="EE55" s="344"/>
      <c r="EF55" s="177"/>
      <c r="EG55" s="165"/>
      <c r="EH55" s="177"/>
      <c r="EI55" s="158"/>
      <c r="EJ55" s="180"/>
      <c r="EK55" s="180"/>
      <c r="EL55" s="180"/>
      <c r="EM55" s="345"/>
      <c r="EN55" s="345"/>
      <c r="EO55" s="177"/>
      <c r="EP55" s="158"/>
      <c r="EQ55" s="177"/>
      <c r="ER55" s="180"/>
      <c r="ES55" s="158"/>
      <c r="ET55" s="344"/>
      <c r="EU55" s="158"/>
      <c r="EV55" s="345"/>
      <c r="EW55" s="155">
        <f t="shared" si="10"/>
        <v>0</v>
      </c>
      <c r="EX55" s="155">
        <f t="shared" si="11"/>
        <v>0</v>
      </c>
      <c r="EY55" s="155">
        <f>IF(MatchDay!$C$2="LOWER",COUNTA(EF55:EH55),0)</f>
        <v>0</v>
      </c>
      <c r="FA55" s="157" t="s">
        <v>912</v>
      </c>
      <c r="FB55" s="171"/>
      <c r="FC55" s="165"/>
      <c r="FD55" s="171"/>
      <c r="FE55" s="344"/>
      <c r="FF55" s="171"/>
      <c r="FG55" s="165"/>
      <c r="FH55" s="171"/>
      <c r="FI55" s="158"/>
      <c r="FJ55" s="180"/>
      <c r="FK55" s="180"/>
      <c r="FL55" s="180"/>
      <c r="FM55" s="345"/>
      <c r="FN55" s="345"/>
      <c r="FO55" s="171"/>
      <c r="FP55" s="158"/>
      <c r="FQ55" s="171"/>
      <c r="FR55" s="180"/>
      <c r="FS55" s="158"/>
      <c r="FT55" s="344"/>
      <c r="FU55" s="158"/>
      <c r="FV55" s="345"/>
      <c r="FW55" s="155">
        <f t="shared" si="12"/>
        <v>0</v>
      </c>
      <c r="FX55" s="155">
        <f t="shared" si="13"/>
        <v>0</v>
      </c>
      <c r="FY55" s="155">
        <f>IF(MatchDay!$C$2="LOWER",COUNTA(FF55:FH55),0)</f>
        <v>0</v>
      </c>
      <c r="GA55" s="157" t="s">
        <v>912</v>
      </c>
      <c r="GB55" s="177"/>
      <c r="GC55" s="165"/>
      <c r="GD55" s="177"/>
      <c r="GE55" s="344"/>
      <c r="GF55" s="177"/>
      <c r="GG55" s="165"/>
      <c r="GH55" s="177"/>
      <c r="GI55" s="158"/>
      <c r="GJ55" s="180"/>
      <c r="GK55" s="180"/>
      <c r="GL55" s="180"/>
      <c r="GM55" s="345"/>
      <c r="GN55" s="345"/>
      <c r="GO55" s="177"/>
      <c r="GP55" s="158"/>
      <c r="GQ55" s="177"/>
      <c r="GR55" s="180"/>
      <c r="GS55" s="158"/>
      <c r="GT55" s="344"/>
      <c r="GU55" s="158"/>
      <c r="GV55" s="345"/>
      <c r="GW55" s="155">
        <f t="shared" si="14"/>
        <v>0</v>
      </c>
      <c r="GX55" s="155">
        <f t="shared" si="15"/>
        <v>0</v>
      </c>
      <c r="GY55" s="155">
        <f>IF(MatchDay!$C$2="LOWER",COUNTA(GF55:GH55),0)</f>
        <v>0</v>
      </c>
    </row>
    <row r="56" spans="1:207" ht="16.5" customHeight="1" x14ac:dyDescent="0.45">
      <c r="A56" s="157" t="s">
        <v>912</v>
      </c>
      <c r="B56" s="171"/>
      <c r="C56" s="165"/>
      <c r="D56" s="171"/>
      <c r="E56" s="344"/>
      <c r="F56" s="171"/>
      <c r="G56" s="165"/>
      <c r="H56" s="171"/>
      <c r="I56" s="158"/>
      <c r="J56" s="180"/>
      <c r="K56" s="180"/>
      <c r="L56" s="180"/>
      <c r="M56" s="345"/>
      <c r="N56" s="345"/>
      <c r="O56" s="171"/>
      <c r="P56" s="158"/>
      <c r="Q56" s="171"/>
      <c r="R56" s="180"/>
      <c r="S56" s="158"/>
      <c r="T56" s="344"/>
      <c r="U56" s="158"/>
      <c r="V56" s="345"/>
      <c r="W56" s="155">
        <f t="shared" si="0"/>
        <v>0</v>
      </c>
      <c r="X56" s="155">
        <f t="shared" si="1"/>
        <v>0</v>
      </c>
      <c r="Y56" s="155">
        <f>IF(MatchDay!$C$2="LOWER",COUNTA(F56:H56),0)</f>
        <v>0</v>
      </c>
      <c r="AA56" s="157" t="s">
        <v>912</v>
      </c>
      <c r="AB56" s="177"/>
      <c r="AC56" s="165"/>
      <c r="AD56" s="177"/>
      <c r="AE56" s="344"/>
      <c r="AF56" s="177"/>
      <c r="AG56" s="165"/>
      <c r="AH56" s="177"/>
      <c r="AI56" s="158"/>
      <c r="AJ56" s="180"/>
      <c r="AK56" s="180"/>
      <c r="AL56" s="180"/>
      <c r="AM56" s="345"/>
      <c r="AN56" s="345"/>
      <c r="AO56" s="177"/>
      <c r="AP56" s="158"/>
      <c r="AQ56" s="177"/>
      <c r="AR56" s="180"/>
      <c r="AS56" s="158"/>
      <c r="AT56" s="344"/>
      <c r="AU56" s="158"/>
      <c r="AV56" s="345"/>
      <c r="AW56" s="155">
        <f t="shared" si="2"/>
        <v>0</v>
      </c>
      <c r="AX56" s="155">
        <f t="shared" si="3"/>
        <v>0</v>
      </c>
      <c r="AY56" s="155">
        <f>IF(MatchDay!$C$2="LOWER",COUNTA(AF56:AH56),0)</f>
        <v>0</v>
      </c>
      <c r="BA56" s="157" t="s">
        <v>912</v>
      </c>
      <c r="BB56" s="171"/>
      <c r="BC56" s="165"/>
      <c r="BD56" s="171"/>
      <c r="BE56" s="344"/>
      <c r="BF56" s="171"/>
      <c r="BG56" s="165"/>
      <c r="BH56" s="171"/>
      <c r="BI56" s="158"/>
      <c r="BJ56" s="180"/>
      <c r="BK56" s="180"/>
      <c r="BL56" s="180"/>
      <c r="BM56" s="345"/>
      <c r="BN56" s="345"/>
      <c r="BO56" s="171"/>
      <c r="BP56" s="158"/>
      <c r="BQ56" s="171"/>
      <c r="BR56" s="180"/>
      <c r="BS56" s="158"/>
      <c r="BT56" s="344"/>
      <c r="BU56" s="158"/>
      <c r="BV56" s="345"/>
      <c r="BW56" s="155">
        <f t="shared" si="4"/>
        <v>0</v>
      </c>
      <c r="BX56" s="155">
        <f t="shared" si="5"/>
        <v>0</v>
      </c>
      <c r="BY56" s="155">
        <f>IF(MatchDay!$C$2="LOWER",COUNTA(BF56:BH56),0)</f>
        <v>0</v>
      </c>
      <c r="CA56" s="157" t="s">
        <v>912</v>
      </c>
      <c r="CB56" s="177"/>
      <c r="CC56" s="165"/>
      <c r="CD56" s="177"/>
      <c r="CE56" s="344"/>
      <c r="CF56" s="177"/>
      <c r="CG56" s="165"/>
      <c r="CH56" s="177"/>
      <c r="CI56" s="158"/>
      <c r="CJ56" s="180"/>
      <c r="CK56" s="180"/>
      <c r="CL56" s="180"/>
      <c r="CM56" s="345"/>
      <c r="CN56" s="345"/>
      <c r="CO56" s="177"/>
      <c r="CP56" s="158"/>
      <c r="CQ56" s="177"/>
      <c r="CR56" s="180"/>
      <c r="CS56" s="158"/>
      <c r="CT56" s="344"/>
      <c r="CU56" s="158"/>
      <c r="CV56" s="345"/>
      <c r="CW56" s="155">
        <f t="shared" si="6"/>
        <v>0</v>
      </c>
      <c r="CX56" s="155">
        <f t="shared" si="7"/>
        <v>0</v>
      </c>
      <c r="CY56" s="155">
        <f>IF(MatchDay!$C$2="LOWER",COUNTA(CF56:CH56),0)</f>
        <v>0</v>
      </c>
      <c r="DA56" s="157" t="s">
        <v>912</v>
      </c>
      <c r="DB56" s="171"/>
      <c r="DC56" s="165"/>
      <c r="DD56" s="171"/>
      <c r="DE56" s="344"/>
      <c r="DF56" s="171"/>
      <c r="DG56" s="165"/>
      <c r="DH56" s="171"/>
      <c r="DI56" s="158"/>
      <c r="DJ56" s="180"/>
      <c r="DK56" s="180"/>
      <c r="DL56" s="180"/>
      <c r="DM56" s="345"/>
      <c r="DN56" s="345"/>
      <c r="DO56" s="171"/>
      <c r="DP56" s="158"/>
      <c r="DQ56" s="171"/>
      <c r="DR56" s="180"/>
      <c r="DS56" s="158"/>
      <c r="DT56" s="344"/>
      <c r="DU56" s="158"/>
      <c r="DV56" s="345"/>
      <c r="DW56" s="155">
        <f t="shared" si="8"/>
        <v>0</v>
      </c>
      <c r="DX56" s="155">
        <f t="shared" si="9"/>
        <v>0</v>
      </c>
      <c r="DY56" s="155">
        <f>IF(MatchDay!$C$2="LOWER",COUNTA(DF56:DH56),0)</f>
        <v>0</v>
      </c>
      <c r="EA56" s="157" t="s">
        <v>912</v>
      </c>
      <c r="EB56" s="177"/>
      <c r="EC56" s="165"/>
      <c r="ED56" s="177"/>
      <c r="EE56" s="344"/>
      <c r="EF56" s="177"/>
      <c r="EG56" s="165"/>
      <c r="EH56" s="177"/>
      <c r="EI56" s="158"/>
      <c r="EJ56" s="180"/>
      <c r="EK56" s="180"/>
      <c r="EL56" s="180"/>
      <c r="EM56" s="345"/>
      <c r="EN56" s="345"/>
      <c r="EO56" s="177"/>
      <c r="EP56" s="158"/>
      <c r="EQ56" s="177"/>
      <c r="ER56" s="180"/>
      <c r="ES56" s="158"/>
      <c r="ET56" s="344"/>
      <c r="EU56" s="158"/>
      <c r="EV56" s="345"/>
      <c r="EW56" s="155">
        <f t="shared" si="10"/>
        <v>0</v>
      </c>
      <c r="EX56" s="155">
        <f t="shared" si="11"/>
        <v>0</v>
      </c>
      <c r="EY56" s="155">
        <f>IF(MatchDay!$C$2="LOWER",COUNTA(EF56:EH56),0)</f>
        <v>0</v>
      </c>
      <c r="FA56" s="157" t="s">
        <v>912</v>
      </c>
      <c r="FB56" s="171"/>
      <c r="FC56" s="165"/>
      <c r="FD56" s="171"/>
      <c r="FE56" s="344"/>
      <c r="FF56" s="171"/>
      <c r="FG56" s="165"/>
      <c r="FH56" s="171"/>
      <c r="FI56" s="158"/>
      <c r="FJ56" s="180"/>
      <c r="FK56" s="180"/>
      <c r="FL56" s="180"/>
      <c r="FM56" s="345"/>
      <c r="FN56" s="345"/>
      <c r="FO56" s="171"/>
      <c r="FP56" s="158"/>
      <c r="FQ56" s="171"/>
      <c r="FR56" s="180"/>
      <c r="FS56" s="158"/>
      <c r="FT56" s="344"/>
      <c r="FU56" s="158"/>
      <c r="FV56" s="345"/>
      <c r="FW56" s="155">
        <f t="shared" si="12"/>
        <v>0</v>
      </c>
      <c r="FX56" s="155">
        <f t="shared" si="13"/>
        <v>0</v>
      </c>
      <c r="FY56" s="155">
        <f>IF(MatchDay!$C$2="LOWER",COUNTA(FF56:FH56),0)</f>
        <v>0</v>
      </c>
      <c r="GA56" s="157" t="s">
        <v>912</v>
      </c>
      <c r="GB56" s="177"/>
      <c r="GC56" s="165"/>
      <c r="GD56" s="177"/>
      <c r="GE56" s="344"/>
      <c r="GF56" s="177"/>
      <c r="GG56" s="165"/>
      <c r="GH56" s="177"/>
      <c r="GI56" s="158"/>
      <c r="GJ56" s="180"/>
      <c r="GK56" s="180"/>
      <c r="GL56" s="180"/>
      <c r="GM56" s="345"/>
      <c r="GN56" s="345"/>
      <c r="GO56" s="177"/>
      <c r="GP56" s="158"/>
      <c r="GQ56" s="177"/>
      <c r="GR56" s="180"/>
      <c r="GS56" s="158"/>
      <c r="GT56" s="344"/>
      <c r="GU56" s="158"/>
      <c r="GV56" s="345"/>
      <c r="GW56" s="155">
        <f t="shared" si="14"/>
        <v>0</v>
      </c>
      <c r="GX56" s="155">
        <f t="shared" si="15"/>
        <v>0</v>
      </c>
      <c r="GY56" s="155">
        <f>IF(MatchDay!$C$2="LOWER",COUNTA(GF56:GH56),0)</f>
        <v>0</v>
      </c>
    </row>
    <row r="57" spans="1:207" ht="16.5" customHeight="1" x14ac:dyDescent="0.45">
      <c r="A57" s="157" t="s">
        <v>912</v>
      </c>
      <c r="B57" s="171"/>
      <c r="C57" s="165"/>
      <c r="D57" s="171"/>
      <c r="E57" s="344"/>
      <c r="F57" s="171"/>
      <c r="G57" s="165"/>
      <c r="H57" s="171"/>
      <c r="I57" s="158"/>
      <c r="J57" s="180"/>
      <c r="K57" s="180"/>
      <c r="L57" s="180"/>
      <c r="M57" s="345"/>
      <c r="N57" s="345"/>
      <c r="O57" s="171"/>
      <c r="P57" s="158"/>
      <c r="Q57" s="171"/>
      <c r="R57" s="180"/>
      <c r="S57" s="158"/>
      <c r="T57" s="344"/>
      <c r="U57" s="158"/>
      <c r="V57" s="345"/>
      <c r="W57" s="155">
        <f t="shared" si="0"/>
        <v>0</v>
      </c>
      <c r="X57" s="155">
        <f t="shared" si="1"/>
        <v>0</v>
      </c>
      <c r="Y57" s="155">
        <f>IF(MatchDay!$C$2="LOWER",COUNTA(F57:H57),0)</f>
        <v>0</v>
      </c>
      <c r="AA57" s="157" t="s">
        <v>912</v>
      </c>
      <c r="AB57" s="177"/>
      <c r="AC57" s="165"/>
      <c r="AD57" s="177"/>
      <c r="AE57" s="344"/>
      <c r="AF57" s="177"/>
      <c r="AG57" s="165"/>
      <c r="AH57" s="177"/>
      <c r="AI57" s="158"/>
      <c r="AJ57" s="180"/>
      <c r="AK57" s="180"/>
      <c r="AL57" s="180"/>
      <c r="AM57" s="345"/>
      <c r="AN57" s="345"/>
      <c r="AO57" s="177"/>
      <c r="AP57" s="158"/>
      <c r="AQ57" s="177"/>
      <c r="AR57" s="180"/>
      <c r="AS57" s="158"/>
      <c r="AT57" s="344"/>
      <c r="AU57" s="158"/>
      <c r="AV57" s="345"/>
      <c r="AW57" s="155">
        <f t="shared" si="2"/>
        <v>0</v>
      </c>
      <c r="AX57" s="155">
        <f t="shared" si="3"/>
        <v>0</v>
      </c>
      <c r="AY57" s="155">
        <f>IF(MatchDay!$C$2="LOWER",COUNTA(AF57:AH57),0)</f>
        <v>0</v>
      </c>
      <c r="BA57" s="157" t="s">
        <v>912</v>
      </c>
      <c r="BB57" s="171"/>
      <c r="BC57" s="165"/>
      <c r="BD57" s="171"/>
      <c r="BE57" s="344"/>
      <c r="BF57" s="171"/>
      <c r="BG57" s="165"/>
      <c r="BH57" s="171"/>
      <c r="BI57" s="158"/>
      <c r="BJ57" s="180"/>
      <c r="BK57" s="180"/>
      <c r="BL57" s="180"/>
      <c r="BM57" s="345"/>
      <c r="BN57" s="345"/>
      <c r="BO57" s="171"/>
      <c r="BP57" s="158"/>
      <c r="BQ57" s="171"/>
      <c r="BR57" s="180"/>
      <c r="BS57" s="158"/>
      <c r="BT57" s="344"/>
      <c r="BU57" s="158"/>
      <c r="BV57" s="345"/>
      <c r="BW57" s="155">
        <f t="shared" si="4"/>
        <v>0</v>
      </c>
      <c r="BX57" s="155">
        <f t="shared" si="5"/>
        <v>0</v>
      </c>
      <c r="BY57" s="155">
        <f>IF(MatchDay!$C$2="LOWER",COUNTA(BF57:BH57),0)</f>
        <v>0</v>
      </c>
      <c r="CA57" s="157" t="s">
        <v>912</v>
      </c>
      <c r="CB57" s="177"/>
      <c r="CC57" s="165"/>
      <c r="CD57" s="177"/>
      <c r="CE57" s="344"/>
      <c r="CF57" s="177"/>
      <c r="CG57" s="165"/>
      <c r="CH57" s="177"/>
      <c r="CI57" s="158"/>
      <c r="CJ57" s="180"/>
      <c r="CK57" s="180"/>
      <c r="CL57" s="180"/>
      <c r="CM57" s="345"/>
      <c r="CN57" s="345"/>
      <c r="CO57" s="177"/>
      <c r="CP57" s="158"/>
      <c r="CQ57" s="177"/>
      <c r="CR57" s="180"/>
      <c r="CS57" s="158"/>
      <c r="CT57" s="344"/>
      <c r="CU57" s="158"/>
      <c r="CV57" s="345"/>
      <c r="CW57" s="155">
        <f t="shared" si="6"/>
        <v>0</v>
      </c>
      <c r="CX57" s="155">
        <f t="shared" si="7"/>
        <v>0</v>
      </c>
      <c r="CY57" s="155">
        <f>IF(MatchDay!$C$2="LOWER",COUNTA(CF57:CH57),0)</f>
        <v>0</v>
      </c>
      <c r="DA57" s="157" t="s">
        <v>912</v>
      </c>
      <c r="DB57" s="171"/>
      <c r="DC57" s="165"/>
      <c r="DD57" s="171"/>
      <c r="DE57" s="344"/>
      <c r="DF57" s="171"/>
      <c r="DG57" s="165"/>
      <c r="DH57" s="171"/>
      <c r="DI57" s="158"/>
      <c r="DJ57" s="180"/>
      <c r="DK57" s="180"/>
      <c r="DL57" s="180"/>
      <c r="DM57" s="345"/>
      <c r="DN57" s="345"/>
      <c r="DO57" s="171"/>
      <c r="DP57" s="158"/>
      <c r="DQ57" s="171"/>
      <c r="DR57" s="180"/>
      <c r="DS57" s="158"/>
      <c r="DT57" s="344"/>
      <c r="DU57" s="158"/>
      <c r="DV57" s="345"/>
      <c r="DW57" s="155">
        <f t="shared" si="8"/>
        <v>0</v>
      </c>
      <c r="DX57" s="155">
        <f t="shared" si="9"/>
        <v>0</v>
      </c>
      <c r="DY57" s="155">
        <f>IF(MatchDay!$C$2="LOWER",COUNTA(DF57:DH57),0)</f>
        <v>0</v>
      </c>
      <c r="EA57" s="157" t="s">
        <v>912</v>
      </c>
      <c r="EB57" s="177"/>
      <c r="EC57" s="165"/>
      <c r="ED57" s="177"/>
      <c r="EE57" s="344"/>
      <c r="EF57" s="177"/>
      <c r="EG57" s="165"/>
      <c r="EH57" s="177"/>
      <c r="EI57" s="158"/>
      <c r="EJ57" s="180"/>
      <c r="EK57" s="180"/>
      <c r="EL57" s="180"/>
      <c r="EM57" s="345"/>
      <c r="EN57" s="345"/>
      <c r="EO57" s="177"/>
      <c r="EP57" s="158"/>
      <c r="EQ57" s="177"/>
      <c r="ER57" s="180"/>
      <c r="ES57" s="158"/>
      <c r="ET57" s="344"/>
      <c r="EU57" s="158"/>
      <c r="EV57" s="345"/>
      <c r="EW57" s="155">
        <f t="shared" si="10"/>
        <v>0</v>
      </c>
      <c r="EX57" s="155">
        <f t="shared" si="11"/>
        <v>0</v>
      </c>
      <c r="EY57" s="155">
        <f>IF(MatchDay!$C$2="LOWER",COUNTA(EF57:EH57),0)</f>
        <v>0</v>
      </c>
      <c r="FA57" s="157" t="s">
        <v>912</v>
      </c>
      <c r="FB57" s="171"/>
      <c r="FC57" s="165"/>
      <c r="FD57" s="171"/>
      <c r="FE57" s="344"/>
      <c r="FF57" s="171"/>
      <c r="FG57" s="165"/>
      <c r="FH57" s="171"/>
      <c r="FI57" s="158"/>
      <c r="FJ57" s="180"/>
      <c r="FK57" s="180"/>
      <c r="FL57" s="180"/>
      <c r="FM57" s="345"/>
      <c r="FN57" s="345"/>
      <c r="FO57" s="171"/>
      <c r="FP57" s="158"/>
      <c r="FQ57" s="171"/>
      <c r="FR57" s="180"/>
      <c r="FS57" s="158"/>
      <c r="FT57" s="344"/>
      <c r="FU57" s="158"/>
      <c r="FV57" s="345"/>
      <c r="FW57" s="155">
        <f t="shared" si="12"/>
        <v>0</v>
      </c>
      <c r="FX57" s="155">
        <f t="shared" si="13"/>
        <v>0</v>
      </c>
      <c r="FY57" s="155">
        <f>IF(MatchDay!$C$2="LOWER",COUNTA(FF57:FH57),0)</f>
        <v>0</v>
      </c>
      <c r="GA57" s="157" t="s">
        <v>912</v>
      </c>
      <c r="GB57" s="177"/>
      <c r="GC57" s="165"/>
      <c r="GD57" s="177"/>
      <c r="GE57" s="344"/>
      <c r="GF57" s="177"/>
      <c r="GG57" s="165"/>
      <c r="GH57" s="177"/>
      <c r="GI57" s="158"/>
      <c r="GJ57" s="180"/>
      <c r="GK57" s="180"/>
      <c r="GL57" s="180"/>
      <c r="GM57" s="345"/>
      <c r="GN57" s="345"/>
      <c r="GO57" s="177"/>
      <c r="GP57" s="158"/>
      <c r="GQ57" s="177"/>
      <c r="GR57" s="180"/>
      <c r="GS57" s="158"/>
      <c r="GT57" s="344"/>
      <c r="GU57" s="158"/>
      <c r="GV57" s="345"/>
      <c r="GW57" s="155">
        <f t="shared" si="14"/>
        <v>0</v>
      </c>
      <c r="GX57" s="155">
        <f t="shared" si="15"/>
        <v>0</v>
      </c>
      <c r="GY57" s="155">
        <f>IF(MatchDay!$C$2="LOWER",COUNTA(GF57:GH57),0)</f>
        <v>0</v>
      </c>
    </row>
    <row r="58" spans="1:207" ht="16.5" customHeight="1" x14ac:dyDescent="0.45">
      <c r="A58" s="157" t="s">
        <v>912</v>
      </c>
      <c r="B58" s="171"/>
      <c r="C58" s="165"/>
      <c r="D58" s="171"/>
      <c r="E58" s="344"/>
      <c r="F58" s="171"/>
      <c r="G58" s="165"/>
      <c r="H58" s="171"/>
      <c r="I58" s="158"/>
      <c r="J58" s="180"/>
      <c r="K58" s="180"/>
      <c r="L58" s="180"/>
      <c r="M58" s="345"/>
      <c r="N58" s="345"/>
      <c r="O58" s="171"/>
      <c r="P58" s="158"/>
      <c r="Q58" s="171"/>
      <c r="R58" s="180"/>
      <c r="S58" s="158"/>
      <c r="T58" s="344"/>
      <c r="U58" s="158"/>
      <c r="V58" s="345"/>
      <c r="W58" s="155">
        <f t="shared" si="0"/>
        <v>0</v>
      </c>
      <c r="X58" s="155">
        <f t="shared" si="1"/>
        <v>0</v>
      </c>
      <c r="Y58" s="155">
        <f>IF(MatchDay!$C$2="LOWER",COUNTA(F58:H58),0)</f>
        <v>0</v>
      </c>
      <c r="AA58" s="157" t="s">
        <v>912</v>
      </c>
      <c r="AB58" s="177"/>
      <c r="AC58" s="165"/>
      <c r="AD58" s="177"/>
      <c r="AE58" s="344"/>
      <c r="AF58" s="177"/>
      <c r="AG58" s="165"/>
      <c r="AH58" s="177"/>
      <c r="AI58" s="158"/>
      <c r="AJ58" s="180"/>
      <c r="AK58" s="180"/>
      <c r="AL58" s="180"/>
      <c r="AM58" s="345"/>
      <c r="AN58" s="345"/>
      <c r="AO58" s="177"/>
      <c r="AP58" s="158"/>
      <c r="AQ58" s="177"/>
      <c r="AR58" s="180"/>
      <c r="AS58" s="158"/>
      <c r="AT58" s="344"/>
      <c r="AU58" s="158"/>
      <c r="AV58" s="345"/>
      <c r="AW58" s="155">
        <f t="shared" si="2"/>
        <v>0</v>
      </c>
      <c r="AX58" s="155">
        <f t="shared" si="3"/>
        <v>0</v>
      </c>
      <c r="AY58" s="155">
        <f>IF(MatchDay!$C$2="LOWER",COUNTA(AF58:AH58),0)</f>
        <v>0</v>
      </c>
      <c r="BA58" s="157" t="s">
        <v>912</v>
      </c>
      <c r="BB58" s="171"/>
      <c r="BC58" s="165"/>
      <c r="BD58" s="171"/>
      <c r="BE58" s="344"/>
      <c r="BF58" s="171"/>
      <c r="BG58" s="165"/>
      <c r="BH58" s="171"/>
      <c r="BI58" s="158"/>
      <c r="BJ58" s="180"/>
      <c r="BK58" s="180"/>
      <c r="BL58" s="180"/>
      <c r="BM58" s="345"/>
      <c r="BN58" s="345"/>
      <c r="BO58" s="171"/>
      <c r="BP58" s="158"/>
      <c r="BQ58" s="171"/>
      <c r="BR58" s="180"/>
      <c r="BS58" s="158"/>
      <c r="BT58" s="344"/>
      <c r="BU58" s="158"/>
      <c r="BV58" s="345"/>
      <c r="BW58" s="155">
        <f t="shared" si="4"/>
        <v>0</v>
      </c>
      <c r="BX58" s="155">
        <f t="shared" si="5"/>
        <v>0</v>
      </c>
      <c r="BY58" s="155">
        <f>IF(MatchDay!$C$2="LOWER",COUNTA(BF58:BH58),0)</f>
        <v>0</v>
      </c>
      <c r="CA58" s="157" t="s">
        <v>912</v>
      </c>
      <c r="CB58" s="177"/>
      <c r="CC58" s="165"/>
      <c r="CD58" s="177"/>
      <c r="CE58" s="344"/>
      <c r="CF58" s="177"/>
      <c r="CG58" s="165"/>
      <c r="CH58" s="177"/>
      <c r="CI58" s="158"/>
      <c r="CJ58" s="180"/>
      <c r="CK58" s="180"/>
      <c r="CL58" s="180"/>
      <c r="CM58" s="345"/>
      <c r="CN58" s="345"/>
      <c r="CO58" s="177"/>
      <c r="CP58" s="158"/>
      <c r="CQ58" s="177"/>
      <c r="CR58" s="180"/>
      <c r="CS58" s="158"/>
      <c r="CT58" s="344"/>
      <c r="CU58" s="158"/>
      <c r="CV58" s="345"/>
      <c r="CW58" s="155">
        <f t="shared" si="6"/>
        <v>0</v>
      </c>
      <c r="CX58" s="155">
        <f t="shared" si="7"/>
        <v>0</v>
      </c>
      <c r="CY58" s="155">
        <f>IF(MatchDay!$C$2="LOWER",COUNTA(CF58:CH58),0)</f>
        <v>0</v>
      </c>
      <c r="DA58" s="157" t="s">
        <v>912</v>
      </c>
      <c r="DB58" s="171"/>
      <c r="DC58" s="165"/>
      <c r="DD58" s="171"/>
      <c r="DE58" s="344"/>
      <c r="DF58" s="171"/>
      <c r="DG58" s="165"/>
      <c r="DH58" s="171"/>
      <c r="DI58" s="158"/>
      <c r="DJ58" s="180"/>
      <c r="DK58" s="180"/>
      <c r="DL58" s="180"/>
      <c r="DM58" s="345"/>
      <c r="DN58" s="345"/>
      <c r="DO58" s="171"/>
      <c r="DP58" s="158"/>
      <c r="DQ58" s="171"/>
      <c r="DR58" s="180"/>
      <c r="DS58" s="158"/>
      <c r="DT58" s="344"/>
      <c r="DU58" s="158"/>
      <c r="DV58" s="345"/>
      <c r="DW58" s="155">
        <f t="shared" si="8"/>
        <v>0</v>
      </c>
      <c r="DX58" s="155">
        <f t="shared" si="9"/>
        <v>0</v>
      </c>
      <c r="DY58" s="155">
        <f>IF(MatchDay!$C$2="LOWER",COUNTA(DF58:DH58),0)</f>
        <v>0</v>
      </c>
      <c r="EA58" s="157" t="s">
        <v>912</v>
      </c>
      <c r="EB58" s="177"/>
      <c r="EC58" s="165"/>
      <c r="ED58" s="177"/>
      <c r="EE58" s="344"/>
      <c r="EF58" s="177"/>
      <c r="EG58" s="165"/>
      <c r="EH58" s="177"/>
      <c r="EI58" s="158"/>
      <c r="EJ58" s="180"/>
      <c r="EK58" s="180"/>
      <c r="EL58" s="180"/>
      <c r="EM58" s="345"/>
      <c r="EN58" s="345"/>
      <c r="EO58" s="177"/>
      <c r="EP58" s="158"/>
      <c r="EQ58" s="177"/>
      <c r="ER58" s="180"/>
      <c r="ES58" s="158"/>
      <c r="ET58" s="344"/>
      <c r="EU58" s="158"/>
      <c r="EV58" s="345"/>
      <c r="EW58" s="155">
        <f t="shared" si="10"/>
        <v>0</v>
      </c>
      <c r="EX58" s="155">
        <f t="shared" si="11"/>
        <v>0</v>
      </c>
      <c r="EY58" s="155">
        <f>IF(MatchDay!$C$2="LOWER",COUNTA(EF58:EH58),0)</f>
        <v>0</v>
      </c>
      <c r="FA58" s="157" t="s">
        <v>912</v>
      </c>
      <c r="FB58" s="171"/>
      <c r="FC58" s="165"/>
      <c r="FD58" s="171"/>
      <c r="FE58" s="344"/>
      <c r="FF58" s="171"/>
      <c r="FG58" s="165"/>
      <c r="FH58" s="171"/>
      <c r="FI58" s="158"/>
      <c r="FJ58" s="180"/>
      <c r="FK58" s="180"/>
      <c r="FL58" s="180"/>
      <c r="FM58" s="345"/>
      <c r="FN58" s="345"/>
      <c r="FO58" s="171"/>
      <c r="FP58" s="158"/>
      <c r="FQ58" s="171"/>
      <c r="FR58" s="180"/>
      <c r="FS58" s="158"/>
      <c r="FT58" s="344"/>
      <c r="FU58" s="158"/>
      <c r="FV58" s="345"/>
      <c r="FW58" s="155">
        <f t="shared" si="12"/>
        <v>0</v>
      </c>
      <c r="FX58" s="155">
        <f t="shared" si="13"/>
        <v>0</v>
      </c>
      <c r="FY58" s="155">
        <f>IF(MatchDay!$C$2="LOWER",COUNTA(FF58:FH58),0)</f>
        <v>0</v>
      </c>
      <c r="GA58" s="157" t="s">
        <v>912</v>
      </c>
      <c r="GB58" s="177"/>
      <c r="GC58" s="165"/>
      <c r="GD58" s="177"/>
      <c r="GE58" s="344"/>
      <c r="GF58" s="177"/>
      <c r="GG58" s="165"/>
      <c r="GH58" s="177"/>
      <c r="GI58" s="158"/>
      <c r="GJ58" s="180"/>
      <c r="GK58" s="180"/>
      <c r="GL58" s="180"/>
      <c r="GM58" s="345"/>
      <c r="GN58" s="345"/>
      <c r="GO58" s="177"/>
      <c r="GP58" s="158"/>
      <c r="GQ58" s="177"/>
      <c r="GR58" s="180"/>
      <c r="GS58" s="158"/>
      <c r="GT58" s="344"/>
      <c r="GU58" s="158"/>
      <c r="GV58" s="345"/>
      <c r="GW58" s="155">
        <f t="shared" si="14"/>
        <v>0</v>
      </c>
      <c r="GX58" s="155">
        <f t="shared" si="15"/>
        <v>0</v>
      </c>
      <c r="GY58" s="155">
        <f>IF(MatchDay!$C$2="LOWER",COUNTA(GF58:GH58),0)</f>
        <v>0</v>
      </c>
    </row>
    <row r="59" spans="1:207" ht="16.5" customHeight="1" x14ac:dyDescent="0.45">
      <c r="A59" s="157" t="s">
        <v>912</v>
      </c>
      <c r="B59" s="171"/>
      <c r="C59" s="165"/>
      <c r="D59" s="171"/>
      <c r="E59" s="344"/>
      <c r="F59" s="171"/>
      <c r="G59" s="165"/>
      <c r="H59" s="171"/>
      <c r="I59" s="158"/>
      <c r="J59" s="180"/>
      <c r="K59" s="180"/>
      <c r="L59" s="180"/>
      <c r="M59" s="345"/>
      <c r="N59" s="345"/>
      <c r="O59" s="171"/>
      <c r="P59" s="158"/>
      <c r="Q59" s="171"/>
      <c r="R59" s="180"/>
      <c r="S59" s="158"/>
      <c r="T59" s="344"/>
      <c r="U59" s="158"/>
      <c r="V59" s="345"/>
      <c r="W59" s="155">
        <f t="shared" si="0"/>
        <v>0</v>
      </c>
      <c r="X59" s="155">
        <f t="shared" si="1"/>
        <v>0</v>
      </c>
      <c r="Y59" s="155">
        <f>IF(MatchDay!$C$2="LOWER",COUNTA(F59:H59),0)</f>
        <v>0</v>
      </c>
      <c r="AA59" s="157" t="s">
        <v>912</v>
      </c>
      <c r="AB59" s="177"/>
      <c r="AC59" s="165"/>
      <c r="AD59" s="177"/>
      <c r="AE59" s="344"/>
      <c r="AF59" s="177"/>
      <c r="AG59" s="165"/>
      <c r="AH59" s="177"/>
      <c r="AI59" s="158"/>
      <c r="AJ59" s="180"/>
      <c r="AK59" s="180"/>
      <c r="AL59" s="180"/>
      <c r="AM59" s="345"/>
      <c r="AN59" s="345"/>
      <c r="AO59" s="177"/>
      <c r="AP59" s="158"/>
      <c r="AQ59" s="177"/>
      <c r="AR59" s="180"/>
      <c r="AS59" s="158"/>
      <c r="AT59" s="344"/>
      <c r="AU59" s="158"/>
      <c r="AV59" s="345"/>
      <c r="AW59" s="155">
        <f t="shared" si="2"/>
        <v>0</v>
      </c>
      <c r="AX59" s="155">
        <f t="shared" si="3"/>
        <v>0</v>
      </c>
      <c r="AY59" s="155">
        <f>IF(MatchDay!$C$2="LOWER",COUNTA(AF59:AH59),0)</f>
        <v>0</v>
      </c>
      <c r="BA59" s="157" t="s">
        <v>912</v>
      </c>
      <c r="BB59" s="171"/>
      <c r="BC59" s="165"/>
      <c r="BD59" s="171"/>
      <c r="BE59" s="344"/>
      <c r="BF59" s="171"/>
      <c r="BG59" s="165"/>
      <c r="BH59" s="171"/>
      <c r="BI59" s="158"/>
      <c r="BJ59" s="180"/>
      <c r="BK59" s="180"/>
      <c r="BL59" s="180"/>
      <c r="BM59" s="345"/>
      <c r="BN59" s="345"/>
      <c r="BO59" s="171"/>
      <c r="BP59" s="158"/>
      <c r="BQ59" s="171"/>
      <c r="BR59" s="180"/>
      <c r="BS59" s="158"/>
      <c r="BT59" s="344"/>
      <c r="BU59" s="158"/>
      <c r="BV59" s="345"/>
      <c r="BW59" s="155">
        <f t="shared" si="4"/>
        <v>0</v>
      </c>
      <c r="BX59" s="155">
        <f t="shared" si="5"/>
        <v>0</v>
      </c>
      <c r="BY59" s="155">
        <f>IF(MatchDay!$C$2="LOWER",COUNTA(BF59:BH59),0)</f>
        <v>0</v>
      </c>
      <c r="CA59" s="157" t="s">
        <v>912</v>
      </c>
      <c r="CB59" s="177"/>
      <c r="CC59" s="165"/>
      <c r="CD59" s="177"/>
      <c r="CE59" s="344"/>
      <c r="CF59" s="177"/>
      <c r="CG59" s="165"/>
      <c r="CH59" s="177"/>
      <c r="CI59" s="158"/>
      <c r="CJ59" s="180"/>
      <c r="CK59" s="180"/>
      <c r="CL59" s="180"/>
      <c r="CM59" s="345"/>
      <c r="CN59" s="345"/>
      <c r="CO59" s="177"/>
      <c r="CP59" s="158"/>
      <c r="CQ59" s="177"/>
      <c r="CR59" s="180"/>
      <c r="CS59" s="158"/>
      <c r="CT59" s="344"/>
      <c r="CU59" s="158"/>
      <c r="CV59" s="345"/>
      <c r="CW59" s="155">
        <f t="shared" si="6"/>
        <v>0</v>
      </c>
      <c r="CX59" s="155">
        <f t="shared" si="7"/>
        <v>0</v>
      </c>
      <c r="CY59" s="155">
        <f>IF(MatchDay!$C$2="LOWER",COUNTA(CF59:CH59),0)</f>
        <v>0</v>
      </c>
      <c r="DA59" s="157" t="s">
        <v>912</v>
      </c>
      <c r="DB59" s="171"/>
      <c r="DC59" s="165"/>
      <c r="DD59" s="171"/>
      <c r="DE59" s="344"/>
      <c r="DF59" s="171"/>
      <c r="DG59" s="165"/>
      <c r="DH59" s="171"/>
      <c r="DI59" s="158"/>
      <c r="DJ59" s="180"/>
      <c r="DK59" s="180"/>
      <c r="DL59" s="180"/>
      <c r="DM59" s="345"/>
      <c r="DN59" s="345"/>
      <c r="DO59" s="171"/>
      <c r="DP59" s="158"/>
      <c r="DQ59" s="171"/>
      <c r="DR59" s="180"/>
      <c r="DS59" s="158"/>
      <c r="DT59" s="344"/>
      <c r="DU59" s="158"/>
      <c r="DV59" s="345"/>
      <c r="DW59" s="155">
        <f t="shared" si="8"/>
        <v>0</v>
      </c>
      <c r="DX59" s="155">
        <f t="shared" si="9"/>
        <v>0</v>
      </c>
      <c r="DY59" s="155">
        <f>IF(MatchDay!$C$2="LOWER",COUNTA(DF59:DH59),0)</f>
        <v>0</v>
      </c>
      <c r="EA59" s="157" t="s">
        <v>912</v>
      </c>
      <c r="EB59" s="177"/>
      <c r="EC59" s="165"/>
      <c r="ED59" s="177"/>
      <c r="EE59" s="344"/>
      <c r="EF59" s="177"/>
      <c r="EG59" s="165"/>
      <c r="EH59" s="177"/>
      <c r="EI59" s="158"/>
      <c r="EJ59" s="180"/>
      <c r="EK59" s="180"/>
      <c r="EL59" s="180"/>
      <c r="EM59" s="345"/>
      <c r="EN59" s="345"/>
      <c r="EO59" s="177"/>
      <c r="EP59" s="158"/>
      <c r="EQ59" s="177"/>
      <c r="ER59" s="180"/>
      <c r="ES59" s="158"/>
      <c r="ET59" s="344"/>
      <c r="EU59" s="158"/>
      <c r="EV59" s="345"/>
      <c r="EW59" s="155">
        <f t="shared" si="10"/>
        <v>0</v>
      </c>
      <c r="EX59" s="155">
        <f t="shared" si="11"/>
        <v>0</v>
      </c>
      <c r="EY59" s="155">
        <f>IF(MatchDay!$C$2="LOWER",COUNTA(EF59:EH59),0)</f>
        <v>0</v>
      </c>
      <c r="FA59" s="157" t="s">
        <v>912</v>
      </c>
      <c r="FB59" s="171"/>
      <c r="FC59" s="165"/>
      <c r="FD59" s="171"/>
      <c r="FE59" s="344"/>
      <c r="FF59" s="171"/>
      <c r="FG59" s="165"/>
      <c r="FH59" s="171"/>
      <c r="FI59" s="158"/>
      <c r="FJ59" s="180"/>
      <c r="FK59" s="180"/>
      <c r="FL59" s="180"/>
      <c r="FM59" s="345"/>
      <c r="FN59" s="345"/>
      <c r="FO59" s="171"/>
      <c r="FP59" s="158"/>
      <c r="FQ59" s="171"/>
      <c r="FR59" s="180"/>
      <c r="FS59" s="158"/>
      <c r="FT59" s="344"/>
      <c r="FU59" s="158"/>
      <c r="FV59" s="345"/>
      <c r="FW59" s="155">
        <f t="shared" si="12"/>
        <v>0</v>
      </c>
      <c r="FX59" s="155">
        <f t="shared" si="13"/>
        <v>0</v>
      </c>
      <c r="FY59" s="155">
        <f>IF(MatchDay!$C$2="LOWER",COUNTA(FF59:FH59),0)</f>
        <v>0</v>
      </c>
      <c r="GA59" s="157" t="s">
        <v>912</v>
      </c>
      <c r="GB59" s="177"/>
      <c r="GC59" s="165"/>
      <c r="GD59" s="177"/>
      <c r="GE59" s="344"/>
      <c r="GF59" s="177"/>
      <c r="GG59" s="165"/>
      <c r="GH59" s="177"/>
      <c r="GI59" s="158"/>
      <c r="GJ59" s="180"/>
      <c r="GK59" s="180"/>
      <c r="GL59" s="180"/>
      <c r="GM59" s="345"/>
      <c r="GN59" s="345"/>
      <c r="GO59" s="177"/>
      <c r="GP59" s="158"/>
      <c r="GQ59" s="177"/>
      <c r="GR59" s="180"/>
      <c r="GS59" s="158"/>
      <c r="GT59" s="344"/>
      <c r="GU59" s="158"/>
      <c r="GV59" s="345"/>
      <c r="GW59" s="155">
        <f t="shared" si="14"/>
        <v>0</v>
      </c>
      <c r="GX59" s="155">
        <f t="shared" si="15"/>
        <v>0</v>
      </c>
      <c r="GY59" s="155">
        <f>IF(MatchDay!$C$2="LOWER",COUNTA(GF59:GH59),0)</f>
        <v>0</v>
      </c>
    </row>
    <row r="60" spans="1:207" ht="16.5" customHeight="1" x14ac:dyDescent="0.45">
      <c r="A60" s="157" t="s">
        <v>912</v>
      </c>
      <c r="B60" s="171"/>
      <c r="C60" s="165"/>
      <c r="D60" s="171"/>
      <c r="E60" s="344"/>
      <c r="F60" s="171"/>
      <c r="G60" s="165"/>
      <c r="H60" s="171"/>
      <c r="I60" s="158"/>
      <c r="J60" s="180"/>
      <c r="K60" s="180"/>
      <c r="L60" s="180"/>
      <c r="M60" s="345"/>
      <c r="N60" s="345"/>
      <c r="O60" s="171"/>
      <c r="P60" s="158"/>
      <c r="Q60" s="171"/>
      <c r="R60" s="180"/>
      <c r="S60" s="158"/>
      <c r="T60" s="344"/>
      <c r="U60" s="158"/>
      <c r="V60" s="345"/>
      <c r="W60" s="155">
        <f t="shared" si="0"/>
        <v>0</v>
      </c>
      <c r="X60" s="155">
        <f t="shared" si="1"/>
        <v>0</v>
      </c>
      <c r="Y60" s="155">
        <f>IF(MatchDay!$C$2="LOWER",COUNTA(F60:H60),0)</f>
        <v>0</v>
      </c>
      <c r="AA60" s="157" t="s">
        <v>912</v>
      </c>
      <c r="AB60" s="177"/>
      <c r="AC60" s="165"/>
      <c r="AD60" s="177"/>
      <c r="AE60" s="344"/>
      <c r="AF60" s="177"/>
      <c r="AG60" s="165"/>
      <c r="AH60" s="177"/>
      <c r="AI60" s="158"/>
      <c r="AJ60" s="180"/>
      <c r="AK60" s="180"/>
      <c r="AL60" s="180"/>
      <c r="AM60" s="345"/>
      <c r="AN60" s="345"/>
      <c r="AO60" s="177"/>
      <c r="AP60" s="158"/>
      <c r="AQ60" s="177"/>
      <c r="AR60" s="180"/>
      <c r="AS60" s="158"/>
      <c r="AT60" s="344"/>
      <c r="AU60" s="158"/>
      <c r="AV60" s="345"/>
      <c r="AW60" s="155">
        <f t="shared" si="2"/>
        <v>0</v>
      </c>
      <c r="AX60" s="155">
        <f t="shared" si="3"/>
        <v>0</v>
      </c>
      <c r="AY60" s="155">
        <f>IF(MatchDay!$C$2="LOWER",COUNTA(AF60:AH60),0)</f>
        <v>0</v>
      </c>
      <c r="BA60" s="157" t="s">
        <v>912</v>
      </c>
      <c r="BB60" s="171"/>
      <c r="BC60" s="165"/>
      <c r="BD60" s="171"/>
      <c r="BE60" s="344"/>
      <c r="BF60" s="171"/>
      <c r="BG60" s="165"/>
      <c r="BH60" s="171"/>
      <c r="BI60" s="158"/>
      <c r="BJ60" s="180"/>
      <c r="BK60" s="180"/>
      <c r="BL60" s="180"/>
      <c r="BM60" s="345"/>
      <c r="BN60" s="345"/>
      <c r="BO60" s="171"/>
      <c r="BP60" s="158"/>
      <c r="BQ60" s="171"/>
      <c r="BR60" s="180"/>
      <c r="BS60" s="158"/>
      <c r="BT60" s="344"/>
      <c r="BU60" s="158"/>
      <c r="BV60" s="345"/>
      <c r="BW60" s="155">
        <f t="shared" si="4"/>
        <v>0</v>
      </c>
      <c r="BX60" s="155">
        <f t="shared" si="5"/>
        <v>0</v>
      </c>
      <c r="BY60" s="155">
        <f>IF(MatchDay!$C$2="LOWER",COUNTA(BF60:BH60),0)</f>
        <v>0</v>
      </c>
      <c r="CA60" s="157" t="s">
        <v>912</v>
      </c>
      <c r="CB60" s="177"/>
      <c r="CC60" s="165"/>
      <c r="CD60" s="177"/>
      <c r="CE60" s="344"/>
      <c r="CF60" s="177"/>
      <c r="CG60" s="165"/>
      <c r="CH60" s="177"/>
      <c r="CI60" s="158"/>
      <c r="CJ60" s="180"/>
      <c r="CK60" s="180"/>
      <c r="CL60" s="180"/>
      <c r="CM60" s="345"/>
      <c r="CN60" s="345"/>
      <c r="CO60" s="177"/>
      <c r="CP60" s="158"/>
      <c r="CQ60" s="177"/>
      <c r="CR60" s="180"/>
      <c r="CS60" s="158"/>
      <c r="CT60" s="344"/>
      <c r="CU60" s="158"/>
      <c r="CV60" s="345"/>
      <c r="CW60" s="155">
        <f t="shared" si="6"/>
        <v>0</v>
      </c>
      <c r="CX60" s="155">
        <f t="shared" si="7"/>
        <v>0</v>
      </c>
      <c r="CY60" s="155">
        <f>IF(MatchDay!$C$2="LOWER",COUNTA(CF60:CH60),0)</f>
        <v>0</v>
      </c>
      <c r="DA60" s="157" t="s">
        <v>912</v>
      </c>
      <c r="DB60" s="171"/>
      <c r="DC60" s="165"/>
      <c r="DD60" s="171"/>
      <c r="DE60" s="344"/>
      <c r="DF60" s="171"/>
      <c r="DG60" s="165"/>
      <c r="DH60" s="171"/>
      <c r="DI60" s="158"/>
      <c r="DJ60" s="180"/>
      <c r="DK60" s="180"/>
      <c r="DL60" s="180"/>
      <c r="DM60" s="345"/>
      <c r="DN60" s="345"/>
      <c r="DO60" s="171"/>
      <c r="DP60" s="158"/>
      <c r="DQ60" s="171"/>
      <c r="DR60" s="180"/>
      <c r="DS60" s="158"/>
      <c r="DT60" s="344"/>
      <c r="DU60" s="158"/>
      <c r="DV60" s="345"/>
      <c r="DW60" s="155">
        <f t="shared" si="8"/>
        <v>0</v>
      </c>
      <c r="DX60" s="155">
        <f t="shared" si="9"/>
        <v>0</v>
      </c>
      <c r="DY60" s="155">
        <f>IF(MatchDay!$C$2="LOWER",COUNTA(DF60:DH60),0)</f>
        <v>0</v>
      </c>
      <c r="EA60" s="157" t="s">
        <v>912</v>
      </c>
      <c r="EB60" s="177"/>
      <c r="EC60" s="165"/>
      <c r="ED60" s="177"/>
      <c r="EE60" s="344"/>
      <c r="EF60" s="177"/>
      <c r="EG60" s="165"/>
      <c r="EH60" s="177"/>
      <c r="EI60" s="158"/>
      <c r="EJ60" s="180"/>
      <c r="EK60" s="180"/>
      <c r="EL60" s="180"/>
      <c r="EM60" s="345"/>
      <c r="EN60" s="345"/>
      <c r="EO60" s="177"/>
      <c r="EP60" s="158"/>
      <c r="EQ60" s="177"/>
      <c r="ER60" s="180"/>
      <c r="ES60" s="158"/>
      <c r="ET60" s="344"/>
      <c r="EU60" s="158"/>
      <c r="EV60" s="345"/>
      <c r="EW60" s="155">
        <f t="shared" si="10"/>
        <v>0</v>
      </c>
      <c r="EX60" s="155">
        <f t="shared" si="11"/>
        <v>0</v>
      </c>
      <c r="EY60" s="155">
        <f>IF(MatchDay!$C$2="LOWER",COUNTA(EF60:EH60),0)</f>
        <v>0</v>
      </c>
      <c r="FA60" s="157" t="s">
        <v>912</v>
      </c>
      <c r="FB60" s="171"/>
      <c r="FC60" s="165"/>
      <c r="FD60" s="171"/>
      <c r="FE60" s="344"/>
      <c r="FF60" s="171"/>
      <c r="FG60" s="165"/>
      <c r="FH60" s="171"/>
      <c r="FI60" s="158"/>
      <c r="FJ60" s="180"/>
      <c r="FK60" s="180"/>
      <c r="FL60" s="180"/>
      <c r="FM60" s="345"/>
      <c r="FN60" s="345"/>
      <c r="FO60" s="171"/>
      <c r="FP60" s="158"/>
      <c r="FQ60" s="171"/>
      <c r="FR60" s="180"/>
      <c r="FS60" s="158"/>
      <c r="FT60" s="344"/>
      <c r="FU60" s="158"/>
      <c r="FV60" s="345"/>
      <c r="FW60" s="155">
        <f t="shared" si="12"/>
        <v>0</v>
      </c>
      <c r="FX60" s="155">
        <f t="shared" si="13"/>
        <v>0</v>
      </c>
      <c r="FY60" s="155">
        <f>IF(MatchDay!$C$2="LOWER",COUNTA(FF60:FH60),0)</f>
        <v>0</v>
      </c>
      <c r="GA60" s="157" t="s">
        <v>912</v>
      </c>
      <c r="GB60" s="177"/>
      <c r="GC60" s="165"/>
      <c r="GD60" s="177"/>
      <c r="GE60" s="344"/>
      <c r="GF60" s="177"/>
      <c r="GG60" s="165"/>
      <c r="GH60" s="177"/>
      <c r="GI60" s="158"/>
      <c r="GJ60" s="180"/>
      <c r="GK60" s="180"/>
      <c r="GL60" s="180"/>
      <c r="GM60" s="345"/>
      <c r="GN60" s="345"/>
      <c r="GO60" s="177"/>
      <c r="GP60" s="158"/>
      <c r="GQ60" s="177"/>
      <c r="GR60" s="180"/>
      <c r="GS60" s="158"/>
      <c r="GT60" s="344"/>
      <c r="GU60" s="158"/>
      <c r="GV60" s="345"/>
      <c r="GW60" s="155">
        <f t="shared" si="14"/>
        <v>0</v>
      </c>
      <c r="GX60" s="155">
        <f t="shared" si="15"/>
        <v>0</v>
      </c>
      <c r="GY60" s="155">
        <f>IF(MatchDay!$C$2="LOWER",COUNTA(GF60:GH60),0)</f>
        <v>0</v>
      </c>
    </row>
    <row r="61" spans="1:207" ht="16.5" customHeight="1" x14ac:dyDescent="0.45">
      <c r="A61" s="157" t="s">
        <v>912</v>
      </c>
      <c r="B61" s="171"/>
      <c r="C61" s="165"/>
      <c r="D61" s="171"/>
      <c r="E61" s="344"/>
      <c r="F61" s="171"/>
      <c r="G61" s="165"/>
      <c r="H61" s="171"/>
      <c r="I61" s="158"/>
      <c r="J61" s="180"/>
      <c r="K61" s="180"/>
      <c r="L61" s="180"/>
      <c r="M61" s="345"/>
      <c r="N61" s="345"/>
      <c r="O61" s="171"/>
      <c r="P61" s="158"/>
      <c r="Q61" s="171"/>
      <c r="R61" s="180"/>
      <c r="S61" s="158"/>
      <c r="T61" s="344"/>
      <c r="U61" s="158"/>
      <c r="V61" s="345"/>
      <c r="W61" s="155">
        <f t="shared" si="0"/>
        <v>0</v>
      </c>
      <c r="X61" s="155">
        <f t="shared" si="1"/>
        <v>0</v>
      </c>
      <c r="Y61" s="155">
        <f>IF(MatchDay!$C$2="LOWER",COUNTA(F61:H61),0)</f>
        <v>0</v>
      </c>
      <c r="AA61" s="157" t="s">
        <v>912</v>
      </c>
      <c r="AB61" s="177"/>
      <c r="AC61" s="165"/>
      <c r="AD61" s="177"/>
      <c r="AE61" s="344"/>
      <c r="AF61" s="177"/>
      <c r="AG61" s="165"/>
      <c r="AH61" s="177"/>
      <c r="AI61" s="158"/>
      <c r="AJ61" s="180"/>
      <c r="AK61" s="180"/>
      <c r="AL61" s="180"/>
      <c r="AM61" s="345"/>
      <c r="AN61" s="345"/>
      <c r="AO61" s="177"/>
      <c r="AP61" s="158"/>
      <c r="AQ61" s="177"/>
      <c r="AR61" s="180"/>
      <c r="AS61" s="158"/>
      <c r="AT61" s="344"/>
      <c r="AU61" s="158"/>
      <c r="AV61" s="345"/>
      <c r="AW61" s="155">
        <f t="shared" si="2"/>
        <v>0</v>
      </c>
      <c r="AX61" s="155">
        <f t="shared" si="3"/>
        <v>0</v>
      </c>
      <c r="AY61" s="155">
        <f>IF(MatchDay!$C$2="LOWER",COUNTA(AF61:AH61),0)</f>
        <v>0</v>
      </c>
      <c r="BA61" s="157" t="s">
        <v>912</v>
      </c>
      <c r="BB61" s="171"/>
      <c r="BC61" s="165"/>
      <c r="BD61" s="171"/>
      <c r="BE61" s="344"/>
      <c r="BF61" s="171"/>
      <c r="BG61" s="165"/>
      <c r="BH61" s="171"/>
      <c r="BI61" s="158"/>
      <c r="BJ61" s="180"/>
      <c r="BK61" s="180"/>
      <c r="BL61" s="180"/>
      <c r="BM61" s="345"/>
      <c r="BN61" s="345"/>
      <c r="BO61" s="171"/>
      <c r="BP61" s="158"/>
      <c r="BQ61" s="171"/>
      <c r="BR61" s="180"/>
      <c r="BS61" s="158"/>
      <c r="BT61" s="344"/>
      <c r="BU61" s="158"/>
      <c r="BV61" s="345"/>
      <c r="BW61" s="155">
        <f t="shared" si="4"/>
        <v>0</v>
      </c>
      <c r="BX61" s="155">
        <f t="shared" si="5"/>
        <v>0</v>
      </c>
      <c r="BY61" s="155">
        <f>IF(MatchDay!$C$2="LOWER",COUNTA(BF61:BH61),0)</f>
        <v>0</v>
      </c>
      <c r="CA61" s="157" t="s">
        <v>912</v>
      </c>
      <c r="CB61" s="177"/>
      <c r="CC61" s="165"/>
      <c r="CD61" s="177"/>
      <c r="CE61" s="344"/>
      <c r="CF61" s="177"/>
      <c r="CG61" s="165"/>
      <c r="CH61" s="177"/>
      <c r="CI61" s="158"/>
      <c r="CJ61" s="180"/>
      <c r="CK61" s="180"/>
      <c r="CL61" s="180"/>
      <c r="CM61" s="345"/>
      <c r="CN61" s="345"/>
      <c r="CO61" s="177"/>
      <c r="CP61" s="158"/>
      <c r="CQ61" s="177"/>
      <c r="CR61" s="180"/>
      <c r="CS61" s="158"/>
      <c r="CT61" s="344"/>
      <c r="CU61" s="158"/>
      <c r="CV61" s="345"/>
      <c r="CW61" s="155">
        <f t="shared" si="6"/>
        <v>0</v>
      </c>
      <c r="CX61" s="155">
        <f t="shared" si="7"/>
        <v>0</v>
      </c>
      <c r="CY61" s="155">
        <f>IF(MatchDay!$C$2="LOWER",COUNTA(CF61:CH61),0)</f>
        <v>0</v>
      </c>
      <c r="DA61" s="157" t="s">
        <v>912</v>
      </c>
      <c r="DB61" s="171"/>
      <c r="DC61" s="165"/>
      <c r="DD61" s="171"/>
      <c r="DE61" s="344"/>
      <c r="DF61" s="171"/>
      <c r="DG61" s="165"/>
      <c r="DH61" s="171"/>
      <c r="DI61" s="158"/>
      <c r="DJ61" s="180"/>
      <c r="DK61" s="180"/>
      <c r="DL61" s="180"/>
      <c r="DM61" s="345"/>
      <c r="DN61" s="345"/>
      <c r="DO61" s="171"/>
      <c r="DP61" s="158"/>
      <c r="DQ61" s="171"/>
      <c r="DR61" s="180"/>
      <c r="DS61" s="158"/>
      <c r="DT61" s="344"/>
      <c r="DU61" s="158"/>
      <c r="DV61" s="345"/>
      <c r="DW61" s="155">
        <f t="shared" si="8"/>
        <v>0</v>
      </c>
      <c r="DX61" s="155">
        <f t="shared" si="9"/>
        <v>0</v>
      </c>
      <c r="DY61" s="155">
        <f>IF(MatchDay!$C$2="LOWER",COUNTA(DF61:DH61),0)</f>
        <v>0</v>
      </c>
      <c r="EA61" s="157" t="s">
        <v>912</v>
      </c>
      <c r="EB61" s="177"/>
      <c r="EC61" s="165"/>
      <c r="ED61" s="177"/>
      <c r="EE61" s="344"/>
      <c r="EF61" s="177"/>
      <c r="EG61" s="165"/>
      <c r="EH61" s="177"/>
      <c r="EI61" s="158"/>
      <c r="EJ61" s="180"/>
      <c r="EK61" s="180"/>
      <c r="EL61" s="180"/>
      <c r="EM61" s="345"/>
      <c r="EN61" s="345"/>
      <c r="EO61" s="177"/>
      <c r="EP61" s="158"/>
      <c r="EQ61" s="177"/>
      <c r="ER61" s="180"/>
      <c r="ES61" s="158"/>
      <c r="ET61" s="344"/>
      <c r="EU61" s="158"/>
      <c r="EV61" s="345"/>
      <c r="EW61" s="155">
        <f t="shared" si="10"/>
        <v>0</v>
      </c>
      <c r="EX61" s="155">
        <f t="shared" si="11"/>
        <v>0</v>
      </c>
      <c r="EY61" s="155">
        <f>IF(MatchDay!$C$2="LOWER",COUNTA(EF61:EH61),0)</f>
        <v>0</v>
      </c>
      <c r="FA61" s="157" t="s">
        <v>912</v>
      </c>
      <c r="FB61" s="171"/>
      <c r="FC61" s="165"/>
      <c r="FD61" s="171"/>
      <c r="FE61" s="344"/>
      <c r="FF61" s="171"/>
      <c r="FG61" s="165"/>
      <c r="FH61" s="171"/>
      <c r="FI61" s="158"/>
      <c r="FJ61" s="180"/>
      <c r="FK61" s="180"/>
      <c r="FL61" s="180"/>
      <c r="FM61" s="345"/>
      <c r="FN61" s="345"/>
      <c r="FO61" s="171"/>
      <c r="FP61" s="158"/>
      <c r="FQ61" s="171"/>
      <c r="FR61" s="180"/>
      <c r="FS61" s="158"/>
      <c r="FT61" s="344"/>
      <c r="FU61" s="158"/>
      <c r="FV61" s="345"/>
      <c r="FW61" s="155">
        <f t="shared" si="12"/>
        <v>0</v>
      </c>
      <c r="FX61" s="155">
        <f t="shared" si="13"/>
        <v>0</v>
      </c>
      <c r="FY61" s="155">
        <f>IF(MatchDay!$C$2="LOWER",COUNTA(FF61:FH61),0)</f>
        <v>0</v>
      </c>
      <c r="GA61" s="157" t="s">
        <v>912</v>
      </c>
      <c r="GB61" s="177"/>
      <c r="GC61" s="165"/>
      <c r="GD61" s="177"/>
      <c r="GE61" s="344"/>
      <c r="GF61" s="177"/>
      <c r="GG61" s="165"/>
      <c r="GH61" s="177"/>
      <c r="GI61" s="158"/>
      <c r="GJ61" s="180"/>
      <c r="GK61" s="180"/>
      <c r="GL61" s="180"/>
      <c r="GM61" s="345"/>
      <c r="GN61" s="345"/>
      <c r="GO61" s="177"/>
      <c r="GP61" s="158"/>
      <c r="GQ61" s="177"/>
      <c r="GR61" s="180"/>
      <c r="GS61" s="158"/>
      <c r="GT61" s="344"/>
      <c r="GU61" s="158"/>
      <c r="GV61" s="345"/>
      <c r="GW61" s="155">
        <f t="shared" si="14"/>
        <v>0</v>
      </c>
      <c r="GX61" s="155">
        <f t="shared" si="15"/>
        <v>0</v>
      </c>
      <c r="GY61" s="155">
        <f>IF(MatchDay!$C$2="LOWER",COUNTA(GF61:GH61),0)</f>
        <v>0</v>
      </c>
    </row>
    <row r="62" spans="1:207" ht="16.5" customHeight="1" x14ac:dyDescent="0.45">
      <c r="A62" s="157" t="s">
        <v>912</v>
      </c>
      <c r="B62" s="171"/>
      <c r="C62" s="165"/>
      <c r="D62" s="171"/>
      <c r="E62" s="344"/>
      <c r="F62" s="171"/>
      <c r="G62" s="165"/>
      <c r="H62" s="171"/>
      <c r="I62" s="158"/>
      <c r="J62" s="180"/>
      <c r="K62" s="180"/>
      <c r="L62" s="180"/>
      <c r="M62" s="345"/>
      <c r="N62" s="345"/>
      <c r="O62" s="171"/>
      <c r="P62" s="158"/>
      <c r="Q62" s="171"/>
      <c r="R62" s="180"/>
      <c r="S62" s="158"/>
      <c r="T62" s="344"/>
      <c r="U62" s="158"/>
      <c r="V62" s="345"/>
      <c r="W62" s="155">
        <f t="shared" si="0"/>
        <v>0</v>
      </c>
      <c r="X62" s="155">
        <f t="shared" si="1"/>
        <v>0</v>
      </c>
      <c r="Y62" s="155">
        <f>IF(MatchDay!$C$2="LOWER",COUNTA(F62:H62),0)</f>
        <v>0</v>
      </c>
      <c r="AA62" s="157" t="s">
        <v>912</v>
      </c>
      <c r="AB62" s="177"/>
      <c r="AC62" s="165"/>
      <c r="AD62" s="177"/>
      <c r="AE62" s="344"/>
      <c r="AF62" s="177"/>
      <c r="AG62" s="165"/>
      <c r="AH62" s="177"/>
      <c r="AI62" s="158"/>
      <c r="AJ62" s="180"/>
      <c r="AK62" s="180"/>
      <c r="AL62" s="180"/>
      <c r="AM62" s="345"/>
      <c r="AN62" s="345"/>
      <c r="AO62" s="177"/>
      <c r="AP62" s="158"/>
      <c r="AQ62" s="177"/>
      <c r="AR62" s="180"/>
      <c r="AS62" s="158"/>
      <c r="AT62" s="344"/>
      <c r="AU62" s="158"/>
      <c r="AV62" s="345"/>
      <c r="AW62" s="155">
        <f t="shared" si="2"/>
        <v>0</v>
      </c>
      <c r="AX62" s="155">
        <f t="shared" si="3"/>
        <v>0</v>
      </c>
      <c r="AY62" s="155">
        <f>IF(MatchDay!$C$2="LOWER",COUNTA(AF62:AH62),0)</f>
        <v>0</v>
      </c>
      <c r="BA62" s="157" t="s">
        <v>912</v>
      </c>
      <c r="BB62" s="171"/>
      <c r="BC62" s="165"/>
      <c r="BD62" s="171"/>
      <c r="BE62" s="344"/>
      <c r="BF62" s="171"/>
      <c r="BG62" s="165"/>
      <c r="BH62" s="171"/>
      <c r="BI62" s="158"/>
      <c r="BJ62" s="180"/>
      <c r="BK62" s="180"/>
      <c r="BL62" s="180"/>
      <c r="BM62" s="345"/>
      <c r="BN62" s="345"/>
      <c r="BO62" s="171"/>
      <c r="BP62" s="158"/>
      <c r="BQ62" s="171"/>
      <c r="BR62" s="180"/>
      <c r="BS62" s="158"/>
      <c r="BT62" s="344"/>
      <c r="BU62" s="158"/>
      <c r="BV62" s="345"/>
      <c r="BW62" s="155">
        <f t="shared" si="4"/>
        <v>0</v>
      </c>
      <c r="BX62" s="155">
        <f t="shared" si="5"/>
        <v>0</v>
      </c>
      <c r="BY62" s="155">
        <f>IF(MatchDay!$C$2="LOWER",COUNTA(BF62:BH62),0)</f>
        <v>0</v>
      </c>
      <c r="CA62" s="157" t="s">
        <v>912</v>
      </c>
      <c r="CB62" s="177"/>
      <c r="CC62" s="165"/>
      <c r="CD62" s="177"/>
      <c r="CE62" s="344"/>
      <c r="CF62" s="177"/>
      <c r="CG62" s="165"/>
      <c r="CH62" s="177"/>
      <c r="CI62" s="158"/>
      <c r="CJ62" s="180"/>
      <c r="CK62" s="180"/>
      <c r="CL62" s="180"/>
      <c r="CM62" s="345"/>
      <c r="CN62" s="345"/>
      <c r="CO62" s="177"/>
      <c r="CP62" s="158"/>
      <c r="CQ62" s="177"/>
      <c r="CR62" s="180"/>
      <c r="CS62" s="158"/>
      <c r="CT62" s="344"/>
      <c r="CU62" s="158"/>
      <c r="CV62" s="345"/>
      <c r="CW62" s="155">
        <f t="shared" si="6"/>
        <v>0</v>
      </c>
      <c r="CX62" s="155">
        <f t="shared" si="7"/>
        <v>0</v>
      </c>
      <c r="CY62" s="155">
        <f>IF(MatchDay!$C$2="LOWER",COUNTA(CF62:CH62),0)</f>
        <v>0</v>
      </c>
      <c r="DA62" s="157" t="s">
        <v>912</v>
      </c>
      <c r="DB62" s="171"/>
      <c r="DC62" s="165"/>
      <c r="DD62" s="171"/>
      <c r="DE62" s="344"/>
      <c r="DF62" s="171"/>
      <c r="DG62" s="165"/>
      <c r="DH62" s="171"/>
      <c r="DI62" s="158"/>
      <c r="DJ62" s="180"/>
      <c r="DK62" s="180"/>
      <c r="DL62" s="180"/>
      <c r="DM62" s="345"/>
      <c r="DN62" s="345"/>
      <c r="DO62" s="171"/>
      <c r="DP62" s="158"/>
      <c r="DQ62" s="171"/>
      <c r="DR62" s="180"/>
      <c r="DS62" s="158"/>
      <c r="DT62" s="344"/>
      <c r="DU62" s="158"/>
      <c r="DV62" s="345"/>
      <c r="DW62" s="155">
        <f t="shared" si="8"/>
        <v>0</v>
      </c>
      <c r="DX62" s="155">
        <f t="shared" si="9"/>
        <v>0</v>
      </c>
      <c r="DY62" s="155">
        <f>IF(MatchDay!$C$2="LOWER",COUNTA(DF62:DH62),0)</f>
        <v>0</v>
      </c>
      <c r="EA62" s="157" t="s">
        <v>912</v>
      </c>
      <c r="EB62" s="177"/>
      <c r="EC62" s="165"/>
      <c r="ED62" s="177"/>
      <c r="EE62" s="344"/>
      <c r="EF62" s="177"/>
      <c r="EG62" s="165"/>
      <c r="EH62" s="177"/>
      <c r="EI62" s="158"/>
      <c r="EJ62" s="180"/>
      <c r="EK62" s="180"/>
      <c r="EL62" s="180"/>
      <c r="EM62" s="345"/>
      <c r="EN62" s="345"/>
      <c r="EO62" s="177"/>
      <c r="EP62" s="158"/>
      <c r="EQ62" s="177"/>
      <c r="ER62" s="180"/>
      <c r="ES62" s="158"/>
      <c r="ET62" s="344"/>
      <c r="EU62" s="158"/>
      <c r="EV62" s="345"/>
      <c r="EW62" s="155">
        <f t="shared" si="10"/>
        <v>0</v>
      </c>
      <c r="EX62" s="155">
        <f t="shared" si="11"/>
        <v>0</v>
      </c>
      <c r="EY62" s="155">
        <f>IF(MatchDay!$C$2="LOWER",COUNTA(EF62:EH62),0)</f>
        <v>0</v>
      </c>
      <c r="FA62" s="157" t="s">
        <v>912</v>
      </c>
      <c r="FB62" s="171"/>
      <c r="FC62" s="165"/>
      <c r="FD62" s="171"/>
      <c r="FE62" s="344"/>
      <c r="FF62" s="171"/>
      <c r="FG62" s="165"/>
      <c r="FH62" s="171"/>
      <c r="FI62" s="158"/>
      <c r="FJ62" s="180"/>
      <c r="FK62" s="180"/>
      <c r="FL62" s="180"/>
      <c r="FM62" s="345"/>
      <c r="FN62" s="345"/>
      <c r="FO62" s="171"/>
      <c r="FP62" s="158"/>
      <c r="FQ62" s="171"/>
      <c r="FR62" s="180"/>
      <c r="FS62" s="158"/>
      <c r="FT62" s="344"/>
      <c r="FU62" s="158"/>
      <c r="FV62" s="345"/>
      <c r="FW62" s="155">
        <f t="shared" si="12"/>
        <v>0</v>
      </c>
      <c r="FX62" s="155">
        <f t="shared" si="13"/>
        <v>0</v>
      </c>
      <c r="FY62" s="155">
        <f>IF(MatchDay!$C$2="LOWER",COUNTA(FF62:FH62),0)</f>
        <v>0</v>
      </c>
      <c r="GA62" s="157" t="s">
        <v>912</v>
      </c>
      <c r="GB62" s="177"/>
      <c r="GC62" s="165"/>
      <c r="GD62" s="177"/>
      <c r="GE62" s="344"/>
      <c r="GF62" s="177"/>
      <c r="GG62" s="165"/>
      <c r="GH62" s="177"/>
      <c r="GI62" s="158"/>
      <c r="GJ62" s="180"/>
      <c r="GK62" s="180"/>
      <c r="GL62" s="180"/>
      <c r="GM62" s="345"/>
      <c r="GN62" s="345"/>
      <c r="GO62" s="177"/>
      <c r="GP62" s="158"/>
      <c r="GQ62" s="177"/>
      <c r="GR62" s="180"/>
      <c r="GS62" s="158"/>
      <c r="GT62" s="344"/>
      <c r="GU62" s="158"/>
      <c r="GV62" s="345"/>
      <c r="GW62" s="155">
        <f t="shared" si="14"/>
        <v>0</v>
      </c>
      <c r="GX62" s="155">
        <f t="shared" si="15"/>
        <v>0</v>
      </c>
      <c r="GY62" s="155">
        <f>IF(MatchDay!$C$2="LOWER",COUNTA(GF62:GH62),0)</f>
        <v>0</v>
      </c>
    </row>
    <row r="63" spans="1:207" ht="16.5" customHeight="1" x14ac:dyDescent="0.45">
      <c r="A63" s="157" t="s">
        <v>912</v>
      </c>
      <c r="B63" s="171"/>
      <c r="C63" s="165"/>
      <c r="D63" s="171"/>
      <c r="E63" s="344"/>
      <c r="F63" s="171"/>
      <c r="G63" s="165"/>
      <c r="H63" s="171"/>
      <c r="I63" s="158"/>
      <c r="J63" s="180"/>
      <c r="K63" s="180"/>
      <c r="L63" s="180"/>
      <c r="M63" s="345"/>
      <c r="N63" s="345"/>
      <c r="O63" s="171"/>
      <c r="P63" s="158"/>
      <c r="Q63" s="171"/>
      <c r="R63" s="180"/>
      <c r="S63" s="158"/>
      <c r="T63" s="344"/>
      <c r="U63" s="158"/>
      <c r="V63" s="345"/>
      <c r="W63" s="155">
        <f t="shared" si="0"/>
        <v>0</v>
      </c>
      <c r="X63" s="155">
        <f t="shared" si="1"/>
        <v>0</v>
      </c>
      <c r="Y63" s="155">
        <f>IF(MatchDay!$C$2="LOWER",COUNTA(F63:H63),0)</f>
        <v>0</v>
      </c>
      <c r="AA63" s="157" t="s">
        <v>912</v>
      </c>
      <c r="AB63" s="177"/>
      <c r="AC63" s="165"/>
      <c r="AD63" s="177"/>
      <c r="AE63" s="344"/>
      <c r="AF63" s="177"/>
      <c r="AG63" s="165"/>
      <c r="AH63" s="177"/>
      <c r="AI63" s="158"/>
      <c r="AJ63" s="180"/>
      <c r="AK63" s="180"/>
      <c r="AL63" s="180"/>
      <c r="AM63" s="345"/>
      <c r="AN63" s="345"/>
      <c r="AO63" s="177"/>
      <c r="AP63" s="158"/>
      <c r="AQ63" s="177"/>
      <c r="AR63" s="180"/>
      <c r="AS63" s="158"/>
      <c r="AT63" s="344"/>
      <c r="AU63" s="158"/>
      <c r="AV63" s="345"/>
      <c r="AW63" s="155">
        <f t="shared" si="2"/>
        <v>0</v>
      </c>
      <c r="AX63" s="155">
        <f t="shared" si="3"/>
        <v>0</v>
      </c>
      <c r="AY63" s="155">
        <f>IF(MatchDay!$C$2="LOWER",COUNTA(AF63:AH63),0)</f>
        <v>0</v>
      </c>
      <c r="BA63" s="157" t="s">
        <v>912</v>
      </c>
      <c r="BB63" s="171"/>
      <c r="BC63" s="165"/>
      <c r="BD63" s="171"/>
      <c r="BE63" s="344"/>
      <c r="BF63" s="171"/>
      <c r="BG63" s="165"/>
      <c r="BH63" s="171"/>
      <c r="BI63" s="158"/>
      <c r="BJ63" s="180"/>
      <c r="BK63" s="180"/>
      <c r="BL63" s="180"/>
      <c r="BM63" s="345"/>
      <c r="BN63" s="345"/>
      <c r="BO63" s="171"/>
      <c r="BP63" s="158"/>
      <c r="BQ63" s="171"/>
      <c r="BR63" s="180"/>
      <c r="BS63" s="158"/>
      <c r="BT63" s="344"/>
      <c r="BU63" s="158"/>
      <c r="BV63" s="345"/>
      <c r="BW63" s="155">
        <f t="shared" si="4"/>
        <v>0</v>
      </c>
      <c r="BX63" s="155">
        <f t="shared" si="5"/>
        <v>0</v>
      </c>
      <c r="BY63" s="155">
        <f>IF(MatchDay!$C$2="LOWER",COUNTA(BF63:BH63),0)</f>
        <v>0</v>
      </c>
      <c r="CA63" s="157" t="s">
        <v>912</v>
      </c>
      <c r="CB63" s="177"/>
      <c r="CC63" s="165"/>
      <c r="CD63" s="177"/>
      <c r="CE63" s="344"/>
      <c r="CF63" s="177"/>
      <c r="CG63" s="165"/>
      <c r="CH63" s="177"/>
      <c r="CI63" s="158"/>
      <c r="CJ63" s="180"/>
      <c r="CK63" s="180"/>
      <c r="CL63" s="180"/>
      <c r="CM63" s="345"/>
      <c r="CN63" s="345"/>
      <c r="CO63" s="177"/>
      <c r="CP63" s="158"/>
      <c r="CQ63" s="177"/>
      <c r="CR63" s="180"/>
      <c r="CS63" s="158"/>
      <c r="CT63" s="344"/>
      <c r="CU63" s="158"/>
      <c r="CV63" s="345"/>
      <c r="CW63" s="155">
        <f t="shared" si="6"/>
        <v>0</v>
      </c>
      <c r="CX63" s="155">
        <f t="shared" si="7"/>
        <v>0</v>
      </c>
      <c r="CY63" s="155">
        <f>IF(MatchDay!$C$2="LOWER",COUNTA(CF63:CH63),0)</f>
        <v>0</v>
      </c>
      <c r="DA63" s="157" t="s">
        <v>912</v>
      </c>
      <c r="DB63" s="171"/>
      <c r="DC63" s="165"/>
      <c r="DD63" s="171"/>
      <c r="DE63" s="344"/>
      <c r="DF63" s="171"/>
      <c r="DG63" s="165"/>
      <c r="DH63" s="171"/>
      <c r="DI63" s="158"/>
      <c r="DJ63" s="180"/>
      <c r="DK63" s="180"/>
      <c r="DL63" s="180"/>
      <c r="DM63" s="345"/>
      <c r="DN63" s="345"/>
      <c r="DO63" s="171"/>
      <c r="DP63" s="158"/>
      <c r="DQ63" s="171"/>
      <c r="DR63" s="180"/>
      <c r="DS63" s="158"/>
      <c r="DT63" s="344"/>
      <c r="DU63" s="158"/>
      <c r="DV63" s="345"/>
      <c r="DW63" s="155">
        <f t="shared" si="8"/>
        <v>0</v>
      </c>
      <c r="DX63" s="155">
        <f t="shared" si="9"/>
        <v>0</v>
      </c>
      <c r="DY63" s="155">
        <f>IF(MatchDay!$C$2="LOWER",COUNTA(DF63:DH63),0)</f>
        <v>0</v>
      </c>
      <c r="EA63" s="157" t="s">
        <v>912</v>
      </c>
      <c r="EB63" s="177"/>
      <c r="EC63" s="165"/>
      <c r="ED63" s="177"/>
      <c r="EE63" s="344"/>
      <c r="EF63" s="177"/>
      <c r="EG63" s="165"/>
      <c r="EH63" s="177"/>
      <c r="EI63" s="158"/>
      <c r="EJ63" s="180"/>
      <c r="EK63" s="180"/>
      <c r="EL63" s="180"/>
      <c r="EM63" s="345"/>
      <c r="EN63" s="345"/>
      <c r="EO63" s="177"/>
      <c r="EP63" s="158"/>
      <c r="EQ63" s="177"/>
      <c r="ER63" s="180"/>
      <c r="ES63" s="158"/>
      <c r="ET63" s="344"/>
      <c r="EU63" s="158"/>
      <c r="EV63" s="345"/>
      <c r="EW63" s="155">
        <f t="shared" si="10"/>
        <v>0</v>
      </c>
      <c r="EX63" s="155">
        <f t="shared" si="11"/>
        <v>0</v>
      </c>
      <c r="EY63" s="155">
        <f>IF(MatchDay!$C$2="LOWER",COUNTA(EF63:EH63),0)</f>
        <v>0</v>
      </c>
      <c r="FA63" s="157" t="s">
        <v>912</v>
      </c>
      <c r="FB63" s="171"/>
      <c r="FC63" s="165"/>
      <c r="FD63" s="171"/>
      <c r="FE63" s="344"/>
      <c r="FF63" s="171"/>
      <c r="FG63" s="165"/>
      <c r="FH63" s="171"/>
      <c r="FI63" s="158"/>
      <c r="FJ63" s="180"/>
      <c r="FK63" s="180"/>
      <c r="FL63" s="180"/>
      <c r="FM63" s="345"/>
      <c r="FN63" s="345"/>
      <c r="FO63" s="171"/>
      <c r="FP63" s="158"/>
      <c r="FQ63" s="171"/>
      <c r="FR63" s="180"/>
      <c r="FS63" s="158"/>
      <c r="FT63" s="344"/>
      <c r="FU63" s="158"/>
      <c r="FV63" s="345"/>
      <c r="FW63" s="155">
        <f t="shared" si="12"/>
        <v>0</v>
      </c>
      <c r="FX63" s="155">
        <f t="shared" si="13"/>
        <v>0</v>
      </c>
      <c r="FY63" s="155">
        <f>IF(MatchDay!$C$2="LOWER",COUNTA(FF63:FH63),0)</f>
        <v>0</v>
      </c>
      <c r="GA63" s="157" t="s">
        <v>912</v>
      </c>
      <c r="GB63" s="177"/>
      <c r="GC63" s="165"/>
      <c r="GD63" s="177"/>
      <c r="GE63" s="344"/>
      <c r="GF63" s="177"/>
      <c r="GG63" s="165"/>
      <c r="GH63" s="177"/>
      <c r="GI63" s="158"/>
      <c r="GJ63" s="180"/>
      <c r="GK63" s="180"/>
      <c r="GL63" s="180"/>
      <c r="GM63" s="345"/>
      <c r="GN63" s="345"/>
      <c r="GO63" s="177"/>
      <c r="GP63" s="158"/>
      <c r="GQ63" s="177"/>
      <c r="GR63" s="180"/>
      <c r="GS63" s="158"/>
      <c r="GT63" s="344"/>
      <c r="GU63" s="158"/>
      <c r="GV63" s="345"/>
      <c r="GW63" s="155">
        <f t="shared" si="14"/>
        <v>0</v>
      </c>
      <c r="GX63" s="155">
        <f t="shared" si="15"/>
        <v>0</v>
      </c>
      <c r="GY63" s="155">
        <f>IF(MatchDay!$C$2="LOWER",COUNTA(GF63:GH63),0)</f>
        <v>0</v>
      </c>
    </row>
    <row r="64" spans="1:207" ht="16.5" customHeight="1" x14ac:dyDescent="0.45">
      <c r="A64" s="157" t="s">
        <v>912</v>
      </c>
      <c r="B64" s="171"/>
      <c r="C64" s="165"/>
      <c r="D64" s="171"/>
      <c r="E64" s="344"/>
      <c r="F64" s="171"/>
      <c r="G64" s="165"/>
      <c r="H64" s="171"/>
      <c r="I64" s="158"/>
      <c r="J64" s="180"/>
      <c r="K64" s="180"/>
      <c r="L64" s="180"/>
      <c r="M64" s="345"/>
      <c r="N64" s="345"/>
      <c r="O64" s="171"/>
      <c r="P64" s="158"/>
      <c r="Q64" s="171"/>
      <c r="R64" s="180"/>
      <c r="S64" s="158"/>
      <c r="T64" s="344"/>
      <c r="U64" s="158"/>
      <c r="V64" s="345"/>
      <c r="W64" s="155">
        <f t="shared" si="0"/>
        <v>0</v>
      </c>
      <c r="X64" s="155">
        <f t="shared" si="1"/>
        <v>0</v>
      </c>
      <c r="Y64" s="155">
        <f>IF(MatchDay!$C$2="LOWER",COUNTA(F64:H64),0)</f>
        <v>0</v>
      </c>
      <c r="AA64" s="157" t="s">
        <v>912</v>
      </c>
      <c r="AB64" s="177"/>
      <c r="AC64" s="165"/>
      <c r="AD64" s="177"/>
      <c r="AE64" s="344"/>
      <c r="AF64" s="177"/>
      <c r="AG64" s="165"/>
      <c r="AH64" s="177"/>
      <c r="AI64" s="158"/>
      <c r="AJ64" s="180"/>
      <c r="AK64" s="180"/>
      <c r="AL64" s="180"/>
      <c r="AM64" s="345"/>
      <c r="AN64" s="345"/>
      <c r="AO64" s="177"/>
      <c r="AP64" s="158"/>
      <c r="AQ64" s="177"/>
      <c r="AR64" s="180"/>
      <c r="AS64" s="158"/>
      <c r="AT64" s="344"/>
      <c r="AU64" s="158"/>
      <c r="AV64" s="345"/>
      <c r="AW64" s="155">
        <f t="shared" si="2"/>
        <v>0</v>
      </c>
      <c r="AX64" s="155">
        <f t="shared" si="3"/>
        <v>0</v>
      </c>
      <c r="AY64" s="155">
        <f>IF(MatchDay!$C$2="LOWER",COUNTA(AF64:AH64),0)</f>
        <v>0</v>
      </c>
      <c r="BA64" s="157" t="s">
        <v>912</v>
      </c>
      <c r="BB64" s="171"/>
      <c r="BC64" s="165"/>
      <c r="BD64" s="171"/>
      <c r="BE64" s="344"/>
      <c r="BF64" s="171"/>
      <c r="BG64" s="165"/>
      <c r="BH64" s="171"/>
      <c r="BI64" s="158"/>
      <c r="BJ64" s="180"/>
      <c r="BK64" s="180"/>
      <c r="BL64" s="180"/>
      <c r="BM64" s="345"/>
      <c r="BN64" s="345"/>
      <c r="BO64" s="171"/>
      <c r="BP64" s="158"/>
      <c r="BQ64" s="171"/>
      <c r="BR64" s="180"/>
      <c r="BS64" s="158"/>
      <c r="BT64" s="344"/>
      <c r="BU64" s="158"/>
      <c r="BV64" s="345"/>
      <c r="BW64" s="155">
        <f t="shared" si="4"/>
        <v>0</v>
      </c>
      <c r="BX64" s="155">
        <f t="shared" si="5"/>
        <v>0</v>
      </c>
      <c r="BY64" s="155">
        <f>IF(MatchDay!$C$2="LOWER",COUNTA(BF64:BH64),0)</f>
        <v>0</v>
      </c>
      <c r="CA64" s="157" t="s">
        <v>912</v>
      </c>
      <c r="CB64" s="177"/>
      <c r="CC64" s="165"/>
      <c r="CD64" s="177"/>
      <c r="CE64" s="344"/>
      <c r="CF64" s="177"/>
      <c r="CG64" s="165"/>
      <c r="CH64" s="177"/>
      <c r="CI64" s="158"/>
      <c r="CJ64" s="180"/>
      <c r="CK64" s="180"/>
      <c r="CL64" s="180"/>
      <c r="CM64" s="345"/>
      <c r="CN64" s="345"/>
      <c r="CO64" s="177"/>
      <c r="CP64" s="158"/>
      <c r="CQ64" s="177"/>
      <c r="CR64" s="180"/>
      <c r="CS64" s="158"/>
      <c r="CT64" s="344"/>
      <c r="CU64" s="158"/>
      <c r="CV64" s="345"/>
      <c r="CW64" s="155">
        <f t="shared" si="6"/>
        <v>0</v>
      </c>
      <c r="CX64" s="155">
        <f t="shared" si="7"/>
        <v>0</v>
      </c>
      <c r="CY64" s="155">
        <f>IF(MatchDay!$C$2="LOWER",COUNTA(CF64:CH64),0)</f>
        <v>0</v>
      </c>
      <c r="DA64" s="157" t="s">
        <v>912</v>
      </c>
      <c r="DB64" s="171"/>
      <c r="DC64" s="165"/>
      <c r="DD64" s="171"/>
      <c r="DE64" s="344"/>
      <c r="DF64" s="171"/>
      <c r="DG64" s="165"/>
      <c r="DH64" s="171"/>
      <c r="DI64" s="158"/>
      <c r="DJ64" s="180"/>
      <c r="DK64" s="180"/>
      <c r="DL64" s="180"/>
      <c r="DM64" s="345"/>
      <c r="DN64" s="345"/>
      <c r="DO64" s="171"/>
      <c r="DP64" s="158"/>
      <c r="DQ64" s="171"/>
      <c r="DR64" s="180"/>
      <c r="DS64" s="158"/>
      <c r="DT64" s="344"/>
      <c r="DU64" s="158"/>
      <c r="DV64" s="345"/>
      <c r="DW64" s="155">
        <f t="shared" si="8"/>
        <v>0</v>
      </c>
      <c r="DX64" s="155">
        <f t="shared" si="9"/>
        <v>0</v>
      </c>
      <c r="DY64" s="155">
        <f>IF(MatchDay!$C$2="LOWER",COUNTA(DF64:DH64),0)</f>
        <v>0</v>
      </c>
      <c r="EA64" s="157" t="s">
        <v>912</v>
      </c>
      <c r="EB64" s="177"/>
      <c r="EC64" s="165"/>
      <c r="ED64" s="177"/>
      <c r="EE64" s="344"/>
      <c r="EF64" s="177"/>
      <c r="EG64" s="165"/>
      <c r="EH64" s="177"/>
      <c r="EI64" s="158"/>
      <c r="EJ64" s="180"/>
      <c r="EK64" s="180"/>
      <c r="EL64" s="180"/>
      <c r="EM64" s="345"/>
      <c r="EN64" s="345"/>
      <c r="EO64" s="177"/>
      <c r="EP64" s="158"/>
      <c r="EQ64" s="177"/>
      <c r="ER64" s="180"/>
      <c r="ES64" s="158"/>
      <c r="ET64" s="344"/>
      <c r="EU64" s="158"/>
      <c r="EV64" s="345"/>
      <c r="EW64" s="155">
        <f t="shared" si="10"/>
        <v>0</v>
      </c>
      <c r="EX64" s="155">
        <f t="shared" si="11"/>
        <v>0</v>
      </c>
      <c r="EY64" s="155">
        <f>IF(MatchDay!$C$2="LOWER",COUNTA(EF64:EH64),0)</f>
        <v>0</v>
      </c>
      <c r="FA64" s="157" t="s">
        <v>912</v>
      </c>
      <c r="FB64" s="171"/>
      <c r="FC64" s="165"/>
      <c r="FD64" s="171"/>
      <c r="FE64" s="344"/>
      <c r="FF64" s="171"/>
      <c r="FG64" s="165"/>
      <c r="FH64" s="171"/>
      <c r="FI64" s="158"/>
      <c r="FJ64" s="180"/>
      <c r="FK64" s="180"/>
      <c r="FL64" s="180"/>
      <c r="FM64" s="345"/>
      <c r="FN64" s="345"/>
      <c r="FO64" s="171"/>
      <c r="FP64" s="158"/>
      <c r="FQ64" s="171"/>
      <c r="FR64" s="180"/>
      <c r="FS64" s="158"/>
      <c r="FT64" s="344"/>
      <c r="FU64" s="158"/>
      <c r="FV64" s="345"/>
      <c r="FW64" s="155">
        <f t="shared" si="12"/>
        <v>0</v>
      </c>
      <c r="FX64" s="155">
        <f t="shared" si="13"/>
        <v>0</v>
      </c>
      <c r="FY64" s="155">
        <f>IF(MatchDay!$C$2="LOWER",COUNTA(FF64:FH64),0)</f>
        <v>0</v>
      </c>
      <c r="GA64" s="157" t="s">
        <v>912</v>
      </c>
      <c r="GB64" s="177"/>
      <c r="GC64" s="165"/>
      <c r="GD64" s="177"/>
      <c r="GE64" s="344"/>
      <c r="GF64" s="177"/>
      <c r="GG64" s="165"/>
      <c r="GH64" s="177"/>
      <c r="GI64" s="158"/>
      <c r="GJ64" s="180"/>
      <c r="GK64" s="180"/>
      <c r="GL64" s="180"/>
      <c r="GM64" s="345"/>
      <c r="GN64" s="345"/>
      <c r="GO64" s="177"/>
      <c r="GP64" s="158"/>
      <c r="GQ64" s="177"/>
      <c r="GR64" s="180"/>
      <c r="GS64" s="158"/>
      <c r="GT64" s="344"/>
      <c r="GU64" s="158"/>
      <c r="GV64" s="345"/>
      <c r="GW64" s="155">
        <f t="shared" si="14"/>
        <v>0</v>
      </c>
      <c r="GX64" s="155">
        <f t="shared" si="15"/>
        <v>0</v>
      </c>
      <c r="GY64" s="155">
        <f>IF(MatchDay!$C$2="LOWER",COUNTA(GF64:GH64),0)</f>
        <v>0</v>
      </c>
    </row>
    <row r="65" spans="1:207" ht="16.5" customHeight="1" x14ac:dyDescent="0.45">
      <c r="A65" s="157" t="s">
        <v>912</v>
      </c>
      <c r="B65" s="171"/>
      <c r="C65" s="165"/>
      <c r="D65" s="171"/>
      <c r="E65" s="344"/>
      <c r="F65" s="171"/>
      <c r="G65" s="165"/>
      <c r="H65" s="171"/>
      <c r="I65" s="158"/>
      <c r="J65" s="180"/>
      <c r="K65" s="180"/>
      <c r="L65" s="180"/>
      <c r="M65" s="345"/>
      <c r="N65" s="345"/>
      <c r="O65" s="171"/>
      <c r="P65" s="158"/>
      <c r="Q65" s="171"/>
      <c r="R65" s="180"/>
      <c r="S65" s="158"/>
      <c r="T65" s="344"/>
      <c r="U65" s="158"/>
      <c r="V65" s="345"/>
      <c r="W65" s="155">
        <f t="shared" si="0"/>
        <v>0</v>
      </c>
      <c r="X65" s="155">
        <f t="shared" si="1"/>
        <v>0</v>
      </c>
      <c r="Y65" s="155">
        <f>IF(MatchDay!$C$2="LOWER",COUNTA(F65:H65),0)</f>
        <v>0</v>
      </c>
      <c r="AA65" s="157" t="s">
        <v>912</v>
      </c>
      <c r="AB65" s="177"/>
      <c r="AC65" s="165"/>
      <c r="AD65" s="177"/>
      <c r="AE65" s="344"/>
      <c r="AF65" s="177"/>
      <c r="AG65" s="165"/>
      <c r="AH65" s="177"/>
      <c r="AI65" s="158"/>
      <c r="AJ65" s="180"/>
      <c r="AK65" s="180"/>
      <c r="AL65" s="180"/>
      <c r="AM65" s="345"/>
      <c r="AN65" s="345"/>
      <c r="AO65" s="177"/>
      <c r="AP65" s="158"/>
      <c r="AQ65" s="177"/>
      <c r="AR65" s="180"/>
      <c r="AS65" s="158"/>
      <c r="AT65" s="344"/>
      <c r="AU65" s="158"/>
      <c r="AV65" s="345"/>
      <c r="AW65" s="155">
        <f t="shared" si="2"/>
        <v>0</v>
      </c>
      <c r="AX65" s="155">
        <f t="shared" si="3"/>
        <v>0</v>
      </c>
      <c r="AY65" s="155">
        <f>IF(MatchDay!$C$2="LOWER",COUNTA(AF65:AH65),0)</f>
        <v>0</v>
      </c>
      <c r="BA65" s="157" t="s">
        <v>912</v>
      </c>
      <c r="BB65" s="171"/>
      <c r="BC65" s="165"/>
      <c r="BD65" s="171"/>
      <c r="BE65" s="344"/>
      <c r="BF65" s="171"/>
      <c r="BG65" s="165"/>
      <c r="BH65" s="171"/>
      <c r="BI65" s="158"/>
      <c r="BJ65" s="180"/>
      <c r="BK65" s="180"/>
      <c r="BL65" s="180"/>
      <c r="BM65" s="345"/>
      <c r="BN65" s="345"/>
      <c r="BO65" s="171"/>
      <c r="BP65" s="158"/>
      <c r="BQ65" s="171"/>
      <c r="BR65" s="180"/>
      <c r="BS65" s="158"/>
      <c r="BT65" s="344"/>
      <c r="BU65" s="158"/>
      <c r="BV65" s="345"/>
      <c r="BW65" s="155">
        <f t="shared" si="4"/>
        <v>0</v>
      </c>
      <c r="BX65" s="155">
        <f t="shared" si="5"/>
        <v>0</v>
      </c>
      <c r="BY65" s="155">
        <f>IF(MatchDay!$C$2="LOWER",COUNTA(BF65:BH65),0)</f>
        <v>0</v>
      </c>
      <c r="CA65" s="157" t="s">
        <v>912</v>
      </c>
      <c r="CB65" s="177"/>
      <c r="CC65" s="165"/>
      <c r="CD65" s="177"/>
      <c r="CE65" s="344"/>
      <c r="CF65" s="177"/>
      <c r="CG65" s="165"/>
      <c r="CH65" s="177"/>
      <c r="CI65" s="158"/>
      <c r="CJ65" s="180"/>
      <c r="CK65" s="180"/>
      <c r="CL65" s="180"/>
      <c r="CM65" s="345"/>
      <c r="CN65" s="345"/>
      <c r="CO65" s="177"/>
      <c r="CP65" s="158"/>
      <c r="CQ65" s="177"/>
      <c r="CR65" s="180"/>
      <c r="CS65" s="158"/>
      <c r="CT65" s="344"/>
      <c r="CU65" s="158"/>
      <c r="CV65" s="345"/>
      <c r="CW65" s="155">
        <f t="shared" si="6"/>
        <v>0</v>
      </c>
      <c r="CX65" s="155">
        <f t="shared" si="7"/>
        <v>0</v>
      </c>
      <c r="CY65" s="155">
        <f>IF(MatchDay!$C$2="LOWER",COUNTA(CF65:CH65),0)</f>
        <v>0</v>
      </c>
      <c r="DA65" s="157" t="s">
        <v>912</v>
      </c>
      <c r="DB65" s="171"/>
      <c r="DC65" s="165"/>
      <c r="DD65" s="171"/>
      <c r="DE65" s="344"/>
      <c r="DF65" s="171"/>
      <c r="DG65" s="165"/>
      <c r="DH65" s="171"/>
      <c r="DI65" s="158"/>
      <c r="DJ65" s="180"/>
      <c r="DK65" s="180"/>
      <c r="DL65" s="180"/>
      <c r="DM65" s="345"/>
      <c r="DN65" s="345"/>
      <c r="DO65" s="171"/>
      <c r="DP65" s="158"/>
      <c r="DQ65" s="171"/>
      <c r="DR65" s="180"/>
      <c r="DS65" s="158"/>
      <c r="DT65" s="344"/>
      <c r="DU65" s="158"/>
      <c r="DV65" s="345"/>
      <c r="DW65" s="155">
        <f t="shared" si="8"/>
        <v>0</v>
      </c>
      <c r="DX65" s="155">
        <f t="shared" si="9"/>
        <v>0</v>
      </c>
      <c r="DY65" s="155">
        <f>IF(MatchDay!$C$2="LOWER",COUNTA(DF65:DH65),0)</f>
        <v>0</v>
      </c>
      <c r="EA65" s="157" t="s">
        <v>912</v>
      </c>
      <c r="EB65" s="177"/>
      <c r="EC65" s="165"/>
      <c r="ED65" s="177"/>
      <c r="EE65" s="344"/>
      <c r="EF65" s="177"/>
      <c r="EG65" s="165"/>
      <c r="EH65" s="177"/>
      <c r="EI65" s="158"/>
      <c r="EJ65" s="180"/>
      <c r="EK65" s="180"/>
      <c r="EL65" s="180"/>
      <c r="EM65" s="345"/>
      <c r="EN65" s="345"/>
      <c r="EO65" s="177"/>
      <c r="EP65" s="158"/>
      <c r="EQ65" s="177"/>
      <c r="ER65" s="180"/>
      <c r="ES65" s="158"/>
      <c r="ET65" s="344"/>
      <c r="EU65" s="158"/>
      <c r="EV65" s="345"/>
      <c r="EW65" s="155">
        <f t="shared" si="10"/>
        <v>0</v>
      </c>
      <c r="EX65" s="155">
        <f t="shared" si="11"/>
        <v>0</v>
      </c>
      <c r="EY65" s="155">
        <f>IF(MatchDay!$C$2="LOWER",COUNTA(EF65:EH65),0)</f>
        <v>0</v>
      </c>
      <c r="FA65" s="157" t="s">
        <v>912</v>
      </c>
      <c r="FB65" s="171"/>
      <c r="FC65" s="165"/>
      <c r="FD65" s="171"/>
      <c r="FE65" s="344"/>
      <c r="FF65" s="171"/>
      <c r="FG65" s="165"/>
      <c r="FH65" s="171"/>
      <c r="FI65" s="158"/>
      <c r="FJ65" s="180"/>
      <c r="FK65" s="180"/>
      <c r="FL65" s="180"/>
      <c r="FM65" s="345"/>
      <c r="FN65" s="345"/>
      <c r="FO65" s="171"/>
      <c r="FP65" s="158"/>
      <c r="FQ65" s="171"/>
      <c r="FR65" s="180"/>
      <c r="FS65" s="158"/>
      <c r="FT65" s="344"/>
      <c r="FU65" s="158"/>
      <c r="FV65" s="345"/>
      <c r="FW65" s="155">
        <f t="shared" si="12"/>
        <v>0</v>
      </c>
      <c r="FX65" s="155">
        <f t="shared" si="13"/>
        <v>0</v>
      </c>
      <c r="FY65" s="155">
        <f>IF(MatchDay!$C$2="LOWER",COUNTA(FF65:FH65),0)</f>
        <v>0</v>
      </c>
      <c r="GA65" s="157" t="s">
        <v>912</v>
      </c>
      <c r="GB65" s="177"/>
      <c r="GC65" s="165"/>
      <c r="GD65" s="177"/>
      <c r="GE65" s="344"/>
      <c r="GF65" s="177"/>
      <c r="GG65" s="165"/>
      <c r="GH65" s="177"/>
      <c r="GI65" s="158"/>
      <c r="GJ65" s="180"/>
      <c r="GK65" s="180"/>
      <c r="GL65" s="180"/>
      <c r="GM65" s="345"/>
      <c r="GN65" s="345"/>
      <c r="GO65" s="177"/>
      <c r="GP65" s="158"/>
      <c r="GQ65" s="177"/>
      <c r="GR65" s="180"/>
      <c r="GS65" s="158"/>
      <c r="GT65" s="344"/>
      <c r="GU65" s="158"/>
      <c r="GV65" s="345"/>
      <c r="GW65" s="155">
        <f t="shared" si="14"/>
        <v>0</v>
      </c>
      <c r="GX65" s="155">
        <f t="shared" si="15"/>
        <v>0</v>
      </c>
      <c r="GY65" s="155">
        <f>IF(MatchDay!$C$2="LOWER",COUNTA(GF65:GH65),0)</f>
        <v>0</v>
      </c>
    </row>
    <row r="66" spans="1:207" ht="16.5" customHeight="1" x14ac:dyDescent="0.45">
      <c r="A66" s="157" t="s">
        <v>912</v>
      </c>
      <c r="B66" s="171"/>
      <c r="C66" s="165"/>
      <c r="D66" s="171"/>
      <c r="E66" s="344"/>
      <c r="F66" s="171"/>
      <c r="G66" s="165"/>
      <c r="H66" s="171"/>
      <c r="I66" s="158"/>
      <c r="J66" s="180"/>
      <c r="K66" s="180"/>
      <c r="L66" s="180"/>
      <c r="M66" s="345"/>
      <c r="N66" s="345"/>
      <c r="O66" s="171"/>
      <c r="P66" s="158"/>
      <c r="Q66" s="171"/>
      <c r="R66" s="180"/>
      <c r="S66" s="158"/>
      <c r="T66" s="344"/>
      <c r="U66" s="158"/>
      <c r="V66" s="345"/>
      <c r="W66" s="155">
        <f t="shared" si="0"/>
        <v>0</v>
      </c>
      <c r="X66" s="155">
        <f t="shared" si="1"/>
        <v>0</v>
      </c>
      <c r="Y66" s="155">
        <f>IF(MatchDay!$C$2="LOWER",COUNTA(F66:H66),0)</f>
        <v>0</v>
      </c>
      <c r="AA66" s="157" t="s">
        <v>912</v>
      </c>
      <c r="AB66" s="177"/>
      <c r="AC66" s="165"/>
      <c r="AD66" s="177"/>
      <c r="AE66" s="344"/>
      <c r="AF66" s="177"/>
      <c r="AG66" s="165"/>
      <c r="AH66" s="177"/>
      <c r="AI66" s="158"/>
      <c r="AJ66" s="180"/>
      <c r="AK66" s="180"/>
      <c r="AL66" s="180"/>
      <c r="AM66" s="345"/>
      <c r="AN66" s="345"/>
      <c r="AO66" s="177"/>
      <c r="AP66" s="158"/>
      <c r="AQ66" s="177"/>
      <c r="AR66" s="180"/>
      <c r="AS66" s="158"/>
      <c r="AT66" s="344"/>
      <c r="AU66" s="158"/>
      <c r="AV66" s="345"/>
      <c r="AW66" s="155">
        <f t="shared" si="2"/>
        <v>0</v>
      </c>
      <c r="AX66" s="155">
        <f t="shared" si="3"/>
        <v>0</v>
      </c>
      <c r="AY66" s="155">
        <f>IF(MatchDay!$C$2="LOWER",COUNTA(AF66:AH66),0)</f>
        <v>0</v>
      </c>
      <c r="BA66" s="157" t="s">
        <v>912</v>
      </c>
      <c r="BB66" s="171"/>
      <c r="BC66" s="165"/>
      <c r="BD66" s="171"/>
      <c r="BE66" s="344"/>
      <c r="BF66" s="171"/>
      <c r="BG66" s="165"/>
      <c r="BH66" s="171"/>
      <c r="BI66" s="158"/>
      <c r="BJ66" s="180"/>
      <c r="BK66" s="180"/>
      <c r="BL66" s="180"/>
      <c r="BM66" s="345"/>
      <c r="BN66" s="345"/>
      <c r="BO66" s="171"/>
      <c r="BP66" s="158"/>
      <c r="BQ66" s="171"/>
      <c r="BR66" s="180"/>
      <c r="BS66" s="158"/>
      <c r="BT66" s="344"/>
      <c r="BU66" s="158"/>
      <c r="BV66" s="345"/>
      <c r="BW66" s="155">
        <f t="shared" si="4"/>
        <v>0</v>
      </c>
      <c r="BX66" s="155">
        <f t="shared" si="5"/>
        <v>0</v>
      </c>
      <c r="BY66" s="155">
        <f>IF(MatchDay!$C$2="LOWER",COUNTA(BF66:BH66),0)</f>
        <v>0</v>
      </c>
      <c r="CA66" s="157" t="s">
        <v>912</v>
      </c>
      <c r="CB66" s="177"/>
      <c r="CC66" s="165"/>
      <c r="CD66" s="177"/>
      <c r="CE66" s="344"/>
      <c r="CF66" s="177"/>
      <c r="CG66" s="165"/>
      <c r="CH66" s="177"/>
      <c r="CI66" s="158"/>
      <c r="CJ66" s="180"/>
      <c r="CK66" s="180"/>
      <c r="CL66" s="180"/>
      <c r="CM66" s="345"/>
      <c r="CN66" s="345"/>
      <c r="CO66" s="177"/>
      <c r="CP66" s="158"/>
      <c r="CQ66" s="177"/>
      <c r="CR66" s="180"/>
      <c r="CS66" s="158"/>
      <c r="CT66" s="344"/>
      <c r="CU66" s="158"/>
      <c r="CV66" s="345"/>
      <c r="CW66" s="155">
        <f t="shared" si="6"/>
        <v>0</v>
      </c>
      <c r="CX66" s="155">
        <f t="shared" si="7"/>
        <v>0</v>
      </c>
      <c r="CY66" s="155">
        <f>IF(MatchDay!$C$2="LOWER",COUNTA(CF66:CH66),0)</f>
        <v>0</v>
      </c>
      <c r="DA66" s="157" t="s">
        <v>912</v>
      </c>
      <c r="DB66" s="171"/>
      <c r="DC66" s="165"/>
      <c r="DD66" s="171"/>
      <c r="DE66" s="344"/>
      <c r="DF66" s="171"/>
      <c r="DG66" s="165"/>
      <c r="DH66" s="171"/>
      <c r="DI66" s="158"/>
      <c r="DJ66" s="180"/>
      <c r="DK66" s="180"/>
      <c r="DL66" s="180"/>
      <c r="DM66" s="345"/>
      <c r="DN66" s="345"/>
      <c r="DO66" s="171"/>
      <c r="DP66" s="158"/>
      <c r="DQ66" s="171"/>
      <c r="DR66" s="180"/>
      <c r="DS66" s="158"/>
      <c r="DT66" s="344"/>
      <c r="DU66" s="158"/>
      <c r="DV66" s="345"/>
      <c r="DW66" s="155">
        <f t="shared" si="8"/>
        <v>0</v>
      </c>
      <c r="DX66" s="155">
        <f t="shared" si="9"/>
        <v>0</v>
      </c>
      <c r="DY66" s="155">
        <f>IF(MatchDay!$C$2="LOWER",COUNTA(DF66:DH66),0)</f>
        <v>0</v>
      </c>
      <c r="EA66" s="157" t="s">
        <v>912</v>
      </c>
      <c r="EB66" s="177"/>
      <c r="EC66" s="165"/>
      <c r="ED66" s="177"/>
      <c r="EE66" s="344"/>
      <c r="EF66" s="177"/>
      <c r="EG66" s="165"/>
      <c r="EH66" s="177"/>
      <c r="EI66" s="158"/>
      <c r="EJ66" s="180"/>
      <c r="EK66" s="180"/>
      <c r="EL66" s="180"/>
      <c r="EM66" s="345"/>
      <c r="EN66" s="345"/>
      <c r="EO66" s="177"/>
      <c r="EP66" s="158"/>
      <c r="EQ66" s="177"/>
      <c r="ER66" s="180"/>
      <c r="ES66" s="158"/>
      <c r="ET66" s="344"/>
      <c r="EU66" s="158"/>
      <c r="EV66" s="345"/>
      <c r="EW66" s="155">
        <f t="shared" si="10"/>
        <v>0</v>
      </c>
      <c r="EX66" s="155">
        <f t="shared" si="11"/>
        <v>0</v>
      </c>
      <c r="EY66" s="155">
        <f>IF(MatchDay!$C$2="LOWER",COUNTA(EF66:EH66),0)</f>
        <v>0</v>
      </c>
      <c r="FA66" s="157" t="s">
        <v>912</v>
      </c>
      <c r="FB66" s="171"/>
      <c r="FC66" s="165"/>
      <c r="FD66" s="171"/>
      <c r="FE66" s="344"/>
      <c r="FF66" s="171"/>
      <c r="FG66" s="165"/>
      <c r="FH66" s="171"/>
      <c r="FI66" s="158"/>
      <c r="FJ66" s="180"/>
      <c r="FK66" s="180"/>
      <c r="FL66" s="180"/>
      <c r="FM66" s="345"/>
      <c r="FN66" s="345"/>
      <c r="FO66" s="171"/>
      <c r="FP66" s="158"/>
      <c r="FQ66" s="171"/>
      <c r="FR66" s="180"/>
      <c r="FS66" s="158"/>
      <c r="FT66" s="344"/>
      <c r="FU66" s="158"/>
      <c r="FV66" s="345"/>
      <c r="FW66" s="155">
        <f t="shared" si="12"/>
        <v>0</v>
      </c>
      <c r="FX66" s="155">
        <f t="shared" si="13"/>
        <v>0</v>
      </c>
      <c r="FY66" s="155">
        <f>IF(MatchDay!$C$2="LOWER",COUNTA(FF66:FH66),0)</f>
        <v>0</v>
      </c>
      <c r="GA66" s="157" t="s">
        <v>912</v>
      </c>
      <c r="GB66" s="177"/>
      <c r="GC66" s="165"/>
      <c r="GD66" s="177"/>
      <c r="GE66" s="344"/>
      <c r="GF66" s="177"/>
      <c r="GG66" s="165"/>
      <c r="GH66" s="177"/>
      <c r="GI66" s="158"/>
      <c r="GJ66" s="180"/>
      <c r="GK66" s="180"/>
      <c r="GL66" s="180"/>
      <c r="GM66" s="345"/>
      <c r="GN66" s="345"/>
      <c r="GO66" s="177"/>
      <c r="GP66" s="158"/>
      <c r="GQ66" s="177"/>
      <c r="GR66" s="180"/>
      <c r="GS66" s="158"/>
      <c r="GT66" s="344"/>
      <c r="GU66" s="158"/>
      <c r="GV66" s="345"/>
      <c r="GW66" s="155">
        <f t="shared" si="14"/>
        <v>0</v>
      </c>
      <c r="GX66" s="155">
        <f t="shared" si="15"/>
        <v>0</v>
      </c>
      <c r="GY66" s="155">
        <f>IF(MatchDay!$C$2="LOWER",COUNTA(GF66:GH66),0)</f>
        <v>0</v>
      </c>
    </row>
    <row r="67" spans="1:207" ht="16.5" customHeight="1" x14ac:dyDescent="0.45">
      <c r="A67" s="157" t="s">
        <v>912</v>
      </c>
      <c r="B67" s="171"/>
      <c r="C67" s="165"/>
      <c r="D67" s="171"/>
      <c r="E67" s="344"/>
      <c r="F67" s="171"/>
      <c r="G67" s="165"/>
      <c r="H67" s="171"/>
      <c r="I67" s="158"/>
      <c r="J67" s="180"/>
      <c r="K67" s="180"/>
      <c r="L67" s="180"/>
      <c r="M67" s="345"/>
      <c r="N67" s="345"/>
      <c r="O67" s="171"/>
      <c r="P67" s="158"/>
      <c r="Q67" s="171"/>
      <c r="R67" s="180"/>
      <c r="S67" s="158"/>
      <c r="T67" s="344"/>
      <c r="U67" s="158"/>
      <c r="V67" s="345"/>
      <c r="W67" s="155">
        <f t="shared" si="0"/>
        <v>0</v>
      </c>
      <c r="X67" s="155">
        <f t="shared" si="1"/>
        <v>0</v>
      </c>
      <c r="Y67" s="155">
        <f>IF(MatchDay!$C$2="LOWER",COUNTA(F67:H67),0)</f>
        <v>0</v>
      </c>
      <c r="AA67" s="157" t="s">
        <v>912</v>
      </c>
      <c r="AB67" s="177"/>
      <c r="AC67" s="165"/>
      <c r="AD67" s="177"/>
      <c r="AE67" s="344"/>
      <c r="AF67" s="177"/>
      <c r="AG67" s="165"/>
      <c r="AH67" s="177"/>
      <c r="AI67" s="158"/>
      <c r="AJ67" s="180"/>
      <c r="AK67" s="180"/>
      <c r="AL67" s="180"/>
      <c r="AM67" s="345"/>
      <c r="AN67" s="345"/>
      <c r="AO67" s="177"/>
      <c r="AP67" s="158"/>
      <c r="AQ67" s="177"/>
      <c r="AR67" s="180"/>
      <c r="AS67" s="158"/>
      <c r="AT67" s="344"/>
      <c r="AU67" s="158"/>
      <c r="AV67" s="345"/>
      <c r="AW67" s="155">
        <f t="shared" si="2"/>
        <v>0</v>
      </c>
      <c r="AX67" s="155">
        <f t="shared" si="3"/>
        <v>0</v>
      </c>
      <c r="AY67" s="155">
        <f>IF(MatchDay!$C$2="LOWER",COUNTA(AF67:AH67),0)</f>
        <v>0</v>
      </c>
      <c r="BA67" s="157" t="s">
        <v>912</v>
      </c>
      <c r="BB67" s="171"/>
      <c r="BC67" s="165"/>
      <c r="BD67" s="171"/>
      <c r="BE67" s="344"/>
      <c r="BF67" s="171"/>
      <c r="BG67" s="165"/>
      <c r="BH67" s="171"/>
      <c r="BI67" s="158"/>
      <c r="BJ67" s="180"/>
      <c r="BK67" s="180"/>
      <c r="BL67" s="180"/>
      <c r="BM67" s="345"/>
      <c r="BN67" s="345"/>
      <c r="BO67" s="171"/>
      <c r="BP67" s="158"/>
      <c r="BQ67" s="171"/>
      <c r="BR67" s="180"/>
      <c r="BS67" s="158"/>
      <c r="BT67" s="344"/>
      <c r="BU67" s="158"/>
      <c r="BV67" s="345"/>
      <c r="BW67" s="155">
        <f t="shared" si="4"/>
        <v>0</v>
      </c>
      <c r="BX67" s="155">
        <f t="shared" si="5"/>
        <v>0</v>
      </c>
      <c r="BY67" s="155">
        <f>IF(MatchDay!$C$2="LOWER",COUNTA(BF67:BH67),0)</f>
        <v>0</v>
      </c>
      <c r="CA67" s="157" t="s">
        <v>912</v>
      </c>
      <c r="CB67" s="177"/>
      <c r="CC67" s="165"/>
      <c r="CD67" s="177"/>
      <c r="CE67" s="344"/>
      <c r="CF67" s="177"/>
      <c r="CG67" s="165"/>
      <c r="CH67" s="177"/>
      <c r="CI67" s="158"/>
      <c r="CJ67" s="180"/>
      <c r="CK67" s="180"/>
      <c r="CL67" s="180"/>
      <c r="CM67" s="345"/>
      <c r="CN67" s="345"/>
      <c r="CO67" s="177"/>
      <c r="CP67" s="158"/>
      <c r="CQ67" s="177"/>
      <c r="CR67" s="180"/>
      <c r="CS67" s="158"/>
      <c r="CT67" s="344"/>
      <c r="CU67" s="158"/>
      <c r="CV67" s="345"/>
      <c r="CW67" s="155">
        <f t="shared" si="6"/>
        <v>0</v>
      </c>
      <c r="CX67" s="155">
        <f t="shared" si="7"/>
        <v>0</v>
      </c>
      <c r="CY67" s="155">
        <f>IF(MatchDay!$C$2="LOWER",COUNTA(CF67:CH67),0)</f>
        <v>0</v>
      </c>
      <c r="DA67" s="157" t="s">
        <v>912</v>
      </c>
      <c r="DB67" s="171"/>
      <c r="DC67" s="165"/>
      <c r="DD67" s="171"/>
      <c r="DE67" s="344"/>
      <c r="DF67" s="171"/>
      <c r="DG67" s="165"/>
      <c r="DH67" s="171"/>
      <c r="DI67" s="158"/>
      <c r="DJ67" s="180"/>
      <c r="DK67" s="180"/>
      <c r="DL67" s="180"/>
      <c r="DM67" s="345"/>
      <c r="DN67" s="345"/>
      <c r="DO67" s="171"/>
      <c r="DP67" s="158"/>
      <c r="DQ67" s="171"/>
      <c r="DR67" s="180"/>
      <c r="DS67" s="158"/>
      <c r="DT67" s="344"/>
      <c r="DU67" s="158"/>
      <c r="DV67" s="345"/>
      <c r="DW67" s="155">
        <f t="shared" si="8"/>
        <v>0</v>
      </c>
      <c r="DX67" s="155">
        <f t="shared" si="9"/>
        <v>0</v>
      </c>
      <c r="DY67" s="155">
        <f>IF(MatchDay!$C$2="LOWER",COUNTA(DF67:DH67),0)</f>
        <v>0</v>
      </c>
      <c r="EA67" s="157" t="s">
        <v>912</v>
      </c>
      <c r="EB67" s="177"/>
      <c r="EC67" s="165"/>
      <c r="ED67" s="177"/>
      <c r="EE67" s="344"/>
      <c r="EF67" s="177"/>
      <c r="EG67" s="165"/>
      <c r="EH67" s="177"/>
      <c r="EI67" s="158"/>
      <c r="EJ67" s="180"/>
      <c r="EK67" s="180"/>
      <c r="EL67" s="180"/>
      <c r="EM67" s="345"/>
      <c r="EN67" s="345"/>
      <c r="EO67" s="177"/>
      <c r="EP67" s="158"/>
      <c r="EQ67" s="177"/>
      <c r="ER67" s="180"/>
      <c r="ES67" s="158"/>
      <c r="ET67" s="344"/>
      <c r="EU67" s="158"/>
      <c r="EV67" s="345"/>
      <c r="EW67" s="155">
        <f t="shared" si="10"/>
        <v>0</v>
      </c>
      <c r="EX67" s="155">
        <f t="shared" si="11"/>
        <v>0</v>
      </c>
      <c r="EY67" s="155">
        <f>IF(MatchDay!$C$2="LOWER",COUNTA(EF67:EH67),0)</f>
        <v>0</v>
      </c>
      <c r="FA67" s="157" t="s">
        <v>912</v>
      </c>
      <c r="FB67" s="171"/>
      <c r="FC67" s="165"/>
      <c r="FD67" s="171"/>
      <c r="FE67" s="344"/>
      <c r="FF67" s="171"/>
      <c r="FG67" s="165"/>
      <c r="FH67" s="171"/>
      <c r="FI67" s="158"/>
      <c r="FJ67" s="180"/>
      <c r="FK67" s="180"/>
      <c r="FL67" s="180"/>
      <c r="FM67" s="345"/>
      <c r="FN67" s="345"/>
      <c r="FO67" s="171"/>
      <c r="FP67" s="158"/>
      <c r="FQ67" s="171"/>
      <c r="FR67" s="180"/>
      <c r="FS67" s="158"/>
      <c r="FT67" s="344"/>
      <c r="FU67" s="158"/>
      <c r="FV67" s="345"/>
      <c r="FW67" s="155">
        <f t="shared" si="12"/>
        <v>0</v>
      </c>
      <c r="FX67" s="155">
        <f t="shared" si="13"/>
        <v>0</v>
      </c>
      <c r="FY67" s="155">
        <f>IF(MatchDay!$C$2="LOWER",COUNTA(FF67:FH67),0)</f>
        <v>0</v>
      </c>
      <c r="GA67" s="157" t="s">
        <v>912</v>
      </c>
      <c r="GB67" s="177"/>
      <c r="GC67" s="165"/>
      <c r="GD67" s="177"/>
      <c r="GE67" s="344"/>
      <c r="GF67" s="177"/>
      <c r="GG67" s="165"/>
      <c r="GH67" s="177"/>
      <c r="GI67" s="158"/>
      <c r="GJ67" s="180"/>
      <c r="GK67" s="180"/>
      <c r="GL67" s="180"/>
      <c r="GM67" s="345"/>
      <c r="GN67" s="345"/>
      <c r="GO67" s="177"/>
      <c r="GP67" s="158"/>
      <c r="GQ67" s="177"/>
      <c r="GR67" s="180"/>
      <c r="GS67" s="158"/>
      <c r="GT67" s="344"/>
      <c r="GU67" s="158"/>
      <c r="GV67" s="345"/>
      <c r="GW67" s="155">
        <f t="shared" si="14"/>
        <v>0</v>
      </c>
      <c r="GX67" s="155">
        <f t="shared" si="15"/>
        <v>0</v>
      </c>
      <c r="GY67" s="155">
        <f>IF(MatchDay!$C$2="LOWER",COUNTA(GF67:GH67),0)</f>
        <v>0</v>
      </c>
    </row>
    <row r="68" spans="1:207" ht="16.5" customHeight="1" x14ac:dyDescent="0.45">
      <c r="A68" s="157" t="s">
        <v>912</v>
      </c>
      <c r="B68" s="171"/>
      <c r="C68" s="165"/>
      <c r="D68" s="171"/>
      <c r="E68" s="344"/>
      <c r="F68" s="171"/>
      <c r="G68" s="165"/>
      <c r="H68" s="171"/>
      <c r="I68" s="158"/>
      <c r="J68" s="180"/>
      <c r="K68" s="180"/>
      <c r="L68" s="180"/>
      <c r="M68" s="345"/>
      <c r="N68" s="345"/>
      <c r="O68" s="171"/>
      <c r="P68" s="158"/>
      <c r="Q68" s="171"/>
      <c r="R68" s="180"/>
      <c r="S68" s="158"/>
      <c r="T68" s="344"/>
      <c r="U68" s="158"/>
      <c r="V68" s="345"/>
      <c r="W68" s="155">
        <f t="shared" ref="W68:W74" si="16">COUNTA(B68:T68)</f>
        <v>0</v>
      </c>
      <c r="X68" s="155">
        <f t="shared" ref="X68:X74" si="17">COUNTA(U68:V68)</f>
        <v>0</v>
      </c>
      <c r="Y68" s="155">
        <f>IF(MatchDay!$C$2="LOWER",COUNTA(F68:H68),0)</f>
        <v>0</v>
      </c>
      <c r="AA68" s="157" t="s">
        <v>912</v>
      </c>
      <c r="AB68" s="177"/>
      <c r="AC68" s="165"/>
      <c r="AD68" s="177"/>
      <c r="AE68" s="344"/>
      <c r="AF68" s="177"/>
      <c r="AG68" s="165"/>
      <c r="AH68" s="177"/>
      <c r="AI68" s="158"/>
      <c r="AJ68" s="180"/>
      <c r="AK68" s="180"/>
      <c r="AL68" s="180"/>
      <c r="AM68" s="345"/>
      <c r="AN68" s="345"/>
      <c r="AO68" s="177"/>
      <c r="AP68" s="158"/>
      <c r="AQ68" s="177"/>
      <c r="AR68" s="180"/>
      <c r="AS68" s="158"/>
      <c r="AT68" s="344"/>
      <c r="AU68" s="158"/>
      <c r="AV68" s="345"/>
      <c r="AW68" s="155">
        <f t="shared" ref="AW68:AW74" si="18">COUNTA(AB68:AT68)</f>
        <v>0</v>
      </c>
      <c r="AX68" s="155">
        <f t="shared" ref="AX68:AX74" si="19">COUNTA(AU68:AV68)</f>
        <v>0</v>
      </c>
      <c r="AY68" s="155">
        <f>IF(MatchDay!$C$2="LOWER",COUNTA(AF68:AH68),0)</f>
        <v>0</v>
      </c>
      <c r="BA68" s="157" t="s">
        <v>912</v>
      </c>
      <c r="BB68" s="171"/>
      <c r="BC68" s="165"/>
      <c r="BD68" s="171"/>
      <c r="BE68" s="344"/>
      <c r="BF68" s="171"/>
      <c r="BG68" s="165"/>
      <c r="BH68" s="171"/>
      <c r="BI68" s="158"/>
      <c r="BJ68" s="180"/>
      <c r="BK68" s="180"/>
      <c r="BL68" s="180"/>
      <c r="BM68" s="345"/>
      <c r="BN68" s="345"/>
      <c r="BO68" s="171"/>
      <c r="BP68" s="158"/>
      <c r="BQ68" s="171"/>
      <c r="BR68" s="180"/>
      <c r="BS68" s="158"/>
      <c r="BT68" s="344"/>
      <c r="BU68" s="158"/>
      <c r="BV68" s="345"/>
      <c r="BW68" s="155">
        <f t="shared" ref="BW68:BW74" si="20">COUNTA(BB68:BT68)</f>
        <v>0</v>
      </c>
      <c r="BX68" s="155">
        <f t="shared" ref="BX68:BX74" si="21">COUNTA(BU68:BV68)</f>
        <v>0</v>
      </c>
      <c r="BY68" s="155">
        <f>IF(MatchDay!$C$2="LOWER",COUNTA(BF68:BH68),0)</f>
        <v>0</v>
      </c>
      <c r="CA68" s="157" t="s">
        <v>912</v>
      </c>
      <c r="CB68" s="177"/>
      <c r="CC68" s="165"/>
      <c r="CD68" s="177"/>
      <c r="CE68" s="344"/>
      <c r="CF68" s="177"/>
      <c r="CG68" s="165"/>
      <c r="CH68" s="177"/>
      <c r="CI68" s="158"/>
      <c r="CJ68" s="180"/>
      <c r="CK68" s="180"/>
      <c r="CL68" s="180"/>
      <c r="CM68" s="345"/>
      <c r="CN68" s="345"/>
      <c r="CO68" s="177"/>
      <c r="CP68" s="158"/>
      <c r="CQ68" s="177"/>
      <c r="CR68" s="180"/>
      <c r="CS68" s="158"/>
      <c r="CT68" s="344"/>
      <c r="CU68" s="158"/>
      <c r="CV68" s="345"/>
      <c r="CW68" s="155">
        <f t="shared" ref="CW68:CW74" si="22">COUNTA(CB68:CT68)</f>
        <v>0</v>
      </c>
      <c r="CX68" s="155">
        <f t="shared" ref="CX68:CX74" si="23">COUNTA(CU68:CV68)</f>
        <v>0</v>
      </c>
      <c r="CY68" s="155">
        <f>IF(MatchDay!$C$2="LOWER",COUNTA(CF68:CH68),0)</f>
        <v>0</v>
      </c>
      <c r="DA68" s="157" t="s">
        <v>912</v>
      </c>
      <c r="DB68" s="171"/>
      <c r="DC68" s="165"/>
      <c r="DD68" s="171"/>
      <c r="DE68" s="344"/>
      <c r="DF68" s="171"/>
      <c r="DG68" s="165"/>
      <c r="DH68" s="171"/>
      <c r="DI68" s="158"/>
      <c r="DJ68" s="180"/>
      <c r="DK68" s="180"/>
      <c r="DL68" s="180"/>
      <c r="DM68" s="345"/>
      <c r="DN68" s="345"/>
      <c r="DO68" s="171"/>
      <c r="DP68" s="158"/>
      <c r="DQ68" s="171"/>
      <c r="DR68" s="180"/>
      <c r="DS68" s="158"/>
      <c r="DT68" s="344"/>
      <c r="DU68" s="158"/>
      <c r="DV68" s="345"/>
      <c r="DW68" s="155">
        <f t="shared" ref="DW68:DW74" si="24">COUNTA(DB68:DT68)</f>
        <v>0</v>
      </c>
      <c r="DX68" s="155">
        <f t="shared" ref="DX68:DX74" si="25">COUNTA(DU68:DV68)</f>
        <v>0</v>
      </c>
      <c r="DY68" s="155">
        <f>IF(MatchDay!$C$2="LOWER",COUNTA(DF68:DH68),0)</f>
        <v>0</v>
      </c>
      <c r="EA68" s="157" t="s">
        <v>912</v>
      </c>
      <c r="EB68" s="177"/>
      <c r="EC68" s="165"/>
      <c r="ED68" s="177"/>
      <c r="EE68" s="344"/>
      <c r="EF68" s="177"/>
      <c r="EG68" s="165"/>
      <c r="EH68" s="177"/>
      <c r="EI68" s="158"/>
      <c r="EJ68" s="180"/>
      <c r="EK68" s="180"/>
      <c r="EL68" s="180"/>
      <c r="EM68" s="345"/>
      <c r="EN68" s="345"/>
      <c r="EO68" s="177"/>
      <c r="EP68" s="158"/>
      <c r="EQ68" s="177"/>
      <c r="ER68" s="180"/>
      <c r="ES68" s="158"/>
      <c r="ET68" s="344"/>
      <c r="EU68" s="158"/>
      <c r="EV68" s="345"/>
      <c r="EW68" s="155">
        <f t="shared" ref="EW68:EW74" si="26">COUNTA(EB68:ET68)</f>
        <v>0</v>
      </c>
      <c r="EX68" s="155">
        <f t="shared" ref="EX68:EX74" si="27">COUNTA(EU68:EV68)</f>
        <v>0</v>
      </c>
      <c r="EY68" s="155">
        <f>IF(MatchDay!$C$2="LOWER",COUNTA(EF68:EH68),0)</f>
        <v>0</v>
      </c>
      <c r="FA68" s="157" t="s">
        <v>912</v>
      </c>
      <c r="FB68" s="171"/>
      <c r="FC68" s="165"/>
      <c r="FD68" s="171"/>
      <c r="FE68" s="344"/>
      <c r="FF68" s="171"/>
      <c r="FG68" s="165"/>
      <c r="FH68" s="171"/>
      <c r="FI68" s="158"/>
      <c r="FJ68" s="180"/>
      <c r="FK68" s="180"/>
      <c r="FL68" s="180"/>
      <c r="FM68" s="345"/>
      <c r="FN68" s="345"/>
      <c r="FO68" s="171"/>
      <c r="FP68" s="158"/>
      <c r="FQ68" s="171"/>
      <c r="FR68" s="180"/>
      <c r="FS68" s="158"/>
      <c r="FT68" s="344"/>
      <c r="FU68" s="158"/>
      <c r="FV68" s="345"/>
      <c r="FW68" s="155">
        <f t="shared" ref="FW68:FW74" si="28">COUNTA(FB68:FT68)</f>
        <v>0</v>
      </c>
      <c r="FX68" s="155">
        <f t="shared" ref="FX68:FX74" si="29">COUNTA(FU68:FV68)</f>
        <v>0</v>
      </c>
      <c r="FY68" s="155">
        <f>IF(MatchDay!$C$2="LOWER",COUNTA(FF68:FH68),0)</f>
        <v>0</v>
      </c>
      <c r="GA68" s="157" t="s">
        <v>912</v>
      </c>
      <c r="GB68" s="177"/>
      <c r="GC68" s="165"/>
      <c r="GD68" s="177"/>
      <c r="GE68" s="344"/>
      <c r="GF68" s="177"/>
      <c r="GG68" s="165"/>
      <c r="GH68" s="177"/>
      <c r="GI68" s="158"/>
      <c r="GJ68" s="180"/>
      <c r="GK68" s="180"/>
      <c r="GL68" s="180"/>
      <c r="GM68" s="345"/>
      <c r="GN68" s="345"/>
      <c r="GO68" s="177"/>
      <c r="GP68" s="158"/>
      <c r="GQ68" s="177"/>
      <c r="GR68" s="180"/>
      <c r="GS68" s="158"/>
      <c r="GT68" s="344"/>
      <c r="GU68" s="158"/>
      <c r="GV68" s="345"/>
      <c r="GW68" s="155">
        <f t="shared" ref="GW68:GW74" si="30">COUNTA(GB68:GT68)</f>
        <v>0</v>
      </c>
      <c r="GX68" s="155">
        <f t="shared" ref="GX68:GX74" si="31">COUNTA(GU68:GV68)</f>
        <v>0</v>
      </c>
      <c r="GY68" s="155">
        <f>IF(MatchDay!$C$2="LOWER",COUNTA(GF68:GH68),0)</f>
        <v>0</v>
      </c>
    </row>
    <row r="69" spans="1:207" ht="16.5" customHeight="1" x14ac:dyDescent="0.45">
      <c r="A69" s="157" t="s">
        <v>912</v>
      </c>
      <c r="B69" s="171"/>
      <c r="C69" s="165"/>
      <c r="D69" s="171"/>
      <c r="E69" s="344"/>
      <c r="F69" s="171"/>
      <c r="G69" s="165"/>
      <c r="H69" s="171"/>
      <c r="I69" s="158"/>
      <c r="J69" s="180"/>
      <c r="K69" s="180"/>
      <c r="L69" s="180"/>
      <c r="M69" s="345"/>
      <c r="N69" s="345"/>
      <c r="O69" s="171"/>
      <c r="P69" s="158"/>
      <c r="Q69" s="171"/>
      <c r="R69" s="180"/>
      <c r="S69" s="158"/>
      <c r="T69" s="344"/>
      <c r="U69" s="158"/>
      <c r="V69" s="345"/>
      <c r="W69" s="155">
        <f t="shared" si="16"/>
        <v>0</v>
      </c>
      <c r="X69" s="155">
        <f t="shared" si="17"/>
        <v>0</v>
      </c>
      <c r="Y69" s="155">
        <f>IF(MatchDay!$C$2="LOWER",COUNTA(F69:H69),0)</f>
        <v>0</v>
      </c>
      <c r="AA69" s="157" t="s">
        <v>912</v>
      </c>
      <c r="AB69" s="177"/>
      <c r="AC69" s="165"/>
      <c r="AD69" s="177"/>
      <c r="AE69" s="344"/>
      <c r="AF69" s="177"/>
      <c r="AG69" s="165"/>
      <c r="AH69" s="177"/>
      <c r="AI69" s="158"/>
      <c r="AJ69" s="180"/>
      <c r="AK69" s="180"/>
      <c r="AL69" s="180"/>
      <c r="AM69" s="345"/>
      <c r="AN69" s="345"/>
      <c r="AO69" s="177"/>
      <c r="AP69" s="158"/>
      <c r="AQ69" s="177"/>
      <c r="AR69" s="180"/>
      <c r="AS69" s="158"/>
      <c r="AT69" s="344"/>
      <c r="AU69" s="158"/>
      <c r="AV69" s="345"/>
      <c r="AW69" s="155">
        <f t="shared" si="18"/>
        <v>0</v>
      </c>
      <c r="AX69" s="155">
        <f t="shared" si="19"/>
        <v>0</v>
      </c>
      <c r="AY69" s="155">
        <f>IF(MatchDay!$C$2="LOWER",COUNTA(AF69:AH69),0)</f>
        <v>0</v>
      </c>
      <c r="BA69" s="157" t="s">
        <v>912</v>
      </c>
      <c r="BB69" s="171"/>
      <c r="BC69" s="165"/>
      <c r="BD69" s="171"/>
      <c r="BE69" s="344"/>
      <c r="BF69" s="171"/>
      <c r="BG69" s="165"/>
      <c r="BH69" s="171"/>
      <c r="BI69" s="158"/>
      <c r="BJ69" s="180"/>
      <c r="BK69" s="180"/>
      <c r="BL69" s="180"/>
      <c r="BM69" s="345"/>
      <c r="BN69" s="345"/>
      <c r="BO69" s="171"/>
      <c r="BP69" s="158"/>
      <c r="BQ69" s="171"/>
      <c r="BR69" s="180"/>
      <c r="BS69" s="158"/>
      <c r="BT69" s="344"/>
      <c r="BU69" s="158"/>
      <c r="BV69" s="345"/>
      <c r="BW69" s="155">
        <f t="shared" si="20"/>
        <v>0</v>
      </c>
      <c r="BX69" s="155">
        <f t="shared" si="21"/>
        <v>0</v>
      </c>
      <c r="BY69" s="155">
        <f>IF(MatchDay!$C$2="LOWER",COUNTA(BF69:BH69),0)</f>
        <v>0</v>
      </c>
      <c r="CA69" s="157" t="s">
        <v>912</v>
      </c>
      <c r="CB69" s="177"/>
      <c r="CC69" s="165"/>
      <c r="CD69" s="177"/>
      <c r="CE69" s="344"/>
      <c r="CF69" s="177"/>
      <c r="CG69" s="165"/>
      <c r="CH69" s="177"/>
      <c r="CI69" s="158"/>
      <c r="CJ69" s="180"/>
      <c r="CK69" s="180"/>
      <c r="CL69" s="180"/>
      <c r="CM69" s="345"/>
      <c r="CN69" s="345"/>
      <c r="CO69" s="177"/>
      <c r="CP69" s="158"/>
      <c r="CQ69" s="177"/>
      <c r="CR69" s="180"/>
      <c r="CS69" s="158"/>
      <c r="CT69" s="344"/>
      <c r="CU69" s="158"/>
      <c r="CV69" s="345"/>
      <c r="CW69" s="155">
        <f t="shared" si="22"/>
        <v>0</v>
      </c>
      <c r="CX69" s="155">
        <f t="shared" si="23"/>
        <v>0</v>
      </c>
      <c r="CY69" s="155">
        <f>IF(MatchDay!$C$2="LOWER",COUNTA(CF69:CH69),0)</f>
        <v>0</v>
      </c>
      <c r="DA69" s="157" t="s">
        <v>912</v>
      </c>
      <c r="DB69" s="171"/>
      <c r="DC69" s="165"/>
      <c r="DD69" s="171"/>
      <c r="DE69" s="344"/>
      <c r="DF69" s="171"/>
      <c r="DG69" s="165"/>
      <c r="DH69" s="171"/>
      <c r="DI69" s="158"/>
      <c r="DJ69" s="180"/>
      <c r="DK69" s="180"/>
      <c r="DL69" s="180"/>
      <c r="DM69" s="345"/>
      <c r="DN69" s="345"/>
      <c r="DO69" s="171"/>
      <c r="DP69" s="158"/>
      <c r="DQ69" s="171"/>
      <c r="DR69" s="180"/>
      <c r="DS69" s="158"/>
      <c r="DT69" s="344"/>
      <c r="DU69" s="158"/>
      <c r="DV69" s="345"/>
      <c r="DW69" s="155">
        <f t="shared" si="24"/>
        <v>0</v>
      </c>
      <c r="DX69" s="155">
        <f t="shared" si="25"/>
        <v>0</v>
      </c>
      <c r="DY69" s="155">
        <f>IF(MatchDay!$C$2="LOWER",COUNTA(DF69:DH69),0)</f>
        <v>0</v>
      </c>
      <c r="EA69" s="157" t="s">
        <v>912</v>
      </c>
      <c r="EB69" s="177"/>
      <c r="EC69" s="165"/>
      <c r="ED69" s="177"/>
      <c r="EE69" s="344"/>
      <c r="EF69" s="177"/>
      <c r="EG69" s="165"/>
      <c r="EH69" s="177"/>
      <c r="EI69" s="158"/>
      <c r="EJ69" s="180"/>
      <c r="EK69" s="180"/>
      <c r="EL69" s="180"/>
      <c r="EM69" s="345"/>
      <c r="EN69" s="345"/>
      <c r="EO69" s="177"/>
      <c r="EP69" s="158"/>
      <c r="EQ69" s="177"/>
      <c r="ER69" s="180"/>
      <c r="ES69" s="158"/>
      <c r="ET69" s="344"/>
      <c r="EU69" s="158"/>
      <c r="EV69" s="345"/>
      <c r="EW69" s="155">
        <f t="shared" si="26"/>
        <v>0</v>
      </c>
      <c r="EX69" s="155">
        <f t="shared" si="27"/>
        <v>0</v>
      </c>
      <c r="EY69" s="155">
        <f>IF(MatchDay!$C$2="LOWER",COUNTA(EF69:EH69),0)</f>
        <v>0</v>
      </c>
      <c r="FA69" s="157" t="s">
        <v>912</v>
      </c>
      <c r="FB69" s="171"/>
      <c r="FC69" s="165"/>
      <c r="FD69" s="171"/>
      <c r="FE69" s="344"/>
      <c r="FF69" s="171"/>
      <c r="FG69" s="165"/>
      <c r="FH69" s="171"/>
      <c r="FI69" s="158"/>
      <c r="FJ69" s="180"/>
      <c r="FK69" s="180"/>
      <c r="FL69" s="180"/>
      <c r="FM69" s="345"/>
      <c r="FN69" s="345"/>
      <c r="FO69" s="171"/>
      <c r="FP69" s="158"/>
      <c r="FQ69" s="171"/>
      <c r="FR69" s="180"/>
      <c r="FS69" s="158"/>
      <c r="FT69" s="344"/>
      <c r="FU69" s="158"/>
      <c r="FV69" s="345"/>
      <c r="FW69" s="155">
        <f t="shared" si="28"/>
        <v>0</v>
      </c>
      <c r="FX69" s="155">
        <f t="shared" si="29"/>
        <v>0</v>
      </c>
      <c r="FY69" s="155">
        <f>IF(MatchDay!$C$2="LOWER",COUNTA(FF69:FH69),0)</f>
        <v>0</v>
      </c>
      <c r="GA69" s="157" t="s">
        <v>912</v>
      </c>
      <c r="GB69" s="177"/>
      <c r="GC69" s="165"/>
      <c r="GD69" s="177"/>
      <c r="GE69" s="344"/>
      <c r="GF69" s="177"/>
      <c r="GG69" s="165"/>
      <c r="GH69" s="177"/>
      <c r="GI69" s="158"/>
      <c r="GJ69" s="180"/>
      <c r="GK69" s="180"/>
      <c r="GL69" s="180"/>
      <c r="GM69" s="345"/>
      <c r="GN69" s="345"/>
      <c r="GO69" s="177"/>
      <c r="GP69" s="158"/>
      <c r="GQ69" s="177"/>
      <c r="GR69" s="180"/>
      <c r="GS69" s="158"/>
      <c r="GT69" s="344"/>
      <c r="GU69" s="158"/>
      <c r="GV69" s="345"/>
      <c r="GW69" s="155">
        <f t="shared" si="30"/>
        <v>0</v>
      </c>
      <c r="GX69" s="155">
        <f t="shared" si="31"/>
        <v>0</v>
      </c>
      <c r="GY69" s="155">
        <f>IF(MatchDay!$C$2="LOWER",COUNTA(GF69:GH69),0)</f>
        <v>0</v>
      </c>
    </row>
    <row r="70" spans="1:207" ht="16.5" customHeight="1" x14ac:dyDescent="0.45">
      <c r="A70" s="157" t="s">
        <v>912</v>
      </c>
      <c r="B70" s="171"/>
      <c r="C70" s="165"/>
      <c r="D70" s="171"/>
      <c r="E70" s="344"/>
      <c r="F70" s="171"/>
      <c r="G70" s="165"/>
      <c r="H70" s="171"/>
      <c r="I70" s="158"/>
      <c r="J70" s="180"/>
      <c r="K70" s="180"/>
      <c r="L70" s="180"/>
      <c r="M70" s="345"/>
      <c r="N70" s="345"/>
      <c r="O70" s="171"/>
      <c r="P70" s="158"/>
      <c r="Q70" s="171"/>
      <c r="R70" s="180"/>
      <c r="S70" s="158"/>
      <c r="T70" s="344"/>
      <c r="U70" s="158"/>
      <c r="V70" s="345"/>
      <c r="W70" s="155">
        <f t="shared" si="16"/>
        <v>0</v>
      </c>
      <c r="X70" s="155">
        <f t="shared" si="17"/>
        <v>0</v>
      </c>
      <c r="Y70" s="155">
        <f>IF(MatchDay!$C$2="LOWER",COUNTA(F70:H70),0)</f>
        <v>0</v>
      </c>
      <c r="AA70" s="157" t="s">
        <v>912</v>
      </c>
      <c r="AB70" s="177"/>
      <c r="AC70" s="165"/>
      <c r="AD70" s="177"/>
      <c r="AE70" s="344"/>
      <c r="AF70" s="177"/>
      <c r="AG70" s="165"/>
      <c r="AH70" s="177"/>
      <c r="AI70" s="158"/>
      <c r="AJ70" s="180"/>
      <c r="AK70" s="180"/>
      <c r="AL70" s="180"/>
      <c r="AM70" s="345"/>
      <c r="AN70" s="345"/>
      <c r="AO70" s="177"/>
      <c r="AP70" s="158"/>
      <c r="AQ70" s="177"/>
      <c r="AR70" s="180"/>
      <c r="AS70" s="158"/>
      <c r="AT70" s="344"/>
      <c r="AU70" s="158"/>
      <c r="AV70" s="345"/>
      <c r="AW70" s="155">
        <f t="shared" si="18"/>
        <v>0</v>
      </c>
      <c r="AX70" s="155">
        <f t="shared" si="19"/>
        <v>0</v>
      </c>
      <c r="AY70" s="155">
        <f>IF(MatchDay!$C$2="LOWER",COUNTA(AF70:AH70),0)</f>
        <v>0</v>
      </c>
      <c r="BA70" s="157" t="s">
        <v>912</v>
      </c>
      <c r="BB70" s="171"/>
      <c r="BC70" s="165"/>
      <c r="BD70" s="171"/>
      <c r="BE70" s="344"/>
      <c r="BF70" s="171"/>
      <c r="BG70" s="165"/>
      <c r="BH70" s="171"/>
      <c r="BI70" s="158"/>
      <c r="BJ70" s="180"/>
      <c r="BK70" s="180"/>
      <c r="BL70" s="180"/>
      <c r="BM70" s="345"/>
      <c r="BN70" s="345"/>
      <c r="BO70" s="171"/>
      <c r="BP70" s="158"/>
      <c r="BQ70" s="171"/>
      <c r="BR70" s="180"/>
      <c r="BS70" s="158"/>
      <c r="BT70" s="344"/>
      <c r="BU70" s="158"/>
      <c r="BV70" s="345"/>
      <c r="BW70" s="155">
        <f t="shared" si="20"/>
        <v>0</v>
      </c>
      <c r="BX70" s="155">
        <f t="shared" si="21"/>
        <v>0</v>
      </c>
      <c r="BY70" s="155">
        <f>IF(MatchDay!$C$2="LOWER",COUNTA(BF70:BH70),0)</f>
        <v>0</v>
      </c>
      <c r="CA70" s="157" t="s">
        <v>912</v>
      </c>
      <c r="CB70" s="177"/>
      <c r="CC70" s="165"/>
      <c r="CD70" s="177"/>
      <c r="CE70" s="344"/>
      <c r="CF70" s="177"/>
      <c r="CG70" s="165"/>
      <c r="CH70" s="177"/>
      <c r="CI70" s="158"/>
      <c r="CJ70" s="180"/>
      <c r="CK70" s="180"/>
      <c r="CL70" s="180"/>
      <c r="CM70" s="345"/>
      <c r="CN70" s="345"/>
      <c r="CO70" s="177"/>
      <c r="CP70" s="158"/>
      <c r="CQ70" s="177"/>
      <c r="CR70" s="180"/>
      <c r="CS70" s="158"/>
      <c r="CT70" s="344"/>
      <c r="CU70" s="158"/>
      <c r="CV70" s="345"/>
      <c r="CW70" s="155">
        <f t="shared" si="22"/>
        <v>0</v>
      </c>
      <c r="CX70" s="155">
        <f t="shared" si="23"/>
        <v>0</v>
      </c>
      <c r="CY70" s="155">
        <f>IF(MatchDay!$C$2="LOWER",COUNTA(CF70:CH70),0)</f>
        <v>0</v>
      </c>
      <c r="DA70" s="157" t="s">
        <v>912</v>
      </c>
      <c r="DB70" s="171"/>
      <c r="DC70" s="165"/>
      <c r="DD70" s="171"/>
      <c r="DE70" s="344"/>
      <c r="DF70" s="171"/>
      <c r="DG70" s="165"/>
      <c r="DH70" s="171"/>
      <c r="DI70" s="158"/>
      <c r="DJ70" s="180"/>
      <c r="DK70" s="180"/>
      <c r="DL70" s="180"/>
      <c r="DM70" s="345"/>
      <c r="DN70" s="345"/>
      <c r="DO70" s="171"/>
      <c r="DP70" s="158"/>
      <c r="DQ70" s="171"/>
      <c r="DR70" s="180"/>
      <c r="DS70" s="158"/>
      <c r="DT70" s="344"/>
      <c r="DU70" s="158"/>
      <c r="DV70" s="345"/>
      <c r="DW70" s="155">
        <f t="shared" si="24"/>
        <v>0</v>
      </c>
      <c r="DX70" s="155">
        <f t="shared" si="25"/>
        <v>0</v>
      </c>
      <c r="DY70" s="155">
        <f>IF(MatchDay!$C$2="LOWER",COUNTA(DF70:DH70),0)</f>
        <v>0</v>
      </c>
      <c r="EA70" s="157" t="s">
        <v>912</v>
      </c>
      <c r="EB70" s="177"/>
      <c r="EC70" s="165"/>
      <c r="ED70" s="177"/>
      <c r="EE70" s="344"/>
      <c r="EF70" s="177"/>
      <c r="EG70" s="165"/>
      <c r="EH70" s="177"/>
      <c r="EI70" s="158"/>
      <c r="EJ70" s="180"/>
      <c r="EK70" s="180"/>
      <c r="EL70" s="180"/>
      <c r="EM70" s="345"/>
      <c r="EN70" s="345"/>
      <c r="EO70" s="177"/>
      <c r="EP70" s="158"/>
      <c r="EQ70" s="177"/>
      <c r="ER70" s="180"/>
      <c r="ES70" s="158"/>
      <c r="ET70" s="344"/>
      <c r="EU70" s="158"/>
      <c r="EV70" s="345"/>
      <c r="EW70" s="155">
        <f t="shared" si="26"/>
        <v>0</v>
      </c>
      <c r="EX70" s="155">
        <f t="shared" si="27"/>
        <v>0</v>
      </c>
      <c r="EY70" s="155">
        <f>IF(MatchDay!$C$2="LOWER",COUNTA(EF70:EH70),0)</f>
        <v>0</v>
      </c>
      <c r="FA70" s="157" t="s">
        <v>912</v>
      </c>
      <c r="FB70" s="171"/>
      <c r="FC70" s="165"/>
      <c r="FD70" s="171"/>
      <c r="FE70" s="344"/>
      <c r="FF70" s="171"/>
      <c r="FG70" s="165"/>
      <c r="FH70" s="171"/>
      <c r="FI70" s="158"/>
      <c r="FJ70" s="180"/>
      <c r="FK70" s="180"/>
      <c r="FL70" s="180"/>
      <c r="FM70" s="345"/>
      <c r="FN70" s="345"/>
      <c r="FO70" s="171"/>
      <c r="FP70" s="158"/>
      <c r="FQ70" s="171"/>
      <c r="FR70" s="180"/>
      <c r="FS70" s="158"/>
      <c r="FT70" s="344"/>
      <c r="FU70" s="158"/>
      <c r="FV70" s="345"/>
      <c r="FW70" s="155">
        <f t="shared" si="28"/>
        <v>0</v>
      </c>
      <c r="FX70" s="155">
        <f t="shared" si="29"/>
        <v>0</v>
      </c>
      <c r="FY70" s="155">
        <f>IF(MatchDay!$C$2="LOWER",COUNTA(FF70:FH70),0)</f>
        <v>0</v>
      </c>
      <c r="GA70" s="157" t="s">
        <v>912</v>
      </c>
      <c r="GB70" s="177"/>
      <c r="GC70" s="165"/>
      <c r="GD70" s="177"/>
      <c r="GE70" s="344"/>
      <c r="GF70" s="177"/>
      <c r="GG70" s="165"/>
      <c r="GH70" s="177"/>
      <c r="GI70" s="158"/>
      <c r="GJ70" s="180"/>
      <c r="GK70" s="180"/>
      <c r="GL70" s="180"/>
      <c r="GM70" s="345"/>
      <c r="GN70" s="345"/>
      <c r="GO70" s="177"/>
      <c r="GP70" s="158"/>
      <c r="GQ70" s="177"/>
      <c r="GR70" s="180"/>
      <c r="GS70" s="158"/>
      <c r="GT70" s="344"/>
      <c r="GU70" s="158"/>
      <c r="GV70" s="345"/>
      <c r="GW70" s="155">
        <f t="shared" si="30"/>
        <v>0</v>
      </c>
      <c r="GX70" s="155">
        <f t="shared" si="31"/>
        <v>0</v>
      </c>
      <c r="GY70" s="155">
        <f>IF(MatchDay!$C$2="LOWER",COUNTA(GF70:GH70),0)</f>
        <v>0</v>
      </c>
    </row>
    <row r="71" spans="1:207" ht="16.5" customHeight="1" x14ac:dyDescent="0.45">
      <c r="A71" s="157" t="s">
        <v>912</v>
      </c>
      <c r="B71" s="171"/>
      <c r="C71" s="165"/>
      <c r="D71" s="171"/>
      <c r="E71" s="344"/>
      <c r="F71" s="171"/>
      <c r="G71" s="165"/>
      <c r="H71" s="171"/>
      <c r="I71" s="158"/>
      <c r="J71" s="180"/>
      <c r="K71" s="180"/>
      <c r="L71" s="180"/>
      <c r="M71" s="345"/>
      <c r="N71" s="345"/>
      <c r="O71" s="171"/>
      <c r="P71" s="158"/>
      <c r="Q71" s="171"/>
      <c r="R71" s="180"/>
      <c r="S71" s="158"/>
      <c r="T71" s="344"/>
      <c r="U71" s="158"/>
      <c r="V71" s="345"/>
      <c r="W71" s="155">
        <f t="shared" si="16"/>
        <v>0</v>
      </c>
      <c r="X71" s="155">
        <f t="shared" si="17"/>
        <v>0</v>
      </c>
      <c r="Y71" s="155">
        <f>IF(MatchDay!$C$2="LOWER",COUNTA(F71:H71),0)</f>
        <v>0</v>
      </c>
      <c r="AA71" s="157" t="s">
        <v>912</v>
      </c>
      <c r="AB71" s="177"/>
      <c r="AC71" s="165"/>
      <c r="AD71" s="177"/>
      <c r="AE71" s="344"/>
      <c r="AF71" s="177"/>
      <c r="AG71" s="165"/>
      <c r="AH71" s="177"/>
      <c r="AI71" s="158"/>
      <c r="AJ71" s="180"/>
      <c r="AK71" s="180"/>
      <c r="AL71" s="180"/>
      <c r="AM71" s="345"/>
      <c r="AN71" s="345"/>
      <c r="AO71" s="177"/>
      <c r="AP71" s="158"/>
      <c r="AQ71" s="177"/>
      <c r="AR71" s="180"/>
      <c r="AS71" s="158"/>
      <c r="AT71" s="344"/>
      <c r="AU71" s="158"/>
      <c r="AV71" s="345"/>
      <c r="AW71" s="155">
        <f t="shared" si="18"/>
        <v>0</v>
      </c>
      <c r="AX71" s="155">
        <f t="shared" si="19"/>
        <v>0</v>
      </c>
      <c r="AY71" s="155">
        <f>IF(MatchDay!$C$2="LOWER",COUNTA(AF71:AH71),0)</f>
        <v>0</v>
      </c>
      <c r="BA71" s="157" t="s">
        <v>912</v>
      </c>
      <c r="BB71" s="171"/>
      <c r="BC71" s="165"/>
      <c r="BD71" s="171"/>
      <c r="BE71" s="344"/>
      <c r="BF71" s="171"/>
      <c r="BG71" s="165"/>
      <c r="BH71" s="171"/>
      <c r="BI71" s="158"/>
      <c r="BJ71" s="180"/>
      <c r="BK71" s="180"/>
      <c r="BL71" s="180"/>
      <c r="BM71" s="345"/>
      <c r="BN71" s="345"/>
      <c r="BO71" s="171"/>
      <c r="BP71" s="158"/>
      <c r="BQ71" s="171"/>
      <c r="BR71" s="180"/>
      <c r="BS71" s="158"/>
      <c r="BT71" s="344"/>
      <c r="BU71" s="158"/>
      <c r="BV71" s="345"/>
      <c r="BW71" s="155">
        <f t="shared" si="20"/>
        <v>0</v>
      </c>
      <c r="BX71" s="155">
        <f t="shared" si="21"/>
        <v>0</v>
      </c>
      <c r="BY71" s="155">
        <f>IF(MatchDay!$C$2="LOWER",COUNTA(BF71:BH71),0)</f>
        <v>0</v>
      </c>
      <c r="CA71" s="157" t="s">
        <v>912</v>
      </c>
      <c r="CB71" s="177"/>
      <c r="CC71" s="165"/>
      <c r="CD71" s="177"/>
      <c r="CE71" s="344"/>
      <c r="CF71" s="177"/>
      <c r="CG71" s="165"/>
      <c r="CH71" s="177"/>
      <c r="CI71" s="158"/>
      <c r="CJ71" s="180"/>
      <c r="CK71" s="180"/>
      <c r="CL71" s="180"/>
      <c r="CM71" s="345"/>
      <c r="CN71" s="345"/>
      <c r="CO71" s="177"/>
      <c r="CP71" s="158"/>
      <c r="CQ71" s="177"/>
      <c r="CR71" s="180"/>
      <c r="CS71" s="158"/>
      <c r="CT71" s="344"/>
      <c r="CU71" s="158"/>
      <c r="CV71" s="345"/>
      <c r="CW71" s="155">
        <f t="shared" si="22"/>
        <v>0</v>
      </c>
      <c r="CX71" s="155">
        <f t="shared" si="23"/>
        <v>0</v>
      </c>
      <c r="CY71" s="155">
        <f>IF(MatchDay!$C$2="LOWER",COUNTA(CF71:CH71),0)</f>
        <v>0</v>
      </c>
      <c r="DA71" s="157" t="s">
        <v>912</v>
      </c>
      <c r="DB71" s="171"/>
      <c r="DC71" s="165"/>
      <c r="DD71" s="171"/>
      <c r="DE71" s="344"/>
      <c r="DF71" s="171"/>
      <c r="DG71" s="165"/>
      <c r="DH71" s="171"/>
      <c r="DI71" s="158"/>
      <c r="DJ71" s="180"/>
      <c r="DK71" s="180"/>
      <c r="DL71" s="180"/>
      <c r="DM71" s="345"/>
      <c r="DN71" s="345"/>
      <c r="DO71" s="171"/>
      <c r="DP71" s="158"/>
      <c r="DQ71" s="171"/>
      <c r="DR71" s="180"/>
      <c r="DS71" s="158"/>
      <c r="DT71" s="344"/>
      <c r="DU71" s="158"/>
      <c r="DV71" s="345"/>
      <c r="DW71" s="155">
        <f t="shared" si="24"/>
        <v>0</v>
      </c>
      <c r="DX71" s="155">
        <f t="shared" si="25"/>
        <v>0</v>
      </c>
      <c r="DY71" s="155">
        <f>IF(MatchDay!$C$2="LOWER",COUNTA(DF71:DH71),0)</f>
        <v>0</v>
      </c>
      <c r="EA71" s="157" t="s">
        <v>912</v>
      </c>
      <c r="EB71" s="177"/>
      <c r="EC71" s="165"/>
      <c r="ED71" s="177"/>
      <c r="EE71" s="344"/>
      <c r="EF71" s="177"/>
      <c r="EG71" s="165"/>
      <c r="EH71" s="177"/>
      <c r="EI71" s="158"/>
      <c r="EJ71" s="180"/>
      <c r="EK71" s="180"/>
      <c r="EL71" s="180"/>
      <c r="EM71" s="345"/>
      <c r="EN71" s="345"/>
      <c r="EO71" s="177"/>
      <c r="EP71" s="158"/>
      <c r="EQ71" s="177"/>
      <c r="ER71" s="180"/>
      <c r="ES71" s="158"/>
      <c r="ET71" s="344"/>
      <c r="EU71" s="158"/>
      <c r="EV71" s="345"/>
      <c r="EW71" s="155">
        <f t="shared" si="26"/>
        <v>0</v>
      </c>
      <c r="EX71" s="155">
        <f t="shared" si="27"/>
        <v>0</v>
      </c>
      <c r="EY71" s="155">
        <f>IF(MatchDay!$C$2="LOWER",COUNTA(EF71:EH71),0)</f>
        <v>0</v>
      </c>
      <c r="FA71" s="157" t="s">
        <v>912</v>
      </c>
      <c r="FB71" s="171"/>
      <c r="FC71" s="165"/>
      <c r="FD71" s="171"/>
      <c r="FE71" s="344"/>
      <c r="FF71" s="171"/>
      <c r="FG71" s="165"/>
      <c r="FH71" s="171"/>
      <c r="FI71" s="158"/>
      <c r="FJ71" s="180"/>
      <c r="FK71" s="180"/>
      <c r="FL71" s="180"/>
      <c r="FM71" s="345"/>
      <c r="FN71" s="345"/>
      <c r="FO71" s="171"/>
      <c r="FP71" s="158"/>
      <c r="FQ71" s="171"/>
      <c r="FR71" s="180"/>
      <c r="FS71" s="158"/>
      <c r="FT71" s="344"/>
      <c r="FU71" s="158"/>
      <c r="FV71" s="345"/>
      <c r="FW71" s="155">
        <f t="shared" si="28"/>
        <v>0</v>
      </c>
      <c r="FX71" s="155">
        <f t="shared" si="29"/>
        <v>0</v>
      </c>
      <c r="FY71" s="155">
        <f>IF(MatchDay!$C$2="LOWER",COUNTA(FF71:FH71),0)</f>
        <v>0</v>
      </c>
      <c r="GA71" s="157" t="s">
        <v>912</v>
      </c>
      <c r="GB71" s="177"/>
      <c r="GC71" s="165"/>
      <c r="GD71" s="177"/>
      <c r="GE71" s="344"/>
      <c r="GF71" s="177"/>
      <c r="GG71" s="165"/>
      <c r="GH71" s="177"/>
      <c r="GI71" s="158"/>
      <c r="GJ71" s="180"/>
      <c r="GK71" s="180"/>
      <c r="GL71" s="180"/>
      <c r="GM71" s="345"/>
      <c r="GN71" s="345"/>
      <c r="GO71" s="177"/>
      <c r="GP71" s="158"/>
      <c r="GQ71" s="177"/>
      <c r="GR71" s="180"/>
      <c r="GS71" s="158"/>
      <c r="GT71" s="344"/>
      <c r="GU71" s="158"/>
      <c r="GV71" s="345"/>
      <c r="GW71" s="155">
        <f t="shared" si="30"/>
        <v>0</v>
      </c>
      <c r="GX71" s="155">
        <f t="shared" si="31"/>
        <v>0</v>
      </c>
      <c r="GY71" s="155">
        <f>IF(MatchDay!$C$2="LOWER",COUNTA(GF71:GH71),0)</f>
        <v>0</v>
      </c>
    </row>
    <row r="72" spans="1:207" ht="16.5" customHeight="1" x14ac:dyDescent="0.45">
      <c r="A72" s="157" t="s">
        <v>912</v>
      </c>
      <c r="B72" s="171"/>
      <c r="C72" s="165"/>
      <c r="D72" s="171"/>
      <c r="E72" s="344"/>
      <c r="F72" s="171"/>
      <c r="G72" s="165"/>
      <c r="H72" s="171"/>
      <c r="I72" s="158"/>
      <c r="J72" s="180"/>
      <c r="K72" s="180"/>
      <c r="L72" s="180"/>
      <c r="M72" s="345"/>
      <c r="N72" s="345"/>
      <c r="O72" s="171"/>
      <c r="P72" s="158"/>
      <c r="Q72" s="171"/>
      <c r="R72" s="180"/>
      <c r="S72" s="158"/>
      <c r="T72" s="344"/>
      <c r="U72" s="158"/>
      <c r="V72" s="345"/>
      <c r="W72" s="155">
        <f t="shared" si="16"/>
        <v>0</v>
      </c>
      <c r="X72" s="155">
        <f t="shared" si="17"/>
        <v>0</v>
      </c>
      <c r="Y72" s="155">
        <f>IF(MatchDay!$C$2="LOWER",COUNTA(F72:H72),0)</f>
        <v>0</v>
      </c>
      <c r="AA72" s="157" t="s">
        <v>912</v>
      </c>
      <c r="AB72" s="177"/>
      <c r="AC72" s="165"/>
      <c r="AD72" s="177"/>
      <c r="AE72" s="344"/>
      <c r="AF72" s="177"/>
      <c r="AG72" s="165"/>
      <c r="AH72" s="177"/>
      <c r="AI72" s="158"/>
      <c r="AJ72" s="180"/>
      <c r="AK72" s="180"/>
      <c r="AL72" s="180"/>
      <c r="AM72" s="345"/>
      <c r="AN72" s="345"/>
      <c r="AO72" s="177"/>
      <c r="AP72" s="158"/>
      <c r="AQ72" s="177"/>
      <c r="AR72" s="180"/>
      <c r="AS72" s="158"/>
      <c r="AT72" s="344"/>
      <c r="AU72" s="158"/>
      <c r="AV72" s="345"/>
      <c r="AW72" s="155">
        <f t="shared" si="18"/>
        <v>0</v>
      </c>
      <c r="AX72" s="155">
        <f t="shared" si="19"/>
        <v>0</v>
      </c>
      <c r="AY72" s="155">
        <f>IF(MatchDay!$C$2="LOWER",COUNTA(AF72:AH72),0)</f>
        <v>0</v>
      </c>
      <c r="BA72" s="157" t="s">
        <v>912</v>
      </c>
      <c r="BB72" s="171"/>
      <c r="BC72" s="165"/>
      <c r="BD72" s="171"/>
      <c r="BE72" s="344"/>
      <c r="BF72" s="171"/>
      <c r="BG72" s="165"/>
      <c r="BH72" s="171"/>
      <c r="BI72" s="158"/>
      <c r="BJ72" s="180"/>
      <c r="BK72" s="180"/>
      <c r="BL72" s="180"/>
      <c r="BM72" s="345"/>
      <c r="BN72" s="345"/>
      <c r="BO72" s="171"/>
      <c r="BP72" s="158"/>
      <c r="BQ72" s="171"/>
      <c r="BR72" s="180"/>
      <c r="BS72" s="158"/>
      <c r="BT72" s="344"/>
      <c r="BU72" s="158"/>
      <c r="BV72" s="345"/>
      <c r="BW72" s="155">
        <f t="shared" si="20"/>
        <v>0</v>
      </c>
      <c r="BX72" s="155">
        <f t="shared" si="21"/>
        <v>0</v>
      </c>
      <c r="BY72" s="155">
        <f>IF(MatchDay!$C$2="LOWER",COUNTA(BF72:BH72),0)</f>
        <v>0</v>
      </c>
      <c r="CA72" s="157" t="s">
        <v>912</v>
      </c>
      <c r="CB72" s="177"/>
      <c r="CC72" s="165"/>
      <c r="CD72" s="177"/>
      <c r="CE72" s="344"/>
      <c r="CF72" s="177"/>
      <c r="CG72" s="165"/>
      <c r="CH72" s="177"/>
      <c r="CI72" s="158"/>
      <c r="CJ72" s="180"/>
      <c r="CK72" s="180"/>
      <c r="CL72" s="180"/>
      <c r="CM72" s="345"/>
      <c r="CN72" s="345"/>
      <c r="CO72" s="177"/>
      <c r="CP72" s="158"/>
      <c r="CQ72" s="177"/>
      <c r="CR72" s="180"/>
      <c r="CS72" s="158"/>
      <c r="CT72" s="344"/>
      <c r="CU72" s="158"/>
      <c r="CV72" s="345"/>
      <c r="CW72" s="155">
        <f t="shared" si="22"/>
        <v>0</v>
      </c>
      <c r="CX72" s="155">
        <f t="shared" si="23"/>
        <v>0</v>
      </c>
      <c r="CY72" s="155">
        <f>IF(MatchDay!$C$2="LOWER",COUNTA(CF72:CH72),0)</f>
        <v>0</v>
      </c>
      <c r="DA72" s="157" t="s">
        <v>912</v>
      </c>
      <c r="DB72" s="171"/>
      <c r="DC72" s="165"/>
      <c r="DD72" s="171"/>
      <c r="DE72" s="344"/>
      <c r="DF72" s="171"/>
      <c r="DG72" s="165"/>
      <c r="DH72" s="171"/>
      <c r="DI72" s="158"/>
      <c r="DJ72" s="180"/>
      <c r="DK72" s="180"/>
      <c r="DL72" s="180"/>
      <c r="DM72" s="345"/>
      <c r="DN72" s="345"/>
      <c r="DO72" s="171"/>
      <c r="DP72" s="158"/>
      <c r="DQ72" s="171"/>
      <c r="DR72" s="180"/>
      <c r="DS72" s="158"/>
      <c r="DT72" s="344"/>
      <c r="DU72" s="158"/>
      <c r="DV72" s="345"/>
      <c r="DW72" s="155">
        <f t="shared" si="24"/>
        <v>0</v>
      </c>
      <c r="DX72" s="155">
        <f t="shared" si="25"/>
        <v>0</v>
      </c>
      <c r="DY72" s="155">
        <f>IF(MatchDay!$C$2="LOWER",COUNTA(DF72:DH72),0)</f>
        <v>0</v>
      </c>
      <c r="EA72" s="157" t="s">
        <v>912</v>
      </c>
      <c r="EB72" s="177"/>
      <c r="EC72" s="165"/>
      <c r="ED72" s="177"/>
      <c r="EE72" s="344"/>
      <c r="EF72" s="177"/>
      <c r="EG72" s="165"/>
      <c r="EH72" s="177"/>
      <c r="EI72" s="158"/>
      <c r="EJ72" s="180"/>
      <c r="EK72" s="180"/>
      <c r="EL72" s="180"/>
      <c r="EM72" s="345"/>
      <c r="EN72" s="345"/>
      <c r="EO72" s="177"/>
      <c r="EP72" s="158"/>
      <c r="EQ72" s="177"/>
      <c r="ER72" s="180"/>
      <c r="ES72" s="158"/>
      <c r="ET72" s="344"/>
      <c r="EU72" s="158"/>
      <c r="EV72" s="345"/>
      <c r="EW72" s="155">
        <f t="shared" si="26"/>
        <v>0</v>
      </c>
      <c r="EX72" s="155">
        <f t="shared" si="27"/>
        <v>0</v>
      </c>
      <c r="EY72" s="155">
        <f>IF(MatchDay!$C$2="LOWER",COUNTA(EF72:EH72),0)</f>
        <v>0</v>
      </c>
      <c r="FA72" s="157" t="s">
        <v>912</v>
      </c>
      <c r="FB72" s="171"/>
      <c r="FC72" s="165"/>
      <c r="FD72" s="171"/>
      <c r="FE72" s="344"/>
      <c r="FF72" s="171"/>
      <c r="FG72" s="165"/>
      <c r="FH72" s="171"/>
      <c r="FI72" s="158"/>
      <c r="FJ72" s="180"/>
      <c r="FK72" s="180"/>
      <c r="FL72" s="180"/>
      <c r="FM72" s="345"/>
      <c r="FN72" s="345"/>
      <c r="FO72" s="171"/>
      <c r="FP72" s="158"/>
      <c r="FQ72" s="171"/>
      <c r="FR72" s="180"/>
      <c r="FS72" s="158"/>
      <c r="FT72" s="344"/>
      <c r="FU72" s="158"/>
      <c r="FV72" s="345"/>
      <c r="FW72" s="155">
        <f t="shared" si="28"/>
        <v>0</v>
      </c>
      <c r="FX72" s="155">
        <f t="shared" si="29"/>
        <v>0</v>
      </c>
      <c r="FY72" s="155">
        <f>IF(MatchDay!$C$2="LOWER",COUNTA(FF72:FH72),0)</f>
        <v>0</v>
      </c>
      <c r="GA72" s="157" t="s">
        <v>912</v>
      </c>
      <c r="GB72" s="177"/>
      <c r="GC72" s="165"/>
      <c r="GD72" s="177"/>
      <c r="GE72" s="344"/>
      <c r="GF72" s="177"/>
      <c r="GG72" s="165"/>
      <c r="GH72" s="177"/>
      <c r="GI72" s="158"/>
      <c r="GJ72" s="180"/>
      <c r="GK72" s="180"/>
      <c r="GL72" s="180"/>
      <c r="GM72" s="345"/>
      <c r="GN72" s="345"/>
      <c r="GO72" s="177"/>
      <c r="GP72" s="158"/>
      <c r="GQ72" s="177"/>
      <c r="GR72" s="180"/>
      <c r="GS72" s="158"/>
      <c r="GT72" s="344"/>
      <c r="GU72" s="158"/>
      <c r="GV72" s="345"/>
      <c r="GW72" s="155">
        <f t="shared" si="30"/>
        <v>0</v>
      </c>
      <c r="GX72" s="155">
        <f t="shared" si="31"/>
        <v>0</v>
      </c>
      <c r="GY72" s="155">
        <f>IF(MatchDay!$C$2="LOWER",COUNTA(GF72:GH72),0)</f>
        <v>0</v>
      </c>
    </row>
    <row r="73" spans="1:207" ht="16.5" customHeight="1" x14ac:dyDescent="0.45">
      <c r="A73" s="157" t="s">
        <v>912</v>
      </c>
      <c r="B73" s="171"/>
      <c r="C73" s="165"/>
      <c r="D73" s="171"/>
      <c r="E73" s="344"/>
      <c r="F73" s="171"/>
      <c r="G73" s="165"/>
      <c r="H73" s="171"/>
      <c r="I73" s="158"/>
      <c r="J73" s="180"/>
      <c r="K73" s="180"/>
      <c r="L73" s="180"/>
      <c r="M73" s="345"/>
      <c r="N73" s="345"/>
      <c r="O73" s="171"/>
      <c r="P73" s="158"/>
      <c r="Q73" s="171"/>
      <c r="R73" s="180"/>
      <c r="S73" s="158"/>
      <c r="T73" s="344"/>
      <c r="U73" s="158"/>
      <c r="V73" s="345"/>
      <c r="W73" s="155">
        <f t="shared" si="16"/>
        <v>0</v>
      </c>
      <c r="X73" s="155">
        <f t="shared" si="17"/>
        <v>0</v>
      </c>
      <c r="Y73" s="155">
        <f>IF(MatchDay!$C$2="LOWER",COUNTA(F73:H73),0)</f>
        <v>0</v>
      </c>
      <c r="AA73" s="157" t="s">
        <v>912</v>
      </c>
      <c r="AB73" s="177"/>
      <c r="AC73" s="165"/>
      <c r="AD73" s="177"/>
      <c r="AE73" s="344"/>
      <c r="AF73" s="177"/>
      <c r="AG73" s="165"/>
      <c r="AH73" s="177"/>
      <c r="AI73" s="158"/>
      <c r="AJ73" s="180"/>
      <c r="AK73" s="180"/>
      <c r="AL73" s="180"/>
      <c r="AM73" s="345"/>
      <c r="AN73" s="345"/>
      <c r="AO73" s="177"/>
      <c r="AP73" s="158"/>
      <c r="AQ73" s="177"/>
      <c r="AR73" s="180"/>
      <c r="AS73" s="158"/>
      <c r="AT73" s="344"/>
      <c r="AU73" s="158"/>
      <c r="AV73" s="345"/>
      <c r="AW73" s="155">
        <f t="shared" si="18"/>
        <v>0</v>
      </c>
      <c r="AX73" s="155">
        <f t="shared" si="19"/>
        <v>0</v>
      </c>
      <c r="AY73" s="155">
        <f>IF(MatchDay!$C$2="LOWER",COUNTA(AF73:AH73),0)</f>
        <v>0</v>
      </c>
      <c r="BA73" s="157" t="s">
        <v>912</v>
      </c>
      <c r="BB73" s="171"/>
      <c r="BC73" s="165"/>
      <c r="BD73" s="171"/>
      <c r="BE73" s="344"/>
      <c r="BF73" s="171"/>
      <c r="BG73" s="165"/>
      <c r="BH73" s="171"/>
      <c r="BI73" s="158"/>
      <c r="BJ73" s="180"/>
      <c r="BK73" s="180"/>
      <c r="BL73" s="180"/>
      <c r="BM73" s="345"/>
      <c r="BN73" s="345"/>
      <c r="BO73" s="171"/>
      <c r="BP73" s="158"/>
      <c r="BQ73" s="171"/>
      <c r="BR73" s="180"/>
      <c r="BS73" s="158"/>
      <c r="BT73" s="344"/>
      <c r="BU73" s="158"/>
      <c r="BV73" s="345"/>
      <c r="BW73" s="155">
        <f t="shared" si="20"/>
        <v>0</v>
      </c>
      <c r="BX73" s="155">
        <f t="shared" si="21"/>
        <v>0</v>
      </c>
      <c r="BY73" s="155">
        <f>IF(MatchDay!$C$2="LOWER",COUNTA(BF73:BH73),0)</f>
        <v>0</v>
      </c>
      <c r="CA73" s="157" t="s">
        <v>912</v>
      </c>
      <c r="CB73" s="177"/>
      <c r="CC73" s="165"/>
      <c r="CD73" s="177"/>
      <c r="CE73" s="344"/>
      <c r="CF73" s="177"/>
      <c r="CG73" s="165"/>
      <c r="CH73" s="177"/>
      <c r="CI73" s="158"/>
      <c r="CJ73" s="180"/>
      <c r="CK73" s="180"/>
      <c r="CL73" s="180"/>
      <c r="CM73" s="345"/>
      <c r="CN73" s="345"/>
      <c r="CO73" s="177"/>
      <c r="CP73" s="158"/>
      <c r="CQ73" s="177"/>
      <c r="CR73" s="180"/>
      <c r="CS73" s="158"/>
      <c r="CT73" s="344"/>
      <c r="CU73" s="158"/>
      <c r="CV73" s="345"/>
      <c r="CW73" s="155">
        <f t="shared" si="22"/>
        <v>0</v>
      </c>
      <c r="CX73" s="155">
        <f t="shared" si="23"/>
        <v>0</v>
      </c>
      <c r="CY73" s="155">
        <f>IF(MatchDay!$C$2="LOWER",COUNTA(CF73:CH73),0)</f>
        <v>0</v>
      </c>
      <c r="DA73" s="157" t="s">
        <v>912</v>
      </c>
      <c r="DB73" s="171"/>
      <c r="DC73" s="165"/>
      <c r="DD73" s="171"/>
      <c r="DE73" s="344"/>
      <c r="DF73" s="171"/>
      <c r="DG73" s="165"/>
      <c r="DH73" s="171"/>
      <c r="DI73" s="158"/>
      <c r="DJ73" s="180"/>
      <c r="DK73" s="180"/>
      <c r="DL73" s="180"/>
      <c r="DM73" s="345"/>
      <c r="DN73" s="345"/>
      <c r="DO73" s="171"/>
      <c r="DP73" s="158"/>
      <c r="DQ73" s="171"/>
      <c r="DR73" s="180"/>
      <c r="DS73" s="158"/>
      <c r="DT73" s="344"/>
      <c r="DU73" s="158"/>
      <c r="DV73" s="345"/>
      <c r="DW73" s="155">
        <f t="shared" si="24"/>
        <v>0</v>
      </c>
      <c r="DX73" s="155">
        <f t="shared" si="25"/>
        <v>0</v>
      </c>
      <c r="DY73" s="155">
        <f>IF(MatchDay!$C$2="LOWER",COUNTA(DF73:DH73),0)</f>
        <v>0</v>
      </c>
      <c r="EA73" s="157" t="s">
        <v>912</v>
      </c>
      <c r="EB73" s="177"/>
      <c r="EC73" s="165"/>
      <c r="ED73" s="177"/>
      <c r="EE73" s="344"/>
      <c r="EF73" s="177"/>
      <c r="EG73" s="165"/>
      <c r="EH73" s="177"/>
      <c r="EI73" s="158"/>
      <c r="EJ73" s="180"/>
      <c r="EK73" s="180"/>
      <c r="EL73" s="180"/>
      <c r="EM73" s="345"/>
      <c r="EN73" s="345"/>
      <c r="EO73" s="177"/>
      <c r="EP73" s="158"/>
      <c r="EQ73" s="177"/>
      <c r="ER73" s="180"/>
      <c r="ES73" s="158"/>
      <c r="ET73" s="344"/>
      <c r="EU73" s="158"/>
      <c r="EV73" s="345"/>
      <c r="EW73" s="155">
        <f t="shared" si="26"/>
        <v>0</v>
      </c>
      <c r="EX73" s="155">
        <f t="shared" si="27"/>
        <v>0</v>
      </c>
      <c r="EY73" s="155">
        <f>IF(MatchDay!$C$2="LOWER",COUNTA(EF73:EH73),0)</f>
        <v>0</v>
      </c>
      <c r="FA73" s="157" t="s">
        <v>912</v>
      </c>
      <c r="FB73" s="171"/>
      <c r="FC73" s="165"/>
      <c r="FD73" s="171"/>
      <c r="FE73" s="344"/>
      <c r="FF73" s="171"/>
      <c r="FG73" s="165"/>
      <c r="FH73" s="171"/>
      <c r="FI73" s="158"/>
      <c r="FJ73" s="180"/>
      <c r="FK73" s="180"/>
      <c r="FL73" s="180"/>
      <c r="FM73" s="345"/>
      <c r="FN73" s="345"/>
      <c r="FO73" s="171"/>
      <c r="FP73" s="158"/>
      <c r="FQ73" s="171"/>
      <c r="FR73" s="180"/>
      <c r="FS73" s="158"/>
      <c r="FT73" s="344"/>
      <c r="FU73" s="158"/>
      <c r="FV73" s="345"/>
      <c r="FW73" s="155">
        <f t="shared" si="28"/>
        <v>0</v>
      </c>
      <c r="FX73" s="155">
        <f t="shared" si="29"/>
        <v>0</v>
      </c>
      <c r="FY73" s="155">
        <f>IF(MatchDay!$C$2="LOWER",COUNTA(FF73:FH73),0)</f>
        <v>0</v>
      </c>
      <c r="GA73" s="157" t="s">
        <v>912</v>
      </c>
      <c r="GB73" s="177"/>
      <c r="GC73" s="165"/>
      <c r="GD73" s="177"/>
      <c r="GE73" s="344"/>
      <c r="GF73" s="177"/>
      <c r="GG73" s="165"/>
      <c r="GH73" s="177"/>
      <c r="GI73" s="158"/>
      <c r="GJ73" s="180"/>
      <c r="GK73" s="180"/>
      <c r="GL73" s="180"/>
      <c r="GM73" s="345"/>
      <c r="GN73" s="345"/>
      <c r="GO73" s="177"/>
      <c r="GP73" s="158"/>
      <c r="GQ73" s="177"/>
      <c r="GR73" s="180"/>
      <c r="GS73" s="158"/>
      <c r="GT73" s="344"/>
      <c r="GU73" s="158"/>
      <c r="GV73" s="345"/>
      <c r="GW73" s="155">
        <f t="shared" si="30"/>
        <v>0</v>
      </c>
      <c r="GX73" s="155">
        <f t="shared" si="31"/>
        <v>0</v>
      </c>
      <c r="GY73" s="155">
        <f>IF(MatchDay!$C$2="LOWER",COUNTA(GF73:GH73),0)</f>
        <v>0</v>
      </c>
    </row>
    <row r="74" spans="1:207" ht="16.5" customHeight="1" x14ac:dyDescent="0.45">
      <c r="A74" s="157" t="s">
        <v>912</v>
      </c>
      <c r="B74" s="171"/>
      <c r="C74" s="165"/>
      <c r="D74" s="171"/>
      <c r="E74" s="344"/>
      <c r="F74" s="171"/>
      <c r="G74" s="165"/>
      <c r="H74" s="171"/>
      <c r="I74" s="158"/>
      <c r="J74" s="180"/>
      <c r="K74" s="180"/>
      <c r="L74" s="180"/>
      <c r="M74" s="345"/>
      <c r="N74" s="345"/>
      <c r="O74" s="171"/>
      <c r="P74" s="158"/>
      <c r="Q74" s="171"/>
      <c r="R74" s="180"/>
      <c r="S74" s="158"/>
      <c r="T74" s="344"/>
      <c r="U74" s="158"/>
      <c r="V74" s="345"/>
      <c r="W74" s="155">
        <f t="shared" si="16"/>
        <v>0</v>
      </c>
      <c r="X74" s="155">
        <f t="shared" si="17"/>
        <v>0</v>
      </c>
      <c r="Y74" s="155">
        <f>IF(MatchDay!$C$2="LOWER",COUNTA(F74:H74),0)</f>
        <v>0</v>
      </c>
      <c r="AA74" s="157" t="s">
        <v>912</v>
      </c>
      <c r="AB74" s="177"/>
      <c r="AC74" s="165"/>
      <c r="AD74" s="177"/>
      <c r="AE74" s="344"/>
      <c r="AF74" s="177"/>
      <c r="AG74" s="165"/>
      <c r="AH74" s="177"/>
      <c r="AI74" s="158"/>
      <c r="AJ74" s="180"/>
      <c r="AK74" s="180"/>
      <c r="AL74" s="180"/>
      <c r="AM74" s="345"/>
      <c r="AN74" s="345"/>
      <c r="AO74" s="177"/>
      <c r="AP74" s="158"/>
      <c r="AQ74" s="177"/>
      <c r="AR74" s="180"/>
      <c r="AS74" s="158"/>
      <c r="AT74" s="344"/>
      <c r="AU74" s="158"/>
      <c r="AV74" s="345"/>
      <c r="AW74" s="155">
        <f t="shared" si="18"/>
        <v>0</v>
      </c>
      <c r="AX74" s="155">
        <f t="shared" si="19"/>
        <v>0</v>
      </c>
      <c r="AY74" s="155">
        <f>IF(MatchDay!$C$2="LOWER",COUNTA(AF74:AH74),0)</f>
        <v>0</v>
      </c>
      <c r="BA74" s="157" t="s">
        <v>912</v>
      </c>
      <c r="BB74" s="171"/>
      <c r="BC74" s="165"/>
      <c r="BD74" s="171"/>
      <c r="BE74" s="344"/>
      <c r="BF74" s="171"/>
      <c r="BG74" s="165"/>
      <c r="BH74" s="171"/>
      <c r="BI74" s="158"/>
      <c r="BJ74" s="180"/>
      <c r="BK74" s="180"/>
      <c r="BL74" s="180"/>
      <c r="BM74" s="345"/>
      <c r="BN74" s="345"/>
      <c r="BO74" s="171"/>
      <c r="BP74" s="158"/>
      <c r="BQ74" s="171"/>
      <c r="BR74" s="180"/>
      <c r="BS74" s="158"/>
      <c r="BT74" s="344"/>
      <c r="BU74" s="158"/>
      <c r="BV74" s="345"/>
      <c r="BW74" s="155">
        <f t="shared" si="20"/>
        <v>0</v>
      </c>
      <c r="BX74" s="155">
        <f t="shared" si="21"/>
        <v>0</v>
      </c>
      <c r="BY74" s="155">
        <f>IF(MatchDay!$C$2="LOWER",COUNTA(BF74:BH74),0)</f>
        <v>0</v>
      </c>
      <c r="CA74" s="157" t="s">
        <v>912</v>
      </c>
      <c r="CB74" s="177"/>
      <c r="CC74" s="165"/>
      <c r="CD74" s="177"/>
      <c r="CE74" s="344"/>
      <c r="CF74" s="177"/>
      <c r="CG74" s="165"/>
      <c r="CH74" s="177"/>
      <c r="CI74" s="158"/>
      <c r="CJ74" s="180"/>
      <c r="CK74" s="180"/>
      <c r="CL74" s="180"/>
      <c r="CM74" s="345"/>
      <c r="CN74" s="345"/>
      <c r="CO74" s="177"/>
      <c r="CP74" s="158"/>
      <c r="CQ74" s="177"/>
      <c r="CR74" s="180"/>
      <c r="CS74" s="158"/>
      <c r="CT74" s="344"/>
      <c r="CU74" s="158"/>
      <c r="CV74" s="345"/>
      <c r="CW74" s="155">
        <f t="shared" si="22"/>
        <v>0</v>
      </c>
      <c r="CX74" s="155">
        <f t="shared" si="23"/>
        <v>0</v>
      </c>
      <c r="CY74" s="155">
        <f>IF(MatchDay!$C$2="LOWER",COUNTA(CF74:CH74),0)</f>
        <v>0</v>
      </c>
      <c r="DA74" s="157" t="s">
        <v>912</v>
      </c>
      <c r="DB74" s="171"/>
      <c r="DC74" s="165"/>
      <c r="DD74" s="171"/>
      <c r="DE74" s="344"/>
      <c r="DF74" s="171"/>
      <c r="DG74" s="165"/>
      <c r="DH74" s="171"/>
      <c r="DI74" s="158"/>
      <c r="DJ74" s="180"/>
      <c r="DK74" s="180"/>
      <c r="DL74" s="180"/>
      <c r="DM74" s="345"/>
      <c r="DN74" s="345"/>
      <c r="DO74" s="171"/>
      <c r="DP74" s="158"/>
      <c r="DQ74" s="171"/>
      <c r="DR74" s="180"/>
      <c r="DS74" s="158"/>
      <c r="DT74" s="344"/>
      <c r="DU74" s="158"/>
      <c r="DV74" s="345"/>
      <c r="DW74" s="155">
        <f t="shared" si="24"/>
        <v>0</v>
      </c>
      <c r="DX74" s="155">
        <f t="shared" si="25"/>
        <v>0</v>
      </c>
      <c r="DY74" s="155">
        <f>IF(MatchDay!$C$2="LOWER",COUNTA(DF74:DH74),0)</f>
        <v>0</v>
      </c>
      <c r="EA74" s="157" t="s">
        <v>912</v>
      </c>
      <c r="EB74" s="177"/>
      <c r="EC74" s="165"/>
      <c r="ED74" s="177"/>
      <c r="EE74" s="344"/>
      <c r="EF74" s="177"/>
      <c r="EG74" s="165"/>
      <c r="EH74" s="177"/>
      <c r="EI74" s="158"/>
      <c r="EJ74" s="180"/>
      <c r="EK74" s="180"/>
      <c r="EL74" s="180"/>
      <c r="EM74" s="345"/>
      <c r="EN74" s="345"/>
      <c r="EO74" s="177"/>
      <c r="EP74" s="158"/>
      <c r="EQ74" s="177"/>
      <c r="ER74" s="180"/>
      <c r="ES74" s="158"/>
      <c r="ET74" s="344"/>
      <c r="EU74" s="158"/>
      <c r="EV74" s="345"/>
      <c r="EW74" s="155">
        <f t="shared" si="26"/>
        <v>0</v>
      </c>
      <c r="EX74" s="155">
        <f t="shared" si="27"/>
        <v>0</v>
      </c>
      <c r="EY74" s="155">
        <f>IF(MatchDay!$C$2="LOWER",COUNTA(EF74:EH74),0)</f>
        <v>0</v>
      </c>
      <c r="FA74" s="157" t="s">
        <v>912</v>
      </c>
      <c r="FB74" s="171"/>
      <c r="FC74" s="165"/>
      <c r="FD74" s="171"/>
      <c r="FE74" s="344"/>
      <c r="FF74" s="171"/>
      <c r="FG74" s="165"/>
      <c r="FH74" s="171"/>
      <c r="FI74" s="158"/>
      <c r="FJ74" s="180"/>
      <c r="FK74" s="180"/>
      <c r="FL74" s="180"/>
      <c r="FM74" s="345"/>
      <c r="FN74" s="345"/>
      <c r="FO74" s="171"/>
      <c r="FP74" s="158"/>
      <c r="FQ74" s="171"/>
      <c r="FR74" s="180"/>
      <c r="FS74" s="158"/>
      <c r="FT74" s="344"/>
      <c r="FU74" s="158"/>
      <c r="FV74" s="345"/>
      <c r="FW74" s="155">
        <f t="shared" si="28"/>
        <v>0</v>
      </c>
      <c r="FX74" s="155">
        <f t="shared" si="29"/>
        <v>0</v>
      </c>
      <c r="FY74" s="155">
        <f>IF(MatchDay!$C$2="LOWER",COUNTA(FF74:FH74),0)</f>
        <v>0</v>
      </c>
      <c r="GA74" s="157" t="s">
        <v>912</v>
      </c>
      <c r="GB74" s="177"/>
      <c r="GC74" s="165"/>
      <c r="GD74" s="177"/>
      <c r="GE74" s="344"/>
      <c r="GF74" s="177"/>
      <c r="GG74" s="165"/>
      <c r="GH74" s="177"/>
      <c r="GI74" s="158"/>
      <c r="GJ74" s="180"/>
      <c r="GK74" s="180"/>
      <c r="GL74" s="180"/>
      <c r="GM74" s="345"/>
      <c r="GN74" s="345"/>
      <c r="GO74" s="177"/>
      <c r="GP74" s="158"/>
      <c r="GQ74" s="177"/>
      <c r="GR74" s="180"/>
      <c r="GS74" s="158"/>
      <c r="GT74" s="344"/>
      <c r="GU74" s="158"/>
      <c r="GV74" s="345"/>
      <c r="GW74" s="155">
        <f t="shared" si="30"/>
        <v>0</v>
      </c>
      <c r="GX74" s="155">
        <f t="shared" si="31"/>
        <v>0</v>
      </c>
      <c r="GY74" s="155">
        <f>IF(MatchDay!$C$2="LOWER",COUNTA(GF74:GH74),0)</f>
        <v>0</v>
      </c>
    </row>
    <row r="75" spans="1:207" ht="15" hidden="1" customHeight="1" x14ac:dyDescent="0.45">
      <c r="A75" s="155" t="str">
        <f>IFERROR(VLOOKUP(($GW75*10)+A$2,downloads!$S:$U,2,FALSE),"")</f>
        <v>BAKER Joseph</v>
      </c>
      <c r="AA75" s="155" t="str">
        <f>IFERROR(VLOOKUP(($GW75*10)+AA$2,downloads!$S:$U,2,FALSE),"")</f>
        <v>BENTLEY Tom</v>
      </c>
      <c r="BA75" s="155" t="str">
        <f>IFERROR(VLOOKUP(($GW75*10)+BA$2,downloads!$S:$U,2,FALSE),"")</f>
        <v>BASTOW Isaac</v>
      </c>
      <c r="CA75" s="155" t="str">
        <f>IFERROR(VLOOKUP(($GW75*10)+CA$2,downloads!$S:$U,2,FALSE),"")</f>
        <v>APPLEBY Dylan</v>
      </c>
      <c r="DA75" s="155" t="str">
        <f>IFERROR(VLOOKUP(($GW75*10)+DA$2,downloads!$S:$U,2,FALSE),"")</f>
        <v>BAYLEY Jack</v>
      </c>
      <c r="EA75" s="155" t="str">
        <f>IFERROR(VLOOKUP(($GW75*10)+EA$2,downloads!$S:$U,2,FALSE),"")</f>
        <v/>
      </c>
      <c r="FA75" s="155" t="str">
        <f>IFERROR(VLOOKUP(($GW75*10)+FA$2,downloads!$S:$U,2,FALSE),"")</f>
        <v/>
      </c>
      <c r="GA75" s="155" t="str">
        <f>IFERROR(VLOOKUP(($GW75*10)+GA$2,downloads!$S:$U,2,FALSE),"")</f>
        <v/>
      </c>
      <c r="GW75" s="155">
        <v>1</v>
      </c>
    </row>
    <row r="76" spans="1:207" ht="15" hidden="1" customHeight="1" x14ac:dyDescent="0.45">
      <c r="A76" s="155" t="str">
        <f>IFERROR(VLOOKUP(($GW76*10)+A$2,downloads!$S:$U,2,FALSE),"")</f>
        <v>BENNETT Daniel</v>
      </c>
      <c r="AA76" s="155" t="str">
        <f>IFERROR(VLOOKUP(($GW76*10)+AA$2,downloads!$S:$U,2,FALSE),"")</f>
        <v>COCKINGS Matthew</v>
      </c>
      <c r="BA76" s="155" t="str">
        <f>IFERROR(VLOOKUP(($GW76*10)+BA$2,downloads!$S:$U,2,FALSE),"")</f>
        <v>BOWSHER James</v>
      </c>
      <c r="CA76" s="155" t="str">
        <f>IFERROR(VLOOKUP(($GW76*10)+CA$2,downloads!$S:$U,2,FALSE),"")</f>
        <v>BAKER Edward</v>
      </c>
      <c r="DA76" s="155" t="str">
        <f>IFERROR(VLOOKUP(($GW76*10)+DA$2,downloads!$S:$U,2,FALSE),"")</f>
        <v>CHANT Oliver</v>
      </c>
      <c r="EA76" s="155" t="str">
        <f>IFERROR(VLOOKUP(($GW76*10)+EA$2,downloads!$S:$U,2,FALSE),"")</f>
        <v/>
      </c>
      <c r="FA76" s="155" t="str">
        <f>IFERROR(VLOOKUP(($GW76*10)+FA$2,downloads!$S:$U,2,FALSE),"")</f>
        <v/>
      </c>
      <c r="GA76" s="155" t="str">
        <f>IFERROR(VLOOKUP(($GW76*10)+GA$2,downloads!$S:$U,2,FALSE),"")</f>
        <v/>
      </c>
      <c r="GW76" s="155">
        <v>2</v>
      </c>
    </row>
    <row r="77" spans="1:207" ht="15" hidden="1" customHeight="1" x14ac:dyDescent="0.45">
      <c r="A77" s="155" t="str">
        <f>IFERROR(VLOOKUP(($GW77*10)+A$2,downloads!$S:$U,2,FALSE),"")</f>
        <v>BETTNEY Thomas</v>
      </c>
      <c r="AA77" s="155" t="str">
        <f>IFERROR(VLOOKUP(($GW77*10)+AA$2,downloads!$S:$U,2,FALSE),"")</f>
        <v>COLLINI Joseph</v>
      </c>
      <c r="BA77" s="155" t="str">
        <f>IFERROR(VLOOKUP(($GW77*10)+BA$2,downloads!$S:$U,2,FALSE),"")</f>
        <v>BOYLE Jack</v>
      </c>
      <c r="CA77" s="155" t="str">
        <f>IFERROR(VLOOKUP(($GW77*10)+CA$2,downloads!$S:$U,2,FALSE),"")</f>
        <v>BELL Callum</v>
      </c>
      <c r="DA77" s="155" t="str">
        <f>IFERROR(VLOOKUP(($GW77*10)+DA$2,downloads!$S:$U,2,FALSE),"")</f>
        <v>COMERFORD Alfie</v>
      </c>
      <c r="EA77" s="155" t="str">
        <f>IFERROR(VLOOKUP(($GW77*10)+EA$2,downloads!$S:$U,2,FALSE),"")</f>
        <v/>
      </c>
      <c r="FA77" s="155" t="str">
        <f>IFERROR(VLOOKUP(($GW77*10)+FA$2,downloads!$S:$U,2,FALSE),"")</f>
        <v/>
      </c>
      <c r="GA77" s="155" t="str">
        <f>IFERROR(VLOOKUP(($GW77*10)+GA$2,downloads!$S:$U,2,FALSE),"")</f>
        <v/>
      </c>
      <c r="GW77" s="155">
        <v>3</v>
      </c>
    </row>
    <row r="78" spans="1:207" ht="15" hidden="1" customHeight="1" x14ac:dyDescent="0.45">
      <c r="A78" s="155" t="str">
        <f>IFERROR(VLOOKUP(($GW78*10)+A$2,downloads!$S:$U,2,FALSE),"")</f>
        <v>BODEN Ethan</v>
      </c>
      <c r="AA78" s="155" t="str">
        <f>IFERROR(VLOOKUP(($GW78*10)+AA$2,downloads!$S:$U,2,FALSE),"")</f>
        <v>CONNELLY George</v>
      </c>
      <c r="BA78" s="155" t="str">
        <f>IFERROR(VLOOKUP(($GW78*10)+BA$2,downloads!$S:$U,2,FALSE),"")</f>
        <v>BRATLEY Jack</v>
      </c>
      <c r="CA78" s="155" t="str">
        <f>IFERROR(VLOOKUP(($GW78*10)+CA$2,downloads!$S:$U,2,FALSE),"")</f>
        <v>BIRSE Tommy</v>
      </c>
      <c r="DA78" s="155" t="str">
        <f>IFERROR(VLOOKUP(($GW78*10)+DA$2,downloads!$S:$U,2,FALSE),"")</f>
        <v>COOK Alexander</v>
      </c>
      <c r="EA78" s="155" t="str">
        <f>IFERROR(VLOOKUP(($GW78*10)+EA$2,downloads!$S:$U,2,FALSE),"")</f>
        <v/>
      </c>
      <c r="FA78" s="155" t="str">
        <f>IFERROR(VLOOKUP(($GW78*10)+FA$2,downloads!$S:$U,2,FALSE),"")</f>
        <v/>
      </c>
      <c r="GA78" s="155" t="str">
        <f>IFERROR(VLOOKUP(($GW78*10)+GA$2,downloads!$S:$U,2,FALSE),"")</f>
        <v/>
      </c>
      <c r="GW78" s="155">
        <v>4</v>
      </c>
    </row>
    <row r="79" spans="1:207" ht="15" hidden="1" customHeight="1" x14ac:dyDescent="0.45">
      <c r="A79" s="155" t="str">
        <f>IFERROR(VLOOKUP(($GW79*10)+A$2,downloads!$S:$U,2,FALSE),"")</f>
        <v>COOPER Malachi</v>
      </c>
      <c r="AA79" s="155" t="str">
        <f>IFERROR(VLOOKUP(($GW79*10)+AA$2,downloads!$S:$U,2,FALSE),"")</f>
        <v>ENGLISH Elliott</v>
      </c>
      <c r="BA79" s="155" t="str">
        <f>IFERROR(VLOOKUP(($GW79*10)+BA$2,downloads!$S:$U,2,FALSE),"")</f>
        <v>BROOKS Rory</v>
      </c>
      <c r="CA79" s="155" t="str">
        <f>IFERROR(VLOOKUP(($GW79*10)+CA$2,downloads!$S:$U,2,FALSE),"")</f>
        <v>BUTLER Jake</v>
      </c>
      <c r="DA79" s="155" t="str">
        <f>IFERROR(VLOOKUP(($GW79*10)+DA$2,downloads!$S:$U,2,FALSE),"")</f>
        <v>COOK Edwin</v>
      </c>
      <c r="EA79" s="155" t="str">
        <f>IFERROR(VLOOKUP(($GW79*10)+EA$2,downloads!$S:$U,2,FALSE),"")</f>
        <v/>
      </c>
      <c r="FA79" s="155" t="str">
        <f>IFERROR(VLOOKUP(($GW79*10)+FA$2,downloads!$S:$U,2,FALSE),"")</f>
        <v/>
      </c>
      <c r="GA79" s="155" t="str">
        <f>IFERROR(VLOOKUP(($GW79*10)+GA$2,downloads!$S:$U,2,FALSE),"")</f>
        <v/>
      </c>
      <c r="GW79" s="155">
        <v>5</v>
      </c>
    </row>
    <row r="80" spans="1:207" ht="15" hidden="1" customHeight="1" x14ac:dyDescent="0.45">
      <c r="A80" s="155" t="str">
        <f>IFERROR(VLOOKUP(($GW80*10)+A$2,downloads!$S:$U,2,FALSE),"")</f>
        <v>DAVIES-BOWLER Harrison</v>
      </c>
      <c r="AA80" s="155" t="str">
        <f>IFERROR(VLOOKUP(($GW80*10)+AA$2,downloads!$S:$U,2,FALSE),"")</f>
        <v>HEATON Ben</v>
      </c>
      <c r="BA80" s="155" t="str">
        <f>IFERROR(VLOOKUP(($GW80*10)+BA$2,downloads!$S:$U,2,FALSE),"")</f>
        <v>BROWN EDWARD</v>
      </c>
      <c r="CA80" s="155" t="str">
        <f>IFERROR(VLOOKUP(($GW80*10)+CA$2,downloads!$S:$U,2,FALSE),"")</f>
        <v>CARR Freddie</v>
      </c>
      <c r="DA80" s="155" t="str">
        <f>IFERROR(VLOOKUP(($GW80*10)+DA$2,downloads!$S:$U,2,FALSE),"")</f>
        <v>COUCH Harvey</v>
      </c>
      <c r="EA80" s="155" t="str">
        <f>IFERROR(VLOOKUP(($GW80*10)+EA$2,downloads!$S:$U,2,FALSE),"")</f>
        <v/>
      </c>
      <c r="FA80" s="155" t="str">
        <f>IFERROR(VLOOKUP(($GW80*10)+FA$2,downloads!$S:$U,2,FALSE),"")</f>
        <v/>
      </c>
      <c r="GA80" s="155" t="str">
        <f>IFERROR(VLOOKUP(($GW80*10)+GA$2,downloads!$S:$U,2,FALSE),"")</f>
        <v/>
      </c>
      <c r="GW80" s="155">
        <v>6</v>
      </c>
    </row>
    <row r="81" spans="1:205" ht="15" hidden="1" customHeight="1" x14ac:dyDescent="0.45">
      <c r="A81" s="155" t="str">
        <f>IFERROR(VLOOKUP(($GW81*10)+A$2,downloads!$S:$U,2,FALSE),"")</f>
        <v>DEAKIN Nathan</v>
      </c>
      <c r="AA81" s="155" t="str">
        <f>IFERROR(VLOOKUP(($GW81*10)+AA$2,downloads!$S:$U,2,FALSE),"")</f>
        <v>HENNESSEY John</v>
      </c>
      <c r="BA81" s="155" t="str">
        <f>IFERROR(VLOOKUP(($GW81*10)+BA$2,downloads!$S:$U,2,FALSE),"")</f>
        <v>CHALK William</v>
      </c>
      <c r="CA81" s="155" t="str">
        <f>IFERROR(VLOOKUP(($GW81*10)+CA$2,downloads!$S:$U,2,FALSE),"")</f>
        <v>CARTER Alex</v>
      </c>
      <c r="DA81" s="155" t="str">
        <f>IFERROR(VLOOKUP(($GW81*10)+DA$2,downloads!$S:$U,2,FALSE),"")</f>
        <v>DAVIES Kieran</v>
      </c>
      <c r="EA81" s="155" t="str">
        <f>IFERROR(VLOOKUP(($GW81*10)+EA$2,downloads!$S:$U,2,FALSE),"")</f>
        <v/>
      </c>
      <c r="FA81" s="155" t="str">
        <f>IFERROR(VLOOKUP(($GW81*10)+FA$2,downloads!$S:$U,2,FALSE),"")</f>
        <v/>
      </c>
      <c r="GA81" s="155" t="str">
        <f>IFERROR(VLOOKUP(($GW81*10)+GA$2,downloads!$S:$U,2,FALSE),"")</f>
        <v/>
      </c>
      <c r="GW81" s="155">
        <v>7</v>
      </c>
    </row>
    <row r="82" spans="1:205" ht="15" hidden="1" customHeight="1" x14ac:dyDescent="0.45">
      <c r="A82" s="155" t="str">
        <f>IFERROR(VLOOKUP(($GW82*10)+A$2,downloads!$S:$U,2,FALSE),"")</f>
        <v>DREW Matthew</v>
      </c>
      <c r="AA82" s="155" t="str">
        <f>IFERROR(VLOOKUP(($GW82*10)+AA$2,downloads!$S:$U,2,FALSE),"")</f>
        <v>HENNESSEY Thomas</v>
      </c>
      <c r="BA82" s="155" t="str">
        <f>IFERROR(VLOOKUP(($GW82*10)+BA$2,downloads!$S:$U,2,FALSE),"")</f>
        <v>COOK Harry</v>
      </c>
      <c r="CA82" s="155" t="str">
        <f>IFERROR(VLOOKUP(($GW82*10)+CA$2,downloads!$S:$U,2,FALSE),"")</f>
        <v>CAYGILL Matthew</v>
      </c>
      <c r="DA82" s="155" t="str">
        <f>IFERROR(VLOOKUP(($GW82*10)+DA$2,downloads!$S:$U,2,FALSE),"")</f>
        <v>LANGTON Cody</v>
      </c>
      <c r="EA82" s="155" t="str">
        <f>IFERROR(VLOOKUP(($GW82*10)+EA$2,downloads!$S:$U,2,FALSE),"")</f>
        <v/>
      </c>
      <c r="FA82" s="155" t="str">
        <f>IFERROR(VLOOKUP(($GW82*10)+FA$2,downloads!$S:$U,2,FALSE),"")</f>
        <v/>
      </c>
      <c r="GA82" s="155" t="str">
        <f>IFERROR(VLOOKUP(($GW82*10)+GA$2,downloads!$S:$U,2,FALSE),"")</f>
        <v/>
      </c>
      <c r="GW82" s="155">
        <v>8</v>
      </c>
    </row>
    <row r="83" spans="1:205" ht="15" hidden="1" customHeight="1" x14ac:dyDescent="0.45">
      <c r="A83" s="155" t="str">
        <f>IFERROR(VLOOKUP(($GW83*10)+A$2,downloads!$S:$U,2,FALSE),"")</f>
        <v>FOGDEN Ben</v>
      </c>
      <c r="AA83" s="155" t="str">
        <f>IFERROR(VLOOKUP(($GW83*10)+AA$2,downloads!$S:$U,2,FALSE),"")</f>
        <v>HIBBERD Elijah</v>
      </c>
      <c r="BA83" s="155" t="str">
        <f>IFERROR(VLOOKUP(($GW83*10)+BA$2,downloads!$S:$U,2,FALSE),"")</f>
        <v>DOEG Aiden</v>
      </c>
      <c r="CA83" s="155" t="str">
        <f>IFERROR(VLOOKUP(($GW83*10)+CA$2,downloads!$S:$U,2,FALSE),"")</f>
        <v>CHINNERY Norton</v>
      </c>
      <c r="DA83" s="155" t="str">
        <f>IFERROR(VLOOKUP(($GW83*10)+DA$2,downloads!$S:$U,2,FALSE),"")</f>
        <v>OADES James</v>
      </c>
      <c r="EA83" s="155" t="str">
        <f>IFERROR(VLOOKUP(($GW83*10)+EA$2,downloads!$S:$U,2,FALSE),"")</f>
        <v/>
      </c>
      <c r="FA83" s="155" t="str">
        <f>IFERROR(VLOOKUP(($GW83*10)+FA$2,downloads!$S:$U,2,FALSE),"")</f>
        <v/>
      </c>
      <c r="GA83" s="155" t="str">
        <f>IFERROR(VLOOKUP(($GW83*10)+GA$2,downloads!$S:$U,2,FALSE),"")</f>
        <v/>
      </c>
      <c r="GW83" s="155">
        <v>9</v>
      </c>
    </row>
    <row r="84" spans="1:205" ht="15" hidden="1" customHeight="1" x14ac:dyDescent="0.45">
      <c r="A84" s="155" t="str">
        <f>IFERROR(VLOOKUP(($GW84*10)+A$2,downloads!$S:$U,2,FALSE),"")</f>
        <v>FOOT James</v>
      </c>
      <c r="AA84" s="155" t="str">
        <f>IFERROR(VLOOKUP(($GW84*10)+AA$2,downloads!$S:$U,2,FALSE),"")</f>
        <v>HIRST Adam</v>
      </c>
      <c r="BA84" s="155" t="str">
        <f>IFERROR(VLOOKUP(($GW84*10)+BA$2,downloads!$S:$U,2,FALSE),"")</f>
        <v>FARMER-BEASLEY Bryce</v>
      </c>
      <c r="CA84" s="155" t="str">
        <f>IFERROR(VLOOKUP(($GW84*10)+CA$2,downloads!$S:$U,2,FALSE),"")</f>
        <v>CRAGGS George</v>
      </c>
      <c r="DA84" s="155" t="str">
        <f>IFERROR(VLOOKUP(($GW84*10)+DA$2,downloads!$S:$U,2,FALSE),"")</f>
        <v>OADES Matthew</v>
      </c>
      <c r="EA84" s="155" t="str">
        <f>IFERROR(VLOOKUP(($GW84*10)+EA$2,downloads!$S:$U,2,FALSE),"")</f>
        <v/>
      </c>
      <c r="FA84" s="155" t="str">
        <f>IFERROR(VLOOKUP(($GW84*10)+FA$2,downloads!$S:$U,2,FALSE),"")</f>
        <v/>
      </c>
      <c r="GA84" s="155" t="str">
        <f>IFERROR(VLOOKUP(($GW84*10)+GA$2,downloads!$S:$U,2,FALSE),"")</f>
        <v/>
      </c>
      <c r="GW84" s="155">
        <v>10</v>
      </c>
    </row>
    <row r="85" spans="1:205" ht="15" hidden="1" customHeight="1" x14ac:dyDescent="0.45">
      <c r="A85" s="155" t="str">
        <f>IFERROR(VLOOKUP(($GW85*10)+A$2,downloads!$S:$U,2,FALSE),"")</f>
        <v>GASKIN Nathanael</v>
      </c>
      <c r="AA85" s="155" t="str">
        <f>IFERROR(VLOOKUP(($GW85*10)+AA$2,downloads!$S:$U,2,FALSE),"")</f>
        <v>KRIEL PARR George</v>
      </c>
      <c r="BA85" s="155" t="str">
        <f>IFERROR(VLOOKUP(($GW85*10)+BA$2,downloads!$S:$U,2,FALSE),"")</f>
        <v>GASKIN Ian</v>
      </c>
      <c r="CA85" s="155" t="str">
        <f>IFERROR(VLOOKUP(($GW85*10)+CA$2,downloads!$S:$U,2,FALSE),"")</f>
        <v>FRANCIS Stan</v>
      </c>
      <c r="DA85" s="155" t="str">
        <f>IFERROR(VLOOKUP(($GW85*10)+DA$2,downloads!$S:$U,2,FALSE),"")</f>
        <v>PELL Nathan</v>
      </c>
      <c r="EA85" s="155" t="str">
        <f>IFERROR(VLOOKUP(($GW85*10)+EA$2,downloads!$S:$U,2,FALSE),"")</f>
        <v/>
      </c>
      <c r="FA85" s="155" t="str">
        <f>IFERROR(VLOOKUP(($GW85*10)+FA$2,downloads!$S:$U,2,FALSE),"")</f>
        <v/>
      </c>
      <c r="GA85" s="155" t="str">
        <f>IFERROR(VLOOKUP(($GW85*10)+GA$2,downloads!$S:$U,2,FALSE),"")</f>
        <v/>
      </c>
      <c r="GW85" s="155">
        <v>11</v>
      </c>
    </row>
    <row r="86" spans="1:205" ht="15" hidden="1" customHeight="1" x14ac:dyDescent="0.45">
      <c r="A86" s="155" t="str">
        <f>IFERROR(VLOOKUP(($GW86*10)+A$2,downloads!$S:$U,2,FALSE),"")</f>
        <v>GRATTON Ollie</v>
      </c>
      <c r="AA86" s="155" t="str">
        <f>IFERROR(VLOOKUP(($GW86*10)+AA$2,downloads!$S:$U,2,FALSE),"")</f>
        <v>LANE William</v>
      </c>
      <c r="BA86" s="155" t="str">
        <f>IFERROR(VLOOKUP(($GW86*10)+BA$2,downloads!$S:$U,2,FALSE),"")</f>
        <v>GOLD James</v>
      </c>
      <c r="CA86" s="155" t="str">
        <f>IFERROR(VLOOKUP(($GW86*10)+CA$2,downloads!$S:$U,2,FALSE),"")</f>
        <v>FRENCH William</v>
      </c>
      <c r="DA86" s="155" t="str">
        <f>IFERROR(VLOOKUP(($GW86*10)+DA$2,downloads!$S:$U,2,FALSE),"")</f>
        <v>PRASAD Ashil</v>
      </c>
      <c r="EA86" s="155" t="str">
        <f>IFERROR(VLOOKUP(($GW86*10)+EA$2,downloads!$S:$U,2,FALSE),"")</f>
        <v/>
      </c>
      <c r="FA86" s="155" t="str">
        <f>IFERROR(VLOOKUP(($GW86*10)+FA$2,downloads!$S:$U,2,FALSE),"")</f>
        <v/>
      </c>
      <c r="GA86" s="155" t="str">
        <f>IFERROR(VLOOKUP(($GW86*10)+GA$2,downloads!$S:$U,2,FALSE),"")</f>
        <v/>
      </c>
      <c r="GW86" s="155">
        <v>12</v>
      </c>
    </row>
    <row r="87" spans="1:205" ht="15" hidden="1" customHeight="1" x14ac:dyDescent="0.45">
      <c r="A87" s="155" t="str">
        <f>IFERROR(VLOOKUP(($GW87*10)+A$2,downloads!$S:$U,2,FALSE),"")</f>
        <v>GREVESON Keyon</v>
      </c>
      <c r="AA87" s="155" t="str">
        <f>IFERROR(VLOOKUP(($GW87*10)+AA$2,downloads!$S:$U,2,FALSE),"")</f>
        <v>MARSTON-GIROUX Isaac</v>
      </c>
      <c r="BA87" s="155" t="str">
        <f>IFERROR(VLOOKUP(($GW87*10)+BA$2,downloads!$S:$U,2,FALSE),"")</f>
        <v>HANLEY Edward</v>
      </c>
      <c r="CA87" s="155" t="str">
        <f>IFERROR(VLOOKUP(($GW87*10)+CA$2,downloads!$S:$U,2,FALSE),"")</f>
        <v>GRYLLS Theo</v>
      </c>
      <c r="DA87" s="155" t="str">
        <f>IFERROR(VLOOKUP(($GW87*10)+DA$2,downloads!$S:$U,2,FALSE),"")</f>
        <v>TAYLOR Harley</v>
      </c>
      <c r="EA87" s="155" t="str">
        <f>IFERROR(VLOOKUP(($GW87*10)+EA$2,downloads!$S:$U,2,FALSE),"")</f>
        <v/>
      </c>
      <c r="FA87" s="155" t="str">
        <f>IFERROR(VLOOKUP(($GW87*10)+FA$2,downloads!$S:$U,2,FALSE),"")</f>
        <v/>
      </c>
      <c r="GA87" s="155" t="str">
        <f>IFERROR(VLOOKUP(($GW87*10)+GA$2,downloads!$S:$U,2,FALSE),"")</f>
        <v/>
      </c>
      <c r="GW87" s="155">
        <v>13</v>
      </c>
    </row>
    <row r="88" spans="1:205" ht="15" hidden="1" customHeight="1" x14ac:dyDescent="0.45">
      <c r="A88" s="155" t="str">
        <f>IFERROR(VLOOKUP(($GW88*10)+A$2,downloads!$S:$U,2,FALSE),"")</f>
        <v>LEE Jenson</v>
      </c>
      <c r="AA88" s="155" t="str">
        <f>IFERROR(VLOOKUP(($GW88*10)+AA$2,downloads!$S:$U,2,FALSE),"")</f>
        <v>MAY Rudi</v>
      </c>
      <c r="BA88" s="155" t="str">
        <f>IFERROR(VLOOKUP(($GW88*10)+BA$2,downloads!$S:$U,2,FALSE),"")</f>
        <v>HENSON Isaac</v>
      </c>
      <c r="CA88" s="155" t="str">
        <f>IFERROR(VLOOKUP(($GW88*10)+CA$2,downloads!$S:$U,2,FALSE),"")</f>
        <v>HARRIS Mason</v>
      </c>
      <c r="DA88" s="155" t="str">
        <f>IFERROR(VLOOKUP(($GW88*10)+DA$2,downloads!$S:$U,2,FALSE),"")</f>
        <v>TRIPPITT Levi</v>
      </c>
      <c r="EA88" s="155" t="str">
        <f>IFERROR(VLOOKUP(($GW88*10)+EA$2,downloads!$S:$U,2,FALSE),"")</f>
        <v/>
      </c>
      <c r="FA88" s="155" t="str">
        <f>IFERROR(VLOOKUP(($GW88*10)+FA$2,downloads!$S:$U,2,FALSE),"")</f>
        <v/>
      </c>
      <c r="GA88" s="155" t="str">
        <f>IFERROR(VLOOKUP(($GW88*10)+GA$2,downloads!$S:$U,2,FALSE),"")</f>
        <v/>
      </c>
      <c r="GW88" s="155">
        <v>14</v>
      </c>
    </row>
    <row r="89" spans="1:205" ht="15" hidden="1" customHeight="1" x14ac:dyDescent="0.45">
      <c r="A89" s="155" t="str">
        <f>IFERROR(VLOOKUP(($GW89*10)+A$2,downloads!$S:$U,2,FALSE),"")</f>
        <v>LOWE Seth</v>
      </c>
      <c r="AA89" s="155" t="str">
        <f>IFERROR(VLOOKUP(($GW89*10)+AA$2,downloads!$S:$U,2,FALSE),"")</f>
        <v>MURRAY Tony</v>
      </c>
      <c r="BA89" s="155" t="str">
        <f>IFERROR(VLOOKUP(($GW89*10)+BA$2,downloads!$S:$U,2,FALSE),"")</f>
        <v>HICKLING William</v>
      </c>
      <c r="CA89" s="155" t="str">
        <f>IFERROR(VLOOKUP(($GW89*10)+CA$2,downloads!$S:$U,2,FALSE),"")</f>
        <v>HONEYMAN Leo</v>
      </c>
      <c r="DA89" s="155" t="str">
        <f>IFERROR(VLOOKUP(($GW89*10)+DA$2,downloads!$S:$U,2,FALSE),"")</f>
        <v>TRIPPITT Lewis</v>
      </c>
      <c r="EA89" s="155" t="str">
        <f>IFERROR(VLOOKUP(($GW89*10)+EA$2,downloads!$S:$U,2,FALSE),"")</f>
        <v/>
      </c>
      <c r="FA89" s="155" t="str">
        <f>IFERROR(VLOOKUP(($GW89*10)+FA$2,downloads!$S:$U,2,FALSE),"")</f>
        <v/>
      </c>
      <c r="GA89" s="155" t="str">
        <f>IFERROR(VLOOKUP(($GW89*10)+GA$2,downloads!$S:$U,2,FALSE),"")</f>
        <v/>
      </c>
      <c r="GW89" s="155">
        <v>15</v>
      </c>
    </row>
    <row r="90" spans="1:205" ht="15" hidden="1" customHeight="1" x14ac:dyDescent="0.45">
      <c r="A90" s="155" t="str">
        <f>IFERROR(VLOOKUP(($GW90*10)+A$2,downloads!$S:$U,2,FALSE),"")</f>
        <v>MARRIOTT Max</v>
      </c>
      <c r="AA90" s="155" t="str">
        <f>IFERROR(VLOOKUP(($GW90*10)+AA$2,downloads!$S:$U,2,FALSE),"")</f>
        <v>OLIVER Isaac</v>
      </c>
      <c r="BA90" s="155" t="str">
        <f>IFERROR(VLOOKUP(($GW90*10)+BA$2,downloads!$S:$U,2,FALSE),"")</f>
        <v>HOPKIN Jacob</v>
      </c>
      <c r="CA90" s="155" t="str">
        <f>IFERROR(VLOOKUP(($GW90*10)+CA$2,downloads!$S:$U,2,FALSE),"")</f>
        <v>HUGHES James</v>
      </c>
      <c r="DA90" s="155" t="str">
        <f>IFERROR(VLOOKUP(($GW90*10)+DA$2,downloads!$S:$U,2,FALSE),"")</f>
        <v/>
      </c>
      <c r="EA90" s="155" t="str">
        <f>IFERROR(VLOOKUP(($GW90*10)+EA$2,downloads!$S:$U,2,FALSE),"")</f>
        <v/>
      </c>
      <c r="FA90" s="155" t="str">
        <f>IFERROR(VLOOKUP(($GW90*10)+FA$2,downloads!$S:$U,2,FALSE),"")</f>
        <v/>
      </c>
      <c r="GA90" s="155" t="str">
        <f>IFERROR(VLOOKUP(($GW90*10)+GA$2,downloads!$S:$U,2,FALSE),"")</f>
        <v/>
      </c>
      <c r="GW90" s="155">
        <v>16</v>
      </c>
    </row>
    <row r="91" spans="1:205" ht="15" hidden="1" customHeight="1" x14ac:dyDescent="0.45">
      <c r="A91" s="155" t="str">
        <f>IFERROR(VLOOKUP(($GW91*10)+A$2,downloads!$S:$U,2,FALSE),"")</f>
        <v>MARRIOTT Thomas</v>
      </c>
      <c r="AA91" s="155" t="str">
        <f>IFERROR(VLOOKUP(($GW91*10)+AA$2,downloads!$S:$U,2,FALSE),"")</f>
        <v>OR KAM FAT Matteo</v>
      </c>
      <c r="BA91" s="155" t="str">
        <f>IFERROR(VLOOKUP(($GW91*10)+BA$2,downloads!$S:$U,2,FALSE),"")</f>
        <v>HOW Louis</v>
      </c>
      <c r="CA91" s="155" t="str">
        <f>IFERROR(VLOOKUP(($GW91*10)+CA$2,downloads!$S:$U,2,FALSE),"")</f>
        <v>IBEH Terrell</v>
      </c>
      <c r="DA91" s="155" t="str">
        <f>IFERROR(VLOOKUP(($GW91*10)+DA$2,downloads!$S:$U,2,FALSE),"")</f>
        <v/>
      </c>
      <c r="EA91" s="155" t="str">
        <f>IFERROR(VLOOKUP(($GW91*10)+EA$2,downloads!$S:$U,2,FALSE),"")</f>
        <v/>
      </c>
      <c r="FA91" s="155" t="str">
        <f>IFERROR(VLOOKUP(($GW91*10)+FA$2,downloads!$S:$U,2,FALSE),"")</f>
        <v/>
      </c>
      <c r="GA91" s="155" t="str">
        <f>IFERROR(VLOOKUP(($GW91*10)+GA$2,downloads!$S:$U,2,FALSE),"")</f>
        <v/>
      </c>
      <c r="GW91" s="155">
        <v>17</v>
      </c>
    </row>
    <row r="92" spans="1:205" ht="15" hidden="1" customHeight="1" x14ac:dyDescent="0.45">
      <c r="A92" s="155" t="str">
        <f>IFERROR(VLOOKUP(($GW92*10)+A$2,downloads!$S:$U,2,FALSE),"")</f>
        <v>MAZUREK Gracjan</v>
      </c>
      <c r="AA92" s="155" t="str">
        <f>IFERROR(VLOOKUP(($GW92*10)+AA$2,downloads!$S:$U,2,FALSE),"")</f>
        <v>PLATTS Will</v>
      </c>
      <c r="BA92" s="155" t="str">
        <f>IFERROR(VLOOKUP(($GW92*10)+BA$2,downloads!$S:$U,2,FALSE),"")</f>
        <v>JONES Alex</v>
      </c>
      <c r="CA92" s="155" t="str">
        <f>IFERROR(VLOOKUP(($GW92*10)+CA$2,downloads!$S:$U,2,FALSE),"")</f>
        <v>JOHNSON Curtis</v>
      </c>
      <c r="DA92" s="155" t="str">
        <f>IFERROR(VLOOKUP(($GW92*10)+DA$2,downloads!$S:$U,2,FALSE),"")</f>
        <v/>
      </c>
      <c r="EA92" s="155" t="str">
        <f>IFERROR(VLOOKUP(($GW92*10)+EA$2,downloads!$S:$U,2,FALSE),"")</f>
        <v/>
      </c>
      <c r="FA92" s="155" t="str">
        <f>IFERROR(VLOOKUP(($GW92*10)+FA$2,downloads!$S:$U,2,FALSE),"")</f>
        <v/>
      </c>
      <c r="GA92" s="155" t="str">
        <f>IFERROR(VLOOKUP(($GW92*10)+GA$2,downloads!$S:$U,2,FALSE),"")</f>
        <v/>
      </c>
      <c r="GW92" s="155">
        <v>18</v>
      </c>
    </row>
    <row r="93" spans="1:205" ht="15" hidden="1" customHeight="1" x14ac:dyDescent="0.45">
      <c r="A93" s="155" t="str">
        <f>IFERROR(VLOOKUP(($GW93*10)+A$2,downloads!$S:$U,2,FALSE),"")</f>
        <v>PEERS-WAIN Jacob</v>
      </c>
      <c r="AA93" s="155" t="str">
        <f>IFERROR(VLOOKUP(($GW93*10)+AA$2,downloads!$S:$U,2,FALSE),"")</f>
        <v>PRINCE Zak</v>
      </c>
      <c r="BA93" s="155" t="str">
        <f>IFERROR(VLOOKUP(($GW93*10)+BA$2,downloads!$S:$U,2,FALSE),"")</f>
        <v>KIRBY Alfie</v>
      </c>
      <c r="CA93" s="155" t="str">
        <f>IFERROR(VLOOKUP(($GW93*10)+CA$2,downloads!$S:$U,2,FALSE),"")</f>
        <v>KAYE Charlie</v>
      </c>
      <c r="DA93" s="155" t="str">
        <f>IFERROR(VLOOKUP(($GW93*10)+DA$2,downloads!$S:$U,2,FALSE),"")</f>
        <v/>
      </c>
      <c r="EA93" s="155" t="str">
        <f>IFERROR(VLOOKUP(($GW93*10)+EA$2,downloads!$S:$U,2,FALSE),"")</f>
        <v/>
      </c>
      <c r="FA93" s="155" t="str">
        <f>IFERROR(VLOOKUP(($GW93*10)+FA$2,downloads!$S:$U,2,FALSE),"")</f>
        <v/>
      </c>
      <c r="GA93" s="155" t="str">
        <f>IFERROR(VLOOKUP(($GW93*10)+GA$2,downloads!$S:$U,2,FALSE),"")</f>
        <v/>
      </c>
      <c r="GW93" s="155">
        <v>19</v>
      </c>
    </row>
    <row r="94" spans="1:205" ht="15" hidden="1" customHeight="1" x14ac:dyDescent="0.45">
      <c r="A94" s="155" t="str">
        <f>IFERROR(VLOOKUP(($GW94*10)+A$2,downloads!$S:$U,2,FALSE),"")</f>
        <v>SAS Reuben</v>
      </c>
      <c r="AA94" s="155" t="str">
        <f>IFERROR(VLOOKUP(($GW94*10)+AA$2,downloads!$S:$U,2,FALSE),"")</f>
        <v>REED Elliot</v>
      </c>
      <c r="BA94" s="155" t="str">
        <f>IFERROR(VLOOKUP(($GW94*10)+BA$2,downloads!$S:$U,2,FALSE),"")</f>
        <v>LANSFORD Hollis</v>
      </c>
      <c r="CA94" s="155" t="str">
        <f>IFERROR(VLOOKUP(($GW94*10)+CA$2,downloads!$S:$U,2,FALSE),"")</f>
        <v>KELL William</v>
      </c>
      <c r="DA94" s="155" t="str">
        <f>IFERROR(VLOOKUP(($GW94*10)+DA$2,downloads!$S:$U,2,FALSE),"")</f>
        <v/>
      </c>
      <c r="EA94" s="155" t="str">
        <f>IFERROR(VLOOKUP(($GW94*10)+EA$2,downloads!$S:$U,2,FALSE),"")</f>
        <v/>
      </c>
      <c r="FA94" s="155" t="str">
        <f>IFERROR(VLOOKUP(($GW94*10)+FA$2,downloads!$S:$U,2,FALSE),"")</f>
        <v/>
      </c>
      <c r="GA94" s="155" t="str">
        <f>IFERROR(VLOOKUP(($GW94*10)+GA$2,downloads!$S:$U,2,FALSE),"")</f>
        <v/>
      </c>
      <c r="GW94" s="155">
        <v>20</v>
      </c>
    </row>
    <row r="95" spans="1:205" ht="15" hidden="1" customHeight="1" x14ac:dyDescent="0.45">
      <c r="A95" s="155" t="str">
        <f>IFERROR(VLOOKUP(($GW95*10)+A$2,downloads!$S:$U,2,FALSE),"")</f>
        <v>STOWELL Callum</v>
      </c>
      <c r="AA95" s="155" t="str">
        <f>IFERROR(VLOOKUP(($GW95*10)+AA$2,downloads!$S:$U,2,FALSE),"")</f>
        <v>REILLY Arthur</v>
      </c>
      <c r="BA95" s="155" t="str">
        <f>IFERROR(VLOOKUP(($GW95*10)+BA$2,downloads!$S:$U,2,FALSE),"")</f>
        <v>LEFLEY Samuel</v>
      </c>
      <c r="CA95" s="155" t="str">
        <f>IFERROR(VLOOKUP(($GW95*10)+CA$2,downloads!$S:$U,2,FALSE),"")</f>
        <v>MARRON Ethan</v>
      </c>
      <c r="DA95" s="155" t="str">
        <f>IFERROR(VLOOKUP(($GW95*10)+DA$2,downloads!$S:$U,2,FALSE),"")</f>
        <v/>
      </c>
      <c r="EA95" s="155" t="str">
        <f>IFERROR(VLOOKUP(($GW95*10)+EA$2,downloads!$S:$U,2,FALSE),"")</f>
        <v/>
      </c>
      <c r="FA95" s="155" t="str">
        <f>IFERROR(VLOOKUP(($GW95*10)+FA$2,downloads!$S:$U,2,FALSE),"")</f>
        <v/>
      </c>
      <c r="GA95" s="155" t="str">
        <f>IFERROR(VLOOKUP(($GW95*10)+GA$2,downloads!$S:$U,2,FALSE),"")</f>
        <v/>
      </c>
      <c r="GW95" s="155">
        <v>21</v>
      </c>
    </row>
    <row r="96" spans="1:205" ht="15" hidden="1" customHeight="1" x14ac:dyDescent="0.45">
      <c r="A96" s="155" t="str">
        <f>IFERROR(VLOOKUP(($GW96*10)+A$2,downloads!$S:$U,2,FALSE),"")</f>
        <v/>
      </c>
      <c r="AA96" s="155" t="str">
        <f>IFERROR(VLOOKUP(($GW96*10)+AA$2,downloads!$S:$U,2,FALSE),"")</f>
        <v>RHODES Jamie</v>
      </c>
      <c r="BA96" s="155" t="str">
        <f>IFERROR(VLOOKUP(($GW96*10)+BA$2,downloads!$S:$U,2,FALSE),"")</f>
        <v>LINDRIDGE Theo</v>
      </c>
      <c r="CA96" s="155" t="str">
        <f>IFERROR(VLOOKUP(($GW96*10)+CA$2,downloads!$S:$U,2,FALSE),"")</f>
        <v>MAYNARD Finley</v>
      </c>
      <c r="DA96" s="155" t="str">
        <f>IFERROR(VLOOKUP(($GW96*10)+DA$2,downloads!$S:$U,2,FALSE),"")</f>
        <v/>
      </c>
      <c r="EA96" s="155" t="str">
        <f>IFERROR(VLOOKUP(($GW96*10)+EA$2,downloads!$S:$U,2,FALSE),"")</f>
        <v/>
      </c>
      <c r="FA96" s="155" t="str">
        <f>IFERROR(VLOOKUP(($GW96*10)+FA$2,downloads!$S:$U,2,FALSE),"")</f>
        <v/>
      </c>
      <c r="GA96" s="155" t="str">
        <f>IFERROR(VLOOKUP(($GW96*10)+GA$2,downloads!$S:$U,2,FALSE),"")</f>
        <v/>
      </c>
      <c r="GW96" s="155">
        <v>22</v>
      </c>
    </row>
    <row r="97" spans="1:205" ht="15" hidden="1" customHeight="1" x14ac:dyDescent="0.45">
      <c r="A97" s="155" t="str">
        <f>IFERROR(VLOOKUP(($GW97*10)+A$2,downloads!$S:$U,2,FALSE),"")</f>
        <v/>
      </c>
      <c r="AA97" s="155" t="str">
        <f>IFERROR(VLOOKUP(($GW97*10)+AA$2,downloads!$S:$U,2,FALSE),"")</f>
        <v>SCOTT Leni</v>
      </c>
      <c r="BA97" s="155" t="str">
        <f>IFERROR(VLOOKUP(($GW97*10)+BA$2,downloads!$S:$U,2,FALSE),"")</f>
        <v>MARSHALL Syd</v>
      </c>
      <c r="CA97" s="155" t="str">
        <f>IFERROR(VLOOKUP(($GW97*10)+CA$2,downloads!$S:$U,2,FALSE),"")</f>
        <v>MAYNARD Tom</v>
      </c>
      <c r="DA97" s="155" t="str">
        <f>IFERROR(VLOOKUP(($GW97*10)+DA$2,downloads!$S:$U,2,FALSE),"")</f>
        <v/>
      </c>
      <c r="EA97" s="155" t="str">
        <f>IFERROR(VLOOKUP(($GW97*10)+EA$2,downloads!$S:$U,2,FALSE),"")</f>
        <v/>
      </c>
      <c r="FA97" s="155" t="str">
        <f>IFERROR(VLOOKUP(($GW97*10)+FA$2,downloads!$S:$U,2,FALSE),"")</f>
        <v/>
      </c>
      <c r="GA97" s="155" t="str">
        <f>IFERROR(VLOOKUP(($GW97*10)+GA$2,downloads!$S:$U,2,FALSE),"")</f>
        <v/>
      </c>
      <c r="GW97" s="155">
        <v>23</v>
      </c>
    </row>
    <row r="98" spans="1:205" ht="15" hidden="1" customHeight="1" x14ac:dyDescent="0.45">
      <c r="A98" s="155" t="str">
        <f>IFERROR(VLOOKUP(($GW98*10)+A$2,downloads!$S:$U,2,FALSE),"")</f>
        <v/>
      </c>
      <c r="AA98" s="155" t="str">
        <f>IFERROR(VLOOKUP(($GW98*10)+AA$2,downloads!$S:$U,2,FALSE),"")</f>
        <v>TAYLOR George</v>
      </c>
      <c r="BA98" s="155" t="str">
        <f>IFERROR(VLOOKUP(($GW98*10)+BA$2,downloads!$S:$U,2,FALSE),"")</f>
        <v>MEIGH William</v>
      </c>
      <c r="CA98" s="155" t="str">
        <f>IFERROR(VLOOKUP(($GW98*10)+CA$2,downloads!$S:$U,2,FALSE),"")</f>
        <v>O'HARE Christy</v>
      </c>
      <c r="DA98" s="155" t="str">
        <f>IFERROR(VLOOKUP(($GW98*10)+DA$2,downloads!$S:$U,2,FALSE),"")</f>
        <v/>
      </c>
      <c r="EA98" s="155" t="str">
        <f>IFERROR(VLOOKUP(($GW98*10)+EA$2,downloads!$S:$U,2,FALSE),"")</f>
        <v/>
      </c>
      <c r="FA98" s="155" t="str">
        <f>IFERROR(VLOOKUP(($GW98*10)+FA$2,downloads!$S:$U,2,FALSE),"")</f>
        <v/>
      </c>
      <c r="GA98" s="155" t="str">
        <f>IFERROR(VLOOKUP(($GW98*10)+GA$2,downloads!$S:$U,2,FALSE),"")</f>
        <v/>
      </c>
      <c r="GW98" s="155">
        <v>24</v>
      </c>
    </row>
    <row r="99" spans="1:205" ht="15" hidden="1" customHeight="1" x14ac:dyDescent="0.45">
      <c r="A99" s="155" t="str">
        <f>IFERROR(VLOOKUP(($GW99*10)+A$2,downloads!$S:$U,2,FALSE),"")</f>
        <v/>
      </c>
      <c r="AA99" s="155" t="str">
        <f>IFERROR(VLOOKUP(($GW99*10)+AA$2,downloads!$S:$U,2,FALSE),"")</f>
        <v>WAINWRIGHT James</v>
      </c>
      <c r="BA99" s="155" t="str">
        <f>IFERROR(VLOOKUP(($GW99*10)+BA$2,downloads!$S:$U,2,FALSE),"")</f>
        <v>MOSS Joshua</v>
      </c>
      <c r="CA99" s="155" t="str">
        <f>IFERROR(VLOOKUP(($GW99*10)+CA$2,downloads!$S:$U,2,FALSE),"")</f>
        <v>O'HARE Dillon</v>
      </c>
      <c r="DA99" s="155" t="str">
        <f>IFERROR(VLOOKUP(($GW99*10)+DA$2,downloads!$S:$U,2,FALSE),"")</f>
        <v/>
      </c>
      <c r="EA99" s="155" t="str">
        <f>IFERROR(VLOOKUP(($GW99*10)+EA$2,downloads!$S:$U,2,FALSE),"")</f>
        <v/>
      </c>
      <c r="FA99" s="155" t="str">
        <f>IFERROR(VLOOKUP(($GW99*10)+FA$2,downloads!$S:$U,2,FALSE),"")</f>
        <v/>
      </c>
      <c r="GA99" s="155" t="str">
        <f>IFERROR(VLOOKUP(($GW99*10)+GA$2,downloads!$S:$U,2,FALSE),"")</f>
        <v/>
      </c>
      <c r="GW99" s="155">
        <v>25</v>
      </c>
    </row>
    <row r="100" spans="1:205" ht="15" hidden="1" customHeight="1" x14ac:dyDescent="0.45">
      <c r="A100" s="155" t="str">
        <f>IFERROR(VLOOKUP(($GW100*10)+A$2,downloads!$S:$U,2,FALSE),"")</f>
        <v/>
      </c>
      <c r="AA100" s="155" t="str">
        <f>IFERROR(VLOOKUP(($GW100*10)+AA$2,downloads!$S:$U,2,FALSE),"")</f>
        <v>WALLACE George</v>
      </c>
      <c r="BA100" s="155" t="str">
        <f>IFERROR(VLOOKUP(($GW100*10)+BA$2,downloads!$S:$U,2,FALSE),"")</f>
        <v>PEARSON Adam</v>
      </c>
      <c r="CA100" s="155" t="str">
        <f>IFERROR(VLOOKUP(($GW100*10)+CA$2,downloads!$S:$U,2,FALSE),"")</f>
        <v>OKEY Chieme</v>
      </c>
      <c r="DA100" s="155" t="str">
        <f>IFERROR(VLOOKUP(($GW100*10)+DA$2,downloads!$S:$U,2,FALSE),"")</f>
        <v/>
      </c>
      <c r="EA100" s="155" t="str">
        <f>IFERROR(VLOOKUP(($GW100*10)+EA$2,downloads!$S:$U,2,FALSE),"")</f>
        <v/>
      </c>
      <c r="FA100" s="155" t="str">
        <f>IFERROR(VLOOKUP(($GW100*10)+FA$2,downloads!$S:$U,2,FALSE),"")</f>
        <v/>
      </c>
      <c r="GA100" s="155" t="str">
        <f>IFERROR(VLOOKUP(($GW100*10)+GA$2,downloads!$S:$U,2,FALSE),"")</f>
        <v/>
      </c>
      <c r="GW100" s="155">
        <v>26</v>
      </c>
    </row>
    <row r="101" spans="1:205" ht="15" hidden="1" customHeight="1" x14ac:dyDescent="0.45">
      <c r="A101" s="155" t="str">
        <f>IFERROR(VLOOKUP(($GW101*10)+A$2,downloads!$S:$U,2,FALSE),"")</f>
        <v/>
      </c>
      <c r="AA101" s="155" t="str">
        <f>IFERROR(VLOOKUP(($GW101*10)+AA$2,downloads!$S:$U,2,FALSE),"")</f>
        <v>WELFORD Rowan</v>
      </c>
      <c r="BA101" s="155" t="str">
        <f>IFERROR(VLOOKUP(($GW101*10)+BA$2,downloads!$S:$U,2,FALSE),"")</f>
        <v>PYE George</v>
      </c>
      <c r="CA101" s="155" t="str">
        <f>IFERROR(VLOOKUP(($GW101*10)+CA$2,downloads!$S:$U,2,FALSE),"")</f>
        <v>RYDER Joseph</v>
      </c>
      <c r="DA101" s="155" t="str">
        <f>IFERROR(VLOOKUP(($GW101*10)+DA$2,downloads!$S:$U,2,FALSE),"")</f>
        <v/>
      </c>
      <c r="EA101" s="155" t="str">
        <f>IFERROR(VLOOKUP(($GW101*10)+EA$2,downloads!$S:$U,2,FALSE),"")</f>
        <v/>
      </c>
      <c r="FA101" s="155" t="str">
        <f>IFERROR(VLOOKUP(($GW101*10)+FA$2,downloads!$S:$U,2,FALSE),"")</f>
        <v/>
      </c>
      <c r="GA101" s="155" t="str">
        <f>IFERROR(VLOOKUP(($GW101*10)+GA$2,downloads!$S:$U,2,FALSE),"")</f>
        <v/>
      </c>
      <c r="GW101" s="155">
        <v>27</v>
      </c>
    </row>
    <row r="102" spans="1:205" ht="15" hidden="1" customHeight="1" x14ac:dyDescent="0.45">
      <c r="A102" s="155" t="str">
        <f>IFERROR(VLOOKUP(($GW102*10)+A$2,downloads!$S:$U,2,FALSE),"")</f>
        <v/>
      </c>
      <c r="AA102" s="155" t="str">
        <f>IFERROR(VLOOKUP(($GW102*10)+AA$2,downloads!$S:$U,2,FALSE),"")</f>
        <v>WINGFIELD Tyler</v>
      </c>
      <c r="BA102" s="155" t="str">
        <f>IFERROR(VLOOKUP(($GW102*10)+BA$2,downloads!$S:$U,2,FALSE),"")</f>
        <v>PYM Ethan</v>
      </c>
      <c r="CA102" s="155" t="str">
        <f>IFERROR(VLOOKUP(($GW102*10)+CA$2,downloads!$S:$U,2,FALSE),"")</f>
        <v>SAVAGE Benjamin</v>
      </c>
      <c r="DA102" s="155" t="str">
        <f>IFERROR(VLOOKUP(($GW102*10)+DA$2,downloads!$S:$U,2,FALSE),"")</f>
        <v/>
      </c>
      <c r="EA102" s="155" t="str">
        <f>IFERROR(VLOOKUP(($GW102*10)+EA$2,downloads!$S:$U,2,FALSE),"")</f>
        <v/>
      </c>
      <c r="FA102" s="155" t="str">
        <f>IFERROR(VLOOKUP(($GW102*10)+FA$2,downloads!$S:$U,2,FALSE),"")</f>
        <v/>
      </c>
      <c r="GA102" s="155" t="str">
        <f>IFERROR(VLOOKUP(($GW102*10)+GA$2,downloads!$S:$U,2,FALSE),"")</f>
        <v/>
      </c>
      <c r="GW102" s="155">
        <v>28</v>
      </c>
    </row>
    <row r="103" spans="1:205" ht="15" hidden="1" customHeight="1" x14ac:dyDescent="0.45">
      <c r="A103" s="155" t="str">
        <f>IFERROR(VLOOKUP(($GW103*10)+A$2,downloads!$S:$U,2,FALSE),"")</f>
        <v/>
      </c>
      <c r="AA103" s="155" t="str">
        <f>IFERROR(VLOOKUP(($GW103*10)+AA$2,downloads!$S:$U,2,FALSE),"")</f>
        <v/>
      </c>
      <c r="BA103" s="155" t="str">
        <f>IFERROR(VLOOKUP(($GW103*10)+BA$2,downloads!$S:$U,2,FALSE),"")</f>
        <v>RHODES Ashton</v>
      </c>
      <c r="CA103" s="155" t="str">
        <f>IFERROR(VLOOKUP(($GW103*10)+CA$2,downloads!$S:$U,2,FALSE),"")</f>
        <v>SAYER James</v>
      </c>
      <c r="DA103" s="155" t="str">
        <f>IFERROR(VLOOKUP(($GW103*10)+DA$2,downloads!$S:$U,2,FALSE),"")</f>
        <v/>
      </c>
      <c r="EA103" s="155" t="str">
        <f>IFERROR(VLOOKUP(($GW103*10)+EA$2,downloads!$S:$U,2,FALSE),"")</f>
        <v/>
      </c>
      <c r="FA103" s="155" t="str">
        <f>IFERROR(VLOOKUP(($GW103*10)+FA$2,downloads!$S:$U,2,FALSE),"")</f>
        <v/>
      </c>
      <c r="GA103" s="155" t="str">
        <f>IFERROR(VLOOKUP(($GW103*10)+GA$2,downloads!$S:$U,2,FALSE),"")</f>
        <v/>
      </c>
      <c r="GW103" s="155">
        <v>29</v>
      </c>
    </row>
    <row r="104" spans="1:205" ht="15" hidden="1" customHeight="1" x14ac:dyDescent="0.45">
      <c r="A104" s="155" t="str">
        <f>IFERROR(VLOOKUP(($GW104*10)+A$2,downloads!$S:$U,2,FALSE),"")</f>
        <v/>
      </c>
      <c r="AA104" s="155" t="str">
        <f>IFERROR(VLOOKUP(($GW104*10)+AA$2,downloads!$S:$U,2,FALSE),"")</f>
        <v/>
      </c>
      <c r="BA104" s="155" t="str">
        <f>IFERROR(VLOOKUP(($GW104*10)+BA$2,downloads!$S:$U,2,FALSE),"")</f>
        <v>ROTHWELL Noah</v>
      </c>
      <c r="CA104" s="155" t="str">
        <f>IFERROR(VLOOKUP(($GW104*10)+CA$2,downloads!$S:$U,2,FALSE),"")</f>
        <v>SIGSWORTH Joe</v>
      </c>
      <c r="DA104" s="155" t="str">
        <f>IFERROR(VLOOKUP(($GW104*10)+DA$2,downloads!$S:$U,2,FALSE),"")</f>
        <v/>
      </c>
      <c r="EA104" s="155" t="str">
        <f>IFERROR(VLOOKUP(($GW104*10)+EA$2,downloads!$S:$U,2,FALSE),"")</f>
        <v/>
      </c>
      <c r="FA104" s="155" t="str">
        <f>IFERROR(VLOOKUP(($GW104*10)+FA$2,downloads!$S:$U,2,FALSE),"")</f>
        <v/>
      </c>
      <c r="GA104" s="155" t="str">
        <f>IFERROR(VLOOKUP(($GW104*10)+GA$2,downloads!$S:$U,2,FALSE),"")</f>
        <v/>
      </c>
      <c r="GW104" s="155">
        <v>30</v>
      </c>
    </row>
    <row r="105" spans="1:205" ht="15" hidden="1" customHeight="1" x14ac:dyDescent="0.45">
      <c r="A105" s="155" t="str">
        <f>IFERROR(VLOOKUP(($GW105*10)+A$2,downloads!$S:$U,2,FALSE),"")</f>
        <v/>
      </c>
      <c r="AA105" s="155" t="str">
        <f>IFERROR(VLOOKUP(($GW105*10)+AA$2,downloads!$S:$U,2,FALSE),"")</f>
        <v/>
      </c>
      <c r="BA105" s="155" t="str">
        <f>IFERROR(VLOOKUP(($GW105*10)+BA$2,downloads!$S:$U,2,FALSE),"")</f>
        <v>RUTTER Aaron</v>
      </c>
      <c r="CA105" s="155" t="str">
        <f>IFERROR(VLOOKUP(($GW105*10)+CA$2,downloads!$S:$U,2,FALSE),"")</f>
        <v>SIMPSON Harry</v>
      </c>
      <c r="DA105" s="155" t="str">
        <f>IFERROR(VLOOKUP(($GW105*10)+DA$2,downloads!$S:$U,2,FALSE),"")</f>
        <v/>
      </c>
      <c r="EA105" s="155" t="str">
        <f>IFERROR(VLOOKUP(($GW105*10)+EA$2,downloads!$S:$U,2,FALSE),"")</f>
        <v/>
      </c>
      <c r="FA105" s="155" t="str">
        <f>IFERROR(VLOOKUP(($GW105*10)+FA$2,downloads!$S:$U,2,FALSE),"")</f>
        <v/>
      </c>
      <c r="GA105" s="155" t="str">
        <f>IFERROR(VLOOKUP(($GW105*10)+GA$2,downloads!$S:$U,2,FALSE),"")</f>
        <v/>
      </c>
      <c r="GW105" s="155">
        <v>31</v>
      </c>
    </row>
    <row r="106" spans="1:205" ht="15" hidden="1" customHeight="1" x14ac:dyDescent="0.45">
      <c r="A106" s="155" t="str">
        <f>IFERROR(VLOOKUP(($GW106*10)+A$2,downloads!$S:$U,2,FALSE),"")</f>
        <v/>
      </c>
      <c r="AA106" s="155" t="str">
        <f>IFERROR(VLOOKUP(($GW106*10)+AA$2,downloads!$S:$U,2,FALSE),"")</f>
        <v/>
      </c>
      <c r="BA106" s="155" t="str">
        <f>IFERROR(VLOOKUP(($GW106*10)+BA$2,downloads!$S:$U,2,FALSE),"")</f>
        <v>RUTTER Lewis</v>
      </c>
      <c r="CA106" s="155" t="str">
        <f>IFERROR(VLOOKUP(($GW106*10)+CA$2,downloads!$S:$U,2,FALSE),"")</f>
        <v>SMURTHWAITE Oliver</v>
      </c>
      <c r="DA106" s="155" t="str">
        <f>IFERROR(VLOOKUP(($GW106*10)+DA$2,downloads!$S:$U,2,FALSE),"")</f>
        <v/>
      </c>
      <c r="EA106" s="155" t="str">
        <f>IFERROR(VLOOKUP(($GW106*10)+EA$2,downloads!$S:$U,2,FALSE),"")</f>
        <v/>
      </c>
      <c r="FA106" s="155" t="str">
        <f>IFERROR(VLOOKUP(($GW106*10)+FA$2,downloads!$S:$U,2,FALSE),"")</f>
        <v/>
      </c>
      <c r="GA106" s="155" t="str">
        <f>IFERROR(VLOOKUP(($GW106*10)+GA$2,downloads!$S:$U,2,FALSE),"")</f>
        <v/>
      </c>
      <c r="GW106" s="155">
        <v>32</v>
      </c>
    </row>
    <row r="107" spans="1:205" ht="15" hidden="1" customHeight="1" x14ac:dyDescent="0.45">
      <c r="A107" s="155" t="str">
        <f>IFERROR(VLOOKUP(($GW107*10)+A$2,downloads!$S:$U,2,FALSE),"")</f>
        <v/>
      </c>
      <c r="AA107" s="155" t="str">
        <f>IFERROR(VLOOKUP(($GW107*10)+AA$2,downloads!$S:$U,2,FALSE),"")</f>
        <v/>
      </c>
      <c r="BA107" s="155" t="str">
        <f>IFERROR(VLOOKUP(($GW107*10)+BA$2,downloads!$S:$U,2,FALSE),"")</f>
        <v>SANDWELL Joshua</v>
      </c>
      <c r="CA107" s="155" t="str">
        <f>IFERROR(VLOOKUP(($GW107*10)+CA$2,downloads!$S:$U,2,FALSE),"")</f>
        <v>WILSON Harry</v>
      </c>
      <c r="DA107" s="155" t="str">
        <f>IFERROR(VLOOKUP(($GW107*10)+DA$2,downloads!$S:$U,2,FALSE),"")</f>
        <v/>
      </c>
      <c r="EA107" s="155" t="str">
        <f>IFERROR(VLOOKUP(($GW107*10)+EA$2,downloads!$S:$U,2,FALSE),"")</f>
        <v/>
      </c>
      <c r="FA107" s="155" t="str">
        <f>IFERROR(VLOOKUP(($GW107*10)+FA$2,downloads!$S:$U,2,FALSE),"")</f>
        <v/>
      </c>
      <c r="GA107" s="155" t="str">
        <f>IFERROR(VLOOKUP(($GW107*10)+GA$2,downloads!$S:$U,2,FALSE),"")</f>
        <v/>
      </c>
      <c r="GW107" s="155">
        <v>33</v>
      </c>
    </row>
    <row r="108" spans="1:205" ht="15" hidden="1" customHeight="1" x14ac:dyDescent="0.45">
      <c r="A108" s="155" t="str">
        <f>IFERROR(VLOOKUP(($GW108*10)+A$2,downloads!$S:$U,2,FALSE),"")</f>
        <v/>
      </c>
      <c r="AA108" s="155" t="str">
        <f>IFERROR(VLOOKUP(($GW108*10)+AA$2,downloads!$S:$U,2,FALSE),"")</f>
        <v/>
      </c>
      <c r="BA108" s="155" t="str">
        <f>IFERROR(VLOOKUP(($GW108*10)+BA$2,downloads!$S:$U,2,FALSE),"")</f>
        <v>SCHOFIELD Sam</v>
      </c>
      <c r="CA108" s="155" t="str">
        <f>IFERROR(VLOOKUP(($GW108*10)+CA$2,downloads!$S:$U,2,FALSE),"")</f>
        <v/>
      </c>
      <c r="DA108" s="155" t="str">
        <f>IFERROR(VLOOKUP(($GW108*10)+DA$2,downloads!$S:$U,2,FALSE),"")</f>
        <v/>
      </c>
      <c r="EA108" s="155" t="str">
        <f>IFERROR(VLOOKUP(($GW108*10)+EA$2,downloads!$S:$U,2,FALSE),"")</f>
        <v/>
      </c>
      <c r="FA108" s="155" t="str">
        <f>IFERROR(VLOOKUP(($GW108*10)+FA$2,downloads!$S:$U,2,FALSE),"")</f>
        <v/>
      </c>
      <c r="GA108" s="155" t="str">
        <f>IFERROR(VLOOKUP(($GW108*10)+GA$2,downloads!$S:$U,2,FALSE),"")</f>
        <v/>
      </c>
      <c r="GW108" s="155">
        <v>34</v>
      </c>
    </row>
    <row r="109" spans="1:205" ht="15" hidden="1" customHeight="1" x14ac:dyDescent="0.45">
      <c r="A109" s="155" t="str">
        <f>IFERROR(VLOOKUP(($GW109*10)+A$2,downloads!$S:$U,2,FALSE),"")</f>
        <v/>
      </c>
      <c r="AA109" s="155" t="str">
        <f>IFERROR(VLOOKUP(($GW109*10)+AA$2,downloads!$S:$U,2,FALSE),"")</f>
        <v/>
      </c>
      <c r="BA109" s="155" t="str">
        <f>IFERROR(VLOOKUP(($GW109*10)+BA$2,downloads!$S:$U,2,FALSE),"")</f>
        <v>SCURRAH-SMYTH Ben</v>
      </c>
      <c r="CA109" s="155" t="str">
        <f>IFERROR(VLOOKUP(($GW109*10)+CA$2,downloads!$S:$U,2,FALSE),"")</f>
        <v/>
      </c>
      <c r="DA109" s="155" t="str">
        <f>IFERROR(VLOOKUP(($GW109*10)+DA$2,downloads!$S:$U,2,FALSE),"")</f>
        <v/>
      </c>
      <c r="EA109" s="155" t="str">
        <f>IFERROR(VLOOKUP(($GW109*10)+EA$2,downloads!$S:$U,2,FALSE),"")</f>
        <v/>
      </c>
      <c r="FA109" s="155" t="str">
        <f>IFERROR(VLOOKUP(($GW109*10)+FA$2,downloads!$S:$U,2,FALSE),"")</f>
        <v/>
      </c>
      <c r="GA109" s="155" t="str">
        <f>IFERROR(VLOOKUP(($GW109*10)+GA$2,downloads!$S:$U,2,FALSE),"")</f>
        <v/>
      </c>
      <c r="GW109" s="155">
        <v>35</v>
      </c>
    </row>
    <row r="110" spans="1:205" ht="15" hidden="1" customHeight="1" x14ac:dyDescent="0.45">
      <c r="A110" s="155" t="str">
        <f>IFERROR(VLOOKUP(($GW110*10)+A$2,downloads!$S:$U,2,FALSE),"")</f>
        <v/>
      </c>
      <c r="AA110" s="155" t="str">
        <f>IFERROR(VLOOKUP(($GW110*10)+AA$2,downloads!$S:$U,2,FALSE),"")</f>
        <v/>
      </c>
      <c r="BA110" s="155" t="str">
        <f>IFERROR(VLOOKUP(($GW110*10)+BA$2,downloads!$S:$U,2,FALSE),"")</f>
        <v>STABLER Isaac</v>
      </c>
      <c r="CA110" s="155" t="str">
        <f>IFERROR(VLOOKUP(($GW110*10)+CA$2,downloads!$S:$U,2,FALSE),"")</f>
        <v/>
      </c>
      <c r="DA110" s="155" t="str">
        <f>IFERROR(VLOOKUP(($GW110*10)+DA$2,downloads!$S:$U,2,FALSE),"")</f>
        <v/>
      </c>
      <c r="EA110" s="155" t="str">
        <f>IFERROR(VLOOKUP(($GW110*10)+EA$2,downloads!$S:$U,2,FALSE),"")</f>
        <v/>
      </c>
      <c r="FA110" s="155" t="str">
        <f>IFERROR(VLOOKUP(($GW110*10)+FA$2,downloads!$S:$U,2,FALSE),"")</f>
        <v/>
      </c>
      <c r="GA110" s="155" t="str">
        <f>IFERROR(VLOOKUP(($GW110*10)+GA$2,downloads!$S:$U,2,FALSE),"")</f>
        <v/>
      </c>
      <c r="GW110" s="155">
        <v>36</v>
      </c>
    </row>
    <row r="111" spans="1:205" ht="15" hidden="1" customHeight="1" x14ac:dyDescent="0.45">
      <c r="A111" s="155" t="str">
        <f>IFERROR(VLOOKUP(($GW111*10)+A$2,downloads!$S:$U,2,FALSE),"")</f>
        <v/>
      </c>
      <c r="AA111" s="155" t="str">
        <f>IFERROR(VLOOKUP(($GW111*10)+AA$2,downloads!$S:$U,2,FALSE),"")</f>
        <v/>
      </c>
      <c r="BA111" s="155" t="str">
        <f>IFERROR(VLOOKUP(($GW111*10)+BA$2,downloads!$S:$U,2,FALSE),"")</f>
        <v>TRANTER Adam</v>
      </c>
      <c r="CA111" s="155" t="str">
        <f>IFERROR(VLOOKUP(($GW111*10)+CA$2,downloads!$S:$U,2,FALSE),"")</f>
        <v/>
      </c>
      <c r="DA111" s="155" t="str">
        <f>IFERROR(VLOOKUP(($GW111*10)+DA$2,downloads!$S:$U,2,FALSE),"")</f>
        <v/>
      </c>
      <c r="EA111" s="155" t="str">
        <f>IFERROR(VLOOKUP(($GW111*10)+EA$2,downloads!$S:$U,2,FALSE),"")</f>
        <v/>
      </c>
      <c r="FA111" s="155" t="str">
        <f>IFERROR(VLOOKUP(($GW111*10)+FA$2,downloads!$S:$U,2,FALSE),"")</f>
        <v/>
      </c>
      <c r="GA111" s="155" t="str">
        <f>IFERROR(VLOOKUP(($GW111*10)+GA$2,downloads!$S:$U,2,FALSE),"")</f>
        <v/>
      </c>
      <c r="GW111" s="155">
        <v>37</v>
      </c>
    </row>
    <row r="112" spans="1:205" ht="15" hidden="1" customHeight="1" x14ac:dyDescent="0.45">
      <c r="A112" s="155" t="str">
        <f>IFERROR(VLOOKUP(($GW112*10)+A$2,downloads!$S:$U,2,FALSE),"")</f>
        <v/>
      </c>
      <c r="AA112" s="155" t="str">
        <f>IFERROR(VLOOKUP(($GW112*10)+AA$2,downloads!$S:$U,2,FALSE),"")</f>
        <v/>
      </c>
      <c r="BA112" s="155" t="str">
        <f>IFERROR(VLOOKUP(($GW112*10)+BA$2,downloads!$S:$U,2,FALSE),"")</f>
        <v>WAITES Jonah</v>
      </c>
      <c r="CA112" s="155" t="str">
        <f>IFERROR(VLOOKUP(($GW112*10)+CA$2,downloads!$S:$U,2,FALSE),"")</f>
        <v/>
      </c>
      <c r="DA112" s="155" t="str">
        <f>IFERROR(VLOOKUP(($GW112*10)+DA$2,downloads!$S:$U,2,FALSE),"")</f>
        <v/>
      </c>
      <c r="EA112" s="155" t="str">
        <f>IFERROR(VLOOKUP(($GW112*10)+EA$2,downloads!$S:$U,2,FALSE),"")</f>
        <v/>
      </c>
      <c r="FA112" s="155" t="str">
        <f>IFERROR(VLOOKUP(($GW112*10)+FA$2,downloads!$S:$U,2,FALSE),"")</f>
        <v/>
      </c>
      <c r="GA112" s="155" t="str">
        <f>IFERROR(VLOOKUP(($GW112*10)+GA$2,downloads!$S:$U,2,FALSE),"")</f>
        <v/>
      </c>
      <c r="GW112" s="155">
        <v>38</v>
      </c>
    </row>
    <row r="113" spans="1:205" ht="15" hidden="1" customHeight="1" x14ac:dyDescent="0.45">
      <c r="A113" s="155" t="str">
        <f>IFERROR(VLOOKUP(($GW113*10)+A$2,downloads!$S:$U,2,FALSE),"")</f>
        <v/>
      </c>
      <c r="AA113" s="155" t="str">
        <f>IFERROR(VLOOKUP(($GW113*10)+AA$2,downloads!$S:$U,2,FALSE),"")</f>
        <v/>
      </c>
      <c r="BA113" s="155" t="str">
        <f>IFERROR(VLOOKUP(($GW113*10)+BA$2,downloads!$S:$U,2,FALSE),"")</f>
        <v>WALSH Lincoln</v>
      </c>
      <c r="CA113" s="155" t="str">
        <f>IFERROR(VLOOKUP(($GW113*10)+CA$2,downloads!$S:$U,2,FALSE),"")</f>
        <v/>
      </c>
      <c r="DA113" s="155" t="str">
        <f>IFERROR(VLOOKUP(($GW113*10)+DA$2,downloads!$S:$U,2,FALSE),"")</f>
        <v/>
      </c>
      <c r="EA113" s="155" t="str">
        <f>IFERROR(VLOOKUP(($GW113*10)+EA$2,downloads!$S:$U,2,FALSE),"")</f>
        <v/>
      </c>
      <c r="FA113" s="155" t="str">
        <f>IFERROR(VLOOKUP(($GW113*10)+FA$2,downloads!$S:$U,2,FALSE),"")</f>
        <v/>
      </c>
      <c r="GA113" s="155" t="str">
        <f>IFERROR(VLOOKUP(($GW113*10)+GA$2,downloads!$S:$U,2,FALSE),"")</f>
        <v/>
      </c>
      <c r="GW113" s="155">
        <v>39</v>
      </c>
    </row>
    <row r="114" spans="1:205" ht="15" hidden="1" customHeight="1" x14ac:dyDescent="0.45">
      <c r="A114" s="155" t="str">
        <f>IFERROR(VLOOKUP(($GW114*10)+A$2,downloads!$S:$U,2,FALSE),"")</f>
        <v/>
      </c>
      <c r="AA114" s="155" t="str">
        <f>IFERROR(VLOOKUP(($GW114*10)+AA$2,downloads!$S:$U,2,FALSE),"")</f>
        <v/>
      </c>
      <c r="BA114" s="155" t="str">
        <f>IFERROR(VLOOKUP(($GW114*10)+BA$2,downloads!$S:$U,2,FALSE),"")</f>
        <v>WATSON Miles</v>
      </c>
      <c r="CA114" s="155" t="str">
        <f>IFERROR(VLOOKUP(($GW114*10)+CA$2,downloads!$S:$U,2,FALSE),"")</f>
        <v/>
      </c>
      <c r="DA114" s="155" t="str">
        <f>IFERROR(VLOOKUP(($GW114*10)+DA$2,downloads!$S:$U,2,FALSE),"")</f>
        <v/>
      </c>
      <c r="EA114" s="155" t="str">
        <f>IFERROR(VLOOKUP(($GW114*10)+EA$2,downloads!$S:$U,2,FALSE),"")</f>
        <v/>
      </c>
      <c r="FA114" s="155" t="str">
        <f>IFERROR(VLOOKUP(($GW114*10)+FA$2,downloads!$S:$U,2,FALSE),"")</f>
        <v/>
      </c>
      <c r="GA114" s="155" t="str">
        <f>IFERROR(VLOOKUP(($GW114*10)+GA$2,downloads!$S:$U,2,FALSE),"")</f>
        <v/>
      </c>
      <c r="GW114" s="155">
        <v>40</v>
      </c>
    </row>
    <row r="115" spans="1:205" ht="15" hidden="1" customHeight="1" x14ac:dyDescent="0.45">
      <c r="A115" s="155" t="str">
        <f>IFERROR(VLOOKUP(($GW115*10)+A$2,downloads!$S:$U,2,FALSE),"")</f>
        <v/>
      </c>
      <c r="AA115" s="155" t="str">
        <f>IFERROR(VLOOKUP(($GW115*10)+AA$2,downloads!$S:$U,2,FALSE),"")</f>
        <v/>
      </c>
      <c r="BA115" s="155" t="str">
        <f>IFERROR(VLOOKUP(($GW115*10)+BA$2,downloads!$S:$U,2,FALSE),"")</f>
        <v>WILSON Conall</v>
      </c>
      <c r="CA115" s="155" t="str">
        <f>IFERROR(VLOOKUP(($GW115*10)+CA$2,downloads!$S:$U,2,FALSE),"")</f>
        <v/>
      </c>
      <c r="DA115" s="155" t="str">
        <f>IFERROR(VLOOKUP(($GW115*10)+DA$2,downloads!$S:$U,2,FALSE),"")</f>
        <v/>
      </c>
      <c r="EA115" s="155" t="str">
        <f>IFERROR(VLOOKUP(($GW115*10)+EA$2,downloads!$S:$U,2,FALSE),"")</f>
        <v/>
      </c>
      <c r="FA115" s="155" t="str">
        <f>IFERROR(VLOOKUP(($GW115*10)+FA$2,downloads!$S:$U,2,FALSE),"")</f>
        <v/>
      </c>
      <c r="GA115" s="155" t="str">
        <f>IFERROR(VLOOKUP(($GW115*10)+GA$2,downloads!$S:$U,2,FALSE),"")</f>
        <v/>
      </c>
      <c r="GW115" s="155">
        <v>41</v>
      </c>
    </row>
    <row r="116" spans="1:205" ht="15" hidden="1" customHeight="1" x14ac:dyDescent="0.45">
      <c r="A116" s="155" t="str">
        <f>IFERROR(VLOOKUP(($GW116*10)+A$2,downloads!$S:$U,2,FALSE),"")</f>
        <v/>
      </c>
      <c r="AA116" s="155" t="str">
        <f>IFERROR(VLOOKUP(($GW116*10)+AA$2,downloads!$S:$U,2,FALSE),"")</f>
        <v/>
      </c>
      <c r="BA116" s="155" t="str">
        <f>IFERROR(VLOOKUP(($GW116*10)+BA$2,downloads!$S:$U,2,FALSE),"")</f>
        <v>WILSON Harley</v>
      </c>
      <c r="CA116" s="155" t="str">
        <f>IFERROR(VLOOKUP(($GW116*10)+CA$2,downloads!$S:$U,2,FALSE),"")</f>
        <v/>
      </c>
      <c r="DA116" s="155" t="str">
        <f>IFERROR(VLOOKUP(($GW116*10)+DA$2,downloads!$S:$U,2,FALSE),"")</f>
        <v/>
      </c>
      <c r="EA116" s="155" t="str">
        <f>IFERROR(VLOOKUP(($GW116*10)+EA$2,downloads!$S:$U,2,FALSE),"")</f>
        <v/>
      </c>
      <c r="FA116" s="155" t="str">
        <f>IFERROR(VLOOKUP(($GW116*10)+FA$2,downloads!$S:$U,2,FALSE),"")</f>
        <v/>
      </c>
      <c r="GA116" s="155" t="str">
        <f>IFERROR(VLOOKUP(($GW116*10)+GA$2,downloads!$S:$U,2,FALSE),"")</f>
        <v/>
      </c>
      <c r="GW116" s="155">
        <v>42</v>
      </c>
    </row>
    <row r="117" spans="1:205" ht="15" hidden="1" customHeight="1" x14ac:dyDescent="0.45">
      <c r="A117" s="155" t="str">
        <f>IFERROR(VLOOKUP(($GW117*10)+A$2,downloads!$S:$U,2,FALSE),"")</f>
        <v/>
      </c>
      <c r="AA117" s="155" t="str">
        <f>IFERROR(VLOOKUP(($GW117*10)+AA$2,downloads!$S:$U,2,FALSE),"")</f>
        <v/>
      </c>
      <c r="BA117" s="155" t="str">
        <f>IFERROR(VLOOKUP(($GW117*10)+BA$2,downloads!$S:$U,2,FALSE),"")</f>
        <v>WRIGHT Charlie</v>
      </c>
      <c r="CA117" s="155" t="str">
        <f>IFERROR(VLOOKUP(($GW117*10)+CA$2,downloads!$S:$U,2,FALSE),"")</f>
        <v/>
      </c>
      <c r="DA117" s="155" t="str">
        <f>IFERROR(VLOOKUP(($GW117*10)+DA$2,downloads!$S:$U,2,FALSE),"")</f>
        <v/>
      </c>
      <c r="EA117" s="155" t="str">
        <f>IFERROR(VLOOKUP(($GW117*10)+EA$2,downloads!$S:$U,2,FALSE),"")</f>
        <v/>
      </c>
      <c r="FA117" s="155" t="str">
        <f>IFERROR(VLOOKUP(($GW117*10)+FA$2,downloads!$S:$U,2,FALSE),"")</f>
        <v/>
      </c>
      <c r="GA117" s="155" t="str">
        <f>IFERROR(VLOOKUP(($GW117*10)+GA$2,downloads!$S:$U,2,FALSE),"")</f>
        <v/>
      </c>
      <c r="GW117" s="155">
        <v>43</v>
      </c>
    </row>
    <row r="118" spans="1:205" ht="15" hidden="1" customHeight="1" x14ac:dyDescent="0.45">
      <c r="A118" s="155" t="str">
        <f>IFERROR(VLOOKUP(($GW118*10)+A$2,downloads!$S:$U,2,FALSE),"")</f>
        <v/>
      </c>
      <c r="AA118" s="155" t="str">
        <f>IFERROR(VLOOKUP(($GW118*10)+AA$2,downloads!$S:$U,2,FALSE),"")</f>
        <v/>
      </c>
      <c r="BA118" s="155" t="str">
        <f>IFERROR(VLOOKUP(($GW118*10)+BA$2,downloads!$S:$U,2,FALSE),"")</f>
        <v/>
      </c>
      <c r="CA118" s="155" t="str">
        <f>IFERROR(VLOOKUP(($GW118*10)+CA$2,downloads!$S:$U,2,FALSE),"")</f>
        <v/>
      </c>
      <c r="DA118" s="155" t="str">
        <f>IFERROR(VLOOKUP(($GW118*10)+DA$2,downloads!$S:$U,2,FALSE),"")</f>
        <v/>
      </c>
      <c r="EA118" s="155" t="str">
        <f>IFERROR(VLOOKUP(($GW118*10)+EA$2,downloads!$S:$U,2,FALSE),"")</f>
        <v/>
      </c>
      <c r="FA118" s="155" t="str">
        <f>IFERROR(VLOOKUP(($GW118*10)+FA$2,downloads!$S:$U,2,FALSE),"")</f>
        <v/>
      </c>
      <c r="GA118" s="155" t="str">
        <f>IFERROR(VLOOKUP(($GW118*10)+GA$2,downloads!$S:$U,2,FALSE),"")</f>
        <v/>
      </c>
      <c r="GW118" s="155">
        <v>44</v>
      </c>
    </row>
    <row r="119" spans="1:205" ht="15" hidden="1" customHeight="1" x14ac:dyDescent="0.45">
      <c r="A119" s="155" t="str">
        <f>IFERROR(VLOOKUP(($GW119*10)+A$2,downloads!$S:$U,2,FALSE),"")</f>
        <v/>
      </c>
      <c r="AA119" s="155" t="str">
        <f>IFERROR(VLOOKUP(($GW119*10)+AA$2,downloads!$S:$U,2,FALSE),"")</f>
        <v/>
      </c>
      <c r="BA119" s="155" t="str">
        <f>IFERROR(VLOOKUP(($GW119*10)+BA$2,downloads!$S:$U,2,FALSE),"")</f>
        <v/>
      </c>
      <c r="CA119" s="155" t="str">
        <f>IFERROR(VLOOKUP(($GW119*10)+CA$2,downloads!$S:$U,2,FALSE),"")</f>
        <v/>
      </c>
      <c r="DA119" s="155" t="str">
        <f>IFERROR(VLOOKUP(($GW119*10)+DA$2,downloads!$S:$U,2,FALSE),"")</f>
        <v/>
      </c>
      <c r="EA119" s="155" t="str">
        <f>IFERROR(VLOOKUP(($GW119*10)+EA$2,downloads!$S:$U,2,FALSE),"")</f>
        <v/>
      </c>
      <c r="FA119" s="155" t="str">
        <f>IFERROR(VLOOKUP(($GW119*10)+FA$2,downloads!$S:$U,2,FALSE),"")</f>
        <v/>
      </c>
      <c r="GA119" s="155" t="str">
        <f>IFERROR(VLOOKUP(($GW119*10)+GA$2,downloads!$S:$U,2,FALSE),"")</f>
        <v/>
      </c>
      <c r="GW119" s="155">
        <v>45</v>
      </c>
    </row>
    <row r="120" spans="1:205" ht="15" hidden="1" customHeight="1" x14ac:dyDescent="0.45">
      <c r="A120" s="155" t="str">
        <f>IFERROR(VLOOKUP(($GW120*10)+A$2,downloads!$S:$U,2,FALSE),"")</f>
        <v/>
      </c>
      <c r="AA120" s="155" t="str">
        <f>IFERROR(VLOOKUP(($GW120*10)+AA$2,downloads!$S:$U,2,FALSE),"")</f>
        <v/>
      </c>
      <c r="BA120" s="155" t="str">
        <f>IFERROR(VLOOKUP(($GW120*10)+BA$2,downloads!$S:$U,2,FALSE),"")</f>
        <v/>
      </c>
      <c r="CA120" s="155" t="str">
        <f>IFERROR(VLOOKUP(($GW120*10)+CA$2,downloads!$S:$U,2,FALSE),"")</f>
        <v/>
      </c>
      <c r="DA120" s="155" t="str">
        <f>IFERROR(VLOOKUP(($GW120*10)+DA$2,downloads!$S:$U,2,FALSE),"")</f>
        <v/>
      </c>
      <c r="EA120" s="155" t="str">
        <f>IFERROR(VLOOKUP(($GW120*10)+EA$2,downloads!$S:$U,2,FALSE),"")</f>
        <v/>
      </c>
      <c r="FA120" s="155" t="str">
        <f>IFERROR(VLOOKUP(($GW120*10)+FA$2,downloads!$S:$U,2,FALSE),"")</f>
        <v/>
      </c>
      <c r="GA120" s="155" t="str">
        <f>IFERROR(VLOOKUP(($GW120*10)+GA$2,downloads!$S:$U,2,FALSE),"")</f>
        <v/>
      </c>
      <c r="GW120" s="155">
        <v>46</v>
      </c>
    </row>
    <row r="121" spans="1:205" ht="15" hidden="1" customHeight="1" x14ac:dyDescent="0.45">
      <c r="A121" s="155" t="str">
        <f>IFERROR(VLOOKUP(($GW121*10)+A$2,downloads!$S:$U,2,FALSE),"")</f>
        <v/>
      </c>
      <c r="AA121" s="155" t="str">
        <f>IFERROR(VLOOKUP(($GW121*10)+AA$2,downloads!$S:$U,2,FALSE),"")</f>
        <v/>
      </c>
      <c r="BA121" s="155" t="str">
        <f>IFERROR(VLOOKUP(($GW121*10)+BA$2,downloads!$S:$U,2,FALSE),"")</f>
        <v/>
      </c>
      <c r="CA121" s="155" t="str">
        <f>IFERROR(VLOOKUP(($GW121*10)+CA$2,downloads!$S:$U,2,FALSE),"")</f>
        <v/>
      </c>
      <c r="DA121" s="155" t="str">
        <f>IFERROR(VLOOKUP(($GW121*10)+DA$2,downloads!$S:$U,2,FALSE),"")</f>
        <v/>
      </c>
      <c r="EA121" s="155" t="str">
        <f>IFERROR(VLOOKUP(($GW121*10)+EA$2,downloads!$S:$U,2,FALSE),"")</f>
        <v/>
      </c>
      <c r="FA121" s="155" t="str">
        <f>IFERROR(VLOOKUP(($GW121*10)+FA$2,downloads!$S:$U,2,FALSE),"")</f>
        <v/>
      </c>
      <c r="GA121" s="155" t="str">
        <f>IFERROR(VLOOKUP(($GW121*10)+GA$2,downloads!$S:$U,2,FALSE),"")</f>
        <v/>
      </c>
      <c r="GW121" s="155">
        <v>47</v>
      </c>
    </row>
    <row r="122" spans="1:205" ht="15" hidden="1" customHeight="1" x14ac:dyDescent="0.45">
      <c r="A122" s="155" t="str">
        <f>IFERROR(VLOOKUP(($GW122*10)+A$2,downloads!$S:$U,2,FALSE),"")</f>
        <v/>
      </c>
      <c r="AA122" s="155" t="str">
        <f>IFERROR(VLOOKUP(($GW122*10)+AA$2,downloads!$S:$U,2,FALSE),"")</f>
        <v/>
      </c>
      <c r="BA122" s="155" t="str">
        <f>IFERROR(VLOOKUP(($GW122*10)+BA$2,downloads!$S:$U,2,FALSE),"")</f>
        <v/>
      </c>
      <c r="CA122" s="155" t="str">
        <f>IFERROR(VLOOKUP(($GW122*10)+CA$2,downloads!$S:$U,2,FALSE),"")</f>
        <v/>
      </c>
      <c r="DA122" s="155" t="str">
        <f>IFERROR(VLOOKUP(($GW122*10)+DA$2,downloads!$S:$U,2,FALSE),"")</f>
        <v/>
      </c>
      <c r="EA122" s="155" t="str">
        <f>IFERROR(VLOOKUP(($GW122*10)+EA$2,downloads!$S:$U,2,FALSE),"")</f>
        <v/>
      </c>
      <c r="FA122" s="155" t="str">
        <f>IFERROR(VLOOKUP(($GW122*10)+FA$2,downloads!$S:$U,2,FALSE),"")</f>
        <v/>
      </c>
      <c r="GA122" s="155" t="str">
        <f>IFERROR(VLOOKUP(($GW122*10)+GA$2,downloads!$S:$U,2,FALSE),"")</f>
        <v/>
      </c>
      <c r="GW122" s="155">
        <v>48</v>
      </c>
    </row>
    <row r="123" spans="1:205" ht="15" hidden="1" customHeight="1" x14ac:dyDescent="0.45">
      <c r="A123" s="155" t="str">
        <f>IFERROR(VLOOKUP(($GW123*10)+A$2,downloads!$S:$U,2,FALSE),"")</f>
        <v/>
      </c>
      <c r="AA123" s="155" t="str">
        <f>IFERROR(VLOOKUP(($GW123*10)+AA$2,downloads!$S:$U,2,FALSE),"")</f>
        <v/>
      </c>
      <c r="BA123" s="155" t="str">
        <f>IFERROR(VLOOKUP(($GW123*10)+BA$2,downloads!$S:$U,2,FALSE),"")</f>
        <v/>
      </c>
      <c r="CA123" s="155" t="str">
        <f>IFERROR(VLOOKUP(($GW123*10)+CA$2,downloads!$S:$U,2,FALSE),"")</f>
        <v/>
      </c>
      <c r="DA123" s="155" t="str">
        <f>IFERROR(VLOOKUP(($GW123*10)+DA$2,downloads!$S:$U,2,FALSE),"")</f>
        <v/>
      </c>
      <c r="EA123" s="155" t="str">
        <f>IFERROR(VLOOKUP(($GW123*10)+EA$2,downloads!$S:$U,2,FALSE),"")</f>
        <v/>
      </c>
      <c r="FA123" s="155" t="str">
        <f>IFERROR(VLOOKUP(($GW123*10)+FA$2,downloads!$S:$U,2,FALSE),"")</f>
        <v/>
      </c>
      <c r="GA123" s="155" t="str">
        <f>IFERROR(VLOOKUP(($GW123*10)+GA$2,downloads!$S:$U,2,FALSE),"")</f>
        <v/>
      </c>
      <c r="GW123" s="155">
        <v>49</v>
      </c>
    </row>
    <row r="124" spans="1:205" ht="15" hidden="1" customHeight="1" x14ac:dyDescent="0.45">
      <c r="A124" s="155" t="str">
        <f>IFERROR(VLOOKUP(($GW124*10)+A$2,downloads!$S:$U,2,FALSE),"")</f>
        <v/>
      </c>
      <c r="AA124" s="155" t="str">
        <f>IFERROR(VLOOKUP(($GW124*10)+AA$2,downloads!$S:$U,2,FALSE),"")</f>
        <v/>
      </c>
      <c r="BA124" s="155" t="str">
        <f>IFERROR(VLOOKUP(($GW124*10)+BA$2,downloads!$S:$U,2,FALSE),"")</f>
        <v/>
      </c>
      <c r="CA124" s="155" t="str">
        <f>IFERROR(VLOOKUP(($GW124*10)+CA$2,downloads!$S:$U,2,FALSE),"")</f>
        <v/>
      </c>
      <c r="DA124" s="155" t="str">
        <f>IFERROR(VLOOKUP(($GW124*10)+DA$2,downloads!$S:$U,2,FALSE),"")</f>
        <v/>
      </c>
      <c r="EA124" s="155" t="str">
        <f>IFERROR(VLOOKUP(($GW124*10)+EA$2,downloads!$S:$U,2,FALSE),"")</f>
        <v/>
      </c>
      <c r="FA124" s="155" t="str">
        <f>IFERROR(VLOOKUP(($GW124*10)+FA$2,downloads!$S:$U,2,FALSE),"")</f>
        <v/>
      </c>
      <c r="GA124" s="155" t="str">
        <f>IFERROR(VLOOKUP(($GW124*10)+GA$2,downloads!$S:$U,2,FALSE),"")</f>
        <v/>
      </c>
      <c r="GW124" s="155">
        <v>50</v>
      </c>
    </row>
    <row r="125" spans="1:205" ht="15" hidden="1" customHeight="1" x14ac:dyDescent="0.45">
      <c r="A125" s="155" t="str">
        <f>IFERROR(VLOOKUP(($GW125*10)+A$2,downloads!$S:$U,2,FALSE),"")</f>
        <v/>
      </c>
      <c r="AA125" s="155" t="str">
        <f>IFERROR(VLOOKUP(($GW125*10)+AA$2,downloads!$S:$U,2,FALSE),"")</f>
        <v/>
      </c>
      <c r="BA125" s="155" t="str">
        <f>IFERROR(VLOOKUP(($GW125*10)+BA$2,downloads!$S:$U,2,FALSE),"")</f>
        <v/>
      </c>
      <c r="CA125" s="155" t="str">
        <f>IFERROR(VLOOKUP(($GW125*10)+CA$2,downloads!$S:$U,2,FALSE),"")</f>
        <v/>
      </c>
      <c r="DA125" s="155" t="str">
        <f>IFERROR(VLOOKUP(($GW125*10)+DA$2,downloads!$S:$U,2,FALSE),"")</f>
        <v/>
      </c>
      <c r="EA125" s="155" t="str">
        <f>IFERROR(VLOOKUP(($GW125*10)+EA$2,downloads!$S:$U,2,FALSE),"")</f>
        <v/>
      </c>
      <c r="FA125" s="155" t="str">
        <f>IFERROR(VLOOKUP(($GW125*10)+FA$2,downloads!$S:$U,2,FALSE),"")</f>
        <v/>
      </c>
      <c r="GA125" s="155" t="str">
        <f>IFERROR(VLOOKUP(($GW125*10)+GA$2,downloads!$S:$U,2,FALSE),"")</f>
        <v/>
      </c>
      <c r="GW125" s="155">
        <v>51</v>
      </c>
    </row>
    <row r="126" spans="1:205" ht="15" hidden="1" customHeight="1" x14ac:dyDescent="0.45">
      <c r="A126" s="155" t="str">
        <f>IFERROR(VLOOKUP(($GW126*10)+A$2,downloads!$S:$U,2,FALSE),"")</f>
        <v/>
      </c>
      <c r="AA126" s="155" t="str">
        <f>IFERROR(VLOOKUP(($GW126*10)+AA$2,downloads!$S:$U,2,FALSE),"")</f>
        <v/>
      </c>
      <c r="BA126" s="155" t="str">
        <f>IFERROR(VLOOKUP(($GW126*10)+BA$2,downloads!$S:$U,2,FALSE),"")</f>
        <v/>
      </c>
      <c r="CA126" s="155" t="str">
        <f>IFERROR(VLOOKUP(($GW126*10)+CA$2,downloads!$S:$U,2,FALSE),"")</f>
        <v/>
      </c>
      <c r="DA126" s="155" t="str">
        <f>IFERROR(VLOOKUP(($GW126*10)+DA$2,downloads!$S:$U,2,FALSE),"")</f>
        <v/>
      </c>
      <c r="EA126" s="155" t="str">
        <f>IFERROR(VLOOKUP(($GW126*10)+EA$2,downloads!$S:$U,2,FALSE),"")</f>
        <v/>
      </c>
      <c r="FA126" s="155" t="str">
        <f>IFERROR(VLOOKUP(($GW126*10)+FA$2,downloads!$S:$U,2,FALSE),"")</f>
        <v/>
      </c>
      <c r="GA126" s="155" t="str">
        <f>IFERROR(VLOOKUP(($GW126*10)+GA$2,downloads!$S:$U,2,FALSE),"")</f>
        <v/>
      </c>
      <c r="GW126" s="155">
        <v>52</v>
      </c>
    </row>
    <row r="127" spans="1:205" ht="15" hidden="1" customHeight="1" x14ac:dyDescent="0.45">
      <c r="A127" s="155" t="str">
        <f>IFERROR(VLOOKUP(($GW127*10)+A$2,downloads!$S:$U,2,FALSE),"")</f>
        <v/>
      </c>
      <c r="AA127" s="155" t="str">
        <f>IFERROR(VLOOKUP(($GW127*10)+AA$2,downloads!$S:$U,2,FALSE),"")</f>
        <v/>
      </c>
      <c r="BA127" s="155" t="str">
        <f>IFERROR(VLOOKUP(($GW127*10)+BA$2,downloads!$S:$U,2,FALSE),"")</f>
        <v/>
      </c>
      <c r="CA127" s="155" t="str">
        <f>IFERROR(VLOOKUP(($GW127*10)+CA$2,downloads!$S:$U,2,FALSE),"")</f>
        <v/>
      </c>
      <c r="DA127" s="155" t="str">
        <f>IFERROR(VLOOKUP(($GW127*10)+DA$2,downloads!$S:$U,2,FALSE),"")</f>
        <v/>
      </c>
      <c r="EA127" s="155" t="str">
        <f>IFERROR(VLOOKUP(($GW127*10)+EA$2,downloads!$S:$U,2,FALSE),"")</f>
        <v/>
      </c>
      <c r="FA127" s="155" t="str">
        <f>IFERROR(VLOOKUP(($GW127*10)+FA$2,downloads!$S:$U,2,FALSE),"")</f>
        <v/>
      </c>
      <c r="GA127" s="155" t="str">
        <f>IFERROR(VLOOKUP(($GW127*10)+GA$2,downloads!$S:$U,2,FALSE),"")</f>
        <v/>
      </c>
      <c r="GW127" s="155">
        <v>53</v>
      </c>
    </row>
    <row r="128" spans="1:205" ht="15" hidden="1" customHeight="1" x14ac:dyDescent="0.45">
      <c r="A128" s="155" t="str">
        <f>IFERROR(VLOOKUP(($GW128*10)+A$2,downloads!$S:$U,2,FALSE),"")</f>
        <v/>
      </c>
      <c r="AA128" s="155" t="str">
        <f>IFERROR(VLOOKUP(($GW128*10)+AA$2,downloads!$S:$U,2,FALSE),"")</f>
        <v/>
      </c>
      <c r="BA128" s="155" t="str">
        <f>IFERROR(VLOOKUP(($GW128*10)+BA$2,downloads!$S:$U,2,FALSE),"")</f>
        <v/>
      </c>
      <c r="CA128" s="155" t="str">
        <f>IFERROR(VLOOKUP(($GW128*10)+CA$2,downloads!$S:$U,2,FALSE),"")</f>
        <v/>
      </c>
      <c r="DA128" s="155" t="str">
        <f>IFERROR(VLOOKUP(($GW128*10)+DA$2,downloads!$S:$U,2,FALSE),"")</f>
        <v/>
      </c>
      <c r="EA128" s="155" t="str">
        <f>IFERROR(VLOOKUP(($GW128*10)+EA$2,downloads!$S:$U,2,FALSE),"")</f>
        <v/>
      </c>
      <c r="FA128" s="155" t="str">
        <f>IFERROR(VLOOKUP(($GW128*10)+FA$2,downloads!$S:$U,2,FALSE),"")</f>
        <v/>
      </c>
      <c r="GA128" s="155" t="str">
        <f>IFERROR(VLOOKUP(($GW128*10)+GA$2,downloads!$S:$U,2,FALSE),"")</f>
        <v/>
      </c>
      <c r="GW128" s="155">
        <v>54</v>
      </c>
    </row>
    <row r="129" spans="1:205" ht="15" hidden="1" customHeight="1" x14ac:dyDescent="0.45">
      <c r="A129" s="155" t="str">
        <f>IFERROR(VLOOKUP(($GW129*10)+A$2,downloads!$S:$U,2,FALSE),"")</f>
        <v/>
      </c>
      <c r="AA129" s="155" t="str">
        <f>IFERROR(VLOOKUP(($GW129*10)+AA$2,downloads!$S:$U,2,FALSE),"")</f>
        <v/>
      </c>
      <c r="BA129" s="155" t="str">
        <f>IFERROR(VLOOKUP(($GW129*10)+BA$2,downloads!$S:$U,2,FALSE),"")</f>
        <v/>
      </c>
      <c r="CA129" s="155" t="str">
        <f>IFERROR(VLOOKUP(($GW129*10)+CA$2,downloads!$S:$U,2,FALSE),"")</f>
        <v/>
      </c>
      <c r="DA129" s="155" t="str">
        <f>IFERROR(VLOOKUP(($GW129*10)+DA$2,downloads!$S:$U,2,FALSE),"")</f>
        <v/>
      </c>
      <c r="EA129" s="155" t="str">
        <f>IFERROR(VLOOKUP(($GW129*10)+EA$2,downloads!$S:$U,2,FALSE),"")</f>
        <v/>
      </c>
      <c r="FA129" s="155" t="str">
        <f>IFERROR(VLOOKUP(($GW129*10)+FA$2,downloads!$S:$U,2,FALSE),"")</f>
        <v/>
      </c>
      <c r="GA129" s="155" t="str">
        <f>IFERROR(VLOOKUP(($GW129*10)+GA$2,downloads!$S:$U,2,FALSE),"")</f>
        <v/>
      </c>
      <c r="GW129" s="155">
        <v>55</v>
      </c>
    </row>
    <row r="130" spans="1:205" ht="15" hidden="1" customHeight="1" x14ac:dyDescent="0.45">
      <c r="A130" s="155" t="str">
        <f>IFERROR(VLOOKUP(($GW130*10)+A$2,downloads!$S:$U,2,FALSE),"")</f>
        <v/>
      </c>
      <c r="AA130" s="155" t="str">
        <f>IFERROR(VLOOKUP(($GW130*10)+AA$2,downloads!$S:$U,2,FALSE),"")</f>
        <v/>
      </c>
      <c r="BA130" s="155" t="str">
        <f>IFERROR(VLOOKUP(($GW130*10)+BA$2,downloads!$S:$U,2,FALSE),"")</f>
        <v/>
      </c>
      <c r="CA130" s="155" t="str">
        <f>IFERROR(VLOOKUP(($GW130*10)+CA$2,downloads!$S:$U,2,FALSE),"")</f>
        <v/>
      </c>
      <c r="DA130" s="155" t="str">
        <f>IFERROR(VLOOKUP(($GW130*10)+DA$2,downloads!$S:$U,2,FALSE),"")</f>
        <v/>
      </c>
      <c r="EA130" s="155" t="str">
        <f>IFERROR(VLOOKUP(($GW130*10)+EA$2,downloads!$S:$U,2,FALSE),"")</f>
        <v/>
      </c>
      <c r="FA130" s="155" t="str">
        <f>IFERROR(VLOOKUP(($GW130*10)+FA$2,downloads!$S:$U,2,FALSE),"")</f>
        <v/>
      </c>
      <c r="GA130" s="155" t="str">
        <f>IFERROR(VLOOKUP(($GW130*10)+GA$2,downloads!$S:$U,2,FALSE),"")</f>
        <v/>
      </c>
      <c r="GW130" s="155">
        <v>56</v>
      </c>
    </row>
    <row r="131" spans="1:205" ht="15" hidden="1" customHeight="1" x14ac:dyDescent="0.45">
      <c r="GW131" s="155">
        <v>57</v>
      </c>
    </row>
    <row r="132" spans="1:205" ht="15" hidden="1" customHeight="1" x14ac:dyDescent="0.45">
      <c r="GW132" s="155">
        <v>58</v>
      </c>
    </row>
    <row r="133" spans="1:205" ht="15" hidden="1" customHeight="1" x14ac:dyDescent="0.45">
      <c r="GW133" s="155">
        <v>59</v>
      </c>
    </row>
    <row r="134" spans="1:205" ht="15" hidden="1" customHeight="1" x14ac:dyDescent="0.45">
      <c r="GW134" s="155">
        <v>60</v>
      </c>
    </row>
    <row r="135" spans="1:205" ht="15" hidden="1" customHeight="1" x14ac:dyDescent="0.45">
      <c r="GW135" s="155">
        <v>61</v>
      </c>
    </row>
    <row r="136" spans="1:205" ht="15" hidden="1" customHeight="1" x14ac:dyDescent="0.45">
      <c r="GW136" s="155">
        <v>62</v>
      </c>
    </row>
    <row r="137" spans="1:205" ht="15" hidden="1" customHeight="1" x14ac:dyDescent="0.45">
      <c r="GW137" s="155">
        <v>63</v>
      </c>
    </row>
    <row r="138" spans="1:205" ht="15" hidden="1" customHeight="1" x14ac:dyDescent="0.45">
      <c r="GW138" s="155">
        <v>64</v>
      </c>
    </row>
    <row r="139" spans="1:205" ht="15" hidden="1" customHeight="1" x14ac:dyDescent="0.45">
      <c r="GW139" s="155">
        <v>65</v>
      </c>
    </row>
    <row r="140" spans="1:205" ht="15" hidden="1" customHeight="1" x14ac:dyDescent="0.45">
      <c r="GW140" s="155">
        <v>66</v>
      </c>
    </row>
    <row r="141" spans="1:205" ht="15" hidden="1" customHeight="1" x14ac:dyDescent="0.45">
      <c r="GW141" s="155">
        <v>67</v>
      </c>
    </row>
    <row r="142" spans="1:205" ht="15" hidden="1" customHeight="1" x14ac:dyDescent="0.45">
      <c r="GW142" s="155">
        <v>68</v>
      </c>
    </row>
    <row r="143" spans="1:205" ht="15" hidden="1" customHeight="1" x14ac:dyDescent="0.45">
      <c r="GW143" s="155">
        <v>69</v>
      </c>
    </row>
    <row r="144" spans="1:205" ht="15" hidden="1" customHeight="1" x14ac:dyDescent="0.45">
      <c r="GW144" s="155">
        <v>70</v>
      </c>
    </row>
    <row r="145" spans="205:205" ht="15" hidden="1" customHeight="1" x14ac:dyDescent="0.45">
      <c r="GW145" s="155">
        <v>71</v>
      </c>
    </row>
    <row r="146" spans="205:205" ht="15" hidden="1" customHeight="1" x14ac:dyDescent="0.45">
      <c r="GW146" s="155">
        <v>72</v>
      </c>
    </row>
    <row r="147" spans="205:205" ht="15" hidden="1" customHeight="1" x14ac:dyDescent="0.45">
      <c r="GW147" s="155">
        <v>73</v>
      </c>
    </row>
    <row r="148" spans="205:205" ht="15" hidden="1" customHeight="1" x14ac:dyDescent="0.45">
      <c r="GW148" s="155">
        <v>74</v>
      </c>
    </row>
    <row r="149" spans="205:205" ht="15" hidden="1" customHeight="1" x14ac:dyDescent="0.45">
      <c r="GW149" s="155">
        <v>75</v>
      </c>
    </row>
    <row r="150" spans="205:205" ht="15" hidden="1" customHeight="1" x14ac:dyDescent="0.45">
      <c r="GW150" s="155">
        <v>76</v>
      </c>
    </row>
    <row r="151" spans="205:205" ht="15" hidden="1" customHeight="1" x14ac:dyDescent="0.45">
      <c r="GW151" s="155">
        <v>77</v>
      </c>
    </row>
    <row r="152" spans="205:205" ht="15" hidden="1" customHeight="1" x14ac:dyDescent="0.45">
      <c r="GW152" s="155">
        <v>78</v>
      </c>
    </row>
    <row r="153" spans="205:205" ht="15" hidden="1" customHeight="1" x14ac:dyDescent="0.45">
      <c r="GW153" s="155">
        <v>79</v>
      </c>
    </row>
    <row r="154" spans="205:205" ht="15" hidden="1" customHeight="1" x14ac:dyDescent="0.45">
      <c r="GW154" s="155">
        <v>80</v>
      </c>
    </row>
    <row r="155" spans="205:205" ht="15" hidden="1" customHeight="1" x14ac:dyDescent="0.45">
      <c r="GW155" s="155">
        <v>81</v>
      </c>
    </row>
    <row r="156" spans="205:205" ht="15" hidden="1" customHeight="1" x14ac:dyDescent="0.45">
      <c r="GW156" s="155">
        <v>82</v>
      </c>
    </row>
    <row r="157" spans="205:205" ht="15" hidden="1" customHeight="1" x14ac:dyDescent="0.45">
      <c r="GW157" s="155">
        <v>83</v>
      </c>
    </row>
    <row r="158" spans="205:205" ht="15" hidden="1" customHeight="1" x14ac:dyDescent="0.45">
      <c r="GW158" s="155">
        <v>84</v>
      </c>
    </row>
    <row r="159" spans="205:205" ht="15" hidden="1" customHeight="1" x14ac:dyDescent="0.45">
      <c r="GW159" s="155">
        <v>85</v>
      </c>
    </row>
    <row r="160" spans="205:205" ht="15" hidden="1" customHeight="1" x14ac:dyDescent="0.45">
      <c r="GW160" s="155">
        <v>86</v>
      </c>
    </row>
    <row r="161" spans="205:205" ht="15" hidden="1" customHeight="1" x14ac:dyDescent="0.45">
      <c r="GW161" s="155">
        <v>87</v>
      </c>
    </row>
    <row r="162" spans="205:205" ht="15" hidden="1" customHeight="1" x14ac:dyDescent="0.45">
      <c r="GW162" s="155">
        <v>88</v>
      </c>
    </row>
    <row r="163" spans="205:205" ht="15" hidden="1" customHeight="1" x14ac:dyDescent="0.45">
      <c r="GW163" s="155">
        <v>89</v>
      </c>
    </row>
    <row r="164" spans="205:205" ht="15" hidden="1" customHeight="1" x14ac:dyDescent="0.45">
      <c r="GW164" s="155">
        <v>90</v>
      </c>
    </row>
    <row r="165" spans="205:205" ht="15" hidden="1" customHeight="1" x14ac:dyDescent="0.45">
      <c r="GW165" s="155">
        <v>91</v>
      </c>
    </row>
    <row r="166" spans="205:205" ht="15" hidden="1" customHeight="1" x14ac:dyDescent="0.45">
      <c r="GW166" s="155">
        <v>92</v>
      </c>
    </row>
    <row r="167" spans="205:205" ht="15" hidden="1" customHeight="1" x14ac:dyDescent="0.45">
      <c r="GW167" s="155">
        <v>93</v>
      </c>
    </row>
    <row r="168" spans="205:205" ht="15" hidden="1" customHeight="1" x14ac:dyDescent="0.45">
      <c r="GW168" s="155">
        <v>94</v>
      </c>
    </row>
    <row r="169" spans="205:205" ht="15" hidden="1" customHeight="1" x14ac:dyDescent="0.45">
      <c r="GW169" s="155">
        <v>95</v>
      </c>
    </row>
    <row r="170" spans="205:205" ht="15" hidden="1" customHeight="1" x14ac:dyDescent="0.45">
      <c r="GW170" s="155">
        <v>96</v>
      </c>
    </row>
    <row r="171" spans="205:205" ht="15" hidden="1" customHeight="1" x14ac:dyDescent="0.45">
      <c r="GW171" s="155">
        <v>97</v>
      </c>
    </row>
    <row r="172" spans="205:205" ht="15" hidden="1" customHeight="1" x14ac:dyDescent="0.45">
      <c r="GW172" s="155">
        <v>98</v>
      </c>
    </row>
    <row r="173" spans="205:205" ht="15" hidden="1" customHeight="1" x14ac:dyDescent="0.45">
      <c r="GW173" s="155">
        <v>99</v>
      </c>
    </row>
    <row r="174" spans="205:205" ht="15" hidden="1" customHeight="1" x14ac:dyDescent="0.45">
      <c r="GW174" s="155">
        <v>100</v>
      </c>
    </row>
    <row r="175" spans="205:205" ht="15" hidden="1" customHeight="1" x14ac:dyDescent="0.45"/>
    <row r="176" spans="205:205" ht="15" hidden="1" customHeight="1" x14ac:dyDescent="0.45"/>
    <row r="177" ht="15" hidden="1" customHeight="1" x14ac:dyDescent="0.45"/>
    <row r="178" ht="15" hidden="1" customHeight="1" x14ac:dyDescent="0.45"/>
    <row r="179" ht="15" hidden="1" customHeight="1" x14ac:dyDescent="0.45"/>
    <row r="180" ht="15" hidden="1" customHeight="1" x14ac:dyDescent="0.45"/>
    <row r="181" ht="15" hidden="1" customHeight="1" x14ac:dyDescent="0.45"/>
    <row r="182" ht="15" hidden="1" customHeight="1" x14ac:dyDescent="0.45"/>
    <row r="183" ht="15" hidden="1" customHeight="1" x14ac:dyDescent="0.45"/>
    <row r="184" ht="15" hidden="1" customHeight="1" x14ac:dyDescent="0.45"/>
    <row r="185" ht="15" hidden="1" customHeight="1" x14ac:dyDescent="0.45"/>
    <row r="186" ht="15" hidden="1" customHeight="1" x14ac:dyDescent="0.45"/>
    <row r="187" ht="15" hidden="1" customHeight="1" x14ac:dyDescent="0.45"/>
    <row r="188" ht="15" hidden="1" customHeight="1" x14ac:dyDescent="0.45"/>
    <row r="189" ht="15" hidden="1" customHeight="1" x14ac:dyDescent="0.45"/>
    <row r="190" ht="15" hidden="1" customHeight="1" x14ac:dyDescent="0.45"/>
    <row r="191" ht="15" hidden="1" customHeight="1" x14ac:dyDescent="0.45"/>
    <row r="192" ht="15" hidden="1" customHeight="1" x14ac:dyDescent="0.45"/>
    <row r="193" ht="15" hidden="1" customHeight="1" x14ac:dyDescent="0.45"/>
    <row r="194" ht="15" hidden="1" customHeight="1" x14ac:dyDescent="0.45"/>
    <row r="195" ht="15" hidden="1" customHeight="1" x14ac:dyDescent="0.45"/>
    <row r="196" ht="15" hidden="1" customHeight="1" x14ac:dyDescent="0.45"/>
    <row r="197" ht="15" hidden="1" customHeight="1" x14ac:dyDescent="0.45"/>
    <row r="198" ht="15" hidden="1" customHeight="1" x14ac:dyDescent="0.45"/>
    <row r="199" ht="15" hidden="1" customHeight="1" x14ac:dyDescent="0.45"/>
    <row r="200" ht="15" hidden="1" customHeight="1" x14ac:dyDescent="0.45"/>
  </sheetData>
  <sheetProtection algorithmName="SHA-512" hashValue="eNhBJDlqS+Y3oVTxpAhApLhDhlJCdODoSd/lVrFEgMmsFXjtZ3vB+iBcD9wCaDGx8IGyjKrqhN1O/xtGXgd9hQ==" saltValue="VTrn5JTg3Dy0ao/+VVXbWw==" spinCount="100000" sheet="1" objects="1" scenarios="1" formatCells="0" formatColumns="0" formatRows="0" sort="0" autoFilter="0"/>
  <conditionalFormatting sqref="A5:A33 A35:A74">
    <cfRule type="duplicateValues" dxfId="11" priority="9"/>
  </conditionalFormatting>
  <conditionalFormatting sqref="AA5:AA33 AA36:AA74">
    <cfRule type="duplicateValues" dxfId="10" priority="8"/>
  </conditionalFormatting>
  <conditionalFormatting sqref="BA5:BA33 BA36:BA74">
    <cfRule type="duplicateValues" dxfId="9" priority="7"/>
  </conditionalFormatting>
  <conditionalFormatting sqref="CA5:CA33 CA36:CA74">
    <cfRule type="duplicateValues" dxfId="8" priority="6"/>
  </conditionalFormatting>
  <conditionalFormatting sqref="DA5:DA33 DA36:DA74">
    <cfRule type="duplicateValues" dxfId="7" priority="5"/>
  </conditionalFormatting>
  <conditionalFormatting sqref="EA36:EA74 EA5:EA33">
    <cfRule type="duplicateValues" dxfId="6" priority="4"/>
  </conditionalFormatting>
  <conditionalFormatting sqref="FA5:FA33 FA36:FA74">
    <cfRule type="duplicateValues" dxfId="5" priority="3"/>
  </conditionalFormatting>
  <conditionalFormatting sqref="GA36:GA74 GA5:GA33">
    <cfRule type="duplicateValues" dxfId="4" priority="2"/>
  </conditionalFormatting>
  <conditionalFormatting sqref="A1:A1048576 AA1:AA1048576 BA1:BA1048576 CA1:CA1048576 DA1:DA1048576 EA1:EA1048576 FA1:FA1048576 GA1:GA1048576">
    <cfRule type="expression" dxfId="3" priority="1">
      <formula>A1="-"</formula>
    </cfRule>
  </conditionalFormatting>
  <dataValidations count="33">
    <dataValidation type="list" allowBlank="1" showInputMessage="1" showErrorMessage="1" sqref="FU3:FV33" xr:uid="{00000000-0002-0000-1500-000000000000}">
      <formula1>$FN$1:$FQ$1</formula1>
    </dataValidation>
    <dataValidation type="list" allowBlank="1" showInputMessage="1" showErrorMessage="1" sqref="DU34:DV74" xr:uid="{00000000-0002-0000-1500-000001000000}">
      <formula1>$DN$1:$DU$1</formula1>
    </dataValidation>
    <dataValidation type="list" allowBlank="1" showInputMessage="1" showErrorMessage="1" sqref="CU34:CV74" xr:uid="{00000000-0002-0000-1500-000002000000}">
      <formula1>$CN$1:$CU$1</formula1>
    </dataValidation>
    <dataValidation type="list" allowBlank="1" showInputMessage="1" showErrorMessage="1" sqref="CU3:CV33" xr:uid="{00000000-0002-0000-1500-000003000000}">
      <formula1>$CN$1:$CQ$1</formula1>
    </dataValidation>
    <dataValidation type="list" allowBlank="1" showInputMessage="1" showErrorMessage="1" sqref="BU34:BV74" xr:uid="{00000000-0002-0000-1500-000004000000}">
      <formula1>$BN$1:$BU$1</formula1>
    </dataValidation>
    <dataValidation type="list" allowBlank="1" showInputMessage="1" showErrorMessage="1" sqref="BU3:BV33" xr:uid="{00000000-0002-0000-1500-000005000000}">
      <formula1>$BN$1:$BQ$1</formula1>
    </dataValidation>
    <dataValidation type="list" allowBlank="1" showInputMessage="1" showErrorMessage="1" sqref="AU3:AV33" xr:uid="{00000000-0002-0000-1500-000006000000}">
      <formula1>$AN$1:$AQ$1</formula1>
    </dataValidation>
    <dataValidation type="list" allowBlank="1" showInputMessage="1" showErrorMessage="1" sqref="U3:V33" xr:uid="{00000000-0002-0000-1500-000007000000}">
      <formula1>$N$1:$Q$1</formula1>
    </dataValidation>
    <dataValidation type="list" allowBlank="1" showInputMessage="1" showErrorMessage="1" sqref="B3:B33 D3:F33 H3:I33 M3:Q33 S3:T33" xr:uid="{00000000-0002-0000-1500-000008000000}">
      <formula1>$J$1:$K$1</formula1>
    </dataValidation>
    <dataValidation type="list" allowBlank="1" showInputMessage="1" showErrorMessage="1" sqref="AU34:AV74" xr:uid="{00000000-0002-0000-1500-000009000000}">
      <formula1>$AN$1:$AU$1</formula1>
    </dataValidation>
    <dataValidation type="list" allowBlank="1" showInputMessage="1" showErrorMessage="1" sqref="U34:V74" xr:uid="{00000000-0002-0000-1500-00000A000000}">
      <formula1>$N$1:$U$1</formula1>
    </dataValidation>
    <dataValidation type="list" allowBlank="1" showInputMessage="1" showErrorMessage="1" sqref="B34:B74 D34:F74 H34:I74 M34:Q74 S34:T74" xr:uid="{00000000-0002-0000-1500-00000B000000}">
      <formula1>$J$1:$M$1</formula1>
    </dataValidation>
    <dataValidation type="list" allowBlank="1" showInputMessage="1" showErrorMessage="1" sqref="GU34:GV74" xr:uid="{00000000-0002-0000-1500-00000C000000}">
      <formula1>$GN$1:$GU$1</formula1>
    </dataValidation>
    <dataValidation type="list" allowBlank="1" showInputMessage="1" showErrorMessage="1" sqref="GB34:GB74 GD34:GF74 GH34:GI74 GM34:GQ74 GS34:GT74" xr:uid="{00000000-0002-0000-1500-00000D000000}">
      <formula1>$GJ$1:$GM$1</formula1>
    </dataValidation>
    <dataValidation type="list" allowBlank="1" showInputMessage="1" showErrorMessage="1" sqref="GU3:GV33" xr:uid="{00000000-0002-0000-1500-00000E000000}">
      <formula1>$GN$1:$GQ$1</formula1>
    </dataValidation>
    <dataValidation type="list" allowBlank="1" showInputMessage="1" showErrorMessage="1" sqref="GB3:GB33 GD3:GF33 GH3:GI33 GM3:GQ33 GS3:GT33" xr:uid="{00000000-0002-0000-1500-00000F000000}">
      <formula1>$GJ$1:$GK$1</formula1>
    </dataValidation>
    <dataValidation type="list" allowBlank="1" showInputMessage="1" showErrorMessage="1" sqref="FU34:FV74" xr:uid="{00000000-0002-0000-1500-000010000000}">
      <formula1>$FN$1:$FU$1</formula1>
    </dataValidation>
    <dataValidation type="list" allowBlank="1" showInputMessage="1" showErrorMessage="1" sqref="FB34:FB74 FD34:FF74 FH34:FI74 FM34:FQ74 FS34:FT74" xr:uid="{00000000-0002-0000-1500-000011000000}">
      <formula1>$FJ$1:$FM$1</formula1>
    </dataValidation>
    <dataValidation type="list" allowBlank="1" showInputMessage="1" showErrorMessage="1" sqref="EU3:EV33" xr:uid="{00000000-0002-0000-1500-000012000000}">
      <formula1>$EN$1:$EQ$1</formula1>
    </dataValidation>
    <dataValidation type="list" allowBlank="1" showInputMessage="1" showErrorMessage="1" sqref="FB3:FB33 FD3:FF33 FH3:FI33 FM3:FQ33 FS3:FT33" xr:uid="{00000000-0002-0000-1500-000013000000}">
      <formula1>$FJ$1:$FK$1</formula1>
    </dataValidation>
    <dataValidation type="list" allowBlank="1" showInputMessage="1" showErrorMessage="1" sqref="EU34:EV74" xr:uid="{00000000-0002-0000-1500-000014000000}">
      <formula1>$EN$1:$EU$1</formula1>
    </dataValidation>
    <dataValidation type="list" allowBlank="1" showInputMessage="1" showErrorMessage="1" sqref="EB34:EB74 ED34:EF74 EH34:EI74 EM34:EQ74 ES34:ET74" xr:uid="{00000000-0002-0000-1500-000015000000}">
      <formula1>$EJ$1:$EM$1</formula1>
    </dataValidation>
    <dataValidation type="list" allowBlank="1" showInputMessage="1" showErrorMessage="1" sqref="EB3:EB33 ED3:EF33 EH3:EI33 EM3:EQ33 ES3:ET33" xr:uid="{00000000-0002-0000-1500-000016000000}">
      <formula1>$EJ$1:$EK$1</formula1>
    </dataValidation>
    <dataValidation type="list" allowBlank="1" showInputMessage="1" showErrorMessage="1" sqref="DU3:DV33" xr:uid="{00000000-0002-0000-1500-000017000000}">
      <formula1>$DN$1:$DQ$1</formula1>
    </dataValidation>
    <dataValidation type="list" allowBlank="1" showInputMessage="1" showErrorMessage="1" sqref="DB34:DB74 DD34:DF74 DH34:DI74 DM34:DQ74 DS34:DT74" xr:uid="{00000000-0002-0000-1500-000018000000}">
      <formula1>$DJ$1:$DM$1</formula1>
    </dataValidation>
    <dataValidation type="list" allowBlank="1" showInputMessage="1" showErrorMessage="1" sqref="DB3:DB33 DD3:DF33 DH3:DI33 DM3:DQ33 DS3:DT33" xr:uid="{00000000-0002-0000-1500-000019000000}">
      <formula1>$DJ$1:$DK$1</formula1>
    </dataValidation>
    <dataValidation type="list" allowBlank="1" showInputMessage="1" showErrorMessage="1" sqref="CB34:CB74 CD34:CF74 CH34:CI74 CM34:CQ74 CS34:CT74" xr:uid="{00000000-0002-0000-1500-00001A000000}">
      <formula1>$CJ$1:$CM$1</formula1>
    </dataValidation>
    <dataValidation type="list" allowBlank="1" showInputMessage="1" showErrorMessage="1" sqref="CB3:CB33 CD3:CF33 CH3:CI33 CM3:CQ33 CS3:CT33" xr:uid="{00000000-0002-0000-1500-00001B000000}">
      <formula1>$CJ$1:$CK$1</formula1>
    </dataValidation>
    <dataValidation type="list" allowBlank="1" showInputMessage="1" showErrorMessage="1" sqref="BB34:BB74 BD34:BF74 BH34:BI74 BM34:BQ74 BS34:BT74" xr:uid="{00000000-0002-0000-1500-00001C000000}">
      <formula1>$BJ$1:$BM$1</formula1>
    </dataValidation>
    <dataValidation type="list" allowBlank="1" showInputMessage="1" showErrorMessage="1" sqref="BB3:BB33 BD3:BF33 BH3:BI33 BM3:BQ33 BS3:BT33" xr:uid="{00000000-0002-0000-1500-00001D000000}">
      <formula1>$BJ$1:$BK$1</formula1>
    </dataValidation>
    <dataValidation type="list" allowBlank="1" showInputMessage="1" showErrorMessage="1" sqref="AB34:AB74 AD34:AF74 AH34:AI74 AM34:AQ74 AS34:AT74" xr:uid="{00000000-0002-0000-1500-00001E000000}">
      <formula1>$AJ$1:$AM$1</formula1>
    </dataValidation>
    <dataValidation type="list" allowBlank="1" showInputMessage="1" showErrorMessage="1" sqref="AB3:AB33 AD3:AF33 AH3:AI33 AM3:AQ33 AS3:AT33" xr:uid="{00000000-0002-0000-1500-00001F000000}">
      <formula1>$AJ$1:$AK$1</formula1>
    </dataValidation>
    <dataValidation type="whole" allowBlank="1" showInputMessage="1" showErrorMessage="1" sqref="G1:G1048576 FC1:FC1048576 GC1:GC1048576 AC1:AC1048576 EG1:EG1048576 BC1:BC1048576 AG1:AG1048576 CC1:CC1048576 BG1:BG1048576 DC1:DC1048576 CG1:CG1048576 EC1:EC1048576 DG1:DG1048576 GG1:GG1048576 FG1:FG1048576 C1:C1048576" xr:uid="{00000000-0002-0000-1500-000020000000}">
      <formula1>1</formula1>
      <formula2>999</formula2>
    </dataValidation>
  </dataValidations>
  <hyperlinks>
    <hyperlink ref="A1" location="Dashboard!A1" display="Dashboard!A1" xr:uid="{00000000-0004-0000-1500-000000000000}"/>
    <hyperlink ref="AA1" location="Dashboard!A1" display="Dashboard!A1" xr:uid="{00000000-0004-0000-1500-000001000000}"/>
    <hyperlink ref="BA1" location="Dashboard!A1" display="Dashboard!A1" xr:uid="{00000000-0004-0000-1500-000002000000}"/>
    <hyperlink ref="CA1" location="Dashboard!A1" display="Dashboard!A1" xr:uid="{00000000-0004-0000-1500-000003000000}"/>
    <hyperlink ref="DA1" location="Dashboard!A1" display="Dashboard!A1" xr:uid="{00000000-0004-0000-1500-000004000000}"/>
    <hyperlink ref="EA1" location="Dashboard!A1" display="Dashboard!A1" xr:uid="{00000000-0004-0000-1500-000005000000}"/>
    <hyperlink ref="FA1" location="Dashboard!A1" display="Dashboard!A1" xr:uid="{00000000-0004-0000-1500-000006000000}"/>
    <hyperlink ref="GA1" location="Dashboard!A1" display="Dashboard!A1" xr:uid="{00000000-0004-0000-1500-000007000000}"/>
  </hyperlinks>
  <pageMargins left="0.7" right="0.7" top="0.75" bottom="0.75" header="0.3" footer="0.3"/>
  <pageSetup paperSize="9" scale="96" orientation="portrait" r:id="rId1"/>
  <rowBreaks count="1" manualBreakCount="1">
    <brk id="33" max="16383" man="1"/>
  </rowBreaks>
  <colBreaks count="1" manualBreakCount="1">
    <brk id="2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dimension ref="A1:I107"/>
  <sheetViews>
    <sheetView workbookViewId="0">
      <selection activeCell="O3" sqref="O3"/>
    </sheetView>
  </sheetViews>
  <sheetFormatPr defaultColWidth="8.86328125" defaultRowHeight="13.9" x14ac:dyDescent="0.45"/>
  <cols>
    <col min="1" max="1" width="8.86328125" style="59"/>
    <col min="2" max="2" width="8.86328125" style="62"/>
    <col min="3" max="4" width="8.86328125" style="63"/>
    <col min="5" max="16384" width="8.86328125" style="59"/>
  </cols>
  <sheetData>
    <row r="1" spans="1:9" x14ac:dyDescent="0.45">
      <c r="B1" s="60">
        <v>5</v>
      </c>
      <c r="C1" s="61" t="s">
        <v>53</v>
      </c>
      <c r="D1" s="61" t="s">
        <v>54</v>
      </c>
      <c r="H1" s="62" t="s">
        <v>55</v>
      </c>
      <c r="I1" s="62"/>
    </row>
    <row r="2" spans="1:9" x14ac:dyDescent="0.45">
      <c r="A2" s="59">
        <v>1</v>
      </c>
      <c r="B2" s="62">
        <v>1</v>
      </c>
      <c r="C2" s="63">
        <v>8</v>
      </c>
      <c r="D2" s="63">
        <v>6</v>
      </c>
      <c r="H2" s="62">
        <v>3</v>
      </c>
      <c r="I2" s="62">
        <v>4</v>
      </c>
    </row>
    <row r="3" spans="1:9" x14ac:dyDescent="0.45">
      <c r="A3" s="59">
        <v>1</v>
      </c>
      <c r="B3" s="62">
        <v>2</v>
      </c>
      <c r="C3" s="63">
        <v>6</v>
      </c>
      <c r="D3" s="63">
        <v>4</v>
      </c>
      <c r="H3" s="62">
        <v>4</v>
      </c>
      <c r="I3" s="62">
        <v>3</v>
      </c>
    </row>
    <row r="4" spans="1:9" x14ac:dyDescent="0.45">
      <c r="A4" s="59">
        <v>1</v>
      </c>
      <c r="B4" s="62">
        <v>3</v>
      </c>
      <c r="C4" s="63">
        <v>5</v>
      </c>
      <c r="D4" s="63">
        <v>3</v>
      </c>
      <c r="H4" s="62">
        <v>5</v>
      </c>
      <c r="I4" s="62">
        <v>2</v>
      </c>
    </row>
    <row r="5" spans="1:9" x14ac:dyDescent="0.45">
      <c r="A5" s="59">
        <v>1</v>
      </c>
      <c r="B5" s="62">
        <v>4</v>
      </c>
      <c r="C5" s="63">
        <v>4</v>
      </c>
      <c r="D5" s="63">
        <v>2</v>
      </c>
      <c r="H5" s="62">
        <v>6</v>
      </c>
      <c r="I5" s="62">
        <v>1</v>
      </c>
    </row>
    <row r="6" spans="1:9" x14ac:dyDescent="0.45">
      <c r="A6" s="59">
        <v>1</v>
      </c>
      <c r="B6" s="62">
        <v>5</v>
      </c>
      <c r="C6" s="63">
        <v>3</v>
      </c>
      <c r="D6" s="63">
        <v>1</v>
      </c>
    </row>
    <row r="7" spans="1:9" x14ac:dyDescent="0.45">
      <c r="A7" s="59">
        <f>IFERROR(LEN(B7)-SEARCH("=",B7)+2,0)</f>
        <v>2</v>
      </c>
      <c r="B7" s="62" t="s">
        <v>249</v>
      </c>
      <c r="C7" s="63">
        <f>SUM(C$2:C3)/$A7</f>
        <v>7</v>
      </c>
      <c r="D7" s="63">
        <f>SUM(D$2:D3)/$A7</f>
        <v>5</v>
      </c>
      <c r="H7" s="62">
        <v>2</v>
      </c>
      <c r="I7" s="62">
        <v>1</v>
      </c>
    </row>
    <row r="8" spans="1:9" x14ac:dyDescent="0.45">
      <c r="A8" s="59">
        <f t="shared" ref="A8:A16" si="0">IFERROR(LEN(B8)-SEARCH("=",B8)+2,0)</f>
        <v>3</v>
      </c>
      <c r="B8" s="62" t="s">
        <v>250</v>
      </c>
      <c r="C8" s="63">
        <f>SUM(C$2:C4)/$A8</f>
        <v>6.333333333333333</v>
      </c>
      <c r="D8" s="63">
        <f>SUM(D$2:D4)/$A8</f>
        <v>4.333333333333333</v>
      </c>
      <c r="H8" s="62">
        <v>3</v>
      </c>
      <c r="I8" s="62">
        <v>2</v>
      </c>
    </row>
    <row r="9" spans="1:9" x14ac:dyDescent="0.45">
      <c r="A9" s="59">
        <f t="shared" si="0"/>
        <v>4</v>
      </c>
      <c r="B9" s="62" t="s">
        <v>251</v>
      </c>
      <c r="C9" s="63">
        <f>SUM(C$2:C5)/$A9</f>
        <v>5.75</v>
      </c>
      <c r="D9" s="63">
        <f>SUM(D$2:D5)/$A9</f>
        <v>3.75</v>
      </c>
      <c r="H9" s="62">
        <v>4</v>
      </c>
      <c r="I9" s="62">
        <v>3</v>
      </c>
    </row>
    <row r="10" spans="1:9" x14ac:dyDescent="0.45">
      <c r="A10" s="59">
        <f t="shared" si="0"/>
        <v>5</v>
      </c>
      <c r="B10" s="62" t="s">
        <v>252</v>
      </c>
      <c r="C10" s="63">
        <f>SUM(C$2:C6)/$A10</f>
        <v>5.2</v>
      </c>
      <c r="D10" s="63">
        <f>SUM(D$2:D6)/$A10</f>
        <v>3.2</v>
      </c>
      <c r="H10" s="62">
        <v>5</v>
      </c>
      <c r="I10" s="62">
        <v>4</v>
      </c>
    </row>
    <row r="11" spans="1:9" x14ac:dyDescent="0.45">
      <c r="A11" s="59">
        <f t="shared" si="0"/>
        <v>2</v>
      </c>
      <c r="B11" s="62" t="s">
        <v>273</v>
      </c>
      <c r="C11" s="63">
        <f>SUM(C$3:C4)/$A11</f>
        <v>5.5</v>
      </c>
      <c r="D11" s="63">
        <f>SUM(D$3:D4)/$A11</f>
        <v>3.5</v>
      </c>
      <c r="H11" s="62"/>
    </row>
    <row r="12" spans="1:9" x14ac:dyDescent="0.45">
      <c r="A12" s="59">
        <f t="shared" si="0"/>
        <v>3</v>
      </c>
      <c r="B12" s="62" t="s">
        <v>274</v>
      </c>
      <c r="C12" s="63">
        <f>SUM(C$3:C5)/$A12</f>
        <v>5</v>
      </c>
      <c r="D12" s="63">
        <f>SUM(D$3:D5)/$A12</f>
        <v>3</v>
      </c>
    </row>
    <row r="13" spans="1:9" x14ac:dyDescent="0.45">
      <c r="A13" s="59">
        <f t="shared" si="0"/>
        <v>4</v>
      </c>
      <c r="B13" s="62" t="s">
        <v>275</v>
      </c>
      <c r="C13" s="63">
        <f>SUM(C$3:C6)/$A13</f>
        <v>4.5</v>
      </c>
      <c r="D13" s="63">
        <f>SUM(D$3:D6)/$A13</f>
        <v>2.5</v>
      </c>
    </row>
    <row r="14" spans="1:9" x14ac:dyDescent="0.45">
      <c r="A14" s="59">
        <f t="shared" si="0"/>
        <v>2</v>
      </c>
      <c r="B14" s="62" t="s">
        <v>276</v>
      </c>
      <c r="C14" s="63">
        <f>SUM(C$4:C5)/$A14</f>
        <v>4.5</v>
      </c>
      <c r="D14" s="63">
        <f>SUM(D$4:D5)/$A14</f>
        <v>2.5</v>
      </c>
    </row>
    <row r="15" spans="1:9" x14ac:dyDescent="0.45">
      <c r="A15" s="59">
        <f t="shared" si="0"/>
        <v>3</v>
      </c>
      <c r="B15" s="62" t="s">
        <v>277</v>
      </c>
      <c r="C15" s="63">
        <f>SUM(C$4:C6)/$A15</f>
        <v>4</v>
      </c>
      <c r="D15" s="63">
        <f>SUM(D$4:D6)/$A15</f>
        <v>2</v>
      </c>
    </row>
    <row r="16" spans="1:9" x14ac:dyDescent="0.45">
      <c r="A16" s="59">
        <f t="shared" si="0"/>
        <v>2</v>
      </c>
      <c r="B16" s="62" t="s">
        <v>278</v>
      </c>
      <c r="C16" s="63">
        <f>SUM(C$5:C6)/$A16</f>
        <v>3.5</v>
      </c>
      <c r="D16" s="63">
        <f>SUM(D$5:D6)/$A16</f>
        <v>1.5</v>
      </c>
    </row>
    <row r="18" spans="1:4" x14ac:dyDescent="0.45">
      <c r="B18" s="60">
        <v>6</v>
      </c>
      <c r="C18" s="61" t="s">
        <v>53</v>
      </c>
      <c r="D18" s="61" t="s">
        <v>54</v>
      </c>
    </row>
    <row r="19" spans="1:4" x14ac:dyDescent="0.45">
      <c r="A19" s="59">
        <v>1</v>
      </c>
      <c r="B19" s="62">
        <v>1</v>
      </c>
      <c r="C19" s="63">
        <v>9</v>
      </c>
      <c r="D19" s="63">
        <v>7</v>
      </c>
    </row>
    <row r="20" spans="1:4" x14ac:dyDescent="0.45">
      <c r="A20" s="59">
        <v>1</v>
      </c>
      <c r="B20" s="62">
        <v>2</v>
      </c>
      <c r="C20" s="63">
        <v>7</v>
      </c>
      <c r="D20" s="63">
        <v>5</v>
      </c>
    </row>
    <row r="21" spans="1:4" x14ac:dyDescent="0.45">
      <c r="A21" s="59">
        <v>1</v>
      </c>
      <c r="B21" s="62">
        <v>3</v>
      </c>
      <c r="C21" s="63">
        <v>6</v>
      </c>
      <c r="D21" s="63">
        <v>4</v>
      </c>
    </row>
    <row r="22" spans="1:4" x14ac:dyDescent="0.45">
      <c r="A22" s="59">
        <v>1</v>
      </c>
      <c r="B22" s="62">
        <v>4</v>
      </c>
      <c r="C22" s="63">
        <v>5</v>
      </c>
      <c r="D22" s="63">
        <v>3</v>
      </c>
    </row>
    <row r="23" spans="1:4" x14ac:dyDescent="0.45">
      <c r="A23" s="59">
        <v>1</v>
      </c>
      <c r="B23" s="62">
        <v>5</v>
      </c>
      <c r="C23" s="63">
        <v>4</v>
      </c>
      <c r="D23" s="63">
        <v>2</v>
      </c>
    </row>
    <row r="24" spans="1:4" x14ac:dyDescent="0.45">
      <c r="A24" s="59">
        <v>1</v>
      </c>
      <c r="B24" s="62">
        <v>6</v>
      </c>
      <c r="C24" s="63">
        <v>3</v>
      </c>
      <c r="D24" s="63">
        <v>1</v>
      </c>
    </row>
    <row r="25" spans="1:4" x14ac:dyDescent="0.45">
      <c r="A25" s="59">
        <f>IFERROR(LEN(B25)-SEARCH("=",B25)+2,0)</f>
        <v>2</v>
      </c>
      <c r="B25" s="62" t="s">
        <v>249</v>
      </c>
      <c r="C25" s="63">
        <f>SUM(C$19:C20)/$A25</f>
        <v>8</v>
      </c>
      <c r="D25" s="63">
        <f>SUM(D$19:D20)/$A25</f>
        <v>6</v>
      </c>
    </row>
    <row r="26" spans="1:4" x14ac:dyDescent="0.45">
      <c r="A26" s="59">
        <f t="shared" ref="A26:A39" si="1">IFERROR(LEN(B26)-SEARCH("=",B26)+2,0)</f>
        <v>3</v>
      </c>
      <c r="B26" s="62" t="s">
        <v>250</v>
      </c>
      <c r="C26" s="63">
        <f>SUM(C$19:C21)/$A26</f>
        <v>7.333333333333333</v>
      </c>
      <c r="D26" s="63">
        <f>SUM(D$19:D21)/$A26</f>
        <v>5.333333333333333</v>
      </c>
    </row>
    <row r="27" spans="1:4" x14ac:dyDescent="0.45">
      <c r="A27" s="59">
        <f t="shared" si="1"/>
        <v>4</v>
      </c>
      <c r="B27" s="62" t="s">
        <v>251</v>
      </c>
      <c r="C27" s="63">
        <f>SUM(C$19:C22)/$A27</f>
        <v>6.75</v>
      </c>
      <c r="D27" s="63">
        <f>SUM(D$19:D22)/$A27</f>
        <v>4.75</v>
      </c>
    </row>
    <row r="28" spans="1:4" x14ac:dyDescent="0.45">
      <c r="A28" s="59">
        <f t="shared" si="1"/>
        <v>5</v>
      </c>
      <c r="B28" s="62" t="s">
        <v>252</v>
      </c>
      <c r="C28" s="63">
        <f>SUM(C$19:C23)/$A28</f>
        <v>6.2</v>
      </c>
      <c r="D28" s="63">
        <f>SUM(D$19:D23)/$A28</f>
        <v>4.2</v>
      </c>
    </row>
    <row r="29" spans="1:4" x14ac:dyDescent="0.45">
      <c r="A29" s="59">
        <f t="shared" si="1"/>
        <v>6</v>
      </c>
      <c r="B29" s="62" t="s">
        <v>279</v>
      </c>
      <c r="C29" s="63">
        <f>SUM(C$19:C24)/$A29</f>
        <v>5.666666666666667</v>
      </c>
      <c r="D29" s="63">
        <f>SUM(D$19:D24)/$A29</f>
        <v>3.6666666666666665</v>
      </c>
    </row>
    <row r="30" spans="1:4" x14ac:dyDescent="0.45">
      <c r="A30" s="59">
        <f t="shared" si="1"/>
        <v>2</v>
      </c>
      <c r="B30" s="62" t="s">
        <v>273</v>
      </c>
      <c r="C30" s="63">
        <f>SUM(C$20:C21)/$A30</f>
        <v>6.5</v>
      </c>
      <c r="D30" s="63">
        <f>SUM(D$20:D21)/$A30</f>
        <v>4.5</v>
      </c>
    </row>
    <row r="31" spans="1:4" x14ac:dyDescent="0.45">
      <c r="A31" s="59">
        <f t="shared" si="1"/>
        <v>3</v>
      </c>
      <c r="B31" s="62" t="s">
        <v>274</v>
      </c>
      <c r="C31" s="63">
        <f>SUM(C$20:C22)/$A31</f>
        <v>6</v>
      </c>
      <c r="D31" s="63">
        <f>SUM(D$20:D22)/$A31</f>
        <v>4</v>
      </c>
    </row>
    <row r="32" spans="1:4" x14ac:dyDescent="0.45">
      <c r="A32" s="59">
        <f t="shared" si="1"/>
        <v>4</v>
      </c>
      <c r="B32" s="62" t="s">
        <v>275</v>
      </c>
      <c r="C32" s="63">
        <f>SUM(C$20:C23)/$A32</f>
        <v>5.5</v>
      </c>
      <c r="D32" s="63">
        <f>SUM(D$20:D23)/$A32</f>
        <v>3.5</v>
      </c>
    </row>
    <row r="33" spans="1:4" x14ac:dyDescent="0.45">
      <c r="A33" s="59">
        <f t="shared" si="1"/>
        <v>5</v>
      </c>
      <c r="B33" s="62" t="s">
        <v>280</v>
      </c>
      <c r="C33" s="63">
        <f>SUM(C$20:C24)/$A33</f>
        <v>5</v>
      </c>
      <c r="D33" s="63">
        <f>SUM(D$20:D24)/$A33</f>
        <v>3</v>
      </c>
    </row>
    <row r="34" spans="1:4" x14ac:dyDescent="0.45">
      <c r="A34" s="59">
        <f t="shared" si="1"/>
        <v>2</v>
      </c>
      <c r="B34" s="62" t="s">
        <v>276</v>
      </c>
      <c r="C34" s="63">
        <f>SUM(C$21:C22)/$A34</f>
        <v>5.5</v>
      </c>
      <c r="D34" s="63">
        <f>SUM(D$21:D22)/$A34</f>
        <v>3.5</v>
      </c>
    </row>
    <row r="35" spans="1:4" x14ac:dyDescent="0.45">
      <c r="A35" s="59">
        <f t="shared" si="1"/>
        <v>3</v>
      </c>
      <c r="B35" s="62" t="s">
        <v>277</v>
      </c>
      <c r="C35" s="63">
        <f>SUM(C$21:C23)/$A35</f>
        <v>5</v>
      </c>
      <c r="D35" s="63">
        <f>SUM(D$21:D23)/$A35</f>
        <v>3</v>
      </c>
    </row>
    <row r="36" spans="1:4" x14ac:dyDescent="0.45">
      <c r="A36" s="59">
        <f t="shared" si="1"/>
        <v>4</v>
      </c>
      <c r="B36" s="62" t="s">
        <v>281</v>
      </c>
      <c r="C36" s="63">
        <f>SUM(C$21:C24)/$A36</f>
        <v>4.5</v>
      </c>
      <c r="D36" s="63">
        <f>SUM(D$21:D24)/$A36</f>
        <v>2.5</v>
      </c>
    </row>
    <row r="37" spans="1:4" x14ac:dyDescent="0.45">
      <c r="A37" s="59">
        <f t="shared" si="1"/>
        <v>2</v>
      </c>
      <c r="B37" s="62" t="s">
        <v>278</v>
      </c>
      <c r="C37" s="63">
        <f>SUM(C$22:C23)/$A37</f>
        <v>4.5</v>
      </c>
      <c r="D37" s="63">
        <f>SUM(D$22:D23)/$A37</f>
        <v>2.5</v>
      </c>
    </row>
    <row r="38" spans="1:4" x14ac:dyDescent="0.45">
      <c r="A38" s="59">
        <f t="shared" si="1"/>
        <v>3</v>
      </c>
      <c r="B38" s="62" t="s">
        <v>282</v>
      </c>
      <c r="C38" s="63">
        <f>SUM(C$22:C24)/$A38</f>
        <v>4</v>
      </c>
      <c r="D38" s="63">
        <f>SUM(D$22:D24)/$A38</f>
        <v>2</v>
      </c>
    </row>
    <row r="39" spans="1:4" x14ac:dyDescent="0.45">
      <c r="A39" s="59">
        <f t="shared" si="1"/>
        <v>2</v>
      </c>
      <c r="B39" s="62" t="s">
        <v>283</v>
      </c>
      <c r="C39" s="63">
        <f>SUM(C$23:C24)/$A39</f>
        <v>3.5</v>
      </c>
      <c r="D39" s="63">
        <f>SUM(D$23:D24)/$A39</f>
        <v>1.5</v>
      </c>
    </row>
    <row r="41" spans="1:4" x14ac:dyDescent="0.45">
      <c r="B41" s="60">
        <v>7</v>
      </c>
      <c r="C41" s="61" t="s">
        <v>53</v>
      </c>
      <c r="D41" s="61" t="s">
        <v>54</v>
      </c>
    </row>
    <row r="42" spans="1:4" x14ac:dyDescent="0.45">
      <c r="A42" s="59">
        <v>1</v>
      </c>
      <c r="B42" s="62">
        <v>1</v>
      </c>
      <c r="C42" s="63">
        <v>10</v>
      </c>
      <c r="D42" s="63">
        <v>8</v>
      </c>
    </row>
    <row r="43" spans="1:4" x14ac:dyDescent="0.45">
      <c r="A43" s="59">
        <v>1</v>
      </c>
      <c r="B43" s="62">
        <v>2</v>
      </c>
      <c r="C43" s="63">
        <v>8</v>
      </c>
      <c r="D43" s="63">
        <v>6</v>
      </c>
    </row>
    <row r="44" spans="1:4" x14ac:dyDescent="0.45">
      <c r="A44" s="59">
        <v>1</v>
      </c>
      <c r="B44" s="62">
        <v>3</v>
      </c>
      <c r="C44" s="63">
        <v>7</v>
      </c>
      <c r="D44" s="63">
        <v>5</v>
      </c>
    </row>
    <row r="45" spans="1:4" x14ac:dyDescent="0.45">
      <c r="A45" s="59">
        <v>1</v>
      </c>
      <c r="B45" s="62">
        <v>4</v>
      </c>
      <c r="C45" s="63">
        <v>6</v>
      </c>
      <c r="D45" s="63">
        <v>4</v>
      </c>
    </row>
    <row r="46" spans="1:4" x14ac:dyDescent="0.45">
      <c r="A46" s="59">
        <v>1</v>
      </c>
      <c r="B46" s="62">
        <v>5</v>
      </c>
      <c r="C46" s="63">
        <v>5</v>
      </c>
      <c r="D46" s="63">
        <v>3</v>
      </c>
    </row>
    <row r="47" spans="1:4" x14ac:dyDescent="0.45">
      <c r="A47" s="59">
        <v>1</v>
      </c>
      <c r="B47" s="62">
        <v>6</v>
      </c>
      <c r="C47" s="63">
        <v>4</v>
      </c>
      <c r="D47" s="63">
        <v>2</v>
      </c>
    </row>
    <row r="48" spans="1:4" x14ac:dyDescent="0.45">
      <c r="A48" s="59">
        <v>1</v>
      </c>
      <c r="B48" s="62">
        <v>7</v>
      </c>
      <c r="C48" s="63">
        <v>3</v>
      </c>
      <c r="D48" s="63">
        <v>1</v>
      </c>
    </row>
    <row r="49" spans="1:4" x14ac:dyDescent="0.45">
      <c r="A49" s="59">
        <f>IFERROR(LEN(B49)-SEARCH("=",B49)+2,0)</f>
        <v>2</v>
      </c>
      <c r="B49" s="62" t="s">
        <v>249</v>
      </c>
      <c r="C49" s="63">
        <f>SUM(C$42:C43)/$A49</f>
        <v>9</v>
      </c>
      <c r="D49" s="63">
        <f>SUM(D$42:D43)/$A49</f>
        <v>7</v>
      </c>
    </row>
    <row r="50" spans="1:4" x14ac:dyDescent="0.45">
      <c r="A50" s="59">
        <f t="shared" ref="A50:A69" si="2">IFERROR(LEN(B50)-SEARCH("=",B50)+2,0)</f>
        <v>3</v>
      </c>
      <c r="B50" s="62" t="s">
        <v>250</v>
      </c>
      <c r="C50" s="63">
        <f>SUM(C$42:C44)/$A50</f>
        <v>8.3333333333333339</v>
      </c>
      <c r="D50" s="63">
        <f>SUM(D$42:D44)/$A50</f>
        <v>6.333333333333333</v>
      </c>
    </row>
    <row r="51" spans="1:4" x14ac:dyDescent="0.45">
      <c r="A51" s="59">
        <f t="shared" si="2"/>
        <v>4</v>
      </c>
      <c r="B51" s="62" t="s">
        <v>251</v>
      </c>
      <c r="C51" s="63">
        <f>SUM(C$42:C45)/$A51</f>
        <v>7.75</v>
      </c>
      <c r="D51" s="63">
        <f>SUM(D$42:D45)/$A51</f>
        <v>5.75</v>
      </c>
    </row>
    <row r="52" spans="1:4" x14ac:dyDescent="0.45">
      <c r="A52" s="59">
        <f t="shared" si="2"/>
        <v>5</v>
      </c>
      <c r="B52" s="62" t="s">
        <v>252</v>
      </c>
      <c r="C52" s="63">
        <f>SUM(C$42:C46)/$A52</f>
        <v>7.2</v>
      </c>
      <c r="D52" s="63">
        <f>SUM(D$42:D46)/$A52</f>
        <v>5.2</v>
      </c>
    </row>
    <row r="53" spans="1:4" x14ac:dyDescent="0.45">
      <c r="A53" s="59">
        <f t="shared" si="2"/>
        <v>6</v>
      </c>
      <c r="B53" s="62" t="s">
        <v>279</v>
      </c>
      <c r="C53" s="63">
        <f>SUM(C$42:C47)/$A53</f>
        <v>6.666666666666667</v>
      </c>
      <c r="D53" s="63">
        <f>SUM(D$42:D47)/$A53</f>
        <v>4.666666666666667</v>
      </c>
    </row>
    <row r="54" spans="1:4" x14ac:dyDescent="0.45">
      <c r="A54" s="59">
        <f t="shared" si="2"/>
        <v>7</v>
      </c>
      <c r="B54" s="62" t="s">
        <v>284</v>
      </c>
      <c r="C54" s="63">
        <f>SUM(C$42:C48)/$A54</f>
        <v>6.1428571428571432</v>
      </c>
      <c r="D54" s="63">
        <f>SUM(D$42:D48)/$A54</f>
        <v>4.1428571428571432</v>
      </c>
    </row>
    <row r="55" spans="1:4" x14ac:dyDescent="0.45">
      <c r="A55" s="59">
        <f t="shared" si="2"/>
        <v>2</v>
      </c>
      <c r="B55" s="62" t="s">
        <v>273</v>
      </c>
      <c r="C55" s="63">
        <f>SUM(C$43:C44)/$A55</f>
        <v>7.5</v>
      </c>
      <c r="D55" s="63">
        <f>SUM(D$43:D44)/$A55</f>
        <v>5.5</v>
      </c>
    </row>
    <row r="56" spans="1:4" x14ac:dyDescent="0.45">
      <c r="A56" s="59">
        <f t="shared" si="2"/>
        <v>3</v>
      </c>
      <c r="B56" s="62" t="s">
        <v>274</v>
      </c>
      <c r="C56" s="63">
        <f>SUM(C$43:C45)/$A56</f>
        <v>7</v>
      </c>
      <c r="D56" s="63">
        <f>SUM(D$43:D45)/$A56</f>
        <v>5</v>
      </c>
    </row>
    <row r="57" spans="1:4" x14ac:dyDescent="0.45">
      <c r="A57" s="59">
        <f t="shared" si="2"/>
        <v>4</v>
      </c>
      <c r="B57" s="62" t="s">
        <v>275</v>
      </c>
      <c r="C57" s="63">
        <f>SUM(C$43:C46)/$A57</f>
        <v>6.5</v>
      </c>
      <c r="D57" s="63">
        <f>SUM(D$43:D46)/$A57</f>
        <v>4.5</v>
      </c>
    </row>
    <row r="58" spans="1:4" x14ac:dyDescent="0.45">
      <c r="A58" s="59">
        <f t="shared" si="2"/>
        <v>5</v>
      </c>
      <c r="B58" s="62" t="s">
        <v>280</v>
      </c>
      <c r="C58" s="63">
        <f>SUM(C$43:C47)/$A58</f>
        <v>6</v>
      </c>
      <c r="D58" s="63">
        <f>SUM(D$43:D47)/$A58</f>
        <v>4</v>
      </c>
    </row>
    <row r="59" spans="1:4" x14ac:dyDescent="0.45">
      <c r="A59" s="59">
        <f t="shared" si="2"/>
        <v>6</v>
      </c>
      <c r="B59" s="62" t="s">
        <v>285</v>
      </c>
      <c r="C59" s="63">
        <f>SUM(C$43:C48)/$A59</f>
        <v>5.5</v>
      </c>
      <c r="D59" s="63">
        <f>SUM(D$43:D48)/$A59</f>
        <v>3.5</v>
      </c>
    </row>
    <row r="60" spans="1:4" x14ac:dyDescent="0.45">
      <c r="A60" s="59">
        <f t="shared" si="2"/>
        <v>2</v>
      </c>
      <c r="B60" s="62" t="s">
        <v>276</v>
      </c>
      <c r="C60" s="63">
        <f>SUM(C$44:C45)/$A60</f>
        <v>6.5</v>
      </c>
      <c r="D60" s="63">
        <f>SUM(D$44:D45)/$A60</f>
        <v>4.5</v>
      </c>
    </row>
    <row r="61" spans="1:4" x14ac:dyDescent="0.45">
      <c r="A61" s="59">
        <f t="shared" si="2"/>
        <v>3</v>
      </c>
      <c r="B61" s="62" t="s">
        <v>277</v>
      </c>
      <c r="C61" s="63">
        <f>SUM(C$44:C46)/$A61</f>
        <v>6</v>
      </c>
      <c r="D61" s="63">
        <f>SUM(D$44:D46)/$A61</f>
        <v>4</v>
      </c>
    </row>
    <row r="62" spans="1:4" x14ac:dyDescent="0.45">
      <c r="A62" s="59">
        <f t="shared" si="2"/>
        <v>4</v>
      </c>
      <c r="B62" s="62" t="s">
        <v>281</v>
      </c>
      <c r="C62" s="63">
        <f>SUM(C$44:C47)/$A62</f>
        <v>5.5</v>
      </c>
      <c r="D62" s="63">
        <f>SUM(D$44:D47)/$A62</f>
        <v>3.5</v>
      </c>
    </row>
    <row r="63" spans="1:4" x14ac:dyDescent="0.45">
      <c r="A63" s="59">
        <f t="shared" si="2"/>
        <v>5</v>
      </c>
      <c r="B63" s="62" t="s">
        <v>286</v>
      </c>
      <c r="C63" s="63">
        <f>SUM(C$44:C48)/$A63</f>
        <v>5</v>
      </c>
      <c r="D63" s="63">
        <f>SUM(D$44:D48)/$A63</f>
        <v>3</v>
      </c>
    </row>
    <row r="64" spans="1:4" x14ac:dyDescent="0.45">
      <c r="A64" s="59">
        <f t="shared" si="2"/>
        <v>2</v>
      </c>
      <c r="B64" s="62" t="s">
        <v>278</v>
      </c>
      <c r="C64" s="63">
        <f>SUM(C$45:C46)/$A64</f>
        <v>5.5</v>
      </c>
      <c r="D64" s="63">
        <f>SUM(D$45:D46)/$A64</f>
        <v>3.5</v>
      </c>
    </row>
    <row r="65" spans="1:4" x14ac:dyDescent="0.45">
      <c r="A65" s="59">
        <f t="shared" si="2"/>
        <v>3</v>
      </c>
      <c r="B65" s="62" t="s">
        <v>282</v>
      </c>
      <c r="C65" s="63">
        <f>SUM(C$45:C47)/$A65</f>
        <v>5</v>
      </c>
      <c r="D65" s="63">
        <f>SUM(D$45:D47)/$A65</f>
        <v>3</v>
      </c>
    </row>
    <row r="66" spans="1:4" x14ac:dyDescent="0.45">
      <c r="A66" s="59">
        <f t="shared" si="2"/>
        <v>4</v>
      </c>
      <c r="B66" s="62" t="s">
        <v>287</v>
      </c>
      <c r="C66" s="63">
        <f>SUM(C$45:C48)/$A66</f>
        <v>4.5</v>
      </c>
      <c r="D66" s="63">
        <f>SUM(D$45:D48)/$A66</f>
        <v>2.5</v>
      </c>
    </row>
    <row r="67" spans="1:4" x14ac:dyDescent="0.45">
      <c r="A67" s="59">
        <f t="shared" si="2"/>
        <v>2</v>
      </c>
      <c r="B67" s="62" t="s">
        <v>283</v>
      </c>
      <c r="C67" s="63">
        <f>SUM(C$46:C47)/$A67</f>
        <v>4.5</v>
      </c>
      <c r="D67" s="63">
        <f>SUM(D$46:D47)/$A67</f>
        <v>2.5</v>
      </c>
    </row>
    <row r="68" spans="1:4" x14ac:dyDescent="0.45">
      <c r="A68" s="59">
        <f>IFERROR(LEN(B68)-SEARCH("=",B68)+2,0)</f>
        <v>3</v>
      </c>
      <c r="B68" s="62" t="s">
        <v>288</v>
      </c>
      <c r="C68" s="63">
        <f>SUM(C$46:C48)/$A68</f>
        <v>4</v>
      </c>
      <c r="D68" s="63">
        <f>SUM(D$46:D48)/$A68</f>
        <v>2</v>
      </c>
    </row>
    <row r="69" spans="1:4" x14ac:dyDescent="0.45">
      <c r="A69" s="59">
        <f t="shared" si="2"/>
        <v>2</v>
      </c>
      <c r="B69" s="62" t="s">
        <v>289</v>
      </c>
      <c r="C69" s="63">
        <f>SUM(C$47:C48)/$A69</f>
        <v>3.5</v>
      </c>
      <c r="D69" s="63">
        <f>SUM(D$47:D48)/$A69</f>
        <v>1.5</v>
      </c>
    </row>
    <row r="71" spans="1:4" x14ac:dyDescent="0.45">
      <c r="B71" s="60">
        <v>8</v>
      </c>
      <c r="C71" s="61" t="s">
        <v>53</v>
      </c>
      <c r="D71" s="61" t="s">
        <v>54</v>
      </c>
    </row>
    <row r="72" spans="1:4" x14ac:dyDescent="0.45">
      <c r="A72" s="59">
        <v>1</v>
      </c>
      <c r="B72" s="62">
        <v>1</v>
      </c>
      <c r="C72" s="63">
        <v>11</v>
      </c>
      <c r="D72" s="63">
        <v>9</v>
      </c>
    </row>
    <row r="73" spans="1:4" x14ac:dyDescent="0.45">
      <c r="A73" s="59">
        <v>1</v>
      </c>
      <c r="B73" s="62">
        <v>2</v>
      </c>
      <c r="C73" s="63">
        <v>9</v>
      </c>
      <c r="D73" s="63">
        <v>7</v>
      </c>
    </row>
    <row r="74" spans="1:4" x14ac:dyDescent="0.45">
      <c r="A74" s="59">
        <v>1</v>
      </c>
      <c r="B74" s="62">
        <v>3</v>
      </c>
      <c r="C74" s="63">
        <v>8</v>
      </c>
      <c r="D74" s="63">
        <v>6</v>
      </c>
    </row>
    <row r="75" spans="1:4" x14ac:dyDescent="0.45">
      <c r="A75" s="59">
        <v>1</v>
      </c>
      <c r="B75" s="62">
        <v>4</v>
      </c>
      <c r="C75" s="63">
        <v>7</v>
      </c>
      <c r="D75" s="63">
        <v>5</v>
      </c>
    </row>
    <row r="76" spans="1:4" x14ac:dyDescent="0.45">
      <c r="A76" s="59">
        <v>1</v>
      </c>
      <c r="B76" s="62">
        <v>5</v>
      </c>
      <c r="C76" s="63">
        <v>6</v>
      </c>
      <c r="D76" s="63">
        <v>4</v>
      </c>
    </row>
    <row r="77" spans="1:4" x14ac:dyDescent="0.45">
      <c r="A77" s="59">
        <v>1</v>
      </c>
      <c r="B77" s="62">
        <v>6</v>
      </c>
      <c r="C77" s="63">
        <v>5</v>
      </c>
      <c r="D77" s="63">
        <v>3</v>
      </c>
    </row>
    <row r="78" spans="1:4" x14ac:dyDescent="0.45">
      <c r="A78" s="59">
        <v>1</v>
      </c>
      <c r="B78" s="62">
        <v>7</v>
      </c>
      <c r="C78" s="63">
        <v>4</v>
      </c>
      <c r="D78" s="63">
        <v>2</v>
      </c>
    </row>
    <row r="79" spans="1:4" x14ac:dyDescent="0.45">
      <c r="A79" s="59">
        <v>1</v>
      </c>
      <c r="B79" s="62">
        <v>8</v>
      </c>
      <c r="C79" s="63">
        <v>3</v>
      </c>
      <c r="D79" s="63">
        <v>1</v>
      </c>
    </row>
    <row r="80" spans="1:4" x14ac:dyDescent="0.45">
      <c r="A80" s="59">
        <f>IFERROR(LEN(B80)-SEARCH("=",B80)+2,0)</f>
        <v>2</v>
      </c>
      <c r="B80" s="62" t="s">
        <v>249</v>
      </c>
      <c r="C80" s="63">
        <f>SUM(C$72:C73)/$A80</f>
        <v>10</v>
      </c>
      <c r="D80" s="63">
        <f>SUM(D$72:D73)/$A80</f>
        <v>8</v>
      </c>
    </row>
    <row r="81" spans="1:4" x14ac:dyDescent="0.45">
      <c r="A81" s="59">
        <f t="shared" ref="A81:A107" si="3">IFERROR(LEN(B81)-SEARCH("=",B81)+2,0)</f>
        <v>3</v>
      </c>
      <c r="B81" s="62" t="s">
        <v>250</v>
      </c>
      <c r="C81" s="63">
        <f>SUM(C$72:C74)/$A81</f>
        <v>9.3333333333333339</v>
      </c>
      <c r="D81" s="63">
        <f>SUM(D$72:D74)/$A81</f>
        <v>7.333333333333333</v>
      </c>
    </row>
    <row r="82" spans="1:4" x14ac:dyDescent="0.45">
      <c r="A82" s="59">
        <f t="shared" si="3"/>
        <v>4</v>
      </c>
      <c r="B82" s="62" t="s">
        <v>251</v>
      </c>
      <c r="C82" s="63">
        <f>SUM(C$72:C75)/$A82</f>
        <v>8.75</v>
      </c>
      <c r="D82" s="63">
        <f>SUM(D$72:D75)/$A82</f>
        <v>6.75</v>
      </c>
    </row>
    <row r="83" spans="1:4" x14ac:dyDescent="0.45">
      <c r="A83" s="59">
        <f t="shared" si="3"/>
        <v>5</v>
      </c>
      <c r="B83" s="62" t="s">
        <v>252</v>
      </c>
      <c r="C83" s="63">
        <f>SUM(C$72:C76)/$A83</f>
        <v>8.1999999999999993</v>
      </c>
      <c r="D83" s="63">
        <f>SUM(D$72:D76)/$A83</f>
        <v>6.2</v>
      </c>
    </row>
    <row r="84" spans="1:4" x14ac:dyDescent="0.45">
      <c r="A84" s="59">
        <f t="shared" si="3"/>
        <v>6</v>
      </c>
      <c r="B84" s="62" t="s">
        <v>279</v>
      </c>
      <c r="C84" s="63">
        <f>SUM(C$72:C77)/$A84</f>
        <v>7.666666666666667</v>
      </c>
      <c r="D84" s="63">
        <f>SUM(D$72:D77)/$A84</f>
        <v>5.666666666666667</v>
      </c>
    </row>
    <row r="85" spans="1:4" x14ac:dyDescent="0.45">
      <c r="A85" s="59">
        <f t="shared" si="3"/>
        <v>7</v>
      </c>
      <c r="B85" s="62" t="s">
        <v>284</v>
      </c>
      <c r="C85" s="63">
        <f>SUM(C$72:C78)/$A85</f>
        <v>7.1428571428571432</v>
      </c>
      <c r="D85" s="63">
        <f>SUM(D$72:D78)/$A85</f>
        <v>5.1428571428571432</v>
      </c>
    </row>
    <row r="86" spans="1:4" x14ac:dyDescent="0.45">
      <c r="A86" s="59">
        <f t="shared" si="3"/>
        <v>8</v>
      </c>
      <c r="B86" s="62" t="s">
        <v>292</v>
      </c>
      <c r="C86" s="63">
        <f>SUM(C$72:C79)/$A86</f>
        <v>6.625</v>
      </c>
      <c r="D86" s="63">
        <f>SUM(D$72:D79)/$A86</f>
        <v>4.625</v>
      </c>
    </row>
    <row r="87" spans="1:4" x14ac:dyDescent="0.45">
      <c r="A87" s="59">
        <f t="shared" si="3"/>
        <v>2</v>
      </c>
      <c r="B87" s="62" t="s">
        <v>273</v>
      </c>
      <c r="C87" s="63">
        <f>SUM(C$73:C74)/$A87</f>
        <v>8.5</v>
      </c>
      <c r="D87" s="63">
        <f>SUM(D$73:D74)/$A87</f>
        <v>6.5</v>
      </c>
    </row>
    <row r="88" spans="1:4" x14ac:dyDescent="0.45">
      <c r="A88" s="59">
        <f t="shared" si="3"/>
        <v>3</v>
      </c>
      <c r="B88" s="62" t="s">
        <v>274</v>
      </c>
      <c r="C88" s="63">
        <f>SUM(C$73:C75)/$A88</f>
        <v>8</v>
      </c>
      <c r="D88" s="63">
        <f>SUM(D$73:D75)/$A88</f>
        <v>6</v>
      </c>
    </row>
    <row r="89" spans="1:4" x14ac:dyDescent="0.45">
      <c r="A89" s="59">
        <f t="shared" si="3"/>
        <v>4</v>
      </c>
      <c r="B89" s="62" t="s">
        <v>275</v>
      </c>
      <c r="C89" s="63">
        <f>SUM(C$73:C76)/$A89</f>
        <v>7.5</v>
      </c>
      <c r="D89" s="63">
        <f>SUM(D$73:D76)/$A89</f>
        <v>5.5</v>
      </c>
    </row>
    <row r="90" spans="1:4" x14ac:dyDescent="0.45">
      <c r="A90" s="59">
        <f t="shared" si="3"/>
        <v>5</v>
      </c>
      <c r="B90" s="62" t="s">
        <v>280</v>
      </c>
      <c r="C90" s="63">
        <f>SUM(C$73:C77)/$A90</f>
        <v>7</v>
      </c>
      <c r="D90" s="63">
        <f>SUM(D$73:D77)/$A90</f>
        <v>5</v>
      </c>
    </row>
    <row r="91" spans="1:4" x14ac:dyDescent="0.45">
      <c r="A91" s="59">
        <f t="shared" si="3"/>
        <v>6</v>
      </c>
      <c r="B91" s="62" t="s">
        <v>285</v>
      </c>
      <c r="C91" s="63">
        <f>SUM(C$73:C78)/$A91</f>
        <v>6.5</v>
      </c>
      <c r="D91" s="63">
        <f>SUM(D$73:D78)/$A91</f>
        <v>4.5</v>
      </c>
    </row>
    <row r="92" spans="1:4" x14ac:dyDescent="0.45">
      <c r="A92" s="59">
        <f t="shared" si="3"/>
        <v>7</v>
      </c>
      <c r="B92" s="62" t="s">
        <v>293</v>
      </c>
      <c r="C92" s="63">
        <f>SUM(C$73:C79)/$A92</f>
        <v>6</v>
      </c>
      <c r="D92" s="63">
        <f>SUM(D$73:D79)/$A92</f>
        <v>4</v>
      </c>
    </row>
    <row r="93" spans="1:4" x14ac:dyDescent="0.45">
      <c r="A93" s="59">
        <f t="shared" si="3"/>
        <v>2</v>
      </c>
      <c r="B93" s="62" t="s">
        <v>276</v>
      </c>
      <c r="C93" s="63">
        <f>SUM(C$74:C75)/$A93</f>
        <v>7.5</v>
      </c>
      <c r="D93" s="63">
        <f>SUM(D$74:D75)/$A93</f>
        <v>5.5</v>
      </c>
    </row>
    <row r="94" spans="1:4" x14ac:dyDescent="0.45">
      <c r="A94" s="59">
        <f t="shared" si="3"/>
        <v>3</v>
      </c>
      <c r="B94" s="62" t="s">
        <v>277</v>
      </c>
      <c r="C94" s="63">
        <f>SUM(C$74:C76)/$A94</f>
        <v>7</v>
      </c>
      <c r="D94" s="63">
        <f>SUM(D$74:D76)/$A94</f>
        <v>5</v>
      </c>
    </row>
    <row r="95" spans="1:4" x14ac:dyDescent="0.45">
      <c r="A95" s="59">
        <f t="shared" si="3"/>
        <v>4</v>
      </c>
      <c r="B95" s="62" t="s">
        <v>281</v>
      </c>
      <c r="C95" s="63">
        <f>SUM(C$74:C77)/$A95</f>
        <v>6.5</v>
      </c>
      <c r="D95" s="63">
        <f>SUM(D$74:D77)/$A95</f>
        <v>4.5</v>
      </c>
    </row>
    <row r="96" spans="1:4" x14ac:dyDescent="0.45">
      <c r="A96" s="59">
        <f t="shared" si="3"/>
        <v>5</v>
      </c>
      <c r="B96" s="62" t="s">
        <v>286</v>
      </c>
      <c r="C96" s="63">
        <f>SUM(C$74:C78)/$A96</f>
        <v>6</v>
      </c>
      <c r="D96" s="63">
        <f>SUM(D$74:D78)/$A96</f>
        <v>4</v>
      </c>
    </row>
    <row r="97" spans="1:4" x14ac:dyDescent="0.45">
      <c r="A97" s="59">
        <f t="shared" si="3"/>
        <v>6</v>
      </c>
      <c r="B97" s="62" t="s">
        <v>294</v>
      </c>
      <c r="C97" s="63">
        <f>SUM(C$74:C79)/$A97</f>
        <v>5.5</v>
      </c>
      <c r="D97" s="63">
        <f>SUM(D$74:D79)/$A97</f>
        <v>3.5</v>
      </c>
    </row>
    <row r="98" spans="1:4" x14ac:dyDescent="0.45">
      <c r="A98" s="59">
        <f t="shared" si="3"/>
        <v>2</v>
      </c>
      <c r="B98" s="62" t="s">
        <v>278</v>
      </c>
      <c r="C98" s="63">
        <f>SUM(C$75:C76)/$A98</f>
        <v>6.5</v>
      </c>
      <c r="D98" s="63">
        <f>SUM(D$75:D76)/$A98</f>
        <v>4.5</v>
      </c>
    </row>
    <row r="99" spans="1:4" x14ac:dyDescent="0.45">
      <c r="A99" s="59">
        <f t="shared" si="3"/>
        <v>3</v>
      </c>
      <c r="B99" s="62" t="s">
        <v>282</v>
      </c>
      <c r="C99" s="63">
        <f>SUM(C$75:C77)/$A99</f>
        <v>6</v>
      </c>
      <c r="D99" s="63">
        <f>SUM(D$75:D77)/$A99</f>
        <v>4</v>
      </c>
    </row>
    <row r="100" spans="1:4" x14ac:dyDescent="0.45">
      <c r="A100" s="59">
        <f t="shared" si="3"/>
        <v>4</v>
      </c>
      <c r="B100" s="62" t="s">
        <v>287</v>
      </c>
      <c r="C100" s="63">
        <f>SUM(C$75:C78)/$A100</f>
        <v>5.5</v>
      </c>
      <c r="D100" s="63">
        <f>SUM(D$75:D78)/$A100</f>
        <v>3.5</v>
      </c>
    </row>
    <row r="101" spans="1:4" x14ac:dyDescent="0.45">
      <c r="A101" s="59">
        <f t="shared" si="3"/>
        <v>5</v>
      </c>
      <c r="B101" s="62" t="s">
        <v>295</v>
      </c>
      <c r="C101" s="63">
        <f>SUM(C$75:C79)/$A101</f>
        <v>5</v>
      </c>
      <c r="D101" s="63">
        <f>SUM(D$75:D79)/$A101</f>
        <v>3</v>
      </c>
    </row>
    <row r="102" spans="1:4" x14ac:dyDescent="0.45">
      <c r="A102" s="59">
        <f t="shared" si="3"/>
        <v>2</v>
      </c>
      <c r="B102" s="62" t="s">
        <v>283</v>
      </c>
      <c r="C102" s="63">
        <f>SUM(C$76:C77)/$A102</f>
        <v>5.5</v>
      </c>
      <c r="D102" s="63">
        <f>SUM(D$76:D77)/$A102</f>
        <v>3.5</v>
      </c>
    </row>
    <row r="103" spans="1:4" x14ac:dyDescent="0.45">
      <c r="A103" s="59">
        <f t="shared" si="3"/>
        <v>3</v>
      </c>
      <c r="B103" s="62" t="s">
        <v>288</v>
      </c>
      <c r="C103" s="63">
        <f>SUM(C$76:C78)/$A103</f>
        <v>5</v>
      </c>
      <c r="D103" s="63">
        <f>SUM(D$76:D78)/$A103</f>
        <v>3</v>
      </c>
    </row>
    <row r="104" spans="1:4" x14ac:dyDescent="0.45">
      <c r="A104" s="59">
        <f t="shared" si="3"/>
        <v>4</v>
      </c>
      <c r="B104" s="62" t="s">
        <v>296</v>
      </c>
      <c r="C104" s="63">
        <f>SUM(C$76:C79)/$A104</f>
        <v>4.5</v>
      </c>
      <c r="D104" s="63">
        <f>SUM(D$76:D79)/$A104</f>
        <v>2.5</v>
      </c>
    </row>
    <row r="105" spans="1:4" x14ac:dyDescent="0.45">
      <c r="A105" s="59">
        <f t="shared" si="3"/>
        <v>2</v>
      </c>
      <c r="B105" s="62" t="s">
        <v>289</v>
      </c>
      <c r="C105" s="63">
        <f>SUM(C$77:C78)/$A105</f>
        <v>4.5</v>
      </c>
      <c r="D105" s="63">
        <f>SUM(D$77:D78)/$A105</f>
        <v>2.5</v>
      </c>
    </row>
    <row r="106" spans="1:4" x14ac:dyDescent="0.45">
      <c r="A106" s="59">
        <f t="shared" si="3"/>
        <v>3</v>
      </c>
      <c r="B106" s="62" t="s">
        <v>290</v>
      </c>
      <c r="C106" s="63">
        <f>SUM(C$77:C79)/$A106</f>
        <v>4</v>
      </c>
      <c r="D106" s="63">
        <f>SUM(D$77:D79)/$A106</f>
        <v>2</v>
      </c>
    </row>
    <row r="107" spans="1:4" x14ac:dyDescent="0.45">
      <c r="A107" s="59">
        <f t="shared" si="3"/>
        <v>2</v>
      </c>
      <c r="B107" s="62" t="s">
        <v>291</v>
      </c>
      <c r="C107" s="63">
        <f>SUM(C$78:C79)/$A107</f>
        <v>3.5</v>
      </c>
      <c r="D107" s="63">
        <f>SUM(D$78:D79)/$A107</f>
        <v>1.5</v>
      </c>
    </row>
  </sheetData>
  <sheetProtection algorithmName="SHA-512" hashValue="urusTm7tGD3Me/LhSU9CPq2sPoejhqI9mPVn2jAYpnC7UCy6ifRt4LKsxrwGsO9FcbOvej+FfzEA5fX81d1M9w==" saltValue="vkLW+mvQHd4qyTg6SpoGsA==" spinCount="100000" sheet="1" objects="1" scenarios="1" formatCells="0" formatColumns="0" formatRows="0" sort="0" autoFilter="0"/>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theme="9" tint="-0.249977111117893"/>
    <pageSetUpPr fitToPage="1"/>
  </sheetPr>
  <dimension ref="A3:AG514"/>
  <sheetViews>
    <sheetView showZeros="0" view="pageBreakPreview" topLeftCell="D1" zoomScaleNormal="100" zoomScaleSheetLayoutView="100" workbookViewId="0">
      <selection activeCell="AH3" sqref="AH3"/>
    </sheetView>
  </sheetViews>
  <sheetFormatPr defaultColWidth="8.86328125" defaultRowHeight="14.25" x14ac:dyDescent="0.45"/>
  <cols>
    <col min="1" max="1" width="5.86328125" style="105" hidden="1" customWidth="1"/>
    <col min="2" max="2" width="5.86328125" style="106" hidden="1" customWidth="1"/>
    <col min="3" max="3" width="5.86328125" style="105" hidden="1" customWidth="1"/>
    <col min="4" max="4" width="4.86328125" style="105" customWidth="1"/>
    <col min="5" max="5" width="3.86328125" style="105" customWidth="1"/>
    <col min="6" max="6" width="22.73046875" style="105" customWidth="1"/>
    <col min="7" max="7" width="12.73046875" style="105" customWidth="1"/>
    <col min="8" max="8" width="4.86328125" style="105" customWidth="1"/>
    <col min="9" max="9" width="3.86328125" style="105" customWidth="1"/>
    <col min="10" max="10" width="4.86328125" style="105" customWidth="1"/>
    <col min="11" max="11" width="3.86328125" style="105" customWidth="1"/>
    <col min="12" max="12" width="4.86328125" style="105" customWidth="1"/>
    <col min="13" max="13" width="3.86328125" style="105" customWidth="1"/>
    <col min="14" max="14" width="4.86328125" style="105" customWidth="1"/>
    <col min="15" max="15" width="3.86328125" style="105" customWidth="1"/>
    <col min="16" max="17" width="4.86328125" style="105" customWidth="1"/>
    <col min="18" max="18" width="3.86328125" style="105" customWidth="1"/>
    <col min="19" max="19" width="4.86328125" style="105" customWidth="1"/>
    <col min="20" max="20" width="3.86328125" style="105" customWidth="1"/>
    <col min="21" max="21" width="4.86328125" style="105" customWidth="1"/>
    <col min="22" max="22" width="3.86328125" style="105" customWidth="1"/>
    <col min="23" max="23" width="4.86328125" style="105" customWidth="1"/>
    <col min="24" max="24" width="3.86328125" style="105" customWidth="1"/>
    <col min="25" max="28" width="4.86328125" style="105" customWidth="1"/>
    <col min="29" max="29" width="8.86328125" style="105" customWidth="1"/>
    <col min="30" max="33" width="8.86328125" style="105" hidden="1" customWidth="1"/>
    <col min="34" max="35" width="8.86328125" style="105" customWidth="1"/>
    <col min="36" max="16384" width="8.86328125" style="105"/>
  </cols>
  <sheetData>
    <row r="3" spans="1:33" s="4" customFormat="1" ht="21" x14ac:dyDescent="0.45">
      <c r="A3" s="2" t="str">
        <f>MatchDay!$U$6</f>
        <v>X</v>
      </c>
      <c r="B3" s="8"/>
      <c r="C3" s="3"/>
      <c r="D3" s="502" t="s">
        <v>186</v>
      </c>
      <c r="E3" s="503"/>
      <c r="F3" s="503"/>
      <c r="G3" s="503"/>
      <c r="H3" s="503"/>
      <c r="I3" s="503"/>
      <c r="J3" s="503"/>
      <c r="K3" s="515" t="s">
        <v>187</v>
      </c>
      <c r="L3" s="516"/>
      <c r="M3" s="516"/>
      <c r="N3" s="517"/>
      <c r="O3" s="518" t="str">
        <f>MatchDay!$C$2&amp;" "&amp;MatchDay!$C$3&amp;" "&amp;MatchDay!$C$4</f>
        <v>LOWER NORTH East 1</v>
      </c>
      <c r="P3" s="519"/>
      <c r="Q3" s="519"/>
      <c r="R3" s="519"/>
      <c r="S3" s="519"/>
      <c r="T3" s="519"/>
      <c r="U3" s="519"/>
      <c r="V3" s="519"/>
      <c r="W3" s="519"/>
      <c r="X3" s="519"/>
      <c r="Y3" s="519"/>
      <c r="Z3" s="519"/>
      <c r="AA3" s="519"/>
      <c r="AB3" s="520"/>
    </row>
    <row r="4" spans="1:33" s="4" customFormat="1" ht="15.75" customHeight="1" x14ac:dyDescent="0.45">
      <c r="A4" s="1" t="str">
        <f>IFERROR(IF(LEFT(MatchDay!$C$2,1)="L","L"&amp;A6,"U"&amp;A6),"")</f>
        <v>LFD01</v>
      </c>
      <c r="B4" s="10">
        <v>27</v>
      </c>
      <c r="C4" s="3"/>
      <c r="D4" s="512" t="s">
        <v>188</v>
      </c>
      <c r="E4" s="514"/>
      <c r="F4" s="513" t="str">
        <f>IFERROR(UPPER(VLOOKUP(A5,teamlookup,6,FALSE)),"")</f>
        <v/>
      </c>
      <c r="G4" s="514"/>
      <c r="H4" s="504" t="s">
        <v>201</v>
      </c>
      <c r="I4" s="510"/>
      <c r="J4" s="505"/>
      <c r="K4" s="512" t="str">
        <f>MatchDay!$C$8</f>
        <v>@ Doncaster</v>
      </c>
      <c r="L4" s="513"/>
      <c r="M4" s="513"/>
      <c r="N4" s="513"/>
      <c r="O4" s="513"/>
      <c r="P4" s="514"/>
      <c r="Q4" s="504" t="s">
        <v>160</v>
      </c>
      <c r="R4" s="505"/>
      <c r="S4" s="521">
        <f>MatchDay!$C$7</f>
        <v>43582</v>
      </c>
      <c r="T4" s="522"/>
      <c r="U4" s="522"/>
      <c r="V4" s="522"/>
      <c r="W4" s="522"/>
      <c r="X4" s="523"/>
      <c r="Y4" s="526" t="str">
        <f>IFERROR(IF(LEFT(A4,1)="L","",VLOOKUP(A4,AAA!$A:$I,8,FALSE)),"")</f>
        <v/>
      </c>
      <c r="Z4" s="527"/>
      <c r="AA4" s="524" t="str">
        <f>IFERROR(IF(LEFT(A4,1)="L","",VLOOKUP(A4,standards,9,FALSE)),"")</f>
        <v/>
      </c>
      <c r="AB4" s="525"/>
      <c r="AC4" s="6"/>
      <c r="AD4" s="6"/>
    </row>
    <row r="5" spans="1:33" s="4" customFormat="1" ht="15.75" customHeight="1" x14ac:dyDescent="0.45">
      <c r="A5" s="5">
        <f>IFERROR(IF(A3=1,VLOOKUP(A4,judges,VLOOKUP(MatchDay!$U$2*10+MatchDay!$C$5,judgesp,5,FALSE),FALSE),VLOOKUP(Distance!A4,judges,VLOOKUP(MatchDay!$U$2*10+MatchDay!$C$5,judges2,5,FALSE),FALSE)),"")</f>
        <v>0</v>
      </c>
      <c r="B5" s="181">
        <f>IFERROR(VLOOKUP(A4,Timetables!$A:$E,5,FALSE)-1,"")</f>
        <v>65</v>
      </c>
      <c r="C5" s="3"/>
      <c r="D5" s="504" t="s">
        <v>161</v>
      </c>
      <c r="E5" s="505"/>
      <c r="F5" s="508" t="str">
        <f>IFERROR(VLOOKUP(A4,timetables,2,FALSE)&amp;" "&amp;VLOOKUP(A4,timetables,3,FALSE),"")</f>
        <v>Hammer U15 Boys</v>
      </c>
      <c r="G5" s="509"/>
      <c r="H5" s="504" t="s">
        <v>162</v>
      </c>
      <c r="I5" s="510"/>
      <c r="J5" s="505"/>
      <c r="K5" s="511">
        <f>IFERROR(IF(A3=1,VLOOKUP(A4,Timetables!$A:$G,6,FALSE),VLOOKUP(A4,Timetables!$A:$G,7,FALSE)),"")</f>
        <v>0.47916666666666669</v>
      </c>
      <c r="L5" s="511" t="e">
        <v>#N/A</v>
      </c>
      <c r="M5" s="504" t="s">
        <v>202</v>
      </c>
      <c r="N5" s="505"/>
      <c r="O5" s="506" t="str">
        <f>IFERROR(VLOOKUP(A4,records,3,FALSE)&amp;", "&amp;VLOOKUP(A4,records,4,FALSE)&amp;", "&amp;VLOOKUP(A4,records,5,FALSE)&amp;", "&amp;VLOOKUP(A4,records,6,FALSE)&amp;", "&amp;VLOOKUP(A4,records,7,FALSE)&amp;" "&amp;VLOOKUP(A4,records,8,FALSE),"")</f>
        <v>Jake Norris, Windsor Slough Eton &amp; Hounslow, 59.79, Eton, July 13th 2013</v>
      </c>
      <c r="P5" s="506"/>
      <c r="Q5" s="506"/>
      <c r="R5" s="506"/>
      <c r="S5" s="506"/>
      <c r="T5" s="506"/>
      <c r="U5" s="506"/>
      <c r="V5" s="506"/>
      <c r="W5" s="506"/>
      <c r="X5" s="506"/>
      <c r="Y5" s="506"/>
      <c r="Z5" s="506"/>
      <c r="AA5" s="506"/>
      <c r="AB5" s="507"/>
    </row>
    <row r="6" spans="1:33" s="4" customFormat="1" ht="32.1" customHeight="1" x14ac:dyDescent="0.45">
      <c r="A6" s="5" t="s">
        <v>256</v>
      </c>
      <c r="B6" s="10" t="str">
        <f>IFERROR(VLOOKUP($A6,fdistance,2,FALSE),"")</f>
        <v>F</v>
      </c>
      <c r="C6" s="10">
        <f>IFERROR(VLOOKUP($A6,fdistance,3,FALSE),"")</f>
        <v>4</v>
      </c>
      <c r="D6" s="31" t="s">
        <v>163</v>
      </c>
      <c r="E6" s="13" t="s">
        <v>164</v>
      </c>
      <c r="F6" s="13" t="s">
        <v>165</v>
      </c>
      <c r="G6" s="14" t="s">
        <v>166</v>
      </c>
      <c r="H6" s="532" t="s">
        <v>167</v>
      </c>
      <c r="I6" s="534"/>
      <c r="J6" s="534" t="s">
        <v>168</v>
      </c>
      <c r="K6" s="534"/>
      <c r="L6" s="534" t="s">
        <v>169</v>
      </c>
      <c r="M6" s="534"/>
      <c r="N6" s="534" t="s">
        <v>170</v>
      </c>
      <c r="O6" s="534"/>
      <c r="P6" s="535" t="s">
        <v>171</v>
      </c>
      <c r="Q6" s="534" t="s">
        <v>172</v>
      </c>
      <c r="R6" s="534"/>
      <c r="S6" s="534" t="s">
        <v>173</v>
      </c>
      <c r="T6" s="534"/>
      <c r="U6" s="534" t="s">
        <v>174</v>
      </c>
      <c r="V6" s="534"/>
      <c r="W6" s="537" t="s">
        <v>175</v>
      </c>
      <c r="X6" s="538"/>
      <c r="Y6" s="528" t="s">
        <v>176</v>
      </c>
      <c r="Z6" s="530" t="s">
        <v>177</v>
      </c>
      <c r="AA6" s="531"/>
      <c r="AB6" s="532"/>
    </row>
    <row r="7" spans="1:33" s="4" customFormat="1" ht="11.65" x14ac:dyDescent="0.35">
      <c r="A7" s="137">
        <f>IFERROR(SEARCH("U17",F5),0)</f>
        <v>0</v>
      </c>
      <c r="B7" s="7" t="s">
        <v>53</v>
      </c>
      <c r="C7" s="7" t="s">
        <v>54</v>
      </c>
      <c r="D7" s="56"/>
      <c r="E7" s="56"/>
      <c r="F7" s="15"/>
      <c r="G7" s="16"/>
      <c r="H7" s="514" t="s">
        <v>178</v>
      </c>
      <c r="I7" s="533"/>
      <c r="J7" s="533" t="s">
        <v>178</v>
      </c>
      <c r="K7" s="533"/>
      <c r="L7" s="533" t="s">
        <v>178</v>
      </c>
      <c r="M7" s="533"/>
      <c r="N7" s="533" t="s">
        <v>178</v>
      </c>
      <c r="O7" s="533"/>
      <c r="P7" s="536"/>
      <c r="Q7" s="533" t="s">
        <v>178</v>
      </c>
      <c r="R7" s="533"/>
      <c r="S7" s="533" t="s">
        <v>178</v>
      </c>
      <c r="T7" s="533"/>
      <c r="U7" s="533" t="s">
        <v>178</v>
      </c>
      <c r="V7" s="533"/>
      <c r="W7" s="533" t="s">
        <v>178</v>
      </c>
      <c r="X7" s="512"/>
      <c r="Y7" s="529"/>
      <c r="Z7" s="55"/>
      <c r="AA7" s="55" t="s">
        <v>53</v>
      </c>
      <c r="AB7" s="55" t="s">
        <v>54</v>
      </c>
    </row>
    <row r="8" spans="1:33" s="4" customFormat="1" ht="15.95" customHeight="1" x14ac:dyDescent="0.35">
      <c r="A8" s="8">
        <f>IFERROR(IF(D8&gt;MatchDay!$U$2,"-",VLOOKUP(A4,timetables,MatchDay!$U$4,FALSE)),0)</f>
        <v>4</v>
      </c>
      <c r="B8" s="7">
        <f ca="1">AA8</f>
        <v>3</v>
      </c>
      <c r="C8" s="7" t="str">
        <f ca="1">AB8</f>
        <v/>
      </c>
      <c r="D8" s="56">
        <v>1</v>
      </c>
      <c r="E8" s="17">
        <f>A8</f>
        <v>4</v>
      </c>
      <c r="F8" s="18" t="str">
        <f ca="1">IFERROR(IF(A7=0,HLOOKUP(E8,Declarations!$D$2:$S$102,B5,FALSE),HLOOKUP(VLOOKUP(E8,Teams!$V$2:$W$19,2,FALSE),Declarations!$D$2:$S$102,B5,FALSE)),"")</f>
        <v>BELL Callum</v>
      </c>
      <c r="G8" s="18" t="str">
        <f t="shared" ref="G8:G23" si="0">IFERROR(VLOOKUP(E8,teamlookup,5,FALSE),"-")</f>
        <v>M'bro</v>
      </c>
      <c r="H8" s="524">
        <f ca="1">IFERROR(INDIRECT(CONCATENATE("'Distance Input'!"&amp;B6&amp;C6)),"")</f>
        <v>11.39</v>
      </c>
      <c r="I8" s="525"/>
      <c r="J8" s="524">
        <v>0</v>
      </c>
      <c r="K8" s="525"/>
      <c r="L8" s="524">
        <v>0</v>
      </c>
      <c r="M8" s="525"/>
      <c r="N8" s="539">
        <f ca="1">H8</f>
        <v>11.39</v>
      </c>
      <c r="O8" s="540"/>
      <c r="P8" s="55">
        <v>0</v>
      </c>
      <c r="Q8" s="541">
        <v>0</v>
      </c>
      <c r="R8" s="541"/>
      <c r="S8" s="541">
        <v>0</v>
      </c>
      <c r="T8" s="541"/>
      <c r="U8" s="541">
        <v>0</v>
      </c>
      <c r="V8" s="541"/>
      <c r="W8" s="524">
        <f ca="1">N8</f>
        <v>11.39</v>
      </c>
      <c r="X8" s="525"/>
      <c r="Y8" s="55">
        <f ca="1">IF(OR(W8="",W8=0),0,IF(W8="X",MatchDay!$U$2+MatchDay!$U$2+1-COUNTIF(Distance!W8:W8,"X"),RANK(W8,$W8:$X23,0)))</f>
        <v>4</v>
      </c>
      <c r="Z8" s="19" t="str">
        <f ca="1">IFERROR(IF(Y8=0,0,IF(OR(VLOOKUP(AG8,E16:Y23,21,FALSE)=0,Y8&lt;=VLOOKUP(AG8,E16:Y23,21,FALSE)),"A","B")),"")</f>
        <v>A</v>
      </c>
      <c r="AA8" s="19">
        <f ca="1">IFERROR(IF(Z8="B","",RANK(AD8,AD8:AD23,1)),"")</f>
        <v>3</v>
      </c>
      <c r="AB8" s="19" t="str">
        <f ca="1">IFERROR(IF(Z8="A","",RANK(AE8,AE8:AE23,1)),"")</f>
        <v/>
      </c>
      <c r="AC8" s="8"/>
      <c r="AD8" s="9">
        <f ca="1">IF(OR(W8=0,Y8=0,Z8="B"),"",Y8)</f>
        <v>4</v>
      </c>
      <c r="AE8" s="9" t="str">
        <f ca="1">IF(OR(W8=0,Y8=0,Z8="A"),"",Y8)</f>
        <v/>
      </c>
      <c r="AF8" s="9" t="s">
        <v>179</v>
      </c>
      <c r="AG8" s="4">
        <f>IFERROR(IF(A7=0,E8*11,E8&amp;E8),"")</f>
        <v>44</v>
      </c>
    </row>
    <row r="9" spans="1:33" s="4" customFormat="1" ht="15.95" customHeight="1" x14ac:dyDescent="0.35">
      <c r="A9" s="8">
        <f>IFERROR(IF(D9&gt;MatchDay!$U$2,"-",VLOOKUP(A4,timetables,MatchDay!$U$4+1,FALSE)),0)</f>
        <v>5</v>
      </c>
      <c r="B9" s="7" t="str">
        <f t="shared" ref="B9:B23" ca="1" si="1">AA9</f>
        <v/>
      </c>
      <c r="C9" s="7" t="str">
        <f t="shared" ref="C9:C23" ca="1" si="2">AB9</f>
        <v/>
      </c>
      <c r="D9" s="55">
        <v>2</v>
      </c>
      <c r="E9" s="17">
        <f t="shared" ref="E9:E23" si="3">A9</f>
        <v>5</v>
      </c>
      <c r="F9" s="18" t="str">
        <f ca="1">IFERROR(IF(A7=0,HLOOKUP(E9,Declarations!$D$2:$S$102,B5,FALSE),HLOOKUP(VLOOKUP(E9,Teams!$V$2:$W$19,2,FALSE),Declarations!$D$2:$S$102,B5,FALSE)),"")</f>
        <v>-</v>
      </c>
      <c r="G9" s="18" t="str">
        <f t="shared" si="0"/>
        <v>Scun</v>
      </c>
      <c r="H9" s="524">
        <f ca="1">IFERROR(INDIRECT(CONCATENATE("'Distance Input'!"&amp;B6&amp;C6+1)),"")</f>
        <v>0</v>
      </c>
      <c r="I9" s="525"/>
      <c r="J9" s="524">
        <v>0</v>
      </c>
      <c r="K9" s="525"/>
      <c r="L9" s="524">
        <v>0</v>
      </c>
      <c r="M9" s="525"/>
      <c r="N9" s="539">
        <f t="shared" ref="N9:N23" ca="1" si="4">H9</f>
        <v>0</v>
      </c>
      <c r="O9" s="540"/>
      <c r="P9" s="55">
        <v>0</v>
      </c>
      <c r="Q9" s="541">
        <v>0</v>
      </c>
      <c r="R9" s="541"/>
      <c r="S9" s="541">
        <v>0</v>
      </c>
      <c r="T9" s="541"/>
      <c r="U9" s="541">
        <v>0</v>
      </c>
      <c r="V9" s="541"/>
      <c r="W9" s="524">
        <f t="shared" ref="W9:W23" ca="1" si="5">N9</f>
        <v>0</v>
      </c>
      <c r="X9" s="525"/>
      <c r="Y9" s="55">
        <f ca="1">IF(OR(W9="",W9=0),0,IF(W9="X",MatchDay!$U$2+MatchDay!$U$2+1-COUNTIF(Distance!W8:W9,"X"),RANK(W9,$W8:$X23,0)))</f>
        <v>0</v>
      </c>
      <c r="Z9" s="19">
        <f ca="1">IFERROR(IF(Y9=0,0,IF(OR(VLOOKUP(AG9,E16:Y23,21,FALSE)=0,Y9&lt;=VLOOKUP(AG9,E16:Y23,21,FALSE)),"A","B")),"")</f>
        <v>0</v>
      </c>
      <c r="AA9" s="19" t="str">
        <f ca="1">IFERROR(IF(Z9="B","",RANK(AD9,AD8:AD23,1)),"")</f>
        <v/>
      </c>
      <c r="AB9" s="19" t="str">
        <f ca="1">IFERROR(IF(Z9="A","",RANK(AE9,AE8:AE23,1)),"")</f>
        <v/>
      </c>
      <c r="AC9" s="8"/>
      <c r="AD9" s="9" t="str">
        <f t="shared" ref="AD9:AD23" ca="1" si="6">IF(OR(W9=0,Y9=0,Z9="B"),"",Y9)</f>
        <v/>
      </c>
      <c r="AE9" s="9" t="str">
        <f t="shared" ref="AE9:AE23" ca="1" si="7">IF(OR(W9=0,Y9=0,Z9="A"),"",Y9)</f>
        <v/>
      </c>
      <c r="AF9" s="9" t="s">
        <v>179</v>
      </c>
      <c r="AG9" s="4">
        <f>IFERROR(IF(A7=0,E9*11,E9&amp;E9),"")</f>
        <v>55</v>
      </c>
    </row>
    <row r="10" spans="1:33" s="4" customFormat="1" ht="15.95" customHeight="1" x14ac:dyDescent="0.35">
      <c r="A10" s="8">
        <f>IFERROR(IF(D10&gt;MatchDay!$U$2,"-",VLOOKUP(A4,timetables,MatchDay!$U$4+2,FALSE)),0)</f>
        <v>1</v>
      </c>
      <c r="B10" s="7">
        <f t="shared" ca="1" si="1"/>
        <v>2</v>
      </c>
      <c r="C10" s="7" t="str">
        <f t="shared" ca="1" si="2"/>
        <v/>
      </c>
      <c r="D10" s="55">
        <v>3</v>
      </c>
      <c r="E10" s="17">
        <f t="shared" si="3"/>
        <v>1</v>
      </c>
      <c r="F10" s="18" t="str">
        <f ca="1">IFERROR(IF(A7=0,HLOOKUP(E10,Declarations!$D$2:$S$102,B5,FALSE),HLOOKUP(VLOOKUP(E10,Teams!$V$2:$W$19,2,FALSE),Declarations!$D$2:$S$102,B5,FALSE)),"")</f>
        <v>PEERS-WAIN Jacob</v>
      </c>
      <c r="G10" s="18" t="str">
        <f t="shared" si="0"/>
        <v>C'field</v>
      </c>
      <c r="H10" s="524">
        <f ca="1">IFERROR(INDIRECT(CONCATENATE("'Distance Input'!"&amp;B6&amp;C6+2)),"")</f>
        <v>11.92</v>
      </c>
      <c r="I10" s="525"/>
      <c r="J10" s="524">
        <v>0</v>
      </c>
      <c r="K10" s="525"/>
      <c r="L10" s="524">
        <v>0</v>
      </c>
      <c r="M10" s="525"/>
      <c r="N10" s="539">
        <f t="shared" ca="1" si="4"/>
        <v>11.92</v>
      </c>
      <c r="O10" s="540"/>
      <c r="P10" s="55">
        <v>0</v>
      </c>
      <c r="Q10" s="541">
        <v>0</v>
      </c>
      <c r="R10" s="541"/>
      <c r="S10" s="541">
        <v>0</v>
      </c>
      <c r="T10" s="541"/>
      <c r="U10" s="541">
        <v>0</v>
      </c>
      <c r="V10" s="541"/>
      <c r="W10" s="524">
        <f t="shared" ca="1" si="5"/>
        <v>11.92</v>
      </c>
      <c r="X10" s="525"/>
      <c r="Y10" s="55">
        <f ca="1">IF(OR(W10="",W10=0),0,IF(W10="X",MatchDay!$U$2+MatchDay!$U$2+1-COUNTIF(Distance!W8:W10,"X"),RANK(W10,$W8:$X23,0)))</f>
        <v>3</v>
      </c>
      <c r="Z10" s="19" t="str">
        <f ca="1">IFERROR(IF(Y10=0,0,IF(OR(VLOOKUP(AG10,E16:Y23,21,FALSE)=0,Y10&lt;=VLOOKUP(AG10,E16:Y23,21,FALSE)),"A","B")),"")</f>
        <v>A</v>
      </c>
      <c r="AA10" s="19">
        <f ca="1">IFERROR(IF(Z10="B","",RANK(AD10,AD8:AD23,1)),"")</f>
        <v>2</v>
      </c>
      <c r="AB10" s="19" t="str">
        <f ca="1">IFERROR(IF(Z10="A","",RANK(AE10,AE8:AE23,1)),"")</f>
        <v/>
      </c>
      <c r="AD10" s="9">
        <f t="shared" ca="1" si="6"/>
        <v>3</v>
      </c>
      <c r="AE10" s="9" t="str">
        <f t="shared" ca="1" si="7"/>
        <v/>
      </c>
      <c r="AF10" s="9" t="s">
        <v>179</v>
      </c>
      <c r="AG10" s="4">
        <f>IFERROR(IF(A7=0,E10*11,E10&amp;E10),"")</f>
        <v>11</v>
      </c>
    </row>
    <row r="11" spans="1:33" s="4" customFormat="1" ht="15.95" customHeight="1" x14ac:dyDescent="0.35">
      <c r="A11" s="8">
        <f>IFERROR(IF(D11&gt;MatchDay!$U$2,"-",VLOOKUP(A4,timetables,MatchDay!$U$4+3,FALSE)),0)</f>
        <v>3</v>
      </c>
      <c r="B11" s="7" t="str">
        <f t="shared" ca="1" si="1"/>
        <v/>
      </c>
      <c r="C11" s="7">
        <f t="shared" ca="1" si="2"/>
        <v>1</v>
      </c>
      <c r="D11" s="55">
        <v>4</v>
      </c>
      <c r="E11" s="17">
        <f t="shared" si="3"/>
        <v>3</v>
      </c>
      <c r="F11" s="18" t="str">
        <f ca="1">IFERROR(IF(A7=0,HLOOKUP(E11,Declarations!$D$2:$S$102,B5,FALSE),HLOOKUP(VLOOKUP(E11,Teams!$V$2:$W$19,2,FALSE),Declarations!$D$2:$S$102,B5,FALSE)),"")</f>
        <v>MEIGH William</v>
      </c>
      <c r="G11" s="18" t="str">
        <f t="shared" si="0"/>
        <v>York</v>
      </c>
      <c r="H11" s="524">
        <f ca="1">IFERROR(INDIRECT(CONCATENATE("'Distance Input'!"&amp;B6&amp;C6+3)),"")</f>
        <v>14.53</v>
      </c>
      <c r="I11" s="525"/>
      <c r="J11" s="524">
        <v>0</v>
      </c>
      <c r="K11" s="525"/>
      <c r="L11" s="524">
        <v>0</v>
      </c>
      <c r="M11" s="525"/>
      <c r="N11" s="539">
        <f t="shared" ca="1" si="4"/>
        <v>14.53</v>
      </c>
      <c r="O11" s="540"/>
      <c r="P11" s="55">
        <v>0</v>
      </c>
      <c r="Q11" s="541">
        <v>0</v>
      </c>
      <c r="R11" s="541"/>
      <c r="S11" s="541">
        <v>0</v>
      </c>
      <c r="T11" s="541"/>
      <c r="U11" s="541">
        <v>0</v>
      </c>
      <c r="V11" s="541"/>
      <c r="W11" s="524">
        <f t="shared" ca="1" si="5"/>
        <v>14.53</v>
      </c>
      <c r="X11" s="525"/>
      <c r="Y11" s="55">
        <f ca="1">IF(OR(W11="",W11=0),0,IF(W11="X",MatchDay!$U$2+MatchDay!$U$2+1-COUNTIF(Distance!W8:W11,"X"),RANK(W11,$W8:$X23,0)))</f>
        <v>2</v>
      </c>
      <c r="Z11" s="19" t="str">
        <f ca="1">IFERROR(IF(Y11=0,0,IF(OR(VLOOKUP(AG11,E16:Y23,21,FALSE)=0,Y11&lt;=VLOOKUP(AG11,E16:Y23,21,FALSE)),"A","B")),"")</f>
        <v>B</v>
      </c>
      <c r="AA11" s="19" t="str">
        <f ca="1">IFERROR(IF(Z11="B","",RANK(AD11,AD8:AD23,1)),"")</f>
        <v/>
      </c>
      <c r="AB11" s="19">
        <f ca="1">IFERROR(IF(Z11="A","",RANK(AE11,AE8:AE23,1)),"")</f>
        <v>1</v>
      </c>
      <c r="AD11" s="9" t="str">
        <f t="shared" ca="1" si="6"/>
        <v/>
      </c>
      <c r="AE11" s="9">
        <f t="shared" ca="1" si="7"/>
        <v>2</v>
      </c>
      <c r="AF11" s="9" t="s">
        <v>179</v>
      </c>
      <c r="AG11" s="4">
        <f>IFERROR(IF(A7=0,E11*11,E11&amp;E11),"")</f>
        <v>33</v>
      </c>
    </row>
    <row r="12" spans="1:33" s="4" customFormat="1" ht="15.95" customHeight="1" x14ac:dyDescent="0.35">
      <c r="A12" s="8">
        <f>IFERROR(IF(D12&gt;MatchDay!$U$2,"-",VLOOKUP(A4,timetables,MatchDay!$U$4+4,FALSE)),0)</f>
        <v>2</v>
      </c>
      <c r="B12" s="7" t="str">
        <f t="shared" ca="1" si="1"/>
        <v/>
      </c>
      <c r="C12" s="7" t="str">
        <f t="shared" ca="1" si="2"/>
        <v/>
      </c>
      <c r="D12" s="55">
        <v>5</v>
      </c>
      <c r="E12" s="17">
        <f t="shared" si="3"/>
        <v>2</v>
      </c>
      <c r="F12" s="18">
        <f ca="1">IFERROR(IF(A7=0,HLOOKUP(E12,Declarations!$D$2:$S$102,B5,FALSE),HLOOKUP(VLOOKUP(E12,Teams!$V$2:$W$19,2,FALSE),Declarations!$D$2:$S$102,B5,FALSE)),"")</f>
        <v>0</v>
      </c>
      <c r="G12" s="18" t="str">
        <f t="shared" si="0"/>
        <v>Sheff+D</v>
      </c>
      <c r="H12" s="524">
        <f ca="1">IFERROR(INDIRECT(CONCATENATE("'Distance Input'!"&amp;B6&amp;C6+4)),"")</f>
        <v>0</v>
      </c>
      <c r="I12" s="525"/>
      <c r="J12" s="524">
        <v>0</v>
      </c>
      <c r="K12" s="525"/>
      <c r="L12" s="524">
        <v>0</v>
      </c>
      <c r="M12" s="525"/>
      <c r="N12" s="539">
        <f t="shared" ca="1" si="4"/>
        <v>0</v>
      </c>
      <c r="O12" s="540"/>
      <c r="P12" s="55">
        <v>0</v>
      </c>
      <c r="Q12" s="541">
        <v>0</v>
      </c>
      <c r="R12" s="541"/>
      <c r="S12" s="541">
        <v>0</v>
      </c>
      <c r="T12" s="541"/>
      <c r="U12" s="541">
        <v>0</v>
      </c>
      <c r="V12" s="541"/>
      <c r="W12" s="524">
        <f t="shared" ca="1" si="5"/>
        <v>0</v>
      </c>
      <c r="X12" s="525"/>
      <c r="Y12" s="55">
        <f ca="1">IF(OR(W12="",W12=0),0,IF(W12="X",MatchDay!$U$2+MatchDay!$U$2+1-COUNTIF(Distance!W8:W12,"X"),RANK(W12,$W8:$X23,0)))</f>
        <v>0</v>
      </c>
      <c r="Z12" s="19">
        <f ca="1">IFERROR(IF(Y12=0,0,IF(OR(VLOOKUP(AG12,E16:Y23,21,FALSE)=0,Y12&lt;=VLOOKUP(AG12,E16:Y23,21,FALSE)),"A","B")),"")</f>
        <v>0</v>
      </c>
      <c r="AA12" s="19" t="str">
        <f ca="1">IFERROR(IF(Z12="B","",RANK(AD12,AD8:AD23,1)),"")</f>
        <v/>
      </c>
      <c r="AB12" s="19" t="str">
        <f ca="1">IFERROR(IF(Z12="A","",RANK(AE12,AE8:AE23,1)),"")</f>
        <v/>
      </c>
      <c r="AD12" s="9" t="str">
        <f t="shared" ca="1" si="6"/>
        <v/>
      </c>
      <c r="AE12" s="9" t="str">
        <f t="shared" ca="1" si="7"/>
        <v/>
      </c>
      <c r="AF12" s="9" t="s">
        <v>179</v>
      </c>
      <c r="AG12" s="4">
        <f>IFERROR(IF(A7=0,E12*11,E12&amp;E12),"")</f>
        <v>22</v>
      </c>
    </row>
    <row r="13" spans="1:33" s="4" customFormat="1" ht="15.95" customHeight="1" x14ac:dyDescent="0.35">
      <c r="A13" s="8" t="str">
        <f>IFERROR(IF(D13&gt;MatchDay!$U$2,"-",VLOOKUP(A4,timetables,MatchDay!$U$4+5,FALSE)),0)</f>
        <v>-</v>
      </c>
      <c r="B13" s="7" t="str">
        <f t="shared" ca="1" si="1"/>
        <v/>
      </c>
      <c r="C13" s="7" t="str">
        <f t="shared" ca="1" si="2"/>
        <v/>
      </c>
      <c r="D13" s="55">
        <v>6</v>
      </c>
      <c r="E13" s="17" t="str">
        <f t="shared" si="3"/>
        <v>-</v>
      </c>
      <c r="F13" s="18" t="str">
        <f>IFERROR(IF(A7=0,HLOOKUP(E13,Declarations!$D$2:$S$102,B5,FALSE),HLOOKUP(VLOOKUP(E13,Teams!$V$2:$W$19,2,FALSE),Declarations!$D$2:$S$102,B5,FALSE)),"")</f>
        <v/>
      </c>
      <c r="G13" s="18" t="str">
        <f t="shared" si="0"/>
        <v/>
      </c>
      <c r="H13" s="524">
        <f ca="1">IFERROR(INDIRECT(CONCATENATE("'Distance Input'!"&amp;B6&amp;C6+5)),"")</f>
        <v>0</v>
      </c>
      <c r="I13" s="525"/>
      <c r="J13" s="524">
        <v>0</v>
      </c>
      <c r="K13" s="525"/>
      <c r="L13" s="524">
        <v>0</v>
      </c>
      <c r="M13" s="525"/>
      <c r="N13" s="539">
        <f t="shared" ca="1" si="4"/>
        <v>0</v>
      </c>
      <c r="O13" s="540"/>
      <c r="P13" s="55">
        <v>0</v>
      </c>
      <c r="Q13" s="541">
        <v>0</v>
      </c>
      <c r="R13" s="541"/>
      <c r="S13" s="541">
        <v>0</v>
      </c>
      <c r="T13" s="541"/>
      <c r="U13" s="541">
        <v>0</v>
      </c>
      <c r="V13" s="541"/>
      <c r="W13" s="524">
        <f t="shared" ca="1" si="5"/>
        <v>0</v>
      </c>
      <c r="X13" s="525"/>
      <c r="Y13" s="55">
        <f ca="1">IF(OR(W13="",W13=0),0,IF(W13="X",MatchDay!$U$2+MatchDay!$U$2+1-COUNTIF(Distance!W8:W13,"X"),RANK(W13,$W8:$X23,0)))</f>
        <v>0</v>
      </c>
      <c r="Z13" s="19">
        <f ca="1">IFERROR(IF(Y13=0,0,IF(OR(VLOOKUP(AG13,E16:Y23,21,FALSE)=0,Y13&lt;=VLOOKUP(AG13,E16:Y23,21,FALSE)),"A","B")),"")</f>
        <v>0</v>
      </c>
      <c r="AA13" s="19" t="str">
        <f ca="1">IFERROR(IF(Z13="B","",RANK(AD13,AD8:AD23,1)),"")</f>
        <v/>
      </c>
      <c r="AB13" s="19" t="str">
        <f ca="1">IFERROR(IF(Z13="A","",RANK(AE13,AE8:AE23,1)),"")</f>
        <v/>
      </c>
      <c r="AD13" s="9" t="str">
        <f t="shared" ca="1" si="6"/>
        <v/>
      </c>
      <c r="AE13" s="9" t="str">
        <f t="shared" ca="1" si="7"/>
        <v/>
      </c>
      <c r="AF13" s="9" t="s">
        <v>179</v>
      </c>
      <c r="AG13" s="4" t="str">
        <f>IFERROR(IF(A7=0,E13*11,E13&amp;E13),"")</f>
        <v/>
      </c>
    </row>
    <row r="14" spans="1:33" s="4" customFormat="1" ht="15.95" customHeight="1" x14ac:dyDescent="0.35">
      <c r="A14" s="8" t="str">
        <f>IFERROR(IF(D14&gt;MatchDay!$U$2,"-",VLOOKUP(A4,timetables,MatchDay!$U$4+6,FALSE)),0)</f>
        <v>-</v>
      </c>
      <c r="B14" s="7" t="str">
        <f t="shared" ca="1" si="1"/>
        <v/>
      </c>
      <c r="C14" s="7" t="str">
        <f t="shared" ca="1" si="2"/>
        <v/>
      </c>
      <c r="D14" s="55">
        <v>7</v>
      </c>
      <c r="E14" s="17" t="str">
        <f t="shared" si="3"/>
        <v>-</v>
      </c>
      <c r="F14" s="18" t="str">
        <f>IFERROR(IF(A7=0,HLOOKUP(E14,Declarations!$D$2:$S$102,B5,FALSE),HLOOKUP(VLOOKUP(E14,Teams!$V$2:$W$19,2,FALSE),Declarations!$D$2:$S$102,B5,FALSE)),"")</f>
        <v/>
      </c>
      <c r="G14" s="18" t="str">
        <f t="shared" si="0"/>
        <v/>
      </c>
      <c r="H14" s="524">
        <f ca="1">IFERROR(INDIRECT(CONCATENATE("'Distance Input'!"&amp;B6&amp;C6+6)),"")</f>
        <v>0</v>
      </c>
      <c r="I14" s="525"/>
      <c r="J14" s="524">
        <v>0</v>
      </c>
      <c r="K14" s="525"/>
      <c r="L14" s="524">
        <v>0</v>
      </c>
      <c r="M14" s="525"/>
      <c r="N14" s="539">
        <f t="shared" ca="1" si="4"/>
        <v>0</v>
      </c>
      <c r="O14" s="540"/>
      <c r="P14" s="55">
        <v>0</v>
      </c>
      <c r="Q14" s="541">
        <v>0</v>
      </c>
      <c r="R14" s="541"/>
      <c r="S14" s="541">
        <v>0</v>
      </c>
      <c r="T14" s="541"/>
      <c r="U14" s="541">
        <v>0</v>
      </c>
      <c r="V14" s="541"/>
      <c r="W14" s="524">
        <f t="shared" ca="1" si="5"/>
        <v>0</v>
      </c>
      <c r="X14" s="525"/>
      <c r="Y14" s="55">
        <f ca="1">IF(OR(W14="",W14=0),0,IF(W14="X",MatchDay!$U$2+MatchDay!$U$2+1-COUNTIF(Distance!W8:W14,"X"),RANK(W14,$W8:$X23,0)))</f>
        <v>0</v>
      </c>
      <c r="Z14" s="19">
        <f ca="1">IFERROR(IF(Y14=0,0,IF(OR(VLOOKUP(AG14,E16:Y23,21,FALSE)=0,Y14&lt;=VLOOKUP(AG14,E16:Y23,21,FALSE)),"A","B")),"")</f>
        <v>0</v>
      </c>
      <c r="AA14" s="19" t="str">
        <f ca="1">IFERROR(IF(Z14="B","",RANK(AD14,AD8:AD23,1)),"")</f>
        <v/>
      </c>
      <c r="AB14" s="19" t="str">
        <f ca="1">IFERROR(IF(Z14="A","",RANK(AE14,AE8:AE23,1)),"")</f>
        <v/>
      </c>
      <c r="AD14" s="9" t="str">
        <f t="shared" ca="1" si="6"/>
        <v/>
      </c>
      <c r="AE14" s="9" t="str">
        <f t="shared" ca="1" si="7"/>
        <v/>
      </c>
      <c r="AF14" s="9" t="s">
        <v>179</v>
      </c>
      <c r="AG14" s="4" t="str">
        <f>IFERROR(IF(A7=0,E14*11,E14&amp;E14),"")</f>
        <v/>
      </c>
    </row>
    <row r="15" spans="1:33" s="4" customFormat="1" ht="15.95" customHeight="1" x14ac:dyDescent="0.35">
      <c r="A15" s="8" t="str">
        <f>IFERROR(IF(D15&gt;MatchDay!$U$2,"-",VLOOKUP(A4,timetables,MatchDay!$U$4+7,FALSE)),0)</f>
        <v>-</v>
      </c>
      <c r="B15" s="7" t="str">
        <f t="shared" ca="1" si="1"/>
        <v/>
      </c>
      <c r="C15" s="7" t="str">
        <f t="shared" ca="1" si="2"/>
        <v/>
      </c>
      <c r="D15" s="55">
        <v>8</v>
      </c>
      <c r="E15" s="17" t="str">
        <f t="shared" si="3"/>
        <v>-</v>
      </c>
      <c r="F15" s="18" t="str">
        <f>IFERROR(IF(A7=0,HLOOKUP(E15,Declarations!$D$2:$S$102,B5,FALSE),HLOOKUP(VLOOKUP(E15,Teams!$V$2:$W$19,2,FALSE),Declarations!$D$2:$S$102,B5,FALSE)),"")</f>
        <v/>
      </c>
      <c r="G15" s="18" t="str">
        <f t="shared" si="0"/>
        <v/>
      </c>
      <c r="H15" s="524">
        <f ca="1">IFERROR(INDIRECT(CONCATENATE("'Distance Input'!"&amp;B6&amp;C6+7)),"")</f>
        <v>0</v>
      </c>
      <c r="I15" s="525"/>
      <c r="J15" s="524">
        <v>0</v>
      </c>
      <c r="K15" s="525"/>
      <c r="L15" s="524">
        <v>0</v>
      </c>
      <c r="M15" s="525"/>
      <c r="N15" s="539">
        <f t="shared" ca="1" si="4"/>
        <v>0</v>
      </c>
      <c r="O15" s="540"/>
      <c r="P15" s="55">
        <v>0</v>
      </c>
      <c r="Q15" s="541">
        <v>0</v>
      </c>
      <c r="R15" s="541"/>
      <c r="S15" s="541">
        <v>0</v>
      </c>
      <c r="T15" s="541"/>
      <c r="U15" s="541">
        <v>0</v>
      </c>
      <c r="V15" s="541"/>
      <c r="W15" s="524">
        <f t="shared" ca="1" si="5"/>
        <v>0</v>
      </c>
      <c r="X15" s="525"/>
      <c r="Y15" s="55">
        <f ca="1">IF(OR(W15="",W15=0),0,IF(W15="X",MatchDay!$U$2+MatchDay!$U$2+1-COUNTIF(Distance!W8:W15,"X"),RANK(W15,$W8:$X23,0)))</f>
        <v>0</v>
      </c>
      <c r="Z15" s="19">
        <f ca="1">IFERROR(IF(Y15=0,0,IF(OR(VLOOKUP(AG15,E16:Y23,21,FALSE)=0,Y15&lt;=VLOOKUP(AG15,E16:Y23,21,FALSE)),"A","B")),"")</f>
        <v>0</v>
      </c>
      <c r="AA15" s="19" t="str">
        <f ca="1">IFERROR(IF(Z15="B","",RANK(AD15,AD8:AD23,1)),"")</f>
        <v/>
      </c>
      <c r="AB15" s="19" t="str">
        <f ca="1">IFERROR(IF(Z15="A","",RANK(AE15,AE8:AE23,1)),"")</f>
        <v/>
      </c>
      <c r="AD15" s="9" t="str">
        <f t="shared" ca="1" si="6"/>
        <v/>
      </c>
      <c r="AE15" s="9" t="str">
        <f t="shared" ca="1" si="7"/>
        <v/>
      </c>
      <c r="AF15" s="9" t="s">
        <v>179</v>
      </c>
      <c r="AG15" s="4" t="str">
        <f>IFERROR(IF(A7=0,E15*11,E15&amp;E15),"")</f>
        <v/>
      </c>
    </row>
    <row r="16" spans="1:33" s="4" customFormat="1" ht="15.95" customHeight="1" x14ac:dyDescent="0.35">
      <c r="A16" s="8">
        <f>IFERROR(IF(A7=0,A8*11,A8&amp;A8),"-")</f>
        <v>44</v>
      </c>
      <c r="B16" s="7" t="str">
        <f t="shared" ca="1" si="1"/>
        <v/>
      </c>
      <c r="C16" s="7" t="str">
        <f t="shared" ca="1" si="2"/>
        <v/>
      </c>
      <c r="D16" s="55">
        <v>9</v>
      </c>
      <c r="E16" s="17">
        <f t="shared" si="3"/>
        <v>44</v>
      </c>
      <c r="F16" s="18" t="str">
        <f ca="1">IFERROR(IF(A7=0,HLOOKUP(E16,Declarations!$D$2:$S$102,B5,FALSE),HLOOKUP(VLOOKUP(E16,Teams!$V$2:$W$19,2,FALSE),Declarations!$D$2:$S$102,B5,FALSE)),"")</f>
        <v>-</v>
      </c>
      <c r="G16" s="18" t="str">
        <f t="shared" si="0"/>
        <v>M'bro</v>
      </c>
      <c r="H16" s="524">
        <f ca="1">IFERROR(INDIRECT(CONCATENATE("'Distance Input'!"&amp;B6&amp;C6+8)),"")</f>
        <v>0</v>
      </c>
      <c r="I16" s="525"/>
      <c r="J16" s="524">
        <v>0</v>
      </c>
      <c r="K16" s="525"/>
      <c r="L16" s="524">
        <v>0</v>
      </c>
      <c r="M16" s="525"/>
      <c r="N16" s="539">
        <f t="shared" ca="1" si="4"/>
        <v>0</v>
      </c>
      <c r="O16" s="540"/>
      <c r="P16" s="55">
        <v>0</v>
      </c>
      <c r="Q16" s="541">
        <v>0</v>
      </c>
      <c r="R16" s="541"/>
      <c r="S16" s="541">
        <v>0</v>
      </c>
      <c r="T16" s="541"/>
      <c r="U16" s="541">
        <v>0</v>
      </c>
      <c r="V16" s="541"/>
      <c r="W16" s="524">
        <f t="shared" ca="1" si="5"/>
        <v>0</v>
      </c>
      <c r="X16" s="525"/>
      <c r="Y16" s="55">
        <f ca="1">IF(OR(W16="",W16=0),0,IF(W16="X",MatchDay!$U$2+MatchDay!$U$2+1-COUNTIF(Distance!W8:W16,"X"),RANK(W16,$W8:$X23,0)))</f>
        <v>0</v>
      </c>
      <c r="Z16" s="19">
        <f ca="1">IFERROR(IF(Y16=0,0,IF(VLOOKUP(AG16,E8:Y15,21,FALSE)=0,"A",IF(Y16&gt;=VLOOKUP(AG16,E8:Y15,21,FALSE),"B","A"))),"")</f>
        <v>0</v>
      </c>
      <c r="AA16" s="19" t="str">
        <f ca="1">IFERROR(IF(Z16="B","",RANK(AD16,AD8:AD23,1)),"")</f>
        <v/>
      </c>
      <c r="AB16" s="19" t="str">
        <f ca="1">IFERROR(IF(Z16="A","",RANK(AE16,AE8:AE23,1)),"")</f>
        <v/>
      </c>
      <c r="AD16" s="9" t="str">
        <f t="shared" ca="1" si="6"/>
        <v/>
      </c>
      <c r="AE16" s="9" t="str">
        <f t="shared" ca="1" si="7"/>
        <v/>
      </c>
      <c r="AF16" s="9" t="s">
        <v>179</v>
      </c>
      <c r="AG16" s="4">
        <f>IFERROR(IF(A7=0,E16/11,LEFT(E16,1)),"")</f>
        <v>4</v>
      </c>
    </row>
    <row r="17" spans="1:33" s="4" customFormat="1" ht="15.95" customHeight="1" x14ac:dyDescent="0.35">
      <c r="A17" s="8">
        <f>IFERROR(IF(A7=0,A9*11,A9&amp;A9),"-")</f>
        <v>55</v>
      </c>
      <c r="B17" s="7" t="str">
        <f t="shared" ca="1" si="1"/>
        <v/>
      </c>
      <c r="C17" s="7" t="str">
        <f t="shared" ca="1" si="2"/>
        <v/>
      </c>
      <c r="D17" s="55">
        <v>10</v>
      </c>
      <c r="E17" s="17">
        <f t="shared" si="3"/>
        <v>55</v>
      </c>
      <c r="F17" s="18">
        <f ca="1">IFERROR(IF(A7=0,HLOOKUP(E17,Declarations!$D$2:$S$102,B5,FALSE),HLOOKUP(VLOOKUP(E17,Teams!$V$2:$W$19,2,FALSE),Declarations!$D$2:$S$102,B5,FALSE)),"")</f>
        <v>0</v>
      </c>
      <c r="G17" s="18" t="str">
        <f t="shared" si="0"/>
        <v>Scun</v>
      </c>
      <c r="H17" s="524">
        <f ca="1">IFERROR(INDIRECT(CONCATENATE("'Distance Input'!"&amp;B6&amp;C6+9)),"")</f>
        <v>0</v>
      </c>
      <c r="I17" s="525"/>
      <c r="J17" s="524">
        <v>0</v>
      </c>
      <c r="K17" s="525"/>
      <c r="L17" s="524">
        <v>0</v>
      </c>
      <c r="M17" s="525"/>
      <c r="N17" s="539">
        <f t="shared" ca="1" si="4"/>
        <v>0</v>
      </c>
      <c r="O17" s="540"/>
      <c r="P17" s="55">
        <v>0</v>
      </c>
      <c r="Q17" s="541">
        <v>0</v>
      </c>
      <c r="R17" s="541"/>
      <c r="S17" s="541">
        <v>0</v>
      </c>
      <c r="T17" s="541"/>
      <c r="U17" s="541">
        <v>0</v>
      </c>
      <c r="V17" s="541"/>
      <c r="W17" s="524">
        <f t="shared" ca="1" si="5"/>
        <v>0</v>
      </c>
      <c r="X17" s="525"/>
      <c r="Y17" s="55">
        <f ca="1">IF(OR(W17="",W17=0),0,IF(W17="X",MatchDay!$U$2+MatchDay!$U$2+1-COUNTIF(Distance!W8:W17,"X"),RANK(W17,$W8:$X23,0)))</f>
        <v>0</v>
      </c>
      <c r="Z17" s="19">
        <f ca="1">IFERROR(IF(Y17=0,0,IF(VLOOKUP(AG17,E8:Y15,21,FALSE)=0,"A",IF(Y17&gt;=VLOOKUP(AG17,E8:Y15,21,FALSE),"B","A"))),"")</f>
        <v>0</v>
      </c>
      <c r="AA17" s="19" t="str">
        <f ca="1">IFERROR(IF(Z17="B","",RANK(AD17,AD8:AD23,1)),"")</f>
        <v/>
      </c>
      <c r="AB17" s="19" t="str">
        <f ca="1">IFERROR(IF(Z17="A","",RANK(AE17,AE8:AE23,1)),"")</f>
        <v/>
      </c>
      <c r="AD17" s="9" t="str">
        <f t="shared" ca="1" si="6"/>
        <v/>
      </c>
      <c r="AE17" s="9" t="str">
        <f t="shared" ca="1" si="7"/>
        <v/>
      </c>
      <c r="AF17" s="9" t="s">
        <v>179</v>
      </c>
      <c r="AG17" s="4">
        <f>IFERROR(IF(A7=0,E17/11,LEFT(E17,1)),"")</f>
        <v>5</v>
      </c>
    </row>
    <row r="18" spans="1:33" s="4" customFormat="1" ht="15.95" customHeight="1" x14ac:dyDescent="0.35">
      <c r="A18" s="8">
        <f>IFERROR(IF(A7=0,A10*11,A10&amp;A10),"-")</f>
        <v>11</v>
      </c>
      <c r="B18" s="7" t="str">
        <f t="shared" ca="1" si="1"/>
        <v/>
      </c>
      <c r="C18" s="7">
        <f t="shared" ca="1" si="2"/>
        <v>2</v>
      </c>
      <c r="D18" s="55">
        <v>11</v>
      </c>
      <c r="E18" s="17">
        <f t="shared" si="3"/>
        <v>11</v>
      </c>
      <c r="F18" s="18" t="str">
        <f ca="1">IFERROR(IF(A7=0,HLOOKUP(E18,Declarations!$D$2:$S$102,B5,FALSE),HLOOKUP(VLOOKUP(E18,Teams!$V$2:$W$19,2,FALSE),Declarations!$D$2:$S$102,B5,FALSE)),"")</f>
        <v>BETTNEY Thomas</v>
      </c>
      <c r="G18" s="18" t="str">
        <f t="shared" si="0"/>
        <v>C'field</v>
      </c>
      <c r="H18" s="524">
        <f ca="1">IFERROR(INDIRECT(CONCATENATE("'Distance Input'!"&amp;B6&amp;C6+10)),"")</f>
        <v>8.83</v>
      </c>
      <c r="I18" s="525"/>
      <c r="J18" s="524">
        <v>0</v>
      </c>
      <c r="K18" s="525"/>
      <c r="L18" s="524">
        <v>0</v>
      </c>
      <c r="M18" s="525"/>
      <c r="N18" s="539">
        <f t="shared" ca="1" si="4"/>
        <v>8.83</v>
      </c>
      <c r="O18" s="540"/>
      <c r="P18" s="55">
        <v>0</v>
      </c>
      <c r="Q18" s="541">
        <v>0</v>
      </c>
      <c r="R18" s="541"/>
      <c r="S18" s="541">
        <v>0</v>
      </c>
      <c r="T18" s="541"/>
      <c r="U18" s="541">
        <v>0</v>
      </c>
      <c r="V18" s="541"/>
      <c r="W18" s="524">
        <f t="shared" ca="1" si="5"/>
        <v>8.83</v>
      </c>
      <c r="X18" s="525"/>
      <c r="Y18" s="55">
        <f ca="1">IF(OR(W18="",W18=0),0,IF(W18="X",MatchDay!$U$2+MatchDay!$U$2+1-COUNTIF(Distance!W8:W18,"X"),RANK(W18,$W8:$X23,0)))</f>
        <v>5</v>
      </c>
      <c r="Z18" s="19" t="str">
        <f ca="1">IFERROR(IF(Y18=0,0,IF(VLOOKUP(AG18,E8:Y15,21,FALSE)=0,"A",IF(Y18&gt;=VLOOKUP(AG18,E8:Y15,21,FALSE),"B","A"))),"")</f>
        <v>B</v>
      </c>
      <c r="AA18" s="19" t="str">
        <f ca="1">IFERROR(IF(Z18="B","",RANK(AD18,AD8:AD23,1)),"")</f>
        <v/>
      </c>
      <c r="AB18" s="19">
        <f ca="1">IFERROR(IF(Z18="A","",RANK(AE18,AE8:AE23,1)),"")</f>
        <v>2</v>
      </c>
      <c r="AD18" s="9" t="str">
        <f t="shared" ca="1" si="6"/>
        <v/>
      </c>
      <c r="AE18" s="9">
        <f t="shared" ca="1" si="7"/>
        <v>5</v>
      </c>
      <c r="AF18" s="9" t="s">
        <v>179</v>
      </c>
      <c r="AG18" s="4">
        <f>IFERROR(IF(A7=0,E18/11,LEFT(E18,1)),"")</f>
        <v>1</v>
      </c>
    </row>
    <row r="19" spans="1:33" s="4" customFormat="1" ht="15.95" customHeight="1" x14ac:dyDescent="0.35">
      <c r="A19" s="8">
        <f>IFERROR(IF(A7=0,A11*11,A11&amp;A11),"-")</f>
        <v>33</v>
      </c>
      <c r="B19" s="7">
        <f t="shared" ca="1" si="1"/>
        <v>1</v>
      </c>
      <c r="C19" s="7" t="str">
        <f t="shared" ca="1" si="2"/>
        <v/>
      </c>
      <c r="D19" s="55">
        <v>12</v>
      </c>
      <c r="E19" s="17">
        <f t="shared" si="3"/>
        <v>33</v>
      </c>
      <c r="F19" s="18" t="str">
        <f ca="1">IFERROR(IF(A7=0,HLOOKUP(E19,Declarations!$D$2:$S$102,B5,FALSE),HLOOKUP(VLOOKUP(E19,Teams!$V$2:$W$19,2,FALSE),Declarations!$D$2:$S$102,B5,FALSE)),"")</f>
        <v>RUTTER Aaron</v>
      </c>
      <c r="G19" s="18" t="str">
        <f t="shared" si="0"/>
        <v>York</v>
      </c>
      <c r="H19" s="524">
        <f ca="1">IFERROR(INDIRECT(CONCATENATE("'Distance Input'!"&amp;B6&amp;C6+11)),"")</f>
        <v>29.94</v>
      </c>
      <c r="I19" s="525"/>
      <c r="J19" s="524">
        <v>0</v>
      </c>
      <c r="K19" s="525"/>
      <c r="L19" s="524">
        <v>0</v>
      </c>
      <c r="M19" s="525"/>
      <c r="N19" s="539">
        <f t="shared" ca="1" si="4"/>
        <v>29.94</v>
      </c>
      <c r="O19" s="540"/>
      <c r="P19" s="55">
        <v>0</v>
      </c>
      <c r="Q19" s="541">
        <v>0</v>
      </c>
      <c r="R19" s="541"/>
      <c r="S19" s="541">
        <v>0</v>
      </c>
      <c r="T19" s="541"/>
      <c r="U19" s="541">
        <v>0</v>
      </c>
      <c r="V19" s="541"/>
      <c r="W19" s="524">
        <f t="shared" ca="1" si="5"/>
        <v>29.94</v>
      </c>
      <c r="X19" s="525"/>
      <c r="Y19" s="55">
        <f ca="1">IF(OR(W19="",W19=0),0,IF(W19="X",MatchDay!$U$2+MatchDay!$U$2+1-COUNTIF(Distance!W8:W19,"X"),RANK(W19,$W8:$X23,0)))</f>
        <v>1</v>
      </c>
      <c r="Z19" s="19" t="str">
        <f ca="1">IFERROR(IF(Y19=0,0,IF(VLOOKUP(AG19,E8:Y15,21,FALSE)=0,"A",IF(Y19&gt;=VLOOKUP(AG19,E8:Y15,21,FALSE),"B","A"))),"")</f>
        <v>A</v>
      </c>
      <c r="AA19" s="19">
        <f ca="1">IFERROR(IF(Z19="B","",RANK(AD19,AD8:AD23,1)),"")</f>
        <v>1</v>
      </c>
      <c r="AB19" s="19" t="str">
        <f ca="1">IFERROR(IF(Z19="A","",RANK(AE19,AE8:AE23,1)),"")</f>
        <v/>
      </c>
      <c r="AD19" s="9">
        <f t="shared" ca="1" si="6"/>
        <v>1</v>
      </c>
      <c r="AE19" s="9" t="str">
        <f t="shared" ca="1" si="7"/>
        <v/>
      </c>
      <c r="AF19" s="9" t="s">
        <v>179</v>
      </c>
      <c r="AG19" s="4">
        <f>IFERROR(IF(A7=0,E19/11,LEFT(E19,1)),"")</f>
        <v>3</v>
      </c>
    </row>
    <row r="20" spans="1:33" s="4" customFormat="1" ht="15.95" customHeight="1" x14ac:dyDescent="0.35">
      <c r="A20" s="8">
        <f>IFERROR(IF(A7=0,A12*11,A12&amp;A12),"-")</f>
        <v>22</v>
      </c>
      <c r="B20" s="7" t="str">
        <f t="shared" ca="1" si="1"/>
        <v/>
      </c>
      <c r="C20" s="7" t="str">
        <f t="shared" ca="1" si="2"/>
        <v/>
      </c>
      <c r="D20" s="55">
        <v>13</v>
      </c>
      <c r="E20" s="17">
        <f t="shared" si="3"/>
        <v>22</v>
      </c>
      <c r="F20" s="18">
        <f ca="1">IFERROR(IF(A7=0,HLOOKUP(E20,Declarations!$D$2:$S$102,B5,FALSE),HLOOKUP(VLOOKUP(E20,Teams!$V$2:$W$19,2,FALSE),Declarations!$D$2:$S$102,B5,FALSE)),"")</f>
        <v>0</v>
      </c>
      <c r="G20" s="18" t="str">
        <f t="shared" si="0"/>
        <v>Sheff+D</v>
      </c>
      <c r="H20" s="524">
        <f ca="1">IFERROR(INDIRECT(CONCATENATE("'Distance Input'!"&amp;B6&amp;C6+12)),"")</f>
        <v>0</v>
      </c>
      <c r="I20" s="525"/>
      <c r="J20" s="524">
        <v>0</v>
      </c>
      <c r="K20" s="525"/>
      <c r="L20" s="524">
        <v>0</v>
      </c>
      <c r="M20" s="525"/>
      <c r="N20" s="539">
        <f t="shared" ca="1" si="4"/>
        <v>0</v>
      </c>
      <c r="O20" s="540"/>
      <c r="P20" s="55">
        <v>0</v>
      </c>
      <c r="Q20" s="541">
        <v>0</v>
      </c>
      <c r="R20" s="541"/>
      <c r="S20" s="541">
        <v>0</v>
      </c>
      <c r="T20" s="541"/>
      <c r="U20" s="541">
        <v>0</v>
      </c>
      <c r="V20" s="541"/>
      <c r="W20" s="524">
        <f t="shared" ca="1" si="5"/>
        <v>0</v>
      </c>
      <c r="X20" s="525"/>
      <c r="Y20" s="55">
        <f ca="1">IF(OR(W20="",W20=0),0,IF(W20="X",MatchDay!$U$2+MatchDay!$U$2+1-COUNTIF(Distance!W8:W20,"X"),RANK(W20,$W8:$X23,0)))</f>
        <v>0</v>
      </c>
      <c r="Z20" s="19">
        <f ca="1">IFERROR(IF(Y20=0,0,IF(VLOOKUP(AG20,E8:Y15,21,FALSE)=0,"A",IF(Y20&gt;=VLOOKUP(AG20,E8:Y15,21,FALSE),"B","A"))),"")</f>
        <v>0</v>
      </c>
      <c r="AA20" s="19" t="str">
        <f ca="1">IFERROR(IF(Z20="B","",RANK(AD20,AD8:AD23,1)),"")</f>
        <v/>
      </c>
      <c r="AB20" s="19" t="str">
        <f ca="1">IFERROR(IF(Z20="A","",RANK(AE20,AE8:AE23,1)),"")</f>
        <v/>
      </c>
      <c r="AD20" s="9" t="str">
        <f t="shared" ca="1" si="6"/>
        <v/>
      </c>
      <c r="AE20" s="9" t="str">
        <f t="shared" ca="1" si="7"/>
        <v/>
      </c>
      <c r="AF20" s="9" t="s">
        <v>179</v>
      </c>
      <c r="AG20" s="4">
        <f>IFERROR(IF(A7=0,E20/11,LEFT(E20,1)),"")</f>
        <v>2</v>
      </c>
    </row>
    <row r="21" spans="1:33" s="4" customFormat="1" ht="15.95" customHeight="1" x14ac:dyDescent="0.35">
      <c r="A21" s="8" t="str">
        <f>IFERROR(IF(A7=0,A13*11,A13&amp;A13),"-")</f>
        <v>-</v>
      </c>
      <c r="B21" s="7" t="str">
        <f t="shared" ca="1" si="1"/>
        <v/>
      </c>
      <c r="C21" s="7" t="str">
        <f t="shared" ca="1" si="2"/>
        <v/>
      </c>
      <c r="D21" s="55">
        <v>14</v>
      </c>
      <c r="E21" s="17" t="str">
        <f t="shared" si="3"/>
        <v>-</v>
      </c>
      <c r="F21" s="18" t="str">
        <f>IFERROR(IF(A7=0,HLOOKUP(E21,Declarations!$D$2:$S$102,B5,FALSE),HLOOKUP(VLOOKUP(E21,Teams!$V$2:$W$19,2,FALSE),Declarations!$D$2:$S$102,B5,FALSE)),"")</f>
        <v/>
      </c>
      <c r="G21" s="18" t="str">
        <f t="shared" si="0"/>
        <v/>
      </c>
      <c r="H21" s="524">
        <f ca="1">IFERROR(INDIRECT(CONCATENATE("'Distance Input'!"&amp;B6&amp;C6+13)),"")</f>
        <v>0</v>
      </c>
      <c r="I21" s="525"/>
      <c r="J21" s="524">
        <v>0</v>
      </c>
      <c r="K21" s="525"/>
      <c r="L21" s="524">
        <v>0</v>
      </c>
      <c r="M21" s="525"/>
      <c r="N21" s="539">
        <f t="shared" ca="1" si="4"/>
        <v>0</v>
      </c>
      <c r="O21" s="540"/>
      <c r="P21" s="55">
        <v>0</v>
      </c>
      <c r="Q21" s="541">
        <v>0</v>
      </c>
      <c r="R21" s="541"/>
      <c r="S21" s="541">
        <v>0</v>
      </c>
      <c r="T21" s="541"/>
      <c r="U21" s="541">
        <v>0</v>
      </c>
      <c r="V21" s="541"/>
      <c r="W21" s="524">
        <f t="shared" ca="1" si="5"/>
        <v>0</v>
      </c>
      <c r="X21" s="525"/>
      <c r="Y21" s="55">
        <f ca="1">IF(OR(W21="",W21=0),0,IF(W21="X",MatchDay!$U$2+MatchDay!$U$2+1-COUNTIF(Distance!W8:W21,"X"),RANK(W21,$W8:$X23,0)))</f>
        <v>0</v>
      </c>
      <c r="Z21" s="19">
        <f ca="1">IFERROR(IF(Y21=0,0,IF(VLOOKUP(AG21,E8:Y15,21,FALSE)=0,"A",IF(Y21&gt;=VLOOKUP(AG21,E8:Y15,21,FALSE),"B","A"))),"")</f>
        <v>0</v>
      </c>
      <c r="AA21" s="19" t="str">
        <f ca="1">IFERROR(IF(Z21="B","",RANK(AD21,AD8:AD23,1)),"")</f>
        <v/>
      </c>
      <c r="AB21" s="19" t="str">
        <f ca="1">IFERROR(IF(Z21="A","",RANK(AE21,AE8:AE23,1)),"")</f>
        <v/>
      </c>
      <c r="AD21" s="9" t="str">
        <f t="shared" ca="1" si="6"/>
        <v/>
      </c>
      <c r="AE21" s="9" t="str">
        <f t="shared" ca="1" si="7"/>
        <v/>
      </c>
      <c r="AF21" s="9" t="s">
        <v>179</v>
      </c>
      <c r="AG21" s="4" t="str">
        <f>IFERROR(IF(A7=0,E21/11,LEFT(E21,1)),"")</f>
        <v/>
      </c>
    </row>
    <row r="22" spans="1:33" s="4" customFormat="1" ht="15.95" customHeight="1" x14ac:dyDescent="0.35">
      <c r="A22" s="8" t="str">
        <f>IFERROR(IF(A7=0,A14*11,A14&amp;A14),"-")</f>
        <v>-</v>
      </c>
      <c r="B22" s="7" t="str">
        <f t="shared" ca="1" si="1"/>
        <v/>
      </c>
      <c r="C22" s="7" t="str">
        <f t="shared" ca="1" si="2"/>
        <v/>
      </c>
      <c r="D22" s="55">
        <v>15</v>
      </c>
      <c r="E22" s="17" t="str">
        <f t="shared" si="3"/>
        <v>-</v>
      </c>
      <c r="F22" s="18" t="str">
        <f>IFERROR(IF(A7=0,HLOOKUP(E22,Declarations!$D$2:$S$102,B5,FALSE),HLOOKUP(VLOOKUP(E22,Teams!$V$2:$W$19,2,FALSE),Declarations!$D$2:$S$102,B5,FALSE)),"")</f>
        <v/>
      </c>
      <c r="G22" s="18" t="str">
        <f t="shared" si="0"/>
        <v/>
      </c>
      <c r="H22" s="524">
        <f ca="1">IFERROR(INDIRECT(CONCATENATE("'Distance Input'!"&amp;B6&amp;C6+14)),"")</f>
        <v>0</v>
      </c>
      <c r="I22" s="525"/>
      <c r="J22" s="524">
        <v>0</v>
      </c>
      <c r="K22" s="525"/>
      <c r="L22" s="524">
        <v>0</v>
      </c>
      <c r="M22" s="525"/>
      <c r="N22" s="539">
        <f t="shared" ca="1" si="4"/>
        <v>0</v>
      </c>
      <c r="O22" s="540"/>
      <c r="P22" s="55">
        <v>0</v>
      </c>
      <c r="Q22" s="541">
        <v>0</v>
      </c>
      <c r="R22" s="541"/>
      <c r="S22" s="541">
        <v>0</v>
      </c>
      <c r="T22" s="541"/>
      <c r="U22" s="541">
        <v>0</v>
      </c>
      <c r="V22" s="541"/>
      <c r="W22" s="524">
        <f t="shared" ca="1" si="5"/>
        <v>0</v>
      </c>
      <c r="X22" s="525"/>
      <c r="Y22" s="55">
        <f ca="1">IF(OR(W22="",W22=0),0,IF(W22="X",MatchDay!$U$2+MatchDay!$U$2+1-COUNTIF(Distance!W8:W22,"X"),RANK(W22,$W8:$X23,0)))</f>
        <v>0</v>
      </c>
      <c r="Z22" s="19">
        <f ca="1">IFERROR(IF(Y22=0,0,IF(VLOOKUP(AG22,E8:Y15,21,FALSE)=0,"A",IF(Y22&gt;=VLOOKUP(AG22,E8:Y15,21,FALSE),"B","A"))),"")</f>
        <v>0</v>
      </c>
      <c r="AA22" s="19" t="str">
        <f ca="1">IFERROR(IF(Z22="B","",RANK(AD22,AD8:AD23,1)),"")</f>
        <v/>
      </c>
      <c r="AB22" s="19" t="str">
        <f ca="1">IFERROR(IF(Z22="A","",RANK(AE22,AE8:AE23,1)),"")</f>
        <v/>
      </c>
      <c r="AD22" s="9" t="str">
        <f t="shared" ca="1" si="6"/>
        <v/>
      </c>
      <c r="AE22" s="9" t="str">
        <f t="shared" ca="1" si="7"/>
        <v/>
      </c>
      <c r="AF22" s="9" t="s">
        <v>179</v>
      </c>
      <c r="AG22" s="4" t="str">
        <f>IFERROR(IF(A7=0,E22/11,LEFT(E22,1)),"")</f>
        <v/>
      </c>
    </row>
    <row r="23" spans="1:33" s="4" customFormat="1" ht="15.95" customHeight="1" x14ac:dyDescent="0.35">
      <c r="A23" s="8" t="str">
        <f>IFERROR(IF(A7=0,A15*11,A15&amp;A15),"-")</f>
        <v>-</v>
      </c>
      <c r="B23" s="7" t="str">
        <f t="shared" ca="1" si="1"/>
        <v/>
      </c>
      <c r="C23" s="7" t="str">
        <f t="shared" ca="1" si="2"/>
        <v/>
      </c>
      <c r="D23" s="55">
        <v>16</v>
      </c>
      <c r="E23" s="17" t="str">
        <f t="shared" si="3"/>
        <v>-</v>
      </c>
      <c r="F23" s="18" t="str">
        <f>IFERROR(IF(A7=0,HLOOKUP(E23,Declarations!$D$2:$S$102,B5,FALSE),HLOOKUP(VLOOKUP(E23,Teams!$V$2:$W$19,2,FALSE),Declarations!$D$2:$S$102,B5,FALSE)),"")</f>
        <v/>
      </c>
      <c r="G23" s="18" t="str">
        <f t="shared" si="0"/>
        <v/>
      </c>
      <c r="H23" s="524">
        <f ca="1">IFERROR(INDIRECT(CONCATENATE("'Distance Input'!"&amp;B6&amp;C6+15)),"")</f>
        <v>0</v>
      </c>
      <c r="I23" s="525"/>
      <c r="J23" s="524">
        <v>0</v>
      </c>
      <c r="K23" s="525"/>
      <c r="L23" s="524">
        <v>0</v>
      </c>
      <c r="M23" s="525"/>
      <c r="N23" s="539">
        <f t="shared" ca="1" si="4"/>
        <v>0</v>
      </c>
      <c r="O23" s="540"/>
      <c r="P23" s="55">
        <v>0</v>
      </c>
      <c r="Q23" s="541">
        <v>0</v>
      </c>
      <c r="R23" s="541"/>
      <c r="S23" s="541">
        <v>0</v>
      </c>
      <c r="T23" s="541"/>
      <c r="U23" s="541">
        <v>0</v>
      </c>
      <c r="V23" s="541"/>
      <c r="W23" s="524">
        <f t="shared" ca="1" si="5"/>
        <v>0</v>
      </c>
      <c r="X23" s="525"/>
      <c r="Y23" s="55">
        <f ca="1">IF(OR(W23="",W23=0),0,IF(W23="X",MatchDay!$U$2+MatchDay!$U$2+1-COUNTIF(Distance!W8:W23,"X"),RANK(W23,$W8:$X23,0)))</f>
        <v>0</v>
      </c>
      <c r="Z23" s="19">
        <f ca="1">IFERROR(IF(Y23=0,0,IF(VLOOKUP(AG23,E8:Y15,21,FALSE)=0,"A",IF(Y23&gt;=VLOOKUP(AG23,E8:Y15,21,FALSE),"B","A"))),"")</f>
        <v>0</v>
      </c>
      <c r="AA23" s="19" t="str">
        <f ca="1">IFERROR(IF(Z23="B","",RANK(AD23,AD8:AD23,1)),"")</f>
        <v/>
      </c>
      <c r="AB23" s="19" t="str">
        <f ca="1">IFERROR(IF(Z23="A","",RANK(AE23,AE8:AE23,1)),"")</f>
        <v/>
      </c>
      <c r="AD23" s="9" t="str">
        <f t="shared" ca="1" si="6"/>
        <v/>
      </c>
      <c r="AE23" s="9" t="str">
        <f t="shared" ca="1" si="7"/>
        <v/>
      </c>
      <c r="AF23" s="9" t="s">
        <v>179</v>
      </c>
      <c r="AG23" s="4" t="str">
        <f>IFERROR(IF(A7=0,E23/11,LEFT(E23,1)),"")</f>
        <v/>
      </c>
    </row>
    <row r="24" spans="1:33" s="4" customFormat="1" ht="11.65" x14ac:dyDescent="0.45">
      <c r="A24" s="8"/>
      <c r="B24" s="10"/>
      <c r="C24" s="3"/>
      <c r="D24" s="20"/>
      <c r="E24" s="20"/>
      <c r="F24" s="21"/>
      <c r="G24" s="21"/>
      <c r="H24" s="20"/>
      <c r="I24" s="20"/>
      <c r="J24" s="20"/>
      <c r="K24" s="20"/>
      <c r="L24" s="20"/>
      <c r="M24" s="20"/>
      <c r="N24" s="20"/>
      <c r="O24" s="20"/>
      <c r="P24" s="20"/>
      <c r="Q24" s="20"/>
      <c r="R24" s="20"/>
      <c r="S24" s="20"/>
      <c r="T24" s="20"/>
      <c r="U24" s="20"/>
      <c r="V24" s="20"/>
      <c r="W24" s="20"/>
      <c r="X24" s="20"/>
      <c r="Y24" s="20"/>
      <c r="Z24" s="20"/>
      <c r="AA24" s="20"/>
      <c r="AB24" s="22"/>
    </row>
    <row r="25" spans="1:33" s="4" customFormat="1" ht="11.65" x14ac:dyDescent="0.45">
      <c r="A25" s="8"/>
      <c r="B25" s="10"/>
      <c r="C25" s="3"/>
      <c r="D25" s="533" t="s">
        <v>180</v>
      </c>
      <c r="E25" s="547"/>
      <c r="F25" s="547"/>
      <c r="G25" s="547"/>
      <c r="H25" s="547"/>
      <c r="I25" s="547"/>
      <c r="J25" s="512" t="s">
        <v>181</v>
      </c>
      <c r="K25" s="548"/>
      <c r="L25" s="548"/>
      <c r="M25" s="548"/>
      <c r="N25" s="548"/>
      <c r="O25" s="548"/>
      <c r="P25" s="548"/>
      <c r="Q25" s="548"/>
      <c r="R25" s="548"/>
      <c r="S25" s="548"/>
      <c r="T25" s="548"/>
      <c r="U25" s="549"/>
      <c r="V25" s="512" t="s">
        <v>182</v>
      </c>
      <c r="W25" s="513"/>
      <c r="X25" s="513"/>
      <c r="Y25" s="513"/>
      <c r="Z25" s="513"/>
      <c r="AA25" s="513"/>
      <c r="AB25" s="514"/>
    </row>
    <row r="26" spans="1:33" s="4" customFormat="1" ht="11.65" x14ac:dyDescent="0.45">
      <c r="A26" s="8" t="s">
        <v>55</v>
      </c>
      <c r="B26" s="10"/>
      <c r="C26" s="3"/>
      <c r="D26" s="12"/>
      <c r="E26" s="55" t="s">
        <v>183</v>
      </c>
      <c r="F26" s="55" t="s">
        <v>165</v>
      </c>
      <c r="G26" s="55" t="s">
        <v>166</v>
      </c>
      <c r="H26" s="533" t="s">
        <v>184</v>
      </c>
      <c r="I26" s="533"/>
      <c r="J26" s="23"/>
      <c r="K26" s="54" t="s">
        <v>183</v>
      </c>
      <c r="L26" s="512" t="s">
        <v>165</v>
      </c>
      <c r="M26" s="513"/>
      <c r="N26" s="513"/>
      <c r="O26" s="514"/>
      <c r="P26" s="512" t="s">
        <v>166</v>
      </c>
      <c r="Q26" s="513"/>
      <c r="R26" s="513"/>
      <c r="S26" s="514"/>
      <c r="T26" s="512" t="s">
        <v>184</v>
      </c>
      <c r="U26" s="514"/>
      <c r="V26" s="24"/>
      <c r="W26" s="25"/>
      <c r="X26" s="25"/>
      <c r="Y26" s="25"/>
      <c r="Z26" s="25"/>
      <c r="AA26" s="25"/>
      <c r="AB26" s="26"/>
    </row>
    <row r="27" spans="1:33" s="4" customFormat="1" ht="15.95" customHeight="1" x14ac:dyDescent="0.45">
      <c r="A27" s="11">
        <f>IFERROR(VLOOKUP(A4,standards,3,FALSE),"-")</f>
        <v>47.2</v>
      </c>
      <c r="B27" s="10">
        <v>1</v>
      </c>
      <c r="C27" s="3"/>
      <c r="D27" s="55">
        <v>1</v>
      </c>
      <c r="E27" s="19">
        <f ca="1">IFERROR(IF(OR(H8=98,H8=99),H8,VLOOKUP(B27,B8:E23,4,FALSE)),0)</f>
        <v>33</v>
      </c>
      <c r="F27" s="27" t="str">
        <f ca="1">IFERROR(VLOOKUP(E27,$E8:$F23,2,FALSE),"")</f>
        <v>RUTTER Aaron</v>
      </c>
      <c r="G27" s="18" t="str">
        <f t="shared" ref="G27:G34" ca="1" si="8">IFERROR(VLOOKUP(E27,teamlookup,5,FALSE),"-")</f>
        <v>York</v>
      </c>
      <c r="H27" s="542">
        <f ca="1">IFERROR(VLOOKUP(E27,E8:X23,19,FALSE),"")</f>
        <v>29.94</v>
      </c>
      <c r="I27" s="543"/>
      <c r="J27" s="55">
        <v>1</v>
      </c>
      <c r="K27" s="55">
        <f ca="1">IFERROR(VLOOKUP(B27,C8:X23,3,FALSE),"")</f>
        <v>3</v>
      </c>
      <c r="L27" s="544" t="str">
        <f ca="1">IFERROR(VLOOKUP(K27,$E8:$F23,2,FALSE),"")</f>
        <v>MEIGH William</v>
      </c>
      <c r="M27" s="545"/>
      <c r="N27" s="545"/>
      <c r="O27" s="546"/>
      <c r="P27" s="544" t="str">
        <f t="shared" ref="P27:P34" ca="1" si="9">IFERROR(VLOOKUP(K27,teamlookup,5,FALSE),"-")</f>
        <v>York</v>
      </c>
      <c r="Q27" s="545"/>
      <c r="R27" s="545"/>
      <c r="S27" s="546"/>
      <c r="T27" s="524">
        <f ca="1">IFERROR(VLOOKUP(K27,E8:X23,19,FALSE),"")</f>
        <v>14.53</v>
      </c>
      <c r="U27" s="525"/>
      <c r="V27" s="28"/>
      <c r="W27" s="29"/>
      <c r="X27" s="29"/>
      <c r="Y27" s="29"/>
      <c r="Z27" s="29"/>
      <c r="AA27" s="29"/>
      <c r="AB27" s="30"/>
    </row>
    <row r="28" spans="1:33" s="4" customFormat="1" ht="15.95" customHeight="1" x14ac:dyDescent="0.45">
      <c r="A28" s="11">
        <f>IFERROR(VLOOKUP(A4,standards,4,FALSE),"-")</f>
        <v>41.25</v>
      </c>
      <c r="B28" s="10">
        <v>2</v>
      </c>
      <c r="C28" s="3"/>
      <c r="D28" s="55">
        <v>2</v>
      </c>
      <c r="E28" s="19">
        <f ca="1">IFERROR(VLOOKUP(B28,B8:E23,4,FALSE),"")</f>
        <v>1</v>
      </c>
      <c r="F28" s="27" t="str">
        <f ca="1">IFERROR(VLOOKUP(E28,$E8:$F23,2,FALSE),"")</f>
        <v>PEERS-WAIN Jacob</v>
      </c>
      <c r="G28" s="18" t="str">
        <f t="shared" ca="1" si="8"/>
        <v>C'field</v>
      </c>
      <c r="H28" s="542">
        <f ca="1">IFERROR(VLOOKUP(E28,E8:X23,19,FALSE),"")</f>
        <v>11.92</v>
      </c>
      <c r="I28" s="543"/>
      <c r="J28" s="55">
        <v>2</v>
      </c>
      <c r="K28" s="55">
        <f ca="1">IFERROR(VLOOKUP(B28,C8:X23,3,FALSE),"")</f>
        <v>11</v>
      </c>
      <c r="L28" s="544" t="str">
        <f ca="1">IFERROR(VLOOKUP(K28,$E8:$F23,2,FALSE),"")</f>
        <v>BETTNEY Thomas</v>
      </c>
      <c r="M28" s="545"/>
      <c r="N28" s="545"/>
      <c r="O28" s="546"/>
      <c r="P28" s="544" t="str">
        <f t="shared" ca="1" si="9"/>
        <v>C'field</v>
      </c>
      <c r="Q28" s="545"/>
      <c r="R28" s="545"/>
      <c r="S28" s="546"/>
      <c r="T28" s="524">
        <f ca="1">IFERROR(VLOOKUP(K28,E8:X23,19,FALSE),"")</f>
        <v>8.83</v>
      </c>
      <c r="U28" s="525"/>
      <c r="V28" s="24"/>
      <c r="W28" s="25"/>
      <c r="X28" s="25"/>
      <c r="Y28" s="25"/>
      <c r="Z28" s="25"/>
      <c r="AA28" s="25"/>
      <c r="AB28" s="26"/>
    </row>
    <row r="29" spans="1:33" s="4" customFormat="1" ht="15.95" customHeight="1" x14ac:dyDescent="0.45">
      <c r="A29" s="11">
        <f>IFERROR(VLOOKUP(A4,standards,5,FALSE),"-")</f>
        <v>33.85</v>
      </c>
      <c r="B29" s="10">
        <v>3</v>
      </c>
      <c r="C29" s="3"/>
      <c r="D29" s="55">
        <v>3</v>
      </c>
      <c r="E29" s="19">
        <f ca="1">IFERROR(VLOOKUP(B29,B8:E23,4,FALSE),"")</f>
        <v>4</v>
      </c>
      <c r="F29" s="27" t="str">
        <f ca="1">IFERROR(VLOOKUP(E29,$E8:$F23,2,FALSE),"")</f>
        <v>BELL Callum</v>
      </c>
      <c r="G29" s="18" t="str">
        <f t="shared" ca="1" si="8"/>
        <v>M'bro</v>
      </c>
      <c r="H29" s="542">
        <f ca="1">IFERROR(VLOOKUP(E29,E8:X23,19,FALSE),"")</f>
        <v>11.39</v>
      </c>
      <c r="I29" s="543"/>
      <c r="J29" s="55">
        <v>3</v>
      </c>
      <c r="K29" s="55" t="str">
        <f ca="1">IFERROR(VLOOKUP(B29,C8:X23,3,FALSE),"")</f>
        <v/>
      </c>
      <c r="L29" s="544" t="str">
        <f ca="1">IFERROR(VLOOKUP(K29,$E8:$F23,2,FALSE),"")</f>
        <v/>
      </c>
      <c r="M29" s="545"/>
      <c r="N29" s="545"/>
      <c r="O29" s="546"/>
      <c r="P29" s="544" t="str">
        <f t="shared" ca="1" si="9"/>
        <v>-</v>
      </c>
      <c r="Q29" s="545"/>
      <c r="R29" s="545"/>
      <c r="S29" s="546"/>
      <c r="T29" s="524" t="str">
        <f ca="1">IFERROR(VLOOKUP(K29,E8:X23,19,FALSE),"")</f>
        <v/>
      </c>
      <c r="U29" s="525"/>
      <c r="V29" s="28"/>
      <c r="W29" s="29"/>
      <c r="X29" s="29"/>
      <c r="Y29" s="29"/>
      <c r="Z29" s="29"/>
      <c r="AA29" s="29"/>
      <c r="AB29" s="30"/>
    </row>
    <row r="30" spans="1:33" s="4" customFormat="1" ht="15.95" customHeight="1" x14ac:dyDescent="0.45">
      <c r="A30" s="11">
        <f>IFERROR(VLOOKUP(A4,AAA!A:F,6,FALSE),"-")</f>
        <v>27.15</v>
      </c>
      <c r="B30" s="10">
        <v>4</v>
      </c>
      <c r="C30" s="3"/>
      <c r="D30" s="55">
        <v>4</v>
      </c>
      <c r="E30" s="19" t="str">
        <f ca="1">IFERROR(VLOOKUP(B30,B8:E23,4,FALSE),"")</f>
        <v/>
      </c>
      <c r="F30" s="27" t="str">
        <f ca="1">IFERROR(VLOOKUP(E30,$E8:$F23,2,FALSE),"")</f>
        <v/>
      </c>
      <c r="G30" s="18" t="str">
        <f t="shared" ca="1" si="8"/>
        <v>-</v>
      </c>
      <c r="H30" s="542" t="str">
        <f ca="1">IFERROR(VLOOKUP(E30,E8:X23,19,FALSE),"")</f>
        <v/>
      </c>
      <c r="I30" s="543"/>
      <c r="J30" s="55">
        <v>4</v>
      </c>
      <c r="K30" s="55" t="str">
        <f ca="1">IFERROR(VLOOKUP(B30,C8:X23,3,FALSE),"")</f>
        <v/>
      </c>
      <c r="L30" s="544" t="str">
        <f ca="1">IFERROR(VLOOKUP(K30,$E8:$F23,2,FALSE),"")</f>
        <v/>
      </c>
      <c r="M30" s="545"/>
      <c r="N30" s="545"/>
      <c r="O30" s="546"/>
      <c r="P30" s="544" t="str">
        <f t="shared" ca="1" si="9"/>
        <v>-</v>
      </c>
      <c r="Q30" s="545"/>
      <c r="R30" s="545"/>
      <c r="S30" s="546"/>
      <c r="T30" s="524" t="str">
        <f ca="1">IFERROR(VLOOKUP(K30,E8:X23,19,FALSE),"")</f>
        <v/>
      </c>
      <c r="U30" s="525"/>
      <c r="V30" s="24"/>
      <c r="W30" s="25"/>
      <c r="X30" s="25"/>
      <c r="Y30" s="25"/>
      <c r="Z30" s="25"/>
      <c r="AA30" s="25"/>
      <c r="AB30" s="26"/>
    </row>
    <row r="31" spans="1:33" s="4" customFormat="1" ht="15.95" customHeight="1" x14ac:dyDescent="0.45">
      <c r="A31" s="8"/>
      <c r="B31" s="10">
        <v>5</v>
      </c>
      <c r="C31" s="3"/>
      <c r="D31" s="55">
        <v>5</v>
      </c>
      <c r="E31" s="19" t="str">
        <f ca="1">IFERROR(VLOOKUP(B31,B8:E23,4,FALSE),"")</f>
        <v/>
      </c>
      <c r="F31" s="27" t="str">
        <f ca="1">IFERROR(VLOOKUP(E31,$E8:$F23,2,FALSE),"")</f>
        <v/>
      </c>
      <c r="G31" s="18" t="str">
        <f t="shared" ca="1" si="8"/>
        <v>-</v>
      </c>
      <c r="H31" s="542" t="str">
        <f ca="1">IFERROR(VLOOKUP(E31,E8:X23,19,FALSE),"")</f>
        <v/>
      </c>
      <c r="I31" s="543"/>
      <c r="J31" s="55">
        <v>5</v>
      </c>
      <c r="K31" s="55" t="str">
        <f ca="1">IFERROR(VLOOKUP(B31,C8:X23,3,FALSE),"")</f>
        <v/>
      </c>
      <c r="L31" s="544" t="str">
        <f ca="1">IFERROR(VLOOKUP(K31,$E8:$F23,2,FALSE),"")</f>
        <v/>
      </c>
      <c r="M31" s="545"/>
      <c r="N31" s="545"/>
      <c r="O31" s="546"/>
      <c r="P31" s="544" t="str">
        <f t="shared" ca="1" si="9"/>
        <v>-</v>
      </c>
      <c r="Q31" s="545"/>
      <c r="R31" s="545"/>
      <c r="S31" s="546"/>
      <c r="T31" s="524" t="str">
        <f ca="1">IFERROR(VLOOKUP(K31,E8:X23,19,FALSE),"")</f>
        <v/>
      </c>
      <c r="U31" s="525"/>
      <c r="V31" s="28"/>
      <c r="W31" s="29"/>
      <c r="X31" s="29"/>
      <c r="Y31" s="29"/>
      <c r="Z31" s="29"/>
      <c r="AA31" s="29"/>
      <c r="AB31" s="30"/>
    </row>
    <row r="32" spans="1:33" s="4" customFormat="1" ht="15.95" customHeight="1" x14ac:dyDescent="0.45">
      <c r="A32" s="8" t="s">
        <v>204</v>
      </c>
      <c r="B32" s="10">
        <v>6</v>
      </c>
      <c r="C32" s="3"/>
      <c r="D32" s="55">
        <v>6</v>
      </c>
      <c r="E32" s="19" t="str">
        <f ca="1">IFERROR(VLOOKUP(B32,B8:E23,4,FALSE),"")</f>
        <v/>
      </c>
      <c r="F32" s="27" t="str">
        <f ca="1">IFERROR(VLOOKUP(E32,$E8:$F23,2,FALSE),"")</f>
        <v/>
      </c>
      <c r="G32" s="18" t="str">
        <f t="shared" ca="1" si="8"/>
        <v>-</v>
      </c>
      <c r="H32" s="542" t="str">
        <f ca="1">IFERROR(VLOOKUP(E32,E8:X23,19,FALSE),"")</f>
        <v/>
      </c>
      <c r="I32" s="543"/>
      <c r="J32" s="55">
        <v>6</v>
      </c>
      <c r="K32" s="55" t="str">
        <f ca="1">IFERROR(VLOOKUP(B32,C8:X23,3,FALSE),"")</f>
        <v/>
      </c>
      <c r="L32" s="544" t="str">
        <f ca="1">IFERROR(VLOOKUP(K32,$E8:$F23,2,FALSE),"")</f>
        <v/>
      </c>
      <c r="M32" s="545"/>
      <c r="N32" s="545"/>
      <c r="O32" s="546"/>
      <c r="P32" s="544" t="str">
        <f t="shared" ca="1" si="9"/>
        <v>-</v>
      </c>
      <c r="Q32" s="545"/>
      <c r="R32" s="545"/>
      <c r="S32" s="546"/>
      <c r="T32" s="524" t="str">
        <f ca="1">IFERROR(VLOOKUP(K32,E8:X23,19,FALSE),"")</f>
        <v/>
      </c>
      <c r="U32" s="525"/>
      <c r="V32" s="512" t="s">
        <v>185</v>
      </c>
      <c r="W32" s="513"/>
      <c r="X32" s="513"/>
      <c r="Y32" s="513"/>
      <c r="Z32" s="513"/>
      <c r="AA32" s="513"/>
      <c r="AB32" s="514"/>
    </row>
    <row r="33" spans="1:33" s="4" customFormat="1" ht="15.95" customHeight="1" x14ac:dyDescent="0.45">
      <c r="A33" s="8">
        <f>IFERROR(VLOOKUP(A4,records,5,FALSE),"")</f>
        <v>59.79</v>
      </c>
      <c r="B33" s="10">
        <v>7</v>
      </c>
      <c r="C33" s="3"/>
      <c r="D33" s="55">
        <v>7</v>
      </c>
      <c r="E33" s="19" t="str">
        <f ca="1">IFERROR(VLOOKUP(B33,B8:E23,4,FALSE),"")</f>
        <v/>
      </c>
      <c r="F33" s="27" t="str">
        <f ca="1">IFERROR(VLOOKUP(E33,$E8:$F23,2,FALSE),"")</f>
        <v/>
      </c>
      <c r="G33" s="18" t="str">
        <f t="shared" ca="1" si="8"/>
        <v>-</v>
      </c>
      <c r="H33" s="542" t="str">
        <f ca="1">IFERROR(VLOOKUP(E33,E8:X23,19,FALSE),"")</f>
        <v/>
      </c>
      <c r="I33" s="543"/>
      <c r="J33" s="55">
        <v>7</v>
      </c>
      <c r="K33" s="55" t="str">
        <f ca="1">IFERROR(VLOOKUP(B33,C8:X23,3,FALSE),"")</f>
        <v/>
      </c>
      <c r="L33" s="544" t="str">
        <f ca="1">IFERROR(VLOOKUP(K33,$E8:$F23,2,FALSE),"")</f>
        <v/>
      </c>
      <c r="M33" s="545"/>
      <c r="N33" s="545"/>
      <c r="O33" s="546"/>
      <c r="P33" s="544" t="str">
        <f t="shared" ca="1" si="9"/>
        <v>-</v>
      </c>
      <c r="Q33" s="545"/>
      <c r="R33" s="545"/>
      <c r="S33" s="546"/>
      <c r="T33" s="524" t="str">
        <f ca="1">IFERROR(VLOOKUP(K33,E8:X23,19,FALSE),"")</f>
        <v/>
      </c>
      <c r="U33" s="525"/>
      <c r="V33" s="24"/>
      <c r="W33" s="25"/>
      <c r="X33" s="25"/>
      <c r="Y33" s="25"/>
      <c r="Z33" s="25"/>
      <c r="AA33" s="25"/>
      <c r="AB33" s="26"/>
    </row>
    <row r="34" spans="1:33" s="4" customFormat="1" ht="15.95" customHeight="1" x14ac:dyDescent="0.45">
      <c r="A34" s="8"/>
      <c r="B34" s="10">
        <v>8</v>
      </c>
      <c r="C34" s="3"/>
      <c r="D34" s="55">
        <v>8</v>
      </c>
      <c r="E34" s="19" t="str">
        <f ca="1">IFERROR(VLOOKUP(B34,B8:E23,4,FALSE),"")</f>
        <v/>
      </c>
      <c r="F34" s="27" t="str">
        <f ca="1">IFERROR(VLOOKUP(E34,$E8:$F23,2,FALSE),"")</f>
        <v/>
      </c>
      <c r="G34" s="18" t="str">
        <f t="shared" ca="1" si="8"/>
        <v>-</v>
      </c>
      <c r="H34" s="542" t="str">
        <f ca="1">IFERROR(VLOOKUP(E34,E8:X23,19,FALSE),"")</f>
        <v/>
      </c>
      <c r="I34" s="543"/>
      <c r="J34" s="55">
        <v>8</v>
      </c>
      <c r="K34" s="55" t="str">
        <f ca="1">IFERROR(VLOOKUP(B34,C8:X23,3,FALSE),"")</f>
        <v/>
      </c>
      <c r="L34" s="544" t="str">
        <f ca="1">IFERROR(VLOOKUP(K34,$E8:$F23,2,FALSE),"")</f>
        <v/>
      </c>
      <c r="M34" s="545"/>
      <c r="N34" s="545"/>
      <c r="O34" s="546"/>
      <c r="P34" s="544" t="str">
        <f t="shared" ca="1" si="9"/>
        <v>-</v>
      </c>
      <c r="Q34" s="545"/>
      <c r="R34" s="545"/>
      <c r="S34" s="546"/>
      <c r="T34" s="524" t="str">
        <f ca="1">IFERROR(VLOOKUP(K34,E8:X23,19,FALSE),"")</f>
        <v/>
      </c>
      <c r="U34" s="525"/>
      <c r="V34" s="28"/>
      <c r="W34" s="29"/>
      <c r="X34" s="29"/>
      <c r="Y34" s="29"/>
      <c r="Z34" s="29"/>
      <c r="AA34" s="29"/>
      <c r="AB34" s="30"/>
    </row>
    <row r="35" spans="1:33" s="4" customFormat="1" ht="21" x14ac:dyDescent="0.45">
      <c r="A35" s="2" t="str">
        <f>MatchDay!$U$6</f>
        <v>X</v>
      </c>
      <c r="B35" s="8"/>
      <c r="C35" s="3"/>
      <c r="D35" s="502" t="s">
        <v>186</v>
      </c>
      <c r="E35" s="503"/>
      <c r="F35" s="503"/>
      <c r="G35" s="503"/>
      <c r="H35" s="503"/>
      <c r="I35" s="503"/>
      <c r="J35" s="503"/>
      <c r="K35" s="515" t="s">
        <v>187</v>
      </c>
      <c r="L35" s="516"/>
      <c r="M35" s="516"/>
      <c r="N35" s="516"/>
      <c r="O35" s="518" t="str">
        <f>MatchDay!$C$2&amp;" "&amp;MatchDay!$C$3&amp;" "&amp;MatchDay!$C$4</f>
        <v>LOWER NORTH East 1</v>
      </c>
      <c r="P35" s="519"/>
      <c r="Q35" s="519"/>
      <c r="R35" s="519"/>
      <c r="S35" s="519"/>
      <c r="T35" s="519"/>
      <c r="U35" s="519"/>
      <c r="V35" s="519"/>
      <c r="W35" s="519"/>
      <c r="X35" s="519"/>
      <c r="Y35" s="519"/>
      <c r="Z35" s="519"/>
      <c r="AA35" s="519"/>
      <c r="AB35" s="520"/>
    </row>
    <row r="36" spans="1:33" s="4" customFormat="1" ht="15.75" customHeight="1" x14ac:dyDescent="0.45">
      <c r="A36" s="1" t="str">
        <f>IFERROR(IF(LEFT(MatchDay!$C$2,1)="L","L"&amp;A38,"U"&amp;A38),"")</f>
        <v>LFD02</v>
      </c>
      <c r="B36" s="10">
        <v>59</v>
      </c>
      <c r="C36" s="3"/>
      <c r="D36" s="512" t="s">
        <v>188</v>
      </c>
      <c r="E36" s="514"/>
      <c r="F36" s="513" t="str">
        <f>IFERROR(UPPER(VLOOKUP(A37,teamlookup,6,FALSE)),"")</f>
        <v/>
      </c>
      <c r="G36" s="514"/>
      <c r="H36" s="504" t="s">
        <v>201</v>
      </c>
      <c r="I36" s="510"/>
      <c r="J36" s="505"/>
      <c r="K36" s="512" t="str">
        <f>MatchDay!$C$8</f>
        <v>@ Doncaster</v>
      </c>
      <c r="L36" s="513"/>
      <c r="M36" s="513"/>
      <c r="N36" s="513"/>
      <c r="O36" s="513"/>
      <c r="P36" s="514"/>
      <c r="Q36" s="504" t="s">
        <v>160</v>
      </c>
      <c r="R36" s="505"/>
      <c r="S36" s="521">
        <f>MatchDay!$C$7</f>
        <v>43582</v>
      </c>
      <c r="T36" s="522"/>
      <c r="U36" s="522"/>
      <c r="V36" s="522"/>
      <c r="W36" s="522"/>
      <c r="X36" s="523"/>
      <c r="Y36" s="526" t="str">
        <f>IFERROR(IF(LEFT(A36,1)="L","",VLOOKUP(A36,AAA!$A:$I,8,FALSE)),"")</f>
        <v/>
      </c>
      <c r="Z36" s="527"/>
      <c r="AA36" s="524" t="str">
        <f>IFERROR(IF(LEFT(A36,1)="L","",VLOOKUP(A36,standards,9,FALSE)),"")</f>
        <v/>
      </c>
      <c r="AB36" s="525"/>
      <c r="AC36" s="6"/>
      <c r="AD36" s="6"/>
    </row>
    <row r="37" spans="1:33" s="4" customFormat="1" ht="15.75" customHeight="1" x14ac:dyDescent="0.45">
      <c r="A37" s="5">
        <f>IFERROR(IF(A35=1,VLOOKUP(A36,judges,VLOOKUP(MatchDay!$U$2*10+MatchDay!$C$5,judgesp,5,FALSE),FALSE),VLOOKUP(Distance!A36,judges,VLOOKUP(MatchDay!$U$2*10+MatchDay!$C$5,judges2,5,FALSE),FALSE)),"")</f>
        <v>0</v>
      </c>
      <c r="B37" s="181">
        <f>IFERROR(VLOOKUP(A36,Timetables!$A:$E,5,FALSE)-1,"")</f>
        <v>15</v>
      </c>
      <c r="C37" s="3"/>
      <c r="D37" s="504" t="s">
        <v>161</v>
      </c>
      <c r="E37" s="505"/>
      <c r="F37" s="508" t="str">
        <f>IFERROR(VLOOKUP(A36,timetables,2,FALSE)&amp;" "&amp;VLOOKUP(A36,timetables,3,FALSE),"")</f>
        <v>Hammer U15 Girls</v>
      </c>
      <c r="G37" s="509"/>
      <c r="H37" s="504" t="s">
        <v>162</v>
      </c>
      <c r="I37" s="510"/>
      <c r="J37" s="505"/>
      <c r="K37" s="511">
        <f>IFERROR(IF(A35=1,VLOOKUP(A36,Timetables!$A:$G,6,FALSE),VLOOKUP(A36,Timetables!$A:$G,7,FALSE)),"")</f>
        <v>0.47916666666666669</v>
      </c>
      <c r="L37" s="511" t="e">
        <v>#N/A</v>
      </c>
      <c r="M37" s="504" t="s">
        <v>202</v>
      </c>
      <c r="N37" s="505"/>
      <c r="O37" s="506" t="str">
        <f>IFERROR(VLOOKUP(A36,records,3,FALSE)&amp;", "&amp;VLOOKUP(A36,records,4,FALSE)&amp;", "&amp;VLOOKUP(A36,records,5,FALSE)&amp;", "&amp;VLOOKUP(A36,records,6,FALSE)&amp;", "&amp;VLOOKUP(A36,records,7,FALSE)&amp;" "&amp;VLOOKUP(A36,records,8,FALSE),"")</f>
        <v>Phoebe Baggott, Wolverhampton &amp; Bilston, 55.15, Telford, July 16th 2016</v>
      </c>
      <c r="P37" s="506"/>
      <c r="Q37" s="506"/>
      <c r="R37" s="506"/>
      <c r="S37" s="506"/>
      <c r="T37" s="506"/>
      <c r="U37" s="506"/>
      <c r="V37" s="506"/>
      <c r="W37" s="506"/>
      <c r="X37" s="506"/>
      <c r="Y37" s="506"/>
      <c r="Z37" s="506"/>
      <c r="AA37" s="506"/>
      <c r="AB37" s="507"/>
    </row>
    <row r="38" spans="1:33" s="4" customFormat="1" ht="32.1" customHeight="1" x14ac:dyDescent="0.45">
      <c r="A38" s="5" t="s">
        <v>257</v>
      </c>
      <c r="B38" s="10" t="str">
        <f>IFERROR(VLOOKUP($A38,fdistance,2,FALSE),"")</f>
        <v>M</v>
      </c>
      <c r="C38" s="10">
        <f>IFERROR(VLOOKUP($A38,fdistance,3,FALSE),"")</f>
        <v>4</v>
      </c>
      <c r="D38" s="31" t="s">
        <v>163</v>
      </c>
      <c r="E38" s="13" t="s">
        <v>164</v>
      </c>
      <c r="F38" s="13" t="s">
        <v>165</v>
      </c>
      <c r="G38" s="14" t="s">
        <v>166</v>
      </c>
      <c r="H38" s="532" t="s">
        <v>167</v>
      </c>
      <c r="I38" s="534"/>
      <c r="J38" s="534" t="s">
        <v>168</v>
      </c>
      <c r="K38" s="534"/>
      <c r="L38" s="534" t="s">
        <v>169</v>
      </c>
      <c r="M38" s="534"/>
      <c r="N38" s="534" t="s">
        <v>170</v>
      </c>
      <c r="O38" s="534"/>
      <c r="P38" s="535" t="s">
        <v>171</v>
      </c>
      <c r="Q38" s="534" t="s">
        <v>172</v>
      </c>
      <c r="R38" s="534"/>
      <c r="S38" s="534" t="s">
        <v>173</v>
      </c>
      <c r="T38" s="534"/>
      <c r="U38" s="534" t="s">
        <v>174</v>
      </c>
      <c r="V38" s="534"/>
      <c r="W38" s="537" t="s">
        <v>175</v>
      </c>
      <c r="X38" s="538"/>
      <c r="Y38" s="528" t="s">
        <v>176</v>
      </c>
      <c r="Z38" s="530" t="s">
        <v>177</v>
      </c>
      <c r="AA38" s="531"/>
      <c r="AB38" s="532"/>
    </row>
    <row r="39" spans="1:33" s="4" customFormat="1" ht="11.65" x14ac:dyDescent="0.35">
      <c r="A39" s="137">
        <f>IFERROR(SEARCH("U17",F37),0)</f>
        <v>0</v>
      </c>
      <c r="B39" s="7" t="s">
        <v>53</v>
      </c>
      <c r="C39" s="7" t="s">
        <v>54</v>
      </c>
      <c r="D39" s="56"/>
      <c r="E39" s="56"/>
      <c r="F39" s="15"/>
      <c r="G39" s="16"/>
      <c r="H39" s="514" t="s">
        <v>178</v>
      </c>
      <c r="I39" s="533"/>
      <c r="J39" s="533" t="s">
        <v>178</v>
      </c>
      <c r="K39" s="533"/>
      <c r="L39" s="533" t="s">
        <v>178</v>
      </c>
      <c r="M39" s="533"/>
      <c r="N39" s="533" t="s">
        <v>178</v>
      </c>
      <c r="O39" s="533"/>
      <c r="P39" s="536"/>
      <c r="Q39" s="533" t="s">
        <v>178</v>
      </c>
      <c r="R39" s="533"/>
      <c r="S39" s="533" t="s">
        <v>178</v>
      </c>
      <c r="T39" s="533"/>
      <c r="U39" s="533" t="s">
        <v>178</v>
      </c>
      <c r="V39" s="533"/>
      <c r="W39" s="533" t="s">
        <v>178</v>
      </c>
      <c r="X39" s="512"/>
      <c r="Y39" s="529"/>
      <c r="Z39" s="55"/>
      <c r="AA39" s="55" t="s">
        <v>53</v>
      </c>
      <c r="AB39" s="55" t="s">
        <v>54</v>
      </c>
    </row>
    <row r="40" spans="1:33" s="4" customFormat="1" ht="15.95" customHeight="1" x14ac:dyDescent="0.35">
      <c r="A40" s="8">
        <f>IFERROR(IF(D40&gt;MatchDay!$U$2,"-",VLOOKUP(A36,timetables,MatchDay!$U$4,FALSE)),0)</f>
        <v>4</v>
      </c>
      <c r="B40" s="7" t="str">
        <f ca="1">AA40</f>
        <v/>
      </c>
      <c r="C40" s="7" t="str">
        <f ca="1">AB40</f>
        <v/>
      </c>
      <c r="D40" s="56">
        <v>1</v>
      </c>
      <c r="E40" s="17">
        <f>A40</f>
        <v>4</v>
      </c>
      <c r="F40" s="18" t="str">
        <f ca="1">IFERROR(IF(A39=0,HLOOKUP(E40,Declarations!$D$2:$S$102,B37,FALSE),HLOOKUP(VLOOKUP(E40,Teams!$V$2:$W$19,2,FALSE),Declarations!$D$2:$S$102,B37,FALSE)),"")</f>
        <v>-</v>
      </c>
      <c r="G40" s="18" t="str">
        <f t="shared" ref="G40:G55" si="10">IFERROR(VLOOKUP(E40,teamlookup,5,FALSE),"-")</f>
        <v>M'bro</v>
      </c>
      <c r="H40" s="524">
        <f ca="1">IFERROR(INDIRECT(CONCATENATE("'Distance Input'!"&amp;B38&amp;C38)),"")</f>
        <v>0</v>
      </c>
      <c r="I40" s="525"/>
      <c r="J40" s="524">
        <v>0</v>
      </c>
      <c r="K40" s="525"/>
      <c r="L40" s="524">
        <v>0</v>
      </c>
      <c r="M40" s="525"/>
      <c r="N40" s="539">
        <f ca="1">H40</f>
        <v>0</v>
      </c>
      <c r="O40" s="540"/>
      <c r="P40" s="55">
        <v>0</v>
      </c>
      <c r="Q40" s="541">
        <v>0</v>
      </c>
      <c r="R40" s="541"/>
      <c r="S40" s="541">
        <v>0</v>
      </c>
      <c r="T40" s="541"/>
      <c r="U40" s="541">
        <v>0</v>
      </c>
      <c r="V40" s="541"/>
      <c r="W40" s="524">
        <f ca="1">N40</f>
        <v>0</v>
      </c>
      <c r="X40" s="525"/>
      <c r="Y40" s="55">
        <f ca="1">IF(OR(W40="",W40=0),0,IF(W40="X",MatchDay!$U$2+MatchDay!$U$2+1-COUNTIF(Distance!W40:W40,"X"),RANK(W40,$W40:$X55,0)))</f>
        <v>0</v>
      </c>
      <c r="Z40" s="19">
        <f ca="1">IFERROR(IF(Y40=0,0,IF(OR(VLOOKUP(AG40,E48:Y55,21,FALSE)=0,Y40&lt;=VLOOKUP(AG40,E48:Y55,21,FALSE)),"A","B")),"")</f>
        <v>0</v>
      </c>
      <c r="AA40" s="19" t="str">
        <f ca="1">IFERROR(IF(Z40="B","",RANK(AD40,AD40:AD55,1)),"")</f>
        <v/>
      </c>
      <c r="AB40" s="19" t="str">
        <f ca="1">IFERROR(IF(Z40="A","",RANK(AE40,AE40:AE55,1)),"")</f>
        <v/>
      </c>
      <c r="AC40" s="8"/>
      <c r="AD40" s="9" t="str">
        <f ca="1">IF(OR(W40=0,Y40=0,Z40="B"),"",Y40)</f>
        <v/>
      </c>
      <c r="AE40" s="9" t="str">
        <f ca="1">IF(OR(W40=0,Y40=0,Z40="A"),"",Y40)</f>
        <v/>
      </c>
      <c r="AF40" s="9" t="s">
        <v>179</v>
      </c>
      <c r="AG40" s="4">
        <f>IFERROR(IF(A39=0,E40*11,E40&amp;E40),"")</f>
        <v>44</v>
      </c>
    </row>
    <row r="41" spans="1:33" s="4" customFormat="1" ht="15.95" customHeight="1" x14ac:dyDescent="0.35">
      <c r="A41" s="8">
        <f>IFERROR(IF(D41&gt;MatchDay!$U$2,"-",VLOOKUP(A36,timetables,MatchDay!$U$4+1,FALSE)),0)</f>
        <v>5</v>
      </c>
      <c r="B41" s="7">
        <f t="shared" ref="B41:B55" ca="1" si="11">AA41</f>
        <v>1</v>
      </c>
      <c r="C41" s="7" t="str">
        <f t="shared" ref="C41:C55" ca="1" si="12">AB41</f>
        <v/>
      </c>
      <c r="D41" s="55">
        <v>2</v>
      </c>
      <c r="E41" s="17">
        <f t="shared" ref="E41:E55" si="13">A41</f>
        <v>5</v>
      </c>
      <c r="F41" s="18" t="str">
        <f ca="1">IFERROR(IF(A39=0,HLOOKUP(E41,Declarations!$D$2:$S$102,B37,FALSE),HLOOKUP(VLOOKUP(E41,Teams!$V$2:$W$19,2,FALSE),Declarations!$D$2:$S$102,B37,FALSE)),"")</f>
        <v>LOVE Katie</v>
      </c>
      <c r="G41" s="18" t="str">
        <f t="shared" si="10"/>
        <v>Scun</v>
      </c>
      <c r="H41" s="524">
        <f ca="1">IFERROR(INDIRECT(CONCATENATE("'Distance Input'!"&amp;B38&amp;C38+1)),"")</f>
        <v>30.77</v>
      </c>
      <c r="I41" s="525"/>
      <c r="J41" s="524">
        <v>0</v>
      </c>
      <c r="K41" s="525"/>
      <c r="L41" s="524">
        <v>0</v>
      </c>
      <c r="M41" s="525"/>
      <c r="N41" s="539">
        <f t="shared" ref="N41:N55" ca="1" si="14">H41</f>
        <v>30.77</v>
      </c>
      <c r="O41" s="540"/>
      <c r="P41" s="55">
        <v>0</v>
      </c>
      <c r="Q41" s="541">
        <v>0</v>
      </c>
      <c r="R41" s="541"/>
      <c r="S41" s="541">
        <v>0</v>
      </c>
      <c r="T41" s="541"/>
      <c r="U41" s="541">
        <v>0</v>
      </c>
      <c r="V41" s="541"/>
      <c r="W41" s="524">
        <f t="shared" ref="W41:W55" ca="1" si="15">N41</f>
        <v>30.77</v>
      </c>
      <c r="X41" s="525"/>
      <c r="Y41" s="55">
        <f ca="1">IF(OR(W41="",W41=0),0,IF(W41="X",MatchDay!$U$2+MatchDay!$U$2+1-COUNTIF(Distance!W40:W41,"X"),RANK(W41,$W40:$X55,0)))</f>
        <v>1</v>
      </c>
      <c r="Z41" s="19" t="str">
        <f ca="1">IFERROR(IF(Y41=0,0,IF(OR(VLOOKUP(AG41,E48:Y55,21,FALSE)=0,Y41&lt;=VLOOKUP(AG41,E48:Y55,21,FALSE)),"A","B")),"")</f>
        <v>A</v>
      </c>
      <c r="AA41" s="19">
        <f ca="1">IFERROR(IF(Z41="B","",RANK(AD41,AD40:AD55,1)),"")</f>
        <v>1</v>
      </c>
      <c r="AB41" s="19" t="str">
        <f ca="1">IFERROR(IF(Z41="A","",RANK(AE41,AE40:AE55,1)),"")</f>
        <v/>
      </c>
      <c r="AC41" s="8"/>
      <c r="AD41" s="9">
        <f t="shared" ref="AD41:AD55" ca="1" si="16">IF(OR(W41=0,Y41=0,Z41="B"),"",Y41)</f>
        <v>1</v>
      </c>
      <c r="AE41" s="9" t="str">
        <f t="shared" ref="AE41:AE55" ca="1" si="17">IF(OR(W41=0,Y41=0,Z41="A"),"",Y41)</f>
        <v/>
      </c>
      <c r="AF41" s="9" t="s">
        <v>179</v>
      </c>
      <c r="AG41" s="4">
        <f>IFERROR(IF(A39=0,E41*11,E41&amp;E41),"")</f>
        <v>55</v>
      </c>
    </row>
    <row r="42" spans="1:33" s="4" customFormat="1" ht="15.95" customHeight="1" x14ac:dyDescent="0.35">
      <c r="A42" s="8">
        <f>IFERROR(IF(D42&gt;MatchDay!$U$2,"-",VLOOKUP(A36,timetables,MatchDay!$U$4+2,FALSE)),0)</f>
        <v>1</v>
      </c>
      <c r="B42" s="7" t="str">
        <f t="shared" ca="1" si="11"/>
        <v/>
      </c>
      <c r="C42" s="7">
        <f t="shared" ca="1" si="12"/>
        <v>1</v>
      </c>
      <c r="D42" s="55">
        <v>3</v>
      </c>
      <c r="E42" s="17">
        <f t="shared" si="13"/>
        <v>1</v>
      </c>
      <c r="F42" s="18" t="str">
        <f ca="1">IFERROR(IF(A39=0,HLOOKUP(E42,Declarations!$D$2:$S$102,B37,FALSE),HLOOKUP(VLOOKUP(E42,Teams!$V$2:$W$19,2,FALSE),Declarations!$D$2:$S$102,B37,FALSE)),"")</f>
        <v>LABAN Ella</v>
      </c>
      <c r="G42" s="18" t="str">
        <f t="shared" si="10"/>
        <v>C'field</v>
      </c>
      <c r="H42" s="524">
        <f ca="1">IFERROR(INDIRECT(CONCATENATE("'Distance Input'!"&amp;B38&amp;C38+2)),"")</f>
        <v>19.600000000000001</v>
      </c>
      <c r="I42" s="525"/>
      <c r="J42" s="524">
        <v>0</v>
      </c>
      <c r="K42" s="525"/>
      <c r="L42" s="524">
        <v>0</v>
      </c>
      <c r="M42" s="525"/>
      <c r="N42" s="539">
        <f t="shared" ca="1" si="14"/>
        <v>19.600000000000001</v>
      </c>
      <c r="O42" s="540"/>
      <c r="P42" s="55">
        <v>0</v>
      </c>
      <c r="Q42" s="541">
        <v>0</v>
      </c>
      <c r="R42" s="541"/>
      <c r="S42" s="541">
        <v>0</v>
      </c>
      <c r="T42" s="541"/>
      <c r="U42" s="541">
        <v>0</v>
      </c>
      <c r="V42" s="541"/>
      <c r="W42" s="524">
        <f t="shared" ca="1" si="15"/>
        <v>19.600000000000001</v>
      </c>
      <c r="X42" s="525"/>
      <c r="Y42" s="55">
        <f ca="1">IF(OR(W42="",W42=0),0,IF(W42="X",MatchDay!$U$2+MatchDay!$U$2+1-COUNTIF(Distance!W40:W42,"X"),RANK(W42,$W40:$X55,0)))</f>
        <v>3</v>
      </c>
      <c r="Z42" s="19" t="str">
        <f ca="1">IFERROR(IF(Y42=0,0,IF(OR(VLOOKUP(AG42,E48:Y55,21,FALSE)=0,Y42&lt;=VLOOKUP(AG42,E48:Y55,21,FALSE)),"A","B")),"")</f>
        <v>B</v>
      </c>
      <c r="AA42" s="19" t="str">
        <f ca="1">IFERROR(IF(Z42="B","",RANK(AD42,AD40:AD55,1)),"")</f>
        <v/>
      </c>
      <c r="AB42" s="19">
        <f ca="1">IFERROR(IF(Z42="A","",RANK(AE42,AE40:AE55,1)),"")</f>
        <v>1</v>
      </c>
      <c r="AD42" s="9" t="str">
        <f t="shared" ca="1" si="16"/>
        <v/>
      </c>
      <c r="AE42" s="9">
        <f t="shared" ca="1" si="17"/>
        <v>3</v>
      </c>
      <c r="AF42" s="9" t="s">
        <v>179</v>
      </c>
      <c r="AG42" s="4">
        <f>IFERROR(IF(A39=0,E42*11,E42&amp;E42),"")</f>
        <v>11</v>
      </c>
    </row>
    <row r="43" spans="1:33" s="4" customFormat="1" ht="15.95" customHeight="1" x14ac:dyDescent="0.35">
      <c r="A43" s="8">
        <f>IFERROR(IF(D43&gt;MatchDay!$U$2,"-",VLOOKUP(A36,timetables,MatchDay!$U$4+3,FALSE)),0)</f>
        <v>3</v>
      </c>
      <c r="B43" s="7" t="str">
        <f t="shared" ca="1" si="11"/>
        <v/>
      </c>
      <c r="C43" s="7" t="str">
        <f t="shared" ca="1" si="12"/>
        <v/>
      </c>
      <c r="D43" s="55">
        <v>4</v>
      </c>
      <c r="E43" s="17">
        <f t="shared" si="13"/>
        <v>3</v>
      </c>
      <c r="F43" s="18" t="str">
        <f ca="1">IFERROR(IF(A39=0,HLOOKUP(E43,Declarations!$D$2:$S$102,B37,FALSE),HLOOKUP(VLOOKUP(E43,Teams!$V$2:$W$19,2,FALSE),Declarations!$D$2:$S$102,B37,FALSE)),"")</f>
        <v>-</v>
      </c>
      <c r="G43" s="18" t="str">
        <f t="shared" si="10"/>
        <v>York</v>
      </c>
      <c r="H43" s="524">
        <f ca="1">IFERROR(INDIRECT(CONCATENATE("'Distance Input'!"&amp;B38&amp;C38+3)),"")</f>
        <v>0</v>
      </c>
      <c r="I43" s="525"/>
      <c r="J43" s="524">
        <v>0</v>
      </c>
      <c r="K43" s="525"/>
      <c r="L43" s="524">
        <v>0</v>
      </c>
      <c r="M43" s="525"/>
      <c r="N43" s="539">
        <f t="shared" ca="1" si="14"/>
        <v>0</v>
      </c>
      <c r="O43" s="540"/>
      <c r="P43" s="55">
        <v>0</v>
      </c>
      <c r="Q43" s="541">
        <v>0</v>
      </c>
      <c r="R43" s="541"/>
      <c r="S43" s="541">
        <v>0</v>
      </c>
      <c r="T43" s="541"/>
      <c r="U43" s="541">
        <v>0</v>
      </c>
      <c r="V43" s="541"/>
      <c r="W43" s="524">
        <f t="shared" ca="1" si="15"/>
        <v>0</v>
      </c>
      <c r="X43" s="525"/>
      <c r="Y43" s="55">
        <f ca="1">IF(OR(W43="",W43=0),0,IF(W43="X",MatchDay!$U$2+MatchDay!$U$2+1-COUNTIF(Distance!W40:W43,"X"),RANK(W43,$W40:$X55,0)))</f>
        <v>0</v>
      </c>
      <c r="Z43" s="19">
        <f ca="1">IFERROR(IF(Y43=0,0,IF(OR(VLOOKUP(AG43,E48:Y55,21,FALSE)=0,Y43&lt;=VLOOKUP(AG43,E48:Y55,21,FALSE)),"A","B")),"")</f>
        <v>0</v>
      </c>
      <c r="AA43" s="19" t="str">
        <f ca="1">IFERROR(IF(Z43="B","",RANK(AD43,AD40:AD55,1)),"")</f>
        <v/>
      </c>
      <c r="AB43" s="19" t="str">
        <f ca="1">IFERROR(IF(Z43="A","",RANK(AE43,AE40:AE55,1)),"")</f>
        <v/>
      </c>
      <c r="AD43" s="9" t="str">
        <f t="shared" ca="1" si="16"/>
        <v/>
      </c>
      <c r="AE43" s="9" t="str">
        <f t="shared" ca="1" si="17"/>
        <v/>
      </c>
      <c r="AF43" s="9" t="s">
        <v>179</v>
      </c>
      <c r="AG43" s="4">
        <f>IFERROR(IF(A39=0,E43*11,E43&amp;E43),"")</f>
        <v>33</v>
      </c>
    </row>
    <row r="44" spans="1:33" s="4" customFormat="1" ht="15.95" customHeight="1" x14ac:dyDescent="0.35">
      <c r="A44" s="8">
        <f>IFERROR(IF(D44&gt;MatchDay!$U$2,"-",VLOOKUP(A36,timetables,MatchDay!$U$4+4,FALSE)),0)</f>
        <v>2</v>
      </c>
      <c r="B44" s="7" t="str">
        <f t="shared" ca="1" si="11"/>
        <v/>
      </c>
      <c r="C44" s="7">
        <f t="shared" ca="1" si="12"/>
        <v>3</v>
      </c>
      <c r="D44" s="55">
        <v>5</v>
      </c>
      <c r="E44" s="17">
        <f t="shared" si="13"/>
        <v>2</v>
      </c>
      <c r="F44" s="18" t="str">
        <f ca="1">IFERROR(IF(A39=0,HLOOKUP(E44,Declarations!$D$2:$S$102,B37,FALSE),HLOOKUP(VLOOKUP(E44,Teams!$V$2:$W$19,2,FALSE),Declarations!$D$2:$S$102,B37,FALSE)),"")</f>
        <v>KYNOCH Ella</v>
      </c>
      <c r="G44" s="18" t="str">
        <f t="shared" si="10"/>
        <v>Sheff+D</v>
      </c>
      <c r="H44" s="524">
        <f ca="1">IFERROR(INDIRECT(CONCATENATE("'Distance Input'!"&amp;B38&amp;C38+4)),"")</f>
        <v>7.09</v>
      </c>
      <c r="I44" s="525"/>
      <c r="J44" s="524">
        <v>0</v>
      </c>
      <c r="K44" s="525"/>
      <c r="L44" s="524">
        <v>0</v>
      </c>
      <c r="M44" s="525"/>
      <c r="N44" s="539">
        <f t="shared" ca="1" si="14"/>
        <v>7.09</v>
      </c>
      <c r="O44" s="540"/>
      <c r="P44" s="55">
        <v>0</v>
      </c>
      <c r="Q44" s="541">
        <v>0</v>
      </c>
      <c r="R44" s="541"/>
      <c r="S44" s="541">
        <v>0</v>
      </c>
      <c r="T44" s="541"/>
      <c r="U44" s="541">
        <v>0</v>
      </c>
      <c r="V44" s="541"/>
      <c r="W44" s="524">
        <f t="shared" ca="1" si="15"/>
        <v>7.09</v>
      </c>
      <c r="X44" s="525"/>
      <c r="Y44" s="55">
        <f ca="1">IF(OR(W44="",W44=0),0,IF(W44="X",MatchDay!$U$2+MatchDay!$U$2+1-COUNTIF(Distance!W40:W44,"X"),RANK(W44,$W40:$X55,0)))</f>
        <v>6</v>
      </c>
      <c r="Z44" s="19" t="str">
        <f ca="1">IFERROR(IF(Y44=0,0,IF(OR(VLOOKUP(AG44,E48:Y55,21,FALSE)=0,Y44&lt;=VLOOKUP(AG44,E48:Y55,21,FALSE)),"A","B")),"")</f>
        <v>B</v>
      </c>
      <c r="AA44" s="19" t="str">
        <f ca="1">IFERROR(IF(Z44="B","",RANK(AD44,AD40:AD55,1)),"")</f>
        <v/>
      </c>
      <c r="AB44" s="19">
        <f ca="1">IFERROR(IF(Z44="A","",RANK(AE44,AE40:AE55,1)),"")</f>
        <v>3</v>
      </c>
      <c r="AD44" s="9" t="str">
        <f t="shared" ca="1" si="16"/>
        <v/>
      </c>
      <c r="AE44" s="9">
        <f t="shared" ca="1" si="17"/>
        <v>6</v>
      </c>
      <c r="AF44" s="9" t="s">
        <v>179</v>
      </c>
      <c r="AG44" s="4">
        <f>IFERROR(IF(A39=0,E44*11,E44&amp;E44),"")</f>
        <v>22</v>
      </c>
    </row>
    <row r="45" spans="1:33" s="4" customFormat="1" ht="15.95" customHeight="1" x14ac:dyDescent="0.35">
      <c r="A45" s="8" t="str">
        <f>IFERROR(IF(D45&gt;MatchDay!$U$2,"-",VLOOKUP(A36,timetables,MatchDay!$U$4+5,FALSE)),0)</f>
        <v>-</v>
      </c>
      <c r="B45" s="7" t="str">
        <f t="shared" ca="1" si="11"/>
        <v/>
      </c>
      <c r="C45" s="7" t="str">
        <f t="shared" ca="1" si="12"/>
        <v/>
      </c>
      <c r="D45" s="55">
        <v>6</v>
      </c>
      <c r="E45" s="17" t="str">
        <f t="shared" si="13"/>
        <v>-</v>
      </c>
      <c r="F45" s="18" t="str">
        <f>IFERROR(IF(A39=0,HLOOKUP(E45,Declarations!$D$2:$S$102,B37,FALSE),HLOOKUP(VLOOKUP(E45,Teams!$V$2:$W$19,2,FALSE),Declarations!$D$2:$S$102,B37,FALSE)),"")</f>
        <v/>
      </c>
      <c r="G45" s="18" t="str">
        <f t="shared" si="10"/>
        <v/>
      </c>
      <c r="H45" s="524">
        <f ca="1">IFERROR(INDIRECT(CONCATENATE("'Distance Input'!"&amp;B38&amp;C38+5)),"")</f>
        <v>0</v>
      </c>
      <c r="I45" s="525"/>
      <c r="J45" s="524">
        <v>0</v>
      </c>
      <c r="K45" s="525"/>
      <c r="L45" s="524">
        <v>0</v>
      </c>
      <c r="M45" s="525"/>
      <c r="N45" s="539">
        <f t="shared" ca="1" si="14"/>
        <v>0</v>
      </c>
      <c r="O45" s="540"/>
      <c r="P45" s="55">
        <v>0</v>
      </c>
      <c r="Q45" s="541">
        <v>0</v>
      </c>
      <c r="R45" s="541"/>
      <c r="S45" s="541">
        <v>0</v>
      </c>
      <c r="T45" s="541"/>
      <c r="U45" s="541">
        <v>0</v>
      </c>
      <c r="V45" s="541"/>
      <c r="W45" s="524">
        <f t="shared" ca="1" si="15"/>
        <v>0</v>
      </c>
      <c r="X45" s="525"/>
      <c r="Y45" s="55">
        <f ca="1">IF(OR(W45="",W45=0),0,IF(W45="X",MatchDay!$U$2+MatchDay!$U$2+1-COUNTIF(Distance!W40:W45,"X"),RANK(W45,$W40:$X55,0)))</f>
        <v>0</v>
      </c>
      <c r="Z45" s="19">
        <f ca="1">IFERROR(IF(Y45=0,0,IF(OR(VLOOKUP(AG45,E48:Y55,21,FALSE)=0,Y45&lt;=VLOOKUP(AG45,E48:Y55,21,FALSE)),"A","B")),"")</f>
        <v>0</v>
      </c>
      <c r="AA45" s="19" t="str">
        <f ca="1">IFERROR(IF(Z45="B","",RANK(AD45,AD40:AD55,1)),"")</f>
        <v/>
      </c>
      <c r="AB45" s="19" t="str">
        <f ca="1">IFERROR(IF(Z45="A","",RANK(AE45,AE40:AE55,1)),"")</f>
        <v/>
      </c>
      <c r="AD45" s="9" t="str">
        <f t="shared" ca="1" si="16"/>
        <v/>
      </c>
      <c r="AE45" s="9" t="str">
        <f t="shared" ca="1" si="17"/>
        <v/>
      </c>
      <c r="AF45" s="9" t="s">
        <v>179</v>
      </c>
      <c r="AG45" s="4" t="str">
        <f>IFERROR(IF(A39=0,E45*11,E45&amp;E45),"")</f>
        <v/>
      </c>
    </row>
    <row r="46" spans="1:33" s="4" customFormat="1" ht="15.95" customHeight="1" x14ac:dyDescent="0.35">
      <c r="A46" s="8" t="str">
        <f>IFERROR(IF(D46&gt;MatchDay!$U$2,"-",VLOOKUP(A36,timetables,MatchDay!$U$4+6,FALSE)),0)</f>
        <v>-</v>
      </c>
      <c r="B46" s="7" t="str">
        <f t="shared" ca="1" si="11"/>
        <v/>
      </c>
      <c r="C46" s="7" t="str">
        <f t="shared" ca="1" si="12"/>
        <v/>
      </c>
      <c r="D46" s="55">
        <v>7</v>
      </c>
      <c r="E46" s="17" t="str">
        <f t="shared" si="13"/>
        <v>-</v>
      </c>
      <c r="F46" s="18" t="str">
        <f>IFERROR(IF(A39=0,HLOOKUP(E46,Declarations!$D$2:$S$102,B37,FALSE),HLOOKUP(VLOOKUP(E46,Teams!$V$2:$W$19,2,FALSE),Declarations!$D$2:$S$102,B37,FALSE)),"")</f>
        <v/>
      </c>
      <c r="G46" s="18" t="str">
        <f t="shared" si="10"/>
        <v/>
      </c>
      <c r="H46" s="524">
        <f ca="1">IFERROR(INDIRECT(CONCATENATE("'Distance Input'!"&amp;B38&amp;C38+6)),"")</f>
        <v>0</v>
      </c>
      <c r="I46" s="525"/>
      <c r="J46" s="524">
        <v>0</v>
      </c>
      <c r="K46" s="525"/>
      <c r="L46" s="524">
        <v>0</v>
      </c>
      <c r="M46" s="525"/>
      <c r="N46" s="539">
        <f t="shared" ca="1" si="14"/>
        <v>0</v>
      </c>
      <c r="O46" s="540"/>
      <c r="P46" s="55">
        <v>0</v>
      </c>
      <c r="Q46" s="541">
        <v>0</v>
      </c>
      <c r="R46" s="541"/>
      <c r="S46" s="541">
        <v>0</v>
      </c>
      <c r="T46" s="541"/>
      <c r="U46" s="541">
        <v>0</v>
      </c>
      <c r="V46" s="541"/>
      <c r="W46" s="524">
        <f t="shared" ca="1" si="15"/>
        <v>0</v>
      </c>
      <c r="X46" s="525"/>
      <c r="Y46" s="55">
        <f ca="1">IF(OR(W46="",W46=0),0,IF(W46="X",MatchDay!$U$2+MatchDay!$U$2+1-COUNTIF(Distance!W40:W46,"X"),RANK(W46,$W40:$X55,0)))</f>
        <v>0</v>
      </c>
      <c r="Z46" s="19">
        <f ca="1">IFERROR(IF(Y46=0,0,IF(OR(VLOOKUP(AG46,E48:Y55,21,FALSE)=0,Y46&lt;=VLOOKUP(AG46,E48:Y55,21,FALSE)),"A","B")),"")</f>
        <v>0</v>
      </c>
      <c r="AA46" s="19" t="str">
        <f ca="1">IFERROR(IF(Z46="B","",RANK(AD46,AD40:AD55,1)),"")</f>
        <v/>
      </c>
      <c r="AB46" s="19" t="str">
        <f ca="1">IFERROR(IF(Z46="A","",RANK(AE46,AE40:AE55,1)),"")</f>
        <v/>
      </c>
      <c r="AD46" s="9" t="str">
        <f t="shared" ca="1" si="16"/>
        <v/>
      </c>
      <c r="AE46" s="9" t="str">
        <f t="shared" ca="1" si="17"/>
        <v/>
      </c>
      <c r="AF46" s="9" t="s">
        <v>179</v>
      </c>
      <c r="AG46" s="4" t="str">
        <f>IFERROR(IF(A39=0,E46*11,E46&amp;E46),"")</f>
        <v/>
      </c>
    </row>
    <row r="47" spans="1:33" s="4" customFormat="1" ht="15.95" customHeight="1" x14ac:dyDescent="0.35">
      <c r="A47" s="8" t="str">
        <f>IFERROR(IF(D47&gt;MatchDay!$U$2,"-",VLOOKUP(A36,timetables,MatchDay!$U$4+7,FALSE)),0)</f>
        <v>-</v>
      </c>
      <c r="B47" s="7" t="str">
        <f t="shared" ca="1" si="11"/>
        <v/>
      </c>
      <c r="C47" s="7" t="str">
        <f t="shared" ca="1" si="12"/>
        <v/>
      </c>
      <c r="D47" s="55">
        <v>8</v>
      </c>
      <c r="E47" s="17" t="str">
        <f t="shared" si="13"/>
        <v>-</v>
      </c>
      <c r="F47" s="18" t="str">
        <f>IFERROR(IF(A39=0,HLOOKUP(E47,Declarations!$D$2:$S$102,B37,FALSE),HLOOKUP(VLOOKUP(E47,Teams!$V$2:$W$19,2,FALSE),Declarations!$D$2:$S$102,B37,FALSE)),"")</f>
        <v/>
      </c>
      <c r="G47" s="18" t="str">
        <f t="shared" si="10"/>
        <v/>
      </c>
      <c r="H47" s="524">
        <f ca="1">IFERROR(INDIRECT(CONCATENATE("'Distance Input'!"&amp;B38&amp;C38+7)),"")</f>
        <v>0</v>
      </c>
      <c r="I47" s="525"/>
      <c r="J47" s="524">
        <v>0</v>
      </c>
      <c r="K47" s="525"/>
      <c r="L47" s="524">
        <v>0</v>
      </c>
      <c r="M47" s="525"/>
      <c r="N47" s="539">
        <f t="shared" ca="1" si="14"/>
        <v>0</v>
      </c>
      <c r="O47" s="540"/>
      <c r="P47" s="55">
        <v>0</v>
      </c>
      <c r="Q47" s="541">
        <v>0</v>
      </c>
      <c r="R47" s="541"/>
      <c r="S47" s="541">
        <v>0</v>
      </c>
      <c r="T47" s="541"/>
      <c r="U47" s="541">
        <v>0</v>
      </c>
      <c r="V47" s="541"/>
      <c r="W47" s="524">
        <f t="shared" ca="1" si="15"/>
        <v>0</v>
      </c>
      <c r="X47" s="525"/>
      <c r="Y47" s="55">
        <f ca="1">IF(OR(W47="",W47=0),0,IF(W47="X",MatchDay!$U$2+MatchDay!$U$2+1-COUNTIF(Distance!W40:W47,"X"),RANK(W47,$W40:$X55,0)))</f>
        <v>0</v>
      </c>
      <c r="Z47" s="19">
        <f ca="1">IFERROR(IF(Y47=0,0,IF(OR(VLOOKUP(AG47,E48:Y55,21,FALSE)=0,Y47&lt;=VLOOKUP(AG47,E48:Y55,21,FALSE)),"A","B")),"")</f>
        <v>0</v>
      </c>
      <c r="AA47" s="19" t="str">
        <f ca="1">IFERROR(IF(Z47="B","",RANK(AD47,AD40:AD55,1)),"")</f>
        <v/>
      </c>
      <c r="AB47" s="19" t="str">
        <f ca="1">IFERROR(IF(Z47="A","",RANK(AE47,AE40:AE55,1)),"")</f>
        <v/>
      </c>
      <c r="AD47" s="9" t="str">
        <f t="shared" ca="1" si="16"/>
        <v/>
      </c>
      <c r="AE47" s="9" t="str">
        <f t="shared" ca="1" si="17"/>
        <v/>
      </c>
      <c r="AF47" s="9" t="s">
        <v>179</v>
      </c>
      <c r="AG47" s="4" t="str">
        <f>IFERROR(IF(A39=0,E47*11,E47&amp;E47),"")</f>
        <v/>
      </c>
    </row>
    <row r="48" spans="1:33" s="4" customFormat="1" ht="15.95" customHeight="1" x14ac:dyDescent="0.35">
      <c r="A48" s="8">
        <f>IFERROR(IF(A39=0,A40*11,A40&amp;A40),"-")</f>
        <v>44</v>
      </c>
      <c r="B48" s="7" t="str">
        <f t="shared" ca="1" si="11"/>
        <v/>
      </c>
      <c r="C48" s="7" t="str">
        <f t="shared" ca="1" si="12"/>
        <v/>
      </c>
      <c r="D48" s="55">
        <v>9</v>
      </c>
      <c r="E48" s="17">
        <f t="shared" si="13"/>
        <v>44</v>
      </c>
      <c r="F48" s="18" t="str">
        <f ca="1">IFERROR(IF(A39=0,HLOOKUP(E48,Declarations!$D$2:$S$102,B37,FALSE),HLOOKUP(VLOOKUP(E48,Teams!$V$2:$W$19,2,FALSE),Declarations!$D$2:$S$102,B37,FALSE)),"")</f>
        <v>-</v>
      </c>
      <c r="G48" s="18" t="str">
        <f t="shared" si="10"/>
        <v>M'bro</v>
      </c>
      <c r="H48" s="524">
        <f ca="1">IFERROR(INDIRECT(CONCATENATE("'Distance Input'!"&amp;B38&amp;C38+8)),"")</f>
        <v>0</v>
      </c>
      <c r="I48" s="525"/>
      <c r="J48" s="524">
        <v>0</v>
      </c>
      <c r="K48" s="525"/>
      <c r="L48" s="524">
        <v>0</v>
      </c>
      <c r="M48" s="525"/>
      <c r="N48" s="539">
        <f t="shared" ca="1" si="14"/>
        <v>0</v>
      </c>
      <c r="O48" s="540"/>
      <c r="P48" s="55">
        <v>0</v>
      </c>
      <c r="Q48" s="541">
        <v>0</v>
      </c>
      <c r="R48" s="541"/>
      <c r="S48" s="541">
        <v>0</v>
      </c>
      <c r="T48" s="541"/>
      <c r="U48" s="541">
        <v>0</v>
      </c>
      <c r="V48" s="541"/>
      <c r="W48" s="524">
        <f t="shared" ca="1" si="15"/>
        <v>0</v>
      </c>
      <c r="X48" s="525"/>
      <c r="Y48" s="55">
        <f ca="1">IF(OR(W48="",W48=0),0,IF(W48="X",MatchDay!$U$2+MatchDay!$U$2+1-COUNTIF(Distance!W40:W48,"X"),RANK(W48,$W40:$X55,0)))</f>
        <v>0</v>
      </c>
      <c r="Z48" s="19">
        <f ca="1">IFERROR(IF(Y48=0,0,IF(VLOOKUP(AG48,E40:Y47,21,FALSE)=0,"A",IF(Y48&gt;=VLOOKUP(AG48,E40:Y47,21,FALSE),"B","A"))),"")</f>
        <v>0</v>
      </c>
      <c r="AA48" s="19" t="str">
        <f ca="1">IFERROR(IF(Z48="B","",RANK(AD48,AD40:AD55,1)),"")</f>
        <v/>
      </c>
      <c r="AB48" s="19" t="str">
        <f ca="1">IFERROR(IF(Z48="A","",RANK(AE48,AE40:AE55,1)),"")</f>
        <v/>
      </c>
      <c r="AD48" s="9" t="str">
        <f t="shared" ca="1" si="16"/>
        <v/>
      </c>
      <c r="AE48" s="9" t="str">
        <f t="shared" ca="1" si="17"/>
        <v/>
      </c>
      <c r="AF48" s="9" t="s">
        <v>179</v>
      </c>
      <c r="AG48" s="4">
        <f>IFERROR(IF(A39=0,E48/11,LEFT(E48,1)),"")</f>
        <v>4</v>
      </c>
    </row>
    <row r="49" spans="1:33" s="4" customFormat="1" ht="15.95" customHeight="1" x14ac:dyDescent="0.35">
      <c r="A49" s="8">
        <f>IFERROR(IF(A39=0,A41*11,A41&amp;A41),"-")</f>
        <v>55</v>
      </c>
      <c r="B49" s="7" t="str">
        <f t="shared" ca="1" si="11"/>
        <v/>
      </c>
      <c r="C49" s="7">
        <f t="shared" ca="1" si="12"/>
        <v>2</v>
      </c>
      <c r="D49" s="55">
        <v>10</v>
      </c>
      <c r="E49" s="17">
        <f t="shared" si="13"/>
        <v>55</v>
      </c>
      <c r="F49" s="18" t="str">
        <f ca="1">IFERROR(IF(A39=0,HLOOKUP(E49,Declarations!$D$2:$S$102,B37,FALSE),HLOOKUP(VLOOKUP(E49,Teams!$V$2:$W$19,2,FALSE),Declarations!$D$2:$S$102,B37,FALSE)),"")</f>
        <v>BETTS Demi</v>
      </c>
      <c r="G49" s="18" t="str">
        <f t="shared" si="10"/>
        <v>Scun</v>
      </c>
      <c r="H49" s="524">
        <f ca="1">IFERROR(INDIRECT(CONCATENATE("'Distance Input'!"&amp;B38&amp;C38+9)),"")</f>
        <v>11.51</v>
      </c>
      <c r="I49" s="525"/>
      <c r="J49" s="524">
        <v>0</v>
      </c>
      <c r="K49" s="525"/>
      <c r="L49" s="524">
        <v>0</v>
      </c>
      <c r="M49" s="525"/>
      <c r="N49" s="539">
        <f t="shared" ca="1" si="14"/>
        <v>11.51</v>
      </c>
      <c r="O49" s="540"/>
      <c r="P49" s="55">
        <v>0</v>
      </c>
      <c r="Q49" s="541">
        <v>0</v>
      </c>
      <c r="R49" s="541"/>
      <c r="S49" s="541">
        <v>0</v>
      </c>
      <c r="T49" s="541"/>
      <c r="U49" s="541">
        <v>0</v>
      </c>
      <c r="V49" s="541"/>
      <c r="W49" s="524">
        <f t="shared" ca="1" si="15"/>
        <v>11.51</v>
      </c>
      <c r="X49" s="525"/>
      <c r="Y49" s="55">
        <f ca="1">IF(OR(W49="",W49=0),0,IF(W49="X",MatchDay!$U$2+MatchDay!$U$2+1-COUNTIF(Distance!W40:W49,"X"),RANK(W49,$W40:$X55,0)))</f>
        <v>5</v>
      </c>
      <c r="Z49" s="19" t="str">
        <f ca="1">IFERROR(IF(Y49=0,0,IF(VLOOKUP(AG49,E40:Y47,21,FALSE)=0,"A",IF(Y49&gt;=VLOOKUP(AG49,E40:Y47,21,FALSE),"B","A"))),"")</f>
        <v>B</v>
      </c>
      <c r="AA49" s="19" t="str">
        <f ca="1">IFERROR(IF(Z49="B","",RANK(AD49,AD40:AD55,1)),"")</f>
        <v/>
      </c>
      <c r="AB49" s="19">
        <f ca="1">IFERROR(IF(Z49="A","",RANK(AE49,AE40:AE55,1)),"")</f>
        <v>2</v>
      </c>
      <c r="AD49" s="9" t="str">
        <f t="shared" ca="1" si="16"/>
        <v/>
      </c>
      <c r="AE49" s="9">
        <f t="shared" ca="1" si="17"/>
        <v>5</v>
      </c>
      <c r="AF49" s="9" t="s">
        <v>179</v>
      </c>
      <c r="AG49" s="4">
        <f>IFERROR(IF(A39=0,E49/11,LEFT(E49,1)),"")</f>
        <v>5</v>
      </c>
    </row>
    <row r="50" spans="1:33" s="4" customFormat="1" ht="15.95" customHeight="1" x14ac:dyDescent="0.35">
      <c r="A50" s="8">
        <f>IFERROR(IF(A39=0,A42*11,A42&amp;A42),"-")</f>
        <v>11</v>
      </c>
      <c r="B50" s="7">
        <f t="shared" ca="1" si="11"/>
        <v>2</v>
      </c>
      <c r="C50" s="7" t="str">
        <f t="shared" ca="1" si="12"/>
        <v/>
      </c>
      <c r="D50" s="55">
        <v>11</v>
      </c>
      <c r="E50" s="17">
        <f t="shared" si="13"/>
        <v>11</v>
      </c>
      <c r="F50" s="18" t="str">
        <f ca="1">IFERROR(IF(A39=0,HLOOKUP(E50,Declarations!$D$2:$S$102,B37,FALSE),HLOOKUP(VLOOKUP(E50,Teams!$V$2:$W$19,2,FALSE),Declarations!$D$2:$S$102,B37,FALSE)),"")</f>
        <v>HIGHAM Ruby</v>
      </c>
      <c r="G50" s="18" t="str">
        <f t="shared" si="10"/>
        <v>C'field</v>
      </c>
      <c r="H50" s="524">
        <f ca="1">IFERROR(INDIRECT(CONCATENATE("'Distance Input'!"&amp;B38&amp;C38+10)),"")</f>
        <v>20.57</v>
      </c>
      <c r="I50" s="525"/>
      <c r="J50" s="524">
        <v>0</v>
      </c>
      <c r="K50" s="525"/>
      <c r="L50" s="524">
        <v>0</v>
      </c>
      <c r="M50" s="525"/>
      <c r="N50" s="539">
        <f t="shared" ca="1" si="14"/>
        <v>20.57</v>
      </c>
      <c r="O50" s="540"/>
      <c r="P50" s="55">
        <v>0</v>
      </c>
      <c r="Q50" s="541">
        <v>0</v>
      </c>
      <c r="R50" s="541"/>
      <c r="S50" s="541">
        <v>0</v>
      </c>
      <c r="T50" s="541"/>
      <c r="U50" s="541">
        <v>0</v>
      </c>
      <c r="V50" s="541"/>
      <c r="W50" s="524">
        <f t="shared" ca="1" si="15"/>
        <v>20.57</v>
      </c>
      <c r="X50" s="525"/>
      <c r="Y50" s="55">
        <f ca="1">IF(OR(W50="",W50=0),0,IF(W50="X",MatchDay!$U$2+MatchDay!$U$2+1-COUNTIF(Distance!W40:W50,"X"),RANK(W50,$W40:$X55,0)))</f>
        <v>2</v>
      </c>
      <c r="Z50" s="19" t="str">
        <f ca="1">IFERROR(IF(Y50=0,0,IF(VLOOKUP(AG50,E40:Y47,21,FALSE)=0,"A",IF(Y50&gt;=VLOOKUP(AG50,E40:Y47,21,FALSE),"B","A"))),"")</f>
        <v>A</v>
      </c>
      <c r="AA50" s="19">
        <f ca="1">IFERROR(IF(Z50="B","",RANK(AD50,AD40:AD55,1)),"")</f>
        <v>2</v>
      </c>
      <c r="AB50" s="19" t="str">
        <f ca="1">IFERROR(IF(Z50="A","",RANK(AE50,AE40:AE55,1)),"")</f>
        <v/>
      </c>
      <c r="AD50" s="9">
        <f t="shared" ca="1" si="16"/>
        <v>2</v>
      </c>
      <c r="AE50" s="9" t="str">
        <f t="shared" ca="1" si="17"/>
        <v/>
      </c>
      <c r="AF50" s="9" t="s">
        <v>179</v>
      </c>
      <c r="AG50" s="4">
        <f>IFERROR(IF(A39=0,E50/11,LEFT(E50,1)),"")</f>
        <v>1</v>
      </c>
    </row>
    <row r="51" spans="1:33" s="4" customFormat="1" ht="15.95" customHeight="1" x14ac:dyDescent="0.35">
      <c r="A51" s="8">
        <f>IFERROR(IF(A39=0,A43*11,A43&amp;A43),"-")</f>
        <v>33</v>
      </c>
      <c r="B51" s="7" t="str">
        <f t="shared" ca="1" si="11"/>
        <v/>
      </c>
      <c r="C51" s="7" t="str">
        <f t="shared" ca="1" si="12"/>
        <v/>
      </c>
      <c r="D51" s="55">
        <v>12</v>
      </c>
      <c r="E51" s="17">
        <f t="shared" si="13"/>
        <v>33</v>
      </c>
      <c r="F51" s="18" t="str">
        <f ca="1">IFERROR(IF(A39=0,HLOOKUP(E51,Declarations!$D$2:$S$102,B37,FALSE),HLOOKUP(VLOOKUP(E51,Teams!$V$2:$W$19,2,FALSE),Declarations!$D$2:$S$102,B37,FALSE)),"")</f>
        <v>-</v>
      </c>
      <c r="G51" s="18" t="str">
        <f t="shared" si="10"/>
        <v>York</v>
      </c>
      <c r="H51" s="524">
        <f ca="1">IFERROR(INDIRECT(CONCATENATE("'Distance Input'!"&amp;B38&amp;C38+11)),"")</f>
        <v>0</v>
      </c>
      <c r="I51" s="525"/>
      <c r="J51" s="524">
        <v>0</v>
      </c>
      <c r="K51" s="525"/>
      <c r="L51" s="524">
        <v>0</v>
      </c>
      <c r="M51" s="525"/>
      <c r="N51" s="539">
        <f t="shared" ca="1" si="14"/>
        <v>0</v>
      </c>
      <c r="O51" s="540"/>
      <c r="P51" s="55">
        <v>0</v>
      </c>
      <c r="Q51" s="541">
        <v>0</v>
      </c>
      <c r="R51" s="541"/>
      <c r="S51" s="541">
        <v>0</v>
      </c>
      <c r="T51" s="541"/>
      <c r="U51" s="541">
        <v>0</v>
      </c>
      <c r="V51" s="541"/>
      <c r="W51" s="524">
        <f t="shared" ca="1" si="15"/>
        <v>0</v>
      </c>
      <c r="X51" s="525"/>
      <c r="Y51" s="55">
        <f ca="1">IF(OR(W51="",W51=0),0,IF(W51="X",MatchDay!$U$2+MatchDay!$U$2+1-COUNTIF(Distance!W40:W51,"X"),RANK(W51,$W40:$X55,0)))</f>
        <v>0</v>
      </c>
      <c r="Z51" s="19">
        <f ca="1">IFERROR(IF(Y51=0,0,IF(VLOOKUP(AG51,E40:Y47,21,FALSE)=0,"A",IF(Y51&gt;=VLOOKUP(AG51,E40:Y47,21,FALSE),"B","A"))),"")</f>
        <v>0</v>
      </c>
      <c r="AA51" s="19" t="str">
        <f ca="1">IFERROR(IF(Z51="B","",RANK(AD51,AD40:AD55,1)),"")</f>
        <v/>
      </c>
      <c r="AB51" s="19" t="str">
        <f ca="1">IFERROR(IF(Z51="A","",RANK(AE51,AE40:AE55,1)),"")</f>
        <v/>
      </c>
      <c r="AD51" s="9" t="str">
        <f t="shared" ca="1" si="16"/>
        <v/>
      </c>
      <c r="AE51" s="9" t="str">
        <f t="shared" ca="1" si="17"/>
        <v/>
      </c>
      <c r="AF51" s="9" t="s">
        <v>179</v>
      </c>
      <c r="AG51" s="4">
        <f>IFERROR(IF(A39=0,E51/11,LEFT(E51,1)),"")</f>
        <v>3</v>
      </c>
    </row>
    <row r="52" spans="1:33" s="4" customFormat="1" ht="15.95" customHeight="1" x14ac:dyDescent="0.35">
      <c r="A52" s="8">
        <f>IFERROR(IF(A39=0,A44*11,A44&amp;A44),"-")</f>
        <v>22</v>
      </c>
      <c r="B52" s="7">
        <f t="shared" ca="1" si="11"/>
        <v>3</v>
      </c>
      <c r="C52" s="7" t="str">
        <f t="shared" ca="1" si="12"/>
        <v/>
      </c>
      <c r="D52" s="55">
        <v>13</v>
      </c>
      <c r="E52" s="17">
        <f t="shared" si="13"/>
        <v>22</v>
      </c>
      <c r="F52" s="18" t="str">
        <f ca="1">IFERROR(IF(A39=0,HLOOKUP(E52,Declarations!$D$2:$S$102,B37,FALSE),HLOOKUP(VLOOKUP(E52,Teams!$V$2:$W$19,2,FALSE),Declarations!$D$2:$S$102,B37,FALSE)),"")</f>
        <v>PADDON Freya</v>
      </c>
      <c r="G52" s="18" t="str">
        <f t="shared" si="10"/>
        <v>Sheff+D</v>
      </c>
      <c r="H52" s="524">
        <f ca="1">IFERROR(INDIRECT(CONCATENATE("'Distance Input'!"&amp;B38&amp;C38+12)),"")</f>
        <v>16.18</v>
      </c>
      <c r="I52" s="525"/>
      <c r="J52" s="524">
        <v>0</v>
      </c>
      <c r="K52" s="525"/>
      <c r="L52" s="524">
        <v>0</v>
      </c>
      <c r="M52" s="525"/>
      <c r="N52" s="539">
        <f t="shared" ca="1" si="14"/>
        <v>16.18</v>
      </c>
      <c r="O52" s="540"/>
      <c r="P52" s="55">
        <v>0</v>
      </c>
      <c r="Q52" s="541">
        <v>0</v>
      </c>
      <c r="R52" s="541"/>
      <c r="S52" s="541">
        <v>0</v>
      </c>
      <c r="T52" s="541"/>
      <c r="U52" s="541">
        <v>0</v>
      </c>
      <c r="V52" s="541"/>
      <c r="W52" s="524">
        <f t="shared" ca="1" si="15"/>
        <v>16.18</v>
      </c>
      <c r="X52" s="525"/>
      <c r="Y52" s="55">
        <f ca="1">IF(OR(W52="",W52=0),0,IF(W52="X",MatchDay!$U$2+MatchDay!$U$2+1-COUNTIF(Distance!W40:W52,"X"),RANK(W52,$W40:$X55,0)))</f>
        <v>4</v>
      </c>
      <c r="Z52" s="19" t="str">
        <f ca="1">IFERROR(IF(Y52=0,0,IF(VLOOKUP(AG52,E40:Y47,21,FALSE)=0,"A",IF(Y52&gt;=VLOOKUP(AG52,E40:Y47,21,FALSE),"B","A"))),"")</f>
        <v>A</v>
      </c>
      <c r="AA52" s="19">
        <f ca="1">IFERROR(IF(Z52="B","",RANK(AD52,AD40:AD55,1)),"")</f>
        <v>3</v>
      </c>
      <c r="AB52" s="19" t="str">
        <f ca="1">IFERROR(IF(Z52="A","",RANK(AE52,AE40:AE55,1)),"")</f>
        <v/>
      </c>
      <c r="AD52" s="9">
        <f t="shared" ca="1" si="16"/>
        <v>4</v>
      </c>
      <c r="AE52" s="9" t="str">
        <f t="shared" ca="1" si="17"/>
        <v/>
      </c>
      <c r="AF52" s="9" t="s">
        <v>179</v>
      </c>
      <c r="AG52" s="4">
        <f>IFERROR(IF(A39=0,E52/11,LEFT(E52,1)),"")</f>
        <v>2</v>
      </c>
    </row>
    <row r="53" spans="1:33" s="4" customFormat="1" ht="15.95" customHeight="1" x14ac:dyDescent="0.35">
      <c r="A53" s="8" t="str">
        <f>IFERROR(IF(A39=0,A45*11,A45&amp;A45),"-")</f>
        <v>-</v>
      </c>
      <c r="B53" s="7" t="str">
        <f t="shared" ca="1" si="11"/>
        <v/>
      </c>
      <c r="C53" s="7" t="str">
        <f t="shared" ca="1" si="12"/>
        <v/>
      </c>
      <c r="D53" s="55">
        <v>14</v>
      </c>
      <c r="E53" s="17" t="str">
        <f t="shared" si="13"/>
        <v>-</v>
      </c>
      <c r="F53" s="18" t="str">
        <f>IFERROR(IF(A39=0,HLOOKUP(E53,Declarations!$D$2:$S$102,B37,FALSE),HLOOKUP(VLOOKUP(E53,Teams!$V$2:$W$19,2,FALSE),Declarations!$D$2:$S$102,B37,FALSE)),"")</f>
        <v/>
      </c>
      <c r="G53" s="18" t="str">
        <f t="shared" si="10"/>
        <v/>
      </c>
      <c r="H53" s="524">
        <f ca="1">IFERROR(INDIRECT(CONCATENATE("'Distance Input'!"&amp;B38&amp;C38+13)),"")</f>
        <v>0</v>
      </c>
      <c r="I53" s="525"/>
      <c r="J53" s="524">
        <v>0</v>
      </c>
      <c r="K53" s="525"/>
      <c r="L53" s="524">
        <v>0</v>
      </c>
      <c r="M53" s="525"/>
      <c r="N53" s="539">
        <f t="shared" ca="1" si="14"/>
        <v>0</v>
      </c>
      <c r="O53" s="540"/>
      <c r="P53" s="55">
        <v>0</v>
      </c>
      <c r="Q53" s="541">
        <v>0</v>
      </c>
      <c r="R53" s="541"/>
      <c r="S53" s="541">
        <v>0</v>
      </c>
      <c r="T53" s="541"/>
      <c r="U53" s="541">
        <v>0</v>
      </c>
      <c r="V53" s="541"/>
      <c r="W53" s="524">
        <f t="shared" ca="1" si="15"/>
        <v>0</v>
      </c>
      <c r="X53" s="525"/>
      <c r="Y53" s="55">
        <f ca="1">IF(OR(W53="",W53=0),0,IF(W53="X",MatchDay!$U$2+MatchDay!$U$2+1-COUNTIF(Distance!W40:W53,"X"),RANK(W53,$W40:$X55,0)))</f>
        <v>0</v>
      </c>
      <c r="Z53" s="19">
        <f ca="1">IFERROR(IF(Y53=0,0,IF(VLOOKUP(AG53,E40:Y47,21,FALSE)=0,"A",IF(Y53&gt;=VLOOKUP(AG53,E40:Y47,21,FALSE),"B","A"))),"")</f>
        <v>0</v>
      </c>
      <c r="AA53" s="19" t="str">
        <f ca="1">IFERROR(IF(Z53="B","",RANK(AD53,AD40:AD55,1)),"")</f>
        <v/>
      </c>
      <c r="AB53" s="19" t="str">
        <f ca="1">IFERROR(IF(Z53="A","",RANK(AE53,AE40:AE55,1)),"")</f>
        <v/>
      </c>
      <c r="AD53" s="9" t="str">
        <f t="shared" ca="1" si="16"/>
        <v/>
      </c>
      <c r="AE53" s="9" t="str">
        <f t="shared" ca="1" si="17"/>
        <v/>
      </c>
      <c r="AF53" s="9" t="s">
        <v>179</v>
      </c>
      <c r="AG53" s="4" t="str">
        <f>IFERROR(IF(A39=0,E53/11,LEFT(E53,1)),"")</f>
        <v/>
      </c>
    </row>
    <row r="54" spans="1:33" s="4" customFormat="1" ht="15.95" customHeight="1" x14ac:dyDescent="0.35">
      <c r="A54" s="8" t="str">
        <f>IFERROR(IF(A39=0,A46*11,A46&amp;A46),"-")</f>
        <v>-</v>
      </c>
      <c r="B54" s="7" t="str">
        <f t="shared" ca="1" si="11"/>
        <v/>
      </c>
      <c r="C54" s="7" t="str">
        <f t="shared" ca="1" si="12"/>
        <v/>
      </c>
      <c r="D54" s="55">
        <v>15</v>
      </c>
      <c r="E54" s="17" t="str">
        <f t="shared" si="13"/>
        <v>-</v>
      </c>
      <c r="F54" s="18" t="str">
        <f>IFERROR(IF(A39=0,HLOOKUP(E54,Declarations!$D$2:$S$102,B37,FALSE),HLOOKUP(VLOOKUP(E54,Teams!$V$2:$W$19,2,FALSE),Declarations!$D$2:$S$102,B37,FALSE)),"")</f>
        <v/>
      </c>
      <c r="G54" s="18" t="str">
        <f t="shared" si="10"/>
        <v/>
      </c>
      <c r="H54" s="524">
        <f ca="1">IFERROR(INDIRECT(CONCATENATE("'Distance Input'!"&amp;B38&amp;C38+14)),"")</f>
        <v>0</v>
      </c>
      <c r="I54" s="525"/>
      <c r="J54" s="524">
        <v>0</v>
      </c>
      <c r="K54" s="525"/>
      <c r="L54" s="524">
        <v>0</v>
      </c>
      <c r="M54" s="525"/>
      <c r="N54" s="539">
        <f t="shared" ca="1" si="14"/>
        <v>0</v>
      </c>
      <c r="O54" s="540"/>
      <c r="P54" s="55">
        <v>0</v>
      </c>
      <c r="Q54" s="541">
        <v>0</v>
      </c>
      <c r="R54" s="541"/>
      <c r="S54" s="541">
        <v>0</v>
      </c>
      <c r="T54" s="541"/>
      <c r="U54" s="541">
        <v>0</v>
      </c>
      <c r="V54" s="541"/>
      <c r="W54" s="524">
        <f t="shared" ca="1" si="15"/>
        <v>0</v>
      </c>
      <c r="X54" s="525"/>
      <c r="Y54" s="55">
        <f ca="1">IF(OR(W54="",W54=0),0,IF(W54="X",MatchDay!$U$2+MatchDay!$U$2+1-COUNTIF(Distance!W40:W54,"X"),RANK(W54,$W40:$X55,0)))</f>
        <v>0</v>
      </c>
      <c r="Z54" s="19">
        <f ca="1">IFERROR(IF(Y54=0,0,IF(VLOOKUP(AG54,E40:Y47,21,FALSE)=0,"A",IF(Y54&gt;=VLOOKUP(AG54,E40:Y47,21,FALSE),"B","A"))),"")</f>
        <v>0</v>
      </c>
      <c r="AA54" s="19" t="str">
        <f ca="1">IFERROR(IF(Z54="B","",RANK(AD54,AD40:AD55,1)),"")</f>
        <v/>
      </c>
      <c r="AB54" s="19" t="str">
        <f ca="1">IFERROR(IF(Z54="A","",RANK(AE54,AE40:AE55,1)),"")</f>
        <v/>
      </c>
      <c r="AD54" s="9" t="str">
        <f t="shared" ca="1" si="16"/>
        <v/>
      </c>
      <c r="AE54" s="9" t="str">
        <f t="shared" ca="1" si="17"/>
        <v/>
      </c>
      <c r="AF54" s="9" t="s">
        <v>179</v>
      </c>
      <c r="AG54" s="4" t="str">
        <f>IFERROR(IF(A39=0,E54/11,LEFT(E54,1)),"")</f>
        <v/>
      </c>
    </row>
    <row r="55" spans="1:33" s="4" customFormat="1" ht="15.95" customHeight="1" x14ac:dyDescent="0.35">
      <c r="A55" s="8" t="str">
        <f>IFERROR(IF(A39=0,A47*11,A47&amp;A47),"-")</f>
        <v>-</v>
      </c>
      <c r="B55" s="7" t="str">
        <f t="shared" ca="1" si="11"/>
        <v/>
      </c>
      <c r="C55" s="7" t="str">
        <f t="shared" ca="1" si="12"/>
        <v/>
      </c>
      <c r="D55" s="55">
        <v>16</v>
      </c>
      <c r="E55" s="17" t="str">
        <f t="shared" si="13"/>
        <v>-</v>
      </c>
      <c r="F55" s="18" t="str">
        <f>IFERROR(IF(A39=0,HLOOKUP(E55,Declarations!$D$2:$S$102,B37,FALSE),HLOOKUP(VLOOKUP(E55,Teams!$V$2:$W$19,2,FALSE),Declarations!$D$2:$S$102,B37,FALSE)),"")</f>
        <v/>
      </c>
      <c r="G55" s="18" t="str">
        <f t="shared" si="10"/>
        <v/>
      </c>
      <c r="H55" s="524">
        <f ca="1">IFERROR(INDIRECT(CONCATENATE("'Distance Input'!"&amp;B38&amp;C38+15)),"")</f>
        <v>0</v>
      </c>
      <c r="I55" s="525"/>
      <c r="J55" s="524">
        <v>0</v>
      </c>
      <c r="K55" s="525"/>
      <c r="L55" s="524">
        <v>0</v>
      </c>
      <c r="M55" s="525"/>
      <c r="N55" s="539">
        <f t="shared" ca="1" si="14"/>
        <v>0</v>
      </c>
      <c r="O55" s="540"/>
      <c r="P55" s="55">
        <v>0</v>
      </c>
      <c r="Q55" s="541">
        <v>0</v>
      </c>
      <c r="R55" s="541"/>
      <c r="S55" s="541">
        <v>0</v>
      </c>
      <c r="T55" s="541"/>
      <c r="U55" s="541">
        <v>0</v>
      </c>
      <c r="V55" s="541"/>
      <c r="W55" s="524">
        <f t="shared" ca="1" si="15"/>
        <v>0</v>
      </c>
      <c r="X55" s="525"/>
      <c r="Y55" s="55">
        <f ca="1">IF(OR(W55="",W55=0),0,IF(W55="X",MatchDay!$U$2+MatchDay!$U$2+1-COUNTIF(Distance!W40:W55,"X"),RANK(W55,$W40:$X55,0)))</f>
        <v>0</v>
      </c>
      <c r="Z55" s="19">
        <f ca="1">IFERROR(IF(Y55=0,0,IF(VLOOKUP(AG55,E40:Y47,21,FALSE)=0,"A",IF(Y55&gt;=VLOOKUP(AG55,E40:Y47,21,FALSE),"B","A"))),"")</f>
        <v>0</v>
      </c>
      <c r="AA55" s="19" t="str">
        <f ca="1">IFERROR(IF(Z55="B","",RANK(AD55,AD40:AD55,1)),"")</f>
        <v/>
      </c>
      <c r="AB55" s="19" t="str">
        <f ca="1">IFERROR(IF(Z55="A","",RANK(AE55,AE40:AE55,1)),"")</f>
        <v/>
      </c>
      <c r="AD55" s="9" t="str">
        <f t="shared" ca="1" si="16"/>
        <v/>
      </c>
      <c r="AE55" s="9" t="str">
        <f t="shared" ca="1" si="17"/>
        <v/>
      </c>
      <c r="AF55" s="9" t="s">
        <v>179</v>
      </c>
      <c r="AG55" s="4" t="str">
        <f>IFERROR(IF(A39=0,E55/11,LEFT(E55,1)),"")</f>
        <v/>
      </c>
    </row>
    <row r="56" spans="1:33" s="4" customFormat="1" ht="11.65" x14ac:dyDescent="0.45">
      <c r="A56" s="8"/>
      <c r="B56" s="10"/>
      <c r="C56" s="3"/>
      <c r="D56" s="20"/>
      <c r="E56" s="20"/>
      <c r="F56" s="21"/>
      <c r="G56" s="21"/>
      <c r="H56" s="20"/>
      <c r="I56" s="20"/>
      <c r="J56" s="20"/>
      <c r="K56" s="20"/>
      <c r="L56" s="20"/>
      <c r="M56" s="20"/>
      <c r="N56" s="20"/>
      <c r="O56" s="20"/>
      <c r="P56" s="20"/>
      <c r="Q56" s="20"/>
      <c r="R56" s="20"/>
      <c r="S56" s="20"/>
      <c r="T56" s="20"/>
      <c r="U56" s="20"/>
      <c r="V56" s="20"/>
      <c r="W56" s="20"/>
      <c r="X56" s="20"/>
      <c r="Y56" s="20"/>
      <c r="Z56" s="20"/>
      <c r="AA56" s="20"/>
      <c r="AB56" s="22"/>
    </row>
    <row r="57" spans="1:33" s="4" customFormat="1" ht="11.65" x14ac:dyDescent="0.45">
      <c r="A57" s="8"/>
      <c r="B57" s="10"/>
      <c r="C57" s="3"/>
      <c r="D57" s="533" t="s">
        <v>180</v>
      </c>
      <c r="E57" s="547"/>
      <c r="F57" s="547"/>
      <c r="G57" s="547"/>
      <c r="H57" s="547"/>
      <c r="I57" s="547"/>
      <c r="J57" s="512" t="s">
        <v>181</v>
      </c>
      <c r="K57" s="548"/>
      <c r="L57" s="548"/>
      <c r="M57" s="548"/>
      <c r="N57" s="548"/>
      <c r="O57" s="548"/>
      <c r="P57" s="548"/>
      <c r="Q57" s="548"/>
      <c r="R57" s="548"/>
      <c r="S57" s="548"/>
      <c r="T57" s="548"/>
      <c r="U57" s="549"/>
      <c r="V57" s="512" t="s">
        <v>182</v>
      </c>
      <c r="W57" s="513"/>
      <c r="X57" s="513"/>
      <c r="Y57" s="513"/>
      <c r="Z57" s="513"/>
      <c r="AA57" s="513"/>
      <c r="AB57" s="514"/>
    </row>
    <row r="58" spans="1:33" s="4" customFormat="1" ht="11.65" x14ac:dyDescent="0.45">
      <c r="A58" s="8" t="s">
        <v>55</v>
      </c>
      <c r="B58" s="10"/>
      <c r="C58" s="3"/>
      <c r="D58" s="12"/>
      <c r="E58" s="55" t="s">
        <v>183</v>
      </c>
      <c r="F58" s="55" t="s">
        <v>165</v>
      </c>
      <c r="G58" s="55" t="s">
        <v>166</v>
      </c>
      <c r="H58" s="533" t="s">
        <v>184</v>
      </c>
      <c r="I58" s="533"/>
      <c r="J58" s="23"/>
      <c r="K58" s="54" t="s">
        <v>183</v>
      </c>
      <c r="L58" s="512" t="s">
        <v>165</v>
      </c>
      <c r="M58" s="513"/>
      <c r="N58" s="513"/>
      <c r="O58" s="514"/>
      <c r="P58" s="512" t="s">
        <v>166</v>
      </c>
      <c r="Q58" s="513"/>
      <c r="R58" s="513"/>
      <c r="S58" s="514"/>
      <c r="T58" s="512" t="s">
        <v>184</v>
      </c>
      <c r="U58" s="514"/>
      <c r="V58" s="24"/>
      <c r="W58" s="25"/>
      <c r="X58" s="25"/>
      <c r="Y58" s="25"/>
      <c r="Z58" s="25"/>
      <c r="AA58" s="25"/>
      <c r="AB58" s="26"/>
    </row>
    <row r="59" spans="1:33" s="4" customFormat="1" ht="15.95" customHeight="1" x14ac:dyDescent="0.45">
      <c r="A59" s="11">
        <f>IFERROR(VLOOKUP(A36,standards,3,FALSE),"-")</f>
        <v>44.6</v>
      </c>
      <c r="B59" s="10">
        <v>1</v>
      </c>
      <c r="C59" s="3"/>
      <c r="D59" s="55">
        <v>1</v>
      </c>
      <c r="E59" s="19">
        <f ca="1">IFERROR(IF(OR(H40=98,H40=99),H40,VLOOKUP(B59,B40:E55,4,FALSE)),0)</f>
        <v>5</v>
      </c>
      <c r="F59" s="27" t="str">
        <f ca="1">IFERROR(VLOOKUP(E59,$E40:$F55,2,FALSE),"")</f>
        <v>LOVE Katie</v>
      </c>
      <c r="G59" s="18" t="str">
        <f t="shared" ref="G59:G66" ca="1" si="18">IFERROR(VLOOKUP(E59,teamlookup,5,FALSE),"-")</f>
        <v>Scun</v>
      </c>
      <c r="H59" s="542">
        <f ca="1">IFERROR(VLOOKUP(E59,E40:X55,19,FALSE),"")</f>
        <v>30.77</v>
      </c>
      <c r="I59" s="543"/>
      <c r="J59" s="55">
        <v>1</v>
      </c>
      <c r="K59" s="55">
        <f ca="1">IFERROR(VLOOKUP(B59,C40:X55,3,FALSE),"")</f>
        <v>1</v>
      </c>
      <c r="L59" s="544" t="str">
        <f ca="1">IFERROR(VLOOKUP(K59,$E40:$F55,2,FALSE),"")</f>
        <v>LABAN Ella</v>
      </c>
      <c r="M59" s="545"/>
      <c r="N59" s="545"/>
      <c r="O59" s="546"/>
      <c r="P59" s="544" t="str">
        <f t="shared" ref="P59:P66" ca="1" si="19">IFERROR(VLOOKUP(K59,teamlookup,5,FALSE),"-")</f>
        <v>C'field</v>
      </c>
      <c r="Q59" s="545"/>
      <c r="R59" s="545"/>
      <c r="S59" s="546"/>
      <c r="T59" s="524">
        <f ca="1">IFERROR(VLOOKUP(K59,E40:X55,19,FALSE),"")</f>
        <v>19.600000000000001</v>
      </c>
      <c r="U59" s="525"/>
      <c r="V59" s="28"/>
      <c r="W59" s="29"/>
      <c r="X59" s="29"/>
      <c r="Y59" s="29"/>
      <c r="Z59" s="29"/>
      <c r="AA59" s="29"/>
      <c r="AB59" s="30"/>
    </row>
    <row r="60" spans="1:33" s="4" customFormat="1" ht="15.95" customHeight="1" x14ac:dyDescent="0.45">
      <c r="A60" s="11">
        <f>IFERROR(VLOOKUP(A36,standards,4,FALSE),"-")</f>
        <v>39.200000000000003</v>
      </c>
      <c r="B60" s="10">
        <v>2</v>
      </c>
      <c r="C60" s="3"/>
      <c r="D60" s="55">
        <v>2</v>
      </c>
      <c r="E60" s="19">
        <f ca="1">IFERROR(VLOOKUP(B60,B40:E55,4,FALSE),"")</f>
        <v>11</v>
      </c>
      <c r="F60" s="27" t="str">
        <f ca="1">IFERROR(VLOOKUP(E60,$E40:$F55,2,FALSE),"")</f>
        <v>HIGHAM Ruby</v>
      </c>
      <c r="G60" s="18" t="str">
        <f t="shared" ca="1" si="18"/>
        <v>C'field</v>
      </c>
      <c r="H60" s="542">
        <f ca="1">IFERROR(VLOOKUP(E60,E40:X55,19,FALSE),"")</f>
        <v>20.57</v>
      </c>
      <c r="I60" s="543"/>
      <c r="J60" s="55">
        <v>2</v>
      </c>
      <c r="K60" s="55">
        <f ca="1">IFERROR(VLOOKUP(B60,C40:X55,3,FALSE),"")</f>
        <v>55</v>
      </c>
      <c r="L60" s="544" t="str">
        <f ca="1">IFERROR(VLOOKUP(K60,$E40:$F55,2,FALSE),"")</f>
        <v>BETTS Demi</v>
      </c>
      <c r="M60" s="545"/>
      <c r="N60" s="545"/>
      <c r="O60" s="546"/>
      <c r="P60" s="544" t="str">
        <f t="shared" ca="1" si="19"/>
        <v>Scun</v>
      </c>
      <c r="Q60" s="545"/>
      <c r="R60" s="545"/>
      <c r="S60" s="546"/>
      <c r="T60" s="524">
        <f ca="1">IFERROR(VLOOKUP(K60,E40:X55,19,FALSE),"")</f>
        <v>11.51</v>
      </c>
      <c r="U60" s="525"/>
      <c r="V60" s="24"/>
      <c r="W60" s="25"/>
      <c r="X60" s="25"/>
      <c r="Y60" s="25"/>
      <c r="Z60" s="25"/>
      <c r="AA60" s="25"/>
      <c r="AB60" s="26"/>
    </row>
    <row r="61" spans="1:33" s="4" customFormat="1" ht="15.95" customHeight="1" x14ac:dyDescent="0.45">
      <c r="A61" s="11">
        <f>IFERROR(VLOOKUP(A36,standards,5,FALSE),"-")</f>
        <v>31.6</v>
      </c>
      <c r="B61" s="10">
        <v>3</v>
      </c>
      <c r="C61" s="3"/>
      <c r="D61" s="55">
        <v>3</v>
      </c>
      <c r="E61" s="19">
        <f ca="1">IFERROR(VLOOKUP(B61,B40:E55,4,FALSE),"")</f>
        <v>22</v>
      </c>
      <c r="F61" s="27" t="str">
        <f ca="1">IFERROR(VLOOKUP(E61,$E40:$F55,2,FALSE),"")</f>
        <v>PADDON Freya</v>
      </c>
      <c r="G61" s="18" t="str">
        <f t="shared" ca="1" si="18"/>
        <v>Sheff+D</v>
      </c>
      <c r="H61" s="542">
        <f ca="1">IFERROR(VLOOKUP(E61,E40:X55,19,FALSE),"")</f>
        <v>16.18</v>
      </c>
      <c r="I61" s="543"/>
      <c r="J61" s="55">
        <v>3</v>
      </c>
      <c r="K61" s="55">
        <f ca="1">IFERROR(VLOOKUP(B61,C40:X55,3,FALSE),"")</f>
        <v>2</v>
      </c>
      <c r="L61" s="544" t="str">
        <f ca="1">IFERROR(VLOOKUP(K61,$E40:$F55,2,FALSE),"")</f>
        <v>KYNOCH Ella</v>
      </c>
      <c r="M61" s="545"/>
      <c r="N61" s="545"/>
      <c r="O61" s="546"/>
      <c r="P61" s="544" t="str">
        <f t="shared" ca="1" si="19"/>
        <v>Sheff+D</v>
      </c>
      <c r="Q61" s="545"/>
      <c r="R61" s="545"/>
      <c r="S61" s="546"/>
      <c r="T61" s="524">
        <f ca="1">IFERROR(VLOOKUP(K61,E40:X55,19,FALSE),"")</f>
        <v>7.09</v>
      </c>
      <c r="U61" s="525"/>
      <c r="V61" s="28"/>
      <c r="W61" s="29"/>
      <c r="X61" s="29"/>
      <c r="Y61" s="29"/>
      <c r="Z61" s="29"/>
      <c r="AA61" s="29"/>
      <c r="AB61" s="30"/>
    </row>
    <row r="62" spans="1:33" s="4" customFormat="1" ht="15.95" customHeight="1" x14ac:dyDescent="0.45">
      <c r="A62" s="11">
        <f>IFERROR(VLOOKUP(A36,AAA!A:F,6,FALSE),"-")</f>
        <v>24.05</v>
      </c>
      <c r="B62" s="10">
        <v>4</v>
      </c>
      <c r="C62" s="3"/>
      <c r="D62" s="55">
        <v>4</v>
      </c>
      <c r="E62" s="19" t="str">
        <f ca="1">IFERROR(VLOOKUP(B62,B40:E55,4,FALSE),"")</f>
        <v/>
      </c>
      <c r="F62" s="27" t="str">
        <f ca="1">IFERROR(VLOOKUP(E62,$E40:$F55,2,FALSE),"")</f>
        <v/>
      </c>
      <c r="G62" s="18" t="str">
        <f t="shared" ca="1" si="18"/>
        <v>-</v>
      </c>
      <c r="H62" s="542" t="str">
        <f ca="1">IFERROR(VLOOKUP(E62,E40:X55,19,FALSE),"")</f>
        <v/>
      </c>
      <c r="I62" s="543"/>
      <c r="J62" s="55">
        <v>4</v>
      </c>
      <c r="K62" s="55" t="str">
        <f ca="1">IFERROR(VLOOKUP(B62,C40:X55,3,FALSE),"")</f>
        <v/>
      </c>
      <c r="L62" s="544" t="str">
        <f ca="1">IFERROR(VLOOKUP(K62,$E40:$F55,2,FALSE),"")</f>
        <v/>
      </c>
      <c r="M62" s="545"/>
      <c r="N62" s="545"/>
      <c r="O62" s="546"/>
      <c r="P62" s="544" t="str">
        <f t="shared" ca="1" si="19"/>
        <v>-</v>
      </c>
      <c r="Q62" s="545"/>
      <c r="R62" s="545"/>
      <c r="S62" s="546"/>
      <c r="T62" s="524" t="str">
        <f ca="1">IFERROR(VLOOKUP(K62,E40:X55,19,FALSE),"")</f>
        <v/>
      </c>
      <c r="U62" s="525"/>
      <c r="V62" s="24"/>
      <c r="W62" s="25"/>
      <c r="X62" s="25"/>
      <c r="Y62" s="25"/>
      <c r="Z62" s="25"/>
      <c r="AA62" s="25"/>
      <c r="AB62" s="26"/>
    </row>
    <row r="63" spans="1:33" s="4" customFormat="1" ht="15.95" customHeight="1" x14ac:dyDescent="0.45">
      <c r="A63" s="8"/>
      <c r="B63" s="10">
        <v>5</v>
      </c>
      <c r="C63" s="3"/>
      <c r="D63" s="55">
        <v>5</v>
      </c>
      <c r="E63" s="19" t="str">
        <f ca="1">IFERROR(VLOOKUP(B63,B40:E55,4,FALSE),"")</f>
        <v/>
      </c>
      <c r="F63" s="27" t="str">
        <f ca="1">IFERROR(VLOOKUP(E63,$E40:$F55,2,FALSE),"")</f>
        <v/>
      </c>
      <c r="G63" s="18" t="str">
        <f t="shared" ca="1" si="18"/>
        <v>-</v>
      </c>
      <c r="H63" s="542" t="str">
        <f ca="1">IFERROR(VLOOKUP(E63,E40:X55,19,FALSE),"")</f>
        <v/>
      </c>
      <c r="I63" s="543"/>
      <c r="J63" s="55">
        <v>5</v>
      </c>
      <c r="K63" s="55" t="str">
        <f ca="1">IFERROR(VLOOKUP(B63,C40:X55,3,FALSE),"")</f>
        <v/>
      </c>
      <c r="L63" s="544" t="str">
        <f ca="1">IFERROR(VLOOKUP(K63,$E40:$F55,2,FALSE),"")</f>
        <v/>
      </c>
      <c r="M63" s="545"/>
      <c r="N63" s="545"/>
      <c r="O63" s="546"/>
      <c r="P63" s="544" t="str">
        <f t="shared" ca="1" si="19"/>
        <v>-</v>
      </c>
      <c r="Q63" s="545"/>
      <c r="R63" s="545"/>
      <c r="S63" s="546"/>
      <c r="T63" s="524" t="str">
        <f ca="1">IFERROR(VLOOKUP(K63,E40:X55,19,FALSE),"")</f>
        <v/>
      </c>
      <c r="U63" s="525"/>
      <c r="V63" s="28"/>
      <c r="W63" s="29"/>
      <c r="X63" s="29"/>
      <c r="Y63" s="29"/>
      <c r="Z63" s="29"/>
      <c r="AA63" s="29"/>
      <c r="AB63" s="30"/>
    </row>
    <row r="64" spans="1:33" s="4" customFormat="1" ht="15.95" customHeight="1" x14ac:dyDescent="0.45">
      <c r="A64" s="8" t="s">
        <v>204</v>
      </c>
      <c r="B64" s="10">
        <v>6</v>
      </c>
      <c r="C64" s="3"/>
      <c r="D64" s="55">
        <v>6</v>
      </c>
      <c r="E64" s="19" t="str">
        <f ca="1">IFERROR(VLOOKUP(B64,B40:E55,4,FALSE),"")</f>
        <v/>
      </c>
      <c r="F64" s="27" t="str">
        <f ca="1">IFERROR(VLOOKUP(E64,$E40:$F55,2,FALSE),"")</f>
        <v/>
      </c>
      <c r="G64" s="18" t="str">
        <f t="shared" ca="1" si="18"/>
        <v>-</v>
      </c>
      <c r="H64" s="542" t="str">
        <f ca="1">IFERROR(VLOOKUP(E64,E40:X55,19,FALSE),"")</f>
        <v/>
      </c>
      <c r="I64" s="543"/>
      <c r="J64" s="55">
        <v>6</v>
      </c>
      <c r="K64" s="55" t="str">
        <f ca="1">IFERROR(VLOOKUP(B64,C40:X55,3,FALSE),"")</f>
        <v/>
      </c>
      <c r="L64" s="544" t="str">
        <f ca="1">IFERROR(VLOOKUP(K64,$E40:$F55,2,FALSE),"")</f>
        <v/>
      </c>
      <c r="M64" s="545"/>
      <c r="N64" s="545"/>
      <c r="O64" s="546"/>
      <c r="P64" s="544" t="str">
        <f t="shared" ca="1" si="19"/>
        <v>-</v>
      </c>
      <c r="Q64" s="545"/>
      <c r="R64" s="545"/>
      <c r="S64" s="546"/>
      <c r="T64" s="524" t="str">
        <f ca="1">IFERROR(VLOOKUP(K64,E40:X55,19,FALSE),"")</f>
        <v/>
      </c>
      <c r="U64" s="525"/>
      <c r="V64" s="512" t="s">
        <v>185</v>
      </c>
      <c r="W64" s="513"/>
      <c r="X64" s="513"/>
      <c r="Y64" s="513"/>
      <c r="Z64" s="513"/>
      <c r="AA64" s="513"/>
      <c r="AB64" s="514"/>
    </row>
    <row r="65" spans="1:33" s="4" customFormat="1" ht="15.95" customHeight="1" x14ac:dyDescent="0.45">
      <c r="A65" s="8">
        <f>IFERROR(VLOOKUP(A36,records,5,FALSE),"")</f>
        <v>55.15</v>
      </c>
      <c r="B65" s="10">
        <v>7</v>
      </c>
      <c r="C65" s="3"/>
      <c r="D65" s="55">
        <v>7</v>
      </c>
      <c r="E65" s="19" t="str">
        <f ca="1">IFERROR(VLOOKUP(B65,B40:E55,4,FALSE),"")</f>
        <v/>
      </c>
      <c r="F65" s="27" t="str">
        <f ca="1">IFERROR(VLOOKUP(E65,$E40:$F55,2,FALSE),"")</f>
        <v/>
      </c>
      <c r="G65" s="18" t="str">
        <f t="shared" ca="1" si="18"/>
        <v>-</v>
      </c>
      <c r="H65" s="542" t="str">
        <f ca="1">IFERROR(VLOOKUP(E65,E40:X55,19,FALSE),"")</f>
        <v/>
      </c>
      <c r="I65" s="543"/>
      <c r="J65" s="55">
        <v>7</v>
      </c>
      <c r="K65" s="55" t="str">
        <f ca="1">IFERROR(VLOOKUP(B65,C40:X55,3,FALSE),"")</f>
        <v/>
      </c>
      <c r="L65" s="544" t="str">
        <f ca="1">IFERROR(VLOOKUP(K65,$E40:$F55,2,FALSE),"")</f>
        <v/>
      </c>
      <c r="M65" s="545"/>
      <c r="N65" s="545"/>
      <c r="O65" s="546"/>
      <c r="P65" s="544" t="str">
        <f t="shared" ca="1" si="19"/>
        <v>-</v>
      </c>
      <c r="Q65" s="545"/>
      <c r="R65" s="545"/>
      <c r="S65" s="546"/>
      <c r="T65" s="524" t="str">
        <f ca="1">IFERROR(VLOOKUP(K65,E40:X55,19,FALSE),"")</f>
        <v/>
      </c>
      <c r="U65" s="525"/>
      <c r="V65" s="24"/>
      <c r="W65" s="25"/>
      <c r="X65" s="25"/>
      <c r="Y65" s="25"/>
      <c r="Z65" s="25"/>
      <c r="AA65" s="25"/>
      <c r="AB65" s="26"/>
    </row>
    <row r="66" spans="1:33" s="4" customFormat="1" ht="15.95" customHeight="1" x14ac:dyDescent="0.45">
      <c r="A66" s="8"/>
      <c r="B66" s="10">
        <v>8</v>
      </c>
      <c r="C66" s="3"/>
      <c r="D66" s="55">
        <v>8</v>
      </c>
      <c r="E66" s="19" t="str">
        <f ca="1">IFERROR(VLOOKUP(B66,B40:E55,4,FALSE),"")</f>
        <v/>
      </c>
      <c r="F66" s="27" t="str">
        <f ca="1">IFERROR(VLOOKUP(E66,$E40:$F55,2,FALSE),"")</f>
        <v/>
      </c>
      <c r="G66" s="18" t="str">
        <f t="shared" ca="1" si="18"/>
        <v>-</v>
      </c>
      <c r="H66" s="542" t="str">
        <f ca="1">IFERROR(VLOOKUP(E66,E40:X55,19,FALSE),"")</f>
        <v/>
      </c>
      <c r="I66" s="543"/>
      <c r="J66" s="55">
        <v>8</v>
      </c>
      <c r="K66" s="55" t="str">
        <f ca="1">IFERROR(VLOOKUP(B66,C40:X55,3,FALSE),"")</f>
        <v/>
      </c>
      <c r="L66" s="544" t="str">
        <f ca="1">IFERROR(VLOOKUP(K66,$E40:$F55,2,FALSE),"")</f>
        <v/>
      </c>
      <c r="M66" s="545"/>
      <c r="N66" s="545"/>
      <c r="O66" s="546"/>
      <c r="P66" s="544" t="str">
        <f t="shared" ca="1" si="19"/>
        <v>-</v>
      </c>
      <c r="Q66" s="545"/>
      <c r="R66" s="545"/>
      <c r="S66" s="546"/>
      <c r="T66" s="524" t="str">
        <f ca="1">IFERROR(VLOOKUP(K66,E40:X55,19,FALSE),"")</f>
        <v/>
      </c>
      <c r="U66" s="525"/>
      <c r="V66" s="28"/>
      <c r="W66" s="29"/>
      <c r="X66" s="29"/>
      <c r="Y66" s="29"/>
      <c r="Z66" s="29"/>
      <c r="AA66" s="29"/>
      <c r="AB66" s="30"/>
    </row>
    <row r="67" spans="1:33" s="4" customFormat="1" ht="21" x14ac:dyDescent="0.45">
      <c r="A67" s="2" t="str">
        <f>MatchDay!$U$6</f>
        <v>X</v>
      </c>
      <c r="B67" s="8"/>
      <c r="C67" s="3"/>
      <c r="D67" s="502" t="s">
        <v>186</v>
      </c>
      <c r="E67" s="503"/>
      <c r="F67" s="503"/>
      <c r="G67" s="503"/>
      <c r="H67" s="503"/>
      <c r="I67" s="503"/>
      <c r="J67" s="503"/>
      <c r="K67" s="515" t="s">
        <v>187</v>
      </c>
      <c r="L67" s="516"/>
      <c r="M67" s="516"/>
      <c r="N67" s="516"/>
      <c r="O67" s="518" t="str">
        <f>MatchDay!$C$2&amp;" "&amp;MatchDay!$C$3&amp;" "&amp;MatchDay!$C$4</f>
        <v>LOWER NORTH East 1</v>
      </c>
      <c r="P67" s="519"/>
      <c r="Q67" s="519"/>
      <c r="R67" s="519"/>
      <c r="S67" s="519"/>
      <c r="T67" s="519"/>
      <c r="U67" s="519"/>
      <c r="V67" s="519"/>
      <c r="W67" s="519"/>
      <c r="X67" s="519"/>
      <c r="Y67" s="519"/>
      <c r="Z67" s="519"/>
      <c r="AA67" s="519"/>
      <c r="AB67" s="520"/>
    </row>
    <row r="68" spans="1:33" s="4" customFormat="1" ht="15.75" customHeight="1" x14ac:dyDescent="0.45">
      <c r="A68" s="1" t="str">
        <f>IFERROR(IF(LEFT(MatchDay!$C$2,1)="L","L"&amp;A70,"U"&amp;A70),"")</f>
        <v>LFD03</v>
      </c>
      <c r="B68" s="10">
        <v>91</v>
      </c>
      <c r="C68" s="3"/>
      <c r="D68" s="512" t="s">
        <v>188</v>
      </c>
      <c r="E68" s="514"/>
      <c r="F68" s="513" t="str">
        <f>IFERROR(UPPER(VLOOKUP(A69,teamlookup,6,FALSE)),"")</f>
        <v/>
      </c>
      <c r="G68" s="514"/>
      <c r="H68" s="504" t="s">
        <v>201</v>
      </c>
      <c r="I68" s="510"/>
      <c r="J68" s="505"/>
      <c r="K68" s="512" t="str">
        <f>MatchDay!$C$8</f>
        <v>@ Doncaster</v>
      </c>
      <c r="L68" s="513"/>
      <c r="M68" s="513"/>
      <c r="N68" s="513"/>
      <c r="O68" s="513"/>
      <c r="P68" s="514"/>
      <c r="Q68" s="504" t="s">
        <v>160</v>
      </c>
      <c r="R68" s="505"/>
      <c r="S68" s="521">
        <f>MatchDay!$C$7</f>
        <v>43582</v>
      </c>
      <c r="T68" s="522"/>
      <c r="U68" s="522"/>
      <c r="V68" s="522"/>
      <c r="W68" s="522"/>
      <c r="X68" s="523"/>
      <c r="Y68" s="526" t="str">
        <f>IFERROR(IF(LEFT(A68,1)="L","",VLOOKUP(A68,AAA!$A:$I,8,FALSE)),"")</f>
        <v/>
      </c>
      <c r="Z68" s="527"/>
      <c r="AA68" s="524" t="str">
        <f>IFERROR(IF(LEFT(A68,1)="L","",VLOOKUP(A68,standards,9,FALSE)),"")</f>
        <v/>
      </c>
      <c r="AB68" s="525"/>
      <c r="AC68" s="6"/>
      <c r="AD68" s="6"/>
    </row>
    <row r="69" spans="1:33" s="4" customFormat="1" ht="15.75" customHeight="1" x14ac:dyDescent="0.45">
      <c r="A69" s="5">
        <f>IFERROR(IF(A67=1,VLOOKUP(A68,judges,VLOOKUP(MatchDay!$U$2*10+MatchDay!$C$5,judgesp,5,FALSE),FALSE),VLOOKUP(Distance!A68,judges,VLOOKUP(MatchDay!$U$2*10+MatchDay!$C$5,judges2,5,FALSE),FALSE)),"")</f>
        <v>0</v>
      </c>
      <c r="B69" s="181">
        <f>IFERROR(VLOOKUP(A68,Timetables!$A:$E,5,FALSE)-1,"")</f>
        <v>42</v>
      </c>
      <c r="C69" s="3"/>
      <c r="D69" s="504" t="s">
        <v>161</v>
      </c>
      <c r="E69" s="505"/>
      <c r="F69" s="508" t="str">
        <f>IFERROR(VLOOKUP(A68,timetables,2,FALSE)&amp;" "&amp;VLOOKUP(A68,timetables,3,FALSE),"")</f>
        <v>Shot U13 Girls</v>
      </c>
      <c r="G69" s="509"/>
      <c r="H69" s="504" t="s">
        <v>162</v>
      </c>
      <c r="I69" s="510"/>
      <c r="J69" s="505"/>
      <c r="K69" s="511">
        <f>IFERROR(IF(A67=1,VLOOKUP(A68,Timetables!$A:$G,6,FALSE),VLOOKUP(A68,Timetables!$A:$G,7,FALSE)),"")</f>
        <v>0.48958333333333331</v>
      </c>
      <c r="L69" s="511" t="e">
        <v>#N/A</v>
      </c>
      <c r="M69" s="504" t="s">
        <v>202</v>
      </c>
      <c r="N69" s="505"/>
      <c r="O69" s="506" t="str">
        <f>IFERROR(VLOOKUP(A68,records,3,FALSE)&amp;", "&amp;VLOOKUP(A68,records,4,FALSE)&amp;", "&amp;VLOOKUP(A68,records,5,FALSE)&amp;", "&amp;VLOOKUP(A68,records,6,FALSE)&amp;", "&amp;VLOOKUP(A68,records,7,FALSE)&amp;" "&amp;VLOOKUP(A68,records,8,FALSE),"")</f>
        <v>Meghan Porterfield, VP City of Glasgow, 12.19, Grangemouth, April 22nd 2018</v>
      </c>
      <c r="P69" s="506"/>
      <c r="Q69" s="506"/>
      <c r="R69" s="506"/>
      <c r="S69" s="506"/>
      <c r="T69" s="506"/>
      <c r="U69" s="506"/>
      <c r="V69" s="506"/>
      <c r="W69" s="506"/>
      <c r="X69" s="506"/>
      <c r="Y69" s="506"/>
      <c r="Z69" s="506"/>
      <c r="AA69" s="506"/>
      <c r="AB69" s="507"/>
    </row>
    <row r="70" spans="1:33" s="4" customFormat="1" ht="32.1" customHeight="1" x14ac:dyDescent="0.45">
      <c r="A70" s="5" t="s">
        <v>258</v>
      </c>
      <c r="B70" s="10" t="str">
        <f>IFERROR(VLOOKUP($A70,fdistance,2,FALSE),"")</f>
        <v>F</v>
      </c>
      <c r="C70" s="10">
        <f>IFERROR(VLOOKUP($A70,fdistance,3,FALSE),"")</f>
        <v>23</v>
      </c>
      <c r="D70" s="31" t="s">
        <v>163</v>
      </c>
      <c r="E70" s="13" t="s">
        <v>164</v>
      </c>
      <c r="F70" s="13" t="s">
        <v>165</v>
      </c>
      <c r="G70" s="14" t="s">
        <v>166</v>
      </c>
      <c r="H70" s="532" t="s">
        <v>167</v>
      </c>
      <c r="I70" s="534"/>
      <c r="J70" s="534" t="s">
        <v>168</v>
      </c>
      <c r="K70" s="534"/>
      <c r="L70" s="534" t="s">
        <v>169</v>
      </c>
      <c r="M70" s="534"/>
      <c r="N70" s="534" t="s">
        <v>170</v>
      </c>
      <c r="O70" s="534"/>
      <c r="P70" s="535" t="s">
        <v>171</v>
      </c>
      <c r="Q70" s="534" t="s">
        <v>172</v>
      </c>
      <c r="R70" s="534"/>
      <c r="S70" s="534" t="s">
        <v>173</v>
      </c>
      <c r="T70" s="534"/>
      <c r="U70" s="534" t="s">
        <v>174</v>
      </c>
      <c r="V70" s="534"/>
      <c r="W70" s="537" t="s">
        <v>175</v>
      </c>
      <c r="X70" s="538"/>
      <c r="Y70" s="528" t="s">
        <v>176</v>
      </c>
      <c r="Z70" s="530" t="s">
        <v>177</v>
      </c>
      <c r="AA70" s="531"/>
      <c r="AB70" s="532"/>
    </row>
    <row r="71" spans="1:33" s="4" customFormat="1" ht="11.65" x14ac:dyDescent="0.35">
      <c r="A71" s="137">
        <f>IFERROR(SEARCH("U17",F69),0)</f>
        <v>0</v>
      </c>
      <c r="B71" s="7" t="s">
        <v>53</v>
      </c>
      <c r="C71" s="7" t="s">
        <v>54</v>
      </c>
      <c r="D71" s="56"/>
      <c r="E71" s="56"/>
      <c r="F71" s="15"/>
      <c r="G71" s="16"/>
      <c r="H71" s="514" t="s">
        <v>178</v>
      </c>
      <c r="I71" s="533"/>
      <c r="J71" s="533" t="s">
        <v>178</v>
      </c>
      <c r="K71" s="533"/>
      <c r="L71" s="533" t="s">
        <v>178</v>
      </c>
      <c r="M71" s="533"/>
      <c r="N71" s="533" t="s">
        <v>178</v>
      </c>
      <c r="O71" s="533"/>
      <c r="P71" s="536"/>
      <c r="Q71" s="533" t="s">
        <v>178</v>
      </c>
      <c r="R71" s="533"/>
      <c r="S71" s="533" t="s">
        <v>178</v>
      </c>
      <c r="T71" s="533"/>
      <c r="U71" s="533" t="s">
        <v>178</v>
      </c>
      <c r="V71" s="533"/>
      <c r="W71" s="533" t="s">
        <v>178</v>
      </c>
      <c r="X71" s="512"/>
      <c r="Y71" s="529"/>
      <c r="Z71" s="55"/>
      <c r="AA71" s="55" t="s">
        <v>53</v>
      </c>
      <c r="AB71" s="55" t="s">
        <v>54</v>
      </c>
    </row>
    <row r="72" spans="1:33" s="4" customFormat="1" ht="15.95" customHeight="1" x14ac:dyDescent="0.35">
      <c r="A72" s="8">
        <f>IFERROR(IF(D72&gt;MatchDay!$U$2,"-",VLOOKUP(A68,timetables,MatchDay!$U$4,FALSE)),0)</f>
        <v>3</v>
      </c>
      <c r="B72" s="7">
        <f ca="1">AA72</f>
        <v>1</v>
      </c>
      <c r="C72" s="7" t="str">
        <f ca="1">AB72</f>
        <v/>
      </c>
      <c r="D72" s="56">
        <v>1</v>
      </c>
      <c r="E72" s="17">
        <f>A72</f>
        <v>3</v>
      </c>
      <c r="F72" s="18" t="str">
        <f ca="1">IFERROR(IF(A71=0,HLOOKUP(E72,Declarations!$D$2:$S$102,B69,FALSE),HLOOKUP(VLOOKUP(E72,Teams!$V$2:$W$19,2,FALSE),Declarations!$D$2:$S$102,B69,FALSE)),"")</f>
        <v>CLAGUE Kathryn</v>
      </c>
      <c r="G72" s="18" t="str">
        <f t="shared" ref="G72:G87" si="20">IFERROR(VLOOKUP(E72,teamlookup,5,FALSE),"-")</f>
        <v>York</v>
      </c>
      <c r="H72" s="524">
        <f ca="1">IFERROR(INDIRECT(CONCATENATE("'Distance Input'!"&amp;B70&amp;C70)),"")</f>
        <v>8.7899999999999991</v>
      </c>
      <c r="I72" s="525"/>
      <c r="J72" s="524">
        <v>0</v>
      </c>
      <c r="K72" s="525"/>
      <c r="L72" s="524">
        <v>0</v>
      </c>
      <c r="M72" s="525"/>
      <c r="N72" s="539">
        <f ca="1">H72</f>
        <v>8.7899999999999991</v>
      </c>
      <c r="O72" s="540"/>
      <c r="P72" s="55">
        <v>0</v>
      </c>
      <c r="Q72" s="541">
        <v>0</v>
      </c>
      <c r="R72" s="541"/>
      <c r="S72" s="541">
        <v>0</v>
      </c>
      <c r="T72" s="541"/>
      <c r="U72" s="541">
        <v>0</v>
      </c>
      <c r="V72" s="541"/>
      <c r="W72" s="524">
        <f ca="1">N72</f>
        <v>8.7899999999999991</v>
      </c>
      <c r="X72" s="525"/>
      <c r="Y72" s="55">
        <f ca="1">IF(OR(W72="",W72=0),0,IF(W72="X",MatchDay!$U$2+MatchDay!$U$2+1-COUNTIF(Distance!W72:W72,"X"),RANK(W72,$W72:$X87,0)))</f>
        <v>1</v>
      </c>
      <c r="Z72" s="19" t="str">
        <f ca="1">IFERROR(IF(Y72=0,0,IF(OR(VLOOKUP(AG72,E80:Y87,21,FALSE)=0,Y72&lt;=VLOOKUP(AG72,E80:Y87,21,FALSE)),"A","B")),"")</f>
        <v>A</v>
      </c>
      <c r="AA72" s="19">
        <f ca="1">IFERROR(IF(Z72="B","",RANK(AD72,AD72:AD87,1)),"")</f>
        <v>1</v>
      </c>
      <c r="AB72" s="19" t="str">
        <f ca="1">IFERROR(IF(Z72="A","",RANK(AE72,AE72:AE87,1)),"")</f>
        <v/>
      </c>
      <c r="AC72" s="8"/>
      <c r="AD72" s="9">
        <f ca="1">IF(OR(W72=0,Y72=0,Z72="B"),"",Y72)</f>
        <v>1</v>
      </c>
      <c r="AE72" s="9" t="str">
        <f ca="1">IF(OR(W72=0,Y72=0,Z72="A"),"",Y72)</f>
        <v/>
      </c>
      <c r="AF72" s="9" t="s">
        <v>179</v>
      </c>
      <c r="AG72" s="4">
        <f>IFERROR(IF(A71=0,E72*11,E72&amp;E72),"")</f>
        <v>33</v>
      </c>
    </row>
    <row r="73" spans="1:33" s="4" customFormat="1" ht="15.95" customHeight="1" x14ac:dyDescent="0.35">
      <c r="A73" s="8">
        <f>IFERROR(IF(D73&gt;MatchDay!$U$2,"-",VLOOKUP(A68,timetables,MatchDay!$U$4+1,FALSE)),0)</f>
        <v>1</v>
      </c>
      <c r="B73" s="7">
        <f t="shared" ref="B73:B87" ca="1" si="21">AA73</f>
        <v>2</v>
      </c>
      <c r="C73" s="7" t="str">
        <f t="shared" ref="C73:C87" ca="1" si="22">AB73</f>
        <v/>
      </c>
      <c r="D73" s="55">
        <v>2</v>
      </c>
      <c r="E73" s="17">
        <f t="shared" ref="E73:E87" si="23">A73</f>
        <v>1</v>
      </c>
      <c r="F73" s="18" t="str">
        <f ca="1">IFERROR(IF(A71=0,HLOOKUP(E73,Declarations!$D$2:$S$102,B69,FALSE),HLOOKUP(VLOOKUP(E73,Teams!$V$2:$W$19,2,FALSE),Declarations!$D$2:$S$102,B69,FALSE)),"")</f>
        <v>FELLOWS Isabelle</v>
      </c>
      <c r="G73" s="18" t="str">
        <f t="shared" si="20"/>
        <v>C'field</v>
      </c>
      <c r="H73" s="524">
        <f ca="1">IFERROR(INDIRECT(CONCATENATE("'Distance Input'!"&amp;B70&amp;C70+1)),"")</f>
        <v>7.75</v>
      </c>
      <c r="I73" s="525"/>
      <c r="J73" s="524">
        <v>0</v>
      </c>
      <c r="K73" s="525"/>
      <c r="L73" s="524">
        <v>0</v>
      </c>
      <c r="M73" s="525"/>
      <c r="N73" s="539">
        <f t="shared" ref="N73:N87" ca="1" si="24">H73</f>
        <v>7.75</v>
      </c>
      <c r="O73" s="540"/>
      <c r="P73" s="55">
        <v>0</v>
      </c>
      <c r="Q73" s="541">
        <v>0</v>
      </c>
      <c r="R73" s="541"/>
      <c r="S73" s="541">
        <v>0</v>
      </c>
      <c r="T73" s="541"/>
      <c r="U73" s="541">
        <v>0</v>
      </c>
      <c r="V73" s="541"/>
      <c r="W73" s="524">
        <f t="shared" ref="W73:W87" ca="1" si="25">N73</f>
        <v>7.75</v>
      </c>
      <c r="X73" s="525"/>
      <c r="Y73" s="55">
        <f ca="1">IF(OR(W73="",W73=0),0,IF(W73="X",MatchDay!$U$2+MatchDay!$U$2+1-COUNTIF(Distance!W72:W73,"X"),RANK(W73,$W72:$X87,0)))</f>
        <v>2</v>
      </c>
      <c r="Z73" s="19" t="str">
        <f ca="1">IFERROR(IF(Y73=0,0,IF(OR(VLOOKUP(AG73,E80:Y87,21,FALSE)=0,Y73&lt;=VLOOKUP(AG73,E80:Y87,21,FALSE)),"A","B")),"")</f>
        <v>A</v>
      </c>
      <c r="AA73" s="19">
        <f ca="1">IFERROR(IF(Z73="B","",RANK(AD73,AD72:AD87,1)),"")</f>
        <v>2</v>
      </c>
      <c r="AB73" s="19" t="str">
        <f ca="1">IFERROR(IF(Z73="A","",RANK(AE73,AE72:AE87,1)),"")</f>
        <v/>
      </c>
      <c r="AC73" s="8"/>
      <c r="AD73" s="9">
        <f t="shared" ref="AD73:AD87" ca="1" si="26">IF(OR(W73=0,Y73=0,Z73="B"),"",Y73)</f>
        <v>2</v>
      </c>
      <c r="AE73" s="9" t="str">
        <f t="shared" ref="AE73:AE87" ca="1" si="27">IF(OR(W73=0,Y73=0,Z73="A"),"",Y73)</f>
        <v/>
      </c>
      <c r="AF73" s="9" t="s">
        <v>179</v>
      </c>
      <c r="AG73" s="4">
        <f>IFERROR(IF(A71=0,E73*11,E73&amp;E73),"")</f>
        <v>11</v>
      </c>
    </row>
    <row r="74" spans="1:33" s="4" customFormat="1" ht="15.95" customHeight="1" x14ac:dyDescent="0.35">
      <c r="A74" s="8">
        <f>IFERROR(IF(D74&gt;MatchDay!$U$2,"-",VLOOKUP(A68,timetables,MatchDay!$U$4+2,FALSE)),0)</f>
        <v>4</v>
      </c>
      <c r="B74" s="7">
        <f t="shared" ca="1" si="21"/>
        <v>3</v>
      </c>
      <c r="C74" s="7" t="str">
        <f t="shared" ca="1" si="22"/>
        <v/>
      </c>
      <c r="D74" s="55">
        <v>3</v>
      </c>
      <c r="E74" s="17">
        <f t="shared" si="23"/>
        <v>4</v>
      </c>
      <c r="F74" s="18" t="str">
        <f ca="1">IFERROR(IF(A71=0,HLOOKUP(E74,Declarations!$D$2:$S$102,B69,FALSE),HLOOKUP(VLOOKUP(E74,Teams!$V$2:$W$19,2,FALSE),Declarations!$D$2:$S$102,B69,FALSE)),"")</f>
        <v>SEDGWICK Emma</v>
      </c>
      <c r="G74" s="18" t="str">
        <f t="shared" si="20"/>
        <v>M'bro</v>
      </c>
      <c r="H74" s="524">
        <f ca="1">IFERROR(INDIRECT(CONCATENATE("'Distance Input'!"&amp;B70&amp;C70+2)),"")</f>
        <v>6.25</v>
      </c>
      <c r="I74" s="525"/>
      <c r="J74" s="524">
        <v>0</v>
      </c>
      <c r="K74" s="525"/>
      <c r="L74" s="524">
        <v>0</v>
      </c>
      <c r="M74" s="525"/>
      <c r="N74" s="539">
        <f t="shared" ca="1" si="24"/>
        <v>6.25</v>
      </c>
      <c r="O74" s="540"/>
      <c r="P74" s="55">
        <v>0</v>
      </c>
      <c r="Q74" s="541">
        <v>0</v>
      </c>
      <c r="R74" s="541"/>
      <c r="S74" s="541">
        <v>0</v>
      </c>
      <c r="T74" s="541"/>
      <c r="U74" s="541">
        <v>0</v>
      </c>
      <c r="V74" s="541"/>
      <c r="W74" s="524">
        <f t="shared" ca="1" si="25"/>
        <v>6.25</v>
      </c>
      <c r="X74" s="525"/>
      <c r="Y74" s="55">
        <f ca="1">IF(OR(W74="",W74=0),0,IF(W74="X",MatchDay!$U$2+MatchDay!$U$2+1-COUNTIF(Distance!W72:W74,"X"),RANK(W74,$W72:$X87,0)))</f>
        <v>5</v>
      </c>
      <c r="Z74" s="19" t="str">
        <f ca="1">IFERROR(IF(Y74=0,0,IF(OR(VLOOKUP(AG74,E80:Y87,21,FALSE)=0,Y74&lt;=VLOOKUP(AG74,E80:Y87,21,FALSE)),"A","B")),"")</f>
        <v>A</v>
      </c>
      <c r="AA74" s="19">
        <f ca="1">IFERROR(IF(Z74="B","",RANK(AD74,AD72:AD87,1)),"")</f>
        <v>3</v>
      </c>
      <c r="AB74" s="19" t="str">
        <f ca="1">IFERROR(IF(Z74="A","",RANK(AE74,AE72:AE87,1)),"")</f>
        <v/>
      </c>
      <c r="AD74" s="9">
        <f t="shared" ca="1" si="26"/>
        <v>5</v>
      </c>
      <c r="AE74" s="9" t="str">
        <f t="shared" ca="1" si="27"/>
        <v/>
      </c>
      <c r="AF74" s="9" t="s">
        <v>179</v>
      </c>
      <c r="AG74" s="4">
        <f>IFERROR(IF(A71=0,E74*11,E74&amp;E74),"")</f>
        <v>44</v>
      </c>
    </row>
    <row r="75" spans="1:33" s="4" customFormat="1" ht="15.95" customHeight="1" x14ac:dyDescent="0.35">
      <c r="A75" s="8">
        <f>IFERROR(IF(D75&gt;MatchDay!$U$2,"-",VLOOKUP(A68,timetables,MatchDay!$U$4+3,FALSE)),0)</f>
        <v>2</v>
      </c>
      <c r="B75" s="7" t="str">
        <f t="shared" ca="1" si="21"/>
        <v/>
      </c>
      <c r="C75" s="7" t="str">
        <f t="shared" ca="1" si="22"/>
        <v/>
      </c>
      <c r="D75" s="55">
        <v>4</v>
      </c>
      <c r="E75" s="17">
        <f t="shared" si="23"/>
        <v>2</v>
      </c>
      <c r="F75" s="18" t="str">
        <f ca="1">IFERROR(IF(A71=0,HLOOKUP(E75,Declarations!$D$2:$S$102,B69,FALSE),HLOOKUP(VLOOKUP(E75,Teams!$V$2:$W$19,2,FALSE),Declarations!$D$2:$S$102,B69,FALSE)),"")</f>
        <v>BERRY Heather</v>
      </c>
      <c r="G75" s="18" t="str">
        <f t="shared" si="20"/>
        <v>Sheff+D</v>
      </c>
      <c r="H75" s="524">
        <f ca="1">IFERROR(INDIRECT(CONCATENATE("'Distance Input'!"&amp;B70&amp;C70+3)),"")</f>
        <v>0</v>
      </c>
      <c r="I75" s="525"/>
      <c r="J75" s="524">
        <v>0</v>
      </c>
      <c r="K75" s="525"/>
      <c r="L75" s="524">
        <v>0</v>
      </c>
      <c r="M75" s="525"/>
      <c r="N75" s="539">
        <f t="shared" ca="1" si="24"/>
        <v>0</v>
      </c>
      <c r="O75" s="540"/>
      <c r="P75" s="55">
        <v>0</v>
      </c>
      <c r="Q75" s="541">
        <v>0</v>
      </c>
      <c r="R75" s="541"/>
      <c r="S75" s="541">
        <v>0</v>
      </c>
      <c r="T75" s="541"/>
      <c r="U75" s="541">
        <v>0</v>
      </c>
      <c r="V75" s="541"/>
      <c r="W75" s="524">
        <f t="shared" ca="1" si="25"/>
        <v>0</v>
      </c>
      <c r="X75" s="525"/>
      <c r="Y75" s="55">
        <f ca="1">IF(OR(W75="",W75=0),0,IF(W75="X",MatchDay!$U$2+MatchDay!$U$2+1-COUNTIF(Distance!W72:W75,"X"),RANK(W75,$W72:$X87,0)))</f>
        <v>0</v>
      </c>
      <c r="Z75" s="19">
        <f ca="1">IFERROR(IF(Y75=0,0,IF(OR(VLOOKUP(AG75,E80:Y87,21,FALSE)=0,Y75&lt;=VLOOKUP(AG75,E80:Y87,21,FALSE)),"A","B")),"")</f>
        <v>0</v>
      </c>
      <c r="AA75" s="19" t="str">
        <f ca="1">IFERROR(IF(Z75="B","",RANK(AD75,AD72:AD87,1)),"")</f>
        <v/>
      </c>
      <c r="AB75" s="19" t="str">
        <f ca="1">IFERROR(IF(Z75="A","",RANK(AE75,AE72:AE87,1)),"")</f>
        <v/>
      </c>
      <c r="AD75" s="9" t="str">
        <f t="shared" ca="1" si="26"/>
        <v/>
      </c>
      <c r="AE75" s="9" t="str">
        <f t="shared" ca="1" si="27"/>
        <v/>
      </c>
      <c r="AF75" s="9" t="s">
        <v>179</v>
      </c>
      <c r="AG75" s="4">
        <f>IFERROR(IF(A71=0,E75*11,E75&amp;E75),"")</f>
        <v>22</v>
      </c>
    </row>
    <row r="76" spans="1:33" s="4" customFormat="1" ht="15.95" customHeight="1" x14ac:dyDescent="0.35">
      <c r="A76" s="8">
        <f>IFERROR(IF(D76&gt;MatchDay!$U$2,"-",VLOOKUP(A68,timetables,MatchDay!$U$4+4,FALSE)),0)</f>
        <v>5</v>
      </c>
      <c r="B76" s="7">
        <f t="shared" ca="1" si="21"/>
        <v>4</v>
      </c>
      <c r="C76" s="7" t="str">
        <f t="shared" ca="1" si="22"/>
        <v/>
      </c>
      <c r="D76" s="55">
        <v>5</v>
      </c>
      <c r="E76" s="17">
        <f t="shared" si="23"/>
        <v>5</v>
      </c>
      <c r="F76" s="18" t="str">
        <f ca="1">IFERROR(IF(A71=0,HLOOKUP(E76,Declarations!$D$2:$S$102,B69,FALSE),HLOOKUP(VLOOKUP(E76,Teams!$V$2:$W$19,2,FALSE),Declarations!$D$2:$S$102,B69,FALSE)),"")</f>
        <v>HAYES Zara</v>
      </c>
      <c r="G76" s="18" t="str">
        <f t="shared" si="20"/>
        <v>Scun</v>
      </c>
      <c r="H76" s="524">
        <f ca="1">IFERROR(INDIRECT(CONCATENATE("'Distance Input'!"&amp;B70&amp;C70+4)),"")</f>
        <v>5.65</v>
      </c>
      <c r="I76" s="525"/>
      <c r="J76" s="524">
        <v>0</v>
      </c>
      <c r="K76" s="525"/>
      <c r="L76" s="524">
        <v>0</v>
      </c>
      <c r="M76" s="525"/>
      <c r="N76" s="539">
        <f t="shared" ca="1" si="24"/>
        <v>5.65</v>
      </c>
      <c r="O76" s="540"/>
      <c r="P76" s="55">
        <v>0</v>
      </c>
      <c r="Q76" s="541">
        <v>0</v>
      </c>
      <c r="R76" s="541"/>
      <c r="S76" s="541">
        <v>0</v>
      </c>
      <c r="T76" s="541"/>
      <c r="U76" s="541">
        <v>0</v>
      </c>
      <c r="V76" s="541"/>
      <c r="W76" s="524">
        <f t="shared" ca="1" si="25"/>
        <v>5.65</v>
      </c>
      <c r="X76" s="525"/>
      <c r="Y76" s="55">
        <f ca="1">IF(OR(W76="",W76=0),0,IF(W76="X",MatchDay!$U$2+MatchDay!$U$2+1-COUNTIF(Distance!W72:W76,"X"),RANK(W76,$W72:$X87,0)))</f>
        <v>6</v>
      </c>
      <c r="Z76" s="19" t="str">
        <f ca="1">IFERROR(IF(Y76=0,0,IF(OR(VLOOKUP(AG76,E80:Y87,21,FALSE)=0,Y76&lt;=VLOOKUP(AG76,E80:Y87,21,FALSE)),"A","B")),"")</f>
        <v>A</v>
      </c>
      <c r="AA76" s="19">
        <f ca="1">IFERROR(IF(Z76="B","",RANK(AD76,AD72:AD87,1)),"")</f>
        <v>4</v>
      </c>
      <c r="AB76" s="19" t="str">
        <f ca="1">IFERROR(IF(Z76="A","",RANK(AE76,AE72:AE87,1)),"")</f>
        <v/>
      </c>
      <c r="AD76" s="9">
        <f t="shared" ca="1" si="26"/>
        <v>6</v>
      </c>
      <c r="AE76" s="9" t="str">
        <f t="shared" ca="1" si="27"/>
        <v/>
      </c>
      <c r="AF76" s="9" t="s">
        <v>179</v>
      </c>
      <c r="AG76" s="4">
        <f>IFERROR(IF(A71=0,E76*11,E76&amp;E76),"")</f>
        <v>55</v>
      </c>
    </row>
    <row r="77" spans="1:33" s="4" customFormat="1" ht="15.95" customHeight="1" x14ac:dyDescent="0.35">
      <c r="A77" s="8" t="str">
        <f>IFERROR(IF(D77&gt;MatchDay!$U$2,"-",VLOOKUP(A68,timetables,MatchDay!$U$4+5,FALSE)),0)</f>
        <v>-</v>
      </c>
      <c r="B77" s="7" t="str">
        <f t="shared" ca="1" si="21"/>
        <v/>
      </c>
      <c r="C77" s="7" t="str">
        <f t="shared" ca="1" si="22"/>
        <v/>
      </c>
      <c r="D77" s="55">
        <v>6</v>
      </c>
      <c r="E77" s="17" t="str">
        <f t="shared" si="23"/>
        <v>-</v>
      </c>
      <c r="F77" s="18" t="str">
        <f>IFERROR(IF(A71=0,HLOOKUP(E77,Declarations!$D$2:$S$102,B69,FALSE),HLOOKUP(VLOOKUP(E77,Teams!$V$2:$W$19,2,FALSE),Declarations!$D$2:$S$102,B69,FALSE)),"")</f>
        <v/>
      </c>
      <c r="G77" s="18" t="str">
        <f t="shared" si="20"/>
        <v/>
      </c>
      <c r="H77" s="524">
        <f ca="1">IFERROR(INDIRECT(CONCATENATE("'Distance Input'!"&amp;B70&amp;C70+5)),"")</f>
        <v>0</v>
      </c>
      <c r="I77" s="525"/>
      <c r="J77" s="524">
        <v>0</v>
      </c>
      <c r="K77" s="525"/>
      <c r="L77" s="524">
        <v>0</v>
      </c>
      <c r="M77" s="525"/>
      <c r="N77" s="539">
        <f t="shared" ca="1" si="24"/>
        <v>0</v>
      </c>
      <c r="O77" s="540"/>
      <c r="P77" s="55">
        <v>0</v>
      </c>
      <c r="Q77" s="541">
        <v>0</v>
      </c>
      <c r="R77" s="541"/>
      <c r="S77" s="541">
        <v>0</v>
      </c>
      <c r="T77" s="541"/>
      <c r="U77" s="541">
        <v>0</v>
      </c>
      <c r="V77" s="541"/>
      <c r="W77" s="524">
        <f t="shared" ca="1" si="25"/>
        <v>0</v>
      </c>
      <c r="X77" s="525"/>
      <c r="Y77" s="55">
        <f ca="1">IF(OR(W77="",W77=0),0,IF(W77="X",MatchDay!$U$2+MatchDay!$U$2+1-COUNTIF(Distance!W72:W77,"X"),RANK(W77,$W72:$X87,0)))</f>
        <v>0</v>
      </c>
      <c r="Z77" s="19">
        <f ca="1">IFERROR(IF(Y77=0,0,IF(OR(VLOOKUP(AG77,E80:Y87,21,FALSE)=0,Y77&lt;=VLOOKUP(AG77,E80:Y87,21,FALSE)),"A","B")),"")</f>
        <v>0</v>
      </c>
      <c r="AA77" s="19" t="str">
        <f ca="1">IFERROR(IF(Z77="B","",RANK(AD77,AD72:AD87,1)),"")</f>
        <v/>
      </c>
      <c r="AB77" s="19" t="str">
        <f ca="1">IFERROR(IF(Z77="A","",RANK(AE77,AE72:AE87,1)),"")</f>
        <v/>
      </c>
      <c r="AD77" s="9" t="str">
        <f t="shared" ca="1" si="26"/>
        <v/>
      </c>
      <c r="AE77" s="9" t="str">
        <f t="shared" ca="1" si="27"/>
        <v/>
      </c>
      <c r="AF77" s="9" t="s">
        <v>179</v>
      </c>
      <c r="AG77" s="4" t="str">
        <f>IFERROR(IF(A71=0,E77*11,E77&amp;E77),"")</f>
        <v/>
      </c>
    </row>
    <row r="78" spans="1:33" s="4" customFormat="1" ht="15.95" customHeight="1" x14ac:dyDescent="0.35">
      <c r="A78" s="8" t="str">
        <f>IFERROR(IF(D78&gt;MatchDay!$U$2,"-",VLOOKUP(A68,timetables,MatchDay!$U$4+6,FALSE)),0)</f>
        <v>-</v>
      </c>
      <c r="B78" s="7" t="str">
        <f t="shared" ca="1" si="21"/>
        <v/>
      </c>
      <c r="C78" s="7" t="str">
        <f t="shared" ca="1" si="22"/>
        <v/>
      </c>
      <c r="D78" s="55">
        <v>7</v>
      </c>
      <c r="E78" s="17" t="str">
        <f t="shared" si="23"/>
        <v>-</v>
      </c>
      <c r="F78" s="18" t="str">
        <f>IFERROR(IF(A71=0,HLOOKUP(E78,Declarations!$D$2:$S$102,B69,FALSE),HLOOKUP(VLOOKUP(E78,Teams!$V$2:$W$19,2,FALSE),Declarations!$D$2:$S$102,B69,FALSE)),"")</f>
        <v/>
      </c>
      <c r="G78" s="18" t="str">
        <f t="shared" si="20"/>
        <v/>
      </c>
      <c r="H78" s="524">
        <f ca="1">IFERROR(INDIRECT(CONCATENATE("'Distance Input'!"&amp;B70&amp;C70+6)),"")</f>
        <v>0</v>
      </c>
      <c r="I78" s="525"/>
      <c r="J78" s="524">
        <v>0</v>
      </c>
      <c r="K78" s="525"/>
      <c r="L78" s="524">
        <v>0</v>
      </c>
      <c r="M78" s="525"/>
      <c r="N78" s="539">
        <f t="shared" ca="1" si="24"/>
        <v>0</v>
      </c>
      <c r="O78" s="540"/>
      <c r="P78" s="55">
        <v>0</v>
      </c>
      <c r="Q78" s="541">
        <v>0</v>
      </c>
      <c r="R78" s="541"/>
      <c r="S78" s="541">
        <v>0</v>
      </c>
      <c r="T78" s="541"/>
      <c r="U78" s="541">
        <v>0</v>
      </c>
      <c r="V78" s="541"/>
      <c r="W78" s="524">
        <f t="shared" ca="1" si="25"/>
        <v>0</v>
      </c>
      <c r="X78" s="525"/>
      <c r="Y78" s="55">
        <f ca="1">IF(OR(W78="",W78=0),0,IF(W78="X",MatchDay!$U$2+MatchDay!$U$2+1-COUNTIF(Distance!W72:W78,"X"),RANK(W78,$W72:$X87,0)))</f>
        <v>0</v>
      </c>
      <c r="Z78" s="19">
        <f ca="1">IFERROR(IF(Y78=0,0,IF(OR(VLOOKUP(AG78,E80:Y87,21,FALSE)=0,Y78&lt;=VLOOKUP(AG78,E80:Y87,21,FALSE)),"A","B")),"")</f>
        <v>0</v>
      </c>
      <c r="AA78" s="19" t="str">
        <f ca="1">IFERROR(IF(Z78="B","",RANK(AD78,AD72:AD87,1)),"")</f>
        <v/>
      </c>
      <c r="AB78" s="19" t="str">
        <f ca="1">IFERROR(IF(Z78="A","",RANK(AE78,AE72:AE87,1)),"")</f>
        <v/>
      </c>
      <c r="AD78" s="9" t="str">
        <f t="shared" ca="1" si="26"/>
        <v/>
      </c>
      <c r="AE78" s="9" t="str">
        <f t="shared" ca="1" si="27"/>
        <v/>
      </c>
      <c r="AF78" s="9" t="s">
        <v>179</v>
      </c>
      <c r="AG78" s="4" t="str">
        <f>IFERROR(IF(A71=0,E78*11,E78&amp;E78),"")</f>
        <v/>
      </c>
    </row>
    <row r="79" spans="1:33" s="4" customFormat="1" ht="15.95" customHeight="1" x14ac:dyDescent="0.35">
      <c r="A79" s="8" t="str">
        <f>IFERROR(IF(D79&gt;MatchDay!$U$2,"-",VLOOKUP(A68,timetables,MatchDay!$U$4+7,FALSE)),0)</f>
        <v>-</v>
      </c>
      <c r="B79" s="7" t="str">
        <f t="shared" ca="1" si="21"/>
        <v/>
      </c>
      <c r="C79" s="7" t="str">
        <f t="shared" ca="1" si="22"/>
        <v/>
      </c>
      <c r="D79" s="55">
        <v>8</v>
      </c>
      <c r="E79" s="17" t="str">
        <f t="shared" si="23"/>
        <v>-</v>
      </c>
      <c r="F79" s="18" t="str">
        <f>IFERROR(IF(A71=0,HLOOKUP(E79,Declarations!$D$2:$S$102,B69,FALSE),HLOOKUP(VLOOKUP(E79,Teams!$V$2:$W$19,2,FALSE),Declarations!$D$2:$S$102,B69,FALSE)),"")</f>
        <v/>
      </c>
      <c r="G79" s="18" t="str">
        <f t="shared" si="20"/>
        <v/>
      </c>
      <c r="H79" s="524">
        <f ca="1">IFERROR(INDIRECT(CONCATENATE("'Distance Input'!"&amp;B70&amp;C70+7)),"")</f>
        <v>0</v>
      </c>
      <c r="I79" s="525"/>
      <c r="J79" s="524">
        <v>0</v>
      </c>
      <c r="K79" s="525"/>
      <c r="L79" s="524">
        <v>0</v>
      </c>
      <c r="M79" s="525"/>
      <c r="N79" s="539">
        <f t="shared" ca="1" si="24"/>
        <v>0</v>
      </c>
      <c r="O79" s="540"/>
      <c r="P79" s="55">
        <v>0</v>
      </c>
      <c r="Q79" s="541">
        <v>0</v>
      </c>
      <c r="R79" s="541"/>
      <c r="S79" s="541">
        <v>0</v>
      </c>
      <c r="T79" s="541"/>
      <c r="U79" s="541">
        <v>0</v>
      </c>
      <c r="V79" s="541"/>
      <c r="W79" s="524">
        <f t="shared" ca="1" si="25"/>
        <v>0</v>
      </c>
      <c r="X79" s="525"/>
      <c r="Y79" s="55">
        <f ca="1">IF(OR(W79="",W79=0),0,IF(W79="X",MatchDay!$U$2+MatchDay!$U$2+1-COUNTIF(Distance!W72:W79,"X"),RANK(W79,$W72:$X87,0)))</f>
        <v>0</v>
      </c>
      <c r="Z79" s="19">
        <f ca="1">IFERROR(IF(Y79=0,0,IF(OR(VLOOKUP(AG79,E80:Y87,21,FALSE)=0,Y79&lt;=VLOOKUP(AG79,E80:Y87,21,FALSE)),"A","B")),"")</f>
        <v>0</v>
      </c>
      <c r="AA79" s="19" t="str">
        <f ca="1">IFERROR(IF(Z79="B","",RANK(AD79,AD72:AD87,1)),"")</f>
        <v/>
      </c>
      <c r="AB79" s="19" t="str">
        <f ca="1">IFERROR(IF(Z79="A","",RANK(AE79,AE72:AE87,1)),"")</f>
        <v/>
      </c>
      <c r="AD79" s="9" t="str">
        <f t="shared" ca="1" si="26"/>
        <v/>
      </c>
      <c r="AE79" s="9" t="str">
        <f t="shared" ca="1" si="27"/>
        <v/>
      </c>
      <c r="AF79" s="9" t="s">
        <v>179</v>
      </c>
      <c r="AG79" s="4" t="str">
        <f>IFERROR(IF(A71=0,E79*11,E79&amp;E79),"")</f>
        <v/>
      </c>
    </row>
    <row r="80" spans="1:33" s="4" customFormat="1" ht="15.95" customHeight="1" x14ac:dyDescent="0.35">
      <c r="A80" s="8">
        <f>IFERROR(IF(A71=0,A72*11,A72&amp;A72),"-")</f>
        <v>33</v>
      </c>
      <c r="B80" s="7" t="str">
        <f t="shared" ca="1" si="21"/>
        <v/>
      </c>
      <c r="C80" s="7">
        <f t="shared" ca="1" si="22"/>
        <v>1</v>
      </c>
      <c r="D80" s="55">
        <v>9</v>
      </c>
      <c r="E80" s="17">
        <f t="shared" si="23"/>
        <v>33</v>
      </c>
      <c r="F80" s="18" t="str">
        <f ca="1">IFERROR(IF(A71=0,HLOOKUP(E80,Declarations!$D$2:$S$102,B69,FALSE),HLOOKUP(VLOOKUP(E80,Teams!$V$2:$W$19,2,FALSE),Declarations!$D$2:$S$102,B69,FALSE)),"")</f>
        <v>WRIGHT Ella</v>
      </c>
      <c r="G80" s="18" t="str">
        <f t="shared" si="20"/>
        <v>York</v>
      </c>
      <c r="H80" s="524">
        <f ca="1">IFERROR(INDIRECT(CONCATENATE("'Distance Input'!"&amp;B70&amp;C70+8)),"")</f>
        <v>7.51</v>
      </c>
      <c r="I80" s="525"/>
      <c r="J80" s="524">
        <v>0</v>
      </c>
      <c r="K80" s="525"/>
      <c r="L80" s="524">
        <v>0</v>
      </c>
      <c r="M80" s="525"/>
      <c r="N80" s="539">
        <f t="shared" ca="1" si="24"/>
        <v>7.51</v>
      </c>
      <c r="O80" s="540"/>
      <c r="P80" s="55">
        <v>0</v>
      </c>
      <c r="Q80" s="541">
        <v>0</v>
      </c>
      <c r="R80" s="541"/>
      <c r="S80" s="541">
        <v>0</v>
      </c>
      <c r="T80" s="541"/>
      <c r="U80" s="541">
        <v>0</v>
      </c>
      <c r="V80" s="541"/>
      <c r="W80" s="524">
        <f t="shared" ca="1" si="25"/>
        <v>7.51</v>
      </c>
      <c r="X80" s="525"/>
      <c r="Y80" s="55">
        <f ca="1">IF(OR(W80="",W80=0),0,IF(W80="X",MatchDay!$U$2+MatchDay!$U$2+1-COUNTIF(Distance!W72:W80,"X"),RANK(W80,$W72:$X87,0)))</f>
        <v>3</v>
      </c>
      <c r="Z80" s="19" t="str">
        <f ca="1">IFERROR(IF(Y80=0,0,IF(VLOOKUP(AG80,E72:Y79,21,FALSE)=0,"A",IF(Y80&gt;=VLOOKUP(AG80,E72:Y79,21,FALSE),"B","A"))),"")</f>
        <v>B</v>
      </c>
      <c r="AA80" s="19" t="str">
        <f ca="1">IFERROR(IF(Z80="B","",RANK(AD80,AD72:AD87,1)),"")</f>
        <v/>
      </c>
      <c r="AB80" s="19">
        <f ca="1">IFERROR(IF(Z80="A","",RANK(AE80,AE72:AE87,1)),"")</f>
        <v>1</v>
      </c>
      <c r="AD80" s="9" t="str">
        <f t="shared" ca="1" si="26"/>
        <v/>
      </c>
      <c r="AE80" s="9">
        <f t="shared" ca="1" si="27"/>
        <v>3</v>
      </c>
      <c r="AF80" s="9" t="s">
        <v>179</v>
      </c>
      <c r="AG80" s="4">
        <f>IFERROR(IF(A71=0,E80/11,LEFT(E80,1)),"")</f>
        <v>3</v>
      </c>
    </row>
    <row r="81" spans="1:33" s="4" customFormat="1" ht="15.95" customHeight="1" x14ac:dyDescent="0.35">
      <c r="A81" s="8">
        <f>IFERROR(IF(A71=0,A73*11,A73&amp;A73),"-")</f>
        <v>11</v>
      </c>
      <c r="B81" s="7" t="str">
        <f t="shared" ca="1" si="21"/>
        <v/>
      </c>
      <c r="C81" s="7">
        <f t="shared" ca="1" si="22"/>
        <v>2</v>
      </c>
      <c r="D81" s="55">
        <v>10</v>
      </c>
      <c r="E81" s="17">
        <f t="shared" si="23"/>
        <v>11</v>
      </c>
      <c r="F81" s="18" t="str">
        <f ca="1">IFERROR(IF(A71=0,HLOOKUP(E81,Declarations!$D$2:$S$102,B69,FALSE),HLOOKUP(VLOOKUP(E81,Teams!$V$2:$W$19,2,FALSE),Declarations!$D$2:$S$102,B69,FALSE)),"")</f>
        <v>HALL Lottie</v>
      </c>
      <c r="G81" s="18" t="str">
        <f t="shared" si="20"/>
        <v>C'field</v>
      </c>
      <c r="H81" s="524">
        <f ca="1">IFERROR(INDIRECT(CONCATENATE("'Distance Input'!"&amp;B70&amp;C70+9)),"")</f>
        <v>6.9</v>
      </c>
      <c r="I81" s="525"/>
      <c r="J81" s="524">
        <v>0</v>
      </c>
      <c r="K81" s="525"/>
      <c r="L81" s="524">
        <v>0</v>
      </c>
      <c r="M81" s="525"/>
      <c r="N81" s="539">
        <f t="shared" ca="1" si="24"/>
        <v>6.9</v>
      </c>
      <c r="O81" s="540"/>
      <c r="P81" s="55">
        <v>0</v>
      </c>
      <c r="Q81" s="541">
        <v>0</v>
      </c>
      <c r="R81" s="541"/>
      <c r="S81" s="541">
        <v>0</v>
      </c>
      <c r="T81" s="541"/>
      <c r="U81" s="541">
        <v>0</v>
      </c>
      <c r="V81" s="541"/>
      <c r="W81" s="524">
        <f t="shared" ca="1" si="25"/>
        <v>6.9</v>
      </c>
      <c r="X81" s="525"/>
      <c r="Y81" s="55">
        <f ca="1">IF(OR(W81="",W81=0),0,IF(W81="X",MatchDay!$U$2+MatchDay!$U$2+1-COUNTIF(Distance!W72:W81,"X"),RANK(W81,$W72:$X87,0)))</f>
        <v>4</v>
      </c>
      <c r="Z81" s="19" t="str">
        <f ca="1">IFERROR(IF(Y81=0,0,IF(VLOOKUP(AG81,E72:Y79,21,FALSE)=0,"A",IF(Y81&gt;=VLOOKUP(AG81,E72:Y79,21,FALSE),"B","A"))),"")</f>
        <v>B</v>
      </c>
      <c r="AA81" s="19" t="str">
        <f ca="1">IFERROR(IF(Z81="B","",RANK(AD81,AD72:AD87,1)),"")</f>
        <v/>
      </c>
      <c r="AB81" s="19">
        <f ca="1">IFERROR(IF(Z81="A","",RANK(AE81,AE72:AE87,1)),"")</f>
        <v>2</v>
      </c>
      <c r="AD81" s="9" t="str">
        <f t="shared" ca="1" si="26"/>
        <v/>
      </c>
      <c r="AE81" s="9">
        <f t="shared" ca="1" si="27"/>
        <v>4</v>
      </c>
      <c r="AF81" s="9" t="s">
        <v>179</v>
      </c>
      <c r="AG81" s="4">
        <f>IFERROR(IF(A71=0,E81/11,LEFT(E81,1)),"")</f>
        <v>1</v>
      </c>
    </row>
    <row r="82" spans="1:33" s="4" customFormat="1" ht="15.95" customHeight="1" x14ac:dyDescent="0.35">
      <c r="A82" s="8">
        <f>IFERROR(IF(A71=0,A74*11,A74&amp;A74),"-")</f>
        <v>44</v>
      </c>
      <c r="B82" s="7" t="str">
        <f t="shared" ca="1" si="21"/>
        <v/>
      </c>
      <c r="C82" s="7" t="str">
        <f t="shared" ca="1" si="22"/>
        <v/>
      </c>
      <c r="D82" s="55">
        <v>11</v>
      </c>
      <c r="E82" s="17">
        <f t="shared" si="23"/>
        <v>44</v>
      </c>
      <c r="F82" s="18" t="str">
        <f ca="1">IFERROR(IF(A71=0,HLOOKUP(E82,Declarations!$D$2:$S$102,B69,FALSE),HLOOKUP(VLOOKUP(E82,Teams!$V$2:$W$19,2,FALSE),Declarations!$D$2:$S$102,B69,FALSE)),"")</f>
        <v>-</v>
      </c>
      <c r="G82" s="18" t="str">
        <f t="shared" si="20"/>
        <v>M'bro</v>
      </c>
      <c r="H82" s="524">
        <f ca="1">IFERROR(INDIRECT(CONCATENATE("'Distance Input'!"&amp;B70&amp;C70+10)),"")</f>
        <v>0</v>
      </c>
      <c r="I82" s="525"/>
      <c r="J82" s="524">
        <v>0</v>
      </c>
      <c r="K82" s="525"/>
      <c r="L82" s="524">
        <v>0</v>
      </c>
      <c r="M82" s="525"/>
      <c r="N82" s="539">
        <f t="shared" ca="1" si="24"/>
        <v>0</v>
      </c>
      <c r="O82" s="540"/>
      <c r="P82" s="55">
        <v>0</v>
      </c>
      <c r="Q82" s="541">
        <v>0</v>
      </c>
      <c r="R82" s="541"/>
      <c r="S82" s="541">
        <v>0</v>
      </c>
      <c r="T82" s="541"/>
      <c r="U82" s="541">
        <v>0</v>
      </c>
      <c r="V82" s="541"/>
      <c r="W82" s="524">
        <f t="shared" ca="1" si="25"/>
        <v>0</v>
      </c>
      <c r="X82" s="525"/>
      <c r="Y82" s="55">
        <f ca="1">IF(OR(W82="",W82=0),0,IF(W82="X",MatchDay!$U$2+MatchDay!$U$2+1-COUNTIF(Distance!W72:W82,"X"),RANK(W82,$W72:$X87,0)))</f>
        <v>0</v>
      </c>
      <c r="Z82" s="19">
        <f ca="1">IFERROR(IF(Y82=0,0,IF(VLOOKUP(AG82,E72:Y79,21,FALSE)=0,"A",IF(Y82&gt;=VLOOKUP(AG82,E72:Y79,21,FALSE),"B","A"))),"")</f>
        <v>0</v>
      </c>
      <c r="AA82" s="19" t="str">
        <f ca="1">IFERROR(IF(Z82="B","",RANK(AD82,AD72:AD87,1)),"")</f>
        <v/>
      </c>
      <c r="AB82" s="19" t="str">
        <f ca="1">IFERROR(IF(Z82="A","",RANK(AE82,AE72:AE87,1)),"")</f>
        <v/>
      </c>
      <c r="AD82" s="9" t="str">
        <f t="shared" ca="1" si="26"/>
        <v/>
      </c>
      <c r="AE82" s="9" t="str">
        <f t="shared" ca="1" si="27"/>
        <v/>
      </c>
      <c r="AF82" s="9" t="s">
        <v>179</v>
      </c>
      <c r="AG82" s="4">
        <f>IFERROR(IF(A71=0,E82/11,LEFT(E82,1)),"")</f>
        <v>4</v>
      </c>
    </row>
    <row r="83" spans="1:33" s="4" customFormat="1" ht="15.95" customHeight="1" x14ac:dyDescent="0.35">
      <c r="A83" s="8">
        <f>IFERROR(IF(A71=0,A75*11,A75&amp;A75),"-")</f>
        <v>22</v>
      </c>
      <c r="B83" s="7">
        <f t="shared" ca="1" si="21"/>
        <v>5</v>
      </c>
      <c r="C83" s="7" t="str">
        <f t="shared" ca="1" si="22"/>
        <v/>
      </c>
      <c r="D83" s="55">
        <v>12</v>
      </c>
      <c r="E83" s="17">
        <f t="shared" si="23"/>
        <v>22</v>
      </c>
      <c r="F83" s="18" t="str">
        <f ca="1">IFERROR(IF(A71=0,HLOOKUP(E83,Declarations!$D$2:$S$102,B69,FALSE),HLOOKUP(VLOOKUP(E83,Teams!$V$2:$W$19,2,FALSE),Declarations!$D$2:$S$102,B69,FALSE)),"")</f>
        <v>SCOTT Violet</v>
      </c>
      <c r="G83" s="18" t="str">
        <f t="shared" si="20"/>
        <v>Sheff+D</v>
      </c>
      <c r="H83" s="524">
        <f ca="1">IFERROR(INDIRECT(CONCATENATE("'Distance Input'!"&amp;B70&amp;C70+11)),"")</f>
        <v>3.59</v>
      </c>
      <c r="I83" s="525"/>
      <c r="J83" s="524">
        <v>0</v>
      </c>
      <c r="K83" s="525"/>
      <c r="L83" s="524">
        <v>0</v>
      </c>
      <c r="M83" s="525"/>
      <c r="N83" s="539">
        <f t="shared" ca="1" si="24"/>
        <v>3.59</v>
      </c>
      <c r="O83" s="540"/>
      <c r="P83" s="55">
        <v>0</v>
      </c>
      <c r="Q83" s="541">
        <v>0</v>
      </c>
      <c r="R83" s="541"/>
      <c r="S83" s="541">
        <v>0</v>
      </c>
      <c r="T83" s="541"/>
      <c r="U83" s="541">
        <v>0</v>
      </c>
      <c r="V83" s="541"/>
      <c r="W83" s="524">
        <f t="shared" ca="1" si="25"/>
        <v>3.59</v>
      </c>
      <c r="X83" s="525"/>
      <c r="Y83" s="55">
        <f ca="1">IF(OR(W83="",W83=0),0,IF(W83="X",MatchDay!$U$2+MatchDay!$U$2+1-COUNTIF(Distance!W72:W83,"X"),RANK(W83,$W72:$X87,0)))</f>
        <v>8</v>
      </c>
      <c r="Z83" s="19" t="str">
        <f ca="1">IFERROR(IF(Y83=0,0,IF(VLOOKUP(AG83,E72:Y79,21,FALSE)=0,"A",IF(Y83&gt;=VLOOKUP(AG83,E72:Y79,21,FALSE),"B","A"))),"")</f>
        <v>A</v>
      </c>
      <c r="AA83" s="19">
        <f ca="1">IFERROR(IF(Z83="B","",RANK(AD83,AD72:AD87,1)),"")</f>
        <v>5</v>
      </c>
      <c r="AB83" s="19" t="str">
        <f ca="1">IFERROR(IF(Z83="A","",RANK(AE83,AE72:AE87,1)),"")</f>
        <v/>
      </c>
      <c r="AD83" s="9">
        <f t="shared" ca="1" si="26"/>
        <v>8</v>
      </c>
      <c r="AE83" s="9" t="str">
        <f t="shared" ca="1" si="27"/>
        <v/>
      </c>
      <c r="AF83" s="9" t="s">
        <v>179</v>
      </c>
      <c r="AG83" s="4">
        <f>IFERROR(IF(A71=0,E83/11,LEFT(E83,1)),"")</f>
        <v>2</v>
      </c>
    </row>
    <row r="84" spans="1:33" s="4" customFormat="1" ht="15.95" customHeight="1" x14ac:dyDescent="0.35">
      <c r="A84" s="8">
        <f>IFERROR(IF(A71=0,A76*11,A76&amp;A76),"-")</f>
        <v>55</v>
      </c>
      <c r="B84" s="7" t="str">
        <f t="shared" ca="1" si="21"/>
        <v/>
      </c>
      <c r="C84" s="7">
        <f t="shared" ca="1" si="22"/>
        <v>3</v>
      </c>
      <c r="D84" s="55">
        <v>13</v>
      </c>
      <c r="E84" s="17">
        <f t="shared" si="23"/>
        <v>55</v>
      </c>
      <c r="F84" s="18" t="str">
        <f ca="1">IFERROR(IF(A71=0,HLOOKUP(E84,Declarations!$D$2:$S$102,B69,FALSE),HLOOKUP(VLOOKUP(E84,Teams!$V$2:$W$19,2,FALSE),Declarations!$D$2:$S$102,B69,FALSE)),"")</f>
        <v>CRESSEY Evie</v>
      </c>
      <c r="G84" s="18" t="str">
        <f t="shared" si="20"/>
        <v>Scun</v>
      </c>
      <c r="H84" s="524">
        <f ca="1">IFERROR(INDIRECT(CONCATENATE("'Distance Input'!"&amp;B70&amp;C70+12)),"")</f>
        <v>4.7300000000000004</v>
      </c>
      <c r="I84" s="525"/>
      <c r="J84" s="524">
        <v>0</v>
      </c>
      <c r="K84" s="525"/>
      <c r="L84" s="524">
        <v>0</v>
      </c>
      <c r="M84" s="525"/>
      <c r="N84" s="539">
        <f t="shared" ca="1" si="24"/>
        <v>4.7300000000000004</v>
      </c>
      <c r="O84" s="540"/>
      <c r="P84" s="55">
        <v>0</v>
      </c>
      <c r="Q84" s="541">
        <v>0</v>
      </c>
      <c r="R84" s="541"/>
      <c r="S84" s="541">
        <v>0</v>
      </c>
      <c r="T84" s="541"/>
      <c r="U84" s="541">
        <v>0</v>
      </c>
      <c r="V84" s="541"/>
      <c r="W84" s="524">
        <f t="shared" ca="1" si="25"/>
        <v>4.7300000000000004</v>
      </c>
      <c r="X84" s="525"/>
      <c r="Y84" s="55">
        <f ca="1">IF(OR(W84="",W84=0),0,IF(W84="X",MatchDay!$U$2+MatchDay!$U$2+1-COUNTIF(Distance!W72:W84,"X"),RANK(W84,$W72:$X87,0)))</f>
        <v>7</v>
      </c>
      <c r="Z84" s="19" t="str">
        <f ca="1">IFERROR(IF(Y84=0,0,IF(VLOOKUP(AG84,E72:Y79,21,FALSE)=0,"A",IF(Y84&gt;=VLOOKUP(AG84,E72:Y79,21,FALSE),"B","A"))),"")</f>
        <v>B</v>
      </c>
      <c r="AA84" s="19" t="str">
        <f ca="1">IFERROR(IF(Z84="B","",RANK(AD84,AD72:AD87,1)),"")</f>
        <v/>
      </c>
      <c r="AB84" s="19">
        <f ca="1">IFERROR(IF(Z84="A","",RANK(AE84,AE72:AE87,1)),"")</f>
        <v>3</v>
      </c>
      <c r="AD84" s="9" t="str">
        <f t="shared" ca="1" si="26"/>
        <v/>
      </c>
      <c r="AE84" s="9">
        <f t="shared" ca="1" si="27"/>
        <v>7</v>
      </c>
      <c r="AF84" s="9" t="s">
        <v>179</v>
      </c>
      <c r="AG84" s="4">
        <f>IFERROR(IF(A71=0,E84/11,LEFT(E84,1)),"")</f>
        <v>5</v>
      </c>
    </row>
    <row r="85" spans="1:33" s="4" customFormat="1" ht="15.95" customHeight="1" x14ac:dyDescent="0.35">
      <c r="A85" s="8" t="str">
        <f>IFERROR(IF(A71=0,A77*11,A77&amp;A77),"-")</f>
        <v>-</v>
      </c>
      <c r="B85" s="7" t="str">
        <f t="shared" ca="1" si="21"/>
        <v/>
      </c>
      <c r="C85" s="7" t="str">
        <f t="shared" ca="1" si="22"/>
        <v/>
      </c>
      <c r="D85" s="55">
        <v>14</v>
      </c>
      <c r="E85" s="17" t="str">
        <f t="shared" si="23"/>
        <v>-</v>
      </c>
      <c r="F85" s="18" t="str">
        <f>IFERROR(IF(A71=0,HLOOKUP(E85,Declarations!$D$2:$S$102,B69,FALSE),HLOOKUP(VLOOKUP(E85,Teams!$V$2:$W$19,2,FALSE),Declarations!$D$2:$S$102,B69,FALSE)),"")</f>
        <v/>
      </c>
      <c r="G85" s="18" t="str">
        <f t="shared" si="20"/>
        <v/>
      </c>
      <c r="H85" s="524">
        <f ca="1">IFERROR(INDIRECT(CONCATENATE("'Distance Input'!"&amp;B70&amp;C70+13)),"")</f>
        <v>0</v>
      </c>
      <c r="I85" s="525"/>
      <c r="J85" s="524">
        <v>0</v>
      </c>
      <c r="K85" s="525"/>
      <c r="L85" s="524">
        <v>0</v>
      </c>
      <c r="M85" s="525"/>
      <c r="N85" s="539">
        <f t="shared" ca="1" si="24"/>
        <v>0</v>
      </c>
      <c r="O85" s="540"/>
      <c r="P85" s="55">
        <v>0</v>
      </c>
      <c r="Q85" s="541">
        <v>0</v>
      </c>
      <c r="R85" s="541"/>
      <c r="S85" s="541">
        <v>0</v>
      </c>
      <c r="T85" s="541"/>
      <c r="U85" s="541">
        <v>0</v>
      </c>
      <c r="V85" s="541"/>
      <c r="W85" s="524">
        <f t="shared" ca="1" si="25"/>
        <v>0</v>
      </c>
      <c r="X85" s="525"/>
      <c r="Y85" s="55">
        <f ca="1">IF(OR(W85="",W85=0),0,IF(W85="X",MatchDay!$U$2+MatchDay!$U$2+1-COUNTIF(Distance!W72:W85,"X"),RANK(W85,$W72:$X87,0)))</f>
        <v>0</v>
      </c>
      <c r="Z85" s="19">
        <f ca="1">IFERROR(IF(Y85=0,0,IF(VLOOKUP(AG85,E72:Y79,21,FALSE)=0,"A",IF(Y85&gt;=VLOOKUP(AG85,E72:Y79,21,FALSE),"B","A"))),"")</f>
        <v>0</v>
      </c>
      <c r="AA85" s="19" t="str">
        <f ca="1">IFERROR(IF(Z85="B","",RANK(AD85,AD72:AD87,1)),"")</f>
        <v/>
      </c>
      <c r="AB85" s="19" t="str">
        <f ca="1">IFERROR(IF(Z85="A","",RANK(AE85,AE72:AE87,1)),"")</f>
        <v/>
      </c>
      <c r="AD85" s="9" t="str">
        <f t="shared" ca="1" si="26"/>
        <v/>
      </c>
      <c r="AE85" s="9" t="str">
        <f t="shared" ca="1" si="27"/>
        <v/>
      </c>
      <c r="AF85" s="9" t="s">
        <v>179</v>
      </c>
      <c r="AG85" s="4" t="str">
        <f>IFERROR(IF(A71=0,E85/11,LEFT(E85,1)),"")</f>
        <v/>
      </c>
    </row>
    <row r="86" spans="1:33" s="4" customFormat="1" ht="15.95" customHeight="1" x14ac:dyDescent="0.35">
      <c r="A86" s="8" t="str">
        <f>IFERROR(IF(A71=0,A78*11,A78&amp;A78),"-")</f>
        <v>-</v>
      </c>
      <c r="B86" s="7" t="str">
        <f t="shared" ca="1" si="21"/>
        <v/>
      </c>
      <c r="C86" s="7" t="str">
        <f t="shared" ca="1" si="22"/>
        <v/>
      </c>
      <c r="D86" s="55">
        <v>15</v>
      </c>
      <c r="E86" s="17" t="str">
        <f t="shared" si="23"/>
        <v>-</v>
      </c>
      <c r="F86" s="18" t="str">
        <f>IFERROR(IF(A71=0,HLOOKUP(E86,Declarations!$D$2:$S$102,B69,FALSE),HLOOKUP(VLOOKUP(E86,Teams!$V$2:$W$19,2,FALSE),Declarations!$D$2:$S$102,B69,FALSE)),"")</f>
        <v/>
      </c>
      <c r="G86" s="18" t="str">
        <f t="shared" si="20"/>
        <v/>
      </c>
      <c r="H86" s="524">
        <f ca="1">IFERROR(INDIRECT(CONCATENATE("'Distance Input'!"&amp;B70&amp;C70+14)),"")</f>
        <v>0</v>
      </c>
      <c r="I86" s="525"/>
      <c r="J86" s="524">
        <v>0</v>
      </c>
      <c r="K86" s="525"/>
      <c r="L86" s="524">
        <v>0</v>
      </c>
      <c r="M86" s="525"/>
      <c r="N86" s="539">
        <f t="shared" ca="1" si="24"/>
        <v>0</v>
      </c>
      <c r="O86" s="540"/>
      <c r="P86" s="55">
        <v>0</v>
      </c>
      <c r="Q86" s="541">
        <v>0</v>
      </c>
      <c r="R86" s="541"/>
      <c r="S86" s="541">
        <v>0</v>
      </c>
      <c r="T86" s="541"/>
      <c r="U86" s="541">
        <v>0</v>
      </c>
      <c r="V86" s="541"/>
      <c r="W86" s="524">
        <f t="shared" ca="1" si="25"/>
        <v>0</v>
      </c>
      <c r="X86" s="525"/>
      <c r="Y86" s="55">
        <f ca="1">IF(OR(W86="",W86=0),0,IF(W86="X",MatchDay!$U$2+MatchDay!$U$2+1-COUNTIF(Distance!W72:W86,"X"),RANK(W86,$W72:$X87,0)))</f>
        <v>0</v>
      </c>
      <c r="Z86" s="19">
        <f ca="1">IFERROR(IF(Y86=0,0,IF(VLOOKUP(AG86,E72:Y79,21,FALSE)=0,"A",IF(Y86&gt;=VLOOKUP(AG86,E72:Y79,21,FALSE),"B","A"))),"")</f>
        <v>0</v>
      </c>
      <c r="AA86" s="19" t="str">
        <f ca="1">IFERROR(IF(Z86="B","",RANK(AD86,AD72:AD87,1)),"")</f>
        <v/>
      </c>
      <c r="AB86" s="19" t="str">
        <f ca="1">IFERROR(IF(Z86="A","",RANK(AE86,AE72:AE87,1)),"")</f>
        <v/>
      </c>
      <c r="AD86" s="9" t="str">
        <f t="shared" ca="1" si="26"/>
        <v/>
      </c>
      <c r="AE86" s="9" t="str">
        <f t="shared" ca="1" si="27"/>
        <v/>
      </c>
      <c r="AF86" s="9" t="s">
        <v>179</v>
      </c>
      <c r="AG86" s="4" t="str">
        <f>IFERROR(IF(A71=0,E86/11,LEFT(E86,1)),"")</f>
        <v/>
      </c>
    </row>
    <row r="87" spans="1:33" s="4" customFormat="1" ht="15.95" customHeight="1" x14ac:dyDescent="0.35">
      <c r="A87" s="8" t="str">
        <f>IFERROR(IF(A71=0,A79*11,A79&amp;A79),"-")</f>
        <v>-</v>
      </c>
      <c r="B87" s="7" t="str">
        <f t="shared" ca="1" si="21"/>
        <v/>
      </c>
      <c r="C87" s="7" t="str">
        <f t="shared" ca="1" si="22"/>
        <v/>
      </c>
      <c r="D87" s="55">
        <v>16</v>
      </c>
      <c r="E87" s="17" t="str">
        <f t="shared" si="23"/>
        <v>-</v>
      </c>
      <c r="F87" s="18" t="str">
        <f>IFERROR(IF(A71=0,HLOOKUP(E87,Declarations!$D$2:$S$102,B69,FALSE),HLOOKUP(VLOOKUP(E87,Teams!$V$2:$W$19,2,FALSE),Declarations!$D$2:$S$102,B69,FALSE)),"")</f>
        <v/>
      </c>
      <c r="G87" s="18" t="str">
        <f t="shared" si="20"/>
        <v/>
      </c>
      <c r="H87" s="524">
        <f ca="1">IFERROR(INDIRECT(CONCATENATE("'Distance Input'!"&amp;B70&amp;C70+15)),"")</f>
        <v>0</v>
      </c>
      <c r="I87" s="525"/>
      <c r="J87" s="524">
        <v>0</v>
      </c>
      <c r="K87" s="525"/>
      <c r="L87" s="524">
        <v>0</v>
      </c>
      <c r="M87" s="525"/>
      <c r="N87" s="539">
        <f t="shared" ca="1" si="24"/>
        <v>0</v>
      </c>
      <c r="O87" s="540"/>
      <c r="P87" s="55">
        <v>0</v>
      </c>
      <c r="Q87" s="541">
        <v>0</v>
      </c>
      <c r="R87" s="541"/>
      <c r="S87" s="541">
        <v>0</v>
      </c>
      <c r="T87" s="541"/>
      <c r="U87" s="541">
        <v>0</v>
      </c>
      <c r="V87" s="541"/>
      <c r="W87" s="524">
        <f t="shared" ca="1" si="25"/>
        <v>0</v>
      </c>
      <c r="X87" s="525"/>
      <c r="Y87" s="55">
        <f ca="1">IF(OR(W87="",W87=0),0,IF(W87="X",MatchDay!$U$2+MatchDay!$U$2+1-COUNTIF(Distance!W72:W87,"X"),RANK(W87,$W72:$X87,0)))</f>
        <v>0</v>
      </c>
      <c r="Z87" s="19">
        <f ca="1">IFERROR(IF(Y87=0,0,IF(VLOOKUP(AG87,E72:Y79,21,FALSE)=0,"A",IF(Y87&gt;=VLOOKUP(AG87,E72:Y79,21,FALSE),"B","A"))),"")</f>
        <v>0</v>
      </c>
      <c r="AA87" s="19" t="str">
        <f ca="1">IFERROR(IF(Z87="B","",RANK(AD87,AD72:AD87,1)),"")</f>
        <v/>
      </c>
      <c r="AB87" s="19" t="str">
        <f ca="1">IFERROR(IF(Z87="A","",RANK(AE87,AE72:AE87,1)),"")</f>
        <v/>
      </c>
      <c r="AD87" s="9" t="str">
        <f t="shared" ca="1" si="26"/>
        <v/>
      </c>
      <c r="AE87" s="9" t="str">
        <f t="shared" ca="1" si="27"/>
        <v/>
      </c>
      <c r="AF87" s="9" t="s">
        <v>179</v>
      </c>
      <c r="AG87" s="4" t="str">
        <f>IFERROR(IF(A71=0,E87/11,LEFT(E87,1)),"")</f>
        <v/>
      </c>
    </row>
    <row r="88" spans="1:33" s="4" customFormat="1" ht="11.65" x14ac:dyDescent="0.45">
      <c r="A88" s="8"/>
      <c r="B88" s="10"/>
      <c r="C88" s="3"/>
      <c r="D88" s="20"/>
      <c r="E88" s="20"/>
      <c r="F88" s="21"/>
      <c r="G88" s="21"/>
      <c r="H88" s="20"/>
      <c r="I88" s="20"/>
      <c r="J88" s="20"/>
      <c r="K88" s="20"/>
      <c r="L88" s="20"/>
      <c r="M88" s="20"/>
      <c r="N88" s="20"/>
      <c r="O88" s="20"/>
      <c r="P88" s="20"/>
      <c r="Q88" s="20"/>
      <c r="R88" s="20"/>
      <c r="S88" s="20"/>
      <c r="T88" s="20"/>
      <c r="U88" s="20"/>
      <c r="V88" s="20"/>
      <c r="W88" s="20"/>
      <c r="X88" s="20"/>
      <c r="Y88" s="20"/>
      <c r="Z88" s="20"/>
      <c r="AA88" s="20"/>
      <c r="AB88" s="22"/>
    </row>
    <row r="89" spans="1:33" s="4" customFormat="1" ht="11.65" x14ac:dyDescent="0.45">
      <c r="A89" s="8"/>
      <c r="B89" s="10"/>
      <c r="C89" s="3"/>
      <c r="D89" s="533" t="s">
        <v>180</v>
      </c>
      <c r="E89" s="547"/>
      <c r="F89" s="547"/>
      <c r="G89" s="547"/>
      <c r="H89" s="547"/>
      <c r="I89" s="547"/>
      <c r="J89" s="512" t="s">
        <v>181</v>
      </c>
      <c r="K89" s="548"/>
      <c r="L89" s="548"/>
      <c r="M89" s="548"/>
      <c r="N89" s="548"/>
      <c r="O89" s="548"/>
      <c r="P89" s="548"/>
      <c r="Q89" s="548"/>
      <c r="R89" s="548"/>
      <c r="S89" s="548"/>
      <c r="T89" s="548"/>
      <c r="U89" s="549"/>
      <c r="V89" s="512" t="s">
        <v>182</v>
      </c>
      <c r="W89" s="513"/>
      <c r="X89" s="513"/>
      <c r="Y89" s="513"/>
      <c r="Z89" s="513"/>
      <c r="AA89" s="513"/>
      <c r="AB89" s="514"/>
    </row>
    <row r="90" spans="1:33" s="4" customFormat="1" ht="11.65" x14ac:dyDescent="0.45">
      <c r="A90" s="8" t="s">
        <v>55</v>
      </c>
      <c r="B90" s="10"/>
      <c r="C90" s="3"/>
      <c r="D90" s="12"/>
      <c r="E90" s="55" t="s">
        <v>183</v>
      </c>
      <c r="F90" s="55" t="s">
        <v>165</v>
      </c>
      <c r="G90" s="55" t="s">
        <v>166</v>
      </c>
      <c r="H90" s="533" t="s">
        <v>184</v>
      </c>
      <c r="I90" s="533"/>
      <c r="J90" s="23"/>
      <c r="K90" s="54" t="s">
        <v>183</v>
      </c>
      <c r="L90" s="512" t="s">
        <v>165</v>
      </c>
      <c r="M90" s="513"/>
      <c r="N90" s="513"/>
      <c r="O90" s="514"/>
      <c r="P90" s="512" t="s">
        <v>166</v>
      </c>
      <c r="Q90" s="513"/>
      <c r="R90" s="513"/>
      <c r="S90" s="514"/>
      <c r="T90" s="512" t="s">
        <v>184</v>
      </c>
      <c r="U90" s="514"/>
      <c r="V90" s="24"/>
      <c r="W90" s="25"/>
      <c r="X90" s="25"/>
      <c r="Y90" s="25"/>
      <c r="Z90" s="25"/>
      <c r="AA90" s="25"/>
      <c r="AB90" s="26"/>
    </row>
    <row r="91" spans="1:33" s="4" customFormat="1" ht="15.95" customHeight="1" x14ac:dyDescent="0.45">
      <c r="A91" s="11">
        <f>IFERROR(VLOOKUP(A68,standards,3,FALSE),"-")</f>
        <v>8.4499999999999993</v>
      </c>
      <c r="B91" s="10">
        <v>1</v>
      </c>
      <c r="C91" s="3"/>
      <c r="D91" s="55">
        <v>1</v>
      </c>
      <c r="E91" s="19">
        <f ca="1">IFERROR(IF(OR(H72=98,H72=99),H72,VLOOKUP(B91,B72:E87,4,FALSE)),0)</f>
        <v>3</v>
      </c>
      <c r="F91" s="27" t="str">
        <f ca="1">IFERROR(VLOOKUP(E91,$E72:$F87,2,FALSE),"")</f>
        <v>CLAGUE Kathryn</v>
      </c>
      <c r="G91" s="18" t="str">
        <f t="shared" ref="G91:G98" ca="1" si="28">IFERROR(VLOOKUP(E91,teamlookup,5,FALSE),"-")</f>
        <v>York</v>
      </c>
      <c r="H91" s="542">
        <f ca="1">IFERROR(VLOOKUP(E91,E72:X87,19,FALSE),"")</f>
        <v>8.7899999999999991</v>
      </c>
      <c r="I91" s="543"/>
      <c r="J91" s="55">
        <v>1</v>
      </c>
      <c r="K91" s="55">
        <f ca="1">IFERROR(VLOOKUP(B91,C72:X87,3,FALSE),"")</f>
        <v>33</v>
      </c>
      <c r="L91" s="544" t="str">
        <f ca="1">IFERROR(VLOOKUP(K91,$E72:$F87,2,FALSE),"")</f>
        <v>WRIGHT Ella</v>
      </c>
      <c r="M91" s="545"/>
      <c r="N91" s="545"/>
      <c r="O91" s="546"/>
      <c r="P91" s="544" t="str">
        <f t="shared" ref="P91:P98" ca="1" si="29">IFERROR(VLOOKUP(K91,teamlookup,5,FALSE),"-")</f>
        <v>York</v>
      </c>
      <c r="Q91" s="545"/>
      <c r="R91" s="545"/>
      <c r="S91" s="546"/>
      <c r="T91" s="524">
        <f ca="1">IFERROR(VLOOKUP(K91,E72:X87,19,FALSE),"")</f>
        <v>7.51</v>
      </c>
      <c r="U91" s="525"/>
      <c r="V91" s="28"/>
      <c r="W91" s="29"/>
      <c r="X91" s="29"/>
      <c r="Y91" s="29"/>
      <c r="Z91" s="29"/>
      <c r="AA91" s="29"/>
      <c r="AB91" s="30"/>
    </row>
    <row r="92" spans="1:33" s="4" customFormat="1" ht="15.95" customHeight="1" x14ac:dyDescent="0.45">
      <c r="A92" s="11">
        <f>IFERROR(VLOOKUP(A68,standards,4,FALSE),"-")</f>
        <v>7.9</v>
      </c>
      <c r="B92" s="10">
        <v>2</v>
      </c>
      <c r="C92" s="3"/>
      <c r="D92" s="55">
        <v>2</v>
      </c>
      <c r="E92" s="19">
        <f ca="1">IFERROR(VLOOKUP(B92,B72:E87,4,FALSE),"")</f>
        <v>1</v>
      </c>
      <c r="F92" s="27" t="str">
        <f ca="1">IFERROR(VLOOKUP(E92,$E72:$F87,2,FALSE),"")</f>
        <v>FELLOWS Isabelle</v>
      </c>
      <c r="G92" s="18" t="str">
        <f t="shared" ca="1" si="28"/>
        <v>C'field</v>
      </c>
      <c r="H92" s="542">
        <f ca="1">IFERROR(VLOOKUP(E92,E72:X87,19,FALSE),"")</f>
        <v>7.75</v>
      </c>
      <c r="I92" s="543"/>
      <c r="J92" s="55">
        <v>2</v>
      </c>
      <c r="K92" s="55">
        <f ca="1">IFERROR(VLOOKUP(B92,C72:X87,3,FALSE),"")</f>
        <v>11</v>
      </c>
      <c r="L92" s="544" t="str">
        <f ca="1">IFERROR(VLOOKUP(K92,$E72:$F87,2,FALSE),"")</f>
        <v>HALL Lottie</v>
      </c>
      <c r="M92" s="545"/>
      <c r="N92" s="545"/>
      <c r="O92" s="546"/>
      <c r="P92" s="544" t="str">
        <f t="shared" ca="1" si="29"/>
        <v>C'field</v>
      </c>
      <c r="Q92" s="545"/>
      <c r="R92" s="545"/>
      <c r="S92" s="546"/>
      <c r="T92" s="524">
        <f ca="1">IFERROR(VLOOKUP(K92,E72:X87,19,FALSE),"")</f>
        <v>6.9</v>
      </c>
      <c r="U92" s="525"/>
      <c r="V92" s="24"/>
      <c r="W92" s="25"/>
      <c r="X92" s="25"/>
      <c r="Y92" s="25"/>
      <c r="Z92" s="25"/>
      <c r="AA92" s="25"/>
      <c r="AB92" s="26"/>
    </row>
    <row r="93" spans="1:33" s="4" customFormat="1" ht="15.95" customHeight="1" x14ac:dyDescent="0.45">
      <c r="A93" s="11">
        <f>IFERROR(VLOOKUP(A68,standards,5,FALSE),"-")</f>
        <v>7.25</v>
      </c>
      <c r="B93" s="10">
        <v>3</v>
      </c>
      <c r="C93" s="3"/>
      <c r="D93" s="55">
        <v>3</v>
      </c>
      <c r="E93" s="19">
        <f ca="1">IFERROR(VLOOKUP(B93,B72:E87,4,FALSE),"")</f>
        <v>4</v>
      </c>
      <c r="F93" s="27" t="str">
        <f ca="1">IFERROR(VLOOKUP(E93,$E72:$F87,2,FALSE),"")</f>
        <v>SEDGWICK Emma</v>
      </c>
      <c r="G93" s="18" t="str">
        <f t="shared" ca="1" si="28"/>
        <v>M'bro</v>
      </c>
      <c r="H93" s="542">
        <f ca="1">IFERROR(VLOOKUP(E93,E72:X87,19,FALSE),"")</f>
        <v>6.25</v>
      </c>
      <c r="I93" s="543"/>
      <c r="J93" s="55">
        <v>3</v>
      </c>
      <c r="K93" s="55">
        <f ca="1">IFERROR(VLOOKUP(B93,C72:X87,3,FALSE),"")</f>
        <v>55</v>
      </c>
      <c r="L93" s="544" t="str">
        <f ca="1">IFERROR(VLOOKUP(K93,$E72:$F87,2,FALSE),"")</f>
        <v>CRESSEY Evie</v>
      </c>
      <c r="M93" s="545"/>
      <c r="N93" s="545"/>
      <c r="O93" s="546"/>
      <c r="P93" s="544" t="str">
        <f t="shared" ca="1" si="29"/>
        <v>Scun</v>
      </c>
      <c r="Q93" s="545"/>
      <c r="R93" s="545"/>
      <c r="S93" s="546"/>
      <c r="T93" s="524">
        <f ca="1">IFERROR(VLOOKUP(K93,E72:X87,19,FALSE),"")</f>
        <v>4.7300000000000004</v>
      </c>
      <c r="U93" s="525"/>
      <c r="V93" s="28"/>
      <c r="W93" s="29"/>
      <c r="X93" s="29"/>
      <c r="Y93" s="29"/>
      <c r="Z93" s="29"/>
      <c r="AA93" s="29"/>
      <c r="AB93" s="30"/>
    </row>
    <row r="94" spans="1:33" s="4" customFormat="1" ht="15.95" customHeight="1" x14ac:dyDescent="0.45">
      <c r="A94" s="11">
        <f>IFERROR(VLOOKUP(A68,AAA!A:F,6,FALSE),"-")</f>
        <v>6.55</v>
      </c>
      <c r="B94" s="10">
        <v>4</v>
      </c>
      <c r="C94" s="3"/>
      <c r="D94" s="55">
        <v>4</v>
      </c>
      <c r="E94" s="19">
        <f ca="1">IFERROR(VLOOKUP(B94,B72:E87,4,FALSE),"")</f>
        <v>5</v>
      </c>
      <c r="F94" s="27" t="str">
        <f ca="1">IFERROR(VLOOKUP(E94,$E72:$F87,2,FALSE),"")</f>
        <v>HAYES Zara</v>
      </c>
      <c r="G94" s="18" t="str">
        <f t="shared" ca="1" si="28"/>
        <v>Scun</v>
      </c>
      <c r="H94" s="542">
        <f ca="1">IFERROR(VLOOKUP(E94,E72:X87,19,FALSE),"")</f>
        <v>5.65</v>
      </c>
      <c r="I94" s="543"/>
      <c r="J94" s="55">
        <v>4</v>
      </c>
      <c r="K94" s="55" t="str">
        <f ca="1">IFERROR(VLOOKUP(B94,C72:X87,3,FALSE),"")</f>
        <v/>
      </c>
      <c r="L94" s="544" t="str">
        <f ca="1">IFERROR(VLOOKUP(K94,$E72:$F87,2,FALSE),"")</f>
        <v/>
      </c>
      <c r="M94" s="545"/>
      <c r="N94" s="545"/>
      <c r="O94" s="546"/>
      <c r="P94" s="544" t="str">
        <f t="shared" ca="1" si="29"/>
        <v>-</v>
      </c>
      <c r="Q94" s="545"/>
      <c r="R94" s="545"/>
      <c r="S94" s="546"/>
      <c r="T94" s="524" t="str">
        <f ca="1">IFERROR(VLOOKUP(K94,E72:X87,19,FALSE),"")</f>
        <v/>
      </c>
      <c r="U94" s="525"/>
      <c r="V94" s="24"/>
      <c r="W94" s="25"/>
      <c r="X94" s="25"/>
      <c r="Y94" s="25"/>
      <c r="Z94" s="25"/>
      <c r="AA94" s="25"/>
      <c r="AB94" s="26"/>
    </row>
    <row r="95" spans="1:33" s="4" customFormat="1" ht="15.95" customHeight="1" x14ac:dyDescent="0.45">
      <c r="A95" s="8"/>
      <c r="B95" s="10">
        <v>5</v>
      </c>
      <c r="C95" s="3"/>
      <c r="D95" s="55">
        <v>5</v>
      </c>
      <c r="E95" s="19">
        <f ca="1">IFERROR(VLOOKUP(B95,B72:E87,4,FALSE),"")</f>
        <v>22</v>
      </c>
      <c r="F95" s="27" t="str">
        <f ca="1">IFERROR(VLOOKUP(E95,$E72:$F87,2,FALSE),"")</f>
        <v>SCOTT Violet</v>
      </c>
      <c r="G95" s="18" t="str">
        <f t="shared" ca="1" si="28"/>
        <v>Sheff+D</v>
      </c>
      <c r="H95" s="542">
        <f ca="1">IFERROR(VLOOKUP(E95,E72:X87,19,FALSE),"")</f>
        <v>3.59</v>
      </c>
      <c r="I95" s="543"/>
      <c r="J95" s="55">
        <v>5</v>
      </c>
      <c r="K95" s="55" t="str">
        <f ca="1">IFERROR(VLOOKUP(B95,C72:X87,3,FALSE),"")</f>
        <v/>
      </c>
      <c r="L95" s="544" t="str">
        <f ca="1">IFERROR(VLOOKUP(K95,$E72:$F87,2,FALSE),"")</f>
        <v/>
      </c>
      <c r="M95" s="545"/>
      <c r="N95" s="545"/>
      <c r="O95" s="546"/>
      <c r="P95" s="544" t="str">
        <f t="shared" ca="1" si="29"/>
        <v>-</v>
      </c>
      <c r="Q95" s="545"/>
      <c r="R95" s="545"/>
      <c r="S95" s="546"/>
      <c r="T95" s="524" t="str">
        <f ca="1">IFERROR(VLOOKUP(K95,E72:X87,19,FALSE),"")</f>
        <v/>
      </c>
      <c r="U95" s="525"/>
      <c r="V95" s="28"/>
      <c r="W95" s="29"/>
      <c r="X95" s="29"/>
      <c r="Y95" s="29"/>
      <c r="Z95" s="29"/>
      <c r="AA95" s="29"/>
      <c r="AB95" s="30"/>
    </row>
    <row r="96" spans="1:33" s="4" customFormat="1" ht="15.95" customHeight="1" x14ac:dyDescent="0.45">
      <c r="A96" s="8" t="s">
        <v>204</v>
      </c>
      <c r="B96" s="10">
        <v>6</v>
      </c>
      <c r="C96" s="3"/>
      <c r="D96" s="55">
        <v>6</v>
      </c>
      <c r="E96" s="19" t="str">
        <f ca="1">IFERROR(VLOOKUP(B96,B72:E87,4,FALSE),"")</f>
        <v/>
      </c>
      <c r="F96" s="27" t="str">
        <f ca="1">IFERROR(VLOOKUP(E96,$E72:$F87,2,FALSE),"")</f>
        <v/>
      </c>
      <c r="G96" s="18" t="str">
        <f t="shared" ca="1" si="28"/>
        <v>-</v>
      </c>
      <c r="H96" s="542" t="str">
        <f ca="1">IFERROR(VLOOKUP(E96,E72:X87,19,FALSE),"")</f>
        <v/>
      </c>
      <c r="I96" s="543"/>
      <c r="J96" s="55">
        <v>6</v>
      </c>
      <c r="K96" s="55" t="str">
        <f ca="1">IFERROR(VLOOKUP(B96,C72:X87,3,FALSE),"")</f>
        <v/>
      </c>
      <c r="L96" s="544" t="str">
        <f ca="1">IFERROR(VLOOKUP(K96,$E72:$F87,2,FALSE),"")</f>
        <v/>
      </c>
      <c r="M96" s="545"/>
      <c r="N96" s="545"/>
      <c r="O96" s="546"/>
      <c r="P96" s="544" t="str">
        <f t="shared" ca="1" si="29"/>
        <v>-</v>
      </c>
      <c r="Q96" s="545"/>
      <c r="R96" s="545"/>
      <c r="S96" s="546"/>
      <c r="T96" s="524" t="str">
        <f ca="1">IFERROR(VLOOKUP(K96,E72:X87,19,FALSE),"")</f>
        <v/>
      </c>
      <c r="U96" s="525"/>
      <c r="V96" s="512" t="s">
        <v>185</v>
      </c>
      <c r="W96" s="513"/>
      <c r="X96" s="513"/>
      <c r="Y96" s="513"/>
      <c r="Z96" s="513"/>
      <c r="AA96" s="513"/>
      <c r="AB96" s="514"/>
    </row>
    <row r="97" spans="1:33" s="4" customFormat="1" ht="15.95" customHeight="1" x14ac:dyDescent="0.45">
      <c r="A97" s="8">
        <f>IFERROR(VLOOKUP(A68,records,5,FALSE),"")</f>
        <v>12.19</v>
      </c>
      <c r="B97" s="10">
        <v>7</v>
      </c>
      <c r="C97" s="3"/>
      <c r="D97" s="55">
        <v>7</v>
      </c>
      <c r="E97" s="19" t="str">
        <f ca="1">IFERROR(VLOOKUP(B97,B72:E87,4,FALSE),"")</f>
        <v/>
      </c>
      <c r="F97" s="27" t="str">
        <f ca="1">IFERROR(VLOOKUP(E97,$E72:$F87,2,FALSE),"")</f>
        <v/>
      </c>
      <c r="G97" s="18" t="str">
        <f t="shared" ca="1" si="28"/>
        <v>-</v>
      </c>
      <c r="H97" s="542" t="str">
        <f ca="1">IFERROR(VLOOKUP(E97,E72:X87,19,FALSE),"")</f>
        <v/>
      </c>
      <c r="I97" s="543"/>
      <c r="J97" s="55">
        <v>7</v>
      </c>
      <c r="K97" s="55" t="str">
        <f ca="1">IFERROR(VLOOKUP(B97,C72:X87,3,FALSE),"")</f>
        <v/>
      </c>
      <c r="L97" s="544" t="str">
        <f ca="1">IFERROR(VLOOKUP(K97,$E72:$F87,2,FALSE),"")</f>
        <v/>
      </c>
      <c r="M97" s="545"/>
      <c r="N97" s="545"/>
      <c r="O97" s="546"/>
      <c r="P97" s="544" t="str">
        <f t="shared" ca="1" si="29"/>
        <v>-</v>
      </c>
      <c r="Q97" s="545"/>
      <c r="R97" s="545"/>
      <c r="S97" s="546"/>
      <c r="T97" s="524" t="str">
        <f ca="1">IFERROR(VLOOKUP(K97,E72:X87,19,FALSE),"")</f>
        <v/>
      </c>
      <c r="U97" s="525"/>
      <c r="V97" s="24"/>
      <c r="W97" s="25"/>
      <c r="X97" s="25"/>
      <c r="Y97" s="25"/>
      <c r="Z97" s="25"/>
      <c r="AA97" s="25"/>
      <c r="AB97" s="26"/>
    </row>
    <row r="98" spans="1:33" s="4" customFormat="1" ht="15.95" customHeight="1" x14ac:dyDescent="0.45">
      <c r="A98" s="8"/>
      <c r="B98" s="10">
        <v>8</v>
      </c>
      <c r="C98" s="3"/>
      <c r="D98" s="55">
        <v>8</v>
      </c>
      <c r="E98" s="19" t="str">
        <f ca="1">IFERROR(VLOOKUP(B98,B72:E87,4,FALSE),"")</f>
        <v/>
      </c>
      <c r="F98" s="27" t="str">
        <f ca="1">IFERROR(VLOOKUP(E98,$E72:$F87,2,FALSE),"")</f>
        <v/>
      </c>
      <c r="G98" s="18" t="str">
        <f t="shared" ca="1" si="28"/>
        <v>-</v>
      </c>
      <c r="H98" s="542" t="str">
        <f ca="1">IFERROR(VLOOKUP(E98,E72:X87,19,FALSE),"")</f>
        <v/>
      </c>
      <c r="I98" s="543"/>
      <c r="J98" s="55">
        <v>8</v>
      </c>
      <c r="K98" s="55" t="str">
        <f ca="1">IFERROR(VLOOKUP(B98,C72:X87,3,FALSE),"")</f>
        <v/>
      </c>
      <c r="L98" s="544" t="str">
        <f ca="1">IFERROR(VLOOKUP(K98,$E72:$F87,2,FALSE),"")</f>
        <v/>
      </c>
      <c r="M98" s="545"/>
      <c r="N98" s="545"/>
      <c r="O98" s="546"/>
      <c r="P98" s="544" t="str">
        <f t="shared" ca="1" si="29"/>
        <v>-</v>
      </c>
      <c r="Q98" s="545"/>
      <c r="R98" s="545"/>
      <c r="S98" s="546"/>
      <c r="T98" s="524" t="str">
        <f ca="1">IFERROR(VLOOKUP(K98,E72:X87,19,FALSE),"")</f>
        <v/>
      </c>
      <c r="U98" s="525"/>
      <c r="V98" s="28"/>
      <c r="W98" s="29"/>
      <c r="X98" s="29"/>
      <c r="Y98" s="29"/>
      <c r="Z98" s="29"/>
      <c r="AA98" s="29"/>
      <c r="AB98" s="30"/>
    </row>
    <row r="99" spans="1:33" s="4" customFormat="1" ht="21" x14ac:dyDescent="0.45">
      <c r="A99" s="2" t="str">
        <f>MatchDay!$U$6</f>
        <v>X</v>
      </c>
      <c r="B99" s="8"/>
      <c r="C99" s="3"/>
      <c r="D99" s="502" t="s">
        <v>186</v>
      </c>
      <c r="E99" s="503"/>
      <c r="F99" s="503"/>
      <c r="G99" s="503"/>
      <c r="H99" s="503"/>
      <c r="I99" s="503"/>
      <c r="J99" s="503"/>
      <c r="K99" s="515" t="s">
        <v>187</v>
      </c>
      <c r="L99" s="516"/>
      <c r="M99" s="516"/>
      <c r="N99" s="516"/>
      <c r="O99" s="518" t="str">
        <f>MatchDay!$C$2&amp;" "&amp;MatchDay!$C$3&amp;" "&amp;MatchDay!$C$4</f>
        <v>LOWER NORTH East 1</v>
      </c>
      <c r="P99" s="519"/>
      <c r="Q99" s="519"/>
      <c r="R99" s="519"/>
      <c r="S99" s="519"/>
      <c r="T99" s="519"/>
      <c r="U99" s="519"/>
      <c r="V99" s="519"/>
      <c r="W99" s="519"/>
      <c r="X99" s="519"/>
      <c r="Y99" s="519"/>
      <c r="Z99" s="519"/>
      <c r="AA99" s="519"/>
      <c r="AB99" s="520"/>
    </row>
    <row r="100" spans="1:33" s="4" customFormat="1" ht="15.75" customHeight="1" x14ac:dyDescent="0.45">
      <c r="A100" s="1" t="str">
        <f>IFERROR(IF(LEFT(MatchDay!$C$2,1)="L","L"&amp;A102,"U"&amp;A102),"")</f>
        <v>LFD04</v>
      </c>
      <c r="B100" s="10">
        <v>123</v>
      </c>
      <c r="C100" s="3"/>
      <c r="D100" s="512" t="s">
        <v>188</v>
      </c>
      <c r="E100" s="514"/>
      <c r="F100" s="513" t="str">
        <f>IFERROR(UPPER(VLOOKUP(A101,teamlookup,6,FALSE)),"")</f>
        <v/>
      </c>
      <c r="G100" s="514"/>
      <c r="H100" s="504" t="s">
        <v>201</v>
      </c>
      <c r="I100" s="510"/>
      <c r="J100" s="505"/>
      <c r="K100" s="512" t="str">
        <f>MatchDay!$C$8</f>
        <v>@ Doncaster</v>
      </c>
      <c r="L100" s="513"/>
      <c r="M100" s="513"/>
      <c r="N100" s="513"/>
      <c r="O100" s="513"/>
      <c r="P100" s="514"/>
      <c r="Q100" s="504" t="s">
        <v>160</v>
      </c>
      <c r="R100" s="505"/>
      <c r="S100" s="521">
        <f>MatchDay!$C$7</f>
        <v>43582</v>
      </c>
      <c r="T100" s="522"/>
      <c r="U100" s="522"/>
      <c r="V100" s="522"/>
      <c r="W100" s="522"/>
      <c r="X100" s="523"/>
      <c r="Y100" s="526" t="str">
        <f>IFERROR(IF(LEFT(A100,1)="L","",VLOOKUP(A100,AAA!$A:$I,8,FALSE)),"")</f>
        <v/>
      </c>
      <c r="Z100" s="527"/>
      <c r="AA100" s="524" t="str">
        <f>IFERROR(IF(LEFT(A100,1)="L","",VLOOKUP(A100,standards,9,FALSE)),"")</f>
        <v/>
      </c>
      <c r="AB100" s="525"/>
      <c r="AC100" s="6"/>
      <c r="AD100" s="6"/>
    </row>
    <row r="101" spans="1:33" s="4" customFormat="1" ht="15.75" customHeight="1" x14ac:dyDescent="0.45">
      <c r="A101" s="5">
        <f>IFERROR(IF(A99=1,VLOOKUP(A100,judges,VLOOKUP(MatchDay!$U$2*10+MatchDay!$C$5,judgesp,5,FALSE),FALSE),VLOOKUP(Distance!A100,judges,VLOOKUP(MatchDay!$U$2*10+MatchDay!$C$5,judges2,5,FALSE),FALSE)),"")</f>
        <v>0</v>
      </c>
      <c r="B101" s="181">
        <f>IFERROR(VLOOKUP(A100,Timetables!$A:$E,5,FALSE)-1,"")</f>
        <v>64</v>
      </c>
      <c r="C101" s="3"/>
      <c r="D101" s="504" t="s">
        <v>161</v>
      </c>
      <c r="E101" s="505"/>
      <c r="F101" s="508" t="str">
        <f>IFERROR(VLOOKUP(A100,timetables,2,FALSE)&amp;" "&amp;VLOOKUP(A100,timetables,3,FALSE),"")</f>
        <v>Discus U15 Boys</v>
      </c>
      <c r="G101" s="509"/>
      <c r="H101" s="504" t="s">
        <v>162</v>
      </c>
      <c r="I101" s="510"/>
      <c r="J101" s="505"/>
      <c r="K101" s="511">
        <f>IFERROR(IF(A99=1,VLOOKUP(A100,Timetables!$A:$G,6,FALSE),VLOOKUP(A100,Timetables!$A:$G,7,FALSE)),"")</f>
        <v>0.52083333333333337</v>
      </c>
      <c r="L101" s="511" t="e">
        <v>#N/A</v>
      </c>
      <c r="M101" s="504" t="s">
        <v>202</v>
      </c>
      <c r="N101" s="505"/>
      <c r="O101" s="506" t="str">
        <f>IFERROR(VLOOKUP(A100,records,3,FALSE)&amp;", "&amp;VLOOKUP(A100,records,4,FALSE)&amp;", "&amp;VLOOKUP(A100,records,5,FALSE)&amp;", "&amp;VLOOKUP(A100,records,6,FALSE)&amp;", "&amp;VLOOKUP(A100,records,7,FALSE)&amp;" "&amp;VLOOKUP(A100,records,8,FALSE),"")</f>
        <v>Alfie Scopes, Tonbridge AC, 49.53, Reading, May 31st 2014</v>
      </c>
      <c r="P101" s="506"/>
      <c r="Q101" s="506"/>
      <c r="R101" s="506"/>
      <c r="S101" s="506"/>
      <c r="T101" s="506"/>
      <c r="U101" s="506"/>
      <c r="V101" s="506"/>
      <c r="W101" s="506"/>
      <c r="X101" s="506"/>
      <c r="Y101" s="506"/>
      <c r="Z101" s="506"/>
      <c r="AA101" s="506"/>
      <c r="AB101" s="507"/>
    </row>
    <row r="102" spans="1:33" s="4" customFormat="1" ht="32.1" customHeight="1" x14ac:dyDescent="0.45">
      <c r="A102" s="5" t="s">
        <v>260</v>
      </c>
      <c r="B102" s="10" t="str">
        <f>IFERROR(VLOOKUP($A102,fdistance,2,FALSE),"")</f>
        <v>M</v>
      </c>
      <c r="C102" s="10">
        <f>IFERROR(VLOOKUP($A102,fdistance,3,FALSE),"")</f>
        <v>23</v>
      </c>
      <c r="D102" s="31" t="s">
        <v>163</v>
      </c>
      <c r="E102" s="13" t="s">
        <v>164</v>
      </c>
      <c r="F102" s="13" t="s">
        <v>165</v>
      </c>
      <c r="G102" s="14" t="s">
        <v>166</v>
      </c>
      <c r="H102" s="532" t="s">
        <v>167</v>
      </c>
      <c r="I102" s="534"/>
      <c r="J102" s="534" t="s">
        <v>168</v>
      </c>
      <c r="K102" s="534"/>
      <c r="L102" s="534" t="s">
        <v>169</v>
      </c>
      <c r="M102" s="534"/>
      <c r="N102" s="534" t="s">
        <v>170</v>
      </c>
      <c r="O102" s="534"/>
      <c r="P102" s="535" t="s">
        <v>171</v>
      </c>
      <c r="Q102" s="534" t="s">
        <v>172</v>
      </c>
      <c r="R102" s="534"/>
      <c r="S102" s="534" t="s">
        <v>173</v>
      </c>
      <c r="T102" s="534"/>
      <c r="U102" s="534" t="s">
        <v>174</v>
      </c>
      <c r="V102" s="534"/>
      <c r="W102" s="537" t="s">
        <v>175</v>
      </c>
      <c r="X102" s="538"/>
      <c r="Y102" s="528" t="s">
        <v>176</v>
      </c>
      <c r="Z102" s="530" t="s">
        <v>177</v>
      </c>
      <c r="AA102" s="531"/>
      <c r="AB102" s="532"/>
    </row>
    <row r="103" spans="1:33" s="4" customFormat="1" ht="11.65" x14ac:dyDescent="0.35">
      <c r="A103" s="137">
        <f>IFERROR(SEARCH("U17",F101),0)</f>
        <v>0</v>
      </c>
      <c r="B103" s="7" t="s">
        <v>53</v>
      </c>
      <c r="C103" s="7" t="s">
        <v>54</v>
      </c>
      <c r="D103" s="56"/>
      <c r="E103" s="56"/>
      <c r="F103" s="15"/>
      <c r="G103" s="16"/>
      <c r="H103" s="514" t="s">
        <v>178</v>
      </c>
      <c r="I103" s="533"/>
      <c r="J103" s="533" t="s">
        <v>178</v>
      </c>
      <c r="K103" s="533"/>
      <c r="L103" s="533" t="s">
        <v>178</v>
      </c>
      <c r="M103" s="533"/>
      <c r="N103" s="533" t="s">
        <v>178</v>
      </c>
      <c r="O103" s="533"/>
      <c r="P103" s="536"/>
      <c r="Q103" s="533" t="s">
        <v>178</v>
      </c>
      <c r="R103" s="533"/>
      <c r="S103" s="533" t="s">
        <v>178</v>
      </c>
      <c r="T103" s="533"/>
      <c r="U103" s="533" t="s">
        <v>178</v>
      </c>
      <c r="V103" s="533"/>
      <c r="W103" s="533" t="s">
        <v>178</v>
      </c>
      <c r="X103" s="512"/>
      <c r="Y103" s="529"/>
      <c r="Z103" s="55"/>
      <c r="AA103" s="55" t="s">
        <v>53</v>
      </c>
      <c r="AB103" s="55" t="s">
        <v>54</v>
      </c>
    </row>
    <row r="104" spans="1:33" s="4" customFormat="1" ht="15.95" customHeight="1" x14ac:dyDescent="0.35">
      <c r="A104" s="8">
        <f>IFERROR(IF(D104&gt;MatchDay!$U$2,"-",VLOOKUP(A100,timetables,MatchDay!$U$4,FALSE)),0)</f>
        <v>3</v>
      </c>
      <c r="B104" s="7" t="str">
        <f ca="1">AA104</f>
        <v/>
      </c>
      <c r="C104" s="7">
        <f ca="1">AB104</f>
        <v>1</v>
      </c>
      <c r="D104" s="56">
        <v>1</v>
      </c>
      <c r="E104" s="17">
        <f>A104</f>
        <v>3</v>
      </c>
      <c r="F104" s="18" t="str">
        <f ca="1">IFERROR(IF(A103=0,HLOOKUP(E104,Declarations!$D$2:$S$102,B101,FALSE),HLOOKUP(VLOOKUP(E104,Teams!$V$2:$W$19,2,FALSE),Declarations!$D$2:$S$102,B101,FALSE)),"")</f>
        <v>RHODES Ashton</v>
      </c>
      <c r="G104" s="18" t="str">
        <f t="shared" ref="G104:G119" si="30">IFERROR(VLOOKUP(E104,teamlookup,5,FALSE),"-")</f>
        <v>York</v>
      </c>
      <c r="H104" s="524">
        <f ca="1">IFERROR(INDIRECT(CONCATENATE("'Distance Input'!"&amp;B102&amp;C102)),"")</f>
        <v>15.79</v>
      </c>
      <c r="I104" s="525"/>
      <c r="J104" s="524">
        <v>0</v>
      </c>
      <c r="K104" s="525"/>
      <c r="L104" s="524">
        <v>0</v>
      </c>
      <c r="M104" s="525"/>
      <c r="N104" s="539">
        <f ca="1">H104</f>
        <v>15.79</v>
      </c>
      <c r="O104" s="540"/>
      <c r="P104" s="55">
        <v>0</v>
      </c>
      <c r="Q104" s="541">
        <v>0</v>
      </c>
      <c r="R104" s="541"/>
      <c r="S104" s="541">
        <v>0</v>
      </c>
      <c r="T104" s="541"/>
      <c r="U104" s="541">
        <v>0</v>
      </c>
      <c r="V104" s="541"/>
      <c r="W104" s="524">
        <f ca="1">N104</f>
        <v>15.79</v>
      </c>
      <c r="X104" s="525"/>
      <c r="Y104" s="55">
        <f ca="1">IF(OR(W104="",W104=0),0,IF(W104="X",MatchDay!$U$2+MatchDay!$U$2+1-COUNTIF(Distance!W104:W104,"X"),RANK(W104,$W104:$X119,0)))</f>
        <v>4</v>
      </c>
      <c r="Z104" s="19" t="str">
        <f ca="1">IFERROR(IF(Y104=0,0,IF(OR(VLOOKUP(AG104,E112:Y119,21,FALSE)=0,Y104&lt;=VLOOKUP(AG104,E112:Y119,21,FALSE)),"A","B")),"")</f>
        <v>B</v>
      </c>
      <c r="AA104" s="19" t="str">
        <f ca="1">IFERROR(IF(Z104="B","",RANK(AD104,AD104:AD119,1)),"")</f>
        <v/>
      </c>
      <c r="AB104" s="19">
        <f ca="1">IFERROR(IF(Z104="A","",RANK(AE104,AE104:AE119,1)),"")</f>
        <v>1</v>
      </c>
      <c r="AC104" s="8"/>
      <c r="AD104" s="9" t="str">
        <f ca="1">IF(OR(W104=0,Y104=0,Z104="B"),"",Y104)</f>
        <v/>
      </c>
      <c r="AE104" s="9">
        <f ca="1">IF(OR(W104=0,Y104=0,Z104="A"),"",Y104)</f>
        <v>4</v>
      </c>
      <c r="AF104" s="9" t="s">
        <v>179</v>
      </c>
      <c r="AG104" s="4">
        <f>IFERROR(IF(A103=0,E104*11,E104&amp;E104),"")</f>
        <v>33</v>
      </c>
    </row>
    <row r="105" spans="1:33" s="4" customFormat="1" ht="15.95" customHeight="1" x14ac:dyDescent="0.35">
      <c r="A105" s="8">
        <f>IFERROR(IF(D105&gt;MatchDay!$U$2,"-",VLOOKUP(A100,timetables,MatchDay!$U$4+1,FALSE)),0)</f>
        <v>5</v>
      </c>
      <c r="B105" s="7">
        <f t="shared" ref="B105:B119" ca="1" si="31">AA105</f>
        <v>1</v>
      </c>
      <c r="C105" s="7" t="str">
        <f t="shared" ref="C105:C119" ca="1" si="32">AB105</f>
        <v/>
      </c>
      <c r="D105" s="55">
        <v>2</v>
      </c>
      <c r="E105" s="17">
        <f t="shared" ref="E105:E119" si="33">A105</f>
        <v>5</v>
      </c>
      <c r="F105" s="18" t="str">
        <f ca="1">IFERROR(IF(A103=0,HLOOKUP(E105,Declarations!$D$2:$S$102,B101,FALSE),HLOOKUP(VLOOKUP(E105,Teams!$V$2:$W$19,2,FALSE),Declarations!$D$2:$S$102,B101,FALSE)),"")</f>
        <v>COOK Edwin</v>
      </c>
      <c r="G105" s="18" t="str">
        <f t="shared" si="30"/>
        <v>Scun</v>
      </c>
      <c r="H105" s="524">
        <f ca="1">IFERROR(INDIRECT(CONCATENATE("'Distance Input'!"&amp;B102&amp;C102+1)),"")</f>
        <v>18.54</v>
      </c>
      <c r="I105" s="525"/>
      <c r="J105" s="524">
        <v>0</v>
      </c>
      <c r="K105" s="525"/>
      <c r="L105" s="524">
        <v>0</v>
      </c>
      <c r="M105" s="525"/>
      <c r="N105" s="539">
        <f t="shared" ref="N105:N119" ca="1" si="34">H105</f>
        <v>18.54</v>
      </c>
      <c r="O105" s="540"/>
      <c r="P105" s="55">
        <v>0</v>
      </c>
      <c r="Q105" s="541">
        <v>0</v>
      </c>
      <c r="R105" s="541"/>
      <c r="S105" s="541">
        <v>0</v>
      </c>
      <c r="T105" s="541"/>
      <c r="U105" s="541">
        <v>0</v>
      </c>
      <c r="V105" s="541"/>
      <c r="W105" s="524">
        <f t="shared" ref="W105:W119" ca="1" si="35">N105</f>
        <v>18.54</v>
      </c>
      <c r="X105" s="525"/>
      <c r="Y105" s="55">
        <f ca="1">IF(OR(W105="",W105=0),0,IF(W105="X",MatchDay!$U$2+MatchDay!$U$2+1-COUNTIF(Distance!W104:W105,"X"),RANK(W105,$W104:$X119,0)))</f>
        <v>1</v>
      </c>
      <c r="Z105" s="19" t="str">
        <f ca="1">IFERROR(IF(Y105=0,0,IF(OR(VLOOKUP(AG105,E112:Y119,21,FALSE)=0,Y105&lt;=VLOOKUP(AG105,E112:Y119,21,FALSE)),"A","B")),"")</f>
        <v>A</v>
      </c>
      <c r="AA105" s="19">
        <f ca="1">IFERROR(IF(Z105="B","",RANK(AD105,AD104:AD119,1)),"")</f>
        <v>1</v>
      </c>
      <c r="AB105" s="19" t="str">
        <f ca="1">IFERROR(IF(Z105="A","",RANK(AE105,AE104:AE119,1)),"")</f>
        <v/>
      </c>
      <c r="AC105" s="8"/>
      <c r="AD105" s="9">
        <f t="shared" ref="AD105:AD119" ca="1" si="36">IF(OR(W105=0,Y105=0,Z105="B"),"",Y105)</f>
        <v>1</v>
      </c>
      <c r="AE105" s="9" t="str">
        <f t="shared" ref="AE105:AE119" ca="1" si="37">IF(OR(W105=0,Y105=0,Z105="A"),"",Y105)</f>
        <v/>
      </c>
      <c r="AF105" s="9" t="s">
        <v>179</v>
      </c>
      <c r="AG105" s="4">
        <f>IFERROR(IF(A103=0,E105*11,E105&amp;E105),"")</f>
        <v>55</v>
      </c>
    </row>
    <row r="106" spans="1:33" s="4" customFormat="1" ht="15.95" customHeight="1" x14ac:dyDescent="0.35">
      <c r="A106" s="8">
        <f>IFERROR(IF(D106&gt;MatchDay!$U$2,"-",VLOOKUP(A100,timetables,MatchDay!$U$4+2,FALSE)),0)</f>
        <v>2</v>
      </c>
      <c r="B106" s="7">
        <f t="shared" ca="1" si="31"/>
        <v>4</v>
      </c>
      <c r="C106" s="7" t="str">
        <f t="shared" ca="1" si="32"/>
        <v/>
      </c>
      <c r="D106" s="55">
        <v>3</v>
      </c>
      <c r="E106" s="17">
        <f t="shared" si="33"/>
        <v>2</v>
      </c>
      <c r="F106" s="18" t="str">
        <f ca="1">IFERROR(IF(A103=0,HLOOKUP(E106,Declarations!$D$2:$S$102,B101,FALSE),HLOOKUP(VLOOKUP(E106,Teams!$V$2:$W$19,2,FALSE),Declarations!$D$2:$S$102,B101,FALSE)),"")</f>
        <v>WAINWRIGHT James</v>
      </c>
      <c r="G106" s="18" t="str">
        <f t="shared" si="30"/>
        <v>Sheff+D</v>
      </c>
      <c r="H106" s="524">
        <f ca="1">IFERROR(INDIRECT(CONCATENATE("'Distance Input'!"&amp;B102&amp;C102+2)),"")</f>
        <v>10.8</v>
      </c>
      <c r="I106" s="525"/>
      <c r="J106" s="524">
        <v>0</v>
      </c>
      <c r="K106" s="525"/>
      <c r="L106" s="524">
        <v>0</v>
      </c>
      <c r="M106" s="525"/>
      <c r="N106" s="539">
        <f t="shared" ca="1" si="34"/>
        <v>10.8</v>
      </c>
      <c r="O106" s="540"/>
      <c r="P106" s="55">
        <v>0</v>
      </c>
      <c r="Q106" s="541">
        <v>0</v>
      </c>
      <c r="R106" s="541"/>
      <c r="S106" s="541">
        <v>0</v>
      </c>
      <c r="T106" s="541"/>
      <c r="U106" s="541">
        <v>0</v>
      </c>
      <c r="V106" s="541"/>
      <c r="W106" s="524">
        <f t="shared" ca="1" si="35"/>
        <v>10.8</v>
      </c>
      <c r="X106" s="525"/>
      <c r="Y106" s="55">
        <f ca="1">IF(OR(W106="",W106=0),0,IF(W106="X",MatchDay!$U$2+MatchDay!$U$2+1-COUNTIF(Distance!W104:W106,"X"),RANK(W106,$W104:$X119,0)))</f>
        <v>5</v>
      </c>
      <c r="Z106" s="19" t="str">
        <f ca="1">IFERROR(IF(Y106=0,0,IF(OR(VLOOKUP(AG106,E112:Y119,21,FALSE)=0,Y106&lt;=VLOOKUP(AG106,E112:Y119,21,FALSE)),"A","B")),"")</f>
        <v>A</v>
      </c>
      <c r="AA106" s="19">
        <f ca="1">IFERROR(IF(Z106="B","",RANK(AD106,AD104:AD119,1)),"")</f>
        <v>4</v>
      </c>
      <c r="AB106" s="19" t="str">
        <f ca="1">IFERROR(IF(Z106="A","",RANK(AE106,AE104:AE119,1)),"")</f>
        <v/>
      </c>
      <c r="AD106" s="9">
        <f t="shared" ca="1" si="36"/>
        <v>5</v>
      </c>
      <c r="AE106" s="9" t="str">
        <f t="shared" ca="1" si="37"/>
        <v/>
      </c>
      <c r="AF106" s="9" t="s">
        <v>179</v>
      </c>
      <c r="AG106" s="4">
        <f>IFERROR(IF(A103=0,E106*11,E106&amp;E106),"")</f>
        <v>22</v>
      </c>
    </row>
    <row r="107" spans="1:33" s="4" customFormat="1" ht="15.95" customHeight="1" x14ac:dyDescent="0.35">
      <c r="A107" s="8">
        <f>IFERROR(IF(D107&gt;MatchDay!$U$2,"-",VLOOKUP(A100,timetables,MatchDay!$U$4+3,FALSE)),0)</f>
        <v>4</v>
      </c>
      <c r="B107" s="7">
        <f t="shared" ca="1" si="31"/>
        <v>5</v>
      </c>
      <c r="C107" s="7" t="str">
        <f t="shared" ca="1" si="32"/>
        <v/>
      </c>
      <c r="D107" s="55">
        <v>4</v>
      </c>
      <c r="E107" s="17">
        <f t="shared" si="33"/>
        <v>4</v>
      </c>
      <c r="F107" s="18" t="str">
        <f ca="1">IFERROR(IF(A103=0,HLOOKUP(E107,Declarations!$D$2:$S$102,B101,FALSE),HLOOKUP(VLOOKUP(E107,Teams!$V$2:$W$19,2,FALSE),Declarations!$D$2:$S$102,B101,FALSE)),"")</f>
        <v>BELL Callum</v>
      </c>
      <c r="G107" s="18" t="str">
        <f t="shared" si="30"/>
        <v>M'bro</v>
      </c>
      <c r="H107" s="524">
        <f ca="1">IFERROR(INDIRECT(CONCATENATE("'Distance Input'!"&amp;B102&amp;C102+3)),"")</f>
        <v>10.47</v>
      </c>
      <c r="I107" s="525"/>
      <c r="J107" s="524">
        <v>0</v>
      </c>
      <c r="K107" s="525"/>
      <c r="L107" s="524">
        <v>0</v>
      </c>
      <c r="M107" s="525"/>
      <c r="N107" s="539">
        <f t="shared" ca="1" si="34"/>
        <v>10.47</v>
      </c>
      <c r="O107" s="540"/>
      <c r="P107" s="55">
        <v>0</v>
      </c>
      <c r="Q107" s="541">
        <v>0</v>
      </c>
      <c r="R107" s="541"/>
      <c r="S107" s="541">
        <v>0</v>
      </c>
      <c r="T107" s="541"/>
      <c r="U107" s="541">
        <v>0</v>
      </c>
      <c r="V107" s="541"/>
      <c r="W107" s="524">
        <f t="shared" ca="1" si="35"/>
        <v>10.47</v>
      </c>
      <c r="X107" s="525"/>
      <c r="Y107" s="55">
        <f ca="1">IF(OR(W107="",W107=0),0,IF(W107="X",MatchDay!$U$2+MatchDay!$U$2+1-COUNTIF(Distance!W104:W107,"X"),RANK(W107,$W104:$X119,0)))</f>
        <v>6</v>
      </c>
      <c r="Z107" s="19" t="str">
        <f ca="1">IFERROR(IF(Y107=0,0,IF(OR(VLOOKUP(AG107,E112:Y119,21,FALSE)=0,Y107&lt;=VLOOKUP(AG107,E112:Y119,21,FALSE)),"A","B")),"")</f>
        <v>A</v>
      </c>
      <c r="AA107" s="19">
        <f ca="1">IFERROR(IF(Z107="B","",RANK(AD107,AD104:AD119,1)),"")</f>
        <v>5</v>
      </c>
      <c r="AB107" s="19" t="str">
        <f ca="1">IFERROR(IF(Z107="A","",RANK(AE107,AE104:AE119,1)),"")</f>
        <v/>
      </c>
      <c r="AD107" s="9">
        <f t="shared" ca="1" si="36"/>
        <v>6</v>
      </c>
      <c r="AE107" s="9" t="str">
        <f t="shared" ca="1" si="37"/>
        <v/>
      </c>
      <c r="AF107" s="9" t="s">
        <v>179</v>
      </c>
      <c r="AG107" s="4">
        <f>IFERROR(IF(A103=0,E107*11,E107&amp;E107),"")</f>
        <v>44</v>
      </c>
    </row>
    <row r="108" spans="1:33" s="4" customFormat="1" ht="15.95" customHeight="1" x14ac:dyDescent="0.35">
      <c r="A108" s="8">
        <f>IFERROR(IF(D108&gt;MatchDay!$U$2,"-",VLOOKUP(A100,timetables,MatchDay!$U$4+4,FALSE)),0)</f>
        <v>1</v>
      </c>
      <c r="B108" s="7">
        <f t="shared" ca="1" si="31"/>
        <v>2</v>
      </c>
      <c r="C108" s="7" t="str">
        <f t="shared" ca="1" si="32"/>
        <v/>
      </c>
      <c r="D108" s="55">
        <v>5</v>
      </c>
      <c r="E108" s="17">
        <f t="shared" si="33"/>
        <v>1</v>
      </c>
      <c r="F108" s="18" t="str">
        <f ca="1">IFERROR(IF(A103=0,HLOOKUP(E108,Declarations!$D$2:$S$102,B101,FALSE),HLOOKUP(VLOOKUP(E108,Teams!$V$2:$W$19,2,FALSE),Declarations!$D$2:$S$102,B101,FALSE)),"")</f>
        <v>COOPER Malachi</v>
      </c>
      <c r="G108" s="18" t="str">
        <f t="shared" si="30"/>
        <v>C'field</v>
      </c>
      <c r="H108" s="524">
        <f ca="1">IFERROR(INDIRECT(CONCATENATE("'Distance Input'!"&amp;B102&amp;C102+4)),"")</f>
        <v>16.04</v>
      </c>
      <c r="I108" s="525"/>
      <c r="J108" s="524">
        <v>0</v>
      </c>
      <c r="K108" s="525"/>
      <c r="L108" s="524">
        <v>0</v>
      </c>
      <c r="M108" s="525"/>
      <c r="N108" s="539">
        <f t="shared" ca="1" si="34"/>
        <v>16.04</v>
      </c>
      <c r="O108" s="540"/>
      <c r="P108" s="55">
        <v>0</v>
      </c>
      <c r="Q108" s="541">
        <v>0</v>
      </c>
      <c r="R108" s="541"/>
      <c r="S108" s="541">
        <v>0</v>
      </c>
      <c r="T108" s="541"/>
      <c r="U108" s="541">
        <v>0</v>
      </c>
      <c r="V108" s="541"/>
      <c r="W108" s="524">
        <f t="shared" ca="1" si="35"/>
        <v>16.04</v>
      </c>
      <c r="X108" s="525"/>
      <c r="Y108" s="55">
        <f ca="1">IF(OR(W108="",W108=0),0,IF(W108="X",MatchDay!$U$2+MatchDay!$U$2+1-COUNTIF(Distance!W104:W108,"X"),RANK(W108,$W104:$X119,0)))</f>
        <v>2</v>
      </c>
      <c r="Z108" s="19" t="str">
        <f ca="1">IFERROR(IF(Y108=0,0,IF(OR(VLOOKUP(AG108,E112:Y119,21,FALSE)=0,Y108&lt;=VLOOKUP(AG108,E112:Y119,21,FALSE)),"A","B")),"")</f>
        <v>A</v>
      </c>
      <c r="AA108" s="19">
        <f ca="1">IFERROR(IF(Z108="B","",RANK(AD108,AD104:AD119,1)),"")</f>
        <v>2</v>
      </c>
      <c r="AB108" s="19" t="str">
        <f ca="1">IFERROR(IF(Z108="A","",RANK(AE108,AE104:AE119,1)),"")</f>
        <v/>
      </c>
      <c r="AD108" s="9">
        <f t="shared" ca="1" si="36"/>
        <v>2</v>
      </c>
      <c r="AE108" s="9" t="str">
        <f t="shared" ca="1" si="37"/>
        <v/>
      </c>
      <c r="AF108" s="9" t="s">
        <v>179</v>
      </c>
      <c r="AG108" s="4">
        <f>IFERROR(IF(A103=0,E108*11,E108&amp;E108),"")</f>
        <v>11</v>
      </c>
    </row>
    <row r="109" spans="1:33" s="4" customFormat="1" ht="15.95" customHeight="1" x14ac:dyDescent="0.35">
      <c r="A109" s="8" t="str">
        <f>IFERROR(IF(D109&gt;MatchDay!$U$2,"-",VLOOKUP(A100,timetables,MatchDay!$U$4+5,FALSE)),0)</f>
        <v>-</v>
      </c>
      <c r="B109" s="7" t="str">
        <f t="shared" ca="1" si="31"/>
        <v/>
      </c>
      <c r="C109" s="7" t="str">
        <f t="shared" ca="1" si="32"/>
        <v/>
      </c>
      <c r="D109" s="55">
        <v>6</v>
      </c>
      <c r="E109" s="17" t="str">
        <f t="shared" si="33"/>
        <v>-</v>
      </c>
      <c r="F109" s="18" t="str">
        <f>IFERROR(IF(A103=0,HLOOKUP(E109,Declarations!$D$2:$S$102,B101,FALSE),HLOOKUP(VLOOKUP(E109,Teams!$V$2:$W$19,2,FALSE),Declarations!$D$2:$S$102,B101,FALSE)),"")</f>
        <v/>
      </c>
      <c r="G109" s="18" t="str">
        <f t="shared" si="30"/>
        <v/>
      </c>
      <c r="H109" s="524">
        <f ca="1">IFERROR(INDIRECT(CONCATENATE("'Distance Input'!"&amp;B102&amp;C102+5)),"")</f>
        <v>0</v>
      </c>
      <c r="I109" s="525"/>
      <c r="J109" s="524">
        <v>0</v>
      </c>
      <c r="K109" s="525"/>
      <c r="L109" s="524">
        <v>0</v>
      </c>
      <c r="M109" s="525"/>
      <c r="N109" s="539">
        <f t="shared" ca="1" si="34"/>
        <v>0</v>
      </c>
      <c r="O109" s="540"/>
      <c r="P109" s="55">
        <v>0</v>
      </c>
      <c r="Q109" s="541">
        <v>0</v>
      </c>
      <c r="R109" s="541"/>
      <c r="S109" s="541">
        <v>0</v>
      </c>
      <c r="T109" s="541"/>
      <c r="U109" s="541">
        <v>0</v>
      </c>
      <c r="V109" s="541"/>
      <c r="W109" s="524">
        <f t="shared" ca="1" si="35"/>
        <v>0</v>
      </c>
      <c r="X109" s="525"/>
      <c r="Y109" s="55">
        <f ca="1">IF(OR(W109="",W109=0),0,IF(W109="X",MatchDay!$U$2+MatchDay!$U$2+1-COUNTIF(Distance!W104:W109,"X"),RANK(W109,$W104:$X119,0)))</f>
        <v>0</v>
      </c>
      <c r="Z109" s="19">
        <f ca="1">IFERROR(IF(Y109=0,0,IF(OR(VLOOKUP(AG109,E112:Y119,21,FALSE)=0,Y109&lt;=VLOOKUP(AG109,E112:Y119,21,FALSE)),"A","B")),"")</f>
        <v>0</v>
      </c>
      <c r="AA109" s="19" t="str">
        <f ca="1">IFERROR(IF(Z109="B","",RANK(AD109,AD104:AD119,1)),"")</f>
        <v/>
      </c>
      <c r="AB109" s="19" t="str">
        <f ca="1">IFERROR(IF(Z109="A","",RANK(AE109,AE104:AE119,1)),"")</f>
        <v/>
      </c>
      <c r="AD109" s="9" t="str">
        <f t="shared" ca="1" si="36"/>
        <v/>
      </c>
      <c r="AE109" s="9" t="str">
        <f t="shared" ca="1" si="37"/>
        <v/>
      </c>
      <c r="AF109" s="9" t="s">
        <v>179</v>
      </c>
      <c r="AG109" s="4" t="str">
        <f>IFERROR(IF(A103=0,E109*11,E109&amp;E109),"")</f>
        <v/>
      </c>
    </row>
    <row r="110" spans="1:33" s="4" customFormat="1" ht="15.95" customHeight="1" x14ac:dyDescent="0.35">
      <c r="A110" s="8" t="str">
        <f>IFERROR(IF(D110&gt;MatchDay!$U$2,"-",VLOOKUP(A100,timetables,MatchDay!$U$4+6,FALSE)),0)</f>
        <v>-</v>
      </c>
      <c r="B110" s="7" t="str">
        <f t="shared" ca="1" si="31"/>
        <v/>
      </c>
      <c r="C110" s="7" t="str">
        <f t="shared" ca="1" si="32"/>
        <v/>
      </c>
      <c r="D110" s="55">
        <v>7</v>
      </c>
      <c r="E110" s="17" t="str">
        <f t="shared" si="33"/>
        <v>-</v>
      </c>
      <c r="F110" s="18" t="str">
        <f>IFERROR(IF(A103=0,HLOOKUP(E110,Declarations!$D$2:$S$102,B101,FALSE),HLOOKUP(VLOOKUP(E110,Teams!$V$2:$W$19,2,FALSE),Declarations!$D$2:$S$102,B101,FALSE)),"")</f>
        <v/>
      </c>
      <c r="G110" s="18" t="str">
        <f t="shared" si="30"/>
        <v/>
      </c>
      <c r="H110" s="524">
        <f ca="1">IFERROR(INDIRECT(CONCATENATE("'Distance Input'!"&amp;B102&amp;C102+6)),"")</f>
        <v>0</v>
      </c>
      <c r="I110" s="525"/>
      <c r="J110" s="524">
        <v>0</v>
      </c>
      <c r="K110" s="525"/>
      <c r="L110" s="524">
        <v>0</v>
      </c>
      <c r="M110" s="525"/>
      <c r="N110" s="539">
        <f t="shared" ca="1" si="34"/>
        <v>0</v>
      </c>
      <c r="O110" s="540"/>
      <c r="P110" s="55">
        <v>0</v>
      </c>
      <c r="Q110" s="541">
        <v>0</v>
      </c>
      <c r="R110" s="541"/>
      <c r="S110" s="541">
        <v>0</v>
      </c>
      <c r="T110" s="541"/>
      <c r="U110" s="541">
        <v>0</v>
      </c>
      <c r="V110" s="541"/>
      <c r="W110" s="524">
        <f t="shared" ca="1" si="35"/>
        <v>0</v>
      </c>
      <c r="X110" s="525"/>
      <c r="Y110" s="55">
        <f ca="1">IF(OR(W110="",W110=0),0,IF(W110="X",MatchDay!$U$2+MatchDay!$U$2+1-COUNTIF(Distance!W104:W110,"X"),RANK(W110,$W104:$X119,0)))</f>
        <v>0</v>
      </c>
      <c r="Z110" s="19">
        <f ca="1">IFERROR(IF(Y110=0,0,IF(OR(VLOOKUP(AG110,E112:Y119,21,FALSE)=0,Y110&lt;=VLOOKUP(AG110,E112:Y119,21,FALSE)),"A","B")),"")</f>
        <v>0</v>
      </c>
      <c r="AA110" s="19" t="str">
        <f ca="1">IFERROR(IF(Z110="B","",RANK(AD110,AD104:AD119,1)),"")</f>
        <v/>
      </c>
      <c r="AB110" s="19" t="str">
        <f ca="1">IFERROR(IF(Z110="A","",RANK(AE110,AE104:AE119,1)),"")</f>
        <v/>
      </c>
      <c r="AD110" s="9" t="str">
        <f t="shared" ca="1" si="36"/>
        <v/>
      </c>
      <c r="AE110" s="9" t="str">
        <f t="shared" ca="1" si="37"/>
        <v/>
      </c>
      <c r="AF110" s="9" t="s">
        <v>179</v>
      </c>
      <c r="AG110" s="4" t="str">
        <f>IFERROR(IF(A103=0,E110*11,E110&amp;E110),"")</f>
        <v/>
      </c>
    </row>
    <row r="111" spans="1:33" s="4" customFormat="1" ht="15.95" customHeight="1" x14ac:dyDescent="0.35">
      <c r="A111" s="8" t="str">
        <f>IFERROR(IF(D111&gt;MatchDay!$U$2,"-",VLOOKUP(A100,timetables,MatchDay!$U$4+7,FALSE)),0)</f>
        <v>-</v>
      </c>
      <c r="B111" s="7" t="str">
        <f t="shared" ca="1" si="31"/>
        <v/>
      </c>
      <c r="C111" s="7" t="str">
        <f t="shared" ca="1" si="32"/>
        <v/>
      </c>
      <c r="D111" s="55">
        <v>8</v>
      </c>
      <c r="E111" s="17" t="str">
        <f t="shared" si="33"/>
        <v>-</v>
      </c>
      <c r="F111" s="18" t="str">
        <f>IFERROR(IF(A103=0,HLOOKUP(E111,Declarations!$D$2:$S$102,B101,FALSE),HLOOKUP(VLOOKUP(E111,Teams!$V$2:$W$19,2,FALSE),Declarations!$D$2:$S$102,B101,FALSE)),"")</f>
        <v/>
      </c>
      <c r="G111" s="18" t="str">
        <f t="shared" si="30"/>
        <v/>
      </c>
      <c r="H111" s="524">
        <f ca="1">IFERROR(INDIRECT(CONCATENATE("'Distance Input'!"&amp;B102&amp;C102+7)),"")</f>
        <v>0</v>
      </c>
      <c r="I111" s="525"/>
      <c r="J111" s="524">
        <v>0</v>
      </c>
      <c r="K111" s="525"/>
      <c r="L111" s="524">
        <v>0</v>
      </c>
      <c r="M111" s="525"/>
      <c r="N111" s="539">
        <f t="shared" ca="1" si="34"/>
        <v>0</v>
      </c>
      <c r="O111" s="540"/>
      <c r="P111" s="55">
        <v>0</v>
      </c>
      <c r="Q111" s="541">
        <v>0</v>
      </c>
      <c r="R111" s="541"/>
      <c r="S111" s="541">
        <v>0</v>
      </c>
      <c r="T111" s="541"/>
      <c r="U111" s="541">
        <v>0</v>
      </c>
      <c r="V111" s="541"/>
      <c r="W111" s="524">
        <f t="shared" ca="1" si="35"/>
        <v>0</v>
      </c>
      <c r="X111" s="525"/>
      <c r="Y111" s="55">
        <f ca="1">IF(OR(W111="",W111=0),0,IF(W111="X",MatchDay!$U$2+MatchDay!$U$2+1-COUNTIF(Distance!W104:W111,"X"),RANK(W111,$W104:$X119,0)))</f>
        <v>0</v>
      </c>
      <c r="Z111" s="19">
        <f ca="1">IFERROR(IF(Y111=0,0,IF(OR(VLOOKUP(AG111,E112:Y119,21,FALSE)=0,Y111&lt;=VLOOKUP(AG111,E112:Y119,21,FALSE)),"A","B")),"")</f>
        <v>0</v>
      </c>
      <c r="AA111" s="19" t="str">
        <f ca="1">IFERROR(IF(Z111="B","",RANK(AD111,AD104:AD119,1)),"")</f>
        <v/>
      </c>
      <c r="AB111" s="19" t="str">
        <f ca="1">IFERROR(IF(Z111="A","",RANK(AE111,AE104:AE119,1)),"")</f>
        <v/>
      </c>
      <c r="AD111" s="9" t="str">
        <f t="shared" ca="1" si="36"/>
        <v/>
      </c>
      <c r="AE111" s="9" t="str">
        <f t="shared" ca="1" si="37"/>
        <v/>
      </c>
      <c r="AF111" s="9" t="s">
        <v>179</v>
      </c>
      <c r="AG111" s="4" t="str">
        <f>IFERROR(IF(A103=0,E111*11,E111&amp;E111),"")</f>
        <v/>
      </c>
    </row>
    <row r="112" spans="1:33" s="4" customFormat="1" ht="15.95" customHeight="1" x14ac:dyDescent="0.35">
      <c r="A112" s="8">
        <f>IFERROR(IF(A103=0,A104*11,A104&amp;A104),"-")</f>
        <v>33</v>
      </c>
      <c r="B112" s="7">
        <f t="shared" ca="1" si="31"/>
        <v>3</v>
      </c>
      <c r="C112" s="7" t="str">
        <f t="shared" ca="1" si="32"/>
        <v/>
      </c>
      <c r="D112" s="55">
        <v>9</v>
      </c>
      <c r="E112" s="17">
        <f t="shared" si="33"/>
        <v>33</v>
      </c>
      <c r="F112" s="18" t="str">
        <f ca="1">IFERROR(IF(A103=0,HLOOKUP(E112,Declarations!$D$2:$S$102,B101,FALSE),HLOOKUP(VLOOKUP(E112,Teams!$V$2:$W$19,2,FALSE),Declarations!$D$2:$S$102,B101,FALSE)),"")</f>
        <v>BROOKS Rory</v>
      </c>
      <c r="G112" s="18" t="str">
        <f t="shared" si="30"/>
        <v>York</v>
      </c>
      <c r="H112" s="524">
        <f ca="1">IFERROR(INDIRECT(CONCATENATE("'Distance Input'!"&amp;B102&amp;C102+8)),"")</f>
        <v>15.91</v>
      </c>
      <c r="I112" s="525"/>
      <c r="J112" s="524">
        <v>0</v>
      </c>
      <c r="K112" s="525"/>
      <c r="L112" s="524">
        <v>0</v>
      </c>
      <c r="M112" s="525"/>
      <c r="N112" s="539">
        <f t="shared" ca="1" si="34"/>
        <v>15.91</v>
      </c>
      <c r="O112" s="540"/>
      <c r="P112" s="55">
        <v>0</v>
      </c>
      <c r="Q112" s="541">
        <v>0</v>
      </c>
      <c r="R112" s="541"/>
      <c r="S112" s="541">
        <v>0</v>
      </c>
      <c r="T112" s="541"/>
      <c r="U112" s="541">
        <v>0</v>
      </c>
      <c r="V112" s="541"/>
      <c r="W112" s="524">
        <f t="shared" ca="1" si="35"/>
        <v>15.91</v>
      </c>
      <c r="X112" s="525"/>
      <c r="Y112" s="55">
        <f ca="1">IF(OR(W112="",W112=0),0,IF(W112="X",MatchDay!$U$2+MatchDay!$U$2+1-COUNTIF(Distance!W104:W112,"X"),RANK(W112,$W104:$X119,0)))</f>
        <v>3</v>
      </c>
      <c r="Z112" s="19" t="str">
        <f ca="1">IFERROR(IF(Y112=0,0,IF(VLOOKUP(AG112,E104:Y111,21,FALSE)=0,"A",IF(Y112&gt;=VLOOKUP(AG112,E104:Y111,21,FALSE),"B","A"))),"")</f>
        <v>A</v>
      </c>
      <c r="AA112" s="19">
        <f ca="1">IFERROR(IF(Z112="B","",RANK(AD112,AD104:AD119,1)),"")</f>
        <v>3</v>
      </c>
      <c r="AB112" s="19" t="str">
        <f ca="1">IFERROR(IF(Z112="A","",RANK(AE112,AE104:AE119,1)),"")</f>
        <v/>
      </c>
      <c r="AD112" s="9">
        <f t="shared" ca="1" si="36"/>
        <v>3</v>
      </c>
      <c r="AE112" s="9" t="str">
        <f t="shared" ca="1" si="37"/>
        <v/>
      </c>
      <c r="AF112" s="9" t="s">
        <v>179</v>
      </c>
      <c r="AG112" s="4">
        <f>IFERROR(IF(A103=0,E112/11,LEFT(E112,1)),"")</f>
        <v>3</v>
      </c>
    </row>
    <row r="113" spans="1:33" s="4" customFormat="1" ht="15.95" customHeight="1" x14ac:dyDescent="0.35">
      <c r="A113" s="8">
        <f>IFERROR(IF(A103=0,A105*11,A105&amp;A105),"-")</f>
        <v>55</v>
      </c>
      <c r="B113" s="7" t="str">
        <f t="shared" ca="1" si="31"/>
        <v/>
      </c>
      <c r="C113" s="7" t="str">
        <f t="shared" ca="1" si="32"/>
        <v/>
      </c>
      <c r="D113" s="55">
        <v>10</v>
      </c>
      <c r="E113" s="17">
        <f t="shared" si="33"/>
        <v>55</v>
      </c>
      <c r="F113" s="18">
        <f ca="1">IFERROR(IF(A103=0,HLOOKUP(E113,Declarations!$D$2:$S$102,B101,FALSE),HLOOKUP(VLOOKUP(E113,Teams!$V$2:$W$19,2,FALSE),Declarations!$D$2:$S$102,B101,FALSE)),"")</f>
        <v>0</v>
      </c>
      <c r="G113" s="18" t="str">
        <f t="shared" si="30"/>
        <v>Scun</v>
      </c>
      <c r="H113" s="524">
        <f ca="1">IFERROR(INDIRECT(CONCATENATE("'Distance Input'!"&amp;B102&amp;C102+9)),"")</f>
        <v>0</v>
      </c>
      <c r="I113" s="525"/>
      <c r="J113" s="524">
        <v>0</v>
      </c>
      <c r="K113" s="525"/>
      <c r="L113" s="524">
        <v>0</v>
      </c>
      <c r="M113" s="525"/>
      <c r="N113" s="539">
        <f t="shared" ca="1" si="34"/>
        <v>0</v>
      </c>
      <c r="O113" s="540"/>
      <c r="P113" s="55">
        <v>0</v>
      </c>
      <c r="Q113" s="541">
        <v>0</v>
      </c>
      <c r="R113" s="541"/>
      <c r="S113" s="541">
        <v>0</v>
      </c>
      <c r="T113" s="541"/>
      <c r="U113" s="541">
        <v>0</v>
      </c>
      <c r="V113" s="541"/>
      <c r="W113" s="524">
        <f t="shared" ca="1" si="35"/>
        <v>0</v>
      </c>
      <c r="X113" s="525"/>
      <c r="Y113" s="55">
        <f ca="1">IF(OR(W113="",W113=0),0,IF(W113="X",MatchDay!$U$2+MatchDay!$U$2+1-COUNTIF(Distance!W104:W113,"X"),RANK(W113,$W104:$X119,0)))</f>
        <v>0</v>
      </c>
      <c r="Z113" s="19">
        <f ca="1">IFERROR(IF(Y113=0,0,IF(VLOOKUP(AG113,E104:Y111,21,FALSE)=0,"A",IF(Y113&gt;=VLOOKUP(AG113,E104:Y111,21,FALSE),"B","A"))),"")</f>
        <v>0</v>
      </c>
      <c r="AA113" s="19" t="str">
        <f ca="1">IFERROR(IF(Z113="B","",RANK(AD113,AD104:AD119,1)),"")</f>
        <v/>
      </c>
      <c r="AB113" s="19" t="str">
        <f ca="1">IFERROR(IF(Z113="A","",RANK(AE113,AE104:AE119,1)),"")</f>
        <v/>
      </c>
      <c r="AD113" s="9" t="str">
        <f t="shared" ca="1" si="36"/>
        <v/>
      </c>
      <c r="AE113" s="9" t="str">
        <f t="shared" ca="1" si="37"/>
        <v/>
      </c>
      <c r="AF113" s="9" t="s">
        <v>179</v>
      </c>
      <c r="AG113" s="4">
        <f>IFERROR(IF(A103=0,E113/11,LEFT(E113,1)),"")</f>
        <v>5</v>
      </c>
    </row>
    <row r="114" spans="1:33" s="4" customFormat="1" ht="15.95" customHeight="1" x14ac:dyDescent="0.35">
      <c r="A114" s="8">
        <f>IFERROR(IF(A103=0,A106*11,A106&amp;A106),"-")</f>
        <v>22</v>
      </c>
      <c r="B114" s="7" t="str">
        <f t="shared" ca="1" si="31"/>
        <v/>
      </c>
      <c r="C114" s="7">
        <f t="shared" ca="1" si="32"/>
        <v>3</v>
      </c>
      <c r="D114" s="55">
        <v>11</v>
      </c>
      <c r="E114" s="17">
        <f t="shared" si="33"/>
        <v>22</v>
      </c>
      <c r="F114" s="18" t="str">
        <f ca="1">IFERROR(IF(A103=0,HLOOKUP(E114,Declarations!$D$2:$S$102,B101,FALSE),HLOOKUP(VLOOKUP(E114,Teams!$V$2:$W$19,2,FALSE),Declarations!$D$2:$S$102,B101,FALSE)),"")</f>
        <v>KRIEL PARR George</v>
      </c>
      <c r="G114" s="18" t="str">
        <f t="shared" si="30"/>
        <v>Sheff+D</v>
      </c>
      <c r="H114" s="524">
        <f ca="1">IFERROR(INDIRECT(CONCATENATE("'Distance Input'!"&amp;B102&amp;C102+10)),"")</f>
        <v>9.89</v>
      </c>
      <c r="I114" s="525"/>
      <c r="J114" s="524">
        <v>0</v>
      </c>
      <c r="K114" s="525"/>
      <c r="L114" s="524">
        <v>0</v>
      </c>
      <c r="M114" s="525"/>
      <c r="N114" s="539">
        <f t="shared" ca="1" si="34"/>
        <v>9.89</v>
      </c>
      <c r="O114" s="540"/>
      <c r="P114" s="55">
        <v>0</v>
      </c>
      <c r="Q114" s="541">
        <v>0</v>
      </c>
      <c r="R114" s="541"/>
      <c r="S114" s="541">
        <v>0</v>
      </c>
      <c r="T114" s="541"/>
      <c r="U114" s="541">
        <v>0</v>
      </c>
      <c r="V114" s="541"/>
      <c r="W114" s="524">
        <f t="shared" ca="1" si="35"/>
        <v>9.89</v>
      </c>
      <c r="X114" s="525"/>
      <c r="Y114" s="55">
        <f ca="1">IF(OR(W114="",W114=0),0,IF(W114="X",MatchDay!$U$2+MatchDay!$U$2+1-COUNTIF(Distance!W104:W114,"X"),RANK(W114,$W104:$X119,0)))</f>
        <v>8</v>
      </c>
      <c r="Z114" s="19" t="str">
        <f ca="1">IFERROR(IF(Y114=0,0,IF(VLOOKUP(AG114,E104:Y111,21,FALSE)=0,"A",IF(Y114&gt;=VLOOKUP(AG114,E104:Y111,21,FALSE),"B","A"))),"")</f>
        <v>B</v>
      </c>
      <c r="AA114" s="19" t="str">
        <f ca="1">IFERROR(IF(Z114="B","",RANK(AD114,AD104:AD119,1)),"")</f>
        <v/>
      </c>
      <c r="AB114" s="19">
        <f ca="1">IFERROR(IF(Z114="A","",RANK(AE114,AE104:AE119,1)),"")</f>
        <v>3</v>
      </c>
      <c r="AD114" s="9" t="str">
        <f t="shared" ca="1" si="36"/>
        <v/>
      </c>
      <c r="AE114" s="9">
        <f t="shared" ca="1" si="37"/>
        <v>8</v>
      </c>
      <c r="AF114" s="9" t="s">
        <v>179</v>
      </c>
      <c r="AG114" s="4">
        <f>IFERROR(IF(A103=0,E114/11,LEFT(E114,1)),"")</f>
        <v>2</v>
      </c>
    </row>
    <row r="115" spans="1:33" s="4" customFormat="1" ht="15.95" customHeight="1" x14ac:dyDescent="0.35">
      <c r="A115" s="8">
        <f>IFERROR(IF(A103=0,A107*11,A107&amp;A107),"-")</f>
        <v>44</v>
      </c>
      <c r="B115" s="7" t="str">
        <f t="shared" ca="1" si="31"/>
        <v/>
      </c>
      <c r="C115" s="7" t="str">
        <f t="shared" ca="1" si="32"/>
        <v/>
      </c>
      <c r="D115" s="55">
        <v>12</v>
      </c>
      <c r="E115" s="17">
        <f t="shared" si="33"/>
        <v>44</v>
      </c>
      <c r="F115" s="18" t="str">
        <f ca="1">IFERROR(IF(A103=0,HLOOKUP(E115,Declarations!$D$2:$S$102,B101,FALSE),HLOOKUP(VLOOKUP(E115,Teams!$V$2:$W$19,2,FALSE),Declarations!$D$2:$S$102,B101,FALSE)),"")</f>
        <v>-</v>
      </c>
      <c r="G115" s="18" t="str">
        <f t="shared" si="30"/>
        <v>M'bro</v>
      </c>
      <c r="H115" s="524">
        <f ca="1">IFERROR(INDIRECT(CONCATENATE("'Distance Input'!"&amp;B102&amp;C102+11)),"")</f>
        <v>0</v>
      </c>
      <c r="I115" s="525"/>
      <c r="J115" s="524">
        <v>0</v>
      </c>
      <c r="K115" s="525"/>
      <c r="L115" s="524">
        <v>0</v>
      </c>
      <c r="M115" s="525"/>
      <c r="N115" s="539">
        <f t="shared" ca="1" si="34"/>
        <v>0</v>
      </c>
      <c r="O115" s="540"/>
      <c r="P115" s="55">
        <v>0</v>
      </c>
      <c r="Q115" s="541">
        <v>0</v>
      </c>
      <c r="R115" s="541"/>
      <c r="S115" s="541">
        <v>0</v>
      </c>
      <c r="T115" s="541"/>
      <c r="U115" s="541">
        <v>0</v>
      </c>
      <c r="V115" s="541"/>
      <c r="W115" s="524">
        <f t="shared" ca="1" si="35"/>
        <v>0</v>
      </c>
      <c r="X115" s="525"/>
      <c r="Y115" s="55">
        <f ca="1">IF(OR(W115="",W115=0),0,IF(W115="X",MatchDay!$U$2+MatchDay!$U$2+1-COUNTIF(Distance!W104:W115,"X"),RANK(W115,$W104:$X119,0)))</f>
        <v>0</v>
      </c>
      <c r="Z115" s="19">
        <f ca="1">IFERROR(IF(Y115=0,0,IF(VLOOKUP(AG115,E104:Y111,21,FALSE)=0,"A",IF(Y115&gt;=VLOOKUP(AG115,E104:Y111,21,FALSE),"B","A"))),"")</f>
        <v>0</v>
      </c>
      <c r="AA115" s="19" t="str">
        <f ca="1">IFERROR(IF(Z115="B","",RANK(AD115,AD104:AD119,1)),"")</f>
        <v/>
      </c>
      <c r="AB115" s="19" t="str">
        <f ca="1">IFERROR(IF(Z115="A","",RANK(AE115,AE104:AE119,1)),"")</f>
        <v/>
      </c>
      <c r="AD115" s="9" t="str">
        <f t="shared" ca="1" si="36"/>
        <v/>
      </c>
      <c r="AE115" s="9" t="str">
        <f t="shared" ca="1" si="37"/>
        <v/>
      </c>
      <c r="AF115" s="9" t="s">
        <v>179</v>
      </c>
      <c r="AG115" s="4">
        <f>IFERROR(IF(A103=0,E115/11,LEFT(E115,1)),"")</f>
        <v>4</v>
      </c>
    </row>
    <row r="116" spans="1:33" s="4" customFormat="1" ht="15.95" customHeight="1" x14ac:dyDescent="0.35">
      <c r="A116" s="8">
        <f>IFERROR(IF(A103=0,A108*11,A108&amp;A108),"-")</f>
        <v>11</v>
      </c>
      <c r="B116" s="7" t="str">
        <f t="shared" ca="1" si="31"/>
        <v/>
      </c>
      <c r="C116" s="7">
        <f t="shared" ca="1" si="32"/>
        <v>2</v>
      </c>
      <c r="D116" s="55">
        <v>13</v>
      </c>
      <c r="E116" s="17">
        <f t="shared" si="33"/>
        <v>11</v>
      </c>
      <c r="F116" s="18" t="str">
        <f ca="1">IFERROR(IF(A103=0,HLOOKUP(E116,Declarations!$D$2:$S$102,B101,FALSE),HLOOKUP(VLOOKUP(E116,Teams!$V$2:$W$19,2,FALSE),Declarations!$D$2:$S$102,B101,FALSE)),"")</f>
        <v>PEERS-WAIN Jacob</v>
      </c>
      <c r="G116" s="18" t="str">
        <f t="shared" si="30"/>
        <v>C'field</v>
      </c>
      <c r="H116" s="524">
        <f ca="1">IFERROR(INDIRECT(CONCATENATE("'Distance Input'!"&amp;B102&amp;C102+12)),"")</f>
        <v>10.24</v>
      </c>
      <c r="I116" s="525"/>
      <c r="J116" s="524">
        <v>0</v>
      </c>
      <c r="K116" s="525"/>
      <c r="L116" s="524">
        <v>0</v>
      </c>
      <c r="M116" s="525"/>
      <c r="N116" s="539">
        <f t="shared" ca="1" si="34"/>
        <v>10.24</v>
      </c>
      <c r="O116" s="540"/>
      <c r="P116" s="55">
        <v>0</v>
      </c>
      <c r="Q116" s="541">
        <v>0</v>
      </c>
      <c r="R116" s="541"/>
      <c r="S116" s="541">
        <v>0</v>
      </c>
      <c r="T116" s="541"/>
      <c r="U116" s="541">
        <v>0</v>
      </c>
      <c r="V116" s="541"/>
      <c r="W116" s="524">
        <f t="shared" ca="1" si="35"/>
        <v>10.24</v>
      </c>
      <c r="X116" s="525"/>
      <c r="Y116" s="55">
        <f ca="1">IF(OR(W116="",W116=0),0,IF(W116="X",MatchDay!$U$2+MatchDay!$U$2+1-COUNTIF(Distance!W104:W116,"X"),RANK(W116,$W104:$X119,0)))</f>
        <v>7</v>
      </c>
      <c r="Z116" s="19" t="str">
        <f ca="1">IFERROR(IF(Y116=0,0,IF(VLOOKUP(AG116,E104:Y111,21,FALSE)=0,"A",IF(Y116&gt;=VLOOKUP(AG116,E104:Y111,21,FALSE),"B","A"))),"")</f>
        <v>B</v>
      </c>
      <c r="AA116" s="19" t="str">
        <f ca="1">IFERROR(IF(Z116="B","",RANK(AD116,AD104:AD119,1)),"")</f>
        <v/>
      </c>
      <c r="AB116" s="19">
        <f ca="1">IFERROR(IF(Z116="A","",RANK(AE116,AE104:AE119,1)),"")</f>
        <v>2</v>
      </c>
      <c r="AD116" s="9" t="str">
        <f t="shared" ca="1" si="36"/>
        <v/>
      </c>
      <c r="AE116" s="9">
        <f t="shared" ca="1" si="37"/>
        <v>7</v>
      </c>
      <c r="AF116" s="9" t="s">
        <v>179</v>
      </c>
      <c r="AG116" s="4">
        <f>IFERROR(IF(A103=0,E116/11,LEFT(E116,1)),"")</f>
        <v>1</v>
      </c>
    </row>
    <row r="117" spans="1:33" s="4" customFormat="1" ht="15.95" customHeight="1" x14ac:dyDescent="0.35">
      <c r="A117" s="8" t="str">
        <f>IFERROR(IF(A103=0,A109*11,A109&amp;A109),"-")</f>
        <v>-</v>
      </c>
      <c r="B117" s="7" t="str">
        <f t="shared" ca="1" si="31"/>
        <v/>
      </c>
      <c r="C117" s="7" t="str">
        <f t="shared" ca="1" si="32"/>
        <v/>
      </c>
      <c r="D117" s="55">
        <v>14</v>
      </c>
      <c r="E117" s="17" t="str">
        <f t="shared" si="33"/>
        <v>-</v>
      </c>
      <c r="F117" s="18" t="str">
        <f>IFERROR(IF(A103=0,HLOOKUP(E117,Declarations!$D$2:$S$102,B101,FALSE),HLOOKUP(VLOOKUP(E117,Teams!$V$2:$W$19,2,FALSE),Declarations!$D$2:$S$102,B101,FALSE)),"")</f>
        <v/>
      </c>
      <c r="G117" s="18" t="str">
        <f t="shared" si="30"/>
        <v/>
      </c>
      <c r="H117" s="524">
        <f ca="1">IFERROR(INDIRECT(CONCATENATE("'Distance Input'!"&amp;B102&amp;C102+13)),"")</f>
        <v>0</v>
      </c>
      <c r="I117" s="525"/>
      <c r="J117" s="524">
        <v>0</v>
      </c>
      <c r="K117" s="525"/>
      <c r="L117" s="524">
        <v>0</v>
      </c>
      <c r="M117" s="525"/>
      <c r="N117" s="539">
        <f t="shared" ca="1" si="34"/>
        <v>0</v>
      </c>
      <c r="O117" s="540"/>
      <c r="P117" s="55">
        <v>0</v>
      </c>
      <c r="Q117" s="541">
        <v>0</v>
      </c>
      <c r="R117" s="541"/>
      <c r="S117" s="541">
        <v>0</v>
      </c>
      <c r="T117" s="541"/>
      <c r="U117" s="541">
        <v>0</v>
      </c>
      <c r="V117" s="541"/>
      <c r="W117" s="524">
        <f t="shared" ca="1" si="35"/>
        <v>0</v>
      </c>
      <c r="X117" s="525"/>
      <c r="Y117" s="55">
        <f ca="1">IF(OR(W117="",W117=0),0,IF(W117="X",MatchDay!$U$2+MatchDay!$U$2+1-COUNTIF(Distance!W104:W117,"X"),RANK(W117,$W104:$X119,0)))</f>
        <v>0</v>
      </c>
      <c r="Z117" s="19">
        <f ca="1">IFERROR(IF(Y117=0,0,IF(VLOOKUP(AG117,E104:Y111,21,FALSE)=0,"A",IF(Y117&gt;=VLOOKUP(AG117,E104:Y111,21,FALSE),"B","A"))),"")</f>
        <v>0</v>
      </c>
      <c r="AA117" s="19" t="str">
        <f ca="1">IFERROR(IF(Z117="B","",RANK(AD117,AD104:AD119,1)),"")</f>
        <v/>
      </c>
      <c r="AB117" s="19" t="str">
        <f ca="1">IFERROR(IF(Z117="A","",RANK(AE117,AE104:AE119,1)),"")</f>
        <v/>
      </c>
      <c r="AD117" s="9" t="str">
        <f t="shared" ca="1" si="36"/>
        <v/>
      </c>
      <c r="AE117" s="9" t="str">
        <f t="shared" ca="1" si="37"/>
        <v/>
      </c>
      <c r="AF117" s="9" t="s">
        <v>179</v>
      </c>
      <c r="AG117" s="4" t="str">
        <f>IFERROR(IF(A103=0,E117/11,LEFT(E117,1)),"")</f>
        <v/>
      </c>
    </row>
    <row r="118" spans="1:33" s="4" customFormat="1" ht="15.95" customHeight="1" x14ac:dyDescent="0.35">
      <c r="A118" s="8" t="str">
        <f>IFERROR(IF(A103=0,A110*11,A110&amp;A110),"-")</f>
        <v>-</v>
      </c>
      <c r="B118" s="7" t="str">
        <f t="shared" ca="1" si="31"/>
        <v/>
      </c>
      <c r="C118" s="7" t="str">
        <f t="shared" ca="1" si="32"/>
        <v/>
      </c>
      <c r="D118" s="55">
        <v>15</v>
      </c>
      <c r="E118" s="17" t="str">
        <f t="shared" si="33"/>
        <v>-</v>
      </c>
      <c r="F118" s="18" t="str">
        <f>IFERROR(IF(A103=0,HLOOKUP(E118,Declarations!$D$2:$S$102,B101,FALSE),HLOOKUP(VLOOKUP(E118,Teams!$V$2:$W$19,2,FALSE),Declarations!$D$2:$S$102,B101,FALSE)),"")</f>
        <v/>
      </c>
      <c r="G118" s="18" t="str">
        <f t="shared" si="30"/>
        <v/>
      </c>
      <c r="H118" s="524">
        <f ca="1">IFERROR(INDIRECT(CONCATENATE("'Distance Input'!"&amp;B102&amp;C102+14)),"")</f>
        <v>0</v>
      </c>
      <c r="I118" s="525"/>
      <c r="J118" s="524">
        <v>0</v>
      </c>
      <c r="K118" s="525"/>
      <c r="L118" s="524">
        <v>0</v>
      </c>
      <c r="M118" s="525"/>
      <c r="N118" s="539">
        <f t="shared" ca="1" si="34"/>
        <v>0</v>
      </c>
      <c r="O118" s="540"/>
      <c r="P118" s="55">
        <v>0</v>
      </c>
      <c r="Q118" s="541">
        <v>0</v>
      </c>
      <c r="R118" s="541"/>
      <c r="S118" s="541">
        <v>0</v>
      </c>
      <c r="T118" s="541"/>
      <c r="U118" s="541">
        <v>0</v>
      </c>
      <c r="V118" s="541"/>
      <c r="W118" s="524">
        <f t="shared" ca="1" si="35"/>
        <v>0</v>
      </c>
      <c r="X118" s="525"/>
      <c r="Y118" s="55">
        <f ca="1">IF(OR(W118="",W118=0),0,IF(W118="X",MatchDay!$U$2+MatchDay!$U$2+1-COUNTIF(Distance!W104:W118,"X"),RANK(W118,$W104:$X119,0)))</f>
        <v>0</v>
      </c>
      <c r="Z118" s="19">
        <f ca="1">IFERROR(IF(Y118=0,0,IF(VLOOKUP(AG118,E104:Y111,21,FALSE)=0,"A",IF(Y118&gt;=VLOOKUP(AG118,E104:Y111,21,FALSE),"B","A"))),"")</f>
        <v>0</v>
      </c>
      <c r="AA118" s="19" t="str">
        <f ca="1">IFERROR(IF(Z118="B","",RANK(AD118,AD104:AD119,1)),"")</f>
        <v/>
      </c>
      <c r="AB118" s="19" t="str">
        <f ca="1">IFERROR(IF(Z118="A","",RANK(AE118,AE104:AE119,1)),"")</f>
        <v/>
      </c>
      <c r="AD118" s="9" t="str">
        <f t="shared" ca="1" si="36"/>
        <v/>
      </c>
      <c r="AE118" s="9" t="str">
        <f t="shared" ca="1" si="37"/>
        <v/>
      </c>
      <c r="AF118" s="9" t="s">
        <v>179</v>
      </c>
      <c r="AG118" s="4" t="str">
        <f>IFERROR(IF(A103=0,E118/11,LEFT(E118,1)),"")</f>
        <v/>
      </c>
    </row>
    <row r="119" spans="1:33" s="4" customFormat="1" ht="15.95" customHeight="1" x14ac:dyDescent="0.35">
      <c r="A119" s="8" t="str">
        <f>IFERROR(IF(A103=0,A111*11,A111&amp;A111),"-")</f>
        <v>-</v>
      </c>
      <c r="B119" s="7" t="str">
        <f t="shared" ca="1" si="31"/>
        <v/>
      </c>
      <c r="C119" s="7" t="str">
        <f t="shared" ca="1" si="32"/>
        <v/>
      </c>
      <c r="D119" s="55">
        <v>16</v>
      </c>
      <c r="E119" s="17" t="str">
        <f t="shared" si="33"/>
        <v>-</v>
      </c>
      <c r="F119" s="18" t="str">
        <f>IFERROR(IF(A103=0,HLOOKUP(E119,Declarations!$D$2:$S$102,B101,FALSE),HLOOKUP(VLOOKUP(E119,Teams!$V$2:$W$19,2,FALSE),Declarations!$D$2:$S$102,B101,FALSE)),"")</f>
        <v/>
      </c>
      <c r="G119" s="18" t="str">
        <f t="shared" si="30"/>
        <v/>
      </c>
      <c r="H119" s="524">
        <f ca="1">IFERROR(INDIRECT(CONCATENATE("'Distance Input'!"&amp;B102&amp;C102+15)),"")</f>
        <v>0</v>
      </c>
      <c r="I119" s="525"/>
      <c r="J119" s="524">
        <v>0</v>
      </c>
      <c r="K119" s="525"/>
      <c r="L119" s="524">
        <v>0</v>
      </c>
      <c r="M119" s="525"/>
      <c r="N119" s="539">
        <f t="shared" ca="1" si="34"/>
        <v>0</v>
      </c>
      <c r="O119" s="540"/>
      <c r="P119" s="55">
        <v>0</v>
      </c>
      <c r="Q119" s="541">
        <v>0</v>
      </c>
      <c r="R119" s="541"/>
      <c r="S119" s="541">
        <v>0</v>
      </c>
      <c r="T119" s="541"/>
      <c r="U119" s="541">
        <v>0</v>
      </c>
      <c r="V119" s="541"/>
      <c r="W119" s="524">
        <f t="shared" ca="1" si="35"/>
        <v>0</v>
      </c>
      <c r="X119" s="525"/>
      <c r="Y119" s="55">
        <f ca="1">IF(OR(W119="",W119=0),0,IF(W119="X",MatchDay!$U$2+MatchDay!$U$2+1-COUNTIF(Distance!W104:W119,"X"),RANK(W119,$W104:$X119,0)))</f>
        <v>0</v>
      </c>
      <c r="Z119" s="19">
        <f ca="1">IFERROR(IF(Y119=0,0,IF(VLOOKUP(AG119,E104:Y111,21,FALSE)=0,"A",IF(Y119&gt;=VLOOKUP(AG119,E104:Y111,21,FALSE),"B","A"))),"")</f>
        <v>0</v>
      </c>
      <c r="AA119" s="19" t="str">
        <f ca="1">IFERROR(IF(Z119="B","",RANK(AD119,AD104:AD119,1)),"")</f>
        <v/>
      </c>
      <c r="AB119" s="19" t="str">
        <f ca="1">IFERROR(IF(Z119="A","",RANK(AE119,AE104:AE119,1)),"")</f>
        <v/>
      </c>
      <c r="AD119" s="9" t="str">
        <f t="shared" ca="1" si="36"/>
        <v/>
      </c>
      <c r="AE119" s="9" t="str">
        <f t="shared" ca="1" si="37"/>
        <v/>
      </c>
      <c r="AF119" s="9" t="s">
        <v>179</v>
      </c>
      <c r="AG119" s="4" t="str">
        <f>IFERROR(IF(A103=0,E119/11,LEFT(E119,1)),"")</f>
        <v/>
      </c>
    </row>
    <row r="120" spans="1:33" s="4" customFormat="1" ht="11.65" x14ac:dyDescent="0.45">
      <c r="A120" s="8"/>
      <c r="B120" s="10"/>
      <c r="C120" s="3"/>
      <c r="D120" s="20"/>
      <c r="E120" s="20"/>
      <c r="F120" s="21"/>
      <c r="G120" s="21"/>
      <c r="H120" s="20"/>
      <c r="I120" s="20"/>
      <c r="J120" s="20"/>
      <c r="K120" s="20"/>
      <c r="L120" s="20"/>
      <c r="M120" s="20"/>
      <c r="N120" s="20"/>
      <c r="O120" s="20"/>
      <c r="P120" s="20"/>
      <c r="Q120" s="20"/>
      <c r="R120" s="20"/>
      <c r="S120" s="20"/>
      <c r="T120" s="20"/>
      <c r="U120" s="20"/>
      <c r="V120" s="20"/>
      <c r="W120" s="20"/>
      <c r="X120" s="20"/>
      <c r="Y120" s="20"/>
      <c r="Z120" s="20"/>
      <c r="AA120" s="20"/>
      <c r="AB120" s="22"/>
    </row>
    <row r="121" spans="1:33" s="4" customFormat="1" ht="11.65" x14ac:dyDescent="0.45">
      <c r="A121" s="8"/>
      <c r="B121" s="10"/>
      <c r="C121" s="3"/>
      <c r="D121" s="533" t="s">
        <v>180</v>
      </c>
      <c r="E121" s="547"/>
      <c r="F121" s="547"/>
      <c r="G121" s="547"/>
      <c r="H121" s="547"/>
      <c r="I121" s="547"/>
      <c r="J121" s="512" t="s">
        <v>181</v>
      </c>
      <c r="K121" s="548"/>
      <c r="L121" s="548"/>
      <c r="M121" s="548"/>
      <c r="N121" s="548"/>
      <c r="O121" s="548"/>
      <c r="P121" s="548"/>
      <c r="Q121" s="548"/>
      <c r="R121" s="548"/>
      <c r="S121" s="548"/>
      <c r="T121" s="548"/>
      <c r="U121" s="549"/>
      <c r="V121" s="512" t="s">
        <v>182</v>
      </c>
      <c r="W121" s="513"/>
      <c r="X121" s="513"/>
      <c r="Y121" s="513"/>
      <c r="Z121" s="513"/>
      <c r="AA121" s="513"/>
      <c r="AB121" s="514"/>
    </row>
    <row r="122" spans="1:33" s="4" customFormat="1" ht="11.65" x14ac:dyDescent="0.45">
      <c r="A122" s="8" t="s">
        <v>55</v>
      </c>
      <c r="B122" s="10"/>
      <c r="C122" s="3"/>
      <c r="D122" s="12"/>
      <c r="E122" s="55" t="s">
        <v>183</v>
      </c>
      <c r="F122" s="55" t="s">
        <v>165</v>
      </c>
      <c r="G122" s="55" t="s">
        <v>166</v>
      </c>
      <c r="H122" s="533" t="s">
        <v>184</v>
      </c>
      <c r="I122" s="533"/>
      <c r="J122" s="23"/>
      <c r="K122" s="54" t="s">
        <v>183</v>
      </c>
      <c r="L122" s="512" t="s">
        <v>165</v>
      </c>
      <c r="M122" s="513"/>
      <c r="N122" s="513"/>
      <c r="O122" s="514"/>
      <c r="P122" s="512" t="s">
        <v>166</v>
      </c>
      <c r="Q122" s="513"/>
      <c r="R122" s="513"/>
      <c r="S122" s="514"/>
      <c r="T122" s="512" t="s">
        <v>184</v>
      </c>
      <c r="U122" s="514"/>
      <c r="V122" s="24"/>
      <c r="W122" s="25"/>
      <c r="X122" s="25"/>
      <c r="Y122" s="25"/>
      <c r="Z122" s="25"/>
      <c r="AA122" s="25"/>
      <c r="AB122" s="26"/>
    </row>
    <row r="123" spans="1:33" s="4" customFormat="1" ht="15.95" customHeight="1" x14ac:dyDescent="0.45">
      <c r="A123" s="11">
        <f>IFERROR(VLOOKUP(A100,standards,3,FALSE),"-")</f>
        <v>35.200000000000003</v>
      </c>
      <c r="B123" s="10">
        <v>1</v>
      </c>
      <c r="C123" s="3"/>
      <c r="D123" s="55">
        <v>1</v>
      </c>
      <c r="E123" s="19">
        <f ca="1">IFERROR(IF(OR(H104=98,H104=99),H104,VLOOKUP(B123,B104:E119,4,FALSE)),0)</f>
        <v>5</v>
      </c>
      <c r="F123" s="27" t="str">
        <f ca="1">IFERROR(VLOOKUP(E123,$E104:$F119,2,FALSE),"")</f>
        <v>COOK Edwin</v>
      </c>
      <c r="G123" s="18" t="str">
        <f t="shared" ref="G123:G130" ca="1" si="38">IFERROR(VLOOKUP(E123,teamlookup,5,FALSE),"-")</f>
        <v>Scun</v>
      </c>
      <c r="H123" s="542">
        <f ca="1">IFERROR(VLOOKUP(E123,E104:X119,19,FALSE),"")</f>
        <v>18.54</v>
      </c>
      <c r="I123" s="543"/>
      <c r="J123" s="55">
        <v>1</v>
      </c>
      <c r="K123" s="55">
        <f ca="1">IFERROR(VLOOKUP(B123,C104:X119,3,FALSE),"")</f>
        <v>3</v>
      </c>
      <c r="L123" s="544" t="str">
        <f ca="1">IFERROR(VLOOKUP(K123,$E104:$F119,2,FALSE),"")</f>
        <v>RHODES Ashton</v>
      </c>
      <c r="M123" s="545"/>
      <c r="N123" s="545"/>
      <c r="O123" s="546"/>
      <c r="P123" s="544" t="str">
        <f t="shared" ref="P123:P130" ca="1" si="39">IFERROR(VLOOKUP(K123,teamlookup,5,FALSE),"-")</f>
        <v>York</v>
      </c>
      <c r="Q123" s="545"/>
      <c r="R123" s="545"/>
      <c r="S123" s="546"/>
      <c r="T123" s="524">
        <f ca="1">IFERROR(VLOOKUP(K123,E104:X119,19,FALSE),"")</f>
        <v>15.79</v>
      </c>
      <c r="U123" s="525"/>
      <c r="V123" s="28"/>
      <c r="W123" s="29"/>
      <c r="X123" s="29"/>
      <c r="Y123" s="29"/>
      <c r="Z123" s="29"/>
      <c r="AA123" s="29"/>
      <c r="AB123" s="30"/>
    </row>
    <row r="124" spans="1:33" s="4" customFormat="1" ht="15.95" customHeight="1" x14ac:dyDescent="0.45">
      <c r="A124" s="11">
        <f>IFERROR(VLOOKUP(A100,standards,4,FALSE),"-")</f>
        <v>32.299999999999997</v>
      </c>
      <c r="B124" s="10">
        <v>2</v>
      </c>
      <c r="C124" s="3"/>
      <c r="D124" s="55">
        <v>2</v>
      </c>
      <c r="E124" s="19">
        <f ca="1">IFERROR(VLOOKUP(B124,B104:E119,4,FALSE),"")</f>
        <v>1</v>
      </c>
      <c r="F124" s="27" t="str">
        <f ca="1">IFERROR(VLOOKUP(E124,$E104:$F119,2,FALSE),"")</f>
        <v>COOPER Malachi</v>
      </c>
      <c r="G124" s="18" t="str">
        <f t="shared" ca="1" si="38"/>
        <v>C'field</v>
      </c>
      <c r="H124" s="542">
        <f ca="1">IFERROR(VLOOKUP(E124,E104:X119,19,FALSE),"")</f>
        <v>16.04</v>
      </c>
      <c r="I124" s="543"/>
      <c r="J124" s="55">
        <v>2</v>
      </c>
      <c r="K124" s="55">
        <f ca="1">IFERROR(VLOOKUP(B124,C104:X119,3,FALSE),"")</f>
        <v>11</v>
      </c>
      <c r="L124" s="544" t="str">
        <f ca="1">IFERROR(VLOOKUP(K124,$E104:$F119,2,FALSE),"")</f>
        <v>PEERS-WAIN Jacob</v>
      </c>
      <c r="M124" s="545"/>
      <c r="N124" s="545"/>
      <c r="O124" s="546"/>
      <c r="P124" s="544" t="str">
        <f t="shared" ca="1" si="39"/>
        <v>C'field</v>
      </c>
      <c r="Q124" s="545"/>
      <c r="R124" s="545"/>
      <c r="S124" s="546"/>
      <c r="T124" s="524">
        <f ca="1">IFERROR(VLOOKUP(K124,E104:X119,19,FALSE),"")</f>
        <v>10.24</v>
      </c>
      <c r="U124" s="525"/>
      <c r="V124" s="24"/>
      <c r="W124" s="25"/>
      <c r="X124" s="25"/>
      <c r="Y124" s="25"/>
      <c r="Z124" s="25"/>
      <c r="AA124" s="25"/>
      <c r="AB124" s="26"/>
    </row>
    <row r="125" spans="1:33" s="4" customFormat="1" ht="15.95" customHeight="1" x14ac:dyDescent="0.45">
      <c r="A125" s="11">
        <f>IFERROR(VLOOKUP(A100,standards,5,FALSE),"-")</f>
        <v>28.95</v>
      </c>
      <c r="B125" s="10">
        <v>3</v>
      </c>
      <c r="C125" s="3"/>
      <c r="D125" s="55">
        <v>3</v>
      </c>
      <c r="E125" s="19">
        <f ca="1">IFERROR(VLOOKUP(B125,B104:E119,4,FALSE),"")</f>
        <v>33</v>
      </c>
      <c r="F125" s="27" t="str">
        <f ca="1">IFERROR(VLOOKUP(E125,$E104:$F119,2,FALSE),"")</f>
        <v>BROOKS Rory</v>
      </c>
      <c r="G125" s="18" t="str">
        <f t="shared" ca="1" si="38"/>
        <v>York</v>
      </c>
      <c r="H125" s="542">
        <f ca="1">IFERROR(VLOOKUP(E125,E104:X119,19,FALSE),"")</f>
        <v>15.91</v>
      </c>
      <c r="I125" s="543"/>
      <c r="J125" s="55">
        <v>3</v>
      </c>
      <c r="K125" s="55">
        <f ca="1">IFERROR(VLOOKUP(B125,C104:X119,3,FALSE),"")</f>
        <v>22</v>
      </c>
      <c r="L125" s="544" t="str">
        <f ca="1">IFERROR(VLOOKUP(K125,$E104:$F119,2,FALSE),"")</f>
        <v>KRIEL PARR George</v>
      </c>
      <c r="M125" s="545"/>
      <c r="N125" s="545"/>
      <c r="O125" s="546"/>
      <c r="P125" s="544" t="str">
        <f t="shared" ca="1" si="39"/>
        <v>Sheff+D</v>
      </c>
      <c r="Q125" s="545"/>
      <c r="R125" s="545"/>
      <c r="S125" s="546"/>
      <c r="T125" s="524">
        <f ca="1">IFERROR(VLOOKUP(K125,E104:X119,19,FALSE),"")</f>
        <v>9.89</v>
      </c>
      <c r="U125" s="525"/>
      <c r="V125" s="28"/>
      <c r="W125" s="29"/>
      <c r="X125" s="29"/>
      <c r="Y125" s="29"/>
      <c r="Z125" s="29"/>
      <c r="AA125" s="29"/>
      <c r="AB125" s="30"/>
    </row>
    <row r="126" spans="1:33" s="4" customFormat="1" ht="15.95" customHeight="1" x14ac:dyDescent="0.45">
      <c r="A126" s="11">
        <f>IFERROR(VLOOKUP(A100,AAA!A:F,6,FALSE),"-")</f>
        <v>25.5</v>
      </c>
      <c r="B126" s="10">
        <v>4</v>
      </c>
      <c r="C126" s="3"/>
      <c r="D126" s="55">
        <v>4</v>
      </c>
      <c r="E126" s="19">
        <f ca="1">IFERROR(VLOOKUP(B126,B104:E119,4,FALSE),"")</f>
        <v>2</v>
      </c>
      <c r="F126" s="27" t="str">
        <f ca="1">IFERROR(VLOOKUP(E126,$E104:$F119,2,FALSE),"")</f>
        <v>WAINWRIGHT James</v>
      </c>
      <c r="G126" s="18" t="str">
        <f t="shared" ca="1" si="38"/>
        <v>Sheff+D</v>
      </c>
      <c r="H126" s="542">
        <f ca="1">IFERROR(VLOOKUP(E126,E104:X119,19,FALSE),"")</f>
        <v>10.8</v>
      </c>
      <c r="I126" s="543"/>
      <c r="J126" s="55">
        <v>4</v>
      </c>
      <c r="K126" s="55" t="str">
        <f ca="1">IFERROR(VLOOKUP(B126,C104:X119,3,FALSE),"")</f>
        <v/>
      </c>
      <c r="L126" s="544" t="str">
        <f ca="1">IFERROR(VLOOKUP(K126,$E104:$F119,2,FALSE),"")</f>
        <v/>
      </c>
      <c r="M126" s="545"/>
      <c r="N126" s="545"/>
      <c r="O126" s="546"/>
      <c r="P126" s="544" t="str">
        <f t="shared" ca="1" si="39"/>
        <v>-</v>
      </c>
      <c r="Q126" s="545"/>
      <c r="R126" s="545"/>
      <c r="S126" s="546"/>
      <c r="T126" s="524" t="str">
        <f ca="1">IFERROR(VLOOKUP(K126,E104:X119,19,FALSE),"")</f>
        <v/>
      </c>
      <c r="U126" s="525"/>
      <c r="V126" s="24"/>
      <c r="W126" s="25"/>
      <c r="X126" s="25"/>
      <c r="Y126" s="25"/>
      <c r="Z126" s="25"/>
      <c r="AA126" s="25"/>
      <c r="AB126" s="26"/>
    </row>
    <row r="127" spans="1:33" s="4" customFormat="1" ht="15.95" customHeight="1" x14ac:dyDescent="0.45">
      <c r="A127" s="8"/>
      <c r="B127" s="10">
        <v>5</v>
      </c>
      <c r="C127" s="3"/>
      <c r="D127" s="55">
        <v>5</v>
      </c>
      <c r="E127" s="19">
        <f ca="1">IFERROR(VLOOKUP(B127,B104:E119,4,FALSE),"")</f>
        <v>4</v>
      </c>
      <c r="F127" s="27" t="str">
        <f ca="1">IFERROR(VLOOKUP(E127,$E104:$F119,2,FALSE),"")</f>
        <v>BELL Callum</v>
      </c>
      <c r="G127" s="18" t="str">
        <f t="shared" ca="1" si="38"/>
        <v>M'bro</v>
      </c>
      <c r="H127" s="542">
        <f ca="1">IFERROR(VLOOKUP(E127,E104:X119,19,FALSE),"")</f>
        <v>10.47</v>
      </c>
      <c r="I127" s="543"/>
      <c r="J127" s="55">
        <v>5</v>
      </c>
      <c r="K127" s="55" t="str">
        <f ca="1">IFERROR(VLOOKUP(B127,C104:X119,3,FALSE),"")</f>
        <v/>
      </c>
      <c r="L127" s="544" t="str">
        <f ca="1">IFERROR(VLOOKUP(K127,$E104:$F119,2,FALSE),"")</f>
        <v/>
      </c>
      <c r="M127" s="545"/>
      <c r="N127" s="545"/>
      <c r="O127" s="546"/>
      <c r="P127" s="544" t="str">
        <f t="shared" ca="1" si="39"/>
        <v>-</v>
      </c>
      <c r="Q127" s="545"/>
      <c r="R127" s="545"/>
      <c r="S127" s="546"/>
      <c r="T127" s="524" t="str">
        <f ca="1">IFERROR(VLOOKUP(K127,E104:X119,19,FALSE),"")</f>
        <v/>
      </c>
      <c r="U127" s="525"/>
      <c r="V127" s="28"/>
      <c r="W127" s="29"/>
      <c r="X127" s="29"/>
      <c r="Y127" s="29"/>
      <c r="Z127" s="29"/>
      <c r="AA127" s="29"/>
      <c r="AB127" s="30"/>
    </row>
    <row r="128" spans="1:33" s="4" customFormat="1" ht="15.95" customHeight="1" x14ac:dyDescent="0.45">
      <c r="A128" s="8" t="s">
        <v>204</v>
      </c>
      <c r="B128" s="10">
        <v>6</v>
      </c>
      <c r="C128" s="3"/>
      <c r="D128" s="55">
        <v>6</v>
      </c>
      <c r="E128" s="19" t="str">
        <f ca="1">IFERROR(VLOOKUP(B128,B104:E119,4,FALSE),"")</f>
        <v/>
      </c>
      <c r="F128" s="27" t="str">
        <f ca="1">IFERROR(VLOOKUP(E128,$E104:$F119,2,FALSE),"")</f>
        <v/>
      </c>
      <c r="G128" s="18" t="str">
        <f t="shared" ca="1" si="38"/>
        <v>-</v>
      </c>
      <c r="H128" s="542" t="str">
        <f ca="1">IFERROR(VLOOKUP(E128,E104:X119,19,FALSE),"")</f>
        <v/>
      </c>
      <c r="I128" s="543"/>
      <c r="J128" s="55">
        <v>6</v>
      </c>
      <c r="K128" s="55" t="str">
        <f ca="1">IFERROR(VLOOKUP(B128,C104:X119,3,FALSE),"")</f>
        <v/>
      </c>
      <c r="L128" s="544" t="str">
        <f ca="1">IFERROR(VLOOKUP(K128,$E104:$F119,2,FALSE),"")</f>
        <v/>
      </c>
      <c r="M128" s="545"/>
      <c r="N128" s="545"/>
      <c r="O128" s="546"/>
      <c r="P128" s="544" t="str">
        <f t="shared" ca="1" si="39"/>
        <v>-</v>
      </c>
      <c r="Q128" s="545"/>
      <c r="R128" s="545"/>
      <c r="S128" s="546"/>
      <c r="T128" s="524" t="str">
        <f ca="1">IFERROR(VLOOKUP(K128,E104:X119,19,FALSE),"")</f>
        <v/>
      </c>
      <c r="U128" s="525"/>
      <c r="V128" s="512" t="s">
        <v>185</v>
      </c>
      <c r="W128" s="513"/>
      <c r="X128" s="513"/>
      <c r="Y128" s="513"/>
      <c r="Z128" s="513"/>
      <c r="AA128" s="513"/>
      <c r="AB128" s="514"/>
    </row>
    <row r="129" spans="1:33" s="4" customFormat="1" ht="15.95" customHeight="1" x14ac:dyDescent="0.45">
      <c r="A129" s="8">
        <f>IFERROR(VLOOKUP(A100,records,5,FALSE),"")</f>
        <v>49.53</v>
      </c>
      <c r="B129" s="10">
        <v>7</v>
      </c>
      <c r="C129" s="3"/>
      <c r="D129" s="55">
        <v>7</v>
      </c>
      <c r="E129" s="19" t="str">
        <f ca="1">IFERROR(VLOOKUP(B129,B104:E119,4,FALSE),"")</f>
        <v/>
      </c>
      <c r="F129" s="27" t="str">
        <f ca="1">IFERROR(VLOOKUP(E129,$E104:$F119,2,FALSE),"")</f>
        <v/>
      </c>
      <c r="G129" s="18" t="str">
        <f t="shared" ca="1" si="38"/>
        <v>-</v>
      </c>
      <c r="H129" s="542" t="str">
        <f ca="1">IFERROR(VLOOKUP(E129,E104:X119,19,FALSE),"")</f>
        <v/>
      </c>
      <c r="I129" s="543"/>
      <c r="J129" s="55">
        <v>7</v>
      </c>
      <c r="K129" s="55" t="str">
        <f ca="1">IFERROR(VLOOKUP(B129,C104:X119,3,FALSE),"")</f>
        <v/>
      </c>
      <c r="L129" s="544" t="str">
        <f ca="1">IFERROR(VLOOKUP(K129,$E104:$F119,2,FALSE),"")</f>
        <v/>
      </c>
      <c r="M129" s="545"/>
      <c r="N129" s="545"/>
      <c r="O129" s="546"/>
      <c r="P129" s="544" t="str">
        <f t="shared" ca="1" si="39"/>
        <v>-</v>
      </c>
      <c r="Q129" s="545"/>
      <c r="R129" s="545"/>
      <c r="S129" s="546"/>
      <c r="T129" s="524" t="str">
        <f ca="1">IFERROR(VLOOKUP(K129,E104:X119,19,FALSE),"")</f>
        <v/>
      </c>
      <c r="U129" s="525"/>
      <c r="V129" s="24"/>
      <c r="W129" s="25"/>
      <c r="X129" s="25"/>
      <c r="Y129" s="25"/>
      <c r="Z129" s="25"/>
      <c r="AA129" s="25"/>
      <c r="AB129" s="26"/>
    </row>
    <row r="130" spans="1:33" s="4" customFormat="1" ht="15.95" customHeight="1" x14ac:dyDescent="0.45">
      <c r="A130" s="8"/>
      <c r="B130" s="10">
        <v>8</v>
      </c>
      <c r="C130" s="3"/>
      <c r="D130" s="55">
        <v>8</v>
      </c>
      <c r="E130" s="19" t="str">
        <f ca="1">IFERROR(VLOOKUP(B130,B104:E119,4,FALSE),"")</f>
        <v/>
      </c>
      <c r="F130" s="27" t="str">
        <f ca="1">IFERROR(VLOOKUP(E130,$E104:$F119,2,FALSE),"")</f>
        <v/>
      </c>
      <c r="G130" s="18" t="str">
        <f t="shared" ca="1" si="38"/>
        <v>-</v>
      </c>
      <c r="H130" s="542" t="str">
        <f ca="1">IFERROR(VLOOKUP(E130,E104:X119,19,FALSE),"")</f>
        <v/>
      </c>
      <c r="I130" s="543"/>
      <c r="J130" s="55">
        <v>8</v>
      </c>
      <c r="K130" s="55" t="str">
        <f ca="1">IFERROR(VLOOKUP(B130,C104:X119,3,FALSE),"")</f>
        <v/>
      </c>
      <c r="L130" s="544" t="str">
        <f ca="1">IFERROR(VLOOKUP(K130,$E104:$F119,2,FALSE),"")</f>
        <v/>
      </c>
      <c r="M130" s="545"/>
      <c r="N130" s="545"/>
      <c r="O130" s="546"/>
      <c r="P130" s="544" t="str">
        <f t="shared" ca="1" si="39"/>
        <v>-</v>
      </c>
      <c r="Q130" s="545"/>
      <c r="R130" s="545"/>
      <c r="S130" s="546"/>
      <c r="T130" s="524" t="str">
        <f ca="1">IFERROR(VLOOKUP(K130,E104:X119,19,FALSE),"")</f>
        <v/>
      </c>
      <c r="U130" s="525"/>
      <c r="V130" s="28"/>
      <c r="W130" s="29"/>
      <c r="X130" s="29"/>
      <c r="Y130" s="29"/>
      <c r="Z130" s="29"/>
      <c r="AA130" s="29"/>
      <c r="AB130" s="30"/>
    </row>
    <row r="131" spans="1:33" s="4" customFormat="1" ht="21" x14ac:dyDescent="0.45">
      <c r="A131" s="2" t="str">
        <f>MatchDay!$U$6</f>
        <v>X</v>
      </c>
      <c r="B131" s="8"/>
      <c r="C131" s="3"/>
      <c r="D131" s="502" t="s">
        <v>186</v>
      </c>
      <c r="E131" s="503"/>
      <c r="F131" s="503"/>
      <c r="G131" s="503"/>
      <c r="H131" s="503"/>
      <c r="I131" s="503"/>
      <c r="J131" s="503"/>
      <c r="K131" s="515" t="s">
        <v>187</v>
      </c>
      <c r="L131" s="516"/>
      <c r="M131" s="516"/>
      <c r="N131" s="516"/>
      <c r="O131" s="518" t="str">
        <f>MatchDay!$C$2&amp;" "&amp;MatchDay!$C$3&amp;" "&amp;MatchDay!$C$4</f>
        <v>LOWER NORTH East 1</v>
      </c>
      <c r="P131" s="519"/>
      <c r="Q131" s="519"/>
      <c r="R131" s="519"/>
      <c r="S131" s="519"/>
      <c r="T131" s="519"/>
      <c r="U131" s="519"/>
      <c r="V131" s="519"/>
      <c r="W131" s="519"/>
      <c r="X131" s="519"/>
      <c r="Y131" s="519"/>
      <c r="Z131" s="519"/>
      <c r="AA131" s="519"/>
      <c r="AB131" s="520"/>
    </row>
    <row r="132" spans="1:33" s="4" customFormat="1" ht="15.75" customHeight="1" x14ac:dyDescent="0.45">
      <c r="A132" s="1" t="str">
        <f>IFERROR(IF(LEFT(MatchDay!$C$2,1)="L","L"&amp;A134,"U"&amp;A134),"")</f>
        <v>LFD05</v>
      </c>
      <c r="B132" s="10">
        <v>155</v>
      </c>
      <c r="C132" s="3"/>
      <c r="D132" s="512" t="s">
        <v>188</v>
      </c>
      <c r="E132" s="514"/>
      <c r="F132" s="513" t="str">
        <f>IFERROR(UPPER(VLOOKUP(A133,teamlookup,6,FALSE)),"")</f>
        <v/>
      </c>
      <c r="G132" s="514"/>
      <c r="H132" s="504" t="s">
        <v>201</v>
      </c>
      <c r="I132" s="510"/>
      <c r="J132" s="505"/>
      <c r="K132" s="512" t="str">
        <f>MatchDay!$C$8</f>
        <v>@ Doncaster</v>
      </c>
      <c r="L132" s="513"/>
      <c r="M132" s="513"/>
      <c r="N132" s="513"/>
      <c r="O132" s="513"/>
      <c r="P132" s="514"/>
      <c r="Q132" s="504" t="s">
        <v>160</v>
      </c>
      <c r="R132" s="505"/>
      <c r="S132" s="521">
        <f>MatchDay!$C$7</f>
        <v>43582</v>
      </c>
      <c r="T132" s="522"/>
      <c r="U132" s="522"/>
      <c r="V132" s="522"/>
      <c r="W132" s="522"/>
      <c r="X132" s="523"/>
      <c r="Y132" s="526" t="str">
        <f>IFERROR(IF(LEFT(A132,1)="L","",VLOOKUP(A132,AAA!$A:$I,8,FALSE)),"")</f>
        <v/>
      </c>
      <c r="Z132" s="527"/>
      <c r="AA132" s="524" t="str">
        <f>IFERROR(IF(LEFT(A132,1)="L","",VLOOKUP(A132,standards,9,FALSE)),"")</f>
        <v/>
      </c>
      <c r="AB132" s="525"/>
      <c r="AC132" s="6"/>
      <c r="AD132" s="6"/>
    </row>
    <row r="133" spans="1:33" s="4" customFormat="1" ht="15.75" customHeight="1" x14ac:dyDescent="0.45">
      <c r="A133" s="5">
        <f>IFERROR(IF(A131=1,VLOOKUP(A132,judges,VLOOKUP(MatchDay!$U$2*10+MatchDay!$C$5,judgesp,5,FALSE),FALSE),VLOOKUP(Distance!A132,judges,VLOOKUP(MatchDay!$U$2*10+MatchDay!$C$5,judges2,5,FALSE),FALSE)),"")</f>
        <v>0</v>
      </c>
      <c r="B133" s="181">
        <f>IFERROR(VLOOKUP(A132,Timetables!$A:$E,5,FALSE)-1,"")</f>
        <v>14</v>
      </c>
      <c r="C133" s="3"/>
      <c r="D133" s="504" t="s">
        <v>161</v>
      </c>
      <c r="E133" s="505"/>
      <c r="F133" s="508" t="str">
        <f>IFERROR(VLOOKUP(A132,timetables,2,FALSE)&amp;" "&amp;VLOOKUP(A132,timetables,3,FALSE),"")</f>
        <v>Discus U15 Girls</v>
      </c>
      <c r="G133" s="509"/>
      <c r="H133" s="504" t="s">
        <v>162</v>
      </c>
      <c r="I133" s="510"/>
      <c r="J133" s="505"/>
      <c r="K133" s="511">
        <f>IFERROR(IF(A131=1,VLOOKUP(A132,Timetables!$A:$G,6,FALSE),VLOOKUP(A132,Timetables!$A:$G,7,FALSE)),"")</f>
        <v>0.54861111111111105</v>
      </c>
      <c r="L133" s="511" t="e">
        <v>#N/A</v>
      </c>
      <c r="M133" s="504" t="s">
        <v>202</v>
      </c>
      <c r="N133" s="505"/>
      <c r="O133" s="506" t="str">
        <f>IFERROR(VLOOKUP(A132,records,3,FALSE)&amp;", "&amp;VLOOKUP(A132,records,4,FALSE)&amp;", "&amp;VLOOKUP(A132,records,5,FALSE)&amp;", "&amp;VLOOKUP(A132,records,6,FALSE)&amp;", "&amp;VLOOKUP(A132,records,7,FALSE)&amp;" "&amp;VLOOKUP(A132,records,8,FALSE),"")</f>
        <v>Sophie Mace, Walton AC, 39.94, Sutton, May 4th 2013</v>
      </c>
      <c r="P133" s="506"/>
      <c r="Q133" s="506"/>
      <c r="R133" s="506"/>
      <c r="S133" s="506"/>
      <c r="T133" s="506"/>
      <c r="U133" s="506"/>
      <c r="V133" s="506"/>
      <c r="W133" s="506"/>
      <c r="X133" s="506"/>
      <c r="Y133" s="506"/>
      <c r="Z133" s="506"/>
      <c r="AA133" s="506"/>
      <c r="AB133" s="507"/>
    </row>
    <row r="134" spans="1:33" s="4" customFormat="1" ht="32.1" customHeight="1" x14ac:dyDescent="0.45">
      <c r="A134" s="5" t="s">
        <v>261</v>
      </c>
      <c r="B134" s="10" t="str">
        <f>IFERROR(VLOOKUP($A134,fdistance,2,FALSE),"")</f>
        <v>F</v>
      </c>
      <c r="C134" s="10">
        <f>IFERROR(VLOOKUP($A134,fdistance,3,FALSE),"")</f>
        <v>42</v>
      </c>
      <c r="D134" s="31" t="s">
        <v>163</v>
      </c>
      <c r="E134" s="13" t="s">
        <v>164</v>
      </c>
      <c r="F134" s="13" t="s">
        <v>165</v>
      </c>
      <c r="G134" s="14" t="s">
        <v>166</v>
      </c>
      <c r="H134" s="532" t="s">
        <v>167</v>
      </c>
      <c r="I134" s="534"/>
      <c r="J134" s="534" t="s">
        <v>168</v>
      </c>
      <c r="K134" s="534"/>
      <c r="L134" s="534" t="s">
        <v>169</v>
      </c>
      <c r="M134" s="534"/>
      <c r="N134" s="534" t="s">
        <v>170</v>
      </c>
      <c r="O134" s="534"/>
      <c r="P134" s="535" t="s">
        <v>171</v>
      </c>
      <c r="Q134" s="534" t="s">
        <v>172</v>
      </c>
      <c r="R134" s="534"/>
      <c r="S134" s="534" t="s">
        <v>173</v>
      </c>
      <c r="T134" s="534"/>
      <c r="U134" s="534" t="s">
        <v>174</v>
      </c>
      <c r="V134" s="534"/>
      <c r="W134" s="537" t="s">
        <v>175</v>
      </c>
      <c r="X134" s="538"/>
      <c r="Y134" s="528" t="s">
        <v>176</v>
      </c>
      <c r="Z134" s="530" t="s">
        <v>177</v>
      </c>
      <c r="AA134" s="531"/>
      <c r="AB134" s="532"/>
    </row>
    <row r="135" spans="1:33" s="4" customFormat="1" ht="11.65" x14ac:dyDescent="0.35">
      <c r="A135" s="137">
        <f>IFERROR(SEARCH("U17",F133),0)</f>
        <v>0</v>
      </c>
      <c r="B135" s="7" t="s">
        <v>53</v>
      </c>
      <c r="C135" s="7" t="s">
        <v>54</v>
      </c>
      <c r="D135" s="56"/>
      <c r="E135" s="56"/>
      <c r="F135" s="15"/>
      <c r="G135" s="16"/>
      <c r="H135" s="514" t="s">
        <v>178</v>
      </c>
      <c r="I135" s="533"/>
      <c r="J135" s="533" t="s">
        <v>178</v>
      </c>
      <c r="K135" s="533"/>
      <c r="L135" s="533" t="s">
        <v>178</v>
      </c>
      <c r="M135" s="533"/>
      <c r="N135" s="533" t="s">
        <v>178</v>
      </c>
      <c r="O135" s="533"/>
      <c r="P135" s="536"/>
      <c r="Q135" s="533" t="s">
        <v>178</v>
      </c>
      <c r="R135" s="533"/>
      <c r="S135" s="533" t="s">
        <v>178</v>
      </c>
      <c r="T135" s="533"/>
      <c r="U135" s="533" t="s">
        <v>178</v>
      </c>
      <c r="V135" s="533"/>
      <c r="W135" s="533" t="s">
        <v>178</v>
      </c>
      <c r="X135" s="512"/>
      <c r="Y135" s="529"/>
      <c r="Z135" s="55"/>
      <c r="AA135" s="55" t="s">
        <v>53</v>
      </c>
      <c r="AB135" s="55" t="s">
        <v>54</v>
      </c>
    </row>
    <row r="136" spans="1:33" s="4" customFormat="1" ht="15.95" customHeight="1" x14ac:dyDescent="0.35">
      <c r="A136" s="8">
        <f>IFERROR(IF(D136&gt;MatchDay!$U$2,"-",VLOOKUP(A132,timetables,MatchDay!$U$4,FALSE)),0)</f>
        <v>3</v>
      </c>
      <c r="B136" s="7">
        <f ca="1">AA136</f>
        <v>2</v>
      </c>
      <c r="C136" s="7" t="str">
        <f ca="1">AB136</f>
        <v/>
      </c>
      <c r="D136" s="56">
        <v>1</v>
      </c>
      <c r="E136" s="17">
        <f>A136</f>
        <v>3</v>
      </c>
      <c r="F136" s="18" t="str">
        <f ca="1">IFERROR(IF(A135=0,HLOOKUP(E136,Declarations!$D$2:$S$102,B133,FALSE),HLOOKUP(VLOOKUP(E136,Teams!$V$2:$W$19,2,FALSE),Declarations!$D$2:$S$102,B133,FALSE)),"")</f>
        <v>BROOKS Carmen</v>
      </c>
      <c r="G136" s="18" t="str">
        <f t="shared" ref="G136:G151" si="40">IFERROR(VLOOKUP(E136,teamlookup,5,FALSE),"-")</f>
        <v>York</v>
      </c>
      <c r="H136" s="524">
        <f ca="1">IFERROR(INDIRECT(CONCATENATE("'Distance Input'!"&amp;B134&amp;C134)),"")</f>
        <v>20.52</v>
      </c>
      <c r="I136" s="525"/>
      <c r="J136" s="524">
        <v>0</v>
      </c>
      <c r="K136" s="525"/>
      <c r="L136" s="524">
        <v>0</v>
      </c>
      <c r="M136" s="525"/>
      <c r="N136" s="539">
        <f ca="1">H136</f>
        <v>20.52</v>
      </c>
      <c r="O136" s="540"/>
      <c r="P136" s="55">
        <v>0</v>
      </c>
      <c r="Q136" s="541">
        <v>0</v>
      </c>
      <c r="R136" s="541"/>
      <c r="S136" s="541">
        <v>0</v>
      </c>
      <c r="T136" s="541"/>
      <c r="U136" s="541">
        <v>0</v>
      </c>
      <c r="V136" s="541"/>
      <c r="W136" s="524">
        <f ca="1">N136</f>
        <v>20.52</v>
      </c>
      <c r="X136" s="525"/>
      <c r="Y136" s="55">
        <f ca="1">IF(OR(W136="",W136=0),0,IF(W136="X",MatchDay!$U$2+MatchDay!$U$2+1-COUNTIF(Distance!W136:W136,"X"),RANK(W136,$W136:$X151,0)))</f>
        <v>2</v>
      </c>
      <c r="Z136" s="19" t="str">
        <f ca="1">IFERROR(IF(Y136=0,0,IF(OR(VLOOKUP(AG136,E144:Y151,21,FALSE)=0,Y136&lt;=VLOOKUP(AG136,E144:Y151,21,FALSE)),"A","B")),"")</f>
        <v>A</v>
      </c>
      <c r="AA136" s="19">
        <f ca="1">IFERROR(IF(Z136="B","",RANK(AD136,AD136:AD151,1)),"")</f>
        <v>2</v>
      </c>
      <c r="AB136" s="19" t="str">
        <f ca="1">IFERROR(IF(Z136="A","",RANK(AE136,AE136:AE151,1)),"")</f>
        <v/>
      </c>
      <c r="AC136" s="8"/>
      <c r="AD136" s="9">
        <f ca="1">IF(OR(W136=0,Y136=0,Z136="B"),"",Y136)</f>
        <v>2</v>
      </c>
      <c r="AE136" s="9" t="str">
        <f ca="1">IF(OR(W136=0,Y136=0,Z136="A"),"",Y136)</f>
        <v/>
      </c>
      <c r="AF136" s="9" t="s">
        <v>179</v>
      </c>
      <c r="AG136" s="4">
        <f>IFERROR(IF(A135=0,E136*11,E136&amp;E136),"")</f>
        <v>33</v>
      </c>
    </row>
    <row r="137" spans="1:33" s="4" customFormat="1" ht="15.95" customHeight="1" x14ac:dyDescent="0.35">
      <c r="A137" s="8">
        <f>IFERROR(IF(D137&gt;MatchDay!$U$2,"-",VLOOKUP(A132,timetables,MatchDay!$U$4+1,FALSE)),0)</f>
        <v>5</v>
      </c>
      <c r="B137" s="7">
        <f t="shared" ref="B137:B151" ca="1" si="41">AA137</f>
        <v>4</v>
      </c>
      <c r="C137" s="7" t="str">
        <f t="shared" ref="C137:C151" ca="1" si="42">AB137</f>
        <v/>
      </c>
      <c r="D137" s="55">
        <v>2</v>
      </c>
      <c r="E137" s="17">
        <f t="shared" ref="E137:E151" si="43">A137</f>
        <v>5</v>
      </c>
      <c r="F137" s="18" t="str">
        <f ca="1">IFERROR(IF(A135=0,HLOOKUP(E137,Declarations!$D$2:$S$102,B133,FALSE),HLOOKUP(VLOOKUP(E137,Teams!$V$2:$W$19,2,FALSE),Declarations!$D$2:$S$102,B133,FALSE)),"")</f>
        <v>THIRKETTLE Charlotte</v>
      </c>
      <c r="G137" s="18" t="str">
        <f t="shared" si="40"/>
        <v>Scun</v>
      </c>
      <c r="H137" s="524">
        <f ca="1">IFERROR(INDIRECT(CONCATENATE("'Distance Input'!"&amp;B134&amp;C134+1)),"")</f>
        <v>15.65</v>
      </c>
      <c r="I137" s="525"/>
      <c r="J137" s="524">
        <v>0</v>
      </c>
      <c r="K137" s="525"/>
      <c r="L137" s="524">
        <v>0</v>
      </c>
      <c r="M137" s="525"/>
      <c r="N137" s="539">
        <f t="shared" ref="N137:N151" ca="1" si="44">H137</f>
        <v>15.65</v>
      </c>
      <c r="O137" s="540"/>
      <c r="P137" s="55">
        <v>0</v>
      </c>
      <c r="Q137" s="541">
        <v>0</v>
      </c>
      <c r="R137" s="541"/>
      <c r="S137" s="541">
        <v>0</v>
      </c>
      <c r="T137" s="541"/>
      <c r="U137" s="541">
        <v>0</v>
      </c>
      <c r="V137" s="541"/>
      <c r="W137" s="524">
        <f t="shared" ref="W137:W151" ca="1" si="45">N137</f>
        <v>15.65</v>
      </c>
      <c r="X137" s="525"/>
      <c r="Y137" s="55">
        <f ca="1">IF(OR(W137="",W137=0),0,IF(W137="X",MatchDay!$U$2+MatchDay!$U$2+1-COUNTIF(Distance!W136:W137,"X"),RANK(W137,$W136:$X151,0)))</f>
        <v>5</v>
      </c>
      <c r="Z137" s="19" t="str">
        <f ca="1">IFERROR(IF(Y137=0,0,IF(OR(VLOOKUP(AG137,E144:Y151,21,FALSE)=0,Y137&lt;=VLOOKUP(AG137,E144:Y151,21,FALSE)),"A","B")),"")</f>
        <v>A</v>
      </c>
      <c r="AA137" s="19">
        <f ca="1">IFERROR(IF(Z137="B","",RANK(AD137,AD136:AD151,1)),"")</f>
        <v>4</v>
      </c>
      <c r="AB137" s="19" t="str">
        <f ca="1">IFERROR(IF(Z137="A","",RANK(AE137,AE136:AE151,1)),"")</f>
        <v/>
      </c>
      <c r="AC137" s="8"/>
      <c r="AD137" s="9">
        <f t="shared" ref="AD137:AD151" ca="1" si="46">IF(OR(W137=0,Y137=0,Z137="B"),"",Y137)</f>
        <v>5</v>
      </c>
      <c r="AE137" s="9" t="str">
        <f t="shared" ref="AE137:AE151" ca="1" si="47">IF(OR(W137=0,Y137=0,Z137="A"),"",Y137)</f>
        <v/>
      </c>
      <c r="AF137" s="9" t="s">
        <v>179</v>
      </c>
      <c r="AG137" s="4">
        <f>IFERROR(IF(A135=0,E137*11,E137&amp;E137),"")</f>
        <v>55</v>
      </c>
    </row>
    <row r="138" spans="1:33" s="4" customFormat="1" ht="15.95" customHeight="1" x14ac:dyDescent="0.35">
      <c r="A138" s="8">
        <f>IFERROR(IF(D138&gt;MatchDay!$U$2,"-",VLOOKUP(A132,timetables,MatchDay!$U$4+2,FALSE)),0)</f>
        <v>2</v>
      </c>
      <c r="B138" s="7">
        <f t="shared" ca="1" si="41"/>
        <v>1</v>
      </c>
      <c r="C138" s="7" t="str">
        <f t="shared" ca="1" si="42"/>
        <v/>
      </c>
      <c r="D138" s="55">
        <v>3</v>
      </c>
      <c r="E138" s="17">
        <f t="shared" si="43"/>
        <v>2</v>
      </c>
      <c r="F138" s="18" t="str">
        <f ca="1">IFERROR(IF(A135=0,HLOOKUP(E138,Declarations!$D$2:$S$102,B133,FALSE),HLOOKUP(VLOOKUP(E138,Teams!$V$2:$W$19,2,FALSE),Declarations!$D$2:$S$102,B133,FALSE)),"")</f>
        <v>KYNOCH Ella</v>
      </c>
      <c r="G138" s="18" t="str">
        <f t="shared" si="40"/>
        <v>Sheff+D</v>
      </c>
      <c r="H138" s="524">
        <f ca="1">IFERROR(INDIRECT(CONCATENATE("'Distance Input'!"&amp;B134&amp;C134+2)),"")</f>
        <v>28.23</v>
      </c>
      <c r="I138" s="525"/>
      <c r="J138" s="524">
        <v>0</v>
      </c>
      <c r="K138" s="525"/>
      <c r="L138" s="524">
        <v>0</v>
      </c>
      <c r="M138" s="525"/>
      <c r="N138" s="539">
        <f t="shared" ca="1" si="44"/>
        <v>28.23</v>
      </c>
      <c r="O138" s="540"/>
      <c r="P138" s="55">
        <v>0</v>
      </c>
      <c r="Q138" s="541">
        <v>0</v>
      </c>
      <c r="R138" s="541"/>
      <c r="S138" s="541">
        <v>0</v>
      </c>
      <c r="T138" s="541"/>
      <c r="U138" s="541">
        <v>0</v>
      </c>
      <c r="V138" s="541"/>
      <c r="W138" s="524">
        <f t="shared" ca="1" si="45"/>
        <v>28.23</v>
      </c>
      <c r="X138" s="525"/>
      <c r="Y138" s="55">
        <f ca="1">IF(OR(W138="",W138=0),0,IF(W138="X",MatchDay!$U$2+MatchDay!$U$2+1-COUNTIF(Distance!W136:W138,"X"),RANK(W138,$W136:$X151,0)))</f>
        <v>1</v>
      </c>
      <c r="Z138" s="19" t="str">
        <f ca="1">IFERROR(IF(Y138=0,0,IF(OR(VLOOKUP(AG138,E144:Y151,21,FALSE)=0,Y138&lt;=VLOOKUP(AG138,E144:Y151,21,FALSE)),"A","B")),"")</f>
        <v>A</v>
      </c>
      <c r="AA138" s="19">
        <f ca="1">IFERROR(IF(Z138="B","",RANK(AD138,AD136:AD151,1)),"")</f>
        <v>1</v>
      </c>
      <c r="AB138" s="19" t="str">
        <f ca="1">IFERROR(IF(Z138="A","",RANK(AE138,AE136:AE151,1)),"")</f>
        <v/>
      </c>
      <c r="AD138" s="9">
        <f t="shared" ca="1" si="46"/>
        <v>1</v>
      </c>
      <c r="AE138" s="9" t="str">
        <f t="shared" ca="1" si="47"/>
        <v/>
      </c>
      <c r="AF138" s="9" t="s">
        <v>179</v>
      </c>
      <c r="AG138" s="4">
        <f>IFERROR(IF(A135=0,E138*11,E138&amp;E138),"")</f>
        <v>22</v>
      </c>
    </row>
    <row r="139" spans="1:33" s="4" customFormat="1" ht="15.95" customHeight="1" x14ac:dyDescent="0.35">
      <c r="A139" s="8">
        <f>IFERROR(IF(D139&gt;MatchDay!$U$2,"-",VLOOKUP(A132,timetables,MatchDay!$U$4+3,FALSE)),0)</f>
        <v>4</v>
      </c>
      <c r="B139" s="7">
        <f t="shared" ca="1" si="41"/>
        <v>3</v>
      </c>
      <c r="C139" s="7" t="str">
        <f t="shared" ca="1" si="42"/>
        <v/>
      </c>
      <c r="D139" s="55">
        <v>4</v>
      </c>
      <c r="E139" s="17">
        <f t="shared" si="43"/>
        <v>4</v>
      </c>
      <c r="F139" s="18" t="str">
        <f ca="1">IFERROR(IF(A135=0,HLOOKUP(E139,Declarations!$D$2:$S$102,B133,FALSE),HLOOKUP(VLOOKUP(E139,Teams!$V$2:$W$19,2,FALSE),Declarations!$D$2:$S$102,B133,FALSE)),"")</f>
        <v>DORAN Bethany</v>
      </c>
      <c r="G139" s="18" t="str">
        <f t="shared" si="40"/>
        <v>M'bro</v>
      </c>
      <c r="H139" s="524">
        <f ca="1">IFERROR(INDIRECT(CONCATENATE("'Distance Input'!"&amp;B134&amp;C134+3)),"")</f>
        <v>16.43</v>
      </c>
      <c r="I139" s="525"/>
      <c r="J139" s="524">
        <v>0</v>
      </c>
      <c r="K139" s="525"/>
      <c r="L139" s="524">
        <v>0</v>
      </c>
      <c r="M139" s="525"/>
      <c r="N139" s="539">
        <f t="shared" ca="1" si="44"/>
        <v>16.43</v>
      </c>
      <c r="O139" s="540"/>
      <c r="P139" s="55">
        <v>0</v>
      </c>
      <c r="Q139" s="541">
        <v>0</v>
      </c>
      <c r="R139" s="541"/>
      <c r="S139" s="541">
        <v>0</v>
      </c>
      <c r="T139" s="541"/>
      <c r="U139" s="541">
        <v>0</v>
      </c>
      <c r="V139" s="541"/>
      <c r="W139" s="524">
        <f t="shared" ca="1" si="45"/>
        <v>16.43</v>
      </c>
      <c r="X139" s="525"/>
      <c r="Y139" s="55">
        <f ca="1">IF(OR(W139="",W139=0),0,IF(W139="X",MatchDay!$U$2+MatchDay!$U$2+1-COUNTIF(Distance!W136:W139,"X"),RANK(W139,$W136:$X151,0)))</f>
        <v>4</v>
      </c>
      <c r="Z139" s="19" t="str">
        <f ca="1">IFERROR(IF(Y139=0,0,IF(OR(VLOOKUP(AG139,E144:Y151,21,FALSE)=0,Y139&lt;=VLOOKUP(AG139,E144:Y151,21,FALSE)),"A","B")),"")</f>
        <v>A</v>
      </c>
      <c r="AA139" s="19">
        <f ca="1">IFERROR(IF(Z139="B","",RANK(AD139,AD136:AD151,1)),"")</f>
        <v>3</v>
      </c>
      <c r="AB139" s="19" t="str">
        <f ca="1">IFERROR(IF(Z139="A","",RANK(AE139,AE136:AE151,1)),"")</f>
        <v/>
      </c>
      <c r="AD139" s="9">
        <f t="shared" ca="1" si="46"/>
        <v>4</v>
      </c>
      <c r="AE139" s="9" t="str">
        <f t="shared" ca="1" si="47"/>
        <v/>
      </c>
      <c r="AF139" s="9" t="s">
        <v>179</v>
      </c>
      <c r="AG139" s="4">
        <f>IFERROR(IF(A135=0,E139*11,E139&amp;E139),"")</f>
        <v>44</v>
      </c>
    </row>
    <row r="140" spans="1:33" s="4" customFormat="1" ht="15.95" customHeight="1" x14ac:dyDescent="0.35">
      <c r="A140" s="8">
        <f>IFERROR(IF(D140&gt;MatchDay!$U$2,"-",VLOOKUP(A132,timetables,MatchDay!$U$4+4,FALSE)),0)</f>
        <v>1</v>
      </c>
      <c r="B140" s="7">
        <f t="shared" ca="1" si="41"/>
        <v>5</v>
      </c>
      <c r="C140" s="7" t="str">
        <f t="shared" ca="1" si="42"/>
        <v/>
      </c>
      <c r="D140" s="55">
        <v>5</v>
      </c>
      <c r="E140" s="17">
        <f t="shared" si="43"/>
        <v>1</v>
      </c>
      <c r="F140" s="18" t="str">
        <f ca="1">IFERROR(IF(A135=0,HLOOKUP(E140,Declarations!$D$2:$S$102,B133,FALSE),HLOOKUP(VLOOKUP(E140,Teams!$V$2:$W$19,2,FALSE),Declarations!$D$2:$S$102,B133,FALSE)),"")</f>
        <v>LABAN Ella</v>
      </c>
      <c r="G140" s="18" t="str">
        <f t="shared" si="40"/>
        <v>C'field</v>
      </c>
      <c r="H140" s="524">
        <f ca="1">IFERROR(INDIRECT(CONCATENATE("'Distance Input'!"&amp;B134&amp;C134+4)),"")</f>
        <v>15.03</v>
      </c>
      <c r="I140" s="525"/>
      <c r="J140" s="524">
        <v>0</v>
      </c>
      <c r="K140" s="525"/>
      <c r="L140" s="524">
        <v>0</v>
      </c>
      <c r="M140" s="525"/>
      <c r="N140" s="539">
        <f t="shared" ca="1" si="44"/>
        <v>15.03</v>
      </c>
      <c r="O140" s="540"/>
      <c r="P140" s="55">
        <v>0</v>
      </c>
      <c r="Q140" s="541">
        <v>0</v>
      </c>
      <c r="R140" s="541"/>
      <c r="S140" s="541">
        <v>0</v>
      </c>
      <c r="T140" s="541"/>
      <c r="U140" s="541">
        <v>0</v>
      </c>
      <c r="V140" s="541"/>
      <c r="W140" s="524">
        <f t="shared" ca="1" si="45"/>
        <v>15.03</v>
      </c>
      <c r="X140" s="525"/>
      <c r="Y140" s="55">
        <f ca="1">IF(OR(W140="",W140=0),0,IF(W140="X",MatchDay!$U$2+MatchDay!$U$2+1-COUNTIF(Distance!W136:W140,"X"),RANK(W140,$W136:$X151,0)))</f>
        <v>6</v>
      </c>
      <c r="Z140" s="19" t="str">
        <f ca="1">IFERROR(IF(Y140=0,0,IF(OR(VLOOKUP(AG140,E144:Y151,21,FALSE)=0,Y140&lt;=VLOOKUP(AG140,E144:Y151,21,FALSE)),"A","B")),"")</f>
        <v>A</v>
      </c>
      <c r="AA140" s="19">
        <f ca="1">IFERROR(IF(Z140="B","",RANK(AD140,AD136:AD151,1)),"")</f>
        <v>5</v>
      </c>
      <c r="AB140" s="19" t="str">
        <f ca="1">IFERROR(IF(Z140="A","",RANK(AE140,AE136:AE151,1)),"")</f>
        <v/>
      </c>
      <c r="AD140" s="9">
        <f t="shared" ca="1" si="46"/>
        <v>6</v>
      </c>
      <c r="AE140" s="9" t="str">
        <f t="shared" ca="1" si="47"/>
        <v/>
      </c>
      <c r="AF140" s="9" t="s">
        <v>179</v>
      </c>
      <c r="AG140" s="4">
        <f>IFERROR(IF(A135=0,E140*11,E140&amp;E140),"")</f>
        <v>11</v>
      </c>
    </row>
    <row r="141" spans="1:33" s="4" customFormat="1" ht="15.95" customHeight="1" x14ac:dyDescent="0.35">
      <c r="A141" s="8" t="str">
        <f>IFERROR(IF(D141&gt;MatchDay!$U$2,"-",VLOOKUP(A132,timetables,MatchDay!$U$4+5,FALSE)),0)</f>
        <v>-</v>
      </c>
      <c r="B141" s="7" t="str">
        <f t="shared" ca="1" si="41"/>
        <v/>
      </c>
      <c r="C141" s="7" t="str">
        <f t="shared" ca="1" si="42"/>
        <v/>
      </c>
      <c r="D141" s="55">
        <v>6</v>
      </c>
      <c r="E141" s="17" t="str">
        <f t="shared" si="43"/>
        <v>-</v>
      </c>
      <c r="F141" s="18" t="str">
        <f>IFERROR(IF(A135=0,HLOOKUP(E141,Declarations!$D$2:$S$102,B133,FALSE),HLOOKUP(VLOOKUP(E141,Teams!$V$2:$W$19,2,FALSE),Declarations!$D$2:$S$102,B133,FALSE)),"")</f>
        <v/>
      </c>
      <c r="G141" s="18" t="str">
        <f t="shared" si="40"/>
        <v/>
      </c>
      <c r="H141" s="524">
        <f ca="1">IFERROR(INDIRECT(CONCATENATE("'Distance Input'!"&amp;B134&amp;C134+5)),"")</f>
        <v>0</v>
      </c>
      <c r="I141" s="525"/>
      <c r="J141" s="524">
        <v>0</v>
      </c>
      <c r="K141" s="525"/>
      <c r="L141" s="524">
        <v>0</v>
      </c>
      <c r="M141" s="525"/>
      <c r="N141" s="539">
        <f t="shared" ca="1" si="44"/>
        <v>0</v>
      </c>
      <c r="O141" s="540"/>
      <c r="P141" s="55">
        <v>0</v>
      </c>
      <c r="Q141" s="541">
        <v>0</v>
      </c>
      <c r="R141" s="541"/>
      <c r="S141" s="541">
        <v>0</v>
      </c>
      <c r="T141" s="541"/>
      <c r="U141" s="541">
        <v>0</v>
      </c>
      <c r="V141" s="541"/>
      <c r="W141" s="524">
        <f t="shared" ca="1" si="45"/>
        <v>0</v>
      </c>
      <c r="X141" s="525"/>
      <c r="Y141" s="55">
        <f ca="1">IF(OR(W141="",W141=0),0,IF(W141="X",MatchDay!$U$2+MatchDay!$U$2+1-COUNTIF(Distance!W136:W141,"X"),RANK(W141,$W136:$X151,0)))</f>
        <v>0</v>
      </c>
      <c r="Z141" s="19">
        <f ca="1">IFERROR(IF(Y141=0,0,IF(OR(VLOOKUP(AG141,E144:Y151,21,FALSE)=0,Y141&lt;=VLOOKUP(AG141,E144:Y151,21,FALSE)),"A","B")),"")</f>
        <v>0</v>
      </c>
      <c r="AA141" s="19" t="str">
        <f ca="1">IFERROR(IF(Z141="B","",RANK(AD141,AD136:AD151,1)),"")</f>
        <v/>
      </c>
      <c r="AB141" s="19" t="str">
        <f ca="1">IFERROR(IF(Z141="A","",RANK(AE141,AE136:AE151,1)),"")</f>
        <v/>
      </c>
      <c r="AD141" s="9" t="str">
        <f t="shared" ca="1" si="46"/>
        <v/>
      </c>
      <c r="AE141" s="9" t="str">
        <f t="shared" ca="1" si="47"/>
        <v/>
      </c>
      <c r="AF141" s="9" t="s">
        <v>179</v>
      </c>
      <c r="AG141" s="4" t="str">
        <f>IFERROR(IF(A135=0,E141*11,E141&amp;E141),"")</f>
        <v/>
      </c>
    </row>
    <row r="142" spans="1:33" s="4" customFormat="1" ht="15.95" customHeight="1" x14ac:dyDescent="0.35">
      <c r="A142" s="8" t="str">
        <f>IFERROR(IF(D142&gt;MatchDay!$U$2,"-",VLOOKUP(A132,timetables,MatchDay!$U$4+6,FALSE)),0)</f>
        <v>-</v>
      </c>
      <c r="B142" s="7" t="str">
        <f t="shared" ca="1" si="41"/>
        <v/>
      </c>
      <c r="C142" s="7" t="str">
        <f t="shared" ca="1" si="42"/>
        <v/>
      </c>
      <c r="D142" s="55">
        <v>7</v>
      </c>
      <c r="E142" s="17" t="str">
        <f t="shared" si="43"/>
        <v>-</v>
      </c>
      <c r="F142" s="18" t="str">
        <f>IFERROR(IF(A135=0,HLOOKUP(E142,Declarations!$D$2:$S$102,B133,FALSE),HLOOKUP(VLOOKUP(E142,Teams!$V$2:$W$19,2,FALSE),Declarations!$D$2:$S$102,B133,FALSE)),"")</f>
        <v/>
      </c>
      <c r="G142" s="18" t="str">
        <f t="shared" si="40"/>
        <v/>
      </c>
      <c r="H142" s="524">
        <f ca="1">IFERROR(INDIRECT(CONCATENATE("'Distance Input'!"&amp;B134&amp;C134+6)),"")</f>
        <v>0</v>
      </c>
      <c r="I142" s="525"/>
      <c r="J142" s="524">
        <v>0</v>
      </c>
      <c r="K142" s="525"/>
      <c r="L142" s="524">
        <v>0</v>
      </c>
      <c r="M142" s="525"/>
      <c r="N142" s="539">
        <f t="shared" ca="1" si="44"/>
        <v>0</v>
      </c>
      <c r="O142" s="540"/>
      <c r="P142" s="55">
        <v>0</v>
      </c>
      <c r="Q142" s="541">
        <v>0</v>
      </c>
      <c r="R142" s="541"/>
      <c r="S142" s="541">
        <v>0</v>
      </c>
      <c r="T142" s="541"/>
      <c r="U142" s="541">
        <v>0</v>
      </c>
      <c r="V142" s="541"/>
      <c r="W142" s="524">
        <f t="shared" ca="1" si="45"/>
        <v>0</v>
      </c>
      <c r="X142" s="525"/>
      <c r="Y142" s="55">
        <f ca="1">IF(OR(W142="",W142=0),0,IF(W142="X",MatchDay!$U$2+MatchDay!$U$2+1-COUNTIF(Distance!W136:W142,"X"),RANK(W142,$W136:$X151,0)))</f>
        <v>0</v>
      </c>
      <c r="Z142" s="19">
        <f ca="1">IFERROR(IF(Y142=0,0,IF(OR(VLOOKUP(AG142,E144:Y151,21,FALSE)=0,Y142&lt;=VLOOKUP(AG142,E144:Y151,21,FALSE)),"A","B")),"")</f>
        <v>0</v>
      </c>
      <c r="AA142" s="19" t="str">
        <f ca="1">IFERROR(IF(Z142="B","",RANK(AD142,AD136:AD151,1)),"")</f>
        <v/>
      </c>
      <c r="AB142" s="19" t="str">
        <f ca="1">IFERROR(IF(Z142="A","",RANK(AE142,AE136:AE151,1)),"")</f>
        <v/>
      </c>
      <c r="AD142" s="9" t="str">
        <f t="shared" ca="1" si="46"/>
        <v/>
      </c>
      <c r="AE142" s="9" t="str">
        <f t="shared" ca="1" si="47"/>
        <v/>
      </c>
      <c r="AF142" s="9" t="s">
        <v>179</v>
      </c>
      <c r="AG142" s="4" t="str">
        <f>IFERROR(IF(A135=0,E142*11,E142&amp;E142),"")</f>
        <v/>
      </c>
    </row>
    <row r="143" spans="1:33" s="4" customFormat="1" ht="15.95" customHeight="1" x14ac:dyDescent="0.35">
      <c r="A143" s="8" t="str">
        <f>IFERROR(IF(D143&gt;MatchDay!$U$2,"-",VLOOKUP(A132,timetables,MatchDay!$U$4+7,FALSE)),0)</f>
        <v>-</v>
      </c>
      <c r="B143" s="7" t="str">
        <f t="shared" ca="1" si="41"/>
        <v/>
      </c>
      <c r="C143" s="7" t="str">
        <f t="shared" ca="1" si="42"/>
        <v/>
      </c>
      <c r="D143" s="55">
        <v>8</v>
      </c>
      <c r="E143" s="17" t="str">
        <f t="shared" si="43"/>
        <v>-</v>
      </c>
      <c r="F143" s="18" t="str">
        <f>IFERROR(IF(A135=0,HLOOKUP(E143,Declarations!$D$2:$S$102,B133,FALSE),HLOOKUP(VLOOKUP(E143,Teams!$V$2:$W$19,2,FALSE),Declarations!$D$2:$S$102,B133,FALSE)),"")</f>
        <v/>
      </c>
      <c r="G143" s="18" t="str">
        <f t="shared" si="40"/>
        <v/>
      </c>
      <c r="H143" s="524">
        <f ca="1">IFERROR(INDIRECT(CONCATENATE("'Distance Input'!"&amp;B134&amp;C134+7)),"")</f>
        <v>0</v>
      </c>
      <c r="I143" s="525"/>
      <c r="J143" s="524">
        <v>0</v>
      </c>
      <c r="K143" s="525"/>
      <c r="L143" s="524">
        <v>0</v>
      </c>
      <c r="M143" s="525"/>
      <c r="N143" s="539">
        <f t="shared" ca="1" si="44"/>
        <v>0</v>
      </c>
      <c r="O143" s="540"/>
      <c r="P143" s="55">
        <v>0</v>
      </c>
      <c r="Q143" s="541">
        <v>0</v>
      </c>
      <c r="R143" s="541"/>
      <c r="S143" s="541">
        <v>0</v>
      </c>
      <c r="T143" s="541"/>
      <c r="U143" s="541">
        <v>0</v>
      </c>
      <c r="V143" s="541"/>
      <c r="W143" s="524">
        <f t="shared" ca="1" si="45"/>
        <v>0</v>
      </c>
      <c r="X143" s="525"/>
      <c r="Y143" s="55">
        <f ca="1">IF(OR(W143="",W143=0),0,IF(W143="X",MatchDay!$U$2+MatchDay!$U$2+1-COUNTIF(Distance!W136:W143,"X"),RANK(W143,$W136:$X151,0)))</f>
        <v>0</v>
      </c>
      <c r="Z143" s="19">
        <f ca="1">IFERROR(IF(Y143=0,0,IF(OR(VLOOKUP(AG143,E144:Y151,21,FALSE)=0,Y143&lt;=VLOOKUP(AG143,E144:Y151,21,FALSE)),"A","B")),"")</f>
        <v>0</v>
      </c>
      <c r="AA143" s="19" t="str">
        <f ca="1">IFERROR(IF(Z143="B","",RANK(AD143,AD136:AD151,1)),"")</f>
        <v/>
      </c>
      <c r="AB143" s="19" t="str">
        <f ca="1">IFERROR(IF(Z143="A","",RANK(AE143,AE136:AE151,1)),"")</f>
        <v/>
      </c>
      <c r="AD143" s="9" t="str">
        <f t="shared" ca="1" si="46"/>
        <v/>
      </c>
      <c r="AE143" s="9" t="str">
        <f t="shared" ca="1" si="47"/>
        <v/>
      </c>
      <c r="AF143" s="9" t="s">
        <v>179</v>
      </c>
      <c r="AG143" s="4" t="str">
        <f>IFERROR(IF(A135=0,E143*11,E143&amp;E143),"")</f>
        <v/>
      </c>
    </row>
    <row r="144" spans="1:33" s="4" customFormat="1" ht="15.95" customHeight="1" x14ac:dyDescent="0.35">
      <c r="A144" s="8">
        <f>IFERROR(IF(A135=0,A136*11,A136&amp;A136),"-")</f>
        <v>33</v>
      </c>
      <c r="B144" s="7" t="str">
        <f t="shared" ca="1" si="41"/>
        <v/>
      </c>
      <c r="C144" s="7">
        <f t="shared" ca="1" si="42"/>
        <v>2</v>
      </c>
      <c r="D144" s="55">
        <v>9</v>
      </c>
      <c r="E144" s="17">
        <f t="shared" si="43"/>
        <v>33</v>
      </c>
      <c r="F144" s="18" t="str">
        <f ca="1">IFERROR(IF(A135=0,HLOOKUP(E144,Declarations!$D$2:$S$102,B133,FALSE),HLOOKUP(VLOOKUP(E144,Teams!$V$2:$W$19,2,FALSE),Declarations!$D$2:$S$102,B133,FALSE)),"")</f>
        <v>LEE Isabel</v>
      </c>
      <c r="G144" s="18" t="str">
        <f t="shared" si="40"/>
        <v>York</v>
      </c>
      <c r="H144" s="524">
        <f ca="1">IFERROR(INDIRECT(CONCATENATE("'Distance Input'!"&amp;B134&amp;C134+8)),"")</f>
        <v>14.1</v>
      </c>
      <c r="I144" s="525"/>
      <c r="J144" s="524">
        <v>0</v>
      </c>
      <c r="K144" s="525"/>
      <c r="L144" s="524">
        <v>0</v>
      </c>
      <c r="M144" s="525"/>
      <c r="N144" s="539">
        <f t="shared" ca="1" si="44"/>
        <v>14.1</v>
      </c>
      <c r="O144" s="540"/>
      <c r="P144" s="55">
        <v>0</v>
      </c>
      <c r="Q144" s="541">
        <v>0</v>
      </c>
      <c r="R144" s="541"/>
      <c r="S144" s="541">
        <v>0</v>
      </c>
      <c r="T144" s="541"/>
      <c r="U144" s="541">
        <v>0</v>
      </c>
      <c r="V144" s="541"/>
      <c r="W144" s="524">
        <f t="shared" ca="1" si="45"/>
        <v>14.1</v>
      </c>
      <c r="X144" s="525"/>
      <c r="Y144" s="55">
        <f ca="1">IF(OR(W144="",W144=0),0,IF(W144="X",MatchDay!$U$2+MatchDay!$U$2+1-COUNTIF(Distance!W136:W144,"X"),RANK(W144,$W136:$X151,0)))</f>
        <v>7</v>
      </c>
      <c r="Z144" s="19" t="str">
        <f ca="1">IFERROR(IF(Y144=0,0,IF(VLOOKUP(AG144,E136:Y143,21,FALSE)=0,"A",IF(Y144&gt;=VLOOKUP(AG144,E136:Y143,21,FALSE),"B","A"))),"")</f>
        <v>B</v>
      </c>
      <c r="AA144" s="19" t="str">
        <f ca="1">IFERROR(IF(Z144="B","",RANK(AD144,AD136:AD151,1)),"")</f>
        <v/>
      </c>
      <c r="AB144" s="19">
        <f ca="1">IFERROR(IF(Z144="A","",RANK(AE144,AE136:AE151,1)),"")</f>
        <v>2</v>
      </c>
      <c r="AD144" s="9" t="str">
        <f t="shared" ca="1" si="46"/>
        <v/>
      </c>
      <c r="AE144" s="9">
        <f t="shared" ca="1" si="47"/>
        <v>7</v>
      </c>
      <c r="AF144" s="9" t="s">
        <v>179</v>
      </c>
      <c r="AG144" s="4">
        <f>IFERROR(IF(A135=0,E144/11,LEFT(E144,1)),"")</f>
        <v>3</v>
      </c>
    </row>
    <row r="145" spans="1:33" s="4" customFormat="1" ht="15.95" customHeight="1" x14ac:dyDescent="0.35">
      <c r="A145" s="8">
        <f>IFERROR(IF(A135=0,A137*11,A137&amp;A137),"-")</f>
        <v>55</v>
      </c>
      <c r="B145" s="7" t="str">
        <f t="shared" ca="1" si="41"/>
        <v/>
      </c>
      <c r="C145" s="7" t="str">
        <f t="shared" ca="1" si="42"/>
        <v/>
      </c>
      <c r="D145" s="55">
        <v>10</v>
      </c>
      <c r="E145" s="17">
        <f t="shared" si="43"/>
        <v>55</v>
      </c>
      <c r="F145" s="18" t="str">
        <f ca="1">IFERROR(IF(A135=0,HLOOKUP(E145,Declarations!$D$2:$S$102,B133,FALSE),HLOOKUP(VLOOKUP(E145,Teams!$V$2:$W$19,2,FALSE),Declarations!$D$2:$S$102,B133,FALSE)),"")</f>
        <v>-</v>
      </c>
      <c r="G145" s="18" t="str">
        <f t="shared" si="40"/>
        <v>Scun</v>
      </c>
      <c r="H145" s="524">
        <f ca="1">IFERROR(INDIRECT(CONCATENATE("'Distance Input'!"&amp;B134&amp;C134+9)),"")</f>
        <v>0</v>
      </c>
      <c r="I145" s="525"/>
      <c r="J145" s="524">
        <v>0</v>
      </c>
      <c r="K145" s="525"/>
      <c r="L145" s="524">
        <v>0</v>
      </c>
      <c r="M145" s="525"/>
      <c r="N145" s="539">
        <f t="shared" ca="1" si="44"/>
        <v>0</v>
      </c>
      <c r="O145" s="540"/>
      <c r="P145" s="55">
        <v>0</v>
      </c>
      <c r="Q145" s="541">
        <v>0</v>
      </c>
      <c r="R145" s="541"/>
      <c r="S145" s="541">
        <v>0</v>
      </c>
      <c r="T145" s="541"/>
      <c r="U145" s="541">
        <v>0</v>
      </c>
      <c r="V145" s="541"/>
      <c r="W145" s="524">
        <f t="shared" ca="1" si="45"/>
        <v>0</v>
      </c>
      <c r="X145" s="525"/>
      <c r="Y145" s="55">
        <f ca="1">IF(OR(W145="",W145=0),0,IF(W145="X",MatchDay!$U$2+MatchDay!$U$2+1-COUNTIF(Distance!W136:W145,"X"),RANK(W145,$W136:$X151,0)))</f>
        <v>0</v>
      </c>
      <c r="Z145" s="19">
        <f ca="1">IFERROR(IF(Y145=0,0,IF(VLOOKUP(AG145,E136:Y143,21,FALSE)=0,"A",IF(Y145&gt;=VLOOKUP(AG145,E136:Y143,21,FALSE),"B","A"))),"")</f>
        <v>0</v>
      </c>
      <c r="AA145" s="19" t="str">
        <f ca="1">IFERROR(IF(Z145="B","",RANK(AD145,AD136:AD151,1)),"")</f>
        <v/>
      </c>
      <c r="AB145" s="19" t="str">
        <f ca="1">IFERROR(IF(Z145="A","",RANK(AE145,AE136:AE151,1)),"")</f>
        <v/>
      </c>
      <c r="AD145" s="9" t="str">
        <f t="shared" ca="1" si="46"/>
        <v/>
      </c>
      <c r="AE145" s="9" t="str">
        <f t="shared" ca="1" si="47"/>
        <v/>
      </c>
      <c r="AF145" s="9" t="s">
        <v>179</v>
      </c>
      <c r="AG145" s="4">
        <f>IFERROR(IF(A135=0,E145/11,LEFT(E145,1)),"")</f>
        <v>5</v>
      </c>
    </row>
    <row r="146" spans="1:33" s="4" customFormat="1" ht="15.95" customHeight="1" x14ac:dyDescent="0.35">
      <c r="A146" s="8">
        <f>IFERROR(IF(A135=0,A138*11,A138&amp;A138),"-")</f>
        <v>22</v>
      </c>
      <c r="B146" s="7" t="str">
        <f t="shared" ca="1" si="41"/>
        <v/>
      </c>
      <c r="C146" s="7">
        <f t="shared" ca="1" si="42"/>
        <v>1</v>
      </c>
      <c r="D146" s="55">
        <v>11</v>
      </c>
      <c r="E146" s="17">
        <f t="shared" si="43"/>
        <v>22</v>
      </c>
      <c r="F146" s="18" t="str">
        <f ca="1">IFERROR(IF(A135=0,HLOOKUP(E146,Declarations!$D$2:$S$102,B133,FALSE),HLOOKUP(VLOOKUP(E146,Teams!$V$2:$W$19,2,FALSE),Declarations!$D$2:$S$102,B133,FALSE)),"")</f>
        <v>JELONKIEWICZ Viktoria</v>
      </c>
      <c r="G146" s="18" t="str">
        <f t="shared" si="40"/>
        <v>Sheff+D</v>
      </c>
      <c r="H146" s="524">
        <f ca="1">IFERROR(INDIRECT(CONCATENATE("'Distance Input'!"&amp;B134&amp;C134+10)),"")</f>
        <v>17.149999999999999</v>
      </c>
      <c r="I146" s="525"/>
      <c r="J146" s="524">
        <v>0</v>
      </c>
      <c r="K146" s="525"/>
      <c r="L146" s="524">
        <v>0</v>
      </c>
      <c r="M146" s="525"/>
      <c r="N146" s="539">
        <f t="shared" ca="1" si="44"/>
        <v>17.149999999999999</v>
      </c>
      <c r="O146" s="540"/>
      <c r="P146" s="55">
        <v>0</v>
      </c>
      <c r="Q146" s="541">
        <v>0</v>
      </c>
      <c r="R146" s="541"/>
      <c r="S146" s="541">
        <v>0</v>
      </c>
      <c r="T146" s="541"/>
      <c r="U146" s="541">
        <v>0</v>
      </c>
      <c r="V146" s="541"/>
      <c r="W146" s="524">
        <f t="shared" ca="1" si="45"/>
        <v>17.149999999999999</v>
      </c>
      <c r="X146" s="525"/>
      <c r="Y146" s="55">
        <f ca="1">IF(OR(W146="",W146=0),0,IF(W146="X",MatchDay!$U$2+MatchDay!$U$2+1-COUNTIF(Distance!W136:W146,"X"),RANK(W146,$W136:$X151,0)))</f>
        <v>3</v>
      </c>
      <c r="Z146" s="19" t="str">
        <f ca="1">IFERROR(IF(Y146=0,0,IF(VLOOKUP(AG146,E136:Y143,21,FALSE)=0,"A",IF(Y146&gt;=VLOOKUP(AG146,E136:Y143,21,FALSE),"B","A"))),"")</f>
        <v>B</v>
      </c>
      <c r="AA146" s="19" t="str">
        <f ca="1">IFERROR(IF(Z146="B","",RANK(AD146,AD136:AD151,1)),"")</f>
        <v/>
      </c>
      <c r="AB146" s="19">
        <f ca="1">IFERROR(IF(Z146="A","",RANK(AE146,AE136:AE151,1)),"")</f>
        <v>1</v>
      </c>
      <c r="AD146" s="9" t="str">
        <f t="shared" ca="1" si="46"/>
        <v/>
      </c>
      <c r="AE146" s="9">
        <f t="shared" ca="1" si="47"/>
        <v>3</v>
      </c>
      <c r="AF146" s="9" t="s">
        <v>179</v>
      </c>
      <c r="AG146" s="4">
        <f>IFERROR(IF(A135=0,E146/11,LEFT(E146,1)),"")</f>
        <v>2</v>
      </c>
    </row>
    <row r="147" spans="1:33" s="4" customFormat="1" ht="15.95" customHeight="1" x14ac:dyDescent="0.35">
      <c r="A147" s="8">
        <f>IFERROR(IF(A135=0,A139*11,A139&amp;A139),"-")</f>
        <v>44</v>
      </c>
      <c r="B147" s="7" t="str">
        <f t="shared" ca="1" si="41"/>
        <v/>
      </c>
      <c r="C147" s="7">
        <f t="shared" ca="1" si="42"/>
        <v>3</v>
      </c>
      <c r="D147" s="55">
        <v>12</v>
      </c>
      <c r="E147" s="17">
        <f t="shared" si="43"/>
        <v>44</v>
      </c>
      <c r="F147" s="18" t="str">
        <f ca="1">IFERROR(IF(A135=0,HLOOKUP(E147,Declarations!$D$2:$S$102,B133,FALSE),HLOOKUP(VLOOKUP(E147,Teams!$V$2:$W$19,2,FALSE),Declarations!$D$2:$S$102,B133,FALSE)),"")</f>
        <v>MANNION Grace</v>
      </c>
      <c r="G147" s="18" t="str">
        <f t="shared" si="40"/>
        <v>M'bro</v>
      </c>
      <c r="H147" s="524">
        <f ca="1">IFERROR(INDIRECT(CONCATENATE("'Distance Input'!"&amp;B134&amp;C134+11)),"")</f>
        <v>11.92</v>
      </c>
      <c r="I147" s="525"/>
      <c r="J147" s="524">
        <v>0</v>
      </c>
      <c r="K147" s="525"/>
      <c r="L147" s="524">
        <v>0</v>
      </c>
      <c r="M147" s="525"/>
      <c r="N147" s="539">
        <f t="shared" ca="1" si="44"/>
        <v>11.92</v>
      </c>
      <c r="O147" s="540"/>
      <c r="P147" s="55">
        <v>0</v>
      </c>
      <c r="Q147" s="541">
        <v>0</v>
      </c>
      <c r="R147" s="541"/>
      <c r="S147" s="541">
        <v>0</v>
      </c>
      <c r="T147" s="541"/>
      <c r="U147" s="541">
        <v>0</v>
      </c>
      <c r="V147" s="541"/>
      <c r="W147" s="524">
        <f t="shared" ca="1" si="45"/>
        <v>11.92</v>
      </c>
      <c r="X147" s="525"/>
      <c r="Y147" s="55">
        <f ca="1">IF(OR(W147="",W147=0),0,IF(W147="X",MatchDay!$U$2+MatchDay!$U$2+1-COUNTIF(Distance!W136:W147,"X"),RANK(W147,$W136:$X151,0)))</f>
        <v>8</v>
      </c>
      <c r="Z147" s="19" t="str">
        <f ca="1">IFERROR(IF(Y147=0,0,IF(VLOOKUP(AG147,E136:Y143,21,FALSE)=0,"A",IF(Y147&gt;=VLOOKUP(AG147,E136:Y143,21,FALSE),"B","A"))),"")</f>
        <v>B</v>
      </c>
      <c r="AA147" s="19" t="str">
        <f ca="1">IFERROR(IF(Z147="B","",RANK(AD147,AD136:AD151,1)),"")</f>
        <v/>
      </c>
      <c r="AB147" s="19">
        <f ca="1">IFERROR(IF(Z147="A","",RANK(AE147,AE136:AE151,1)),"")</f>
        <v>3</v>
      </c>
      <c r="AD147" s="9" t="str">
        <f t="shared" ca="1" si="46"/>
        <v/>
      </c>
      <c r="AE147" s="9">
        <f t="shared" ca="1" si="47"/>
        <v>8</v>
      </c>
      <c r="AF147" s="9" t="s">
        <v>179</v>
      </c>
      <c r="AG147" s="4">
        <f>IFERROR(IF(A135=0,E147/11,LEFT(E147,1)),"")</f>
        <v>4</v>
      </c>
    </row>
    <row r="148" spans="1:33" s="4" customFormat="1" ht="15.95" customHeight="1" x14ac:dyDescent="0.35">
      <c r="A148" s="8">
        <f>IFERROR(IF(A135=0,A140*11,A140&amp;A140),"-")</f>
        <v>11</v>
      </c>
      <c r="B148" s="7" t="str">
        <f t="shared" ca="1" si="41"/>
        <v/>
      </c>
      <c r="C148" s="7">
        <f t="shared" ca="1" si="42"/>
        <v>4</v>
      </c>
      <c r="D148" s="55">
        <v>13</v>
      </c>
      <c r="E148" s="17">
        <f t="shared" si="43"/>
        <v>11</v>
      </c>
      <c r="F148" s="18" t="str">
        <f ca="1">IFERROR(IF(A135=0,HLOOKUP(E148,Declarations!$D$2:$S$102,B133,FALSE),HLOOKUP(VLOOKUP(E148,Teams!$V$2:$W$19,2,FALSE),Declarations!$D$2:$S$102,B133,FALSE)),"")</f>
        <v>HIGHAM Ruby</v>
      </c>
      <c r="G148" s="18" t="str">
        <f t="shared" si="40"/>
        <v>C'field</v>
      </c>
      <c r="H148" s="524">
        <f ca="1">IFERROR(INDIRECT(CONCATENATE("'Distance Input'!"&amp;B134&amp;C134+12)),"")</f>
        <v>10.61</v>
      </c>
      <c r="I148" s="525"/>
      <c r="J148" s="524">
        <v>0</v>
      </c>
      <c r="K148" s="525"/>
      <c r="L148" s="524">
        <v>0</v>
      </c>
      <c r="M148" s="525"/>
      <c r="N148" s="539">
        <f t="shared" ca="1" si="44"/>
        <v>10.61</v>
      </c>
      <c r="O148" s="540"/>
      <c r="P148" s="55">
        <v>0</v>
      </c>
      <c r="Q148" s="541">
        <v>0</v>
      </c>
      <c r="R148" s="541"/>
      <c r="S148" s="541">
        <v>0</v>
      </c>
      <c r="T148" s="541"/>
      <c r="U148" s="541">
        <v>0</v>
      </c>
      <c r="V148" s="541"/>
      <c r="W148" s="524">
        <f t="shared" ca="1" si="45"/>
        <v>10.61</v>
      </c>
      <c r="X148" s="525"/>
      <c r="Y148" s="55">
        <f ca="1">IF(OR(W148="",W148=0),0,IF(W148="X",MatchDay!$U$2+MatchDay!$U$2+1-COUNTIF(Distance!W136:W148,"X"),RANK(W148,$W136:$X151,0)))</f>
        <v>9</v>
      </c>
      <c r="Z148" s="19" t="str">
        <f ca="1">IFERROR(IF(Y148=0,0,IF(VLOOKUP(AG148,E136:Y143,21,FALSE)=0,"A",IF(Y148&gt;=VLOOKUP(AG148,E136:Y143,21,FALSE),"B","A"))),"")</f>
        <v>B</v>
      </c>
      <c r="AA148" s="19" t="str">
        <f ca="1">IFERROR(IF(Z148="B","",RANK(AD148,AD136:AD151,1)),"")</f>
        <v/>
      </c>
      <c r="AB148" s="19">
        <f ca="1">IFERROR(IF(Z148="A","",RANK(AE148,AE136:AE151,1)),"")</f>
        <v>4</v>
      </c>
      <c r="AD148" s="9" t="str">
        <f t="shared" ca="1" si="46"/>
        <v/>
      </c>
      <c r="AE148" s="9">
        <f t="shared" ca="1" si="47"/>
        <v>9</v>
      </c>
      <c r="AF148" s="9" t="s">
        <v>179</v>
      </c>
      <c r="AG148" s="4">
        <f>IFERROR(IF(A135=0,E148/11,LEFT(E148,1)),"")</f>
        <v>1</v>
      </c>
    </row>
    <row r="149" spans="1:33" s="4" customFormat="1" ht="15.95" customHeight="1" x14ac:dyDescent="0.35">
      <c r="A149" s="8" t="str">
        <f>IFERROR(IF(A135=0,A141*11,A141&amp;A141),"-")</f>
        <v>-</v>
      </c>
      <c r="B149" s="7" t="str">
        <f t="shared" ca="1" si="41"/>
        <v/>
      </c>
      <c r="C149" s="7" t="str">
        <f t="shared" ca="1" si="42"/>
        <v/>
      </c>
      <c r="D149" s="55">
        <v>14</v>
      </c>
      <c r="E149" s="17" t="str">
        <f t="shared" si="43"/>
        <v>-</v>
      </c>
      <c r="F149" s="18" t="str">
        <f>IFERROR(IF(A135=0,HLOOKUP(E149,Declarations!$D$2:$S$102,B133,FALSE),HLOOKUP(VLOOKUP(E149,Teams!$V$2:$W$19,2,FALSE),Declarations!$D$2:$S$102,B133,FALSE)),"")</f>
        <v/>
      </c>
      <c r="G149" s="18" t="str">
        <f t="shared" si="40"/>
        <v/>
      </c>
      <c r="H149" s="524">
        <f ca="1">IFERROR(INDIRECT(CONCATENATE("'Distance Input'!"&amp;B134&amp;C134+13)),"")</f>
        <v>0</v>
      </c>
      <c r="I149" s="525"/>
      <c r="J149" s="524">
        <v>0</v>
      </c>
      <c r="K149" s="525"/>
      <c r="L149" s="524">
        <v>0</v>
      </c>
      <c r="M149" s="525"/>
      <c r="N149" s="539">
        <f t="shared" ca="1" si="44"/>
        <v>0</v>
      </c>
      <c r="O149" s="540"/>
      <c r="P149" s="55">
        <v>0</v>
      </c>
      <c r="Q149" s="541">
        <v>0</v>
      </c>
      <c r="R149" s="541"/>
      <c r="S149" s="541">
        <v>0</v>
      </c>
      <c r="T149" s="541"/>
      <c r="U149" s="541">
        <v>0</v>
      </c>
      <c r="V149" s="541"/>
      <c r="W149" s="524">
        <f t="shared" ca="1" si="45"/>
        <v>0</v>
      </c>
      <c r="X149" s="525"/>
      <c r="Y149" s="55">
        <f ca="1">IF(OR(W149="",W149=0),0,IF(W149="X",MatchDay!$U$2+MatchDay!$U$2+1-COUNTIF(Distance!W136:W149,"X"),RANK(W149,$W136:$X151,0)))</f>
        <v>0</v>
      </c>
      <c r="Z149" s="19">
        <f ca="1">IFERROR(IF(Y149=0,0,IF(VLOOKUP(AG149,E136:Y143,21,FALSE)=0,"A",IF(Y149&gt;=VLOOKUP(AG149,E136:Y143,21,FALSE),"B","A"))),"")</f>
        <v>0</v>
      </c>
      <c r="AA149" s="19" t="str">
        <f ca="1">IFERROR(IF(Z149="B","",RANK(AD149,AD136:AD151,1)),"")</f>
        <v/>
      </c>
      <c r="AB149" s="19" t="str">
        <f ca="1">IFERROR(IF(Z149="A","",RANK(AE149,AE136:AE151,1)),"")</f>
        <v/>
      </c>
      <c r="AD149" s="9" t="str">
        <f t="shared" ca="1" si="46"/>
        <v/>
      </c>
      <c r="AE149" s="9" t="str">
        <f t="shared" ca="1" si="47"/>
        <v/>
      </c>
      <c r="AF149" s="9" t="s">
        <v>179</v>
      </c>
      <c r="AG149" s="4" t="str">
        <f>IFERROR(IF(A135=0,E149/11,LEFT(E149,1)),"")</f>
        <v/>
      </c>
    </row>
    <row r="150" spans="1:33" s="4" customFormat="1" ht="15.95" customHeight="1" x14ac:dyDescent="0.35">
      <c r="A150" s="8" t="str">
        <f>IFERROR(IF(A135=0,A142*11,A142&amp;A142),"-")</f>
        <v>-</v>
      </c>
      <c r="B150" s="7" t="str">
        <f t="shared" ca="1" si="41"/>
        <v/>
      </c>
      <c r="C150" s="7" t="str">
        <f t="shared" ca="1" si="42"/>
        <v/>
      </c>
      <c r="D150" s="55">
        <v>15</v>
      </c>
      <c r="E150" s="17" t="str">
        <f t="shared" si="43"/>
        <v>-</v>
      </c>
      <c r="F150" s="18" t="str">
        <f>IFERROR(IF(A135=0,HLOOKUP(E150,Declarations!$D$2:$S$102,B133,FALSE),HLOOKUP(VLOOKUP(E150,Teams!$V$2:$W$19,2,FALSE),Declarations!$D$2:$S$102,B133,FALSE)),"")</f>
        <v/>
      </c>
      <c r="G150" s="18" t="str">
        <f t="shared" si="40"/>
        <v/>
      </c>
      <c r="H150" s="524">
        <f ca="1">IFERROR(INDIRECT(CONCATENATE("'Distance Input'!"&amp;B134&amp;C134+14)),"")</f>
        <v>0</v>
      </c>
      <c r="I150" s="525"/>
      <c r="J150" s="524">
        <v>0</v>
      </c>
      <c r="K150" s="525"/>
      <c r="L150" s="524">
        <v>0</v>
      </c>
      <c r="M150" s="525"/>
      <c r="N150" s="539">
        <f t="shared" ca="1" si="44"/>
        <v>0</v>
      </c>
      <c r="O150" s="540"/>
      <c r="P150" s="55">
        <v>0</v>
      </c>
      <c r="Q150" s="541">
        <v>0</v>
      </c>
      <c r="R150" s="541"/>
      <c r="S150" s="541">
        <v>0</v>
      </c>
      <c r="T150" s="541"/>
      <c r="U150" s="541">
        <v>0</v>
      </c>
      <c r="V150" s="541"/>
      <c r="W150" s="524">
        <f t="shared" ca="1" si="45"/>
        <v>0</v>
      </c>
      <c r="X150" s="525"/>
      <c r="Y150" s="55">
        <f ca="1">IF(OR(W150="",W150=0),0,IF(W150="X",MatchDay!$U$2+MatchDay!$U$2+1-COUNTIF(Distance!W136:W150,"X"),RANK(W150,$W136:$X151,0)))</f>
        <v>0</v>
      </c>
      <c r="Z150" s="19">
        <f ca="1">IFERROR(IF(Y150=0,0,IF(VLOOKUP(AG150,E136:Y143,21,FALSE)=0,"A",IF(Y150&gt;=VLOOKUP(AG150,E136:Y143,21,FALSE),"B","A"))),"")</f>
        <v>0</v>
      </c>
      <c r="AA150" s="19" t="str">
        <f ca="1">IFERROR(IF(Z150="B","",RANK(AD150,AD136:AD151,1)),"")</f>
        <v/>
      </c>
      <c r="AB150" s="19" t="str">
        <f ca="1">IFERROR(IF(Z150="A","",RANK(AE150,AE136:AE151,1)),"")</f>
        <v/>
      </c>
      <c r="AD150" s="9" t="str">
        <f t="shared" ca="1" si="46"/>
        <v/>
      </c>
      <c r="AE150" s="9" t="str">
        <f t="shared" ca="1" si="47"/>
        <v/>
      </c>
      <c r="AF150" s="9" t="s">
        <v>179</v>
      </c>
      <c r="AG150" s="4" t="str">
        <f>IFERROR(IF(A135=0,E150/11,LEFT(E150,1)),"")</f>
        <v/>
      </c>
    </row>
    <row r="151" spans="1:33" s="4" customFormat="1" ht="15.95" customHeight="1" x14ac:dyDescent="0.35">
      <c r="A151" s="8" t="str">
        <f>IFERROR(IF(A135=0,A143*11,A143&amp;A143),"-")</f>
        <v>-</v>
      </c>
      <c r="B151" s="7" t="str">
        <f t="shared" ca="1" si="41"/>
        <v/>
      </c>
      <c r="C151" s="7" t="str">
        <f t="shared" ca="1" si="42"/>
        <v/>
      </c>
      <c r="D151" s="55">
        <v>16</v>
      </c>
      <c r="E151" s="17" t="str">
        <f t="shared" si="43"/>
        <v>-</v>
      </c>
      <c r="F151" s="18" t="str">
        <f>IFERROR(IF(A135=0,HLOOKUP(E151,Declarations!$D$2:$S$102,B133,FALSE),HLOOKUP(VLOOKUP(E151,Teams!$V$2:$W$19,2,FALSE),Declarations!$D$2:$S$102,B133,FALSE)),"")</f>
        <v/>
      </c>
      <c r="G151" s="18" t="str">
        <f t="shared" si="40"/>
        <v/>
      </c>
      <c r="H151" s="524">
        <f ca="1">IFERROR(INDIRECT(CONCATENATE("'Distance Input'!"&amp;B134&amp;C134+15)),"")</f>
        <v>0</v>
      </c>
      <c r="I151" s="525"/>
      <c r="J151" s="524">
        <v>0</v>
      </c>
      <c r="K151" s="525"/>
      <c r="L151" s="524">
        <v>0</v>
      </c>
      <c r="M151" s="525"/>
      <c r="N151" s="539">
        <f t="shared" ca="1" si="44"/>
        <v>0</v>
      </c>
      <c r="O151" s="540"/>
      <c r="P151" s="55">
        <v>0</v>
      </c>
      <c r="Q151" s="541">
        <v>0</v>
      </c>
      <c r="R151" s="541"/>
      <c r="S151" s="541">
        <v>0</v>
      </c>
      <c r="T151" s="541"/>
      <c r="U151" s="541">
        <v>0</v>
      </c>
      <c r="V151" s="541"/>
      <c r="W151" s="524">
        <f t="shared" ca="1" si="45"/>
        <v>0</v>
      </c>
      <c r="X151" s="525"/>
      <c r="Y151" s="55">
        <f ca="1">IF(OR(W151="",W151=0),0,IF(W151="X",MatchDay!$U$2+MatchDay!$U$2+1-COUNTIF(Distance!W136:W151,"X"),RANK(W151,$W136:$X151,0)))</f>
        <v>0</v>
      </c>
      <c r="Z151" s="19">
        <f ca="1">IFERROR(IF(Y151=0,0,IF(VLOOKUP(AG151,E136:Y143,21,FALSE)=0,"A",IF(Y151&gt;=VLOOKUP(AG151,E136:Y143,21,FALSE),"B","A"))),"")</f>
        <v>0</v>
      </c>
      <c r="AA151" s="19" t="str">
        <f ca="1">IFERROR(IF(Z151="B","",RANK(AD151,AD136:AD151,1)),"")</f>
        <v/>
      </c>
      <c r="AB151" s="19" t="str">
        <f ca="1">IFERROR(IF(Z151="A","",RANK(AE151,AE136:AE151,1)),"")</f>
        <v/>
      </c>
      <c r="AD151" s="9" t="str">
        <f t="shared" ca="1" si="46"/>
        <v/>
      </c>
      <c r="AE151" s="9" t="str">
        <f t="shared" ca="1" si="47"/>
        <v/>
      </c>
      <c r="AF151" s="9" t="s">
        <v>179</v>
      </c>
      <c r="AG151" s="4" t="str">
        <f>IFERROR(IF(A135=0,E151/11,LEFT(E151,1)),"")</f>
        <v/>
      </c>
    </row>
    <row r="152" spans="1:33" s="4" customFormat="1" ht="11.65" x14ac:dyDescent="0.45">
      <c r="A152" s="8"/>
      <c r="B152" s="10"/>
      <c r="C152" s="3"/>
      <c r="D152" s="20"/>
      <c r="E152" s="20"/>
      <c r="F152" s="21"/>
      <c r="G152" s="21"/>
      <c r="H152" s="20"/>
      <c r="I152" s="20"/>
      <c r="J152" s="20"/>
      <c r="K152" s="20"/>
      <c r="L152" s="20"/>
      <c r="M152" s="20"/>
      <c r="N152" s="20"/>
      <c r="O152" s="20"/>
      <c r="P152" s="20"/>
      <c r="Q152" s="20"/>
      <c r="R152" s="20"/>
      <c r="S152" s="20"/>
      <c r="T152" s="20"/>
      <c r="U152" s="20"/>
      <c r="V152" s="20"/>
      <c r="W152" s="20"/>
      <c r="X152" s="20"/>
      <c r="Y152" s="20"/>
      <c r="Z152" s="20"/>
      <c r="AA152" s="20"/>
      <c r="AB152" s="22"/>
    </row>
    <row r="153" spans="1:33" s="4" customFormat="1" ht="11.65" x14ac:dyDescent="0.45">
      <c r="A153" s="8"/>
      <c r="B153" s="10"/>
      <c r="C153" s="3"/>
      <c r="D153" s="533" t="s">
        <v>180</v>
      </c>
      <c r="E153" s="547"/>
      <c r="F153" s="547"/>
      <c r="G153" s="547"/>
      <c r="H153" s="547"/>
      <c r="I153" s="547"/>
      <c r="J153" s="512" t="s">
        <v>181</v>
      </c>
      <c r="K153" s="548"/>
      <c r="L153" s="548"/>
      <c r="M153" s="548"/>
      <c r="N153" s="548"/>
      <c r="O153" s="548"/>
      <c r="P153" s="548"/>
      <c r="Q153" s="548"/>
      <c r="R153" s="548"/>
      <c r="S153" s="548"/>
      <c r="T153" s="548"/>
      <c r="U153" s="549"/>
      <c r="V153" s="512" t="s">
        <v>182</v>
      </c>
      <c r="W153" s="513"/>
      <c r="X153" s="513"/>
      <c r="Y153" s="513"/>
      <c r="Z153" s="513"/>
      <c r="AA153" s="513"/>
      <c r="AB153" s="514"/>
    </row>
    <row r="154" spans="1:33" s="4" customFormat="1" ht="11.65" x14ac:dyDescent="0.45">
      <c r="A154" s="8" t="s">
        <v>55</v>
      </c>
      <c r="B154" s="10"/>
      <c r="C154" s="3"/>
      <c r="D154" s="12"/>
      <c r="E154" s="55" t="s">
        <v>183</v>
      </c>
      <c r="F154" s="55" t="s">
        <v>165</v>
      </c>
      <c r="G154" s="55" t="s">
        <v>166</v>
      </c>
      <c r="H154" s="533" t="s">
        <v>184</v>
      </c>
      <c r="I154" s="533"/>
      <c r="J154" s="23"/>
      <c r="K154" s="54" t="s">
        <v>183</v>
      </c>
      <c r="L154" s="512" t="s">
        <v>165</v>
      </c>
      <c r="M154" s="513"/>
      <c r="N154" s="513"/>
      <c r="O154" s="514"/>
      <c r="P154" s="512" t="s">
        <v>166</v>
      </c>
      <c r="Q154" s="513"/>
      <c r="R154" s="513"/>
      <c r="S154" s="514"/>
      <c r="T154" s="512" t="s">
        <v>184</v>
      </c>
      <c r="U154" s="514"/>
      <c r="V154" s="24"/>
      <c r="W154" s="25"/>
      <c r="X154" s="25"/>
      <c r="Y154" s="25"/>
      <c r="Z154" s="25"/>
      <c r="AA154" s="25"/>
      <c r="AB154" s="26"/>
    </row>
    <row r="155" spans="1:33" s="4" customFormat="1" ht="15.95" customHeight="1" x14ac:dyDescent="0.45">
      <c r="A155" s="11" t="str">
        <f>IFERROR(VLOOKUP(A132,standards,3,FALSE),"-")</f>
        <v>-</v>
      </c>
      <c r="B155" s="10">
        <v>1</v>
      </c>
      <c r="C155" s="3"/>
      <c r="D155" s="55">
        <v>1</v>
      </c>
      <c r="E155" s="19">
        <f ca="1">IFERROR(IF(OR(H136=98,H136=99),H136,VLOOKUP(B155,B136:E151,4,FALSE)),0)</f>
        <v>2</v>
      </c>
      <c r="F155" s="27" t="str">
        <f ca="1">IFERROR(VLOOKUP(E155,$E136:$F151,2,FALSE),"")</f>
        <v>KYNOCH Ella</v>
      </c>
      <c r="G155" s="18" t="str">
        <f t="shared" ref="G155:G162" ca="1" si="48">IFERROR(VLOOKUP(E155,teamlookup,5,FALSE),"-")</f>
        <v>Sheff+D</v>
      </c>
      <c r="H155" s="542">
        <f ca="1">IFERROR(VLOOKUP(E155,E136:X151,19,FALSE),"")</f>
        <v>28.23</v>
      </c>
      <c r="I155" s="543"/>
      <c r="J155" s="55">
        <v>1</v>
      </c>
      <c r="K155" s="55">
        <f ca="1">IFERROR(VLOOKUP(B155,C136:X151,3,FALSE),"")</f>
        <v>22</v>
      </c>
      <c r="L155" s="544" t="str">
        <f ca="1">IFERROR(VLOOKUP(K155,$E136:$F151,2,FALSE),"")</f>
        <v>JELONKIEWICZ Viktoria</v>
      </c>
      <c r="M155" s="545"/>
      <c r="N155" s="545"/>
      <c r="O155" s="546"/>
      <c r="P155" s="544" t="str">
        <f t="shared" ref="P155:P162" ca="1" si="49">IFERROR(VLOOKUP(K155,teamlookup,5,FALSE),"-")</f>
        <v>Sheff+D</v>
      </c>
      <c r="Q155" s="545"/>
      <c r="R155" s="545"/>
      <c r="S155" s="546"/>
      <c r="T155" s="524">
        <f ca="1">IFERROR(VLOOKUP(K155,E136:X151,19,FALSE),"")</f>
        <v>17.149999999999999</v>
      </c>
      <c r="U155" s="525"/>
      <c r="V155" s="28"/>
      <c r="W155" s="29"/>
      <c r="X155" s="29"/>
      <c r="Y155" s="29"/>
      <c r="Z155" s="29"/>
      <c r="AA155" s="29"/>
      <c r="AB155" s="30"/>
    </row>
    <row r="156" spans="1:33" s="4" customFormat="1" ht="15.95" customHeight="1" x14ac:dyDescent="0.45">
      <c r="A156" s="11" t="str">
        <f>IFERROR(VLOOKUP(A132,standards,4,FALSE),"-")</f>
        <v>-</v>
      </c>
      <c r="B156" s="10">
        <v>2</v>
      </c>
      <c r="C156" s="3"/>
      <c r="D156" s="55">
        <v>2</v>
      </c>
      <c r="E156" s="19">
        <f ca="1">IFERROR(VLOOKUP(B156,B136:E151,4,FALSE),"")</f>
        <v>3</v>
      </c>
      <c r="F156" s="27" t="str">
        <f ca="1">IFERROR(VLOOKUP(E156,$E136:$F151,2,FALSE),"")</f>
        <v>BROOKS Carmen</v>
      </c>
      <c r="G156" s="18" t="str">
        <f t="shared" ca="1" si="48"/>
        <v>York</v>
      </c>
      <c r="H156" s="542">
        <f ca="1">IFERROR(VLOOKUP(E156,E136:X151,19,FALSE),"")</f>
        <v>20.52</v>
      </c>
      <c r="I156" s="543"/>
      <c r="J156" s="55">
        <v>2</v>
      </c>
      <c r="K156" s="55">
        <f ca="1">IFERROR(VLOOKUP(B156,C136:X151,3,FALSE),"")</f>
        <v>33</v>
      </c>
      <c r="L156" s="544" t="str">
        <f ca="1">IFERROR(VLOOKUP(K156,$E136:$F151,2,FALSE),"")</f>
        <v>LEE Isabel</v>
      </c>
      <c r="M156" s="545"/>
      <c r="N156" s="545"/>
      <c r="O156" s="546"/>
      <c r="P156" s="544" t="str">
        <f t="shared" ca="1" si="49"/>
        <v>York</v>
      </c>
      <c r="Q156" s="545"/>
      <c r="R156" s="545"/>
      <c r="S156" s="546"/>
      <c r="T156" s="524">
        <f ca="1">IFERROR(VLOOKUP(K156,E136:X151,19,FALSE),"")</f>
        <v>14.1</v>
      </c>
      <c r="U156" s="525"/>
      <c r="V156" s="24"/>
      <c r="W156" s="25"/>
      <c r="X156" s="25"/>
      <c r="Y156" s="25"/>
      <c r="Z156" s="25"/>
      <c r="AA156" s="25"/>
      <c r="AB156" s="26"/>
    </row>
    <row r="157" spans="1:33" s="4" customFormat="1" ht="15.95" customHeight="1" x14ac:dyDescent="0.45">
      <c r="A157" s="11" t="str">
        <f>IFERROR(VLOOKUP(A132,standards,5,FALSE),"-")</f>
        <v>-</v>
      </c>
      <c r="B157" s="10">
        <v>3</v>
      </c>
      <c r="C157" s="3"/>
      <c r="D157" s="55">
        <v>3</v>
      </c>
      <c r="E157" s="19">
        <f ca="1">IFERROR(VLOOKUP(B157,B136:E151,4,FALSE),"")</f>
        <v>4</v>
      </c>
      <c r="F157" s="27" t="str">
        <f ca="1">IFERROR(VLOOKUP(E157,$E136:$F151,2,FALSE),"")</f>
        <v>DORAN Bethany</v>
      </c>
      <c r="G157" s="18" t="str">
        <f t="shared" ca="1" si="48"/>
        <v>M'bro</v>
      </c>
      <c r="H157" s="542">
        <f ca="1">IFERROR(VLOOKUP(E157,E136:X151,19,FALSE),"")</f>
        <v>16.43</v>
      </c>
      <c r="I157" s="543"/>
      <c r="J157" s="55">
        <v>3</v>
      </c>
      <c r="K157" s="55">
        <f ca="1">IFERROR(VLOOKUP(B157,C136:X151,3,FALSE),"")</f>
        <v>44</v>
      </c>
      <c r="L157" s="544" t="str">
        <f ca="1">IFERROR(VLOOKUP(K157,$E136:$F151,2,FALSE),"")</f>
        <v>MANNION Grace</v>
      </c>
      <c r="M157" s="545"/>
      <c r="N157" s="545"/>
      <c r="O157" s="546"/>
      <c r="P157" s="544" t="str">
        <f t="shared" ca="1" si="49"/>
        <v>M'bro</v>
      </c>
      <c r="Q157" s="545"/>
      <c r="R157" s="545"/>
      <c r="S157" s="546"/>
      <c r="T157" s="524">
        <f ca="1">IFERROR(VLOOKUP(K157,E136:X151,19,FALSE),"")</f>
        <v>11.92</v>
      </c>
      <c r="U157" s="525"/>
      <c r="V157" s="28"/>
      <c r="W157" s="29"/>
      <c r="X157" s="29"/>
      <c r="Y157" s="29"/>
      <c r="Z157" s="29"/>
      <c r="AA157" s="29"/>
      <c r="AB157" s="30"/>
    </row>
    <row r="158" spans="1:33" s="4" customFormat="1" ht="15.95" customHeight="1" x14ac:dyDescent="0.45">
      <c r="A158" s="11" t="str">
        <f>IFERROR(VLOOKUP(A132,AAA!A:F,6,FALSE),"-")</f>
        <v>-</v>
      </c>
      <c r="B158" s="10">
        <v>4</v>
      </c>
      <c r="C158" s="3"/>
      <c r="D158" s="55">
        <v>4</v>
      </c>
      <c r="E158" s="19">
        <f ca="1">IFERROR(VLOOKUP(B158,B136:E151,4,FALSE),"")</f>
        <v>5</v>
      </c>
      <c r="F158" s="27" t="str">
        <f ca="1">IFERROR(VLOOKUP(E158,$E136:$F151,2,FALSE),"")</f>
        <v>THIRKETTLE Charlotte</v>
      </c>
      <c r="G158" s="18" t="str">
        <f t="shared" ca="1" si="48"/>
        <v>Scun</v>
      </c>
      <c r="H158" s="542">
        <f ca="1">IFERROR(VLOOKUP(E158,E136:X151,19,FALSE),"")</f>
        <v>15.65</v>
      </c>
      <c r="I158" s="543"/>
      <c r="J158" s="55">
        <v>4</v>
      </c>
      <c r="K158" s="55">
        <f ca="1">IFERROR(VLOOKUP(B158,C136:X151,3,FALSE),"")</f>
        <v>11</v>
      </c>
      <c r="L158" s="544" t="str">
        <f ca="1">IFERROR(VLOOKUP(K158,$E136:$F151,2,FALSE),"")</f>
        <v>HIGHAM Ruby</v>
      </c>
      <c r="M158" s="545"/>
      <c r="N158" s="545"/>
      <c r="O158" s="546"/>
      <c r="P158" s="544" t="str">
        <f t="shared" ca="1" si="49"/>
        <v>C'field</v>
      </c>
      <c r="Q158" s="545"/>
      <c r="R158" s="545"/>
      <c r="S158" s="546"/>
      <c r="T158" s="524">
        <f ca="1">IFERROR(VLOOKUP(K158,E136:X151,19,FALSE),"")</f>
        <v>10.61</v>
      </c>
      <c r="U158" s="525"/>
      <c r="V158" s="24"/>
      <c r="W158" s="25"/>
      <c r="X158" s="25"/>
      <c r="Y158" s="25"/>
      <c r="Z158" s="25"/>
      <c r="AA158" s="25"/>
      <c r="AB158" s="26"/>
    </row>
    <row r="159" spans="1:33" s="4" customFormat="1" ht="15.95" customHeight="1" x14ac:dyDescent="0.45">
      <c r="A159" s="8"/>
      <c r="B159" s="10">
        <v>5</v>
      </c>
      <c r="C159" s="3"/>
      <c r="D159" s="55">
        <v>5</v>
      </c>
      <c r="E159" s="19">
        <f ca="1">IFERROR(VLOOKUP(B159,B136:E151,4,FALSE),"")</f>
        <v>1</v>
      </c>
      <c r="F159" s="27" t="str">
        <f ca="1">IFERROR(VLOOKUP(E159,$E136:$F151,2,FALSE),"")</f>
        <v>LABAN Ella</v>
      </c>
      <c r="G159" s="18" t="str">
        <f t="shared" ca="1" si="48"/>
        <v>C'field</v>
      </c>
      <c r="H159" s="542">
        <f ca="1">IFERROR(VLOOKUP(E159,E136:X151,19,FALSE),"")</f>
        <v>15.03</v>
      </c>
      <c r="I159" s="543"/>
      <c r="J159" s="55">
        <v>5</v>
      </c>
      <c r="K159" s="55" t="str">
        <f ca="1">IFERROR(VLOOKUP(B159,C136:X151,3,FALSE),"")</f>
        <v/>
      </c>
      <c r="L159" s="544" t="str">
        <f ca="1">IFERROR(VLOOKUP(K159,$E136:$F151,2,FALSE),"")</f>
        <v/>
      </c>
      <c r="M159" s="545"/>
      <c r="N159" s="545"/>
      <c r="O159" s="546"/>
      <c r="P159" s="544" t="str">
        <f t="shared" ca="1" si="49"/>
        <v>-</v>
      </c>
      <c r="Q159" s="545"/>
      <c r="R159" s="545"/>
      <c r="S159" s="546"/>
      <c r="T159" s="524" t="str">
        <f ca="1">IFERROR(VLOOKUP(K159,E136:X151,19,FALSE),"")</f>
        <v/>
      </c>
      <c r="U159" s="525"/>
      <c r="V159" s="28"/>
      <c r="W159" s="29"/>
      <c r="X159" s="29"/>
      <c r="Y159" s="29"/>
      <c r="Z159" s="29"/>
      <c r="AA159" s="29"/>
      <c r="AB159" s="30"/>
    </row>
    <row r="160" spans="1:33" s="4" customFormat="1" ht="15.95" customHeight="1" x14ac:dyDescent="0.45">
      <c r="A160" s="8" t="s">
        <v>204</v>
      </c>
      <c r="B160" s="10">
        <v>6</v>
      </c>
      <c r="C160" s="3"/>
      <c r="D160" s="55">
        <v>6</v>
      </c>
      <c r="E160" s="19" t="str">
        <f ca="1">IFERROR(VLOOKUP(B160,B136:E151,4,FALSE),"")</f>
        <v/>
      </c>
      <c r="F160" s="27" t="str">
        <f ca="1">IFERROR(VLOOKUP(E160,$E136:$F151,2,FALSE),"")</f>
        <v/>
      </c>
      <c r="G160" s="18" t="str">
        <f t="shared" ca="1" si="48"/>
        <v>-</v>
      </c>
      <c r="H160" s="542" t="str">
        <f ca="1">IFERROR(VLOOKUP(E160,E136:X151,19,FALSE),"")</f>
        <v/>
      </c>
      <c r="I160" s="543"/>
      <c r="J160" s="55">
        <v>6</v>
      </c>
      <c r="K160" s="55" t="str">
        <f ca="1">IFERROR(VLOOKUP(B160,C136:X151,3,FALSE),"")</f>
        <v/>
      </c>
      <c r="L160" s="544" t="str">
        <f ca="1">IFERROR(VLOOKUP(K160,$E136:$F151,2,FALSE),"")</f>
        <v/>
      </c>
      <c r="M160" s="545"/>
      <c r="N160" s="545"/>
      <c r="O160" s="546"/>
      <c r="P160" s="544" t="str">
        <f t="shared" ca="1" si="49"/>
        <v>-</v>
      </c>
      <c r="Q160" s="545"/>
      <c r="R160" s="545"/>
      <c r="S160" s="546"/>
      <c r="T160" s="524" t="str">
        <f ca="1">IFERROR(VLOOKUP(K160,E136:X151,19,FALSE),"")</f>
        <v/>
      </c>
      <c r="U160" s="525"/>
      <c r="V160" s="512" t="s">
        <v>185</v>
      </c>
      <c r="W160" s="513"/>
      <c r="X160" s="513"/>
      <c r="Y160" s="513"/>
      <c r="Z160" s="513"/>
      <c r="AA160" s="513"/>
      <c r="AB160" s="514"/>
    </row>
    <row r="161" spans="1:33" s="4" customFormat="1" ht="15.95" customHeight="1" x14ac:dyDescent="0.45">
      <c r="A161" s="8">
        <f>IFERROR(VLOOKUP(A132,records,5,FALSE),"")</f>
        <v>39.94</v>
      </c>
      <c r="B161" s="10">
        <v>7</v>
      </c>
      <c r="C161" s="3"/>
      <c r="D161" s="55">
        <v>7</v>
      </c>
      <c r="E161" s="19" t="str">
        <f ca="1">IFERROR(VLOOKUP(B161,B136:E151,4,FALSE),"")</f>
        <v/>
      </c>
      <c r="F161" s="27" t="str">
        <f ca="1">IFERROR(VLOOKUP(E161,$E136:$F151,2,FALSE),"")</f>
        <v/>
      </c>
      <c r="G161" s="18" t="str">
        <f t="shared" ca="1" si="48"/>
        <v>-</v>
      </c>
      <c r="H161" s="542" t="str">
        <f ca="1">IFERROR(VLOOKUP(E161,E136:X151,19,FALSE),"")</f>
        <v/>
      </c>
      <c r="I161" s="543"/>
      <c r="J161" s="55">
        <v>7</v>
      </c>
      <c r="K161" s="55" t="str">
        <f ca="1">IFERROR(VLOOKUP(B161,C136:X151,3,FALSE),"")</f>
        <v/>
      </c>
      <c r="L161" s="544" t="str">
        <f ca="1">IFERROR(VLOOKUP(K161,$E136:$F151,2,FALSE),"")</f>
        <v/>
      </c>
      <c r="M161" s="545"/>
      <c r="N161" s="545"/>
      <c r="O161" s="546"/>
      <c r="P161" s="544" t="str">
        <f t="shared" ca="1" si="49"/>
        <v>-</v>
      </c>
      <c r="Q161" s="545"/>
      <c r="R161" s="545"/>
      <c r="S161" s="546"/>
      <c r="T161" s="524" t="str">
        <f ca="1">IFERROR(VLOOKUP(K161,E136:X151,19,FALSE),"")</f>
        <v/>
      </c>
      <c r="U161" s="525"/>
      <c r="V161" s="24"/>
      <c r="W161" s="25"/>
      <c r="X161" s="25"/>
      <c r="Y161" s="25"/>
      <c r="Z161" s="25"/>
      <c r="AA161" s="25"/>
      <c r="AB161" s="26"/>
    </row>
    <row r="162" spans="1:33" s="4" customFormat="1" ht="15.95" customHeight="1" x14ac:dyDescent="0.45">
      <c r="A162" s="8"/>
      <c r="B162" s="10">
        <v>8</v>
      </c>
      <c r="C162" s="3"/>
      <c r="D162" s="55">
        <v>8</v>
      </c>
      <c r="E162" s="19" t="str">
        <f ca="1">IFERROR(VLOOKUP(B162,B136:E151,4,FALSE),"")</f>
        <v/>
      </c>
      <c r="F162" s="27" t="str">
        <f ca="1">IFERROR(VLOOKUP(E162,$E136:$F151,2,FALSE),"")</f>
        <v/>
      </c>
      <c r="G162" s="18" t="str">
        <f t="shared" ca="1" si="48"/>
        <v>-</v>
      </c>
      <c r="H162" s="542" t="str">
        <f ca="1">IFERROR(VLOOKUP(E162,E136:X151,19,FALSE),"")</f>
        <v/>
      </c>
      <c r="I162" s="543"/>
      <c r="J162" s="55">
        <v>8</v>
      </c>
      <c r="K162" s="55" t="str">
        <f ca="1">IFERROR(VLOOKUP(B162,C136:X151,3,FALSE),"")</f>
        <v/>
      </c>
      <c r="L162" s="544" t="str">
        <f ca="1">IFERROR(VLOOKUP(K162,$E136:$F151,2,FALSE),"")</f>
        <v/>
      </c>
      <c r="M162" s="545"/>
      <c r="N162" s="545"/>
      <c r="O162" s="546"/>
      <c r="P162" s="544" t="str">
        <f t="shared" ca="1" si="49"/>
        <v>-</v>
      </c>
      <c r="Q162" s="545"/>
      <c r="R162" s="545"/>
      <c r="S162" s="546"/>
      <c r="T162" s="524" t="str">
        <f ca="1">IFERROR(VLOOKUP(K162,E136:X151,19,FALSE),"")</f>
        <v/>
      </c>
      <c r="U162" s="525"/>
      <c r="V162" s="28"/>
      <c r="W162" s="29"/>
      <c r="X162" s="29"/>
      <c r="Y162" s="29"/>
      <c r="Z162" s="29"/>
      <c r="AA162" s="29"/>
      <c r="AB162" s="30"/>
    </row>
    <row r="163" spans="1:33" s="4" customFormat="1" ht="21" x14ac:dyDescent="0.45">
      <c r="A163" s="2" t="str">
        <f>MatchDay!$U$6</f>
        <v>X</v>
      </c>
      <c r="B163" s="8"/>
      <c r="C163" s="3"/>
      <c r="D163" s="502" t="s">
        <v>186</v>
      </c>
      <c r="E163" s="503"/>
      <c r="F163" s="503"/>
      <c r="G163" s="503"/>
      <c r="H163" s="503"/>
      <c r="I163" s="503"/>
      <c r="J163" s="503"/>
      <c r="K163" s="515" t="s">
        <v>187</v>
      </c>
      <c r="L163" s="516"/>
      <c r="M163" s="516"/>
      <c r="N163" s="516"/>
      <c r="O163" s="518" t="str">
        <f>MatchDay!$C$2&amp;" "&amp;MatchDay!$C$3&amp;" "&amp;MatchDay!$C$4</f>
        <v>LOWER NORTH East 1</v>
      </c>
      <c r="P163" s="519"/>
      <c r="Q163" s="519"/>
      <c r="R163" s="519"/>
      <c r="S163" s="519"/>
      <c r="T163" s="519"/>
      <c r="U163" s="519"/>
      <c r="V163" s="519"/>
      <c r="W163" s="519"/>
      <c r="X163" s="519"/>
      <c r="Y163" s="519"/>
      <c r="Z163" s="519"/>
      <c r="AA163" s="519"/>
      <c r="AB163" s="520"/>
    </row>
    <row r="164" spans="1:33" s="4" customFormat="1" ht="15.75" customHeight="1" x14ac:dyDescent="0.45">
      <c r="A164" s="1" t="str">
        <f>IFERROR(IF(LEFT(MatchDay!$C$2,1)="L","L"&amp;A166,"U"&amp;A166),"")</f>
        <v>LFD06</v>
      </c>
      <c r="B164" s="10">
        <v>187</v>
      </c>
      <c r="C164" s="3"/>
      <c r="D164" s="512" t="s">
        <v>188</v>
      </c>
      <c r="E164" s="514"/>
      <c r="F164" s="513" t="str">
        <f>IFERROR(UPPER(VLOOKUP(A165,teamlookup,6,FALSE)),"")</f>
        <v/>
      </c>
      <c r="G164" s="514"/>
      <c r="H164" s="504" t="s">
        <v>201</v>
      </c>
      <c r="I164" s="510"/>
      <c r="J164" s="505"/>
      <c r="K164" s="512" t="str">
        <f>MatchDay!$C$8</f>
        <v>@ Doncaster</v>
      </c>
      <c r="L164" s="513"/>
      <c r="M164" s="513"/>
      <c r="N164" s="513"/>
      <c r="O164" s="513"/>
      <c r="P164" s="514"/>
      <c r="Q164" s="504" t="s">
        <v>160</v>
      </c>
      <c r="R164" s="505"/>
      <c r="S164" s="521">
        <f>MatchDay!$C$7</f>
        <v>43582</v>
      </c>
      <c r="T164" s="522"/>
      <c r="U164" s="522"/>
      <c r="V164" s="522"/>
      <c r="W164" s="522"/>
      <c r="X164" s="523"/>
      <c r="Y164" s="526" t="str">
        <f>IFERROR(IF(LEFT(A164,1)="L","",VLOOKUP(A164,AAA!$A:$I,8,FALSE)),"")</f>
        <v/>
      </c>
      <c r="Z164" s="527"/>
      <c r="AA164" s="524" t="str">
        <f>IFERROR(IF(LEFT(A164,1)="L","",VLOOKUP(A164,standards,9,FALSE)),"")</f>
        <v/>
      </c>
      <c r="AB164" s="525"/>
      <c r="AC164" s="6"/>
      <c r="AD164" s="6"/>
    </row>
    <row r="165" spans="1:33" s="4" customFormat="1" ht="15.75" customHeight="1" x14ac:dyDescent="0.45">
      <c r="A165" s="5">
        <f>IFERROR(IF(A163=1,VLOOKUP(A164,judges,VLOOKUP(MatchDay!$U$2*10+MatchDay!$C$5,judgesp,5,FALSE),FALSE),VLOOKUP(Distance!A164,judges,VLOOKUP(MatchDay!$U$2*10+MatchDay!$C$5,judges2,5,FALSE),FALSE)),"")</f>
        <v>0</v>
      </c>
      <c r="B165" s="181">
        <f>IFERROR(VLOOKUP(A164,Timetables!$A:$E,5,FALSE)-1,"")</f>
        <v>67</v>
      </c>
      <c r="C165" s="3"/>
      <c r="D165" s="504" t="s">
        <v>161</v>
      </c>
      <c r="E165" s="505"/>
      <c r="F165" s="508" t="str">
        <f>IFERROR(VLOOKUP(A164,timetables,2,FALSE)&amp;" "&amp;VLOOKUP(A164,timetables,3,FALSE),"")</f>
        <v>Shot U15 Boys</v>
      </c>
      <c r="G165" s="509"/>
      <c r="H165" s="504" t="s">
        <v>162</v>
      </c>
      <c r="I165" s="510"/>
      <c r="J165" s="505"/>
      <c r="K165" s="511">
        <f>IFERROR(IF(A163=1,VLOOKUP(A164,Timetables!$A:$G,6,FALSE),VLOOKUP(A164,Timetables!$A:$G,7,FALSE)),"")</f>
        <v>0.55208333333333337</v>
      </c>
      <c r="L165" s="511" t="e">
        <v>#N/A</v>
      </c>
      <c r="M165" s="504" t="s">
        <v>202</v>
      </c>
      <c r="N165" s="505"/>
      <c r="O165" s="506" t="str">
        <f>IFERROR(VLOOKUP(A164,records,3,FALSE)&amp;", "&amp;VLOOKUP(A164,records,4,FALSE)&amp;", "&amp;VLOOKUP(A164,records,5,FALSE)&amp;", "&amp;VLOOKUP(A164,records,6,FALSE)&amp;", "&amp;VLOOKUP(A164,records,7,FALSE)&amp;" "&amp;VLOOKUP(A164,records,8,FALSE),"")</f>
        <v>Thomas Hanson, Cardiff AAC, 15.49, Birmingham, Sept 5th 2015</v>
      </c>
      <c r="P165" s="506"/>
      <c r="Q165" s="506"/>
      <c r="R165" s="506"/>
      <c r="S165" s="506"/>
      <c r="T165" s="506"/>
      <c r="U165" s="506"/>
      <c r="V165" s="506"/>
      <c r="W165" s="506"/>
      <c r="X165" s="506"/>
      <c r="Y165" s="506"/>
      <c r="Z165" s="506"/>
      <c r="AA165" s="506"/>
      <c r="AB165" s="507"/>
    </row>
    <row r="166" spans="1:33" s="4" customFormat="1" ht="32.1" customHeight="1" x14ac:dyDescent="0.45">
      <c r="A166" s="5" t="s">
        <v>262</v>
      </c>
      <c r="B166" s="10" t="str">
        <f>IFERROR(VLOOKUP($A166,fdistance,2,FALSE),"")</f>
        <v>M</v>
      </c>
      <c r="C166" s="10">
        <f>IFERROR(VLOOKUP($A166,fdistance,3,FALSE),"")</f>
        <v>42</v>
      </c>
      <c r="D166" s="31" t="s">
        <v>163</v>
      </c>
      <c r="E166" s="13" t="s">
        <v>164</v>
      </c>
      <c r="F166" s="13" t="s">
        <v>165</v>
      </c>
      <c r="G166" s="14" t="s">
        <v>166</v>
      </c>
      <c r="H166" s="532" t="s">
        <v>167</v>
      </c>
      <c r="I166" s="534"/>
      <c r="J166" s="534" t="s">
        <v>168</v>
      </c>
      <c r="K166" s="534"/>
      <c r="L166" s="534" t="s">
        <v>169</v>
      </c>
      <c r="M166" s="534"/>
      <c r="N166" s="534" t="s">
        <v>170</v>
      </c>
      <c r="O166" s="534"/>
      <c r="P166" s="535" t="s">
        <v>171</v>
      </c>
      <c r="Q166" s="534" t="s">
        <v>172</v>
      </c>
      <c r="R166" s="534"/>
      <c r="S166" s="534" t="s">
        <v>173</v>
      </c>
      <c r="T166" s="534"/>
      <c r="U166" s="534" t="s">
        <v>174</v>
      </c>
      <c r="V166" s="534"/>
      <c r="W166" s="537" t="s">
        <v>175</v>
      </c>
      <c r="X166" s="538"/>
      <c r="Y166" s="528" t="s">
        <v>176</v>
      </c>
      <c r="Z166" s="530" t="s">
        <v>177</v>
      </c>
      <c r="AA166" s="531"/>
      <c r="AB166" s="532"/>
    </row>
    <row r="167" spans="1:33" s="4" customFormat="1" ht="11.65" x14ac:dyDescent="0.35">
      <c r="A167" s="137">
        <f>IFERROR(SEARCH("U17",F165),0)</f>
        <v>0</v>
      </c>
      <c r="B167" s="7" t="s">
        <v>53</v>
      </c>
      <c r="C167" s="7" t="s">
        <v>54</v>
      </c>
      <c r="D167" s="56"/>
      <c r="E167" s="56"/>
      <c r="F167" s="15"/>
      <c r="G167" s="16"/>
      <c r="H167" s="514" t="s">
        <v>178</v>
      </c>
      <c r="I167" s="533"/>
      <c r="J167" s="533" t="s">
        <v>178</v>
      </c>
      <c r="K167" s="533"/>
      <c r="L167" s="533" t="s">
        <v>178</v>
      </c>
      <c r="M167" s="533"/>
      <c r="N167" s="533" t="s">
        <v>178</v>
      </c>
      <c r="O167" s="533"/>
      <c r="P167" s="536"/>
      <c r="Q167" s="533" t="s">
        <v>178</v>
      </c>
      <c r="R167" s="533"/>
      <c r="S167" s="533" t="s">
        <v>178</v>
      </c>
      <c r="T167" s="533"/>
      <c r="U167" s="533" t="s">
        <v>178</v>
      </c>
      <c r="V167" s="533"/>
      <c r="W167" s="533" t="s">
        <v>178</v>
      </c>
      <c r="X167" s="512"/>
      <c r="Y167" s="529"/>
      <c r="Z167" s="55"/>
      <c r="AA167" s="55" t="s">
        <v>53</v>
      </c>
      <c r="AB167" s="55" t="s">
        <v>54</v>
      </c>
    </row>
    <row r="168" spans="1:33" s="4" customFormat="1" ht="15.95" customHeight="1" x14ac:dyDescent="0.35">
      <c r="A168" s="8">
        <f>IFERROR(IF(D168&gt;MatchDay!$U$2,"-",VLOOKUP(A164,timetables,MatchDay!$U$4,FALSE)),0)</f>
        <v>3</v>
      </c>
      <c r="B168" s="7" t="str">
        <f ca="1">AA168</f>
        <v/>
      </c>
      <c r="C168" s="7">
        <f ca="1">AB168</f>
        <v>1</v>
      </c>
      <c r="D168" s="56">
        <v>1</v>
      </c>
      <c r="E168" s="17">
        <f>A168</f>
        <v>3</v>
      </c>
      <c r="F168" s="18" t="str">
        <f ca="1">IFERROR(IF(A167=0,HLOOKUP(E168,Declarations!$D$2:$S$102,B165,FALSE),HLOOKUP(VLOOKUP(E168,Teams!$V$2:$W$19,2,FALSE),Declarations!$D$2:$S$102,B165,FALSE)),"")</f>
        <v>MEIGH William</v>
      </c>
      <c r="G168" s="18" t="str">
        <f t="shared" ref="G168:G183" si="50">IFERROR(VLOOKUP(E168,teamlookup,5,FALSE),"-")</f>
        <v>York</v>
      </c>
      <c r="H168" s="524">
        <f ca="1">IFERROR(INDIRECT(CONCATENATE("'Distance Input'!"&amp;B166&amp;C166)),"")</f>
        <v>7.59</v>
      </c>
      <c r="I168" s="525"/>
      <c r="J168" s="524">
        <v>0</v>
      </c>
      <c r="K168" s="525"/>
      <c r="L168" s="524">
        <v>0</v>
      </c>
      <c r="M168" s="525"/>
      <c r="N168" s="539">
        <f ca="1">H168</f>
        <v>7.59</v>
      </c>
      <c r="O168" s="540"/>
      <c r="P168" s="55">
        <v>0</v>
      </c>
      <c r="Q168" s="541">
        <v>0</v>
      </c>
      <c r="R168" s="541"/>
      <c r="S168" s="541">
        <v>0</v>
      </c>
      <c r="T168" s="541"/>
      <c r="U168" s="541">
        <v>0</v>
      </c>
      <c r="V168" s="541"/>
      <c r="W168" s="524">
        <f ca="1">N168</f>
        <v>7.59</v>
      </c>
      <c r="X168" s="525"/>
      <c r="Y168" s="55">
        <f ca="1">IF(OR(W168="",W168=0),0,IF(W168="X",MatchDay!$U$2+MatchDay!$U$2+1-COUNTIF(Distance!W168:W168,"X"),RANK(W168,$W168:$X183,0)))</f>
        <v>5</v>
      </c>
      <c r="Z168" s="19" t="str">
        <f ca="1">IFERROR(IF(Y168=0,0,IF(OR(VLOOKUP(AG168,E176:Y183,21,FALSE)=0,Y168&lt;=VLOOKUP(AG168,E176:Y183,21,FALSE)),"A","B")),"")</f>
        <v>B</v>
      </c>
      <c r="AA168" s="19" t="str">
        <f ca="1">IFERROR(IF(Z168="B","",RANK(AD168,AD168:AD183,1)),"")</f>
        <v/>
      </c>
      <c r="AB168" s="19">
        <f ca="1">IFERROR(IF(Z168="A","",RANK(AE168,AE168:AE183,1)),"")</f>
        <v>1</v>
      </c>
      <c r="AC168" s="8"/>
      <c r="AD168" s="9" t="str">
        <f ca="1">IF(OR(W168=0,Y168=0,Z168="B"),"",Y168)</f>
        <v/>
      </c>
      <c r="AE168" s="9">
        <f ca="1">IF(OR(W168=0,Y168=0,Z168="A"),"",Y168)</f>
        <v>5</v>
      </c>
      <c r="AF168" s="9" t="s">
        <v>179</v>
      </c>
      <c r="AG168" s="4">
        <f>IFERROR(IF(A167=0,E168*11,E168&amp;E168),"")</f>
        <v>33</v>
      </c>
    </row>
    <row r="169" spans="1:33" s="4" customFormat="1" ht="15.95" customHeight="1" x14ac:dyDescent="0.35">
      <c r="A169" s="8">
        <f>IFERROR(IF(D169&gt;MatchDay!$U$2,"-",VLOOKUP(A164,timetables,MatchDay!$U$4+1,FALSE)),0)</f>
        <v>1</v>
      </c>
      <c r="B169" s="7">
        <f t="shared" ref="B169:B183" ca="1" si="51">AA169</f>
        <v>2</v>
      </c>
      <c r="C169" s="7" t="str">
        <f t="shared" ref="C169:C183" ca="1" si="52">AB169</f>
        <v/>
      </c>
      <c r="D169" s="55">
        <v>2</v>
      </c>
      <c r="E169" s="17">
        <f t="shared" ref="E169:E183" si="53">A169</f>
        <v>1</v>
      </c>
      <c r="F169" s="18" t="str">
        <f ca="1">IFERROR(IF(A167=0,HLOOKUP(E169,Declarations!$D$2:$S$102,B165,FALSE),HLOOKUP(VLOOKUP(E169,Teams!$V$2:$W$19,2,FALSE),Declarations!$D$2:$S$102,B165,FALSE)),"")</f>
        <v>COOPER Malachi</v>
      </c>
      <c r="G169" s="18" t="str">
        <f t="shared" si="50"/>
        <v>C'field</v>
      </c>
      <c r="H169" s="524">
        <f ca="1">IFERROR(INDIRECT(CONCATENATE("'Distance Input'!"&amp;B166&amp;C166+1)),"")</f>
        <v>8.33</v>
      </c>
      <c r="I169" s="525"/>
      <c r="J169" s="524">
        <v>0</v>
      </c>
      <c r="K169" s="525"/>
      <c r="L169" s="524">
        <v>0</v>
      </c>
      <c r="M169" s="525"/>
      <c r="N169" s="539">
        <f t="shared" ref="N169:N183" ca="1" si="54">H169</f>
        <v>8.33</v>
      </c>
      <c r="O169" s="540"/>
      <c r="P169" s="55">
        <v>0</v>
      </c>
      <c r="Q169" s="541">
        <v>0</v>
      </c>
      <c r="R169" s="541"/>
      <c r="S169" s="541">
        <v>0</v>
      </c>
      <c r="T169" s="541"/>
      <c r="U169" s="541">
        <v>0</v>
      </c>
      <c r="V169" s="541"/>
      <c r="W169" s="524">
        <f t="shared" ref="W169:W183" ca="1" si="55">N169</f>
        <v>8.33</v>
      </c>
      <c r="X169" s="525"/>
      <c r="Y169" s="55">
        <f ca="1">IF(OR(W169="",W169=0),0,IF(W169="X",MatchDay!$U$2+MatchDay!$U$2+1-COUNTIF(Distance!W168:W169,"X"),RANK(W169,$W168:$X183,0)))</f>
        <v>2</v>
      </c>
      <c r="Z169" s="19" t="str">
        <f ca="1">IFERROR(IF(Y169=0,0,IF(OR(VLOOKUP(AG169,E176:Y183,21,FALSE)=0,Y169&lt;=VLOOKUP(AG169,E176:Y183,21,FALSE)),"A","B")),"")</f>
        <v>A</v>
      </c>
      <c r="AA169" s="19">
        <f ca="1">IFERROR(IF(Z169="B","",RANK(AD169,AD168:AD183,1)),"")</f>
        <v>2</v>
      </c>
      <c r="AB169" s="19" t="str">
        <f ca="1">IFERROR(IF(Z169="A","",RANK(AE169,AE168:AE183,1)),"")</f>
        <v/>
      </c>
      <c r="AC169" s="8"/>
      <c r="AD169" s="9">
        <f t="shared" ref="AD169:AD183" ca="1" si="56">IF(OR(W169=0,Y169=0,Z169="B"),"",Y169)</f>
        <v>2</v>
      </c>
      <c r="AE169" s="9" t="str">
        <f t="shared" ref="AE169:AE183" ca="1" si="57">IF(OR(W169=0,Y169=0,Z169="A"),"",Y169)</f>
        <v/>
      </c>
      <c r="AF169" s="9" t="s">
        <v>179</v>
      </c>
      <c r="AG169" s="4">
        <f>IFERROR(IF(A167=0,E169*11,E169&amp;E169),"")</f>
        <v>11</v>
      </c>
    </row>
    <row r="170" spans="1:33" s="4" customFormat="1" ht="15.95" customHeight="1" x14ac:dyDescent="0.35">
      <c r="A170" s="8">
        <f>IFERROR(IF(D170&gt;MatchDay!$U$2,"-",VLOOKUP(A164,timetables,MatchDay!$U$4+2,FALSE)),0)</f>
        <v>4</v>
      </c>
      <c r="B170" s="7">
        <f t="shared" ca="1" si="51"/>
        <v>5</v>
      </c>
      <c r="C170" s="7" t="str">
        <f t="shared" ca="1" si="52"/>
        <v/>
      </c>
      <c r="D170" s="55">
        <v>3</v>
      </c>
      <c r="E170" s="17">
        <f t="shared" si="53"/>
        <v>4</v>
      </c>
      <c r="F170" s="18" t="str">
        <f ca="1">IFERROR(IF(A167=0,HLOOKUP(E170,Declarations!$D$2:$S$102,B165,FALSE),HLOOKUP(VLOOKUP(E170,Teams!$V$2:$W$19,2,FALSE),Declarations!$D$2:$S$102,B165,FALSE)),"")</f>
        <v>IBEH Terrell</v>
      </c>
      <c r="G170" s="18" t="str">
        <f t="shared" si="50"/>
        <v>M'bro</v>
      </c>
      <c r="H170" s="524">
        <f ca="1">IFERROR(INDIRECT(CONCATENATE("'Distance Input'!"&amp;B166&amp;C166+2)),"")</f>
        <v>5.76</v>
      </c>
      <c r="I170" s="525"/>
      <c r="J170" s="524">
        <v>0</v>
      </c>
      <c r="K170" s="525"/>
      <c r="L170" s="524">
        <v>0</v>
      </c>
      <c r="M170" s="525"/>
      <c r="N170" s="539">
        <f t="shared" ca="1" si="54"/>
        <v>5.76</v>
      </c>
      <c r="O170" s="540"/>
      <c r="P170" s="55">
        <v>0</v>
      </c>
      <c r="Q170" s="541">
        <v>0</v>
      </c>
      <c r="R170" s="541"/>
      <c r="S170" s="541">
        <v>0</v>
      </c>
      <c r="T170" s="541"/>
      <c r="U170" s="541">
        <v>0</v>
      </c>
      <c r="V170" s="541"/>
      <c r="W170" s="524">
        <f t="shared" ca="1" si="55"/>
        <v>5.76</v>
      </c>
      <c r="X170" s="525"/>
      <c r="Y170" s="55">
        <f ca="1">IF(OR(W170="",W170=0),0,IF(W170="X",MatchDay!$U$2+MatchDay!$U$2+1-COUNTIF(Distance!W168:W170,"X"),RANK(W170,$W168:$X183,0)))</f>
        <v>7</v>
      </c>
      <c r="Z170" s="19" t="str">
        <f ca="1">IFERROR(IF(Y170=0,0,IF(OR(VLOOKUP(AG170,E176:Y183,21,FALSE)=0,Y170&lt;=VLOOKUP(AG170,E176:Y183,21,FALSE)),"A","B")),"")</f>
        <v>A</v>
      </c>
      <c r="AA170" s="19">
        <f ca="1">IFERROR(IF(Z170="B","",RANK(AD170,AD168:AD183,1)),"")</f>
        <v>5</v>
      </c>
      <c r="AB170" s="19" t="str">
        <f ca="1">IFERROR(IF(Z170="A","",RANK(AE170,AE168:AE183,1)),"")</f>
        <v/>
      </c>
      <c r="AD170" s="9">
        <f t="shared" ca="1" si="56"/>
        <v>7</v>
      </c>
      <c r="AE170" s="9" t="str">
        <f t="shared" ca="1" si="57"/>
        <v/>
      </c>
      <c r="AF170" s="9" t="s">
        <v>179</v>
      </c>
      <c r="AG170" s="4">
        <f>IFERROR(IF(A167=0,E170*11,E170&amp;E170),"")</f>
        <v>44</v>
      </c>
    </row>
    <row r="171" spans="1:33" s="4" customFormat="1" ht="15.95" customHeight="1" x14ac:dyDescent="0.35">
      <c r="A171" s="8">
        <f>IFERROR(IF(D171&gt;MatchDay!$U$2,"-",VLOOKUP(A164,timetables,MatchDay!$U$4+3,FALSE)),0)</f>
        <v>2</v>
      </c>
      <c r="B171" s="7">
        <f t="shared" ca="1" si="51"/>
        <v>3</v>
      </c>
      <c r="C171" s="7" t="str">
        <f t="shared" ca="1" si="52"/>
        <v/>
      </c>
      <c r="D171" s="55">
        <v>4</v>
      </c>
      <c r="E171" s="17">
        <f t="shared" si="53"/>
        <v>2</v>
      </c>
      <c r="F171" s="18" t="str">
        <f ca="1">IFERROR(IF(A167=0,HLOOKUP(E171,Declarations!$D$2:$S$102,B165,FALSE),HLOOKUP(VLOOKUP(E171,Teams!$V$2:$W$19,2,FALSE),Declarations!$D$2:$S$102,B165,FALSE)),"")</f>
        <v>LANE William</v>
      </c>
      <c r="G171" s="18" t="str">
        <f t="shared" si="50"/>
        <v>Sheff+D</v>
      </c>
      <c r="H171" s="524">
        <f ca="1">IFERROR(INDIRECT(CONCATENATE("'Distance Input'!"&amp;B166&amp;C166+3)),"")</f>
        <v>8.14</v>
      </c>
      <c r="I171" s="525"/>
      <c r="J171" s="524">
        <v>0</v>
      </c>
      <c r="K171" s="525"/>
      <c r="L171" s="524">
        <v>0</v>
      </c>
      <c r="M171" s="525"/>
      <c r="N171" s="539">
        <f t="shared" ca="1" si="54"/>
        <v>8.14</v>
      </c>
      <c r="O171" s="540"/>
      <c r="P171" s="55">
        <v>0</v>
      </c>
      <c r="Q171" s="541">
        <v>0</v>
      </c>
      <c r="R171" s="541"/>
      <c r="S171" s="541">
        <v>0</v>
      </c>
      <c r="T171" s="541"/>
      <c r="U171" s="541">
        <v>0</v>
      </c>
      <c r="V171" s="541"/>
      <c r="W171" s="524">
        <f t="shared" ca="1" si="55"/>
        <v>8.14</v>
      </c>
      <c r="X171" s="525"/>
      <c r="Y171" s="55">
        <f ca="1">IF(OR(W171="",W171=0),0,IF(W171="X",MatchDay!$U$2+MatchDay!$U$2+1-COUNTIF(Distance!W168:W171,"X"),RANK(W171,$W168:$X183,0)))</f>
        <v>3</v>
      </c>
      <c r="Z171" s="19" t="str">
        <f ca="1">IFERROR(IF(Y171=0,0,IF(OR(VLOOKUP(AG171,E176:Y183,21,FALSE)=0,Y171&lt;=VLOOKUP(AG171,E176:Y183,21,FALSE)),"A","B")),"")</f>
        <v>A</v>
      </c>
      <c r="AA171" s="19">
        <f ca="1">IFERROR(IF(Z171="B","",RANK(AD171,AD168:AD183,1)),"")</f>
        <v>3</v>
      </c>
      <c r="AB171" s="19" t="str">
        <f ca="1">IFERROR(IF(Z171="A","",RANK(AE171,AE168:AE183,1)),"")</f>
        <v/>
      </c>
      <c r="AD171" s="9">
        <f t="shared" ca="1" si="56"/>
        <v>3</v>
      </c>
      <c r="AE171" s="9" t="str">
        <f t="shared" ca="1" si="57"/>
        <v/>
      </c>
      <c r="AF171" s="9" t="s">
        <v>179</v>
      </c>
      <c r="AG171" s="4">
        <f>IFERROR(IF(A167=0,E171*11,E171&amp;E171),"")</f>
        <v>22</v>
      </c>
    </row>
    <row r="172" spans="1:33" s="4" customFormat="1" ht="15.95" customHeight="1" x14ac:dyDescent="0.35">
      <c r="A172" s="8">
        <f>IFERROR(IF(D172&gt;MatchDay!$U$2,"-",VLOOKUP(A164,timetables,MatchDay!$U$4+4,FALSE)),0)</f>
        <v>5</v>
      </c>
      <c r="B172" s="7">
        <f t="shared" ca="1" si="51"/>
        <v>4</v>
      </c>
      <c r="C172" s="7" t="str">
        <f t="shared" ca="1" si="52"/>
        <v/>
      </c>
      <c r="D172" s="55">
        <v>5</v>
      </c>
      <c r="E172" s="17">
        <f t="shared" si="53"/>
        <v>5</v>
      </c>
      <c r="F172" s="18" t="str">
        <f ca="1">IFERROR(IF(A167=0,HLOOKUP(E172,Declarations!$D$2:$S$102,B165,FALSE),HLOOKUP(VLOOKUP(E172,Teams!$V$2:$W$19,2,FALSE),Declarations!$D$2:$S$102,B165,FALSE)),"")</f>
        <v>COOK Edwin</v>
      </c>
      <c r="G172" s="18" t="str">
        <f t="shared" si="50"/>
        <v>Scun</v>
      </c>
      <c r="H172" s="524">
        <f ca="1">IFERROR(INDIRECT(CONCATENATE("'Distance Input'!"&amp;B166&amp;C166+4)),"")</f>
        <v>7.89</v>
      </c>
      <c r="I172" s="525"/>
      <c r="J172" s="524">
        <v>0</v>
      </c>
      <c r="K172" s="525"/>
      <c r="L172" s="524">
        <v>0</v>
      </c>
      <c r="M172" s="525"/>
      <c r="N172" s="539">
        <f t="shared" ca="1" si="54"/>
        <v>7.89</v>
      </c>
      <c r="O172" s="540"/>
      <c r="P172" s="55">
        <v>0</v>
      </c>
      <c r="Q172" s="541">
        <v>0</v>
      </c>
      <c r="R172" s="541"/>
      <c r="S172" s="541">
        <v>0</v>
      </c>
      <c r="T172" s="541"/>
      <c r="U172" s="541">
        <v>0</v>
      </c>
      <c r="V172" s="541"/>
      <c r="W172" s="524">
        <f t="shared" ca="1" si="55"/>
        <v>7.89</v>
      </c>
      <c r="X172" s="525"/>
      <c r="Y172" s="55">
        <f ca="1">IF(OR(W172="",W172=0),0,IF(W172="X",MatchDay!$U$2+MatchDay!$U$2+1-COUNTIF(Distance!W168:W172,"X"),RANK(W172,$W168:$X183,0)))</f>
        <v>4</v>
      </c>
      <c r="Z172" s="19" t="str">
        <f ca="1">IFERROR(IF(Y172=0,0,IF(OR(VLOOKUP(AG172,E176:Y183,21,FALSE)=0,Y172&lt;=VLOOKUP(AG172,E176:Y183,21,FALSE)),"A","B")),"")</f>
        <v>A</v>
      </c>
      <c r="AA172" s="19">
        <f ca="1">IFERROR(IF(Z172="B","",RANK(AD172,AD168:AD183,1)),"")</f>
        <v>4</v>
      </c>
      <c r="AB172" s="19" t="str">
        <f ca="1">IFERROR(IF(Z172="A","",RANK(AE172,AE168:AE183,1)),"")</f>
        <v/>
      </c>
      <c r="AD172" s="9">
        <f t="shared" ca="1" si="56"/>
        <v>4</v>
      </c>
      <c r="AE172" s="9" t="str">
        <f t="shared" ca="1" si="57"/>
        <v/>
      </c>
      <c r="AF172" s="9" t="s">
        <v>179</v>
      </c>
      <c r="AG172" s="4">
        <f>IFERROR(IF(A167=0,E172*11,E172&amp;E172),"")</f>
        <v>55</v>
      </c>
    </row>
    <row r="173" spans="1:33" s="4" customFormat="1" ht="15.95" customHeight="1" x14ac:dyDescent="0.35">
      <c r="A173" s="8" t="str">
        <f>IFERROR(IF(D173&gt;MatchDay!$U$2,"-",VLOOKUP(A164,timetables,MatchDay!$U$4+5,FALSE)),0)</f>
        <v>-</v>
      </c>
      <c r="B173" s="7" t="str">
        <f t="shared" ca="1" si="51"/>
        <v/>
      </c>
      <c r="C173" s="7" t="str">
        <f t="shared" ca="1" si="52"/>
        <v/>
      </c>
      <c r="D173" s="55">
        <v>6</v>
      </c>
      <c r="E173" s="17" t="str">
        <f t="shared" si="53"/>
        <v>-</v>
      </c>
      <c r="F173" s="18" t="str">
        <f>IFERROR(IF(A167=0,HLOOKUP(E173,Declarations!$D$2:$S$102,B165,FALSE),HLOOKUP(VLOOKUP(E173,Teams!$V$2:$W$19,2,FALSE),Declarations!$D$2:$S$102,B165,FALSE)),"")</f>
        <v/>
      </c>
      <c r="G173" s="18" t="str">
        <f t="shared" si="50"/>
        <v/>
      </c>
      <c r="H173" s="524">
        <f ca="1">IFERROR(INDIRECT(CONCATENATE("'Distance Input'!"&amp;B166&amp;C166+5)),"")</f>
        <v>0</v>
      </c>
      <c r="I173" s="525"/>
      <c r="J173" s="524">
        <v>0</v>
      </c>
      <c r="K173" s="525"/>
      <c r="L173" s="524">
        <v>0</v>
      </c>
      <c r="M173" s="525"/>
      <c r="N173" s="539">
        <f t="shared" ca="1" si="54"/>
        <v>0</v>
      </c>
      <c r="O173" s="540"/>
      <c r="P173" s="55">
        <v>0</v>
      </c>
      <c r="Q173" s="541">
        <v>0</v>
      </c>
      <c r="R173" s="541"/>
      <c r="S173" s="541">
        <v>0</v>
      </c>
      <c r="T173" s="541"/>
      <c r="U173" s="541">
        <v>0</v>
      </c>
      <c r="V173" s="541"/>
      <c r="W173" s="524">
        <f t="shared" ca="1" si="55"/>
        <v>0</v>
      </c>
      <c r="X173" s="525"/>
      <c r="Y173" s="55">
        <f ca="1">IF(OR(W173="",W173=0),0,IF(W173="X",MatchDay!$U$2+MatchDay!$U$2+1-COUNTIF(Distance!W168:W173,"X"),RANK(W173,$W168:$X183,0)))</f>
        <v>0</v>
      </c>
      <c r="Z173" s="19">
        <f ca="1">IFERROR(IF(Y173=0,0,IF(OR(VLOOKUP(AG173,E176:Y183,21,FALSE)=0,Y173&lt;=VLOOKUP(AG173,E176:Y183,21,FALSE)),"A","B")),"")</f>
        <v>0</v>
      </c>
      <c r="AA173" s="19" t="str">
        <f ca="1">IFERROR(IF(Z173="B","",RANK(AD173,AD168:AD183,1)),"")</f>
        <v/>
      </c>
      <c r="AB173" s="19" t="str">
        <f ca="1">IFERROR(IF(Z173="A","",RANK(AE173,AE168:AE183,1)),"")</f>
        <v/>
      </c>
      <c r="AD173" s="9" t="str">
        <f t="shared" ca="1" si="56"/>
        <v/>
      </c>
      <c r="AE173" s="9" t="str">
        <f t="shared" ca="1" si="57"/>
        <v/>
      </c>
      <c r="AF173" s="9" t="s">
        <v>179</v>
      </c>
      <c r="AG173" s="4" t="str">
        <f>IFERROR(IF(A167=0,E173*11,E173&amp;E173),"")</f>
        <v/>
      </c>
    </row>
    <row r="174" spans="1:33" s="4" customFormat="1" ht="15.95" customHeight="1" x14ac:dyDescent="0.35">
      <c r="A174" s="8" t="str">
        <f>IFERROR(IF(D174&gt;MatchDay!$U$2,"-",VLOOKUP(A164,timetables,MatchDay!$U$4+6,FALSE)),0)</f>
        <v>-</v>
      </c>
      <c r="B174" s="7" t="str">
        <f t="shared" ca="1" si="51"/>
        <v/>
      </c>
      <c r="C174" s="7" t="str">
        <f t="shared" ca="1" si="52"/>
        <v/>
      </c>
      <c r="D174" s="55">
        <v>7</v>
      </c>
      <c r="E174" s="17" t="str">
        <f t="shared" si="53"/>
        <v>-</v>
      </c>
      <c r="F174" s="18" t="str">
        <f>IFERROR(IF(A167=0,HLOOKUP(E174,Declarations!$D$2:$S$102,B165,FALSE),HLOOKUP(VLOOKUP(E174,Teams!$V$2:$W$19,2,FALSE),Declarations!$D$2:$S$102,B165,FALSE)),"")</f>
        <v/>
      </c>
      <c r="G174" s="18" t="str">
        <f t="shared" si="50"/>
        <v/>
      </c>
      <c r="H174" s="524">
        <f ca="1">IFERROR(INDIRECT(CONCATENATE("'Distance Input'!"&amp;B166&amp;C166+6)),"")</f>
        <v>0</v>
      </c>
      <c r="I174" s="525"/>
      <c r="J174" s="524">
        <v>0</v>
      </c>
      <c r="K174" s="525"/>
      <c r="L174" s="524">
        <v>0</v>
      </c>
      <c r="M174" s="525"/>
      <c r="N174" s="539">
        <f t="shared" ca="1" si="54"/>
        <v>0</v>
      </c>
      <c r="O174" s="540"/>
      <c r="P174" s="55">
        <v>0</v>
      </c>
      <c r="Q174" s="541">
        <v>0</v>
      </c>
      <c r="R174" s="541"/>
      <c r="S174" s="541">
        <v>0</v>
      </c>
      <c r="T174" s="541"/>
      <c r="U174" s="541">
        <v>0</v>
      </c>
      <c r="V174" s="541"/>
      <c r="W174" s="524">
        <f t="shared" ca="1" si="55"/>
        <v>0</v>
      </c>
      <c r="X174" s="525"/>
      <c r="Y174" s="55">
        <f ca="1">IF(OR(W174="",W174=0),0,IF(W174="X",MatchDay!$U$2+MatchDay!$U$2+1-COUNTIF(Distance!W168:W174,"X"),RANK(W174,$W168:$X183,0)))</f>
        <v>0</v>
      </c>
      <c r="Z174" s="19">
        <f ca="1">IFERROR(IF(Y174=0,0,IF(OR(VLOOKUP(AG174,E176:Y183,21,FALSE)=0,Y174&lt;=VLOOKUP(AG174,E176:Y183,21,FALSE)),"A","B")),"")</f>
        <v>0</v>
      </c>
      <c r="AA174" s="19" t="str">
        <f ca="1">IFERROR(IF(Z174="B","",RANK(AD174,AD168:AD183,1)),"")</f>
        <v/>
      </c>
      <c r="AB174" s="19" t="str">
        <f ca="1">IFERROR(IF(Z174="A","",RANK(AE174,AE168:AE183,1)),"")</f>
        <v/>
      </c>
      <c r="AD174" s="9" t="str">
        <f t="shared" ca="1" si="56"/>
        <v/>
      </c>
      <c r="AE174" s="9" t="str">
        <f t="shared" ca="1" si="57"/>
        <v/>
      </c>
      <c r="AF174" s="9" t="s">
        <v>179</v>
      </c>
      <c r="AG174" s="4" t="str">
        <f>IFERROR(IF(A167=0,E174*11,E174&amp;E174),"")</f>
        <v/>
      </c>
    </row>
    <row r="175" spans="1:33" s="4" customFormat="1" ht="15.95" customHeight="1" x14ac:dyDescent="0.35">
      <c r="A175" s="8" t="str">
        <f>IFERROR(IF(D175&gt;MatchDay!$U$2,"-",VLOOKUP(A164,timetables,MatchDay!$U$4+7,FALSE)),0)</f>
        <v>-</v>
      </c>
      <c r="B175" s="7" t="str">
        <f t="shared" ca="1" si="51"/>
        <v/>
      </c>
      <c r="C175" s="7" t="str">
        <f t="shared" ca="1" si="52"/>
        <v/>
      </c>
      <c r="D175" s="55">
        <v>8</v>
      </c>
      <c r="E175" s="17" t="str">
        <f t="shared" si="53"/>
        <v>-</v>
      </c>
      <c r="F175" s="18" t="str">
        <f>IFERROR(IF(A167=0,HLOOKUP(E175,Declarations!$D$2:$S$102,B165,FALSE),HLOOKUP(VLOOKUP(E175,Teams!$V$2:$W$19,2,FALSE),Declarations!$D$2:$S$102,B165,FALSE)),"")</f>
        <v/>
      </c>
      <c r="G175" s="18" t="str">
        <f t="shared" si="50"/>
        <v/>
      </c>
      <c r="H175" s="524">
        <f ca="1">IFERROR(INDIRECT(CONCATENATE("'Distance Input'!"&amp;B166&amp;C166+7)),"")</f>
        <v>0</v>
      </c>
      <c r="I175" s="525"/>
      <c r="J175" s="524">
        <v>0</v>
      </c>
      <c r="K175" s="525"/>
      <c r="L175" s="524">
        <v>0</v>
      </c>
      <c r="M175" s="525"/>
      <c r="N175" s="539">
        <f t="shared" ca="1" si="54"/>
        <v>0</v>
      </c>
      <c r="O175" s="540"/>
      <c r="P175" s="55">
        <v>0</v>
      </c>
      <c r="Q175" s="541">
        <v>0</v>
      </c>
      <c r="R175" s="541"/>
      <c r="S175" s="541">
        <v>0</v>
      </c>
      <c r="T175" s="541"/>
      <c r="U175" s="541">
        <v>0</v>
      </c>
      <c r="V175" s="541"/>
      <c r="W175" s="524">
        <f t="shared" ca="1" si="55"/>
        <v>0</v>
      </c>
      <c r="X175" s="525"/>
      <c r="Y175" s="55">
        <f ca="1">IF(OR(W175="",W175=0),0,IF(W175="X",MatchDay!$U$2+MatchDay!$U$2+1-COUNTIF(Distance!W168:W175,"X"),RANK(W175,$W168:$X183,0)))</f>
        <v>0</v>
      </c>
      <c r="Z175" s="19">
        <f ca="1">IFERROR(IF(Y175=0,0,IF(OR(VLOOKUP(AG175,E176:Y183,21,FALSE)=0,Y175&lt;=VLOOKUP(AG175,E176:Y183,21,FALSE)),"A","B")),"")</f>
        <v>0</v>
      </c>
      <c r="AA175" s="19" t="str">
        <f ca="1">IFERROR(IF(Z175="B","",RANK(AD175,AD168:AD183,1)),"")</f>
        <v/>
      </c>
      <c r="AB175" s="19" t="str">
        <f ca="1">IFERROR(IF(Z175="A","",RANK(AE175,AE168:AE183,1)),"")</f>
        <v/>
      </c>
      <c r="AD175" s="9" t="str">
        <f t="shared" ca="1" si="56"/>
        <v/>
      </c>
      <c r="AE175" s="9" t="str">
        <f t="shared" ca="1" si="57"/>
        <v/>
      </c>
      <c r="AF175" s="9" t="s">
        <v>179</v>
      </c>
      <c r="AG175" s="4" t="str">
        <f>IFERROR(IF(A167=0,E175*11,E175&amp;E175),"")</f>
        <v/>
      </c>
    </row>
    <row r="176" spans="1:33" s="4" customFormat="1" ht="15.95" customHeight="1" x14ac:dyDescent="0.35">
      <c r="A176" s="8">
        <f>IFERROR(IF(A167=0,A168*11,A168&amp;A168),"-")</f>
        <v>33</v>
      </c>
      <c r="B176" s="7">
        <f t="shared" ca="1" si="51"/>
        <v>1</v>
      </c>
      <c r="C176" s="7" t="str">
        <f t="shared" ca="1" si="52"/>
        <v/>
      </c>
      <c r="D176" s="55">
        <v>9</v>
      </c>
      <c r="E176" s="17">
        <f t="shared" si="53"/>
        <v>33</v>
      </c>
      <c r="F176" s="18" t="str">
        <f ca="1">IFERROR(IF(A167=0,HLOOKUP(E176,Declarations!$D$2:$S$102,B165,FALSE),HLOOKUP(VLOOKUP(E176,Teams!$V$2:$W$19,2,FALSE),Declarations!$D$2:$S$102,B165,FALSE)),"")</f>
        <v>RUTTER Aaron</v>
      </c>
      <c r="G176" s="18" t="str">
        <f t="shared" si="50"/>
        <v>York</v>
      </c>
      <c r="H176" s="524">
        <f ca="1">IFERROR(INDIRECT(CONCATENATE("'Distance Input'!"&amp;B166&amp;C166+8)),"")</f>
        <v>11.8</v>
      </c>
      <c r="I176" s="525"/>
      <c r="J176" s="524">
        <v>0</v>
      </c>
      <c r="K176" s="525"/>
      <c r="L176" s="524">
        <v>0</v>
      </c>
      <c r="M176" s="525"/>
      <c r="N176" s="539">
        <f t="shared" ca="1" si="54"/>
        <v>11.8</v>
      </c>
      <c r="O176" s="540"/>
      <c r="P176" s="55">
        <v>0</v>
      </c>
      <c r="Q176" s="541">
        <v>0</v>
      </c>
      <c r="R176" s="541"/>
      <c r="S176" s="541">
        <v>0</v>
      </c>
      <c r="T176" s="541"/>
      <c r="U176" s="541">
        <v>0</v>
      </c>
      <c r="V176" s="541"/>
      <c r="W176" s="524">
        <f t="shared" ca="1" si="55"/>
        <v>11.8</v>
      </c>
      <c r="X176" s="525"/>
      <c r="Y176" s="55">
        <f ca="1">IF(OR(W176="",W176=0),0,IF(W176="X",MatchDay!$U$2+MatchDay!$U$2+1-COUNTIF(Distance!W168:W176,"X"),RANK(W176,$W168:$X183,0)))</f>
        <v>1</v>
      </c>
      <c r="Z176" s="19" t="str">
        <f ca="1">IFERROR(IF(Y176=0,0,IF(VLOOKUP(AG176,E168:Y175,21,FALSE)=0,"A",IF(Y176&gt;=VLOOKUP(AG176,E168:Y175,21,FALSE),"B","A"))),"")</f>
        <v>A</v>
      </c>
      <c r="AA176" s="19">
        <f ca="1">IFERROR(IF(Z176="B","",RANK(AD176,AD168:AD183,1)),"")</f>
        <v>1</v>
      </c>
      <c r="AB176" s="19" t="str">
        <f ca="1">IFERROR(IF(Z176="A","",RANK(AE176,AE168:AE183,1)),"")</f>
        <v/>
      </c>
      <c r="AD176" s="9">
        <f t="shared" ca="1" si="56"/>
        <v>1</v>
      </c>
      <c r="AE176" s="9" t="str">
        <f t="shared" ca="1" si="57"/>
        <v/>
      </c>
      <c r="AF176" s="9" t="s">
        <v>179</v>
      </c>
      <c r="AG176" s="4">
        <f>IFERROR(IF(A167=0,E176/11,LEFT(E176,1)),"")</f>
        <v>3</v>
      </c>
    </row>
    <row r="177" spans="1:33" s="4" customFormat="1" ht="15.95" customHeight="1" x14ac:dyDescent="0.35">
      <c r="A177" s="8">
        <f>IFERROR(IF(A167=0,A169*11,A169&amp;A169),"-")</f>
        <v>11</v>
      </c>
      <c r="B177" s="7" t="str">
        <f t="shared" ca="1" si="51"/>
        <v/>
      </c>
      <c r="C177" s="7">
        <f t="shared" ca="1" si="52"/>
        <v>2</v>
      </c>
      <c r="D177" s="55">
        <v>10</v>
      </c>
      <c r="E177" s="17">
        <f t="shared" si="53"/>
        <v>11</v>
      </c>
      <c r="F177" s="18" t="str">
        <f ca="1">IFERROR(IF(A167=0,HLOOKUP(E177,Declarations!$D$2:$S$102,B165,FALSE),HLOOKUP(VLOOKUP(E177,Teams!$V$2:$W$19,2,FALSE),Declarations!$D$2:$S$102,B165,FALSE)),"")</f>
        <v>MAZUREK Gracjan</v>
      </c>
      <c r="G177" s="18" t="str">
        <f t="shared" si="50"/>
        <v>C'field</v>
      </c>
      <c r="H177" s="524">
        <f ca="1">IFERROR(INDIRECT(CONCATENATE("'Distance Input'!"&amp;B166&amp;C166+9)),"")</f>
        <v>6.25</v>
      </c>
      <c r="I177" s="525"/>
      <c r="J177" s="524">
        <v>0</v>
      </c>
      <c r="K177" s="525"/>
      <c r="L177" s="524">
        <v>0</v>
      </c>
      <c r="M177" s="525"/>
      <c r="N177" s="539">
        <f t="shared" ca="1" si="54"/>
        <v>6.25</v>
      </c>
      <c r="O177" s="540"/>
      <c r="P177" s="55">
        <v>0</v>
      </c>
      <c r="Q177" s="541">
        <v>0</v>
      </c>
      <c r="R177" s="541"/>
      <c r="S177" s="541">
        <v>0</v>
      </c>
      <c r="T177" s="541"/>
      <c r="U177" s="541">
        <v>0</v>
      </c>
      <c r="V177" s="541"/>
      <c r="W177" s="524">
        <f t="shared" ca="1" si="55"/>
        <v>6.25</v>
      </c>
      <c r="X177" s="525"/>
      <c r="Y177" s="55">
        <f ca="1">IF(OR(W177="",W177=0),0,IF(W177="X",MatchDay!$U$2+MatchDay!$U$2+1-COUNTIF(Distance!W168:W177,"X"),RANK(W177,$W168:$X183,0)))</f>
        <v>6</v>
      </c>
      <c r="Z177" s="19" t="str">
        <f ca="1">IFERROR(IF(Y177=0,0,IF(VLOOKUP(AG177,E168:Y175,21,FALSE)=0,"A",IF(Y177&gt;=VLOOKUP(AG177,E168:Y175,21,FALSE),"B","A"))),"")</f>
        <v>B</v>
      </c>
      <c r="AA177" s="19" t="str">
        <f ca="1">IFERROR(IF(Z177="B","",RANK(AD177,AD168:AD183,1)),"")</f>
        <v/>
      </c>
      <c r="AB177" s="19">
        <f ca="1">IFERROR(IF(Z177="A","",RANK(AE177,AE168:AE183,1)),"")</f>
        <v>2</v>
      </c>
      <c r="AD177" s="9" t="str">
        <f t="shared" ca="1" si="56"/>
        <v/>
      </c>
      <c r="AE177" s="9">
        <f t="shared" ca="1" si="57"/>
        <v>6</v>
      </c>
      <c r="AF177" s="9" t="s">
        <v>179</v>
      </c>
      <c r="AG177" s="4">
        <f>IFERROR(IF(A167=0,E177/11,LEFT(E177,1)),"")</f>
        <v>1</v>
      </c>
    </row>
    <row r="178" spans="1:33" s="4" customFormat="1" ht="15.95" customHeight="1" x14ac:dyDescent="0.35">
      <c r="A178" s="8">
        <f>IFERROR(IF(A167=0,A170*11,A170&amp;A170),"-")</f>
        <v>44</v>
      </c>
      <c r="B178" s="7" t="str">
        <f t="shared" ca="1" si="51"/>
        <v/>
      </c>
      <c r="C178" s="7">
        <f t="shared" ca="1" si="52"/>
        <v>3</v>
      </c>
      <c r="D178" s="55">
        <v>11</v>
      </c>
      <c r="E178" s="17">
        <f t="shared" si="53"/>
        <v>44</v>
      </c>
      <c r="F178" s="18" t="str">
        <f ca="1">IFERROR(IF(A167=0,HLOOKUP(E178,Declarations!$D$2:$S$102,B165,FALSE),HLOOKUP(VLOOKUP(E178,Teams!$V$2:$W$19,2,FALSE),Declarations!$D$2:$S$102,B165,FALSE)),"")</f>
        <v>KAYE Charlie</v>
      </c>
      <c r="G178" s="18" t="str">
        <f t="shared" si="50"/>
        <v>M'bro</v>
      </c>
      <c r="H178" s="524">
        <f ca="1">IFERROR(INDIRECT(CONCATENATE("'Distance Input'!"&amp;B166&amp;C166+10)),"")</f>
        <v>4.67</v>
      </c>
      <c r="I178" s="525"/>
      <c r="J178" s="524">
        <v>0</v>
      </c>
      <c r="K178" s="525"/>
      <c r="L178" s="524">
        <v>0</v>
      </c>
      <c r="M178" s="525"/>
      <c r="N178" s="539">
        <f t="shared" ca="1" si="54"/>
        <v>4.67</v>
      </c>
      <c r="O178" s="540"/>
      <c r="P178" s="55">
        <v>0</v>
      </c>
      <c r="Q178" s="541">
        <v>0</v>
      </c>
      <c r="R178" s="541"/>
      <c r="S178" s="541">
        <v>0</v>
      </c>
      <c r="T178" s="541"/>
      <c r="U178" s="541">
        <v>0</v>
      </c>
      <c r="V178" s="541"/>
      <c r="W178" s="524">
        <f t="shared" ca="1" si="55"/>
        <v>4.67</v>
      </c>
      <c r="X178" s="525"/>
      <c r="Y178" s="55">
        <f ca="1">IF(OR(W178="",W178=0),0,IF(W178="X",MatchDay!$U$2+MatchDay!$U$2+1-COUNTIF(Distance!W168:W178,"X"),RANK(W178,$W168:$X183,0)))</f>
        <v>8</v>
      </c>
      <c r="Z178" s="19" t="str">
        <f ca="1">IFERROR(IF(Y178=0,0,IF(VLOOKUP(AG178,E168:Y175,21,FALSE)=0,"A",IF(Y178&gt;=VLOOKUP(AG178,E168:Y175,21,FALSE),"B","A"))),"")</f>
        <v>B</v>
      </c>
      <c r="AA178" s="19" t="str">
        <f ca="1">IFERROR(IF(Z178="B","",RANK(AD178,AD168:AD183,1)),"")</f>
        <v/>
      </c>
      <c r="AB178" s="19">
        <f ca="1">IFERROR(IF(Z178="A","",RANK(AE178,AE168:AE183,1)),"")</f>
        <v>3</v>
      </c>
      <c r="AD178" s="9" t="str">
        <f t="shared" ca="1" si="56"/>
        <v/>
      </c>
      <c r="AE178" s="9">
        <f t="shared" ca="1" si="57"/>
        <v>8</v>
      </c>
      <c r="AF178" s="9" t="s">
        <v>179</v>
      </c>
      <c r="AG178" s="4">
        <f>IFERROR(IF(A167=0,E178/11,LEFT(E178,1)),"")</f>
        <v>4</v>
      </c>
    </row>
    <row r="179" spans="1:33" s="4" customFormat="1" ht="15.95" customHeight="1" x14ac:dyDescent="0.35">
      <c r="A179" s="8">
        <f>IFERROR(IF(A167=0,A171*11,A171&amp;A171),"-")</f>
        <v>22</v>
      </c>
      <c r="B179" s="7" t="str">
        <f t="shared" ca="1" si="51"/>
        <v/>
      </c>
      <c r="C179" s="7" t="str">
        <f t="shared" ca="1" si="52"/>
        <v/>
      </c>
      <c r="D179" s="55">
        <v>12</v>
      </c>
      <c r="E179" s="17">
        <f t="shared" si="53"/>
        <v>22</v>
      </c>
      <c r="F179" s="18">
        <f ca="1">IFERROR(IF(A167=0,HLOOKUP(E179,Declarations!$D$2:$S$102,B165,FALSE),HLOOKUP(VLOOKUP(E179,Teams!$V$2:$W$19,2,FALSE),Declarations!$D$2:$S$102,B165,FALSE)),"")</f>
        <v>0</v>
      </c>
      <c r="G179" s="18" t="str">
        <f t="shared" si="50"/>
        <v>Sheff+D</v>
      </c>
      <c r="H179" s="524">
        <f ca="1">IFERROR(INDIRECT(CONCATENATE("'Distance Input'!"&amp;B166&amp;C166+11)),"")</f>
        <v>0</v>
      </c>
      <c r="I179" s="525"/>
      <c r="J179" s="524">
        <v>0</v>
      </c>
      <c r="K179" s="525"/>
      <c r="L179" s="524">
        <v>0</v>
      </c>
      <c r="M179" s="525"/>
      <c r="N179" s="539">
        <f t="shared" ca="1" si="54"/>
        <v>0</v>
      </c>
      <c r="O179" s="540"/>
      <c r="P179" s="55">
        <v>0</v>
      </c>
      <c r="Q179" s="541">
        <v>0</v>
      </c>
      <c r="R179" s="541"/>
      <c r="S179" s="541">
        <v>0</v>
      </c>
      <c r="T179" s="541"/>
      <c r="U179" s="541">
        <v>0</v>
      </c>
      <c r="V179" s="541"/>
      <c r="W179" s="524">
        <f t="shared" ca="1" si="55"/>
        <v>0</v>
      </c>
      <c r="X179" s="525"/>
      <c r="Y179" s="55">
        <f ca="1">IF(OR(W179="",W179=0),0,IF(W179="X",MatchDay!$U$2+MatchDay!$U$2+1-COUNTIF(Distance!W168:W179,"X"),RANK(W179,$W168:$X183,0)))</f>
        <v>0</v>
      </c>
      <c r="Z179" s="19">
        <f ca="1">IFERROR(IF(Y179=0,0,IF(VLOOKUP(AG179,E168:Y175,21,FALSE)=0,"A",IF(Y179&gt;=VLOOKUP(AG179,E168:Y175,21,FALSE),"B","A"))),"")</f>
        <v>0</v>
      </c>
      <c r="AA179" s="19" t="str">
        <f ca="1">IFERROR(IF(Z179="B","",RANK(AD179,AD168:AD183,1)),"")</f>
        <v/>
      </c>
      <c r="AB179" s="19" t="str">
        <f ca="1">IFERROR(IF(Z179="A","",RANK(AE179,AE168:AE183,1)),"")</f>
        <v/>
      </c>
      <c r="AD179" s="9" t="str">
        <f t="shared" ca="1" si="56"/>
        <v/>
      </c>
      <c r="AE179" s="9" t="str">
        <f t="shared" ca="1" si="57"/>
        <v/>
      </c>
      <c r="AF179" s="9" t="s">
        <v>179</v>
      </c>
      <c r="AG179" s="4">
        <f>IFERROR(IF(A167=0,E179/11,LEFT(E179,1)),"")</f>
        <v>2</v>
      </c>
    </row>
    <row r="180" spans="1:33" s="4" customFormat="1" ht="15.95" customHeight="1" x14ac:dyDescent="0.35">
      <c r="A180" s="8">
        <f>IFERROR(IF(A167=0,A172*11,A172&amp;A172),"-")</f>
        <v>55</v>
      </c>
      <c r="B180" s="7" t="str">
        <f t="shared" ca="1" si="51"/>
        <v/>
      </c>
      <c r="C180" s="7" t="str">
        <f t="shared" ca="1" si="52"/>
        <v/>
      </c>
      <c r="D180" s="55">
        <v>13</v>
      </c>
      <c r="E180" s="17">
        <f t="shared" si="53"/>
        <v>55</v>
      </c>
      <c r="F180" s="18" t="str">
        <f ca="1">IFERROR(IF(A167=0,HLOOKUP(E180,Declarations!$D$2:$S$102,B165,FALSE),HLOOKUP(VLOOKUP(E180,Teams!$V$2:$W$19,2,FALSE),Declarations!$D$2:$S$102,B165,FALSE)),"")</f>
        <v>OADES Matthew</v>
      </c>
      <c r="G180" s="18" t="str">
        <f t="shared" si="50"/>
        <v>Scun</v>
      </c>
      <c r="H180" s="524">
        <f ca="1">IFERROR(INDIRECT(CONCATENATE("'Distance Input'!"&amp;B166&amp;C166+12)),"")</f>
        <v>0</v>
      </c>
      <c r="I180" s="525"/>
      <c r="J180" s="524">
        <v>0</v>
      </c>
      <c r="K180" s="525"/>
      <c r="L180" s="524">
        <v>0</v>
      </c>
      <c r="M180" s="525"/>
      <c r="N180" s="539">
        <f t="shared" ca="1" si="54"/>
        <v>0</v>
      </c>
      <c r="O180" s="540"/>
      <c r="P180" s="55">
        <v>0</v>
      </c>
      <c r="Q180" s="541">
        <v>0</v>
      </c>
      <c r="R180" s="541"/>
      <c r="S180" s="541">
        <v>0</v>
      </c>
      <c r="T180" s="541"/>
      <c r="U180" s="541">
        <v>0</v>
      </c>
      <c r="V180" s="541"/>
      <c r="W180" s="524">
        <f t="shared" ca="1" si="55"/>
        <v>0</v>
      </c>
      <c r="X180" s="525"/>
      <c r="Y180" s="55">
        <f ca="1">IF(OR(W180="",W180=0),0,IF(W180="X",MatchDay!$U$2+MatchDay!$U$2+1-COUNTIF(Distance!W168:W180,"X"),RANK(W180,$W168:$X183,0)))</f>
        <v>0</v>
      </c>
      <c r="Z180" s="19">
        <f ca="1">IFERROR(IF(Y180=0,0,IF(VLOOKUP(AG180,E168:Y175,21,FALSE)=0,"A",IF(Y180&gt;=VLOOKUP(AG180,E168:Y175,21,FALSE),"B","A"))),"")</f>
        <v>0</v>
      </c>
      <c r="AA180" s="19" t="str">
        <f ca="1">IFERROR(IF(Z180="B","",RANK(AD180,AD168:AD183,1)),"")</f>
        <v/>
      </c>
      <c r="AB180" s="19" t="str">
        <f ca="1">IFERROR(IF(Z180="A","",RANK(AE180,AE168:AE183,1)),"")</f>
        <v/>
      </c>
      <c r="AD180" s="9" t="str">
        <f t="shared" ca="1" si="56"/>
        <v/>
      </c>
      <c r="AE180" s="9" t="str">
        <f t="shared" ca="1" si="57"/>
        <v/>
      </c>
      <c r="AF180" s="9" t="s">
        <v>179</v>
      </c>
      <c r="AG180" s="4">
        <f>IFERROR(IF(A167=0,E180/11,LEFT(E180,1)),"")</f>
        <v>5</v>
      </c>
    </row>
    <row r="181" spans="1:33" s="4" customFormat="1" ht="15.95" customHeight="1" x14ac:dyDescent="0.35">
      <c r="A181" s="8" t="str">
        <f>IFERROR(IF(A167=0,A173*11,A173&amp;A173),"-")</f>
        <v>-</v>
      </c>
      <c r="B181" s="7" t="str">
        <f t="shared" ca="1" si="51"/>
        <v/>
      </c>
      <c r="C181" s="7" t="str">
        <f t="shared" ca="1" si="52"/>
        <v/>
      </c>
      <c r="D181" s="55">
        <v>14</v>
      </c>
      <c r="E181" s="17" t="str">
        <f t="shared" si="53"/>
        <v>-</v>
      </c>
      <c r="F181" s="18" t="str">
        <f>IFERROR(IF(A167=0,HLOOKUP(E181,Declarations!$D$2:$S$102,B165,FALSE),HLOOKUP(VLOOKUP(E181,Teams!$V$2:$W$19,2,FALSE),Declarations!$D$2:$S$102,B165,FALSE)),"")</f>
        <v/>
      </c>
      <c r="G181" s="18" t="str">
        <f t="shared" si="50"/>
        <v/>
      </c>
      <c r="H181" s="524">
        <f ca="1">IFERROR(INDIRECT(CONCATENATE("'Distance Input'!"&amp;B166&amp;C166+13)),"")</f>
        <v>0</v>
      </c>
      <c r="I181" s="525"/>
      <c r="J181" s="524">
        <v>0</v>
      </c>
      <c r="K181" s="525"/>
      <c r="L181" s="524">
        <v>0</v>
      </c>
      <c r="M181" s="525"/>
      <c r="N181" s="539">
        <f t="shared" ca="1" si="54"/>
        <v>0</v>
      </c>
      <c r="O181" s="540"/>
      <c r="P181" s="55">
        <v>0</v>
      </c>
      <c r="Q181" s="541">
        <v>0</v>
      </c>
      <c r="R181" s="541"/>
      <c r="S181" s="541">
        <v>0</v>
      </c>
      <c r="T181" s="541"/>
      <c r="U181" s="541">
        <v>0</v>
      </c>
      <c r="V181" s="541"/>
      <c r="W181" s="524">
        <f t="shared" ca="1" si="55"/>
        <v>0</v>
      </c>
      <c r="X181" s="525"/>
      <c r="Y181" s="55">
        <f ca="1">IF(OR(W181="",W181=0),0,IF(W181="X",MatchDay!$U$2+MatchDay!$U$2+1-COUNTIF(Distance!W168:W181,"X"),RANK(W181,$W168:$X183,0)))</f>
        <v>0</v>
      </c>
      <c r="Z181" s="19">
        <f ca="1">IFERROR(IF(Y181=0,0,IF(VLOOKUP(AG181,E168:Y175,21,FALSE)=0,"A",IF(Y181&gt;=VLOOKUP(AG181,E168:Y175,21,FALSE),"B","A"))),"")</f>
        <v>0</v>
      </c>
      <c r="AA181" s="19" t="str">
        <f ca="1">IFERROR(IF(Z181="B","",RANK(AD181,AD168:AD183,1)),"")</f>
        <v/>
      </c>
      <c r="AB181" s="19" t="str">
        <f ca="1">IFERROR(IF(Z181="A","",RANK(AE181,AE168:AE183,1)),"")</f>
        <v/>
      </c>
      <c r="AD181" s="9" t="str">
        <f t="shared" ca="1" si="56"/>
        <v/>
      </c>
      <c r="AE181" s="9" t="str">
        <f t="shared" ca="1" si="57"/>
        <v/>
      </c>
      <c r="AF181" s="9" t="s">
        <v>179</v>
      </c>
      <c r="AG181" s="4" t="str">
        <f>IFERROR(IF(A167=0,E181/11,LEFT(E181,1)),"")</f>
        <v/>
      </c>
    </row>
    <row r="182" spans="1:33" s="4" customFormat="1" ht="15.95" customHeight="1" x14ac:dyDescent="0.35">
      <c r="A182" s="8" t="str">
        <f>IFERROR(IF(A167=0,A174*11,A174&amp;A174),"-")</f>
        <v>-</v>
      </c>
      <c r="B182" s="7" t="str">
        <f t="shared" ca="1" si="51"/>
        <v/>
      </c>
      <c r="C182" s="7" t="str">
        <f t="shared" ca="1" si="52"/>
        <v/>
      </c>
      <c r="D182" s="55">
        <v>15</v>
      </c>
      <c r="E182" s="17" t="str">
        <f t="shared" si="53"/>
        <v>-</v>
      </c>
      <c r="F182" s="18" t="str">
        <f>IFERROR(IF(A167=0,HLOOKUP(E182,Declarations!$D$2:$S$102,B165,FALSE),HLOOKUP(VLOOKUP(E182,Teams!$V$2:$W$19,2,FALSE),Declarations!$D$2:$S$102,B165,FALSE)),"")</f>
        <v/>
      </c>
      <c r="G182" s="18" t="str">
        <f t="shared" si="50"/>
        <v/>
      </c>
      <c r="H182" s="524">
        <f ca="1">IFERROR(INDIRECT(CONCATENATE("'Distance Input'!"&amp;B166&amp;C166+14)),"")</f>
        <v>0</v>
      </c>
      <c r="I182" s="525"/>
      <c r="J182" s="524">
        <v>0</v>
      </c>
      <c r="K182" s="525"/>
      <c r="L182" s="524">
        <v>0</v>
      </c>
      <c r="M182" s="525"/>
      <c r="N182" s="539">
        <f t="shared" ca="1" si="54"/>
        <v>0</v>
      </c>
      <c r="O182" s="540"/>
      <c r="P182" s="55">
        <v>0</v>
      </c>
      <c r="Q182" s="541">
        <v>0</v>
      </c>
      <c r="R182" s="541"/>
      <c r="S182" s="541">
        <v>0</v>
      </c>
      <c r="T182" s="541"/>
      <c r="U182" s="541">
        <v>0</v>
      </c>
      <c r="V182" s="541"/>
      <c r="W182" s="524">
        <f t="shared" ca="1" si="55"/>
        <v>0</v>
      </c>
      <c r="X182" s="525"/>
      <c r="Y182" s="55">
        <f ca="1">IF(OR(W182="",W182=0),0,IF(W182="X",MatchDay!$U$2+MatchDay!$U$2+1-COUNTIF(Distance!W168:W182,"X"),RANK(W182,$W168:$X183,0)))</f>
        <v>0</v>
      </c>
      <c r="Z182" s="19">
        <f ca="1">IFERROR(IF(Y182=0,0,IF(VLOOKUP(AG182,E168:Y175,21,FALSE)=0,"A",IF(Y182&gt;=VLOOKUP(AG182,E168:Y175,21,FALSE),"B","A"))),"")</f>
        <v>0</v>
      </c>
      <c r="AA182" s="19" t="str">
        <f ca="1">IFERROR(IF(Z182="B","",RANK(AD182,AD168:AD183,1)),"")</f>
        <v/>
      </c>
      <c r="AB182" s="19" t="str">
        <f ca="1">IFERROR(IF(Z182="A","",RANK(AE182,AE168:AE183,1)),"")</f>
        <v/>
      </c>
      <c r="AD182" s="9" t="str">
        <f t="shared" ca="1" si="56"/>
        <v/>
      </c>
      <c r="AE182" s="9" t="str">
        <f t="shared" ca="1" si="57"/>
        <v/>
      </c>
      <c r="AF182" s="9" t="s">
        <v>179</v>
      </c>
      <c r="AG182" s="4" t="str">
        <f>IFERROR(IF(A167=0,E182/11,LEFT(E182,1)),"")</f>
        <v/>
      </c>
    </row>
    <row r="183" spans="1:33" s="4" customFormat="1" ht="15.95" customHeight="1" x14ac:dyDescent="0.35">
      <c r="A183" s="8" t="str">
        <f>IFERROR(IF(A167=0,A175*11,A175&amp;A175),"-")</f>
        <v>-</v>
      </c>
      <c r="B183" s="7" t="str">
        <f t="shared" ca="1" si="51"/>
        <v/>
      </c>
      <c r="C183" s="7" t="str">
        <f t="shared" ca="1" si="52"/>
        <v/>
      </c>
      <c r="D183" s="55">
        <v>16</v>
      </c>
      <c r="E183" s="17" t="str">
        <f t="shared" si="53"/>
        <v>-</v>
      </c>
      <c r="F183" s="18" t="str">
        <f>IFERROR(IF(A167=0,HLOOKUP(E183,Declarations!$D$2:$S$102,B165,FALSE),HLOOKUP(VLOOKUP(E183,Teams!$V$2:$W$19,2,FALSE),Declarations!$D$2:$S$102,B165,FALSE)),"")</f>
        <v/>
      </c>
      <c r="G183" s="18" t="str">
        <f t="shared" si="50"/>
        <v/>
      </c>
      <c r="H183" s="524">
        <f ca="1">IFERROR(INDIRECT(CONCATENATE("'Distance Input'!"&amp;B166&amp;C166+15)),"")</f>
        <v>0</v>
      </c>
      <c r="I183" s="525"/>
      <c r="J183" s="524">
        <v>0</v>
      </c>
      <c r="K183" s="525"/>
      <c r="L183" s="524">
        <v>0</v>
      </c>
      <c r="M183" s="525"/>
      <c r="N183" s="539">
        <f t="shared" ca="1" si="54"/>
        <v>0</v>
      </c>
      <c r="O183" s="540"/>
      <c r="P183" s="55">
        <v>0</v>
      </c>
      <c r="Q183" s="541">
        <v>0</v>
      </c>
      <c r="R183" s="541"/>
      <c r="S183" s="541">
        <v>0</v>
      </c>
      <c r="T183" s="541"/>
      <c r="U183" s="541">
        <v>0</v>
      </c>
      <c r="V183" s="541"/>
      <c r="W183" s="524">
        <f t="shared" ca="1" si="55"/>
        <v>0</v>
      </c>
      <c r="X183" s="525"/>
      <c r="Y183" s="55">
        <f ca="1">IF(OR(W183="",W183=0),0,IF(W183="X",MatchDay!$U$2+MatchDay!$U$2+1-COUNTIF(Distance!W168:W183,"X"),RANK(W183,$W168:$X183,0)))</f>
        <v>0</v>
      </c>
      <c r="Z183" s="19">
        <f ca="1">IFERROR(IF(Y183=0,0,IF(VLOOKUP(AG183,E168:Y175,21,FALSE)=0,"A",IF(Y183&gt;=VLOOKUP(AG183,E168:Y175,21,FALSE),"B","A"))),"")</f>
        <v>0</v>
      </c>
      <c r="AA183" s="19" t="str">
        <f ca="1">IFERROR(IF(Z183="B","",RANK(AD183,AD168:AD183,1)),"")</f>
        <v/>
      </c>
      <c r="AB183" s="19" t="str">
        <f ca="1">IFERROR(IF(Z183="A","",RANK(AE183,AE168:AE183,1)),"")</f>
        <v/>
      </c>
      <c r="AD183" s="9" t="str">
        <f t="shared" ca="1" si="56"/>
        <v/>
      </c>
      <c r="AE183" s="9" t="str">
        <f t="shared" ca="1" si="57"/>
        <v/>
      </c>
      <c r="AF183" s="9" t="s">
        <v>179</v>
      </c>
      <c r="AG183" s="4" t="str">
        <f>IFERROR(IF(A167=0,E183/11,LEFT(E183,1)),"")</f>
        <v/>
      </c>
    </row>
    <row r="184" spans="1:33" s="4" customFormat="1" ht="11.65" x14ac:dyDescent="0.45">
      <c r="A184" s="8"/>
      <c r="B184" s="10"/>
      <c r="C184" s="3"/>
      <c r="D184" s="20"/>
      <c r="E184" s="20"/>
      <c r="F184" s="21"/>
      <c r="G184" s="21"/>
      <c r="H184" s="20"/>
      <c r="I184" s="20"/>
      <c r="J184" s="20"/>
      <c r="K184" s="20"/>
      <c r="L184" s="20"/>
      <c r="M184" s="20"/>
      <c r="N184" s="20"/>
      <c r="O184" s="20"/>
      <c r="P184" s="20"/>
      <c r="Q184" s="20"/>
      <c r="R184" s="20"/>
      <c r="S184" s="20"/>
      <c r="T184" s="20"/>
      <c r="U184" s="20"/>
      <c r="V184" s="20"/>
      <c r="W184" s="20"/>
      <c r="X184" s="20"/>
      <c r="Y184" s="20"/>
      <c r="Z184" s="20"/>
      <c r="AA184" s="20"/>
      <c r="AB184" s="22"/>
    </row>
    <row r="185" spans="1:33" s="4" customFormat="1" ht="11.65" x14ac:dyDescent="0.45">
      <c r="A185" s="8"/>
      <c r="B185" s="10"/>
      <c r="C185" s="3"/>
      <c r="D185" s="533" t="s">
        <v>180</v>
      </c>
      <c r="E185" s="547"/>
      <c r="F185" s="547"/>
      <c r="G185" s="547"/>
      <c r="H185" s="547"/>
      <c r="I185" s="547"/>
      <c r="J185" s="512" t="s">
        <v>181</v>
      </c>
      <c r="K185" s="548"/>
      <c r="L185" s="548"/>
      <c r="M185" s="548"/>
      <c r="N185" s="548"/>
      <c r="O185" s="548"/>
      <c r="P185" s="548"/>
      <c r="Q185" s="548"/>
      <c r="R185" s="548"/>
      <c r="S185" s="548"/>
      <c r="T185" s="548"/>
      <c r="U185" s="549"/>
      <c r="V185" s="512" t="s">
        <v>182</v>
      </c>
      <c r="W185" s="513"/>
      <c r="X185" s="513"/>
      <c r="Y185" s="513"/>
      <c r="Z185" s="513"/>
      <c r="AA185" s="513"/>
      <c r="AB185" s="514"/>
    </row>
    <row r="186" spans="1:33" s="4" customFormat="1" ht="11.65" x14ac:dyDescent="0.45">
      <c r="A186" s="8" t="s">
        <v>55</v>
      </c>
      <c r="B186" s="10"/>
      <c r="C186" s="3"/>
      <c r="D186" s="12"/>
      <c r="E186" s="55" t="s">
        <v>183</v>
      </c>
      <c r="F186" s="55" t="s">
        <v>165</v>
      </c>
      <c r="G186" s="55" t="s">
        <v>166</v>
      </c>
      <c r="H186" s="533" t="s">
        <v>184</v>
      </c>
      <c r="I186" s="533"/>
      <c r="J186" s="23"/>
      <c r="K186" s="54" t="s">
        <v>183</v>
      </c>
      <c r="L186" s="512" t="s">
        <v>165</v>
      </c>
      <c r="M186" s="513"/>
      <c r="N186" s="513"/>
      <c r="O186" s="514"/>
      <c r="P186" s="512" t="s">
        <v>166</v>
      </c>
      <c r="Q186" s="513"/>
      <c r="R186" s="513"/>
      <c r="S186" s="514"/>
      <c r="T186" s="512" t="s">
        <v>184</v>
      </c>
      <c r="U186" s="514"/>
      <c r="V186" s="24"/>
      <c r="W186" s="25"/>
      <c r="X186" s="25"/>
      <c r="Y186" s="25"/>
      <c r="Z186" s="25"/>
      <c r="AA186" s="25"/>
      <c r="AB186" s="26"/>
    </row>
    <row r="187" spans="1:33" s="4" customFormat="1" ht="15.95" customHeight="1" x14ac:dyDescent="0.45">
      <c r="A187" s="11">
        <f>IFERROR(VLOOKUP(A164,standards,3,FALSE),"-")</f>
        <v>12.45</v>
      </c>
      <c r="B187" s="10">
        <v>1</v>
      </c>
      <c r="C187" s="3"/>
      <c r="D187" s="55">
        <v>1</v>
      </c>
      <c r="E187" s="19">
        <f ca="1">IFERROR(IF(OR(H168=98,H168=99),H168,VLOOKUP(B187,B168:E183,4,FALSE)),0)</f>
        <v>33</v>
      </c>
      <c r="F187" s="27" t="str">
        <f ca="1">IFERROR(VLOOKUP(E187,$E168:$F183,2,FALSE),"")</f>
        <v>RUTTER Aaron</v>
      </c>
      <c r="G187" s="18" t="str">
        <f t="shared" ref="G187:G194" ca="1" si="58">IFERROR(VLOOKUP(E187,teamlookup,5,FALSE),"-")</f>
        <v>York</v>
      </c>
      <c r="H187" s="542">
        <f ca="1">IFERROR(VLOOKUP(E187,E168:X183,19,FALSE),"")</f>
        <v>11.8</v>
      </c>
      <c r="I187" s="543"/>
      <c r="J187" s="55">
        <v>1</v>
      </c>
      <c r="K187" s="55">
        <f ca="1">IFERROR(VLOOKUP(B187,C168:X183,3,FALSE),"")</f>
        <v>3</v>
      </c>
      <c r="L187" s="544" t="str">
        <f ca="1">IFERROR(VLOOKUP(K187,$E168:$F183,2,FALSE),"")</f>
        <v>MEIGH William</v>
      </c>
      <c r="M187" s="545"/>
      <c r="N187" s="545"/>
      <c r="O187" s="546"/>
      <c r="P187" s="544" t="str">
        <f t="shared" ref="P187:P194" ca="1" si="59">IFERROR(VLOOKUP(K187,teamlookup,5,FALSE),"-")</f>
        <v>York</v>
      </c>
      <c r="Q187" s="545"/>
      <c r="R187" s="545"/>
      <c r="S187" s="546"/>
      <c r="T187" s="524">
        <f ca="1">IFERROR(VLOOKUP(K187,E168:X183,19,FALSE),"")</f>
        <v>7.59</v>
      </c>
      <c r="U187" s="525"/>
      <c r="V187" s="28"/>
      <c r="W187" s="29"/>
      <c r="X187" s="29"/>
      <c r="Y187" s="29"/>
      <c r="Z187" s="29"/>
      <c r="AA187" s="29"/>
      <c r="AB187" s="30"/>
    </row>
    <row r="188" spans="1:33" s="4" customFormat="1" ht="15.95" customHeight="1" x14ac:dyDescent="0.45">
      <c r="A188" s="11">
        <f>IFERROR(VLOOKUP(A164,standards,4,FALSE),"-")</f>
        <v>11.8</v>
      </c>
      <c r="B188" s="10">
        <v>2</v>
      </c>
      <c r="C188" s="3"/>
      <c r="D188" s="55">
        <v>2</v>
      </c>
      <c r="E188" s="19">
        <f ca="1">IFERROR(VLOOKUP(B188,B168:E183,4,FALSE),"")</f>
        <v>1</v>
      </c>
      <c r="F188" s="27" t="str">
        <f ca="1">IFERROR(VLOOKUP(E188,$E168:$F183,2,FALSE),"")</f>
        <v>COOPER Malachi</v>
      </c>
      <c r="G188" s="18" t="str">
        <f t="shared" ca="1" si="58"/>
        <v>C'field</v>
      </c>
      <c r="H188" s="542">
        <f ca="1">IFERROR(VLOOKUP(E188,E168:X183,19,FALSE),"")</f>
        <v>8.33</v>
      </c>
      <c r="I188" s="543"/>
      <c r="J188" s="55">
        <v>2</v>
      </c>
      <c r="K188" s="55">
        <f ca="1">IFERROR(VLOOKUP(B188,C168:X183,3,FALSE),"")</f>
        <v>11</v>
      </c>
      <c r="L188" s="544" t="str">
        <f ca="1">IFERROR(VLOOKUP(K188,$E168:$F183,2,FALSE),"")</f>
        <v>MAZUREK Gracjan</v>
      </c>
      <c r="M188" s="545"/>
      <c r="N188" s="545"/>
      <c r="O188" s="546"/>
      <c r="P188" s="544" t="str">
        <f t="shared" ca="1" si="59"/>
        <v>C'field</v>
      </c>
      <c r="Q188" s="545"/>
      <c r="R188" s="545"/>
      <c r="S188" s="546"/>
      <c r="T188" s="524">
        <f ca="1">IFERROR(VLOOKUP(K188,E168:X183,19,FALSE),"")</f>
        <v>6.25</v>
      </c>
      <c r="U188" s="525"/>
      <c r="V188" s="24"/>
      <c r="W188" s="25"/>
      <c r="X188" s="25"/>
      <c r="Y188" s="25"/>
      <c r="Z188" s="25"/>
      <c r="AA188" s="25"/>
      <c r="AB188" s="26"/>
    </row>
    <row r="189" spans="1:33" s="4" customFormat="1" ht="15.95" customHeight="1" x14ac:dyDescent="0.45">
      <c r="A189" s="11">
        <f>IFERROR(VLOOKUP(A164,standards,5,FALSE),"-")</f>
        <v>11.1</v>
      </c>
      <c r="B189" s="10">
        <v>3</v>
      </c>
      <c r="C189" s="3"/>
      <c r="D189" s="55">
        <v>3</v>
      </c>
      <c r="E189" s="19">
        <f ca="1">IFERROR(VLOOKUP(B189,B168:E183,4,FALSE),"")</f>
        <v>2</v>
      </c>
      <c r="F189" s="27" t="str">
        <f ca="1">IFERROR(VLOOKUP(E189,$E168:$F183,2,FALSE),"")</f>
        <v>LANE William</v>
      </c>
      <c r="G189" s="18" t="str">
        <f t="shared" ca="1" si="58"/>
        <v>Sheff+D</v>
      </c>
      <c r="H189" s="542">
        <f ca="1">IFERROR(VLOOKUP(E189,E168:X183,19,FALSE),"")</f>
        <v>8.14</v>
      </c>
      <c r="I189" s="543"/>
      <c r="J189" s="55">
        <v>3</v>
      </c>
      <c r="K189" s="55">
        <f ca="1">IFERROR(VLOOKUP(B189,C168:X183,3,FALSE),"")</f>
        <v>44</v>
      </c>
      <c r="L189" s="544" t="str">
        <f ca="1">IFERROR(VLOOKUP(K189,$E168:$F183,2,FALSE),"")</f>
        <v>KAYE Charlie</v>
      </c>
      <c r="M189" s="545"/>
      <c r="N189" s="545"/>
      <c r="O189" s="546"/>
      <c r="P189" s="544" t="str">
        <f t="shared" ca="1" si="59"/>
        <v>M'bro</v>
      </c>
      <c r="Q189" s="545"/>
      <c r="R189" s="545"/>
      <c r="S189" s="546"/>
      <c r="T189" s="524">
        <f ca="1">IFERROR(VLOOKUP(K189,E168:X183,19,FALSE),"")</f>
        <v>4.67</v>
      </c>
      <c r="U189" s="525"/>
      <c r="V189" s="28"/>
      <c r="W189" s="29"/>
      <c r="X189" s="29"/>
      <c r="Y189" s="29"/>
      <c r="Z189" s="29"/>
      <c r="AA189" s="29"/>
      <c r="AB189" s="30"/>
    </row>
    <row r="190" spans="1:33" s="4" customFormat="1" ht="15.95" customHeight="1" x14ac:dyDescent="0.45">
      <c r="A190" s="11">
        <f>IFERROR(VLOOKUP(A164,AAA!A:F,6,FALSE),"-")</f>
        <v>10.1</v>
      </c>
      <c r="B190" s="10">
        <v>4</v>
      </c>
      <c r="C190" s="3"/>
      <c r="D190" s="55">
        <v>4</v>
      </c>
      <c r="E190" s="19">
        <f ca="1">IFERROR(VLOOKUP(B190,B168:E183,4,FALSE),"")</f>
        <v>5</v>
      </c>
      <c r="F190" s="27" t="str">
        <f ca="1">IFERROR(VLOOKUP(E190,$E168:$F183,2,FALSE),"")</f>
        <v>COOK Edwin</v>
      </c>
      <c r="G190" s="18" t="str">
        <f t="shared" ca="1" si="58"/>
        <v>Scun</v>
      </c>
      <c r="H190" s="542">
        <f ca="1">IFERROR(VLOOKUP(E190,E168:X183,19,FALSE),"")</f>
        <v>7.89</v>
      </c>
      <c r="I190" s="543"/>
      <c r="J190" s="55">
        <v>4</v>
      </c>
      <c r="K190" s="55" t="str">
        <f ca="1">IFERROR(VLOOKUP(B190,C168:X183,3,FALSE),"")</f>
        <v/>
      </c>
      <c r="L190" s="544" t="str">
        <f ca="1">IFERROR(VLOOKUP(K190,$E168:$F183,2,FALSE),"")</f>
        <v/>
      </c>
      <c r="M190" s="545"/>
      <c r="N190" s="545"/>
      <c r="O190" s="546"/>
      <c r="P190" s="544" t="str">
        <f t="shared" ca="1" si="59"/>
        <v>-</v>
      </c>
      <c r="Q190" s="545"/>
      <c r="R190" s="545"/>
      <c r="S190" s="546"/>
      <c r="T190" s="524" t="str">
        <f ca="1">IFERROR(VLOOKUP(K190,E168:X183,19,FALSE),"")</f>
        <v/>
      </c>
      <c r="U190" s="525"/>
      <c r="V190" s="24"/>
      <c r="W190" s="25"/>
      <c r="X190" s="25"/>
      <c r="Y190" s="25"/>
      <c r="Z190" s="25"/>
      <c r="AA190" s="25"/>
      <c r="AB190" s="26"/>
    </row>
    <row r="191" spans="1:33" s="4" customFormat="1" ht="15.95" customHeight="1" x14ac:dyDescent="0.45">
      <c r="A191" s="8"/>
      <c r="B191" s="10">
        <v>5</v>
      </c>
      <c r="C191" s="3"/>
      <c r="D191" s="55">
        <v>5</v>
      </c>
      <c r="E191" s="19">
        <f ca="1">IFERROR(VLOOKUP(B191,B168:E183,4,FALSE),"")</f>
        <v>4</v>
      </c>
      <c r="F191" s="27" t="str">
        <f ca="1">IFERROR(VLOOKUP(E191,$E168:$F183,2,FALSE),"")</f>
        <v>IBEH Terrell</v>
      </c>
      <c r="G191" s="18" t="str">
        <f t="shared" ca="1" si="58"/>
        <v>M'bro</v>
      </c>
      <c r="H191" s="542">
        <f ca="1">IFERROR(VLOOKUP(E191,E168:X183,19,FALSE),"")</f>
        <v>5.76</v>
      </c>
      <c r="I191" s="543"/>
      <c r="J191" s="55">
        <v>5</v>
      </c>
      <c r="K191" s="55" t="str">
        <f ca="1">IFERROR(VLOOKUP(B191,C168:X183,3,FALSE),"")</f>
        <v/>
      </c>
      <c r="L191" s="544" t="str">
        <f ca="1">IFERROR(VLOOKUP(K191,$E168:$F183,2,FALSE),"")</f>
        <v/>
      </c>
      <c r="M191" s="545"/>
      <c r="N191" s="545"/>
      <c r="O191" s="546"/>
      <c r="P191" s="544" t="str">
        <f t="shared" ca="1" si="59"/>
        <v>-</v>
      </c>
      <c r="Q191" s="545"/>
      <c r="R191" s="545"/>
      <c r="S191" s="546"/>
      <c r="T191" s="524" t="str">
        <f ca="1">IFERROR(VLOOKUP(K191,E168:X183,19,FALSE),"")</f>
        <v/>
      </c>
      <c r="U191" s="525"/>
      <c r="V191" s="28"/>
      <c r="W191" s="29"/>
      <c r="X191" s="29"/>
      <c r="Y191" s="29"/>
      <c r="Z191" s="29"/>
      <c r="AA191" s="29"/>
      <c r="AB191" s="30"/>
    </row>
    <row r="192" spans="1:33" s="4" customFormat="1" ht="15.95" customHeight="1" x14ac:dyDescent="0.45">
      <c r="A192" s="8" t="s">
        <v>204</v>
      </c>
      <c r="B192" s="10">
        <v>6</v>
      </c>
      <c r="C192" s="3"/>
      <c r="D192" s="55">
        <v>6</v>
      </c>
      <c r="E192" s="19" t="str">
        <f ca="1">IFERROR(VLOOKUP(B192,B168:E183,4,FALSE),"")</f>
        <v/>
      </c>
      <c r="F192" s="27" t="str">
        <f ca="1">IFERROR(VLOOKUP(E192,$E168:$F183,2,FALSE),"")</f>
        <v/>
      </c>
      <c r="G192" s="18" t="str">
        <f t="shared" ca="1" si="58"/>
        <v>-</v>
      </c>
      <c r="H192" s="542" t="str">
        <f ca="1">IFERROR(VLOOKUP(E192,E168:X183,19,FALSE),"")</f>
        <v/>
      </c>
      <c r="I192" s="543"/>
      <c r="J192" s="55">
        <v>6</v>
      </c>
      <c r="K192" s="55" t="str">
        <f ca="1">IFERROR(VLOOKUP(B192,C168:X183,3,FALSE),"")</f>
        <v/>
      </c>
      <c r="L192" s="544" t="str">
        <f ca="1">IFERROR(VLOOKUP(K192,$E168:$F183,2,FALSE),"")</f>
        <v/>
      </c>
      <c r="M192" s="545"/>
      <c r="N192" s="545"/>
      <c r="O192" s="546"/>
      <c r="P192" s="544" t="str">
        <f t="shared" ca="1" si="59"/>
        <v>-</v>
      </c>
      <c r="Q192" s="545"/>
      <c r="R192" s="545"/>
      <c r="S192" s="546"/>
      <c r="T192" s="524" t="str">
        <f ca="1">IFERROR(VLOOKUP(K192,E168:X183,19,FALSE),"")</f>
        <v/>
      </c>
      <c r="U192" s="525"/>
      <c r="V192" s="512" t="s">
        <v>185</v>
      </c>
      <c r="W192" s="513"/>
      <c r="X192" s="513"/>
      <c r="Y192" s="513"/>
      <c r="Z192" s="513"/>
      <c r="AA192" s="513"/>
      <c r="AB192" s="514"/>
    </row>
    <row r="193" spans="1:33" s="4" customFormat="1" ht="15.95" customHeight="1" x14ac:dyDescent="0.45">
      <c r="A193" s="8">
        <f>IFERROR(VLOOKUP(A164,records,5,FALSE),"")</f>
        <v>15.49</v>
      </c>
      <c r="B193" s="10">
        <v>7</v>
      </c>
      <c r="C193" s="3"/>
      <c r="D193" s="55">
        <v>7</v>
      </c>
      <c r="E193" s="19" t="str">
        <f ca="1">IFERROR(VLOOKUP(B193,B168:E183,4,FALSE),"")</f>
        <v/>
      </c>
      <c r="F193" s="27" t="str">
        <f ca="1">IFERROR(VLOOKUP(E193,$E168:$F183,2,FALSE),"")</f>
        <v/>
      </c>
      <c r="G193" s="18" t="str">
        <f t="shared" ca="1" si="58"/>
        <v>-</v>
      </c>
      <c r="H193" s="542" t="str">
        <f ca="1">IFERROR(VLOOKUP(E193,E168:X183,19,FALSE),"")</f>
        <v/>
      </c>
      <c r="I193" s="543"/>
      <c r="J193" s="55">
        <v>7</v>
      </c>
      <c r="K193" s="55" t="str">
        <f ca="1">IFERROR(VLOOKUP(B193,C168:X183,3,FALSE),"")</f>
        <v/>
      </c>
      <c r="L193" s="544" t="str">
        <f ca="1">IFERROR(VLOOKUP(K193,$E168:$F183,2,FALSE),"")</f>
        <v/>
      </c>
      <c r="M193" s="545"/>
      <c r="N193" s="545"/>
      <c r="O193" s="546"/>
      <c r="P193" s="544" t="str">
        <f t="shared" ca="1" si="59"/>
        <v>-</v>
      </c>
      <c r="Q193" s="545"/>
      <c r="R193" s="545"/>
      <c r="S193" s="546"/>
      <c r="T193" s="524" t="str">
        <f ca="1">IFERROR(VLOOKUP(K193,E168:X183,19,FALSE),"")</f>
        <v/>
      </c>
      <c r="U193" s="525"/>
      <c r="V193" s="24"/>
      <c r="W193" s="25"/>
      <c r="X193" s="25"/>
      <c r="Y193" s="25"/>
      <c r="Z193" s="25"/>
      <c r="AA193" s="25"/>
      <c r="AB193" s="26"/>
    </row>
    <row r="194" spans="1:33" s="4" customFormat="1" ht="15.95" customHeight="1" x14ac:dyDescent="0.45">
      <c r="A194" s="8"/>
      <c r="B194" s="10">
        <v>8</v>
      </c>
      <c r="C194" s="3"/>
      <c r="D194" s="55">
        <v>8</v>
      </c>
      <c r="E194" s="19" t="str">
        <f ca="1">IFERROR(VLOOKUP(B194,B168:E183,4,FALSE),"")</f>
        <v/>
      </c>
      <c r="F194" s="27" t="str">
        <f ca="1">IFERROR(VLOOKUP(E194,$E168:$F183,2,FALSE),"")</f>
        <v/>
      </c>
      <c r="G194" s="18" t="str">
        <f t="shared" ca="1" si="58"/>
        <v>-</v>
      </c>
      <c r="H194" s="542" t="str">
        <f ca="1">IFERROR(VLOOKUP(E194,E168:X183,19,FALSE),"")</f>
        <v/>
      </c>
      <c r="I194" s="543"/>
      <c r="J194" s="55">
        <v>8</v>
      </c>
      <c r="K194" s="55" t="str">
        <f ca="1">IFERROR(VLOOKUP(B194,C168:X183,3,FALSE),"")</f>
        <v/>
      </c>
      <c r="L194" s="544" t="str">
        <f ca="1">IFERROR(VLOOKUP(K194,$E168:$F183,2,FALSE),"")</f>
        <v/>
      </c>
      <c r="M194" s="545"/>
      <c r="N194" s="545"/>
      <c r="O194" s="546"/>
      <c r="P194" s="544" t="str">
        <f t="shared" ca="1" si="59"/>
        <v>-</v>
      </c>
      <c r="Q194" s="545"/>
      <c r="R194" s="545"/>
      <c r="S194" s="546"/>
      <c r="T194" s="524" t="str">
        <f ca="1">IFERROR(VLOOKUP(K194,E168:X183,19,FALSE),"")</f>
        <v/>
      </c>
      <c r="U194" s="525"/>
      <c r="V194" s="28"/>
      <c r="W194" s="29"/>
      <c r="X194" s="29"/>
      <c r="Y194" s="29"/>
      <c r="Z194" s="29"/>
      <c r="AA194" s="29"/>
      <c r="AB194" s="30"/>
    </row>
    <row r="195" spans="1:33" s="4" customFormat="1" ht="21" x14ac:dyDescent="0.45">
      <c r="A195" s="2" t="str">
        <f>MatchDay!$U$6</f>
        <v>X</v>
      </c>
      <c r="B195" s="8"/>
      <c r="C195" s="3"/>
      <c r="D195" s="502" t="s">
        <v>186</v>
      </c>
      <c r="E195" s="503"/>
      <c r="F195" s="503"/>
      <c r="G195" s="503"/>
      <c r="H195" s="503"/>
      <c r="I195" s="503"/>
      <c r="J195" s="503"/>
      <c r="K195" s="515" t="s">
        <v>187</v>
      </c>
      <c r="L195" s="516"/>
      <c r="M195" s="516"/>
      <c r="N195" s="516"/>
      <c r="O195" s="518" t="str">
        <f>MatchDay!$C$2&amp;" "&amp;MatchDay!$C$3&amp;" "&amp;MatchDay!$C$4</f>
        <v>LOWER NORTH East 1</v>
      </c>
      <c r="P195" s="519"/>
      <c r="Q195" s="519"/>
      <c r="R195" s="519"/>
      <c r="S195" s="519"/>
      <c r="T195" s="519"/>
      <c r="U195" s="519"/>
      <c r="V195" s="519"/>
      <c r="W195" s="519"/>
      <c r="X195" s="519"/>
      <c r="Y195" s="519"/>
      <c r="Z195" s="519"/>
      <c r="AA195" s="519"/>
      <c r="AB195" s="520"/>
    </row>
    <row r="196" spans="1:33" s="4" customFormat="1" ht="15.75" customHeight="1" x14ac:dyDescent="0.45">
      <c r="A196" s="1" t="str">
        <f>IFERROR(IF(LEFT(MatchDay!$C$2,1)="L","L"&amp;A198,"U"&amp;A198),"")</f>
        <v>LFD07</v>
      </c>
      <c r="B196" s="10">
        <v>219</v>
      </c>
      <c r="C196" s="3"/>
      <c r="D196" s="512" t="s">
        <v>188</v>
      </c>
      <c r="E196" s="514"/>
      <c r="F196" s="513" t="str">
        <f>IFERROR(UPPER(VLOOKUP(A197,teamlookup,6,FALSE)),"")</f>
        <v/>
      </c>
      <c r="G196" s="514"/>
      <c r="H196" s="504" t="s">
        <v>201</v>
      </c>
      <c r="I196" s="510"/>
      <c r="J196" s="505"/>
      <c r="K196" s="512" t="str">
        <f>MatchDay!$C$8</f>
        <v>@ Doncaster</v>
      </c>
      <c r="L196" s="513"/>
      <c r="M196" s="513"/>
      <c r="N196" s="513"/>
      <c r="O196" s="513"/>
      <c r="P196" s="514"/>
      <c r="Q196" s="504" t="s">
        <v>160</v>
      </c>
      <c r="R196" s="505"/>
      <c r="S196" s="521">
        <f>MatchDay!$C$7</f>
        <v>43582</v>
      </c>
      <c r="T196" s="522"/>
      <c r="U196" s="522"/>
      <c r="V196" s="522"/>
      <c r="W196" s="522"/>
      <c r="X196" s="523"/>
      <c r="Y196" s="526" t="str">
        <f>IFERROR(IF(LEFT(A196,1)="L","",VLOOKUP(A196,AAA!$A:$I,8,FALSE)),"")</f>
        <v/>
      </c>
      <c r="Z196" s="527"/>
      <c r="AA196" s="524" t="str">
        <f>IFERROR(IF(LEFT(A196,1)="L","",VLOOKUP(A196,standards,9,FALSE)),"")</f>
        <v/>
      </c>
      <c r="AB196" s="525"/>
      <c r="AC196" s="6"/>
      <c r="AD196" s="6"/>
    </row>
    <row r="197" spans="1:33" s="4" customFormat="1" ht="15.75" customHeight="1" x14ac:dyDescent="0.45">
      <c r="A197" s="5">
        <f>IFERROR(IF(A195=1,VLOOKUP(A196,judges,VLOOKUP(MatchDay!$U$2*10+MatchDay!$C$5,judgesp,5,FALSE),FALSE),VLOOKUP(Distance!A196,judges,VLOOKUP(MatchDay!$U$2*10+MatchDay!$C$5,judges2,5,FALSE),FALSE)),"")</f>
        <v>0</v>
      </c>
      <c r="B197" s="181">
        <f>IFERROR(VLOOKUP(A196,Timetables!$A:$E,5,FALSE)-1,"")</f>
        <v>66</v>
      </c>
      <c r="C197" s="3"/>
      <c r="D197" s="504" t="s">
        <v>161</v>
      </c>
      <c r="E197" s="505"/>
      <c r="F197" s="508" t="str">
        <f>IFERROR(VLOOKUP(A196,timetables,2,FALSE)&amp;" "&amp;VLOOKUP(A196,timetables,3,FALSE),"")</f>
        <v>Javelin U15 Boys</v>
      </c>
      <c r="G197" s="509"/>
      <c r="H197" s="504" t="s">
        <v>162</v>
      </c>
      <c r="I197" s="510"/>
      <c r="J197" s="505"/>
      <c r="K197" s="511">
        <f>IFERROR(IF(A195=1,VLOOKUP(A196,Timetables!$A:$G,6,FALSE),VLOOKUP(A196,Timetables!$A:$G,7,FALSE)),"")</f>
        <v>0.57291666666666663</v>
      </c>
      <c r="L197" s="511" t="e">
        <v>#N/A</v>
      </c>
      <c r="M197" s="504" t="s">
        <v>202</v>
      </c>
      <c r="N197" s="505"/>
      <c r="O197" s="506" t="str">
        <f>IFERROR(VLOOKUP(A196,records,3,FALSE)&amp;", "&amp;VLOOKUP(A196,records,4,FALSE)&amp;", "&amp;VLOOKUP(A196,records,5,FALSE)&amp;", "&amp;VLOOKUP(A196,records,6,FALSE)&amp;", "&amp;VLOOKUP(A196,records,7,FALSE)&amp;" "&amp;VLOOKUP(A196,records,8,FALSE),"")</f>
        <v>Max Law, Havering AC, 61.4, Hornchurch, June 19th 2016</v>
      </c>
      <c r="P197" s="506"/>
      <c r="Q197" s="506"/>
      <c r="R197" s="506"/>
      <c r="S197" s="506"/>
      <c r="T197" s="506"/>
      <c r="U197" s="506"/>
      <c r="V197" s="506"/>
      <c r="W197" s="506"/>
      <c r="X197" s="506"/>
      <c r="Y197" s="506"/>
      <c r="Z197" s="506"/>
      <c r="AA197" s="506"/>
      <c r="AB197" s="507"/>
    </row>
    <row r="198" spans="1:33" s="4" customFormat="1" ht="32.1" customHeight="1" x14ac:dyDescent="0.45">
      <c r="A198" s="5" t="s">
        <v>263</v>
      </c>
      <c r="B198" s="10" t="str">
        <f>IFERROR(VLOOKUP($A198,fdistance,2,FALSE),"")</f>
        <v>F</v>
      </c>
      <c r="C198" s="10">
        <f>IFERROR(VLOOKUP($A198,fdistance,3,FALSE),"")</f>
        <v>61</v>
      </c>
      <c r="D198" s="31" t="s">
        <v>163</v>
      </c>
      <c r="E198" s="13" t="s">
        <v>164</v>
      </c>
      <c r="F198" s="13" t="s">
        <v>165</v>
      </c>
      <c r="G198" s="14" t="s">
        <v>166</v>
      </c>
      <c r="H198" s="532" t="s">
        <v>167</v>
      </c>
      <c r="I198" s="534"/>
      <c r="J198" s="534" t="s">
        <v>168</v>
      </c>
      <c r="K198" s="534"/>
      <c r="L198" s="534" t="s">
        <v>169</v>
      </c>
      <c r="M198" s="534"/>
      <c r="N198" s="534" t="s">
        <v>170</v>
      </c>
      <c r="O198" s="534"/>
      <c r="P198" s="535" t="s">
        <v>171</v>
      </c>
      <c r="Q198" s="534" t="s">
        <v>172</v>
      </c>
      <c r="R198" s="534"/>
      <c r="S198" s="534" t="s">
        <v>173</v>
      </c>
      <c r="T198" s="534"/>
      <c r="U198" s="534" t="s">
        <v>174</v>
      </c>
      <c r="V198" s="534"/>
      <c r="W198" s="537" t="s">
        <v>175</v>
      </c>
      <c r="X198" s="538"/>
      <c r="Y198" s="528" t="s">
        <v>176</v>
      </c>
      <c r="Z198" s="530" t="s">
        <v>177</v>
      </c>
      <c r="AA198" s="531"/>
      <c r="AB198" s="532"/>
    </row>
    <row r="199" spans="1:33" s="4" customFormat="1" ht="11.65" x14ac:dyDescent="0.35">
      <c r="A199" s="137">
        <f>IFERROR(SEARCH("U17",F197),0)</f>
        <v>0</v>
      </c>
      <c r="B199" s="7" t="s">
        <v>53</v>
      </c>
      <c r="C199" s="7" t="s">
        <v>54</v>
      </c>
      <c r="D199" s="56"/>
      <c r="E199" s="56"/>
      <c r="F199" s="15"/>
      <c r="G199" s="16"/>
      <c r="H199" s="514" t="s">
        <v>178</v>
      </c>
      <c r="I199" s="533"/>
      <c r="J199" s="533" t="s">
        <v>178</v>
      </c>
      <c r="K199" s="533"/>
      <c r="L199" s="533" t="s">
        <v>178</v>
      </c>
      <c r="M199" s="533"/>
      <c r="N199" s="533" t="s">
        <v>178</v>
      </c>
      <c r="O199" s="533"/>
      <c r="P199" s="536"/>
      <c r="Q199" s="533" t="s">
        <v>178</v>
      </c>
      <c r="R199" s="533"/>
      <c r="S199" s="533" t="s">
        <v>178</v>
      </c>
      <c r="T199" s="533"/>
      <c r="U199" s="533" t="s">
        <v>178</v>
      </c>
      <c r="V199" s="533"/>
      <c r="W199" s="533" t="s">
        <v>178</v>
      </c>
      <c r="X199" s="512"/>
      <c r="Y199" s="529"/>
      <c r="Z199" s="55"/>
      <c r="AA199" s="55" t="s">
        <v>53</v>
      </c>
      <c r="AB199" s="55" t="s">
        <v>54</v>
      </c>
    </row>
    <row r="200" spans="1:33" s="4" customFormat="1" ht="15.95" customHeight="1" x14ac:dyDescent="0.35">
      <c r="A200" s="8">
        <f>IFERROR(IF(D200&gt;MatchDay!$U$2,"-",VLOOKUP(A196,timetables,MatchDay!$U$4,FALSE)),0)</f>
        <v>4</v>
      </c>
      <c r="B200" s="7" t="str">
        <f ca="1">AA200</f>
        <v/>
      </c>
      <c r="C200" s="7" t="str">
        <f ca="1">AB200</f>
        <v/>
      </c>
      <c r="D200" s="56">
        <v>1</v>
      </c>
      <c r="E200" s="17">
        <f>A200</f>
        <v>4</v>
      </c>
      <c r="F200" s="18" t="str">
        <f ca="1">IFERROR(IF(A199=0,HLOOKUP(E200,Declarations!$D$2:$S$102,B197,FALSE),HLOOKUP(VLOOKUP(E200,Teams!$V$2:$W$19,2,FALSE),Declarations!$D$2:$S$102,B197,FALSE)),"")</f>
        <v>-</v>
      </c>
      <c r="G200" s="18" t="str">
        <f t="shared" ref="G200:G215" si="60">IFERROR(VLOOKUP(E200,teamlookup,5,FALSE),"-")</f>
        <v>M'bro</v>
      </c>
      <c r="H200" s="524">
        <f ca="1">IFERROR(INDIRECT(CONCATENATE("'Distance Input'!"&amp;B198&amp;C198)),"")</f>
        <v>0</v>
      </c>
      <c r="I200" s="525"/>
      <c r="J200" s="524">
        <v>0</v>
      </c>
      <c r="K200" s="525"/>
      <c r="L200" s="524">
        <v>0</v>
      </c>
      <c r="M200" s="525"/>
      <c r="N200" s="539">
        <f ca="1">H200</f>
        <v>0</v>
      </c>
      <c r="O200" s="540"/>
      <c r="P200" s="55">
        <v>0</v>
      </c>
      <c r="Q200" s="541">
        <v>0</v>
      </c>
      <c r="R200" s="541"/>
      <c r="S200" s="541">
        <v>0</v>
      </c>
      <c r="T200" s="541"/>
      <c r="U200" s="541">
        <v>0</v>
      </c>
      <c r="V200" s="541"/>
      <c r="W200" s="524">
        <f ca="1">N200</f>
        <v>0</v>
      </c>
      <c r="X200" s="525"/>
      <c r="Y200" s="55">
        <f ca="1">IF(OR(W200="",W200=0),0,IF(W200="X",MatchDay!$U$2+MatchDay!$U$2+1-COUNTIF(Distance!W200:W200,"X"),RANK(W200,$W200:$X215,0)))</f>
        <v>0</v>
      </c>
      <c r="Z200" s="19">
        <f ca="1">IFERROR(IF(Y200=0,0,IF(OR(VLOOKUP(AG200,E208:Y215,21,FALSE)=0,Y200&lt;=VLOOKUP(AG200,E208:Y215,21,FALSE)),"A","B")),"")</f>
        <v>0</v>
      </c>
      <c r="AA200" s="19" t="str">
        <f ca="1">IFERROR(IF(Z200="B","",RANK(AD200,AD200:AD215,1)),"")</f>
        <v/>
      </c>
      <c r="AB200" s="19" t="str">
        <f ca="1">IFERROR(IF(Z200="A","",RANK(AE200,AE200:AE215,1)),"")</f>
        <v/>
      </c>
      <c r="AC200" s="8"/>
      <c r="AD200" s="9" t="str">
        <f ca="1">IF(OR(W200=0,Y200=0,Z200="B"),"",Y200)</f>
        <v/>
      </c>
      <c r="AE200" s="9" t="str">
        <f ca="1">IF(OR(W200=0,Y200=0,Z200="A"),"",Y200)</f>
        <v/>
      </c>
      <c r="AF200" s="9" t="s">
        <v>179</v>
      </c>
      <c r="AG200" s="4">
        <f>IFERROR(IF(A199=0,E200*11,E200&amp;E200),"")</f>
        <v>44</v>
      </c>
    </row>
    <row r="201" spans="1:33" s="4" customFormat="1" ht="15.95" customHeight="1" x14ac:dyDescent="0.35">
      <c r="A201" s="8">
        <f>IFERROR(IF(D201&gt;MatchDay!$U$2,"-",VLOOKUP(A196,timetables,MatchDay!$U$4+1,FALSE)),0)</f>
        <v>2</v>
      </c>
      <c r="B201" s="7">
        <f t="shared" ref="B201:B215" ca="1" si="61">AA201</f>
        <v>3</v>
      </c>
      <c r="C201" s="7" t="str">
        <f t="shared" ref="C201:C215" ca="1" si="62">AB201</f>
        <v/>
      </c>
      <c r="D201" s="55">
        <v>2</v>
      </c>
      <c r="E201" s="17">
        <f t="shared" ref="E201:E215" si="63">A201</f>
        <v>2</v>
      </c>
      <c r="F201" s="18" t="str">
        <f ca="1">IFERROR(IF(A199=0,HLOOKUP(E201,Declarations!$D$2:$S$102,B197,FALSE),HLOOKUP(VLOOKUP(E201,Teams!$V$2:$W$19,2,FALSE),Declarations!$D$2:$S$102,B197,FALSE)),"")</f>
        <v>COLLINI Joseph</v>
      </c>
      <c r="G201" s="18" t="str">
        <f t="shared" si="60"/>
        <v>Sheff+D</v>
      </c>
      <c r="H201" s="524">
        <f ca="1">IFERROR(INDIRECT(CONCATENATE("'Distance Input'!"&amp;B198&amp;C198+1)),"")</f>
        <v>16.920000000000002</v>
      </c>
      <c r="I201" s="525"/>
      <c r="J201" s="524">
        <v>0</v>
      </c>
      <c r="K201" s="525"/>
      <c r="L201" s="524">
        <v>0</v>
      </c>
      <c r="M201" s="525"/>
      <c r="N201" s="539">
        <f t="shared" ref="N201:N215" ca="1" si="64">H201</f>
        <v>16.920000000000002</v>
      </c>
      <c r="O201" s="540"/>
      <c r="P201" s="55">
        <v>0</v>
      </c>
      <c r="Q201" s="541">
        <v>0</v>
      </c>
      <c r="R201" s="541"/>
      <c r="S201" s="541">
        <v>0</v>
      </c>
      <c r="T201" s="541"/>
      <c r="U201" s="541">
        <v>0</v>
      </c>
      <c r="V201" s="541"/>
      <c r="W201" s="524">
        <f t="shared" ref="W201:W215" ca="1" si="65">N201</f>
        <v>16.920000000000002</v>
      </c>
      <c r="X201" s="525"/>
      <c r="Y201" s="55">
        <f ca="1">IF(OR(W201="",W201=0),0,IF(W201="X",MatchDay!$U$2+MatchDay!$U$2+1-COUNTIF(Distance!W200:W201,"X"),RANK(W201,$W200:$X215,0)))</f>
        <v>4</v>
      </c>
      <c r="Z201" s="19" t="str">
        <f ca="1">IFERROR(IF(Y201=0,0,IF(OR(VLOOKUP(AG201,E208:Y215,21,FALSE)=0,Y201&lt;=VLOOKUP(AG201,E208:Y215,21,FALSE)),"A","B")),"")</f>
        <v>A</v>
      </c>
      <c r="AA201" s="19">
        <f ca="1">IFERROR(IF(Z201="B","",RANK(AD201,AD200:AD215,1)),"")</f>
        <v>3</v>
      </c>
      <c r="AB201" s="19" t="str">
        <f ca="1">IFERROR(IF(Z201="A","",RANK(AE201,AE200:AE215,1)),"")</f>
        <v/>
      </c>
      <c r="AC201" s="8"/>
      <c r="AD201" s="9">
        <f t="shared" ref="AD201:AD215" ca="1" si="66">IF(OR(W201=0,Y201=0,Z201="B"),"",Y201)</f>
        <v>4</v>
      </c>
      <c r="AE201" s="9" t="str">
        <f t="shared" ref="AE201:AE215" ca="1" si="67">IF(OR(W201=0,Y201=0,Z201="A"),"",Y201)</f>
        <v/>
      </c>
      <c r="AF201" s="9" t="s">
        <v>179</v>
      </c>
      <c r="AG201" s="4">
        <f>IFERROR(IF(A199=0,E201*11,E201&amp;E201),"")</f>
        <v>22</v>
      </c>
    </row>
    <row r="202" spans="1:33" s="4" customFormat="1" ht="15.95" customHeight="1" x14ac:dyDescent="0.35">
      <c r="A202" s="8">
        <f>IFERROR(IF(D202&gt;MatchDay!$U$2,"-",VLOOKUP(A196,timetables,MatchDay!$U$4+2,FALSE)),0)</f>
        <v>5</v>
      </c>
      <c r="B202" s="7">
        <f t="shared" ca="1" si="61"/>
        <v>1</v>
      </c>
      <c r="C202" s="7" t="str">
        <f t="shared" ca="1" si="62"/>
        <v/>
      </c>
      <c r="D202" s="55">
        <v>3</v>
      </c>
      <c r="E202" s="17">
        <f t="shared" si="63"/>
        <v>5</v>
      </c>
      <c r="F202" s="18" t="str">
        <f ca="1">IFERROR(IF(A199=0,HLOOKUP(E202,Declarations!$D$2:$S$102,B197,FALSE),HLOOKUP(VLOOKUP(E202,Teams!$V$2:$W$19,2,FALSE),Declarations!$D$2:$S$102,B197,FALSE)),"")</f>
        <v>COOK Edwin</v>
      </c>
      <c r="G202" s="18" t="str">
        <f t="shared" si="60"/>
        <v>Scun</v>
      </c>
      <c r="H202" s="524">
        <f ca="1">IFERROR(INDIRECT(CONCATENATE("'Distance Input'!"&amp;B198&amp;C198+2)),"")</f>
        <v>20.81</v>
      </c>
      <c r="I202" s="525"/>
      <c r="J202" s="524">
        <v>0</v>
      </c>
      <c r="K202" s="525"/>
      <c r="L202" s="524">
        <v>0</v>
      </c>
      <c r="M202" s="525"/>
      <c r="N202" s="539">
        <f t="shared" ca="1" si="64"/>
        <v>20.81</v>
      </c>
      <c r="O202" s="540"/>
      <c r="P202" s="55">
        <v>0</v>
      </c>
      <c r="Q202" s="541">
        <v>0</v>
      </c>
      <c r="R202" s="541"/>
      <c r="S202" s="541">
        <v>0</v>
      </c>
      <c r="T202" s="541"/>
      <c r="U202" s="541">
        <v>0</v>
      </c>
      <c r="V202" s="541"/>
      <c r="W202" s="524">
        <f t="shared" ca="1" si="65"/>
        <v>20.81</v>
      </c>
      <c r="X202" s="525"/>
      <c r="Y202" s="55">
        <f ca="1">IF(OR(W202="",W202=0),0,IF(W202="X",MatchDay!$U$2+MatchDay!$U$2+1-COUNTIF(Distance!W200:W202,"X"),RANK(W202,$W200:$X215,0)))</f>
        <v>1</v>
      </c>
      <c r="Z202" s="19" t="str">
        <f ca="1">IFERROR(IF(Y202=0,0,IF(OR(VLOOKUP(AG202,E208:Y215,21,FALSE)=0,Y202&lt;=VLOOKUP(AG202,E208:Y215,21,FALSE)),"A","B")),"")</f>
        <v>A</v>
      </c>
      <c r="AA202" s="19">
        <f ca="1">IFERROR(IF(Z202="B","",RANK(AD202,AD200:AD215,1)),"")</f>
        <v>1</v>
      </c>
      <c r="AB202" s="19" t="str">
        <f ca="1">IFERROR(IF(Z202="A","",RANK(AE202,AE200:AE215,1)),"")</f>
        <v/>
      </c>
      <c r="AD202" s="9">
        <f t="shared" ca="1" si="66"/>
        <v>1</v>
      </c>
      <c r="AE202" s="9" t="str">
        <f t="shared" ca="1" si="67"/>
        <v/>
      </c>
      <c r="AF202" s="9" t="s">
        <v>179</v>
      </c>
      <c r="AG202" s="4">
        <f>IFERROR(IF(A199=0,E202*11,E202&amp;E202),"")</f>
        <v>55</v>
      </c>
    </row>
    <row r="203" spans="1:33" s="4" customFormat="1" ht="15.95" customHeight="1" x14ac:dyDescent="0.35">
      <c r="A203" s="8">
        <f>IFERROR(IF(D203&gt;MatchDay!$U$2,"-",VLOOKUP(A196,timetables,MatchDay!$U$4+3,FALSE)),0)</f>
        <v>1</v>
      </c>
      <c r="B203" s="7">
        <f t="shared" ca="1" si="61"/>
        <v>4</v>
      </c>
      <c r="C203" s="7" t="str">
        <f t="shared" ca="1" si="62"/>
        <v/>
      </c>
      <c r="D203" s="55">
        <v>4</v>
      </c>
      <c r="E203" s="17">
        <f t="shared" si="63"/>
        <v>1</v>
      </c>
      <c r="F203" s="18" t="str">
        <f ca="1">IFERROR(IF(A199=0,HLOOKUP(E203,Declarations!$D$2:$S$102,B197,FALSE),HLOOKUP(VLOOKUP(E203,Teams!$V$2:$W$19,2,FALSE),Declarations!$D$2:$S$102,B197,FALSE)),"")</f>
        <v>BETTNEY Thomas</v>
      </c>
      <c r="G203" s="18" t="str">
        <f t="shared" si="60"/>
        <v>C'field</v>
      </c>
      <c r="H203" s="524">
        <f ca="1">IFERROR(INDIRECT(CONCATENATE("'Distance Input'!"&amp;B198&amp;C198+3)),"")</f>
        <v>15.02</v>
      </c>
      <c r="I203" s="525"/>
      <c r="J203" s="524">
        <v>0</v>
      </c>
      <c r="K203" s="525"/>
      <c r="L203" s="524">
        <v>0</v>
      </c>
      <c r="M203" s="525"/>
      <c r="N203" s="539">
        <f t="shared" ca="1" si="64"/>
        <v>15.02</v>
      </c>
      <c r="O203" s="540"/>
      <c r="P203" s="55">
        <v>0</v>
      </c>
      <c r="Q203" s="541">
        <v>0</v>
      </c>
      <c r="R203" s="541"/>
      <c r="S203" s="541">
        <v>0</v>
      </c>
      <c r="T203" s="541"/>
      <c r="U203" s="541">
        <v>0</v>
      </c>
      <c r="V203" s="541"/>
      <c r="W203" s="524">
        <f t="shared" ca="1" si="65"/>
        <v>15.02</v>
      </c>
      <c r="X203" s="525"/>
      <c r="Y203" s="55">
        <f ca="1">IF(OR(W203="",W203=0),0,IF(W203="X",MatchDay!$U$2+MatchDay!$U$2+1-COUNTIF(Distance!W200:W203,"X"),RANK(W203,$W200:$X215,0)))</f>
        <v>5</v>
      </c>
      <c r="Z203" s="19" t="str">
        <f ca="1">IFERROR(IF(Y203=0,0,IF(OR(VLOOKUP(AG203,E208:Y215,21,FALSE)=0,Y203&lt;=VLOOKUP(AG203,E208:Y215,21,FALSE)),"A","B")),"")</f>
        <v>A</v>
      </c>
      <c r="AA203" s="19">
        <f ca="1">IFERROR(IF(Z203="B","",RANK(AD203,AD200:AD215,1)),"")</f>
        <v>4</v>
      </c>
      <c r="AB203" s="19" t="str">
        <f ca="1">IFERROR(IF(Z203="A","",RANK(AE203,AE200:AE215,1)),"")</f>
        <v/>
      </c>
      <c r="AD203" s="9">
        <f t="shared" ca="1" si="66"/>
        <v>5</v>
      </c>
      <c r="AE203" s="9" t="str">
        <f t="shared" ca="1" si="67"/>
        <v/>
      </c>
      <c r="AF203" s="9" t="s">
        <v>179</v>
      </c>
      <c r="AG203" s="4">
        <f>IFERROR(IF(A199=0,E203*11,E203&amp;E203),"")</f>
        <v>11</v>
      </c>
    </row>
    <row r="204" spans="1:33" s="4" customFormat="1" ht="15.95" customHeight="1" x14ac:dyDescent="0.35">
      <c r="A204" s="8">
        <f>IFERROR(IF(D204&gt;MatchDay!$U$2,"-",VLOOKUP(A196,timetables,MatchDay!$U$4+4,FALSE)),0)</f>
        <v>3</v>
      </c>
      <c r="B204" s="7">
        <f t="shared" ca="1" si="61"/>
        <v>2</v>
      </c>
      <c r="C204" s="7" t="str">
        <f t="shared" ca="1" si="62"/>
        <v/>
      </c>
      <c r="D204" s="55">
        <v>5</v>
      </c>
      <c r="E204" s="17">
        <f t="shared" si="63"/>
        <v>3</v>
      </c>
      <c r="F204" s="18" t="str">
        <f ca="1">IFERROR(IF(A199=0,HLOOKUP(E204,Declarations!$D$2:$S$102,B197,FALSE),HLOOKUP(VLOOKUP(E204,Teams!$V$2:$W$19,2,FALSE),Declarations!$D$2:$S$102,B197,FALSE)),"")</f>
        <v>RHODES Ashton</v>
      </c>
      <c r="G204" s="18" t="str">
        <f t="shared" si="60"/>
        <v>York</v>
      </c>
      <c r="H204" s="524">
        <f ca="1">IFERROR(INDIRECT(CONCATENATE("'Distance Input'!"&amp;B198&amp;C198+4)),"")</f>
        <v>20.329999999999998</v>
      </c>
      <c r="I204" s="525"/>
      <c r="J204" s="524">
        <v>0</v>
      </c>
      <c r="K204" s="525"/>
      <c r="L204" s="524">
        <v>0</v>
      </c>
      <c r="M204" s="525"/>
      <c r="N204" s="539">
        <f t="shared" ca="1" si="64"/>
        <v>20.329999999999998</v>
      </c>
      <c r="O204" s="540"/>
      <c r="P204" s="55">
        <v>0</v>
      </c>
      <c r="Q204" s="541">
        <v>0</v>
      </c>
      <c r="R204" s="541"/>
      <c r="S204" s="541">
        <v>0</v>
      </c>
      <c r="T204" s="541"/>
      <c r="U204" s="541">
        <v>0</v>
      </c>
      <c r="V204" s="541"/>
      <c r="W204" s="524">
        <f t="shared" ca="1" si="65"/>
        <v>20.329999999999998</v>
      </c>
      <c r="X204" s="525"/>
      <c r="Y204" s="55">
        <f ca="1">IF(OR(W204="",W204=0),0,IF(W204="X",MatchDay!$U$2+MatchDay!$U$2+1-COUNTIF(Distance!W200:W204,"X"),RANK(W204,$W200:$X215,0)))</f>
        <v>2</v>
      </c>
      <c r="Z204" s="19" t="str">
        <f ca="1">IFERROR(IF(Y204=0,0,IF(OR(VLOOKUP(AG204,E208:Y215,21,FALSE)=0,Y204&lt;=VLOOKUP(AG204,E208:Y215,21,FALSE)),"A","B")),"")</f>
        <v>A</v>
      </c>
      <c r="AA204" s="19">
        <f ca="1">IFERROR(IF(Z204="B","",RANK(AD204,AD200:AD215,1)),"")</f>
        <v>2</v>
      </c>
      <c r="AB204" s="19" t="str">
        <f ca="1">IFERROR(IF(Z204="A","",RANK(AE204,AE200:AE215,1)),"")</f>
        <v/>
      </c>
      <c r="AD204" s="9">
        <f t="shared" ca="1" si="66"/>
        <v>2</v>
      </c>
      <c r="AE204" s="9" t="str">
        <f t="shared" ca="1" si="67"/>
        <v/>
      </c>
      <c r="AF204" s="9" t="s">
        <v>179</v>
      </c>
      <c r="AG204" s="4">
        <f>IFERROR(IF(A199=0,E204*11,E204&amp;E204),"")</f>
        <v>33</v>
      </c>
    </row>
    <row r="205" spans="1:33" s="4" customFormat="1" ht="15.95" customHeight="1" x14ac:dyDescent="0.35">
      <c r="A205" s="8" t="str">
        <f>IFERROR(IF(D205&gt;MatchDay!$U$2,"-",VLOOKUP(A196,timetables,MatchDay!$U$4+5,FALSE)),0)</f>
        <v>-</v>
      </c>
      <c r="B205" s="7" t="str">
        <f t="shared" ca="1" si="61"/>
        <v/>
      </c>
      <c r="C205" s="7" t="str">
        <f t="shared" ca="1" si="62"/>
        <v/>
      </c>
      <c r="D205" s="55">
        <v>6</v>
      </c>
      <c r="E205" s="17" t="str">
        <f t="shared" si="63"/>
        <v>-</v>
      </c>
      <c r="F205" s="18" t="str">
        <f>IFERROR(IF(A199=0,HLOOKUP(E205,Declarations!$D$2:$S$102,B197,FALSE),HLOOKUP(VLOOKUP(E205,Teams!$V$2:$W$19,2,FALSE),Declarations!$D$2:$S$102,B197,FALSE)),"")</f>
        <v/>
      </c>
      <c r="G205" s="18" t="str">
        <f t="shared" si="60"/>
        <v/>
      </c>
      <c r="H205" s="524">
        <f ca="1">IFERROR(INDIRECT(CONCATENATE("'Distance Input'!"&amp;B198&amp;C198+5)),"")</f>
        <v>0</v>
      </c>
      <c r="I205" s="525"/>
      <c r="J205" s="524">
        <v>0</v>
      </c>
      <c r="K205" s="525"/>
      <c r="L205" s="524">
        <v>0</v>
      </c>
      <c r="M205" s="525"/>
      <c r="N205" s="539">
        <f t="shared" ca="1" si="64"/>
        <v>0</v>
      </c>
      <c r="O205" s="540"/>
      <c r="P205" s="55">
        <v>0</v>
      </c>
      <c r="Q205" s="541">
        <v>0</v>
      </c>
      <c r="R205" s="541"/>
      <c r="S205" s="541">
        <v>0</v>
      </c>
      <c r="T205" s="541"/>
      <c r="U205" s="541">
        <v>0</v>
      </c>
      <c r="V205" s="541"/>
      <c r="W205" s="524">
        <f t="shared" ca="1" si="65"/>
        <v>0</v>
      </c>
      <c r="X205" s="525"/>
      <c r="Y205" s="55">
        <f ca="1">IF(OR(W205="",W205=0),0,IF(W205="X",MatchDay!$U$2+MatchDay!$U$2+1-COUNTIF(Distance!W200:W205,"X"),RANK(W205,$W200:$X215,0)))</f>
        <v>0</v>
      </c>
      <c r="Z205" s="19">
        <f ca="1">IFERROR(IF(Y205=0,0,IF(OR(VLOOKUP(AG205,E208:Y215,21,FALSE)=0,Y205&lt;=VLOOKUP(AG205,E208:Y215,21,FALSE)),"A","B")),"")</f>
        <v>0</v>
      </c>
      <c r="AA205" s="19" t="str">
        <f ca="1">IFERROR(IF(Z205="B","",RANK(AD205,AD200:AD215,1)),"")</f>
        <v/>
      </c>
      <c r="AB205" s="19" t="str">
        <f ca="1">IFERROR(IF(Z205="A","",RANK(AE205,AE200:AE215,1)),"")</f>
        <v/>
      </c>
      <c r="AD205" s="9" t="str">
        <f t="shared" ca="1" si="66"/>
        <v/>
      </c>
      <c r="AE205" s="9" t="str">
        <f t="shared" ca="1" si="67"/>
        <v/>
      </c>
      <c r="AF205" s="9" t="s">
        <v>179</v>
      </c>
      <c r="AG205" s="4" t="str">
        <f>IFERROR(IF(A199=0,E205*11,E205&amp;E205),"")</f>
        <v/>
      </c>
    </row>
    <row r="206" spans="1:33" s="4" customFormat="1" ht="15.95" customHeight="1" x14ac:dyDescent="0.35">
      <c r="A206" s="8" t="str">
        <f>IFERROR(IF(D206&gt;MatchDay!$U$2,"-",VLOOKUP(A196,timetables,MatchDay!$U$4+6,FALSE)),0)</f>
        <v>-</v>
      </c>
      <c r="B206" s="7" t="str">
        <f t="shared" ca="1" si="61"/>
        <v/>
      </c>
      <c r="C206" s="7" t="str">
        <f t="shared" ca="1" si="62"/>
        <v/>
      </c>
      <c r="D206" s="55">
        <v>7</v>
      </c>
      <c r="E206" s="17" t="str">
        <f t="shared" si="63"/>
        <v>-</v>
      </c>
      <c r="F206" s="18" t="str">
        <f>IFERROR(IF(A199=0,HLOOKUP(E206,Declarations!$D$2:$S$102,B197,FALSE),HLOOKUP(VLOOKUP(E206,Teams!$V$2:$W$19,2,FALSE),Declarations!$D$2:$S$102,B197,FALSE)),"")</f>
        <v/>
      </c>
      <c r="G206" s="18" t="str">
        <f t="shared" si="60"/>
        <v/>
      </c>
      <c r="H206" s="524">
        <f ca="1">IFERROR(INDIRECT(CONCATENATE("'Distance Input'!"&amp;B198&amp;C198+6)),"")</f>
        <v>0</v>
      </c>
      <c r="I206" s="525"/>
      <c r="J206" s="524">
        <v>0</v>
      </c>
      <c r="K206" s="525"/>
      <c r="L206" s="524">
        <v>0</v>
      </c>
      <c r="M206" s="525"/>
      <c r="N206" s="539">
        <f t="shared" ca="1" si="64"/>
        <v>0</v>
      </c>
      <c r="O206" s="540"/>
      <c r="P206" s="55">
        <v>0</v>
      </c>
      <c r="Q206" s="541">
        <v>0</v>
      </c>
      <c r="R206" s="541"/>
      <c r="S206" s="541">
        <v>0</v>
      </c>
      <c r="T206" s="541"/>
      <c r="U206" s="541">
        <v>0</v>
      </c>
      <c r="V206" s="541"/>
      <c r="W206" s="524">
        <f t="shared" ca="1" si="65"/>
        <v>0</v>
      </c>
      <c r="X206" s="525"/>
      <c r="Y206" s="55">
        <f ca="1">IF(OR(W206="",W206=0),0,IF(W206="X",MatchDay!$U$2+MatchDay!$U$2+1-COUNTIF(Distance!W200:W206,"X"),RANK(W206,$W200:$X215,0)))</f>
        <v>0</v>
      </c>
      <c r="Z206" s="19">
        <f ca="1">IFERROR(IF(Y206=0,0,IF(OR(VLOOKUP(AG206,E208:Y215,21,FALSE)=0,Y206&lt;=VLOOKUP(AG206,E208:Y215,21,FALSE)),"A","B")),"")</f>
        <v>0</v>
      </c>
      <c r="AA206" s="19" t="str">
        <f ca="1">IFERROR(IF(Z206="B","",RANK(AD206,AD200:AD215,1)),"")</f>
        <v/>
      </c>
      <c r="AB206" s="19" t="str">
        <f ca="1">IFERROR(IF(Z206="A","",RANK(AE206,AE200:AE215,1)),"")</f>
        <v/>
      </c>
      <c r="AD206" s="9" t="str">
        <f t="shared" ca="1" si="66"/>
        <v/>
      </c>
      <c r="AE206" s="9" t="str">
        <f t="shared" ca="1" si="67"/>
        <v/>
      </c>
      <c r="AF206" s="9" t="s">
        <v>179</v>
      </c>
      <c r="AG206" s="4" t="str">
        <f>IFERROR(IF(A199=0,E206*11,E206&amp;E206),"")</f>
        <v/>
      </c>
    </row>
    <row r="207" spans="1:33" s="4" customFormat="1" ht="15.95" customHeight="1" x14ac:dyDescent="0.35">
      <c r="A207" s="8" t="str">
        <f>IFERROR(IF(D207&gt;MatchDay!$U$2,"-",VLOOKUP(A196,timetables,MatchDay!$U$4+7,FALSE)),0)</f>
        <v>-</v>
      </c>
      <c r="B207" s="7" t="str">
        <f t="shared" ca="1" si="61"/>
        <v/>
      </c>
      <c r="C207" s="7" t="str">
        <f t="shared" ca="1" si="62"/>
        <v/>
      </c>
      <c r="D207" s="55">
        <v>8</v>
      </c>
      <c r="E207" s="17" t="str">
        <f t="shared" si="63"/>
        <v>-</v>
      </c>
      <c r="F207" s="18" t="str">
        <f>IFERROR(IF(A199=0,HLOOKUP(E207,Declarations!$D$2:$S$102,B197,FALSE),HLOOKUP(VLOOKUP(E207,Teams!$V$2:$W$19,2,FALSE),Declarations!$D$2:$S$102,B197,FALSE)),"")</f>
        <v/>
      </c>
      <c r="G207" s="18" t="str">
        <f t="shared" si="60"/>
        <v/>
      </c>
      <c r="H207" s="524">
        <f ca="1">IFERROR(INDIRECT(CONCATENATE("'Distance Input'!"&amp;B198&amp;C198+7)),"")</f>
        <v>0</v>
      </c>
      <c r="I207" s="525"/>
      <c r="J207" s="524">
        <v>0</v>
      </c>
      <c r="K207" s="525"/>
      <c r="L207" s="524">
        <v>0</v>
      </c>
      <c r="M207" s="525"/>
      <c r="N207" s="539">
        <f t="shared" ca="1" si="64"/>
        <v>0</v>
      </c>
      <c r="O207" s="540"/>
      <c r="P207" s="55">
        <v>0</v>
      </c>
      <c r="Q207" s="541">
        <v>0</v>
      </c>
      <c r="R207" s="541"/>
      <c r="S207" s="541">
        <v>0</v>
      </c>
      <c r="T207" s="541"/>
      <c r="U207" s="541">
        <v>0</v>
      </c>
      <c r="V207" s="541"/>
      <c r="W207" s="524">
        <f t="shared" ca="1" si="65"/>
        <v>0</v>
      </c>
      <c r="X207" s="525"/>
      <c r="Y207" s="55">
        <f ca="1">IF(OR(W207="",W207=0),0,IF(W207="X",MatchDay!$U$2+MatchDay!$U$2+1-COUNTIF(Distance!W200:W207,"X"),RANK(W207,$W200:$X215,0)))</f>
        <v>0</v>
      </c>
      <c r="Z207" s="19">
        <f ca="1">IFERROR(IF(Y207=0,0,IF(OR(VLOOKUP(AG207,E208:Y215,21,FALSE)=0,Y207&lt;=VLOOKUP(AG207,E208:Y215,21,FALSE)),"A","B")),"")</f>
        <v>0</v>
      </c>
      <c r="AA207" s="19" t="str">
        <f ca="1">IFERROR(IF(Z207="B","",RANK(AD207,AD200:AD215,1)),"")</f>
        <v/>
      </c>
      <c r="AB207" s="19" t="str">
        <f ca="1">IFERROR(IF(Z207="A","",RANK(AE207,AE200:AE215,1)),"")</f>
        <v/>
      </c>
      <c r="AD207" s="9" t="str">
        <f t="shared" ca="1" si="66"/>
        <v/>
      </c>
      <c r="AE207" s="9" t="str">
        <f t="shared" ca="1" si="67"/>
        <v/>
      </c>
      <c r="AF207" s="9" t="s">
        <v>179</v>
      </c>
      <c r="AG207" s="4" t="str">
        <f>IFERROR(IF(A199=0,E207*11,E207&amp;E207),"")</f>
        <v/>
      </c>
    </row>
    <row r="208" spans="1:33" s="4" customFormat="1" ht="15.95" customHeight="1" x14ac:dyDescent="0.35">
      <c r="A208" s="8">
        <f>IFERROR(IF(A199=0,A200*11,A200&amp;A200),"-")</f>
        <v>44</v>
      </c>
      <c r="B208" s="7" t="str">
        <f t="shared" ca="1" si="61"/>
        <v/>
      </c>
      <c r="C208" s="7" t="str">
        <f t="shared" ca="1" si="62"/>
        <v/>
      </c>
      <c r="D208" s="55">
        <v>9</v>
      </c>
      <c r="E208" s="17">
        <f t="shared" si="63"/>
        <v>44</v>
      </c>
      <c r="F208" s="18" t="str">
        <f ca="1">IFERROR(IF(A199=0,HLOOKUP(E208,Declarations!$D$2:$S$102,B197,FALSE),HLOOKUP(VLOOKUP(E208,Teams!$V$2:$W$19,2,FALSE),Declarations!$D$2:$S$102,B197,FALSE)),"")</f>
        <v>-</v>
      </c>
      <c r="G208" s="18" t="str">
        <f t="shared" si="60"/>
        <v>M'bro</v>
      </c>
      <c r="H208" s="524">
        <f ca="1">IFERROR(INDIRECT(CONCATENATE("'Distance Input'!"&amp;B198&amp;C198+8)),"")</f>
        <v>0</v>
      </c>
      <c r="I208" s="525"/>
      <c r="J208" s="524">
        <v>0</v>
      </c>
      <c r="K208" s="525"/>
      <c r="L208" s="524">
        <v>0</v>
      </c>
      <c r="M208" s="525"/>
      <c r="N208" s="539">
        <f t="shared" ca="1" si="64"/>
        <v>0</v>
      </c>
      <c r="O208" s="540"/>
      <c r="P208" s="55">
        <v>0</v>
      </c>
      <c r="Q208" s="541">
        <v>0</v>
      </c>
      <c r="R208" s="541"/>
      <c r="S208" s="541">
        <v>0</v>
      </c>
      <c r="T208" s="541"/>
      <c r="U208" s="541">
        <v>0</v>
      </c>
      <c r="V208" s="541"/>
      <c r="W208" s="524">
        <f t="shared" ca="1" si="65"/>
        <v>0</v>
      </c>
      <c r="X208" s="525"/>
      <c r="Y208" s="55">
        <f ca="1">IF(OR(W208="",W208=0),0,IF(W208="X",MatchDay!$U$2+MatchDay!$U$2+1-COUNTIF(Distance!W200:W208,"X"),RANK(W208,$W200:$X215,0)))</f>
        <v>0</v>
      </c>
      <c r="Z208" s="19">
        <f ca="1">IFERROR(IF(Y208=0,0,IF(VLOOKUP(AG208,E200:Y207,21,FALSE)=0,"A",IF(Y208&gt;=VLOOKUP(AG208,E200:Y207,21,FALSE),"B","A"))),"")</f>
        <v>0</v>
      </c>
      <c r="AA208" s="19" t="str">
        <f ca="1">IFERROR(IF(Z208="B","",RANK(AD208,AD200:AD215,1)),"")</f>
        <v/>
      </c>
      <c r="AB208" s="19" t="str">
        <f ca="1">IFERROR(IF(Z208="A","",RANK(AE208,AE200:AE215,1)),"")</f>
        <v/>
      </c>
      <c r="AD208" s="9" t="str">
        <f t="shared" ca="1" si="66"/>
        <v/>
      </c>
      <c r="AE208" s="9" t="str">
        <f t="shared" ca="1" si="67"/>
        <v/>
      </c>
      <c r="AF208" s="9" t="s">
        <v>179</v>
      </c>
      <c r="AG208" s="4">
        <f>IFERROR(IF(A199=0,E208/11,LEFT(E208,1)),"")</f>
        <v>4</v>
      </c>
    </row>
    <row r="209" spans="1:33" s="4" customFormat="1" ht="15.95" customHeight="1" x14ac:dyDescent="0.35">
      <c r="A209" s="8">
        <f>IFERROR(IF(A199=0,A201*11,A201&amp;A201),"-")</f>
        <v>22</v>
      </c>
      <c r="B209" s="7" t="str">
        <f t="shared" ca="1" si="61"/>
        <v/>
      </c>
      <c r="C209" s="7">
        <f t="shared" ca="1" si="62"/>
        <v>3</v>
      </c>
      <c r="D209" s="55">
        <v>10</v>
      </c>
      <c r="E209" s="17">
        <f t="shared" si="63"/>
        <v>22</v>
      </c>
      <c r="F209" s="18" t="str">
        <f ca="1">IFERROR(IF(A199=0,HLOOKUP(E209,Declarations!$D$2:$S$102,B197,FALSE),HLOOKUP(VLOOKUP(E209,Teams!$V$2:$W$19,2,FALSE),Declarations!$D$2:$S$102,B197,FALSE)),"")</f>
        <v>WAINWRIGHT James</v>
      </c>
      <c r="G209" s="18" t="str">
        <f t="shared" si="60"/>
        <v>Sheff+D</v>
      </c>
      <c r="H209" s="524">
        <f ca="1">IFERROR(INDIRECT(CONCATENATE("'Distance Input'!"&amp;B198&amp;C198+9)),"")</f>
        <v>11.51</v>
      </c>
      <c r="I209" s="525"/>
      <c r="J209" s="524">
        <v>0</v>
      </c>
      <c r="K209" s="525"/>
      <c r="L209" s="524">
        <v>0</v>
      </c>
      <c r="M209" s="525"/>
      <c r="N209" s="539">
        <f t="shared" ca="1" si="64"/>
        <v>11.51</v>
      </c>
      <c r="O209" s="540"/>
      <c r="P209" s="55">
        <v>0</v>
      </c>
      <c r="Q209" s="541">
        <v>0</v>
      </c>
      <c r="R209" s="541"/>
      <c r="S209" s="541">
        <v>0</v>
      </c>
      <c r="T209" s="541"/>
      <c r="U209" s="541">
        <v>0</v>
      </c>
      <c r="V209" s="541"/>
      <c r="W209" s="524">
        <f t="shared" ca="1" si="65"/>
        <v>11.51</v>
      </c>
      <c r="X209" s="525"/>
      <c r="Y209" s="55">
        <f ca="1">IF(OR(W209="",W209=0),0,IF(W209="X",MatchDay!$U$2+MatchDay!$U$2+1-COUNTIF(Distance!W200:W209,"X"),RANK(W209,$W200:$X215,0)))</f>
        <v>7</v>
      </c>
      <c r="Z209" s="19" t="str">
        <f ca="1">IFERROR(IF(Y209=0,0,IF(VLOOKUP(AG209,E200:Y207,21,FALSE)=0,"A",IF(Y209&gt;=VLOOKUP(AG209,E200:Y207,21,FALSE),"B","A"))),"")</f>
        <v>B</v>
      </c>
      <c r="AA209" s="19" t="str">
        <f ca="1">IFERROR(IF(Z209="B","",RANK(AD209,AD200:AD215,1)),"")</f>
        <v/>
      </c>
      <c r="AB209" s="19">
        <f ca="1">IFERROR(IF(Z209="A","",RANK(AE209,AE200:AE215,1)),"")</f>
        <v>3</v>
      </c>
      <c r="AD209" s="9" t="str">
        <f t="shared" ca="1" si="66"/>
        <v/>
      </c>
      <c r="AE209" s="9">
        <f t="shared" ca="1" si="67"/>
        <v>7</v>
      </c>
      <c r="AF209" s="9" t="s">
        <v>179</v>
      </c>
      <c r="AG209" s="4">
        <f>IFERROR(IF(A199=0,E209/11,LEFT(E209,1)),"")</f>
        <v>2</v>
      </c>
    </row>
    <row r="210" spans="1:33" s="4" customFormat="1" ht="15.95" customHeight="1" x14ac:dyDescent="0.35">
      <c r="A210" s="8">
        <f>IFERROR(IF(A199=0,A202*11,A202&amp;A202),"-")</f>
        <v>55</v>
      </c>
      <c r="B210" s="7" t="str">
        <f t="shared" ca="1" si="61"/>
        <v/>
      </c>
      <c r="C210" s="7">
        <f t="shared" ca="1" si="62"/>
        <v>4</v>
      </c>
      <c r="D210" s="55">
        <v>11</v>
      </c>
      <c r="E210" s="17">
        <f t="shared" si="63"/>
        <v>55</v>
      </c>
      <c r="F210" s="18" t="str">
        <f ca="1">IFERROR(IF(A199=0,HLOOKUP(E210,Declarations!$D$2:$S$102,B197,FALSE),HLOOKUP(VLOOKUP(E210,Teams!$V$2:$W$19,2,FALSE),Declarations!$D$2:$S$102,B197,FALSE)),"")</f>
        <v>OADES Matthew</v>
      </c>
      <c r="G210" s="18" t="str">
        <f t="shared" si="60"/>
        <v>Scun</v>
      </c>
      <c r="H210" s="524">
        <f ca="1">IFERROR(INDIRECT(CONCATENATE("'Distance Input'!"&amp;B198&amp;C198+10)),"")</f>
        <v>10.09</v>
      </c>
      <c r="I210" s="525"/>
      <c r="J210" s="524">
        <v>0</v>
      </c>
      <c r="K210" s="525"/>
      <c r="L210" s="524">
        <v>0</v>
      </c>
      <c r="M210" s="525"/>
      <c r="N210" s="539">
        <f t="shared" ca="1" si="64"/>
        <v>10.09</v>
      </c>
      <c r="O210" s="540"/>
      <c r="P210" s="55">
        <v>0</v>
      </c>
      <c r="Q210" s="541">
        <v>0</v>
      </c>
      <c r="R210" s="541"/>
      <c r="S210" s="541">
        <v>0</v>
      </c>
      <c r="T210" s="541"/>
      <c r="U210" s="541">
        <v>0</v>
      </c>
      <c r="V210" s="541"/>
      <c r="W210" s="524">
        <f t="shared" ca="1" si="65"/>
        <v>10.09</v>
      </c>
      <c r="X210" s="525"/>
      <c r="Y210" s="55">
        <f ca="1">IF(OR(W210="",W210=0),0,IF(W210="X",MatchDay!$U$2+MatchDay!$U$2+1-COUNTIF(Distance!W200:W210,"X"),RANK(W210,$W200:$X215,0)))</f>
        <v>8</v>
      </c>
      <c r="Z210" s="19" t="str">
        <f ca="1">IFERROR(IF(Y210=0,0,IF(VLOOKUP(AG210,E200:Y207,21,FALSE)=0,"A",IF(Y210&gt;=VLOOKUP(AG210,E200:Y207,21,FALSE),"B","A"))),"")</f>
        <v>B</v>
      </c>
      <c r="AA210" s="19" t="str">
        <f ca="1">IFERROR(IF(Z210="B","",RANK(AD210,AD200:AD215,1)),"")</f>
        <v/>
      </c>
      <c r="AB210" s="19">
        <f ca="1">IFERROR(IF(Z210="A","",RANK(AE210,AE200:AE215,1)),"")</f>
        <v>4</v>
      </c>
      <c r="AD210" s="9" t="str">
        <f t="shared" ca="1" si="66"/>
        <v/>
      </c>
      <c r="AE210" s="9">
        <f t="shared" ca="1" si="67"/>
        <v>8</v>
      </c>
      <c r="AF210" s="9" t="s">
        <v>179</v>
      </c>
      <c r="AG210" s="4">
        <f>IFERROR(IF(A199=0,E210/11,LEFT(E210,1)),"")</f>
        <v>5</v>
      </c>
    </row>
    <row r="211" spans="1:33" s="4" customFormat="1" ht="15.95" customHeight="1" x14ac:dyDescent="0.35">
      <c r="A211" s="8">
        <f>IFERROR(IF(A199=0,A203*11,A203&amp;A203),"-")</f>
        <v>11</v>
      </c>
      <c r="B211" s="7" t="str">
        <f t="shared" ca="1" si="61"/>
        <v/>
      </c>
      <c r="C211" s="7">
        <f t="shared" ca="1" si="62"/>
        <v>2</v>
      </c>
      <c r="D211" s="55">
        <v>12</v>
      </c>
      <c r="E211" s="17">
        <f t="shared" si="63"/>
        <v>11</v>
      </c>
      <c r="F211" s="18" t="str">
        <f ca="1">IFERROR(IF(A199=0,HLOOKUP(E211,Declarations!$D$2:$S$102,B197,FALSE),HLOOKUP(VLOOKUP(E211,Teams!$V$2:$W$19,2,FALSE),Declarations!$D$2:$S$102,B197,FALSE)),"")</f>
        <v>SAS Reuben</v>
      </c>
      <c r="G211" s="18" t="str">
        <f t="shared" si="60"/>
        <v>C'field</v>
      </c>
      <c r="H211" s="524">
        <f ca="1">IFERROR(INDIRECT(CONCATENATE("'Distance Input'!"&amp;B198&amp;C198+11)),"")</f>
        <v>14.43</v>
      </c>
      <c r="I211" s="525"/>
      <c r="J211" s="524">
        <v>0</v>
      </c>
      <c r="K211" s="525"/>
      <c r="L211" s="524">
        <v>0</v>
      </c>
      <c r="M211" s="525"/>
      <c r="N211" s="539">
        <f t="shared" ca="1" si="64"/>
        <v>14.43</v>
      </c>
      <c r="O211" s="540"/>
      <c r="P211" s="55">
        <v>0</v>
      </c>
      <c r="Q211" s="541">
        <v>0</v>
      </c>
      <c r="R211" s="541"/>
      <c r="S211" s="541">
        <v>0</v>
      </c>
      <c r="T211" s="541"/>
      <c r="U211" s="541">
        <v>0</v>
      </c>
      <c r="V211" s="541"/>
      <c r="W211" s="524">
        <f t="shared" ca="1" si="65"/>
        <v>14.43</v>
      </c>
      <c r="X211" s="525"/>
      <c r="Y211" s="55">
        <f ca="1">IF(OR(W211="",W211=0),0,IF(W211="X",MatchDay!$U$2+MatchDay!$U$2+1-COUNTIF(Distance!W200:W211,"X"),RANK(W211,$W200:$X215,0)))</f>
        <v>6</v>
      </c>
      <c r="Z211" s="19" t="str">
        <f ca="1">IFERROR(IF(Y211=0,0,IF(VLOOKUP(AG211,E200:Y207,21,FALSE)=0,"A",IF(Y211&gt;=VLOOKUP(AG211,E200:Y207,21,FALSE),"B","A"))),"")</f>
        <v>B</v>
      </c>
      <c r="AA211" s="19" t="str">
        <f ca="1">IFERROR(IF(Z211="B","",RANK(AD211,AD200:AD215,1)),"")</f>
        <v/>
      </c>
      <c r="AB211" s="19">
        <f ca="1">IFERROR(IF(Z211="A","",RANK(AE211,AE200:AE215,1)),"")</f>
        <v>2</v>
      </c>
      <c r="AD211" s="9" t="str">
        <f t="shared" ca="1" si="66"/>
        <v/>
      </c>
      <c r="AE211" s="9">
        <f t="shared" ca="1" si="67"/>
        <v>6</v>
      </c>
      <c r="AF211" s="9" t="s">
        <v>179</v>
      </c>
      <c r="AG211" s="4">
        <f>IFERROR(IF(A199=0,E211/11,LEFT(E211,1)),"")</f>
        <v>1</v>
      </c>
    </row>
    <row r="212" spans="1:33" s="4" customFormat="1" ht="15.95" customHeight="1" x14ac:dyDescent="0.35">
      <c r="A212" s="8">
        <f>IFERROR(IF(A199=0,A204*11,A204&amp;A204),"-")</f>
        <v>33</v>
      </c>
      <c r="B212" s="7" t="str">
        <f t="shared" ca="1" si="61"/>
        <v/>
      </c>
      <c r="C212" s="7">
        <f t="shared" ca="1" si="62"/>
        <v>1</v>
      </c>
      <c r="D212" s="55">
        <v>13</v>
      </c>
      <c r="E212" s="17">
        <f t="shared" si="63"/>
        <v>33</v>
      </c>
      <c r="F212" s="18" t="str">
        <f ca="1">IFERROR(IF(A199=0,HLOOKUP(E212,Declarations!$D$2:$S$102,B197,FALSE),HLOOKUP(VLOOKUP(E212,Teams!$V$2:$W$19,2,FALSE),Declarations!$D$2:$S$102,B197,FALSE)),"")</f>
        <v>BROOKS Rory</v>
      </c>
      <c r="G212" s="18" t="str">
        <f t="shared" si="60"/>
        <v>York</v>
      </c>
      <c r="H212" s="524">
        <f ca="1">IFERROR(INDIRECT(CONCATENATE("'Distance Input'!"&amp;B198&amp;C198+12)),"")</f>
        <v>19.13</v>
      </c>
      <c r="I212" s="525"/>
      <c r="J212" s="524">
        <v>0</v>
      </c>
      <c r="K212" s="525"/>
      <c r="L212" s="524">
        <v>0</v>
      </c>
      <c r="M212" s="525"/>
      <c r="N212" s="539">
        <f t="shared" ca="1" si="64"/>
        <v>19.13</v>
      </c>
      <c r="O212" s="540"/>
      <c r="P212" s="55">
        <v>0</v>
      </c>
      <c r="Q212" s="541">
        <v>0</v>
      </c>
      <c r="R212" s="541"/>
      <c r="S212" s="541">
        <v>0</v>
      </c>
      <c r="T212" s="541"/>
      <c r="U212" s="541">
        <v>0</v>
      </c>
      <c r="V212" s="541"/>
      <c r="W212" s="524">
        <f t="shared" ca="1" si="65"/>
        <v>19.13</v>
      </c>
      <c r="X212" s="525"/>
      <c r="Y212" s="55">
        <f ca="1">IF(OR(W212="",W212=0),0,IF(W212="X",MatchDay!$U$2+MatchDay!$U$2+1-COUNTIF(Distance!W200:W212,"X"),RANK(W212,$W200:$X215,0)))</f>
        <v>3</v>
      </c>
      <c r="Z212" s="19" t="str">
        <f ca="1">IFERROR(IF(Y212=0,0,IF(VLOOKUP(AG212,E200:Y207,21,FALSE)=0,"A",IF(Y212&gt;=VLOOKUP(AG212,E200:Y207,21,FALSE),"B","A"))),"")</f>
        <v>B</v>
      </c>
      <c r="AA212" s="19" t="str">
        <f ca="1">IFERROR(IF(Z212="B","",RANK(AD212,AD200:AD215,1)),"")</f>
        <v/>
      </c>
      <c r="AB212" s="19">
        <f ca="1">IFERROR(IF(Z212="A","",RANK(AE212,AE200:AE215,1)),"")</f>
        <v>1</v>
      </c>
      <c r="AD212" s="9" t="str">
        <f t="shared" ca="1" si="66"/>
        <v/>
      </c>
      <c r="AE212" s="9">
        <f t="shared" ca="1" si="67"/>
        <v>3</v>
      </c>
      <c r="AF212" s="9" t="s">
        <v>179</v>
      </c>
      <c r="AG212" s="4">
        <f>IFERROR(IF(A199=0,E212/11,LEFT(E212,1)),"")</f>
        <v>3</v>
      </c>
    </row>
    <row r="213" spans="1:33" s="4" customFormat="1" ht="15.95" customHeight="1" x14ac:dyDescent="0.35">
      <c r="A213" s="8" t="str">
        <f>IFERROR(IF(A199=0,A205*11,A205&amp;A205),"-")</f>
        <v>-</v>
      </c>
      <c r="B213" s="7" t="str">
        <f t="shared" ca="1" si="61"/>
        <v/>
      </c>
      <c r="C213" s="7" t="str">
        <f t="shared" ca="1" si="62"/>
        <v/>
      </c>
      <c r="D213" s="55">
        <v>14</v>
      </c>
      <c r="E213" s="17" t="str">
        <f t="shared" si="63"/>
        <v>-</v>
      </c>
      <c r="F213" s="18" t="str">
        <f>IFERROR(IF(A199=0,HLOOKUP(E213,Declarations!$D$2:$S$102,B197,FALSE),HLOOKUP(VLOOKUP(E213,Teams!$V$2:$W$19,2,FALSE),Declarations!$D$2:$S$102,B197,FALSE)),"")</f>
        <v/>
      </c>
      <c r="G213" s="18" t="str">
        <f t="shared" si="60"/>
        <v/>
      </c>
      <c r="H213" s="524">
        <f ca="1">IFERROR(INDIRECT(CONCATENATE("'Distance Input'!"&amp;B198&amp;C198+13)),"")</f>
        <v>0</v>
      </c>
      <c r="I213" s="525"/>
      <c r="J213" s="524">
        <v>0</v>
      </c>
      <c r="K213" s="525"/>
      <c r="L213" s="524">
        <v>0</v>
      </c>
      <c r="M213" s="525"/>
      <c r="N213" s="539">
        <f t="shared" ca="1" si="64"/>
        <v>0</v>
      </c>
      <c r="O213" s="540"/>
      <c r="P213" s="55">
        <v>0</v>
      </c>
      <c r="Q213" s="541">
        <v>0</v>
      </c>
      <c r="R213" s="541"/>
      <c r="S213" s="541">
        <v>0</v>
      </c>
      <c r="T213" s="541"/>
      <c r="U213" s="541">
        <v>0</v>
      </c>
      <c r="V213" s="541"/>
      <c r="W213" s="524">
        <f t="shared" ca="1" si="65"/>
        <v>0</v>
      </c>
      <c r="X213" s="525"/>
      <c r="Y213" s="55">
        <f ca="1">IF(OR(W213="",W213=0),0,IF(W213="X",MatchDay!$U$2+MatchDay!$U$2+1-COUNTIF(Distance!W200:W213,"X"),RANK(W213,$W200:$X215,0)))</f>
        <v>0</v>
      </c>
      <c r="Z213" s="19">
        <f ca="1">IFERROR(IF(Y213=0,0,IF(VLOOKUP(AG213,E200:Y207,21,FALSE)=0,"A",IF(Y213&gt;=VLOOKUP(AG213,E200:Y207,21,FALSE),"B","A"))),"")</f>
        <v>0</v>
      </c>
      <c r="AA213" s="19" t="str">
        <f ca="1">IFERROR(IF(Z213="B","",RANK(AD213,AD200:AD215,1)),"")</f>
        <v/>
      </c>
      <c r="AB213" s="19" t="str">
        <f ca="1">IFERROR(IF(Z213="A","",RANK(AE213,AE200:AE215,1)),"")</f>
        <v/>
      </c>
      <c r="AD213" s="9" t="str">
        <f t="shared" ca="1" si="66"/>
        <v/>
      </c>
      <c r="AE213" s="9" t="str">
        <f t="shared" ca="1" si="67"/>
        <v/>
      </c>
      <c r="AF213" s="9" t="s">
        <v>179</v>
      </c>
      <c r="AG213" s="4" t="str">
        <f>IFERROR(IF(A199=0,E213/11,LEFT(E213,1)),"")</f>
        <v/>
      </c>
    </row>
    <row r="214" spans="1:33" s="4" customFormat="1" ht="15.95" customHeight="1" x14ac:dyDescent="0.35">
      <c r="A214" s="8" t="str">
        <f>IFERROR(IF(A199=0,A206*11,A206&amp;A206),"-")</f>
        <v>-</v>
      </c>
      <c r="B214" s="7" t="str">
        <f t="shared" ca="1" si="61"/>
        <v/>
      </c>
      <c r="C214" s="7" t="str">
        <f t="shared" ca="1" si="62"/>
        <v/>
      </c>
      <c r="D214" s="55">
        <v>15</v>
      </c>
      <c r="E214" s="17" t="str">
        <f t="shared" si="63"/>
        <v>-</v>
      </c>
      <c r="F214" s="18" t="str">
        <f>IFERROR(IF(A199=0,HLOOKUP(E214,Declarations!$D$2:$S$102,B197,FALSE),HLOOKUP(VLOOKUP(E214,Teams!$V$2:$W$19,2,FALSE),Declarations!$D$2:$S$102,B197,FALSE)),"")</f>
        <v/>
      </c>
      <c r="G214" s="18" t="str">
        <f t="shared" si="60"/>
        <v/>
      </c>
      <c r="H214" s="524">
        <f ca="1">IFERROR(INDIRECT(CONCATENATE("'Distance Input'!"&amp;B198&amp;C198+14)),"")</f>
        <v>0</v>
      </c>
      <c r="I214" s="525"/>
      <c r="J214" s="524">
        <v>0</v>
      </c>
      <c r="K214" s="525"/>
      <c r="L214" s="524">
        <v>0</v>
      </c>
      <c r="M214" s="525"/>
      <c r="N214" s="539">
        <f t="shared" ca="1" si="64"/>
        <v>0</v>
      </c>
      <c r="O214" s="540"/>
      <c r="P214" s="55">
        <v>0</v>
      </c>
      <c r="Q214" s="541">
        <v>0</v>
      </c>
      <c r="R214" s="541"/>
      <c r="S214" s="541">
        <v>0</v>
      </c>
      <c r="T214" s="541"/>
      <c r="U214" s="541">
        <v>0</v>
      </c>
      <c r="V214" s="541"/>
      <c r="W214" s="524">
        <f t="shared" ca="1" si="65"/>
        <v>0</v>
      </c>
      <c r="X214" s="525"/>
      <c r="Y214" s="55">
        <f ca="1">IF(OR(W214="",W214=0),0,IF(W214="X",MatchDay!$U$2+MatchDay!$U$2+1-COUNTIF(Distance!W200:W214,"X"),RANK(W214,$W200:$X215,0)))</f>
        <v>0</v>
      </c>
      <c r="Z214" s="19">
        <f ca="1">IFERROR(IF(Y214=0,0,IF(VLOOKUP(AG214,E200:Y207,21,FALSE)=0,"A",IF(Y214&gt;=VLOOKUP(AG214,E200:Y207,21,FALSE),"B","A"))),"")</f>
        <v>0</v>
      </c>
      <c r="AA214" s="19" t="str">
        <f ca="1">IFERROR(IF(Z214="B","",RANK(AD214,AD200:AD215,1)),"")</f>
        <v/>
      </c>
      <c r="AB214" s="19" t="str">
        <f ca="1">IFERROR(IF(Z214="A","",RANK(AE214,AE200:AE215,1)),"")</f>
        <v/>
      </c>
      <c r="AD214" s="9" t="str">
        <f t="shared" ca="1" si="66"/>
        <v/>
      </c>
      <c r="AE214" s="9" t="str">
        <f t="shared" ca="1" si="67"/>
        <v/>
      </c>
      <c r="AF214" s="9" t="s">
        <v>179</v>
      </c>
      <c r="AG214" s="4" t="str">
        <f>IFERROR(IF(A199=0,E214/11,LEFT(E214,1)),"")</f>
        <v/>
      </c>
    </row>
    <row r="215" spans="1:33" s="4" customFormat="1" ht="15.95" customHeight="1" x14ac:dyDescent="0.35">
      <c r="A215" s="8" t="str">
        <f>IFERROR(IF(A199=0,A207*11,A207&amp;A207),"-")</f>
        <v>-</v>
      </c>
      <c r="B215" s="7" t="str">
        <f t="shared" ca="1" si="61"/>
        <v/>
      </c>
      <c r="C215" s="7" t="str">
        <f t="shared" ca="1" si="62"/>
        <v/>
      </c>
      <c r="D215" s="55">
        <v>16</v>
      </c>
      <c r="E215" s="17" t="str">
        <f t="shared" si="63"/>
        <v>-</v>
      </c>
      <c r="F215" s="18" t="str">
        <f>IFERROR(IF(A199=0,HLOOKUP(E215,Declarations!$D$2:$S$102,B197,FALSE),HLOOKUP(VLOOKUP(E215,Teams!$V$2:$W$19,2,FALSE),Declarations!$D$2:$S$102,B197,FALSE)),"")</f>
        <v/>
      </c>
      <c r="G215" s="18" t="str">
        <f t="shared" si="60"/>
        <v/>
      </c>
      <c r="H215" s="524">
        <f ca="1">IFERROR(INDIRECT(CONCATENATE("'Distance Input'!"&amp;B198&amp;C198+15)),"")</f>
        <v>0</v>
      </c>
      <c r="I215" s="525"/>
      <c r="J215" s="524">
        <v>0</v>
      </c>
      <c r="K215" s="525"/>
      <c r="L215" s="524">
        <v>0</v>
      </c>
      <c r="M215" s="525"/>
      <c r="N215" s="539">
        <f t="shared" ca="1" si="64"/>
        <v>0</v>
      </c>
      <c r="O215" s="540"/>
      <c r="P215" s="55">
        <v>0</v>
      </c>
      <c r="Q215" s="541">
        <v>0</v>
      </c>
      <c r="R215" s="541"/>
      <c r="S215" s="541">
        <v>0</v>
      </c>
      <c r="T215" s="541"/>
      <c r="U215" s="541">
        <v>0</v>
      </c>
      <c r="V215" s="541"/>
      <c r="W215" s="524">
        <f t="shared" ca="1" si="65"/>
        <v>0</v>
      </c>
      <c r="X215" s="525"/>
      <c r="Y215" s="55">
        <f ca="1">IF(OR(W215="",W215=0),0,IF(W215="X",MatchDay!$U$2+MatchDay!$U$2+1-COUNTIF(Distance!W200:W215,"X"),RANK(W215,$W200:$X215,0)))</f>
        <v>0</v>
      </c>
      <c r="Z215" s="19">
        <f ca="1">IFERROR(IF(Y215=0,0,IF(VLOOKUP(AG215,E200:Y207,21,FALSE)=0,"A",IF(Y215&gt;=VLOOKUP(AG215,E200:Y207,21,FALSE),"B","A"))),"")</f>
        <v>0</v>
      </c>
      <c r="AA215" s="19" t="str">
        <f ca="1">IFERROR(IF(Z215="B","",RANK(AD215,AD200:AD215,1)),"")</f>
        <v/>
      </c>
      <c r="AB215" s="19" t="str">
        <f ca="1">IFERROR(IF(Z215="A","",RANK(AE215,AE200:AE215,1)),"")</f>
        <v/>
      </c>
      <c r="AD215" s="9" t="str">
        <f t="shared" ca="1" si="66"/>
        <v/>
      </c>
      <c r="AE215" s="9" t="str">
        <f t="shared" ca="1" si="67"/>
        <v/>
      </c>
      <c r="AF215" s="9" t="s">
        <v>179</v>
      </c>
      <c r="AG215" s="4" t="str">
        <f>IFERROR(IF(A199=0,E215/11,LEFT(E215,1)),"")</f>
        <v/>
      </c>
    </row>
    <row r="216" spans="1:33" s="4" customFormat="1" ht="11.65" x14ac:dyDescent="0.45">
      <c r="A216" s="8"/>
      <c r="B216" s="10"/>
      <c r="C216" s="3"/>
      <c r="D216" s="20"/>
      <c r="E216" s="20"/>
      <c r="F216" s="21"/>
      <c r="G216" s="21"/>
      <c r="H216" s="20"/>
      <c r="I216" s="20"/>
      <c r="J216" s="20"/>
      <c r="K216" s="20"/>
      <c r="L216" s="20"/>
      <c r="M216" s="20"/>
      <c r="N216" s="20"/>
      <c r="O216" s="20"/>
      <c r="P216" s="20"/>
      <c r="Q216" s="20"/>
      <c r="R216" s="20"/>
      <c r="S216" s="20"/>
      <c r="T216" s="20"/>
      <c r="U216" s="20"/>
      <c r="V216" s="20"/>
      <c r="W216" s="20"/>
      <c r="X216" s="20"/>
      <c r="Y216" s="20"/>
      <c r="Z216" s="20"/>
      <c r="AA216" s="20"/>
      <c r="AB216" s="22"/>
    </row>
    <row r="217" spans="1:33" s="4" customFormat="1" ht="11.65" x14ac:dyDescent="0.45">
      <c r="A217" s="8"/>
      <c r="B217" s="10"/>
      <c r="C217" s="3"/>
      <c r="D217" s="533" t="s">
        <v>180</v>
      </c>
      <c r="E217" s="547"/>
      <c r="F217" s="547"/>
      <c r="G217" s="547"/>
      <c r="H217" s="547"/>
      <c r="I217" s="547"/>
      <c r="J217" s="512" t="s">
        <v>181</v>
      </c>
      <c r="K217" s="548"/>
      <c r="L217" s="548"/>
      <c r="M217" s="548"/>
      <c r="N217" s="548"/>
      <c r="O217" s="548"/>
      <c r="P217" s="548"/>
      <c r="Q217" s="548"/>
      <c r="R217" s="548"/>
      <c r="S217" s="548"/>
      <c r="T217" s="548"/>
      <c r="U217" s="549"/>
      <c r="V217" s="512" t="s">
        <v>182</v>
      </c>
      <c r="W217" s="513"/>
      <c r="X217" s="513"/>
      <c r="Y217" s="513"/>
      <c r="Z217" s="513"/>
      <c r="AA217" s="513"/>
      <c r="AB217" s="514"/>
    </row>
    <row r="218" spans="1:33" s="4" customFormat="1" ht="11.65" x14ac:dyDescent="0.45">
      <c r="A218" s="8" t="s">
        <v>55</v>
      </c>
      <c r="B218" s="10"/>
      <c r="C218" s="3"/>
      <c r="D218" s="12"/>
      <c r="E218" s="55" t="s">
        <v>183</v>
      </c>
      <c r="F218" s="55" t="s">
        <v>165</v>
      </c>
      <c r="G218" s="55" t="s">
        <v>166</v>
      </c>
      <c r="H218" s="533" t="s">
        <v>184</v>
      </c>
      <c r="I218" s="533"/>
      <c r="J218" s="23"/>
      <c r="K218" s="54" t="s">
        <v>183</v>
      </c>
      <c r="L218" s="512" t="s">
        <v>165</v>
      </c>
      <c r="M218" s="513"/>
      <c r="N218" s="513"/>
      <c r="O218" s="514"/>
      <c r="P218" s="512" t="s">
        <v>166</v>
      </c>
      <c r="Q218" s="513"/>
      <c r="R218" s="513"/>
      <c r="S218" s="514"/>
      <c r="T218" s="512" t="s">
        <v>184</v>
      </c>
      <c r="U218" s="514"/>
      <c r="V218" s="24"/>
      <c r="W218" s="25"/>
      <c r="X218" s="25"/>
      <c r="Y218" s="25"/>
      <c r="Z218" s="25"/>
      <c r="AA218" s="25"/>
      <c r="AB218" s="26"/>
    </row>
    <row r="219" spans="1:33" s="4" customFormat="1" ht="15.95" customHeight="1" x14ac:dyDescent="0.45">
      <c r="A219" s="11">
        <f>IFERROR(VLOOKUP(A196,standards,3,FALSE),"-")</f>
        <v>44.35</v>
      </c>
      <c r="B219" s="10">
        <v>1</v>
      </c>
      <c r="C219" s="3"/>
      <c r="D219" s="55">
        <v>1</v>
      </c>
      <c r="E219" s="19">
        <f ca="1">IFERROR(IF(OR(H200=98,H200=99),H200,VLOOKUP(B219,B200:E215,4,FALSE)),0)</f>
        <v>5</v>
      </c>
      <c r="F219" s="27" t="str">
        <f ca="1">IFERROR(VLOOKUP(E219,$E200:$F215,2,FALSE),"")</f>
        <v>COOK Edwin</v>
      </c>
      <c r="G219" s="18" t="str">
        <f t="shared" ref="G219:G226" ca="1" si="68">IFERROR(VLOOKUP(E219,teamlookup,5,FALSE),"-")</f>
        <v>Scun</v>
      </c>
      <c r="H219" s="542">
        <f ca="1">IFERROR(VLOOKUP(E219,E200:X215,19,FALSE),"")</f>
        <v>20.81</v>
      </c>
      <c r="I219" s="543"/>
      <c r="J219" s="55">
        <v>1</v>
      </c>
      <c r="K219" s="55">
        <f ca="1">IFERROR(VLOOKUP(B219,C200:X215,3,FALSE),"")</f>
        <v>33</v>
      </c>
      <c r="L219" s="544" t="str">
        <f ca="1">IFERROR(VLOOKUP(K219,$E200:$F215,2,FALSE),"")</f>
        <v>BROOKS Rory</v>
      </c>
      <c r="M219" s="545"/>
      <c r="N219" s="545"/>
      <c r="O219" s="546"/>
      <c r="P219" s="544" t="str">
        <f t="shared" ref="P219:P226" ca="1" si="69">IFERROR(VLOOKUP(K219,teamlookup,5,FALSE),"-")</f>
        <v>York</v>
      </c>
      <c r="Q219" s="545"/>
      <c r="R219" s="545"/>
      <c r="S219" s="546"/>
      <c r="T219" s="524">
        <f ca="1">IFERROR(VLOOKUP(K219,E200:X215,19,FALSE),"")</f>
        <v>19.13</v>
      </c>
      <c r="U219" s="525"/>
      <c r="V219" s="28"/>
      <c r="W219" s="29"/>
      <c r="X219" s="29"/>
      <c r="Y219" s="29"/>
      <c r="Z219" s="29"/>
      <c r="AA219" s="29"/>
      <c r="AB219" s="30"/>
    </row>
    <row r="220" spans="1:33" s="4" customFormat="1" ht="15.95" customHeight="1" x14ac:dyDescent="0.45">
      <c r="A220" s="11">
        <f>IFERROR(VLOOKUP(A196,standards,4,FALSE),"-")</f>
        <v>40.85</v>
      </c>
      <c r="B220" s="10">
        <v>2</v>
      </c>
      <c r="C220" s="3"/>
      <c r="D220" s="55">
        <v>2</v>
      </c>
      <c r="E220" s="19">
        <f ca="1">IFERROR(VLOOKUP(B220,B200:E215,4,FALSE),"")</f>
        <v>3</v>
      </c>
      <c r="F220" s="27" t="str">
        <f ca="1">IFERROR(VLOOKUP(E220,$E200:$F215,2,FALSE),"")</f>
        <v>RHODES Ashton</v>
      </c>
      <c r="G220" s="18" t="str">
        <f t="shared" ca="1" si="68"/>
        <v>York</v>
      </c>
      <c r="H220" s="542">
        <f ca="1">IFERROR(VLOOKUP(E220,E200:X215,19,FALSE),"")</f>
        <v>20.329999999999998</v>
      </c>
      <c r="I220" s="543"/>
      <c r="J220" s="55">
        <v>2</v>
      </c>
      <c r="K220" s="55">
        <f ca="1">IFERROR(VLOOKUP(B220,C200:X215,3,FALSE),"")</f>
        <v>11</v>
      </c>
      <c r="L220" s="544" t="str">
        <f ca="1">IFERROR(VLOOKUP(K220,$E200:$F215,2,FALSE),"")</f>
        <v>SAS Reuben</v>
      </c>
      <c r="M220" s="545"/>
      <c r="N220" s="545"/>
      <c r="O220" s="546"/>
      <c r="P220" s="544" t="str">
        <f t="shared" ca="1" si="69"/>
        <v>C'field</v>
      </c>
      <c r="Q220" s="545"/>
      <c r="R220" s="545"/>
      <c r="S220" s="546"/>
      <c r="T220" s="524">
        <f ca="1">IFERROR(VLOOKUP(K220,E200:X215,19,FALSE),"")</f>
        <v>14.43</v>
      </c>
      <c r="U220" s="525"/>
      <c r="V220" s="24"/>
      <c r="W220" s="25"/>
      <c r="X220" s="25"/>
      <c r="Y220" s="25"/>
      <c r="Z220" s="25"/>
      <c r="AA220" s="25"/>
      <c r="AB220" s="26"/>
    </row>
    <row r="221" spans="1:33" s="4" customFormat="1" ht="15.95" customHeight="1" x14ac:dyDescent="0.45">
      <c r="A221" s="11">
        <f>IFERROR(VLOOKUP(A196,standards,5,FALSE),"-")</f>
        <v>37.25</v>
      </c>
      <c r="B221" s="10">
        <v>3</v>
      </c>
      <c r="C221" s="3"/>
      <c r="D221" s="55">
        <v>3</v>
      </c>
      <c r="E221" s="19">
        <f ca="1">IFERROR(VLOOKUP(B221,B200:E215,4,FALSE),"")</f>
        <v>2</v>
      </c>
      <c r="F221" s="27" t="str">
        <f ca="1">IFERROR(VLOOKUP(E221,$E200:$F215,2,FALSE),"")</f>
        <v>COLLINI Joseph</v>
      </c>
      <c r="G221" s="18" t="str">
        <f t="shared" ca="1" si="68"/>
        <v>Sheff+D</v>
      </c>
      <c r="H221" s="542">
        <f ca="1">IFERROR(VLOOKUP(E221,E200:X215,19,FALSE),"")</f>
        <v>16.920000000000002</v>
      </c>
      <c r="I221" s="543"/>
      <c r="J221" s="55">
        <v>3</v>
      </c>
      <c r="K221" s="55">
        <f ca="1">IFERROR(VLOOKUP(B221,C200:X215,3,FALSE),"")</f>
        <v>22</v>
      </c>
      <c r="L221" s="544" t="str">
        <f ca="1">IFERROR(VLOOKUP(K221,$E200:$F215,2,FALSE),"")</f>
        <v>WAINWRIGHT James</v>
      </c>
      <c r="M221" s="545"/>
      <c r="N221" s="545"/>
      <c r="O221" s="546"/>
      <c r="P221" s="544" t="str">
        <f t="shared" ca="1" si="69"/>
        <v>Sheff+D</v>
      </c>
      <c r="Q221" s="545"/>
      <c r="R221" s="545"/>
      <c r="S221" s="546"/>
      <c r="T221" s="524">
        <f ca="1">IFERROR(VLOOKUP(K221,E200:X215,19,FALSE),"")</f>
        <v>11.51</v>
      </c>
      <c r="U221" s="525"/>
      <c r="V221" s="28"/>
      <c r="W221" s="29"/>
      <c r="X221" s="29"/>
      <c r="Y221" s="29"/>
      <c r="Z221" s="29"/>
      <c r="AA221" s="29"/>
      <c r="AB221" s="30"/>
    </row>
    <row r="222" spans="1:33" s="4" customFormat="1" ht="15.95" customHeight="1" x14ac:dyDescent="0.45">
      <c r="A222" s="11">
        <f>IFERROR(VLOOKUP(A196,AAA!A:F,6,FALSE),"-")</f>
        <v>32.6</v>
      </c>
      <c r="B222" s="10">
        <v>4</v>
      </c>
      <c r="C222" s="3"/>
      <c r="D222" s="55">
        <v>4</v>
      </c>
      <c r="E222" s="19">
        <f ca="1">IFERROR(VLOOKUP(B222,B200:E215,4,FALSE),"")</f>
        <v>1</v>
      </c>
      <c r="F222" s="27" t="str">
        <f ca="1">IFERROR(VLOOKUP(E222,$E200:$F215,2,FALSE),"")</f>
        <v>BETTNEY Thomas</v>
      </c>
      <c r="G222" s="18" t="str">
        <f t="shared" ca="1" si="68"/>
        <v>C'field</v>
      </c>
      <c r="H222" s="542">
        <f ca="1">IFERROR(VLOOKUP(E222,E200:X215,19,FALSE),"")</f>
        <v>15.02</v>
      </c>
      <c r="I222" s="543"/>
      <c r="J222" s="55">
        <v>4</v>
      </c>
      <c r="K222" s="55">
        <f ca="1">IFERROR(VLOOKUP(B222,C200:X215,3,FALSE),"")</f>
        <v>55</v>
      </c>
      <c r="L222" s="544" t="str">
        <f ca="1">IFERROR(VLOOKUP(K222,$E200:$F215,2,FALSE),"")</f>
        <v>OADES Matthew</v>
      </c>
      <c r="M222" s="545"/>
      <c r="N222" s="545"/>
      <c r="O222" s="546"/>
      <c r="P222" s="544" t="str">
        <f t="shared" ca="1" si="69"/>
        <v>Scun</v>
      </c>
      <c r="Q222" s="545"/>
      <c r="R222" s="545"/>
      <c r="S222" s="546"/>
      <c r="T222" s="524">
        <f ca="1">IFERROR(VLOOKUP(K222,E200:X215,19,FALSE),"")</f>
        <v>10.09</v>
      </c>
      <c r="U222" s="525"/>
      <c r="V222" s="24"/>
      <c r="W222" s="25"/>
      <c r="X222" s="25"/>
      <c r="Y222" s="25"/>
      <c r="Z222" s="25"/>
      <c r="AA222" s="25"/>
      <c r="AB222" s="26"/>
    </row>
    <row r="223" spans="1:33" s="4" customFormat="1" ht="15.95" customHeight="1" x14ac:dyDescent="0.45">
      <c r="A223" s="8"/>
      <c r="B223" s="10">
        <v>5</v>
      </c>
      <c r="C223" s="3"/>
      <c r="D223" s="55">
        <v>5</v>
      </c>
      <c r="E223" s="19" t="str">
        <f ca="1">IFERROR(VLOOKUP(B223,B200:E215,4,FALSE),"")</f>
        <v/>
      </c>
      <c r="F223" s="27" t="str">
        <f ca="1">IFERROR(VLOOKUP(E223,$E200:$F215,2,FALSE),"")</f>
        <v/>
      </c>
      <c r="G223" s="18" t="str">
        <f t="shared" ca="1" si="68"/>
        <v>-</v>
      </c>
      <c r="H223" s="542" t="str">
        <f ca="1">IFERROR(VLOOKUP(E223,E200:X215,19,FALSE),"")</f>
        <v/>
      </c>
      <c r="I223" s="543"/>
      <c r="J223" s="55">
        <v>5</v>
      </c>
      <c r="K223" s="55" t="str">
        <f ca="1">IFERROR(VLOOKUP(B223,C200:X215,3,FALSE),"")</f>
        <v/>
      </c>
      <c r="L223" s="544" t="str">
        <f ca="1">IFERROR(VLOOKUP(K223,$E200:$F215,2,FALSE),"")</f>
        <v/>
      </c>
      <c r="M223" s="545"/>
      <c r="N223" s="545"/>
      <c r="O223" s="546"/>
      <c r="P223" s="544" t="str">
        <f t="shared" ca="1" si="69"/>
        <v>-</v>
      </c>
      <c r="Q223" s="545"/>
      <c r="R223" s="545"/>
      <c r="S223" s="546"/>
      <c r="T223" s="524" t="str">
        <f ca="1">IFERROR(VLOOKUP(K223,E200:X215,19,FALSE),"")</f>
        <v/>
      </c>
      <c r="U223" s="525"/>
      <c r="V223" s="28"/>
      <c r="W223" s="29"/>
      <c r="X223" s="29"/>
      <c r="Y223" s="29"/>
      <c r="Z223" s="29"/>
      <c r="AA223" s="29"/>
      <c r="AB223" s="30"/>
    </row>
    <row r="224" spans="1:33" s="4" customFormat="1" ht="15.95" customHeight="1" x14ac:dyDescent="0.45">
      <c r="A224" s="8" t="s">
        <v>204</v>
      </c>
      <c r="B224" s="10">
        <v>6</v>
      </c>
      <c r="C224" s="3"/>
      <c r="D224" s="55">
        <v>6</v>
      </c>
      <c r="E224" s="19" t="str">
        <f ca="1">IFERROR(VLOOKUP(B224,B200:E215,4,FALSE),"")</f>
        <v/>
      </c>
      <c r="F224" s="27" t="str">
        <f ca="1">IFERROR(VLOOKUP(E224,$E200:$F215,2,FALSE),"")</f>
        <v/>
      </c>
      <c r="G224" s="18" t="str">
        <f t="shared" ca="1" si="68"/>
        <v>-</v>
      </c>
      <c r="H224" s="542" t="str">
        <f ca="1">IFERROR(VLOOKUP(E224,E200:X215,19,FALSE),"")</f>
        <v/>
      </c>
      <c r="I224" s="543"/>
      <c r="J224" s="55">
        <v>6</v>
      </c>
      <c r="K224" s="55" t="str">
        <f ca="1">IFERROR(VLOOKUP(B224,C200:X215,3,FALSE),"")</f>
        <v/>
      </c>
      <c r="L224" s="544" t="str">
        <f ca="1">IFERROR(VLOOKUP(K224,$E200:$F215,2,FALSE),"")</f>
        <v/>
      </c>
      <c r="M224" s="545"/>
      <c r="N224" s="545"/>
      <c r="O224" s="546"/>
      <c r="P224" s="544" t="str">
        <f t="shared" ca="1" si="69"/>
        <v>-</v>
      </c>
      <c r="Q224" s="545"/>
      <c r="R224" s="545"/>
      <c r="S224" s="546"/>
      <c r="T224" s="524" t="str">
        <f ca="1">IFERROR(VLOOKUP(K224,E200:X215,19,FALSE),"")</f>
        <v/>
      </c>
      <c r="U224" s="525"/>
      <c r="V224" s="512" t="s">
        <v>185</v>
      </c>
      <c r="W224" s="513"/>
      <c r="X224" s="513"/>
      <c r="Y224" s="513"/>
      <c r="Z224" s="513"/>
      <c r="AA224" s="513"/>
      <c r="AB224" s="514"/>
    </row>
    <row r="225" spans="1:33" s="4" customFormat="1" ht="15.95" customHeight="1" x14ac:dyDescent="0.45">
      <c r="A225" s="8">
        <f>IFERROR(VLOOKUP(A196,records,5,FALSE),"")</f>
        <v>61.4</v>
      </c>
      <c r="B225" s="10">
        <v>7</v>
      </c>
      <c r="C225" s="3"/>
      <c r="D225" s="55">
        <v>7</v>
      </c>
      <c r="E225" s="19" t="str">
        <f ca="1">IFERROR(VLOOKUP(B225,B200:E215,4,FALSE),"")</f>
        <v/>
      </c>
      <c r="F225" s="27" t="str">
        <f ca="1">IFERROR(VLOOKUP(E225,$E200:$F215,2,FALSE),"")</f>
        <v/>
      </c>
      <c r="G225" s="18" t="str">
        <f t="shared" ca="1" si="68"/>
        <v>-</v>
      </c>
      <c r="H225" s="542" t="str">
        <f ca="1">IFERROR(VLOOKUP(E225,E200:X215,19,FALSE),"")</f>
        <v/>
      </c>
      <c r="I225" s="543"/>
      <c r="J225" s="55">
        <v>7</v>
      </c>
      <c r="K225" s="55" t="str">
        <f ca="1">IFERROR(VLOOKUP(B225,C200:X215,3,FALSE),"")</f>
        <v/>
      </c>
      <c r="L225" s="544" t="str">
        <f ca="1">IFERROR(VLOOKUP(K225,$E200:$F215,2,FALSE),"")</f>
        <v/>
      </c>
      <c r="M225" s="545"/>
      <c r="N225" s="545"/>
      <c r="O225" s="546"/>
      <c r="P225" s="544" t="str">
        <f t="shared" ca="1" si="69"/>
        <v>-</v>
      </c>
      <c r="Q225" s="545"/>
      <c r="R225" s="545"/>
      <c r="S225" s="546"/>
      <c r="T225" s="524" t="str">
        <f ca="1">IFERROR(VLOOKUP(K225,E200:X215,19,FALSE),"")</f>
        <v/>
      </c>
      <c r="U225" s="525"/>
      <c r="V225" s="24"/>
      <c r="W225" s="25"/>
      <c r="X225" s="25"/>
      <c r="Y225" s="25"/>
      <c r="Z225" s="25"/>
      <c r="AA225" s="25"/>
      <c r="AB225" s="26"/>
    </row>
    <row r="226" spans="1:33" s="4" customFormat="1" ht="15.95" customHeight="1" x14ac:dyDescent="0.45">
      <c r="A226" s="8"/>
      <c r="B226" s="10">
        <v>8</v>
      </c>
      <c r="C226" s="3"/>
      <c r="D226" s="55">
        <v>8</v>
      </c>
      <c r="E226" s="19" t="str">
        <f ca="1">IFERROR(VLOOKUP(B226,B200:E215,4,FALSE),"")</f>
        <v/>
      </c>
      <c r="F226" s="27" t="str">
        <f ca="1">IFERROR(VLOOKUP(E226,$E200:$F215,2,FALSE),"")</f>
        <v/>
      </c>
      <c r="G226" s="18" t="str">
        <f t="shared" ca="1" si="68"/>
        <v>-</v>
      </c>
      <c r="H226" s="542" t="str">
        <f ca="1">IFERROR(VLOOKUP(E226,E200:X215,19,FALSE),"")</f>
        <v/>
      </c>
      <c r="I226" s="543"/>
      <c r="J226" s="55">
        <v>8</v>
      </c>
      <c r="K226" s="55" t="str">
        <f ca="1">IFERROR(VLOOKUP(B226,C200:X215,3,FALSE),"")</f>
        <v/>
      </c>
      <c r="L226" s="544" t="str">
        <f ca="1">IFERROR(VLOOKUP(K226,$E200:$F215,2,FALSE),"")</f>
        <v/>
      </c>
      <c r="M226" s="545"/>
      <c r="N226" s="545"/>
      <c r="O226" s="546"/>
      <c r="P226" s="544" t="str">
        <f t="shared" ca="1" si="69"/>
        <v>-</v>
      </c>
      <c r="Q226" s="545"/>
      <c r="R226" s="545"/>
      <c r="S226" s="546"/>
      <c r="T226" s="524" t="str">
        <f ca="1">IFERROR(VLOOKUP(K226,E200:X215,19,FALSE),"")</f>
        <v/>
      </c>
      <c r="U226" s="525"/>
      <c r="V226" s="28"/>
      <c r="W226" s="29"/>
      <c r="X226" s="29"/>
      <c r="Y226" s="29"/>
      <c r="Z226" s="29"/>
      <c r="AA226" s="29"/>
      <c r="AB226" s="30"/>
    </row>
    <row r="227" spans="1:33" s="4" customFormat="1" ht="21" x14ac:dyDescent="0.45">
      <c r="A227" s="2" t="str">
        <f>MatchDay!$U$6</f>
        <v>X</v>
      </c>
      <c r="B227" s="8"/>
      <c r="C227" s="3"/>
      <c r="D227" s="502" t="s">
        <v>186</v>
      </c>
      <c r="E227" s="503"/>
      <c r="F227" s="503"/>
      <c r="G227" s="503"/>
      <c r="H227" s="503"/>
      <c r="I227" s="503"/>
      <c r="J227" s="503"/>
      <c r="K227" s="515" t="s">
        <v>187</v>
      </c>
      <c r="L227" s="516"/>
      <c r="M227" s="516"/>
      <c r="N227" s="516"/>
      <c r="O227" s="518" t="str">
        <f>MatchDay!$C$2&amp;" "&amp;MatchDay!$C$3&amp;" "&amp;MatchDay!$C$4</f>
        <v>LOWER NORTH East 1</v>
      </c>
      <c r="P227" s="519"/>
      <c r="Q227" s="519"/>
      <c r="R227" s="519"/>
      <c r="S227" s="519"/>
      <c r="T227" s="519"/>
      <c r="U227" s="519"/>
      <c r="V227" s="519"/>
      <c r="W227" s="519"/>
      <c r="X227" s="519"/>
      <c r="Y227" s="519"/>
      <c r="Z227" s="519"/>
      <c r="AA227" s="519"/>
      <c r="AB227" s="520"/>
    </row>
    <row r="228" spans="1:33" s="4" customFormat="1" ht="15.75" customHeight="1" x14ac:dyDescent="0.45">
      <c r="A228" s="1" t="str">
        <f>IFERROR(IF(LEFT(MatchDay!$C$2,1)="L","L"&amp;A230,"U"&amp;A230),"")</f>
        <v>LFD08</v>
      </c>
      <c r="B228" s="10">
        <v>251</v>
      </c>
      <c r="C228" s="3"/>
      <c r="D228" s="512" t="s">
        <v>188</v>
      </c>
      <c r="E228" s="514"/>
      <c r="F228" s="513" t="str">
        <f>IFERROR(UPPER(VLOOKUP(A229,teamlookup,6,FALSE)),"")</f>
        <v/>
      </c>
      <c r="G228" s="514"/>
      <c r="H228" s="504" t="s">
        <v>201</v>
      </c>
      <c r="I228" s="510"/>
      <c r="J228" s="505"/>
      <c r="K228" s="512" t="str">
        <f>MatchDay!$C$8</f>
        <v>@ Doncaster</v>
      </c>
      <c r="L228" s="513"/>
      <c r="M228" s="513"/>
      <c r="N228" s="513"/>
      <c r="O228" s="513"/>
      <c r="P228" s="514"/>
      <c r="Q228" s="504" t="s">
        <v>160</v>
      </c>
      <c r="R228" s="505"/>
      <c r="S228" s="521">
        <f>MatchDay!$C$7</f>
        <v>43582</v>
      </c>
      <c r="T228" s="522"/>
      <c r="U228" s="522"/>
      <c r="V228" s="522"/>
      <c r="W228" s="522"/>
      <c r="X228" s="523"/>
      <c r="Y228" s="526" t="str">
        <f>IFERROR(IF(LEFT(A228,1)="L","",VLOOKUP(A228,AAA!$A:$I,8,FALSE)),"")</f>
        <v/>
      </c>
      <c r="Z228" s="527"/>
      <c r="AA228" s="524" t="str">
        <f>IFERROR(IF(LEFT(A228,1)="L","",VLOOKUP(A228,standards,9,FALSE)),"")</f>
        <v/>
      </c>
      <c r="AB228" s="525"/>
      <c r="AC228" s="6"/>
      <c r="AD228" s="6"/>
    </row>
    <row r="229" spans="1:33" s="4" customFormat="1" ht="15.75" customHeight="1" x14ac:dyDescent="0.45">
      <c r="A229" s="5">
        <f>IFERROR(IF(A227=1,VLOOKUP(A228,judges,VLOOKUP(MatchDay!$U$2*10+MatchDay!$C$5,judgesp,5,FALSE),FALSE),VLOOKUP(Distance!A228,judges,VLOOKUP(MatchDay!$U$2*10+MatchDay!$C$5,judges2,5,FALSE),FALSE)),"")</f>
        <v>0</v>
      </c>
      <c r="B229" s="181">
        <f>IFERROR(VLOOKUP(A228,Timetables!$A:$E,5,FALSE)-1,"")</f>
        <v>16</v>
      </c>
      <c r="C229" s="3"/>
      <c r="D229" s="504" t="s">
        <v>161</v>
      </c>
      <c r="E229" s="505"/>
      <c r="F229" s="508" t="str">
        <f>IFERROR(VLOOKUP(A228,timetables,2,FALSE)&amp;" "&amp;VLOOKUP(A228,timetables,3,FALSE),"")</f>
        <v>Javelin U15 Girls</v>
      </c>
      <c r="G229" s="509"/>
      <c r="H229" s="504" t="s">
        <v>162</v>
      </c>
      <c r="I229" s="510"/>
      <c r="J229" s="505"/>
      <c r="K229" s="511">
        <f>IFERROR(IF(A227=1,VLOOKUP(A228,Timetables!$A:$G,6,FALSE),VLOOKUP(A228,Timetables!$A:$G,7,FALSE)),"")</f>
        <v>0.60416666666666663</v>
      </c>
      <c r="L229" s="511" t="e">
        <v>#N/A</v>
      </c>
      <c r="M229" s="504" t="s">
        <v>202</v>
      </c>
      <c r="N229" s="505"/>
      <c r="O229" s="506" t="str">
        <f>IFERROR(VLOOKUP(A228,records,3,FALSE)&amp;", "&amp;VLOOKUP(A228,records,4,FALSE)&amp;", "&amp;VLOOKUP(A228,records,5,FALSE)&amp;", "&amp;VLOOKUP(A228,records,6,FALSE)&amp;", "&amp;VLOOKUP(A228,records,7,FALSE)&amp;" "&amp;VLOOKUP(A228,records,8,FALSE),"")</f>
        <v>Bethany Moule, Neath Harriers, 45.76, Gloucester, Apr 23rd 2016</v>
      </c>
      <c r="P229" s="506"/>
      <c r="Q229" s="506"/>
      <c r="R229" s="506"/>
      <c r="S229" s="506"/>
      <c r="T229" s="506"/>
      <c r="U229" s="506"/>
      <c r="V229" s="506"/>
      <c r="W229" s="506"/>
      <c r="X229" s="506"/>
      <c r="Y229" s="506"/>
      <c r="Z229" s="506"/>
      <c r="AA229" s="506"/>
      <c r="AB229" s="507"/>
    </row>
    <row r="230" spans="1:33" s="4" customFormat="1" ht="32.1" customHeight="1" x14ac:dyDescent="0.45">
      <c r="A230" s="5" t="s">
        <v>264</v>
      </c>
      <c r="B230" s="10" t="str">
        <f>IFERROR(VLOOKUP($A230,fdistance,2,FALSE),"")</f>
        <v>M</v>
      </c>
      <c r="C230" s="10">
        <f>IFERROR(VLOOKUP($A230,fdistance,3,FALSE),"")</f>
        <v>61</v>
      </c>
      <c r="D230" s="31" t="s">
        <v>163</v>
      </c>
      <c r="E230" s="13" t="s">
        <v>164</v>
      </c>
      <c r="F230" s="13" t="s">
        <v>165</v>
      </c>
      <c r="G230" s="14" t="s">
        <v>166</v>
      </c>
      <c r="H230" s="532" t="s">
        <v>167</v>
      </c>
      <c r="I230" s="534"/>
      <c r="J230" s="534" t="s">
        <v>168</v>
      </c>
      <c r="K230" s="534"/>
      <c r="L230" s="534" t="s">
        <v>169</v>
      </c>
      <c r="M230" s="534"/>
      <c r="N230" s="534" t="s">
        <v>170</v>
      </c>
      <c r="O230" s="534"/>
      <c r="P230" s="535" t="s">
        <v>171</v>
      </c>
      <c r="Q230" s="534" t="s">
        <v>172</v>
      </c>
      <c r="R230" s="534"/>
      <c r="S230" s="534" t="s">
        <v>173</v>
      </c>
      <c r="T230" s="534"/>
      <c r="U230" s="534" t="s">
        <v>174</v>
      </c>
      <c r="V230" s="534"/>
      <c r="W230" s="537" t="s">
        <v>175</v>
      </c>
      <c r="X230" s="538"/>
      <c r="Y230" s="528" t="s">
        <v>176</v>
      </c>
      <c r="Z230" s="530" t="s">
        <v>177</v>
      </c>
      <c r="AA230" s="531"/>
      <c r="AB230" s="532"/>
    </row>
    <row r="231" spans="1:33" s="4" customFormat="1" ht="11.65" x14ac:dyDescent="0.35">
      <c r="A231" s="137">
        <f>IFERROR(SEARCH("U17",F229),0)</f>
        <v>0</v>
      </c>
      <c r="B231" s="7" t="s">
        <v>53</v>
      </c>
      <c r="C231" s="7" t="s">
        <v>54</v>
      </c>
      <c r="D231" s="56"/>
      <c r="E231" s="56"/>
      <c r="F231" s="15"/>
      <c r="G231" s="16"/>
      <c r="H231" s="514" t="s">
        <v>178</v>
      </c>
      <c r="I231" s="533"/>
      <c r="J231" s="533" t="s">
        <v>178</v>
      </c>
      <c r="K231" s="533"/>
      <c r="L231" s="533" t="s">
        <v>178</v>
      </c>
      <c r="M231" s="533"/>
      <c r="N231" s="533" t="s">
        <v>178</v>
      </c>
      <c r="O231" s="533"/>
      <c r="P231" s="536"/>
      <c r="Q231" s="533" t="s">
        <v>178</v>
      </c>
      <c r="R231" s="533"/>
      <c r="S231" s="533" t="s">
        <v>178</v>
      </c>
      <c r="T231" s="533"/>
      <c r="U231" s="533" t="s">
        <v>178</v>
      </c>
      <c r="V231" s="533"/>
      <c r="W231" s="533" t="s">
        <v>178</v>
      </c>
      <c r="X231" s="512"/>
      <c r="Y231" s="529"/>
      <c r="Z231" s="55"/>
      <c r="AA231" s="55" t="s">
        <v>53</v>
      </c>
      <c r="AB231" s="55" t="s">
        <v>54</v>
      </c>
    </row>
    <row r="232" spans="1:33" s="4" customFormat="1" ht="15.95" customHeight="1" x14ac:dyDescent="0.35">
      <c r="A232" s="8">
        <f>IFERROR(IF(D232&gt;MatchDay!$U$2,"-",VLOOKUP(A228,timetables,MatchDay!$U$4,FALSE)),0)</f>
        <v>4</v>
      </c>
      <c r="B232" s="7">
        <f ca="1">AA232</f>
        <v>3</v>
      </c>
      <c r="C232" s="7" t="str">
        <f ca="1">AB232</f>
        <v/>
      </c>
      <c r="D232" s="56">
        <v>1</v>
      </c>
      <c r="E232" s="17">
        <f>A232</f>
        <v>4</v>
      </c>
      <c r="F232" s="18" t="str">
        <f ca="1">IFERROR(IF(A231=0,HLOOKUP(E232,Declarations!$D$2:$S$102,B229,FALSE),HLOOKUP(VLOOKUP(E232,Teams!$V$2:$W$19,2,FALSE),Declarations!$D$2:$S$102,B229,FALSE)),"")</f>
        <v>DORAN Bethany</v>
      </c>
      <c r="G232" s="18" t="str">
        <f t="shared" ref="G232:G247" si="70">IFERROR(VLOOKUP(E232,teamlookup,5,FALSE),"-")</f>
        <v>M'bro</v>
      </c>
      <c r="H232" s="524">
        <f ca="1">IFERROR(INDIRECT(CONCATENATE("'Distance Input'!"&amp;B230&amp;C230)),"")</f>
        <v>17.09</v>
      </c>
      <c r="I232" s="525"/>
      <c r="J232" s="524">
        <v>0</v>
      </c>
      <c r="K232" s="525"/>
      <c r="L232" s="524">
        <v>0</v>
      </c>
      <c r="M232" s="525"/>
      <c r="N232" s="539">
        <f ca="1">H232</f>
        <v>17.09</v>
      </c>
      <c r="O232" s="540"/>
      <c r="P232" s="55">
        <v>0</v>
      </c>
      <c r="Q232" s="541">
        <v>0</v>
      </c>
      <c r="R232" s="541"/>
      <c r="S232" s="541">
        <v>0</v>
      </c>
      <c r="T232" s="541"/>
      <c r="U232" s="541">
        <v>0</v>
      </c>
      <c r="V232" s="541"/>
      <c r="W232" s="524">
        <f ca="1">N232</f>
        <v>17.09</v>
      </c>
      <c r="X232" s="525"/>
      <c r="Y232" s="55">
        <f ca="1">IF(OR(W232="",W232=0),0,IF(W232="X",MatchDay!$U$2+MatchDay!$U$2+1-COUNTIF(Distance!W232:W232,"X"),RANK(W232,$W232:$X247,0)))</f>
        <v>5</v>
      </c>
      <c r="Z232" s="19" t="str">
        <f ca="1">IFERROR(IF(Y232=0,0,IF(OR(VLOOKUP(AG232,E240:Y247,21,FALSE)=0,Y232&lt;=VLOOKUP(AG232,E240:Y247,21,FALSE)),"A","B")),"")</f>
        <v>A</v>
      </c>
      <c r="AA232" s="19">
        <f ca="1">IFERROR(IF(Z232="B","",RANK(AD232,AD232:AD247,1)),"")</f>
        <v>3</v>
      </c>
      <c r="AB232" s="19" t="str">
        <f ca="1">IFERROR(IF(Z232="A","",RANK(AE232,AE232:AE247,1)),"")</f>
        <v/>
      </c>
      <c r="AC232" s="8"/>
      <c r="AD232" s="9">
        <f ca="1">IF(OR(W232=0,Y232=0,Z232="B"),"",Y232)</f>
        <v>5</v>
      </c>
      <c r="AE232" s="9" t="str">
        <f ca="1">IF(OR(W232=0,Y232=0,Z232="A"),"",Y232)</f>
        <v/>
      </c>
      <c r="AF232" s="9" t="s">
        <v>179</v>
      </c>
      <c r="AG232" s="4">
        <f>IFERROR(IF(A231=0,E232*11,E232&amp;E232),"")</f>
        <v>44</v>
      </c>
    </row>
    <row r="233" spans="1:33" s="4" customFormat="1" ht="15.95" customHeight="1" x14ac:dyDescent="0.35">
      <c r="A233" s="8">
        <f>IFERROR(IF(D233&gt;MatchDay!$U$2,"-",VLOOKUP(A228,timetables,MatchDay!$U$4+1,FALSE)),0)</f>
        <v>2</v>
      </c>
      <c r="B233" s="7">
        <f t="shared" ref="B233:B247" ca="1" si="71">AA233</f>
        <v>1</v>
      </c>
      <c r="C233" s="7" t="str">
        <f t="shared" ref="C233:C247" ca="1" si="72">AB233</f>
        <v/>
      </c>
      <c r="D233" s="55">
        <v>2</v>
      </c>
      <c r="E233" s="17">
        <f t="shared" ref="E233:E247" si="73">A233</f>
        <v>2</v>
      </c>
      <c r="F233" s="18" t="str">
        <f ca="1">IFERROR(IF(A231=0,HLOOKUP(E233,Declarations!$D$2:$S$102,B229,FALSE),HLOOKUP(VLOOKUP(E233,Teams!$V$2:$W$19,2,FALSE),Declarations!$D$2:$S$102,B229,FALSE)),"")</f>
        <v>PADDON Freya</v>
      </c>
      <c r="G233" s="18" t="str">
        <f t="shared" si="70"/>
        <v>Sheff+D</v>
      </c>
      <c r="H233" s="524">
        <f ca="1">IFERROR(INDIRECT(CONCATENATE("'Distance Input'!"&amp;B230&amp;C230+1)),"")</f>
        <v>24.29</v>
      </c>
      <c r="I233" s="525"/>
      <c r="J233" s="524">
        <v>0</v>
      </c>
      <c r="K233" s="525"/>
      <c r="L233" s="524">
        <v>0</v>
      </c>
      <c r="M233" s="525"/>
      <c r="N233" s="539">
        <f t="shared" ref="N233:N247" ca="1" si="74">H233</f>
        <v>24.29</v>
      </c>
      <c r="O233" s="540"/>
      <c r="P233" s="55">
        <v>0</v>
      </c>
      <c r="Q233" s="541">
        <v>0</v>
      </c>
      <c r="R233" s="541"/>
      <c r="S233" s="541">
        <v>0</v>
      </c>
      <c r="T233" s="541"/>
      <c r="U233" s="541">
        <v>0</v>
      </c>
      <c r="V233" s="541"/>
      <c r="W233" s="524">
        <f t="shared" ref="W233:W247" ca="1" si="75">N233</f>
        <v>24.29</v>
      </c>
      <c r="X233" s="525"/>
      <c r="Y233" s="55">
        <f ca="1">IF(OR(W233="",W233=0),0,IF(W233="X",MatchDay!$U$2+MatchDay!$U$2+1-COUNTIF(Distance!W232:W233,"X"),RANK(W233,$W232:$X247,0)))</f>
        <v>1</v>
      </c>
      <c r="Z233" s="19" t="str">
        <f ca="1">IFERROR(IF(Y233=0,0,IF(OR(VLOOKUP(AG233,E240:Y247,21,FALSE)=0,Y233&lt;=VLOOKUP(AG233,E240:Y247,21,FALSE)),"A","B")),"")</f>
        <v>A</v>
      </c>
      <c r="AA233" s="19">
        <f ca="1">IFERROR(IF(Z233="B","",RANK(AD233,AD232:AD247,1)),"")</f>
        <v>1</v>
      </c>
      <c r="AB233" s="19" t="str">
        <f ca="1">IFERROR(IF(Z233="A","",RANK(AE233,AE232:AE247,1)),"")</f>
        <v/>
      </c>
      <c r="AC233" s="8"/>
      <c r="AD233" s="9">
        <f t="shared" ref="AD233:AD247" ca="1" si="76">IF(OR(W233=0,Y233=0,Z233="B"),"",Y233)</f>
        <v>1</v>
      </c>
      <c r="AE233" s="9" t="str">
        <f t="shared" ref="AE233:AE247" ca="1" si="77">IF(OR(W233=0,Y233=0,Z233="A"),"",Y233)</f>
        <v/>
      </c>
      <c r="AF233" s="9" t="s">
        <v>179</v>
      </c>
      <c r="AG233" s="4">
        <f>IFERROR(IF(A231=0,E233*11,E233&amp;E233),"")</f>
        <v>22</v>
      </c>
    </row>
    <row r="234" spans="1:33" s="4" customFormat="1" ht="15.95" customHeight="1" x14ac:dyDescent="0.35">
      <c r="A234" s="8">
        <f>IFERROR(IF(D234&gt;MatchDay!$U$2,"-",VLOOKUP(A228,timetables,MatchDay!$U$4+2,FALSE)),0)</f>
        <v>5</v>
      </c>
      <c r="B234" s="7">
        <f t="shared" ca="1" si="71"/>
        <v>5</v>
      </c>
      <c r="C234" s="7" t="str">
        <f t="shared" ca="1" si="72"/>
        <v/>
      </c>
      <c r="D234" s="55">
        <v>3</v>
      </c>
      <c r="E234" s="17">
        <f t="shared" si="73"/>
        <v>5</v>
      </c>
      <c r="F234" s="18" t="str">
        <f ca="1">IFERROR(IF(A231=0,HLOOKUP(E234,Declarations!$D$2:$S$102,B229,FALSE),HLOOKUP(VLOOKUP(E234,Teams!$V$2:$W$19,2,FALSE),Declarations!$D$2:$S$102,B229,FALSE)),"")</f>
        <v>BETTS Demi</v>
      </c>
      <c r="G234" s="18" t="str">
        <f t="shared" si="70"/>
        <v>Scun</v>
      </c>
      <c r="H234" s="524">
        <f ca="1">IFERROR(INDIRECT(CONCATENATE("'Distance Input'!"&amp;B230&amp;C230+2)),"")</f>
        <v>13.24</v>
      </c>
      <c r="I234" s="525"/>
      <c r="J234" s="524">
        <v>0</v>
      </c>
      <c r="K234" s="525"/>
      <c r="L234" s="524">
        <v>0</v>
      </c>
      <c r="M234" s="525"/>
      <c r="N234" s="539">
        <f t="shared" ca="1" si="74"/>
        <v>13.24</v>
      </c>
      <c r="O234" s="540"/>
      <c r="P234" s="55">
        <v>0</v>
      </c>
      <c r="Q234" s="541">
        <v>0</v>
      </c>
      <c r="R234" s="541"/>
      <c r="S234" s="541">
        <v>0</v>
      </c>
      <c r="T234" s="541"/>
      <c r="U234" s="541">
        <v>0</v>
      </c>
      <c r="V234" s="541"/>
      <c r="W234" s="524">
        <f t="shared" ca="1" si="75"/>
        <v>13.24</v>
      </c>
      <c r="X234" s="525"/>
      <c r="Y234" s="55">
        <f ca="1">IF(OR(W234="",W234=0),0,IF(W234="X",MatchDay!$U$2+MatchDay!$U$2+1-COUNTIF(Distance!W232:W234,"X"),RANK(W234,$W232:$X247,0)))</f>
        <v>8</v>
      </c>
      <c r="Z234" s="19" t="str">
        <f ca="1">IFERROR(IF(Y234=0,0,IF(OR(VLOOKUP(AG234,E240:Y247,21,FALSE)=0,Y234&lt;=VLOOKUP(AG234,E240:Y247,21,FALSE)),"A","B")),"")</f>
        <v>A</v>
      </c>
      <c r="AA234" s="19">
        <f ca="1">IFERROR(IF(Z234="B","",RANK(AD234,AD232:AD247,1)),"")</f>
        <v>5</v>
      </c>
      <c r="AB234" s="19" t="str">
        <f ca="1">IFERROR(IF(Z234="A","",RANK(AE234,AE232:AE247,1)),"")</f>
        <v/>
      </c>
      <c r="AD234" s="9">
        <f t="shared" ca="1" si="76"/>
        <v>8</v>
      </c>
      <c r="AE234" s="9" t="str">
        <f t="shared" ca="1" si="77"/>
        <v/>
      </c>
      <c r="AF234" s="9" t="s">
        <v>179</v>
      </c>
      <c r="AG234" s="4">
        <f>IFERROR(IF(A231=0,E234*11,E234&amp;E234),"")</f>
        <v>55</v>
      </c>
    </row>
    <row r="235" spans="1:33" s="4" customFormat="1" ht="15.95" customHeight="1" x14ac:dyDescent="0.35">
      <c r="A235" s="8">
        <f>IFERROR(IF(D235&gt;MatchDay!$U$2,"-",VLOOKUP(A228,timetables,MatchDay!$U$4+3,FALSE)),0)</f>
        <v>1</v>
      </c>
      <c r="B235" s="7">
        <f t="shared" ca="1" si="71"/>
        <v>2</v>
      </c>
      <c r="C235" s="7" t="str">
        <f t="shared" ca="1" si="72"/>
        <v/>
      </c>
      <c r="D235" s="55">
        <v>4</v>
      </c>
      <c r="E235" s="17">
        <f t="shared" si="73"/>
        <v>1</v>
      </c>
      <c r="F235" s="18" t="str">
        <f ca="1">IFERROR(IF(A231=0,HLOOKUP(E235,Declarations!$D$2:$S$102,B229,FALSE),HLOOKUP(VLOOKUP(E235,Teams!$V$2:$W$19,2,FALSE),Declarations!$D$2:$S$102,B229,FALSE)),"")</f>
        <v>BAINES Lily</v>
      </c>
      <c r="G235" s="18" t="str">
        <f t="shared" si="70"/>
        <v>C'field</v>
      </c>
      <c r="H235" s="524">
        <f ca="1">IFERROR(INDIRECT(CONCATENATE("'Distance Input'!"&amp;B230&amp;C230+3)),"")</f>
        <v>23.48</v>
      </c>
      <c r="I235" s="525"/>
      <c r="J235" s="524">
        <v>0</v>
      </c>
      <c r="K235" s="525"/>
      <c r="L235" s="524">
        <v>0</v>
      </c>
      <c r="M235" s="525"/>
      <c r="N235" s="539">
        <f t="shared" ca="1" si="74"/>
        <v>23.48</v>
      </c>
      <c r="O235" s="540"/>
      <c r="P235" s="55">
        <v>0</v>
      </c>
      <c r="Q235" s="541">
        <v>0</v>
      </c>
      <c r="R235" s="541"/>
      <c r="S235" s="541">
        <v>0</v>
      </c>
      <c r="T235" s="541"/>
      <c r="U235" s="541">
        <v>0</v>
      </c>
      <c r="V235" s="541"/>
      <c r="W235" s="524">
        <f t="shared" ca="1" si="75"/>
        <v>23.48</v>
      </c>
      <c r="X235" s="525"/>
      <c r="Y235" s="55">
        <f ca="1">IF(OR(W235="",W235=0),0,IF(W235="X",MatchDay!$U$2+MatchDay!$U$2+1-COUNTIF(Distance!W232:W235,"X"),RANK(W235,$W232:$X247,0)))</f>
        <v>2</v>
      </c>
      <c r="Z235" s="19" t="str">
        <f ca="1">IFERROR(IF(Y235=0,0,IF(OR(VLOOKUP(AG235,E240:Y247,21,FALSE)=0,Y235&lt;=VLOOKUP(AG235,E240:Y247,21,FALSE)),"A","B")),"")</f>
        <v>A</v>
      </c>
      <c r="AA235" s="19">
        <f ca="1">IFERROR(IF(Z235="B","",RANK(AD235,AD232:AD247,1)),"")</f>
        <v>2</v>
      </c>
      <c r="AB235" s="19" t="str">
        <f ca="1">IFERROR(IF(Z235="A","",RANK(AE235,AE232:AE247,1)),"")</f>
        <v/>
      </c>
      <c r="AD235" s="9">
        <f t="shared" ca="1" si="76"/>
        <v>2</v>
      </c>
      <c r="AE235" s="9" t="str">
        <f t="shared" ca="1" si="77"/>
        <v/>
      </c>
      <c r="AF235" s="9" t="s">
        <v>179</v>
      </c>
      <c r="AG235" s="4">
        <f>IFERROR(IF(A231=0,E235*11,E235&amp;E235),"")</f>
        <v>11</v>
      </c>
    </row>
    <row r="236" spans="1:33" s="4" customFormat="1" ht="15.95" customHeight="1" x14ac:dyDescent="0.35">
      <c r="A236" s="8">
        <f>IFERROR(IF(D236&gt;MatchDay!$U$2,"-",VLOOKUP(A228,timetables,MatchDay!$U$4+4,FALSE)),0)</f>
        <v>3</v>
      </c>
      <c r="B236" s="7" t="str">
        <f t="shared" ca="1" si="71"/>
        <v/>
      </c>
      <c r="C236" s="7">
        <f t="shared" ca="1" si="72"/>
        <v>4</v>
      </c>
      <c r="D236" s="55">
        <v>5</v>
      </c>
      <c r="E236" s="17">
        <f t="shared" si="73"/>
        <v>3</v>
      </c>
      <c r="F236" s="18" t="str">
        <f ca="1">IFERROR(IF(A231=0,HLOOKUP(E236,Declarations!$D$2:$S$102,B229,FALSE),HLOOKUP(VLOOKUP(E236,Teams!$V$2:$W$19,2,FALSE),Declarations!$D$2:$S$102,B229,FALSE)),"")</f>
        <v>CROSBY Alice</v>
      </c>
      <c r="G236" s="18" t="str">
        <f t="shared" si="70"/>
        <v>York</v>
      </c>
      <c r="H236" s="524">
        <f ca="1">IFERROR(INDIRECT(CONCATENATE("'Distance Input'!"&amp;B230&amp;C230+4)),"")</f>
        <v>13.19</v>
      </c>
      <c r="I236" s="525"/>
      <c r="J236" s="524">
        <v>0</v>
      </c>
      <c r="K236" s="525"/>
      <c r="L236" s="524">
        <v>0</v>
      </c>
      <c r="M236" s="525"/>
      <c r="N236" s="539">
        <f t="shared" ca="1" si="74"/>
        <v>13.19</v>
      </c>
      <c r="O236" s="540"/>
      <c r="P236" s="55">
        <v>0</v>
      </c>
      <c r="Q236" s="541">
        <v>0</v>
      </c>
      <c r="R236" s="541"/>
      <c r="S236" s="541">
        <v>0</v>
      </c>
      <c r="T236" s="541"/>
      <c r="U236" s="541">
        <v>0</v>
      </c>
      <c r="V236" s="541"/>
      <c r="W236" s="524">
        <f t="shared" ca="1" si="75"/>
        <v>13.19</v>
      </c>
      <c r="X236" s="525"/>
      <c r="Y236" s="55">
        <f ca="1">IF(OR(W236="",W236=0),0,IF(W236="X",MatchDay!$U$2+MatchDay!$U$2+1-COUNTIF(Distance!W232:W236,"X"),RANK(W236,$W232:$X247,0)))</f>
        <v>9</v>
      </c>
      <c r="Z236" s="19" t="str">
        <f ca="1">IFERROR(IF(Y236=0,0,IF(OR(VLOOKUP(AG236,E240:Y247,21,FALSE)=0,Y236&lt;=VLOOKUP(AG236,E240:Y247,21,FALSE)),"A","B")),"")</f>
        <v>B</v>
      </c>
      <c r="AA236" s="19" t="str">
        <f ca="1">IFERROR(IF(Z236="B","",RANK(AD236,AD232:AD247,1)),"")</f>
        <v/>
      </c>
      <c r="AB236" s="19">
        <f ca="1">IFERROR(IF(Z236="A","",RANK(AE236,AE232:AE247,1)),"")</f>
        <v>4</v>
      </c>
      <c r="AD236" s="9" t="str">
        <f t="shared" ca="1" si="76"/>
        <v/>
      </c>
      <c r="AE236" s="9">
        <f t="shared" ca="1" si="77"/>
        <v>9</v>
      </c>
      <c r="AF236" s="9" t="s">
        <v>179</v>
      </c>
      <c r="AG236" s="4">
        <f>IFERROR(IF(A231=0,E236*11,E236&amp;E236),"")</f>
        <v>33</v>
      </c>
    </row>
    <row r="237" spans="1:33" s="4" customFormat="1" ht="15.95" customHeight="1" x14ac:dyDescent="0.35">
      <c r="A237" s="8" t="str">
        <f>IFERROR(IF(D237&gt;MatchDay!$U$2,"-",VLOOKUP(A228,timetables,MatchDay!$U$4+5,FALSE)),0)</f>
        <v>-</v>
      </c>
      <c r="B237" s="7" t="str">
        <f t="shared" ca="1" si="71"/>
        <v/>
      </c>
      <c r="C237" s="7" t="str">
        <f t="shared" ca="1" si="72"/>
        <v/>
      </c>
      <c r="D237" s="55">
        <v>6</v>
      </c>
      <c r="E237" s="17" t="str">
        <f t="shared" si="73"/>
        <v>-</v>
      </c>
      <c r="F237" s="18" t="str">
        <f>IFERROR(IF(A231=0,HLOOKUP(E237,Declarations!$D$2:$S$102,B229,FALSE),HLOOKUP(VLOOKUP(E237,Teams!$V$2:$W$19,2,FALSE),Declarations!$D$2:$S$102,B229,FALSE)),"")</f>
        <v/>
      </c>
      <c r="G237" s="18" t="str">
        <f t="shared" si="70"/>
        <v/>
      </c>
      <c r="H237" s="524">
        <f ca="1">IFERROR(INDIRECT(CONCATENATE("'Distance Input'!"&amp;B230&amp;C230+5)),"")</f>
        <v>0</v>
      </c>
      <c r="I237" s="525"/>
      <c r="J237" s="524">
        <v>0</v>
      </c>
      <c r="K237" s="525"/>
      <c r="L237" s="524">
        <v>0</v>
      </c>
      <c r="M237" s="525"/>
      <c r="N237" s="539">
        <f t="shared" ca="1" si="74"/>
        <v>0</v>
      </c>
      <c r="O237" s="540"/>
      <c r="P237" s="55">
        <v>0</v>
      </c>
      <c r="Q237" s="541">
        <v>0</v>
      </c>
      <c r="R237" s="541"/>
      <c r="S237" s="541">
        <v>0</v>
      </c>
      <c r="T237" s="541"/>
      <c r="U237" s="541">
        <v>0</v>
      </c>
      <c r="V237" s="541"/>
      <c r="W237" s="524">
        <f t="shared" ca="1" si="75"/>
        <v>0</v>
      </c>
      <c r="X237" s="525"/>
      <c r="Y237" s="55">
        <f ca="1">IF(OR(W237="",W237=0),0,IF(W237="X",MatchDay!$U$2+MatchDay!$U$2+1-COUNTIF(Distance!W232:W237,"X"),RANK(W237,$W232:$X247,0)))</f>
        <v>0</v>
      </c>
      <c r="Z237" s="19">
        <f ca="1">IFERROR(IF(Y237=0,0,IF(OR(VLOOKUP(AG237,E240:Y247,21,FALSE)=0,Y237&lt;=VLOOKUP(AG237,E240:Y247,21,FALSE)),"A","B")),"")</f>
        <v>0</v>
      </c>
      <c r="AA237" s="19" t="str">
        <f ca="1">IFERROR(IF(Z237="B","",RANK(AD237,AD232:AD247,1)),"")</f>
        <v/>
      </c>
      <c r="AB237" s="19" t="str">
        <f ca="1">IFERROR(IF(Z237="A","",RANK(AE237,AE232:AE247,1)),"")</f>
        <v/>
      </c>
      <c r="AD237" s="9" t="str">
        <f t="shared" ca="1" si="76"/>
        <v/>
      </c>
      <c r="AE237" s="9" t="str">
        <f t="shared" ca="1" si="77"/>
        <v/>
      </c>
      <c r="AF237" s="9" t="s">
        <v>179</v>
      </c>
      <c r="AG237" s="4" t="str">
        <f>IFERROR(IF(A231=0,E237*11,E237&amp;E237),"")</f>
        <v/>
      </c>
    </row>
    <row r="238" spans="1:33" s="4" customFormat="1" ht="15.95" customHeight="1" x14ac:dyDescent="0.35">
      <c r="A238" s="8" t="str">
        <f>IFERROR(IF(D238&gt;MatchDay!$U$2,"-",VLOOKUP(A228,timetables,MatchDay!$U$4+6,FALSE)),0)</f>
        <v>-</v>
      </c>
      <c r="B238" s="7" t="str">
        <f t="shared" ca="1" si="71"/>
        <v/>
      </c>
      <c r="C238" s="7" t="str">
        <f t="shared" ca="1" si="72"/>
        <v/>
      </c>
      <c r="D238" s="55">
        <v>7</v>
      </c>
      <c r="E238" s="17" t="str">
        <f t="shared" si="73"/>
        <v>-</v>
      </c>
      <c r="F238" s="18" t="str">
        <f>IFERROR(IF(A231=0,HLOOKUP(E238,Declarations!$D$2:$S$102,B229,FALSE),HLOOKUP(VLOOKUP(E238,Teams!$V$2:$W$19,2,FALSE),Declarations!$D$2:$S$102,B229,FALSE)),"")</f>
        <v/>
      </c>
      <c r="G238" s="18" t="str">
        <f t="shared" si="70"/>
        <v/>
      </c>
      <c r="H238" s="524">
        <f ca="1">IFERROR(INDIRECT(CONCATENATE("'Distance Input'!"&amp;B230&amp;C230+6)),"")</f>
        <v>0</v>
      </c>
      <c r="I238" s="525"/>
      <c r="J238" s="524">
        <v>0</v>
      </c>
      <c r="K238" s="525"/>
      <c r="L238" s="524">
        <v>0</v>
      </c>
      <c r="M238" s="525"/>
      <c r="N238" s="539">
        <f t="shared" ca="1" si="74"/>
        <v>0</v>
      </c>
      <c r="O238" s="540"/>
      <c r="P238" s="55">
        <v>0</v>
      </c>
      <c r="Q238" s="541">
        <v>0</v>
      </c>
      <c r="R238" s="541"/>
      <c r="S238" s="541">
        <v>0</v>
      </c>
      <c r="T238" s="541"/>
      <c r="U238" s="541">
        <v>0</v>
      </c>
      <c r="V238" s="541"/>
      <c r="W238" s="524">
        <f t="shared" ca="1" si="75"/>
        <v>0</v>
      </c>
      <c r="X238" s="525"/>
      <c r="Y238" s="55">
        <f ca="1">IF(OR(W238="",W238=0),0,IF(W238="X",MatchDay!$U$2+MatchDay!$U$2+1-COUNTIF(Distance!W232:W238,"X"),RANK(W238,$W232:$X247,0)))</f>
        <v>0</v>
      </c>
      <c r="Z238" s="19">
        <f ca="1">IFERROR(IF(Y238=0,0,IF(OR(VLOOKUP(AG238,E240:Y247,21,FALSE)=0,Y238&lt;=VLOOKUP(AG238,E240:Y247,21,FALSE)),"A","B")),"")</f>
        <v>0</v>
      </c>
      <c r="AA238" s="19" t="str">
        <f ca="1">IFERROR(IF(Z238="B","",RANK(AD238,AD232:AD247,1)),"")</f>
        <v/>
      </c>
      <c r="AB238" s="19" t="str">
        <f ca="1">IFERROR(IF(Z238="A","",RANK(AE238,AE232:AE247,1)),"")</f>
        <v/>
      </c>
      <c r="AD238" s="9" t="str">
        <f t="shared" ca="1" si="76"/>
        <v/>
      </c>
      <c r="AE238" s="9" t="str">
        <f t="shared" ca="1" si="77"/>
        <v/>
      </c>
      <c r="AF238" s="9" t="s">
        <v>179</v>
      </c>
      <c r="AG238" s="4" t="str">
        <f>IFERROR(IF(A231=0,E238*11,E238&amp;E238),"")</f>
        <v/>
      </c>
    </row>
    <row r="239" spans="1:33" s="4" customFormat="1" ht="15.95" customHeight="1" x14ac:dyDescent="0.35">
      <c r="A239" s="8" t="str">
        <f>IFERROR(IF(D239&gt;MatchDay!$U$2,"-",VLOOKUP(A228,timetables,MatchDay!$U$4+7,FALSE)),0)</f>
        <v>-</v>
      </c>
      <c r="B239" s="7" t="str">
        <f t="shared" ca="1" si="71"/>
        <v/>
      </c>
      <c r="C239" s="7" t="str">
        <f t="shared" ca="1" si="72"/>
        <v/>
      </c>
      <c r="D239" s="55">
        <v>8</v>
      </c>
      <c r="E239" s="17" t="str">
        <f t="shared" si="73"/>
        <v>-</v>
      </c>
      <c r="F239" s="18" t="str">
        <f>IFERROR(IF(A231=0,HLOOKUP(E239,Declarations!$D$2:$S$102,B229,FALSE),HLOOKUP(VLOOKUP(E239,Teams!$V$2:$W$19,2,FALSE),Declarations!$D$2:$S$102,B229,FALSE)),"")</f>
        <v/>
      </c>
      <c r="G239" s="18" t="str">
        <f t="shared" si="70"/>
        <v/>
      </c>
      <c r="H239" s="524">
        <f ca="1">IFERROR(INDIRECT(CONCATENATE("'Distance Input'!"&amp;B230&amp;C230+7)),"")</f>
        <v>0</v>
      </c>
      <c r="I239" s="525"/>
      <c r="J239" s="524">
        <v>0</v>
      </c>
      <c r="K239" s="525"/>
      <c r="L239" s="524">
        <v>0</v>
      </c>
      <c r="M239" s="525"/>
      <c r="N239" s="539">
        <f t="shared" ca="1" si="74"/>
        <v>0</v>
      </c>
      <c r="O239" s="540"/>
      <c r="P239" s="55">
        <v>0</v>
      </c>
      <c r="Q239" s="541">
        <v>0</v>
      </c>
      <c r="R239" s="541"/>
      <c r="S239" s="541">
        <v>0</v>
      </c>
      <c r="T239" s="541"/>
      <c r="U239" s="541">
        <v>0</v>
      </c>
      <c r="V239" s="541"/>
      <c r="W239" s="524">
        <f t="shared" ca="1" si="75"/>
        <v>0</v>
      </c>
      <c r="X239" s="525"/>
      <c r="Y239" s="55">
        <f ca="1">IF(OR(W239="",W239=0),0,IF(W239="X",MatchDay!$U$2+MatchDay!$U$2+1-COUNTIF(Distance!W232:W239,"X"),RANK(W239,$W232:$X247,0)))</f>
        <v>0</v>
      </c>
      <c r="Z239" s="19">
        <f ca="1">IFERROR(IF(Y239=0,0,IF(OR(VLOOKUP(AG239,E240:Y247,21,FALSE)=0,Y239&lt;=VLOOKUP(AG239,E240:Y247,21,FALSE)),"A","B")),"")</f>
        <v>0</v>
      </c>
      <c r="AA239" s="19" t="str">
        <f ca="1">IFERROR(IF(Z239="B","",RANK(AD239,AD232:AD247,1)),"")</f>
        <v/>
      </c>
      <c r="AB239" s="19" t="str">
        <f ca="1">IFERROR(IF(Z239="A","",RANK(AE239,AE232:AE247,1)),"")</f>
        <v/>
      </c>
      <c r="AD239" s="9" t="str">
        <f t="shared" ca="1" si="76"/>
        <v/>
      </c>
      <c r="AE239" s="9" t="str">
        <f t="shared" ca="1" si="77"/>
        <v/>
      </c>
      <c r="AF239" s="9" t="s">
        <v>179</v>
      </c>
      <c r="AG239" s="4" t="str">
        <f>IFERROR(IF(A231=0,E239*11,E239&amp;E239),"")</f>
        <v/>
      </c>
    </row>
    <row r="240" spans="1:33" s="4" customFormat="1" ht="15.95" customHeight="1" x14ac:dyDescent="0.35">
      <c r="A240" s="8">
        <f>IFERROR(IF(A231=0,A232*11,A232&amp;A232),"-")</f>
        <v>44</v>
      </c>
      <c r="B240" s="7" t="str">
        <f t="shared" ca="1" si="71"/>
        <v/>
      </c>
      <c r="C240" s="7">
        <f t="shared" ca="1" si="72"/>
        <v>3</v>
      </c>
      <c r="D240" s="55">
        <v>9</v>
      </c>
      <c r="E240" s="17">
        <f t="shared" si="73"/>
        <v>44</v>
      </c>
      <c r="F240" s="18" t="str">
        <f ca="1">IFERROR(IF(A231=0,HLOOKUP(E240,Declarations!$D$2:$S$102,B229,FALSE),HLOOKUP(VLOOKUP(E240,Teams!$V$2:$W$19,2,FALSE),Declarations!$D$2:$S$102,B229,FALSE)),"")</f>
        <v>SULLOCK Amy</v>
      </c>
      <c r="G240" s="18" t="str">
        <f t="shared" si="70"/>
        <v>M'bro</v>
      </c>
      <c r="H240" s="524">
        <f ca="1">IFERROR(INDIRECT(CONCATENATE("'Distance Input'!"&amp;B230&amp;C230+8)),"")</f>
        <v>16.690000000000001</v>
      </c>
      <c r="I240" s="525"/>
      <c r="J240" s="524">
        <v>0</v>
      </c>
      <c r="K240" s="525"/>
      <c r="L240" s="524">
        <v>0</v>
      </c>
      <c r="M240" s="525"/>
      <c r="N240" s="539">
        <f t="shared" ca="1" si="74"/>
        <v>16.690000000000001</v>
      </c>
      <c r="O240" s="540"/>
      <c r="P240" s="55">
        <v>0</v>
      </c>
      <c r="Q240" s="541">
        <v>0</v>
      </c>
      <c r="R240" s="541"/>
      <c r="S240" s="541">
        <v>0</v>
      </c>
      <c r="T240" s="541"/>
      <c r="U240" s="541">
        <v>0</v>
      </c>
      <c r="V240" s="541"/>
      <c r="W240" s="524">
        <f t="shared" ca="1" si="75"/>
        <v>16.690000000000001</v>
      </c>
      <c r="X240" s="525"/>
      <c r="Y240" s="55">
        <f ca="1">IF(OR(W240="",W240=0),0,IF(W240="X",MatchDay!$U$2+MatchDay!$U$2+1-COUNTIF(Distance!W232:W240,"X"),RANK(W240,$W232:$X247,0)))</f>
        <v>6</v>
      </c>
      <c r="Z240" s="19" t="str">
        <f ca="1">IFERROR(IF(Y240=0,0,IF(VLOOKUP(AG240,E232:Y239,21,FALSE)=0,"A",IF(Y240&gt;=VLOOKUP(AG240,E232:Y239,21,FALSE),"B","A"))),"")</f>
        <v>B</v>
      </c>
      <c r="AA240" s="19" t="str">
        <f ca="1">IFERROR(IF(Z240="B","",RANK(AD240,AD232:AD247,1)),"")</f>
        <v/>
      </c>
      <c r="AB240" s="19">
        <f ca="1">IFERROR(IF(Z240="A","",RANK(AE240,AE232:AE247,1)),"")</f>
        <v>3</v>
      </c>
      <c r="AD240" s="9" t="str">
        <f t="shared" ca="1" si="76"/>
        <v/>
      </c>
      <c r="AE240" s="9">
        <f t="shared" ca="1" si="77"/>
        <v>6</v>
      </c>
      <c r="AF240" s="9" t="s">
        <v>179</v>
      </c>
      <c r="AG240" s="4">
        <f>IFERROR(IF(A231=0,E240/11,LEFT(E240,1)),"")</f>
        <v>4</v>
      </c>
    </row>
    <row r="241" spans="1:33" s="4" customFormat="1" ht="15.95" customHeight="1" x14ac:dyDescent="0.35">
      <c r="A241" s="8">
        <f>IFERROR(IF(A231=0,A233*11,A233&amp;A233),"-")</f>
        <v>22</v>
      </c>
      <c r="B241" s="7" t="str">
        <f t="shared" ca="1" si="71"/>
        <v/>
      </c>
      <c r="C241" s="7">
        <f t="shared" ca="1" si="72"/>
        <v>1</v>
      </c>
      <c r="D241" s="55">
        <v>10</v>
      </c>
      <c r="E241" s="17">
        <f t="shared" si="73"/>
        <v>22</v>
      </c>
      <c r="F241" s="18" t="str">
        <f ca="1">IFERROR(IF(A231=0,HLOOKUP(E241,Declarations!$D$2:$S$102,B229,FALSE),HLOOKUP(VLOOKUP(E241,Teams!$V$2:$W$19,2,FALSE),Declarations!$D$2:$S$102,B229,FALSE)),"")</f>
        <v>PADDON Olivia</v>
      </c>
      <c r="G241" s="18" t="str">
        <f t="shared" si="70"/>
        <v>Sheff+D</v>
      </c>
      <c r="H241" s="524">
        <f ca="1">IFERROR(INDIRECT(CONCATENATE("'Distance Input'!"&amp;B230&amp;C230+9)),"")</f>
        <v>21.25</v>
      </c>
      <c r="I241" s="525"/>
      <c r="J241" s="524">
        <v>0</v>
      </c>
      <c r="K241" s="525"/>
      <c r="L241" s="524">
        <v>0</v>
      </c>
      <c r="M241" s="525"/>
      <c r="N241" s="539">
        <f t="shared" ca="1" si="74"/>
        <v>21.25</v>
      </c>
      <c r="O241" s="540"/>
      <c r="P241" s="55">
        <v>0</v>
      </c>
      <c r="Q241" s="541">
        <v>0</v>
      </c>
      <c r="R241" s="541"/>
      <c r="S241" s="541">
        <v>0</v>
      </c>
      <c r="T241" s="541"/>
      <c r="U241" s="541">
        <v>0</v>
      </c>
      <c r="V241" s="541"/>
      <c r="W241" s="524">
        <f t="shared" ca="1" si="75"/>
        <v>21.25</v>
      </c>
      <c r="X241" s="525"/>
      <c r="Y241" s="55">
        <f ca="1">IF(OR(W241="",W241=0),0,IF(W241="X",MatchDay!$U$2+MatchDay!$U$2+1-COUNTIF(Distance!W232:W241,"X"),RANK(W241,$W232:$X247,0)))</f>
        <v>3</v>
      </c>
      <c r="Z241" s="19" t="str">
        <f ca="1">IFERROR(IF(Y241=0,0,IF(VLOOKUP(AG241,E232:Y239,21,FALSE)=0,"A",IF(Y241&gt;=VLOOKUP(AG241,E232:Y239,21,FALSE),"B","A"))),"")</f>
        <v>B</v>
      </c>
      <c r="AA241" s="19" t="str">
        <f ca="1">IFERROR(IF(Z241="B","",RANK(AD241,AD232:AD247,1)),"")</f>
        <v/>
      </c>
      <c r="AB241" s="19">
        <f ca="1">IFERROR(IF(Z241="A","",RANK(AE241,AE232:AE247,1)),"")</f>
        <v>1</v>
      </c>
      <c r="AD241" s="9" t="str">
        <f t="shared" ca="1" si="76"/>
        <v/>
      </c>
      <c r="AE241" s="9">
        <f t="shared" ca="1" si="77"/>
        <v>3</v>
      </c>
      <c r="AF241" s="9" t="s">
        <v>179</v>
      </c>
      <c r="AG241" s="4">
        <f>IFERROR(IF(A231=0,E241/11,LEFT(E241,1)),"")</f>
        <v>2</v>
      </c>
    </row>
    <row r="242" spans="1:33" s="4" customFormat="1" ht="15.95" customHeight="1" x14ac:dyDescent="0.35">
      <c r="A242" s="8">
        <f>IFERROR(IF(A231=0,A234*11,A234&amp;A234),"-")</f>
        <v>55</v>
      </c>
      <c r="B242" s="7" t="str">
        <f t="shared" ca="1" si="71"/>
        <v/>
      </c>
      <c r="C242" s="7" t="str">
        <f t="shared" ca="1" si="72"/>
        <v/>
      </c>
      <c r="D242" s="55">
        <v>11</v>
      </c>
      <c r="E242" s="17">
        <f t="shared" si="73"/>
        <v>55</v>
      </c>
      <c r="F242" s="18" t="str">
        <f ca="1">IFERROR(IF(A231=0,HLOOKUP(E242,Declarations!$D$2:$S$102,B229,FALSE),HLOOKUP(VLOOKUP(E242,Teams!$V$2:$W$19,2,FALSE),Declarations!$D$2:$S$102,B229,FALSE)),"")</f>
        <v>-</v>
      </c>
      <c r="G242" s="18" t="str">
        <f t="shared" si="70"/>
        <v>Scun</v>
      </c>
      <c r="H242" s="524">
        <f ca="1">IFERROR(INDIRECT(CONCATENATE("'Distance Input'!"&amp;B230&amp;C230+10)),"")</f>
        <v>0</v>
      </c>
      <c r="I242" s="525"/>
      <c r="J242" s="524">
        <v>0</v>
      </c>
      <c r="K242" s="525"/>
      <c r="L242" s="524">
        <v>0</v>
      </c>
      <c r="M242" s="525"/>
      <c r="N242" s="539">
        <f t="shared" ca="1" si="74"/>
        <v>0</v>
      </c>
      <c r="O242" s="540"/>
      <c r="P242" s="55">
        <v>0</v>
      </c>
      <c r="Q242" s="541">
        <v>0</v>
      </c>
      <c r="R242" s="541"/>
      <c r="S242" s="541">
        <v>0</v>
      </c>
      <c r="T242" s="541"/>
      <c r="U242" s="541">
        <v>0</v>
      </c>
      <c r="V242" s="541"/>
      <c r="W242" s="524">
        <f t="shared" ca="1" si="75"/>
        <v>0</v>
      </c>
      <c r="X242" s="525"/>
      <c r="Y242" s="55">
        <f ca="1">IF(OR(W242="",W242=0),0,IF(W242="X",MatchDay!$U$2+MatchDay!$U$2+1-COUNTIF(Distance!W232:W242,"X"),RANK(W242,$W232:$X247,0)))</f>
        <v>0</v>
      </c>
      <c r="Z242" s="19">
        <f ca="1">IFERROR(IF(Y242=0,0,IF(VLOOKUP(AG242,E232:Y239,21,FALSE)=0,"A",IF(Y242&gt;=VLOOKUP(AG242,E232:Y239,21,FALSE),"B","A"))),"")</f>
        <v>0</v>
      </c>
      <c r="AA242" s="19" t="str">
        <f ca="1">IFERROR(IF(Z242="B","",RANK(AD242,AD232:AD247,1)),"")</f>
        <v/>
      </c>
      <c r="AB242" s="19" t="str">
        <f ca="1">IFERROR(IF(Z242="A","",RANK(AE242,AE232:AE247,1)),"")</f>
        <v/>
      </c>
      <c r="AD242" s="9" t="str">
        <f t="shared" ca="1" si="76"/>
        <v/>
      </c>
      <c r="AE242" s="9" t="str">
        <f t="shared" ca="1" si="77"/>
        <v/>
      </c>
      <c r="AF242" s="9" t="s">
        <v>179</v>
      </c>
      <c r="AG242" s="4">
        <f>IFERROR(IF(A231=0,E242/11,LEFT(E242,1)),"")</f>
        <v>5</v>
      </c>
    </row>
    <row r="243" spans="1:33" s="4" customFormat="1" ht="15.95" customHeight="1" x14ac:dyDescent="0.35">
      <c r="A243" s="8">
        <f>IFERROR(IF(A231=0,A235*11,A235&amp;A235),"-")</f>
        <v>11</v>
      </c>
      <c r="B243" s="7" t="str">
        <f t="shared" ca="1" si="71"/>
        <v/>
      </c>
      <c r="C243" s="7">
        <f t="shared" ca="1" si="72"/>
        <v>2</v>
      </c>
      <c r="D243" s="55">
        <v>12</v>
      </c>
      <c r="E243" s="17">
        <f t="shared" si="73"/>
        <v>11</v>
      </c>
      <c r="F243" s="18" t="str">
        <f ca="1">IFERROR(IF(A231=0,HLOOKUP(E243,Declarations!$D$2:$S$102,B229,FALSE),HLOOKUP(VLOOKUP(E243,Teams!$V$2:$W$19,2,FALSE),Declarations!$D$2:$S$102,B229,FALSE)),"")</f>
        <v>KIRKWOOD Eva</v>
      </c>
      <c r="G243" s="18" t="str">
        <f t="shared" si="70"/>
        <v>C'field</v>
      </c>
      <c r="H243" s="524">
        <f ca="1">IFERROR(INDIRECT(CONCATENATE("'Distance Input'!"&amp;B230&amp;C230+11)),"")</f>
        <v>18.78</v>
      </c>
      <c r="I243" s="525"/>
      <c r="J243" s="524">
        <v>0</v>
      </c>
      <c r="K243" s="525"/>
      <c r="L243" s="524">
        <v>0</v>
      </c>
      <c r="M243" s="525"/>
      <c r="N243" s="539">
        <f t="shared" ca="1" si="74"/>
        <v>18.78</v>
      </c>
      <c r="O243" s="540"/>
      <c r="P243" s="55">
        <v>0</v>
      </c>
      <c r="Q243" s="541">
        <v>0</v>
      </c>
      <c r="R243" s="541"/>
      <c r="S243" s="541">
        <v>0</v>
      </c>
      <c r="T243" s="541"/>
      <c r="U243" s="541">
        <v>0</v>
      </c>
      <c r="V243" s="541"/>
      <c r="W243" s="524">
        <f t="shared" ca="1" si="75"/>
        <v>18.78</v>
      </c>
      <c r="X243" s="525"/>
      <c r="Y243" s="55">
        <f ca="1">IF(OR(W243="",W243=0),0,IF(W243="X",MatchDay!$U$2+MatchDay!$U$2+1-COUNTIF(Distance!W232:W243,"X"),RANK(W243,$W232:$X247,0)))</f>
        <v>4</v>
      </c>
      <c r="Z243" s="19" t="str">
        <f ca="1">IFERROR(IF(Y243=0,0,IF(VLOOKUP(AG243,E232:Y239,21,FALSE)=0,"A",IF(Y243&gt;=VLOOKUP(AG243,E232:Y239,21,FALSE),"B","A"))),"")</f>
        <v>B</v>
      </c>
      <c r="AA243" s="19" t="str">
        <f ca="1">IFERROR(IF(Z243="B","",RANK(AD243,AD232:AD247,1)),"")</f>
        <v/>
      </c>
      <c r="AB243" s="19">
        <f ca="1">IFERROR(IF(Z243="A","",RANK(AE243,AE232:AE247,1)),"")</f>
        <v>2</v>
      </c>
      <c r="AD243" s="9" t="str">
        <f t="shared" ca="1" si="76"/>
        <v/>
      </c>
      <c r="AE243" s="9">
        <f t="shared" ca="1" si="77"/>
        <v>4</v>
      </c>
      <c r="AF243" s="9" t="s">
        <v>179</v>
      </c>
      <c r="AG243" s="4">
        <f>IFERROR(IF(A231=0,E243/11,LEFT(E243,1)),"")</f>
        <v>1</v>
      </c>
    </row>
    <row r="244" spans="1:33" s="4" customFormat="1" ht="15.95" customHeight="1" x14ac:dyDescent="0.35">
      <c r="A244" s="8">
        <f>IFERROR(IF(A231=0,A236*11,A236&amp;A236),"-")</f>
        <v>33</v>
      </c>
      <c r="B244" s="7">
        <f t="shared" ca="1" si="71"/>
        <v>4</v>
      </c>
      <c r="C244" s="7" t="str">
        <f t="shared" ca="1" si="72"/>
        <v/>
      </c>
      <c r="D244" s="55">
        <v>13</v>
      </c>
      <c r="E244" s="17">
        <f t="shared" si="73"/>
        <v>33</v>
      </c>
      <c r="F244" s="18" t="str">
        <f ca="1">IFERROR(IF(A231=0,HLOOKUP(E244,Declarations!$D$2:$S$102,B229,FALSE),HLOOKUP(VLOOKUP(E244,Teams!$V$2:$W$19,2,FALSE),Declarations!$D$2:$S$102,B229,FALSE)),"")</f>
        <v>HICKLING Rosie</v>
      </c>
      <c r="G244" s="18" t="str">
        <f t="shared" si="70"/>
        <v>York</v>
      </c>
      <c r="H244" s="524">
        <f ca="1">IFERROR(INDIRECT(CONCATENATE("'Distance Input'!"&amp;B230&amp;C230+12)),"")</f>
        <v>13.89</v>
      </c>
      <c r="I244" s="525"/>
      <c r="J244" s="524">
        <v>0</v>
      </c>
      <c r="K244" s="525"/>
      <c r="L244" s="524">
        <v>0</v>
      </c>
      <c r="M244" s="525"/>
      <c r="N244" s="539">
        <f t="shared" ca="1" si="74"/>
        <v>13.89</v>
      </c>
      <c r="O244" s="540"/>
      <c r="P244" s="55">
        <v>0</v>
      </c>
      <c r="Q244" s="541">
        <v>0</v>
      </c>
      <c r="R244" s="541"/>
      <c r="S244" s="541">
        <v>0</v>
      </c>
      <c r="T244" s="541"/>
      <c r="U244" s="541">
        <v>0</v>
      </c>
      <c r="V244" s="541"/>
      <c r="W244" s="524">
        <f t="shared" ca="1" si="75"/>
        <v>13.89</v>
      </c>
      <c r="X244" s="525"/>
      <c r="Y244" s="55">
        <f ca="1">IF(OR(W244="",W244=0),0,IF(W244="X",MatchDay!$U$2+MatchDay!$U$2+1-COUNTIF(Distance!W232:W244,"X"),RANK(W244,$W232:$X247,0)))</f>
        <v>7</v>
      </c>
      <c r="Z244" s="19" t="str">
        <f ca="1">IFERROR(IF(Y244=0,0,IF(VLOOKUP(AG244,E232:Y239,21,FALSE)=0,"A",IF(Y244&gt;=VLOOKUP(AG244,E232:Y239,21,FALSE),"B","A"))),"")</f>
        <v>A</v>
      </c>
      <c r="AA244" s="19">
        <f ca="1">IFERROR(IF(Z244="B","",RANK(AD244,AD232:AD247,1)),"")</f>
        <v>4</v>
      </c>
      <c r="AB244" s="19" t="str">
        <f ca="1">IFERROR(IF(Z244="A","",RANK(AE244,AE232:AE247,1)),"")</f>
        <v/>
      </c>
      <c r="AD244" s="9">
        <f t="shared" ca="1" si="76"/>
        <v>7</v>
      </c>
      <c r="AE244" s="9" t="str">
        <f t="shared" ca="1" si="77"/>
        <v/>
      </c>
      <c r="AF244" s="9" t="s">
        <v>179</v>
      </c>
      <c r="AG244" s="4">
        <f>IFERROR(IF(A231=0,E244/11,LEFT(E244,1)),"")</f>
        <v>3</v>
      </c>
    </row>
    <row r="245" spans="1:33" s="4" customFormat="1" ht="15.95" customHeight="1" x14ac:dyDescent="0.35">
      <c r="A245" s="8" t="str">
        <f>IFERROR(IF(A231=0,A237*11,A237&amp;A237),"-")</f>
        <v>-</v>
      </c>
      <c r="B245" s="7" t="str">
        <f t="shared" ca="1" si="71"/>
        <v/>
      </c>
      <c r="C245" s="7" t="str">
        <f t="shared" ca="1" si="72"/>
        <v/>
      </c>
      <c r="D245" s="55">
        <v>14</v>
      </c>
      <c r="E245" s="17" t="str">
        <f t="shared" si="73"/>
        <v>-</v>
      </c>
      <c r="F245" s="18" t="str">
        <f>IFERROR(IF(A231=0,HLOOKUP(E245,Declarations!$D$2:$S$102,B229,FALSE),HLOOKUP(VLOOKUP(E245,Teams!$V$2:$W$19,2,FALSE),Declarations!$D$2:$S$102,B229,FALSE)),"")</f>
        <v/>
      </c>
      <c r="G245" s="18" t="str">
        <f t="shared" si="70"/>
        <v/>
      </c>
      <c r="H245" s="524">
        <f ca="1">IFERROR(INDIRECT(CONCATENATE("'Distance Input'!"&amp;B230&amp;C230+13)),"")</f>
        <v>0</v>
      </c>
      <c r="I245" s="525"/>
      <c r="J245" s="524">
        <v>0</v>
      </c>
      <c r="K245" s="525"/>
      <c r="L245" s="524">
        <v>0</v>
      </c>
      <c r="M245" s="525"/>
      <c r="N245" s="539">
        <f t="shared" ca="1" si="74"/>
        <v>0</v>
      </c>
      <c r="O245" s="540"/>
      <c r="P245" s="55">
        <v>0</v>
      </c>
      <c r="Q245" s="541">
        <v>0</v>
      </c>
      <c r="R245" s="541"/>
      <c r="S245" s="541">
        <v>0</v>
      </c>
      <c r="T245" s="541"/>
      <c r="U245" s="541">
        <v>0</v>
      </c>
      <c r="V245" s="541"/>
      <c r="W245" s="524">
        <f t="shared" ca="1" si="75"/>
        <v>0</v>
      </c>
      <c r="X245" s="525"/>
      <c r="Y245" s="55">
        <f ca="1">IF(OR(W245="",W245=0),0,IF(W245="X",MatchDay!$U$2+MatchDay!$U$2+1-COUNTIF(Distance!W232:W245,"X"),RANK(W245,$W232:$X247,0)))</f>
        <v>0</v>
      </c>
      <c r="Z245" s="19">
        <f ca="1">IFERROR(IF(Y245=0,0,IF(VLOOKUP(AG245,E232:Y239,21,FALSE)=0,"A",IF(Y245&gt;=VLOOKUP(AG245,E232:Y239,21,FALSE),"B","A"))),"")</f>
        <v>0</v>
      </c>
      <c r="AA245" s="19" t="str">
        <f ca="1">IFERROR(IF(Z245="B","",RANK(AD245,AD232:AD247,1)),"")</f>
        <v/>
      </c>
      <c r="AB245" s="19" t="str">
        <f ca="1">IFERROR(IF(Z245="A","",RANK(AE245,AE232:AE247,1)),"")</f>
        <v/>
      </c>
      <c r="AD245" s="9" t="str">
        <f t="shared" ca="1" si="76"/>
        <v/>
      </c>
      <c r="AE245" s="9" t="str">
        <f t="shared" ca="1" si="77"/>
        <v/>
      </c>
      <c r="AF245" s="9" t="s">
        <v>179</v>
      </c>
      <c r="AG245" s="4" t="str">
        <f>IFERROR(IF(A231=0,E245/11,LEFT(E245,1)),"")</f>
        <v/>
      </c>
    </row>
    <row r="246" spans="1:33" s="4" customFormat="1" ht="15.95" customHeight="1" x14ac:dyDescent="0.35">
      <c r="A246" s="8" t="str">
        <f>IFERROR(IF(A231=0,A238*11,A238&amp;A238),"-")</f>
        <v>-</v>
      </c>
      <c r="B246" s="7" t="str">
        <f t="shared" ca="1" si="71"/>
        <v/>
      </c>
      <c r="C246" s="7" t="str">
        <f t="shared" ca="1" si="72"/>
        <v/>
      </c>
      <c r="D246" s="55">
        <v>15</v>
      </c>
      <c r="E246" s="17" t="str">
        <f t="shared" si="73"/>
        <v>-</v>
      </c>
      <c r="F246" s="18" t="str">
        <f>IFERROR(IF(A231=0,HLOOKUP(E246,Declarations!$D$2:$S$102,B229,FALSE),HLOOKUP(VLOOKUP(E246,Teams!$V$2:$W$19,2,FALSE),Declarations!$D$2:$S$102,B229,FALSE)),"")</f>
        <v/>
      </c>
      <c r="G246" s="18" t="str">
        <f t="shared" si="70"/>
        <v/>
      </c>
      <c r="H246" s="524">
        <f ca="1">IFERROR(INDIRECT(CONCATENATE("'Distance Input'!"&amp;B230&amp;C230+14)),"")</f>
        <v>0</v>
      </c>
      <c r="I246" s="525"/>
      <c r="J246" s="524">
        <v>0</v>
      </c>
      <c r="K246" s="525"/>
      <c r="L246" s="524">
        <v>0</v>
      </c>
      <c r="M246" s="525"/>
      <c r="N246" s="539">
        <f t="shared" ca="1" si="74"/>
        <v>0</v>
      </c>
      <c r="O246" s="540"/>
      <c r="P246" s="55">
        <v>0</v>
      </c>
      <c r="Q246" s="541">
        <v>0</v>
      </c>
      <c r="R246" s="541"/>
      <c r="S246" s="541">
        <v>0</v>
      </c>
      <c r="T246" s="541"/>
      <c r="U246" s="541">
        <v>0</v>
      </c>
      <c r="V246" s="541"/>
      <c r="W246" s="524">
        <f t="shared" ca="1" si="75"/>
        <v>0</v>
      </c>
      <c r="X246" s="525"/>
      <c r="Y246" s="55">
        <f ca="1">IF(OR(W246="",W246=0),0,IF(W246="X",MatchDay!$U$2+MatchDay!$U$2+1-COUNTIF(Distance!W232:W246,"X"),RANK(W246,$W232:$X247,0)))</f>
        <v>0</v>
      </c>
      <c r="Z246" s="19">
        <f ca="1">IFERROR(IF(Y246=0,0,IF(VLOOKUP(AG246,E232:Y239,21,FALSE)=0,"A",IF(Y246&gt;=VLOOKUP(AG246,E232:Y239,21,FALSE),"B","A"))),"")</f>
        <v>0</v>
      </c>
      <c r="AA246" s="19" t="str">
        <f ca="1">IFERROR(IF(Z246="B","",RANK(AD246,AD232:AD247,1)),"")</f>
        <v/>
      </c>
      <c r="AB246" s="19" t="str">
        <f ca="1">IFERROR(IF(Z246="A","",RANK(AE246,AE232:AE247,1)),"")</f>
        <v/>
      </c>
      <c r="AD246" s="9" t="str">
        <f t="shared" ca="1" si="76"/>
        <v/>
      </c>
      <c r="AE246" s="9" t="str">
        <f t="shared" ca="1" si="77"/>
        <v/>
      </c>
      <c r="AF246" s="9" t="s">
        <v>179</v>
      </c>
      <c r="AG246" s="4" t="str">
        <f>IFERROR(IF(A231=0,E246/11,LEFT(E246,1)),"")</f>
        <v/>
      </c>
    </row>
    <row r="247" spans="1:33" s="4" customFormat="1" ht="15.95" customHeight="1" x14ac:dyDescent="0.35">
      <c r="A247" s="8" t="str">
        <f>IFERROR(IF(A231=0,A239*11,A239&amp;A239),"-")</f>
        <v>-</v>
      </c>
      <c r="B247" s="7" t="str">
        <f t="shared" ca="1" si="71"/>
        <v/>
      </c>
      <c r="C247" s="7" t="str">
        <f t="shared" ca="1" si="72"/>
        <v/>
      </c>
      <c r="D247" s="55">
        <v>16</v>
      </c>
      <c r="E247" s="17" t="str">
        <f t="shared" si="73"/>
        <v>-</v>
      </c>
      <c r="F247" s="18" t="str">
        <f>IFERROR(IF(A231=0,HLOOKUP(E247,Declarations!$D$2:$S$102,B229,FALSE),HLOOKUP(VLOOKUP(E247,Teams!$V$2:$W$19,2,FALSE),Declarations!$D$2:$S$102,B229,FALSE)),"")</f>
        <v/>
      </c>
      <c r="G247" s="18" t="str">
        <f t="shared" si="70"/>
        <v/>
      </c>
      <c r="H247" s="524">
        <f ca="1">IFERROR(INDIRECT(CONCATENATE("'Distance Input'!"&amp;B230&amp;C230+15)),"")</f>
        <v>0</v>
      </c>
      <c r="I247" s="525"/>
      <c r="J247" s="524">
        <v>0</v>
      </c>
      <c r="K247" s="525"/>
      <c r="L247" s="524">
        <v>0</v>
      </c>
      <c r="M247" s="525"/>
      <c r="N247" s="539">
        <f t="shared" ca="1" si="74"/>
        <v>0</v>
      </c>
      <c r="O247" s="540"/>
      <c r="P247" s="55">
        <v>0</v>
      </c>
      <c r="Q247" s="541">
        <v>0</v>
      </c>
      <c r="R247" s="541"/>
      <c r="S247" s="541">
        <v>0</v>
      </c>
      <c r="T247" s="541"/>
      <c r="U247" s="541">
        <v>0</v>
      </c>
      <c r="V247" s="541"/>
      <c r="W247" s="524">
        <f t="shared" ca="1" si="75"/>
        <v>0</v>
      </c>
      <c r="X247" s="525"/>
      <c r="Y247" s="55">
        <f ca="1">IF(OR(W247="",W247=0),0,IF(W247="X",MatchDay!$U$2+MatchDay!$U$2+1-COUNTIF(Distance!W232:W247,"X"),RANK(W247,$W232:$X247,0)))</f>
        <v>0</v>
      </c>
      <c r="Z247" s="19">
        <f ca="1">IFERROR(IF(Y247=0,0,IF(VLOOKUP(AG247,E232:Y239,21,FALSE)=0,"A",IF(Y247&gt;=VLOOKUP(AG247,E232:Y239,21,FALSE),"B","A"))),"")</f>
        <v>0</v>
      </c>
      <c r="AA247" s="19" t="str">
        <f ca="1">IFERROR(IF(Z247="B","",RANK(AD247,AD232:AD247,1)),"")</f>
        <v/>
      </c>
      <c r="AB247" s="19" t="str">
        <f ca="1">IFERROR(IF(Z247="A","",RANK(AE247,AE232:AE247,1)),"")</f>
        <v/>
      </c>
      <c r="AD247" s="9" t="str">
        <f t="shared" ca="1" si="76"/>
        <v/>
      </c>
      <c r="AE247" s="9" t="str">
        <f t="shared" ca="1" si="77"/>
        <v/>
      </c>
      <c r="AF247" s="9" t="s">
        <v>179</v>
      </c>
      <c r="AG247" s="4" t="str">
        <f>IFERROR(IF(A231=0,E247/11,LEFT(E247,1)),"")</f>
        <v/>
      </c>
    </row>
    <row r="248" spans="1:33" s="4" customFormat="1" ht="11.65" x14ac:dyDescent="0.45">
      <c r="A248" s="8"/>
      <c r="B248" s="10"/>
      <c r="C248" s="3"/>
      <c r="D248" s="20"/>
      <c r="E248" s="20"/>
      <c r="F248" s="21"/>
      <c r="G248" s="21"/>
      <c r="H248" s="20"/>
      <c r="I248" s="20"/>
      <c r="J248" s="20"/>
      <c r="K248" s="20"/>
      <c r="L248" s="20"/>
      <c r="M248" s="20"/>
      <c r="N248" s="20"/>
      <c r="O248" s="20"/>
      <c r="P248" s="20"/>
      <c r="Q248" s="20"/>
      <c r="R248" s="20"/>
      <c r="S248" s="20"/>
      <c r="T248" s="20"/>
      <c r="U248" s="20"/>
      <c r="V248" s="20"/>
      <c r="W248" s="20"/>
      <c r="X248" s="20"/>
      <c r="Y248" s="20"/>
      <c r="Z248" s="20"/>
      <c r="AA248" s="20"/>
      <c r="AB248" s="22"/>
    </row>
    <row r="249" spans="1:33" s="4" customFormat="1" ht="11.65" x14ac:dyDescent="0.45">
      <c r="A249" s="8"/>
      <c r="B249" s="10"/>
      <c r="C249" s="3"/>
      <c r="D249" s="533" t="s">
        <v>180</v>
      </c>
      <c r="E249" s="547"/>
      <c r="F249" s="547"/>
      <c r="G249" s="547"/>
      <c r="H249" s="547"/>
      <c r="I249" s="547"/>
      <c r="J249" s="512" t="s">
        <v>181</v>
      </c>
      <c r="K249" s="548"/>
      <c r="L249" s="548"/>
      <c r="M249" s="548"/>
      <c r="N249" s="548"/>
      <c r="O249" s="548"/>
      <c r="P249" s="548"/>
      <c r="Q249" s="548"/>
      <c r="R249" s="548"/>
      <c r="S249" s="548"/>
      <c r="T249" s="548"/>
      <c r="U249" s="549"/>
      <c r="V249" s="512" t="s">
        <v>182</v>
      </c>
      <c r="W249" s="513"/>
      <c r="X249" s="513"/>
      <c r="Y249" s="513"/>
      <c r="Z249" s="513"/>
      <c r="AA249" s="513"/>
      <c r="AB249" s="514"/>
    </row>
    <row r="250" spans="1:33" s="4" customFormat="1" ht="11.65" x14ac:dyDescent="0.45">
      <c r="A250" s="8" t="s">
        <v>55</v>
      </c>
      <c r="B250" s="10"/>
      <c r="C250" s="3"/>
      <c r="D250" s="12"/>
      <c r="E250" s="55" t="s">
        <v>183</v>
      </c>
      <c r="F250" s="55" t="s">
        <v>165</v>
      </c>
      <c r="G250" s="55" t="s">
        <v>166</v>
      </c>
      <c r="H250" s="533" t="s">
        <v>184</v>
      </c>
      <c r="I250" s="533"/>
      <c r="J250" s="23"/>
      <c r="K250" s="54" t="s">
        <v>183</v>
      </c>
      <c r="L250" s="512" t="s">
        <v>165</v>
      </c>
      <c r="M250" s="513"/>
      <c r="N250" s="513"/>
      <c r="O250" s="514"/>
      <c r="P250" s="512" t="s">
        <v>166</v>
      </c>
      <c r="Q250" s="513"/>
      <c r="R250" s="513"/>
      <c r="S250" s="514"/>
      <c r="T250" s="512" t="s">
        <v>184</v>
      </c>
      <c r="U250" s="514"/>
      <c r="V250" s="24"/>
      <c r="W250" s="25"/>
      <c r="X250" s="25"/>
      <c r="Y250" s="25"/>
      <c r="Z250" s="25"/>
      <c r="AA250" s="25"/>
      <c r="AB250" s="26"/>
    </row>
    <row r="251" spans="1:33" s="4" customFormat="1" ht="15.95" customHeight="1" x14ac:dyDescent="0.45">
      <c r="A251" s="11">
        <f>IFERROR(VLOOKUP(A228,standards,3,FALSE),"-")</f>
        <v>32.85</v>
      </c>
      <c r="B251" s="10">
        <v>1</v>
      </c>
      <c r="C251" s="3"/>
      <c r="D251" s="55">
        <v>1</v>
      </c>
      <c r="E251" s="19">
        <f ca="1">IFERROR(IF(OR(H232=98,H232=99),H232,VLOOKUP(B251,B232:E247,4,FALSE)),0)</f>
        <v>2</v>
      </c>
      <c r="F251" s="27" t="str">
        <f ca="1">IFERROR(VLOOKUP(E251,$E232:$F247,2,FALSE),"")</f>
        <v>PADDON Freya</v>
      </c>
      <c r="G251" s="18" t="str">
        <f t="shared" ref="G251:G258" ca="1" si="78">IFERROR(VLOOKUP(E251,teamlookup,5,FALSE),"-")</f>
        <v>Sheff+D</v>
      </c>
      <c r="H251" s="542">
        <f ca="1">IFERROR(VLOOKUP(E251,E232:X247,19,FALSE),"")</f>
        <v>24.29</v>
      </c>
      <c r="I251" s="543"/>
      <c r="J251" s="55">
        <v>1</v>
      </c>
      <c r="K251" s="55">
        <f ca="1">IFERROR(VLOOKUP(B251,C232:X247,3,FALSE),"")</f>
        <v>22</v>
      </c>
      <c r="L251" s="544" t="str">
        <f ca="1">IFERROR(VLOOKUP(K251,$E232:$F247,2,FALSE),"")</f>
        <v>PADDON Olivia</v>
      </c>
      <c r="M251" s="545"/>
      <c r="N251" s="545"/>
      <c r="O251" s="546"/>
      <c r="P251" s="544" t="str">
        <f t="shared" ref="P251:P258" ca="1" si="79">IFERROR(VLOOKUP(K251,teamlookup,5,FALSE),"-")</f>
        <v>Sheff+D</v>
      </c>
      <c r="Q251" s="545"/>
      <c r="R251" s="545"/>
      <c r="S251" s="546"/>
      <c r="T251" s="524">
        <f ca="1">IFERROR(VLOOKUP(K251,E232:X247,19,FALSE),"")</f>
        <v>21.25</v>
      </c>
      <c r="U251" s="525"/>
      <c r="V251" s="28"/>
      <c r="W251" s="29"/>
      <c r="X251" s="29"/>
      <c r="Y251" s="29"/>
      <c r="Z251" s="29"/>
      <c r="AA251" s="29"/>
      <c r="AB251" s="30"/>
    </row>
    <row r="252" spans="1:33" s="4" customFormat="1" ht="15.95" customHeight="1" x14ac:dyDescent="0.45">
      <c r="A252" s="11">
        <f>IFERROR(VLOOKUP(A228,standards,4,FALSE),"-")</f>
        <v>29.9</v>
      </c>
      <c r="B252" s="10">
        <v>2</v>
      </c>
      <c r="C252" s="3"/>
      <c r="D252" s="55">
        <v>2</v>
      </c>
      <c r="E252" s="19">
        <f ca="1">IFERROR(VLOOKUP(B252,B232:E247,4,FALSE),"")</f>
        <v>1</v>
      </c>
      <c r="F252" s="27" t="str">
        <f ca="1">IFERROR(VLOOKUP(E252,$E232:$F247,2,FALSE),"")</f>
        <v>BAINES Lily</v>
      </c>
      <c r="G252" s="18" t="str">
        <f t="shared" ca="1" si="78"/>
        <v>C'field</v>
      </c>
      <c r="H252" s="542">
        <f ca="1">IFERROR(VLOOKUP(E252,E232:X247,19,FALSE),"")</f>
        <v>23.48</v>
      </c>
      <c r="I252" s="543"/>
      <c r="J252" s="55">
        <v>2</v>
      </c>
      <c r="K252" s="55">
        <f ca="1">IFERROR(VLOOKUP(B252,C232:X247,3,FALSE),"")</f>
        <v>11</v>
      </c>
      <c r="L252" s="544" t="str">
        <f ca="1">IFERROR(VLOOKUP(K252,$E232:$F247,2,FALSE),"")</f>
        <v>KIRKWOOD Eva</v>
      </c>
      <c r="M252" s="545"/>
      <c r="N252" s="545"/>
      <c r="O252" s="546"/>
      <c r="P252" s="544" t="str">
        <f t="shared" ca="1" si="79"/>
        <v>C'field</v>
      </c>
      <c r="Q252" s="545"/>
      <c r="R252" s="545"/>
      <c r="S252" s="546"/>
      <c r="T252" s="524">
        <f ca="1">IFERROR(VLOOKUP(K252,E232:X247,19,FALSE),"")</f>
        <v>18.78</v>
      </c>
      <c r="U252" s="525"/>
      <c r="V252" s="24"/>
      <c r="W252" s="25"/>
      <c r="X252" s="25"/>
      <c r="Y252" s="25"/>
      <c r="Z252" s="25"/>
      <c r="AA252" s="25"/>
      <c r="AB252" s="26"/>
    </row>
    <row r="253" spans="1:33" s="4" customFormat="1" ht="15.95" customHeight="1" x14ac:dyDescent="0.45">
      <c r="A253" s="11">
        <f>IFERROR(VLOOKUP(A228,standards,5,FALSE),"-")</f>
        <v>26.75</v>
      </c>
      <c r="B253" s="10">
        <v>3</v>
      </c>
      <c r="C253" s="3"/>
      <c r="D253" s="55">
        <v>3</v>
      </c>
      <c r="E253" s="19">
        <f ca="1">IFERROR(VLOOKUP(B253,B232:E247,4,FALSE),"")</f>
        <v>4</v>
      </c>
      <c r="F253" s="27" t="str">
        <f ca="1">IFERROR(VLOOKUP(E253,$E232:$F247,2,FALSE),"")</f>
        <v>DORAN Bethany</v>
      </c>
      <c r="G253" s="18" t="str">
        <f t="shared" ca="1" si="78"/>
        <v>M'bro</v>
      </c>
      <c r="H253" s="542">
        <f ca="1">IFERROR(VLOOKUP(E253,E232:X247,19,FALSE),"")</f>
        <v>17.09</v>
      </c>
      <c r="I253" s="543"/>
      <c r="J253" s="55">
        <v>3</v>
      </c>
      <c r="K253" s="55">
        <f ca="1">IFERROR(VLOOKUP(B253,C232:X247,3,FALSE),"")</f>
        <v>44</v>
      </c>
      <c r="L253" s="544" t="str">
        <f ca="1">IFERROR(VLOOKUP(K253,$E232:$F247,2,FALSE),"")</f>
        <v>SULLOCK Amy</v>
      </c>
      <c r="M253" s="545"/>
      <c r="N253" s="545"/>
      <c r="O253" s="546"/>
      <c r="P253" s="544" t="str">
        <f t="shared" ca="1" si="79"/>
        <v>M'bro</v>
      </c>
      <c r="Q253" s="545"/>
      <c r="R253" s="545"/>
      <c r="S253" s="546"/>
      <c r="T253" s="524">
        <f ca="1">IFERROR(VLOOKUP(K253,E232:X247,19,FALSE),"")</f>
        <v>16.690000000000001</v>
      </c>
      <c r="U253" s="525"/>
      <c r="V253" s="28"/>
      <c r="W253" s="29"/>
      <c r="X253" s="29"/>
      <c r="Y253" s="29"/>
      <c r="Z253" s="29"/>
      <c r="AA253" s="29"/>
      <c r="AB253" s="30"/>
    </row>
    <row r="254" spans="1:33" s="4" customFormat="1" ht="15.95" customHeight="1" x14ac:dyDescent="0.45">
      <c r="A254" s="11">
        <f>IFERROR(VLOOKUP(A228,AAA!A:F,6,FALSE),"-")</f>
        <v>22.5</v>
      </c>
      <c r="B254" s="10">
        <v>4</v>
      </c>
      <c r="C254" s="3"/>
      <c r="D254" s="55">
        <v>4</v>
      </c>
      <c r="E254" s="19">
        <f ca="1">IFERROR(VLOOKUP(B254,B232:E247,4,FALSE),"")</f>
        <v>33</v>
      </c>
      <c r="F254" s="27" t="str">
        <f ca="1">IFERROR(VLOOKUP(E254,$E232:$F247,2,FALSE),"")</f>
        <v>HICKLING Rosie</v>
      </c>
      <c r="G254" s="18" t="str">
        <f t="shared" ca="1" si="78"/>
        <v>York</v>
      </c>
      <c r="H254" s="542">
        <f ca="1">IFERROR(VLOOKUP(E254,E232:X247,19,FALSE),"")</f>
        <v>13.89</v>
      </c>
      <c r="I254" s="543"/>
      <c r="J254" s="55">
        <v>4</v>
      </c>
      <c r="K254" s="55">
        <f ca="1">IFERROR(VLOOKUP(B254,C232:X247,3,FALSE),"")</f>
        <v>3</v>
      </c>
      <c r="L254" s="544" t="str">
        <f ca="1">IFERROR(VLOOKUP(K254,$E232:$F247,2,FALSE),"")</f>
        <v>CROSBY Alice</v>
      </c>
      <c r="M254" s="545"/>
      <c r="N254" s="545"/>
      <c r="O254" s="546"/>
      <c r="P254" s="544" t="str">
        <f t="shared" ca="1" si="79"/>
        <v>York</v>
      </c>
      <c r="Q254" s="545"/>
      <c r="R254" s="545"/>
      <c r="S254" s="546"/>
      <c r="T254" s="524">
        <f ca="1">IFERROR(VLOOKUP(K254,E232:X247,19,FALSE),"")</f>
        <v>13.19</v>
      </c>
      <c r="U254" s="525"/>
      <c r="V254" s="24"/>
      <c r="W254" s="25"/>
      <c r="X254" s="25"/>
      <c r="Y254" s="25"/>
      <c r="Z254" s="25"/>
      <c r="AA254" s="25"/>
      <c r="AB254" s="26"/>
    </row>
    <row r="255" spans="1:33" s="4" customFormat="1" ht="15.95" customHeight="1" x14ac:dyDescent="0.45">
      <c r="A255" s="8"/>
      <c r="B255" s="10">
        <v>5</v>
      </c>
      <c r="C255" s="3"/>
      <c r="D255" s="55">
        <v>5</v>
      </c>
      <c r="E255" s="19">
        <f ca="1">IFERROR(VLOOKUP(B255,B232:E247,4,FALSE),"")</f>
        <v>5</v>
      </c>
      <c r="F255" s="27" t="str">
        <f ca="1">IFERROR(VLOOKUP(E255,$E232:$F247,2,FALSE),"")</f>
        <v>BETTS Demi</v>
      </c>
      <c r="G255" s="18" t="str">
        <f t="shared" ca="1" si="78"/>
        <v>Scun</v>
      </c>
      <c r="H255" s="542">
        <f ca="1">IFERROR(VLOOKUP(E255,E232:X247,19,FALSE),"")</f>
        <v>13.24</v>
      </c>
      <c r="I255" s="543"/>
      <c r="J255" s="55">
        <v>5</v>
      </c>
      <c r="K255" s="55" t="str">
        <f ca="1">IFERROR(VLOOKUP(B255,C232:X247,3,FALSE),"")</f>
        <v/>
      </c>
      <c r="L255" s="544" t="str">
        <f ca="1">IFERROR(VLOOKUP(K255,$E232:$F247,2,FALSE),"")</f>
        <v/>
      </c>
      <c r="M255" s="545"/>
      <c r="N255" s="545"/>
      <c r="O255" s="546"/>
      <c r="P255" s="544" t="str">
        <f t="shared" ca="1" si="79"/>
        <v>-</v>
      </c>
      <c r="Q255" s="545"/>
      <c r="R255" s="545"/>
      <c r="S255" s="546"/>
      <c r="T255" s="524" t="str">
        <f ca="1">IFERROR(VLOOKUP(K255,E232:X247,19,FALSE),"")</f>
        <v/>
      </c>
      <c r="U255" s="525"/>
      <c r="V255" s="28"/>
      <c r="W255" s="29"/>
      <c r="X255" s="29"/>
      <c r="Y255" s="29"/>
      <c r="Z255" s="29"/>
      <c r="AA255" s="29"/>
      <c r="AB255" s="30"/>
    </row>
    <row r="256" spans="1:33" s="4" customFormat="1" ht="15.95" customHeight="1" x14ac:dyDescent="0.45">
      <c r="A256" s="8" t="s">
        <v>204</v>
      </c>
      <c r="B256" s="10">
        <v>6</v>
      </c>
      <c r="C256" s="3"/>
      <c r="D256" s="55">
        <v>6</v>
      </c>
      <c r="E256" s="19" t="str">
        <f ca="1">IFERROR(VLOOKUP(B256,B232:E247,4,FALSE),"")</f>
        <v/>
      </c>
      <c r="F256" s="27" t="str">
        <f ca="1">IFERROR(VLOOKUP(E256,$E232:$F247,2,FALSE),"")</f>
        <v/>
      </c>
      <c r="G256" s="18" t="str">
        <f t="shared" ca="1" si="78"/>
        <v>-</v>
      </c>
      <c r="H256" s="542" t="str">
        <f ca="1">IFERROR(VLOOKUP(E256,E232:X247,19,FALSE),"")</f>
        <v/>
      </c>
      <c r="I256" s="543"/>
      <c r="J256" s="55">
        <v>6</v>
      </c>
      <c r="K256" s="55" t="str">
        <f ca="1">IFERROR(VLOOKUP(B256,C232:X247,3,FALSE),"")</f>
        <v/>
      </c>
      <c r="L256" s="544" t="str">
        <f ca="1">IFERROR(VLOOKUP(K256,$E232:$F247,2,FALSE),"")</f>
        <v/>
      </c>
      <c r="M256" s="545"/>
      <c r="N256" s="545"/>
      <c r="O256" s="546"/>
      <c r="P256" s="544" t="str">
        <f t="shared" ca="1" si="79"/>
        <v>-</v>
      </c>
      <c r="Q256" s="545"/>
      <c r="R256" s="545"/>
      <c r="S256" s="546"/>
      <c r="T256" s="524" t="str">
        <f ca="1">IFERROR(VLOOKUP(K256,E232:X247,19,FALSE),"")</f>
        <v/>
      </c>
      <c r="U256" s="525"/>
      <c r="V256" s="512" t="s">
        <v>185</v>
      </c>
      <c r="W256" s="513"/>
      <c r="X256" s="513"/>
      <c r="Y256" s="513"/>
      <c r="Z256" s="513"/>
      <c r="AA256" s="513"/>
      <c r="AB256" s="514"/>
    </row>
    <row r="257" spans="1:33" s="4" customFormat="1" ht="15.95" customHeight="1" x14ac:dyDescent="0.45">
      <c r="A257" s="8">
        <f>IFERROR(VLOOKUP(A228,records,5,FALSE),"")</f>
        <v>45.76</v>
      </c>
      <c r="B257" s="10">
        <v>7</v>
      </c>
      <c r="C257" s="3"/>
      <c r="D257" s="55">
        <v>7</v>
      </c>
      <c r="E257" s="19" t="str">
        <f ca="1">IFERROR(VLOOKUP(B257,B232:E247,4,FALSE),"")</f>
        <v/>
      </c>
      <c r="F257" s="27" t="str">
        <f ca="1">IFERROR(VLOOKUP(E257,$E232:$F247,2,FALSE),"")</f>
        <v/>
      </c>
      <c r="G257" s="18" t="str">
        <f t="shared" ca="1" si="78"/>
        <v>-</v>
      </c>
      <c r="H257" s="542" t="str">
        <f ca="1">IFERROR(VLOOKUP(E257,E232:X247,19,FALSE),"")</f>
        <v/>
      </c>
      <c r="I257" s="543"/>
      <c r="J257" s="55">
        <v>7</v>
      </c>
      <c r="K257" s="55" t="str">
        <f ca="1">IFERROR(VLOOKUP(B257,C232:X247,3,FALSE),"")</f>
        <v/>
      </c>
      <c r="L257" s="544" t="str">
        <f ca="1">IFERROR(VLOOKUP(K257,$E232:$F247,2,FALSE),"")</f>
        <v/>
      </c>
      <c r="M257" s="545"/>
      <c r="N257" s="545"/>
      <c r="O257" s="546"/>
      <c r="P257" s="544" t="str">
        <f t="shared" ca="1" si="79"/>
        <v>-</v>
      </c>
      <c r="Q257" s="545"/>
      <c r="R257" s="545"/>
      <c r="S257" s="546"/>
      <c r="T257" s="524" t="str">
        <f ca="1">IFERROR(VLOOKUP(K257,E232:X247,19,FALSE),"")</f>
        <v/>
      </c>
      <c r="U257" s="525"/>
      <c r="V257" s="24"/>
      <c r="W257" s="25"/>
      <c r="X257" s="25"/>
      <c r="Y257" s="25"/>
      <c r="Z257" s="25"/>
      <c r="AA257" s="25"/>
      <c r="AB257" s="26"/>
    </row>
    <row r="258" spans="1:33" s="4" customFormat="1" ht="15.95" customHeight="1" x14ac:dyDescent="0.45">
      <c r="A258" s="8"/>
      <c r="B258" s="10">
        <v>8</v>
      </c>
      <c r="C258" s="3"/>
      <c r="D258" s="55">
        <v>8</v>
      </c>
      <c r="E258" s="19" t="str">
        <f ca="1">IFERROR(VLOOKUP(B258,B232:E247,4,FALSE),"")</f>
        <v/>
      </c>
      <c r="F258" s="27" t="str">
        <f ca="1">IFERROR(VLOOKUP(E258,$E232:$F247,2,FALSE),"")</f>
        <v/>
      </c>
      <c r="G258" s="18" t="str">
        <f t="shared" ca="1" si="78"/>
        <v>-</v>
      </c>
      <c r="H258" s="542" t="str">
        <f ca="1">IFERROR(VLOOKUP(E258,E232:X247,19,FALSE),"")</f>
        <v/>
      </c>
      <c r="I258" s="543"/>
      <c r="J258" s="55">
        <v>8</v>
      </c>
      <c r="K258" s="55" t="str">
        <f ca="1">IFERROR(VLOOKUP(B258,C232:X247,3,FALSE),"")</f>
        <v/>
      </c>
      <c r="L258" s="544" t="str">
        <f ca="1">IFERROR(VLOOKUP(K258,$E232:$F247,2,FALSE),"")</f>
        <v/>
      </c>
      <c r="M258" s="545"/>
      <c r="N258" s="545"/>
      <c r="O258" s="546"/>
      <c r="P258" s="544" t="str">
        <f t="shared" ca="1" si="79"/>
        <v>-</v>
      </c>
      <c r="Q258" s="545"/>
      <c r="R258" s="545"/>
      <c r="S258" s="546"/>
      <c r="T258" s="524" t="str">
        <f ca="1">IFERROR(VLOOKUP(K258,E232:X247,19,FALSE),"")</f>
        <v/>
      </c>
      <c r="U258" s="525"/>
      <c r="V258" s="28"/>
      <c r="W258" s="29"/>
      <c r="X258" s="29"/>
      <c r="Y258" s="29"/>
      <c r="Z258" s="29"/>
      <c r="AA258" s="29"/>
      <c r="AB258" s="30"/>
    </row>
    <row r="259" spans="1:33" s="4" customFormat="1" ht="21" x14ac:dyDescent="0.45">
      <c r="A259" s="2" t="str">
        <f>MatchDay!$U$6</f>
        <v>X</v>
      </c>
      <c r="B259" s="8"/>
      <c r="C259" s="3"/>
      <c r="D259" s="502" t="s">
        <v>186</v>
      </c>
      <c r="E259" s="503"/>
      <c r="F259" s="503"/>
      <c r="G259" s="503"/>
      <c r="H259" s="503"/>
      <c r="I259" s="503"/>
      <c r="J259" s="503"/>
      <c r="K259" s="515" t="s">
        <v>187</v>
      </c>
      <c r="L259" s="516"/>
      <c r="M259" s="516"/>
      <c r="N259" s="516"/>
      <c r="O259" s="518" t="str">
        <f>MatchDay!$C$2&amp;" "&amp;MatchDay!$C$3&amp;" "&amp;MatchDay!$C$4</f>
        <v>LOWER NORTH East 1</v>
      </c>
      <c r="P259" s="519"/>
      <c r="Q259" s="519"/>
      <c r="R259" s="519"/>
      <c r="S259" s="519"/>
      <c r="T259" s="519"/>
      <c r="U259" s="519"/>
      <c r="V259" s="519"/>
      <c r="W259" s="519"/>
      <c r="X259" s="519"/>
      <c r="Y259" s="519"/>
      <c r="Z259" s="519"/>
      <c r="AA259" s="519"/>
      <c r="AB259" s="520"/>
    </row>
    <row r="260" spans="1:33" s="4" customFormat="1" ht="15.75" customHeight="1" x14ac:dyDescent="0.45">
      <c r="A260" s="1" t="str">
        <f>IFERROR(IF(LEFT(MatchDay!$C$2,1)="L","L"&amp;A262,"U"&amp;A262),"")</f>
        <v>LFD09</v>
      </c>
      <c r="B260" s="10">
        <v>283</v>
      </c>
      <c r="C260" s="3"/>
      <c r="D260" s="512" t="s">
        <v>188</v>
      </c>
      <c r="E260" s="514"/>
      <c r="F260" s="513" t="str">
        <f>IFERROR(UPPER(VLOOKUP(A261,teamlookup,6,FALSE)),"")</f>
        <v/>
      </c>
      <c r="G260" s="514"/>
      <c r="H260" s="504" t="s">
        <v>201</v>
      </c>
      <c r="I260" s="510"/>
      <c r="J260" s="505"/>
      <c r="K260" s="512" t="str">
        <f>MatchDay!$C$8</f>
        <v>@ Doncaster</v>
      </c>
      <c r="L260" s="513"/>
      <c r="M260" s="513"/>
      <c r="N260" s="513"/>
      <c r="O260" s="513"/>
      <c r="P260" s="514"/>
      <c r="Q260" s="504" t="s">
        <v>160</v>
      </c>
      <c r="R260" s="505"/>
      <c r="S260" s="521">
        <f>MatchDay!$C$7</f>
        <v>43582</v>
      </c>
      <c r="T260" s="522"/>
      <c r="U260" s="522"/>
      <c r="V260" s="522"/>
      <c r="W260" s="522"/>
      <c r="X260" s="523"/>
      <c r="Y260" s="526" t="str">
        <f>IFERROR(IF(LEFT(A260,1)="L","",VLOOKUP(A260,AAA!$A:$I,8,FALSE)),"")</f>
        <v/>
      </c>
      <c r="Z260" s="527"/>
      <c r="AA260" s="524" t="str">
        <f>IFERROR(IF(LEFT(A260,1)="L","",VLOOKUP(A260,standards,9,FALSE)),"")</f>
        <v/>
      </c>
      <c r="AB260" s="525"/>
      <c r="AC260" s="6"/>
      <c r="AD260" s="6"/>
    </row>
    <row r="261" spans="1:33" s="4" customFormat="1" ht="15.75" customHeight="1" x14ac:dyDescent="0.45">
      <c r="A261" s="5">
        <f>IFERROR(IF(A259=1,VLOOKUP(A260,judges,VLOOKUP(MatchDay!$U$2*10+MatchDay!$C$5,judgesp,5,FALSE),FALSE),VLOOKUP(Distance!A260,judges,VLOOKUP(MatchDay!$U$2*10+MatchDay!$C$5,judges2,5,FALSE),FALSE)),"")</f>
        <v>0</v>
      </c>
      <c r="B261" s="181">
        <f>IFERROR(VLOOKUP(A260,Timetables!$A:$E,5,FALSE)-1,"")</f>
        <v>92</v>
      </c>
      <c r="C261" s="3"/>
      <c r="D261" s="504" t="s">
        <v>161</v>
      </c>
      <c r="E261" s="505"/>
      <c r="F261" s="508" t="str">
        <f>IFERROR(VLOOKUP(A260,timetables,2,FALSE)&amp;" "&amp;VLOOKUP(A260,timetables,3,FALSE),"")</f>
        <v>Shot U13 Boys</v>
      </c>
      <c r="G261" s="509"/>
      <c r="H261" s="504" t="s">
        <v>162</v>
      </c>
      <c r="I261" s="510"/>
      <c r="J261" s="505"/>
      <c r="K261" s="511">
        <f>IFERROR(IF(A259=1,VLOOKUP(A260,Timetables!$A:$G,6,FALSE),VLOOKUP(A260,Timetables!$A:$G,7,FALSE)),"")</f>
        <v>0.60416666666666663</v>
      </c>
      <c r="L261" s="511" t="e">
        <v>#N/A</v>
      </c>
      <c r="M261" s="504" t="s">
        <v>202</v>
      </c>
      <c r="N261" s="505"/>
      <c r="O261" s="506" t="str">
        <f>IFERROR(VLOOKUP(A260,records,3,FALSE)&amp;", "&amp;VLOOKUP(A260,records,4,FALSE)&amp;", "&amp;VLOOKUP(A260,records,5,FALSE)&amp;", "&amp;VLOOKUP(A260,records,6,FALSE)&amp;", "&amp;VLOOKUP(A260,records,7,FALSE)&amp;" "&amp;VLOOKUP(A260,records,8,FALSE),"")</f>
        <v>Sam Mace, Walton A.C., 12.35, Sutton, May 4th 2013</v>
      </c>
      <c r="P261" s="506"/>
      <c r="Q261" s="506"/>
      <c r="R261" s="506"/>
      <c r="S261" s="506"/>
      <c r="T261" s="506"/>
      <c r="U261" s="506"/>
      <c r="V261" s="506"/>
      <c r="W261" s="506"/>
      <c r="X261" s="506"/>
      <c r="Y261" s="506"/>
      <c r="Z261" s="506"/>
      <c r="AA261" s="506"/>
      <c r="AB261" s="507"/>
    </row>
    <row r="262" spans="1:33" s="4" customFormat="1" ht="32.1" customHeight="1" x14ac:dyDescent="0.45">
      <c r="A262" s="5" t="s">
        <v>265</v>
      </c>
      <c r="B262" s="10" t="str">
        <f>IFERROR(VLOOKUP($A262,fdistance,2,FALSE),"")</f>
        <v>F</v>
      </c>
      <c r="C262" s="10">
        <f>IFERROR(VLOOKUP($A262,fdistance,3,FALSE),"")</f>
        <v>80</v>
      </c>
      <c r="D262" s="31" t="s">
        <v>163</v>
      </c>
      <c r="E262" s="13" t="s">
        <v>164</v>
      </c>
      <c r="F262" s="13" t="s">
        <v>165</v>
      </c>
      <c r="G262" s="14" t="s">
        <v>166</v>
      </c>
      <c r="H262" s="532" t="s">
        <v>167</v>
      </c>
      <c r="I262" s="534"/>
      <c r="J262" s="534" t="s">
        <v>168</v>
      </c>
      <c r="K262" s="534"/>
      <c r="L262" s="534" t="s">
        <v>169</v>
      </c>
      <c r="M262" s="534"/>
      <c r="N262" s="534" t="s">
        <v>170</v>
      </c>
      <c r="O262" s="534"/>
      <c r="P262" s="535" t="s">
        <v>171</v>
      </c>
      <c r="Q262" s="534" t="s">
        <v>172</v>
      </c>
      <c r="R262" s="534"/>
      <c r="S262" s="534" t="s">
        <v>173</v>
      </c>
      <c r="T262" s="534"/>
      <c r="U262" s="534" t="s">
        <v>174</v>
      </c>
      <c r="V262" s="534"/>
      <c r="W262" s="537" t="s">
        <v>175</v>
      </c>
      <c r="X262" s="538"/>
      <c r="Y262" s="528" t="s">
        <v>176</v>
      </c>
      <c r="Z262" s="530" t="s">
        <v>177</v>
      </c>
      <c r="AA262" s="531"/>
      <c r="AB262" s="532"/>
    </row>
    <row r="263" spans="1:33" s="4" customFormat="1" ht="11.65" x14ac:dyDescent="0.35">
      <c r="A263" s="137">
        <f>IFERROR(SEARCH("U17",F261),0)</f>
        <v>0</v>
      </c>
      <c r="B263" s="7" t="s">
        <v>53</v>
      </c>
      <c r="C263" s="7" t="s">
        <v>54</v>
      </c>
      <c r="D263" s="56"/>
      <c r="E263" s="56"/>
      <c r="F263" s="15"/>
      <c r="G263" s="16"/>
      <c r="H263" s="514" t="s">
        <v>178</v>
      </c>
      <c r="I263" s="533"/>
      <c r="J263" s="533" t="s">
        <v>178</v>
      </c>
      <c r="K263" s="533"/>
      <c r="L263" s="533" t="s">
        <v>178</v>
      </c>
      <c r="M263" s="533"/>
      <c r="N263" s="533" t="s">
        <v>178</v>
      </c>
      <c r="O263" s="533"/>
      <c r="P263" s="536"/>
      <c r="Q263" s="533" t="s">
        <v>178</v>
      </c>
      <c r="R263" s="533"/>
      <c r="S263" s="533" t="s">
        <v>178</v>
      </c>
      <c r="T263" s="533"/>
      <c r="U263" s="533" t="s">
        <v>178</v>
      </c>
      <c r="V263" s="533"/>
      <c r="W263" s="533" t="s">
        <v>178</v>
      </c>
      <c r="X263" s="512"/>
      <c r="Y263" s="529"/>
      <c r="Z263" s="55"/>
      <c r="AA263" s="55" t="s">
        <v>53</v>
      </c>
      <c r="AB263" s="55" t="s">
        <v>54</v>
      </c>
    </row>
    <row r="264" spans="1:33" s="4" customFormat="1" ht="15.95" customHeight="1" x14ac:dyDescent="0.35">
      <c r="A264" s="8">
        <f>IFERROR(IF(D264&gt;MatchDay!$U$2,"-",VLOOKUP(A260,timetables,MatchDay!$U$4,FALSE)),0)</f>
        <v>3</v>
      </c>
      <c r="B264" s="7">
        <f ca="1">AA264</f>
        <v>1</v>
      </c>
      <c r="C264" s="7" t="str">
        <f ca="1">AB264</f>
        <v/>
      </c>
      <c r="D264" s="56">
        <v>1</v>
      </c>
      <c r="E264" s="17">
        <f>A264</f>
        <v>3</v>
      </c>
      <c r="F264" s="18" t="str">
        <f ca="1">IFERROR(IF(A263=0,HLOOKUP(E264,Declarations!$D$2:$S$102,B261,FALSE),HLOOKUP(VLOOKUP(E264,Teams!$V$2:$W$19,2,FALSE),Declarations!$D$2:$S$102,B261,FALSE)),"")</f>
        <v>WALSH Lincoln</v>
      </c>
      <c r="G264" s="18" t="str">
        <f t="shared" ref="G264:G279" si="80">IFERROR(VLOOKUP(E264,teamlookup,5,FALSE),"-")</f>
        <v>York</v>
      </c>
      <c r="H264" s="524">
        <f ca="1">IFERROR(INDIRECT(CONCATENATE("'Distance Input'!"&amp;B262&amp;C262)),"")</f>
        <v>8.49</v>
      </c>
      <c r="I264" s="525"/>
      <c r="J264" s="524">
        <v>0</v>
      </c>
      <c r="K264" s="525"/>
      <c r="L264" s="524">
        <v>0</v>
      </c>
      <c r="M264" s="525"/>
      <c r="N264" s="539">
        <f ca="1">H264</f>
        <v>8.49</v>
      </c>
      <c r="O264" s="540"/>
      <c r="P264" s="55">
        <v>0</v>
      </c>
      <c r="Q264" s="541">
        <v>0</v>
      </c>
      <c r="R264" s="541"/>
      <c r="S264" s="541">
        <v>0</v>
      </c>
      <c r="T264" s="541"/>
      <c r="U264" s="541">
        <v>0</v>
      </c>
      <c r="V264" s="541"/>
      <c r="W264" s="524">
        <f ca="1">N264</f>
        <v>8.49</v>
      </c>
      <c r="X264" s="525"/>
      <c r="Y264" s="55">
        <f ca="1">IF(OR(W264="",W264=0),0,IF(W264="X",MatchDay!$U$2+MatchDay!$U$2+1-COUNTIF(Distance!W264:W264,"X"),RANK(W264,$W264:$X279,0)))</f>
        <v>1</v>
      </c>
      <c r="Z264" s="19" t="str">
        <f ca="1">IFERROR(IF(Y264=0,0,IF(OR(VLOOKUP(AG264,E272:Y279,21,FALSE)=0,Y264&lt;=VLOOKUP(AG264,E272:Y279,21,FALSE)),"A","B")),"")</f>
        <v>A</v>
      </c>
      <c r="AA264" s="19">
        <f ca="1">IFERROR(IF(Z264="B","",RANK(AD264,AD264:AD279,1)),"")</f>
        <v>1</v>
      </c>
      <c r="AB264" s="19" t="str">
        <f ca="1">IFERROR(IF(Z264="A","",RANK(AE264,AE264:AE279,1)),"")</f>
        <v/>
      </c>
      <c r="AC264" s="8"/>
      <c r="AD264" s="9">
        <f ca="1">IF(OR(W264=0,Y264=0,Z264="B"),"",Y264)</f>
        <v>1</v>
      </c>
      <c r="AE264" s="9" t="str">
        <f ca="1">IF(OR(W264=0,Y264=0,Z264="A"),"",Y264)</f>
        <v/>
      </c>
      <c r="AF264" s="9" t="s">
        <v>179</v>
      </c>
      <c r="AG264" s="4">
        <f>IFERROR(IF(A263=0,E264*11,E264&amp;E264),"")</f>
        <v>33</v>
      </c>
    </row>
    <row r="265" spans="1:33" s="4" customFormat="1" ht="15.95" customHeight="1" x14ac:dyDescent="0.35">
      <c r="A265" s="8">
        <f>IFERROR(IF(D265&gt;MatchDay!$U$2,"-",VLOOKUP(A260,timetables,MatchDay!$U$4+1,FALSE)),0)</f>
        <v>1</v>
      </c>
      <c r="B265" s="7">
        <f t="shared" ref="B265:B279" ca="1" si="81">AA265</f>
        <v>3</v>
      </c>
      <c r="C265" s="7" t="str">
        <f t="shared" ref="C265:C279" ca="1" si="82">AB265</f>
        <v/>
      </c>
      <c r="D265" s="55">
        <v>2</v>
      </c>
      <c r="E265" s="17">
        <f t="shared" ref="E265:E279" si="83">A265</f>
        <v>1</v>
      </c>
      <c r="F265" s="18" t="str">
        <f ca="1">IFERROR(IF(A263=0,HLOOKUP(E265,Declarations!$D$2:$S$102,B261,FALSE),HLOOKUP(VLOOKUP(E265,Teams!$V$2:$W$19,2,FALSE),Declarations!$D$2:$S$102,B261,FALSE)),"")</f>
        <v>STOWELL Callum</v>
      </c>
      <c r="G265" s="18" t="str">
        <f t="shared" si="80"/>
        <v>C'field</v>
      </c>
      <c r="H265" s="524">
        <f ca="1">IFERROR(INDIRECT(CONCATENATE("'Distance Input'!"&amp;B262&amp;C262+1)),"")</f>
        <v>5.71</v>
      </c>
      <c r="I265" s="525"/>
      <c r="J265" s="524">
        <v>0</v>
      </c>
      <c r="K265" s="525"/>
      <c r="L265" s="524">
        <v>0</v>
      </c>
      <c r="M265" s="525"/>
      <c r="N265" s="539">
        <f t="shared" ref="N265:N279" ca="1" si="84">H265</f>
        <v>5.71</v>
      </c>
      <c r="O265" s="540"/>
      <c r="P265" s="55">
        <v>0</v>
      </c>
      <c r="Q265" s="541">
        <v>0</v>
      </c>
      <c r="R265" s="541"/>
      <c r="S265" s="541">
        <v>0</v>
      </c>
      <c r="T265" s="541"/>
      <c r="U265" s="541">
        <v>0</v>
      </c>
      <c r="V265" s="541"/>
      <c r="W265" s="524">
        <f t="shared" ref="W265:W279" ca="1" si="85">N265</f>
        <v>5.71</v>
      </c>
      <c r="X265" s="525"/>
      <c r="Y265" s="55">
        <f ca="1">IF(OR(W265="",W265=0),0,IF(W265="X",MatchDay!$U$2+MatchDay!$U$2+1-COUNTIF(Distance!W264:W265,"X"),RANK(W265,$W264:$X279,0)))</f>
        <v>4</v>
      </c>
      <c r="Z265" s="19" t="str">
        <f ca="1">IFERROR(IF(Y265=0,0,IF(OR(VLOOKUP(AG265,E272:Y279,21,FALSE)=0,Y265&lt;=VLOOKUP(AG265,E272:Y279,21,FALSE)),"A","B")),"")</f>
        <v>A</v>
      </c>
      <c r="AA265" s="19">
        <f ca="1">IFERROR(IF(Z265="B","",RANK(AD265,AD264:AD279,1)),"")</f>
        <v>3</v>
      </c>
      <c r="AB265" s="19" t="str">
        <f ca="1">IFERROR(IF(Z265="A","",RANK(AE265,AE264:AE279,1)),"")</f>
        <v/>
      </c>
      <c r="AC265" s="8"/>
      <c r="AD265" s="9">
        <f t="shared" ref="AD265:AD279" ca="1" si="86">IF(OR(W265=0,Y265=0,Z265="B"),"",Y265)</f>
        <v>4</v>
      </c>
      <c r="AE265" s="9" t="str">
        <f t="shared" ref="AE265:AE279" ca="1" si="87">IF(OR(W265=0,Y265=0,Z265="A"),"",Y265)</f>
        <v/>
      </c>
      <c r="AF265" s="9" t="s">
        <v>179</v>
      </c>
      <c r="AG265" s="4">
        <f>IFERROR(IF(A263=0,E265*11,E265&amp;E265),"")</f>
        <v>11</v>
      </c>
    </row>
    <row r="266" spans="1:33" s="4" customFormat="1" ht="15.95" customHeight="1" x14ac:dyDescent="0.35">
      <c r="A266" s="8">
        <f>IFERROR(IF(D266&gt;MatchDay!$U$2,"-",VLOOKUP(A260,timetables,MatchDay!$U$4+2,FALSE)),0)</f>
        <v>4</v>
      </c>
      <c r="B266" s="7">
        <f t="shared" ca="1" si="81"/>
        <v>2</v>
      </c>
      <c r="C266" s="7" t="str">
        <f t="shared" ca="1" si="82"/>
        <v/>
      </c>
      <c r="D266" s="55">
        <v>3</v>
      </c>
      <c r="E266" s="17">
        <f t="shared" si="83"/>
        <v>4</v>
      </c>
      <c r="F266" s="18" t="str">
        <f ca="1">IFERROR(IF(A263=0,HLOOKUP(E266,Declarations!$D$2:$S$102,B261,FALSE),HLOOKUP(VLOOKUP(E266,Teams!$V$2:$W$19,2,FALSE),Declarations!$D$2:$S$102,B261,FALSE)),"")</f>
        <v>FRANCIS Stan</v>
      </c>
      <c r="G266" s="18" t="str">
        <f t="shared" si="80"/>
        <v>M'bro</v>
      </c>
      <c r="H266" s="524">
        <f ca="1">IFERROR(INDIRECT(CONCATENATE("'Distance Input'!"&amp;B262&amp;C262+2)),"")</f>
        <v>6.45</v>
      </c>
      <c r="I266" s="525"/>
      <c r="J266" s="524">
        <v>0</v>
      </c>
      <c r="K266" s="525"/>
      <c r="L266" s="524">
        <v>0</v>
      </c>
      <c r="M266" s="525"/>
      <c r="N266" s="539">
        <f t="shared" ca="1" si="84"/>
        <v>6.45</v>
      </c>
      <c r="O266" s="540"/>
      <c r="P266" s="55">
        <v>0</v>
      </c>
      <c r="Q266" s="541">
        <v>0</v>
      </c>
      <c r="R266" s="541"/>
      <c r="S266" s="541">
        <v>0</v>
      </c>
      <c r="T266" s="541"/>
      <c r="U266" s="541">
        <v>0</v>
      </c>
      <c r="V266" s="541"/>
      <c r="W266" s="524">
        <f t="shared" ca="1" si="85"/>
        <v>6.45</v>
      </c>
      <c r="X266" s="525"/>
      <c r="Y266" s="55">
        <f ca="1">IF(OR(W266="",W266=0),0,IF(W266="X",MatchDay!$U$2+MatchDay!$U$2+1-COUNTIF(Distance!W264:W266,"X"),RANK(W266,$W264:$X279,0)))</f>
        <v>2</v>
      </c>
      <c r="Z266" s="19" t="str">
        <f ca="1">IFERROR(IF(Y266=0,0,IF(OR(VLOOKUP(AG266,E272:Y279,21,FALSE)=0,Y266&lt;=VLOOKUP(AG266,E272:Y279,21,FALSE)),"A","B")),"")</f>
        <v>A</v>
      </c>
      <c r="AA266" s="19">
        <f ca="1">IFERROR(IF(Z266="B","",RANK(AD266,AD264:AD279,1)),"")</f>
        <v>2</v>
      </c>
      <c r="AB266" s="19" t="str">
        <f ca="1">IFERROR(IF(Z266="A","",RANK(AE266,AE264:AE279,1)),"")</f>
        <v/>
      </c>
      <c r="AD266" s="9">
        <f t="shared" ca="1" si="86"/>
        <v>2</v>
      </c>
      <c r="AE266" s="9" t="str">
        <f t="shared" ca="1" si="87"/>
        <v/>
      </c>
      <c r="AF266" s="9" t="s">
        <v>179</v>
      </c>
      <c r="AG266" s="4">
        <f>IFERROR(IF(A263=0,E266*11,E266&amp;E266),"")</f>
        <v>44</v>
      </c>
    </row>
    <row r="267" spans="1:33" s="4" customFormat="1" ht="15.95" customHeight="1" x14ac:dyDescent="0.35">
      <c r="A267" s="8">
        <f>IFERROR(IF(D267&gt;MatchDay!$U$2,"-",VLOOKUP(A260,timetables,MatchDay!$U$4+3,FALSE)),0)</f>
        <v>2</v>
      </c>
      <c r="B267" s="7" t="str">
        <f t="shared" ca="1" si="81"/>
        <v/>
      </c>
      <c r="C267" s="7">
        <f t="shared" ca="1" si="82"/>
        <v>2</v>
      </c>
      <c r="D267" s="55">
        <v>4</v>
      </c>
      <c r="E267" s="17">
        <f t="shared" si="83"/>
        <v>2</v>
      </c>
      <c r="F267" s="18" t="str">
        <f ca="1">IFERROR(IF(A263=0,HLOOKUP(E267,Declarations!$D$2:$S$102,B261,FALSE),HLOOKUP(VLOOKUP(E267,Teams!$V$2:$W$19,2,FALSE),Declarations!$D$2:$S$102,B261,FALSE)),"")</f>
        <v>HENNESSEY Thomas</v>
      </c>
      <c r="G267" s="18" t="str">
        <f t="shared" si="80"/>
        <v>Sheff+D</v>
      </c>
      <c r="H267" s="524">
        <f ca="1">IFERROR(INDIRECT(CONCATENATE("'Distance Input'!"&amp;B262&amp;C262+3)),"")</f>
        <v>5.63</v>
      </c>
      <c r="I267" s="525"/>
      <c r="J267" s="524">
        <v>0</v>
      </c>
      <c r="K267" s="525"/>
      <c r="L267" s="524">
        <v>0</v>
      </c>
      <c r="M267" s="525"/>
      <c r="N267" s="539">
        <f t="shared" ca="1" si="84"/>
        <v>5.63</v>
      </c>
      <c r="O267" s="540"/>
      <c r="P267" s="55">
        <v>0</v>
      </c>
      <c r="Q267" s="541">
        <v>0</v>
      </c>
      <c r="R267" s="541"/>
      <c r="S267" s="541">
        <v>0</v>
      </c>
      <c r="T267" s="541"/>
      <c r="U267" s="541">
        <v>0</v>
      </c>
      <c r="V267" s="541"/>
      <c r="W267" s="524">
        <f t="shared" ca="1" si="85"/>
        <v>5.63</v>
      </c>
      <c r="X267" s="525"/>
      <c r="Y267" s="55">
        <f ca="1">IF(OR(W267="",W267=0),0,IF(W267="X",MatchDay!$U$2+MatchDay!$U$2+1-COUNTIF(Distance!W264:W267,"X"),RANK(W267,$W264:$X279,0)))</f>
        <v>6</v>
      </c>
      <c r="Z267" s="19" t="str">
        <f ca="1">IFERROR(IF(Y267=0,0,IF(OR(VLOOKUP(AG267,E272:Y279,21,FALSE)=0,Y267&lt;=VLOOKUP(AG267,E272:Y279,21,FALSE)),"A","B")),"")</f>
        <v>B</v>
      </c>
      <c r="AA267" s="19" t="str">
        <f ca="1">IFERROR(IF(Z267="B","",RANK(AD267,AD264:AD279,1)),"")</f>
        <v/>
      </c>
      <c r="AB267" s="19">
        <f ca="1">IFERROR(IF(Z267="A","",RANK(AE267,AE264:AE279,1)),"")</f>
        <v>2</v>
      </c>
      <c r="AD267" s="9" t="str">
        <f t="shared" ca="1" si="86"/>
        <v/>
      </c>
      <c r="AE267" s="9">
        <f t="shared" ca="1" si="87"/>
        <v>6</v>
      </c>
      <c r="AF267" s="9" t="s">
        <v>179</v>
      </c>
      <c r="AG267" s="4">
        <f>IFERROR(IF(A263=0,E267*11,E267&amp;E267),"")</f>
        <v>22</v>
      </c>
    </row>
    <row r="268" spans="1:33" s="4" customFormat="1" ht="15.95" customHeight="1" x14ac:dyDescent="0.35">
      <c r="A268" s="8">
        <f>IFERROR(IF(D268&gt;MatchDay!$U$2,"-",VLOOKUP(A260,timetables,MatchDay!$U$4+4,FALSE)),0)</f>
        <v>5</v>
      </c>
      <c r="B268" s="7">
        <f t="shared" ca="1" si="81"/>
        <v>5</v>
      </c>
      <c r="C268" s="7" t="str">
        <f t="shared" ca="1" si="82"/>
        <v/>
      </c>
      <c r="D268" s="55">
        <v>5</v>
      </c>
      <c r="E268" s="17">
        <f t="shared" si="83"/>
        <v>5</v>
      </c>
      <c r="F268" s="18" t="str">
        <f ca="1">IFERROR(IF(A263=0,HLOOKUP(E268,Declarations!$D$2:$S$102,B261,FALSE),HLOOKUP(VLOOKUP(E268,Teams!$V$2:$W$19,2,FALSE),Declarations!$D$2:$S$102,B261,FALSE)),"")</f>
        <v>COOK Alexander</v>
      </c>
      <c r="G268" s="18" t="str">
        <f t="shared" si="80"/>
        <v>Scun</v>
      </c>
      <c r="H268" s="524">
        <f ca="1">IFERROR(INDIRECT(CONCATENATE("'Distance Input'!"&amp;B262&amp;C262+4)),"")</f>
        <v>5.19</v>
      </c>
      <c r="I268" s="525"/>
      <c r="J268" s="524">
        <v>0</v>
      </c>
      <c r="K268" s="525"/>
      <c r="L268" s="524">
        <v>0</v>
      </c>
      <c r="M268" s="525"/>
      <c r="N268" s="539">
        <f t="shared" ca="1" si="84"/>
        <v>5.19</v>
      </c>
      <c r="O268" s="540"/>
      <c r="P268" s="55">
        <v>0</v>
      </c>
      <c r="Q268" s="541">
        <v>0</v>
      </c>
      <c r="R268" s="541"/>
      <c r="S268" s="541">
        <v>0</v>
      </c>
      <c r="T268" s="541"/>
      <c r="U268" s="541">
        <v>0</v>
      </c>
      <c r="V268" s="541"/>
      <c r="W268" s="524">
        <f t="shared" ca="1" si="85"/>
        <v>5.19</v>
      </c>
      <c r="X268" s="525"/>
      <c r="Y268" s="55">
        <f ca="1">IF(OR(W268="",W268=0),0,IF(W268="X",MatchDay!$U$2+MatchDay!$U$2+1-COUNTIF(Distance!W264:W268,"X"),RANK(W268,$W264:$X279,0)))</f>
        <v>7</v>
      </c>
      <c r="Z268" s="19" t="str">
        <f ca="1">IFERROR(IF(Y268=0,0,IF(OR(VLOOKUP(AG268,E272:Y279,21,FALSE)=0,Y268&lt;=VLOOKUP(AG268,E272:Y279,21,FALSE)),"A","B")),"")</f>
        <v>A</v>
      </c>
      <c r="AA268" s="19">
        <f ca="1">IFERROR(IF(Z268="B","",RANK(AD268,AD264:AD279,1)),"")</f>
        <v>5</v>
      </c>
      <c r="AB268" s="19" t="str">
        <f ca="1">IFERROR(IF(Z268="A","",RANK(AE268,AE264:AE279,1)),"")</f>
        <v/>
      </c>
      <c r="AD268" s="9">
        <f t="shared" ca="1" si="86"/>
        <v>7</v>
      </c>
      <c r="AE268" s="9" t="str">
        <f t="shared" ca="1" si="87"/>
        <v/>
      </c>
      <c r="AF268" s="9" t="s">
        <v>179</v>
      </c>
      <c r="AG268" s="4">
        <f>IFERROR(IF(A263=0,E268*11,E268&amp;E268),"")</f>
        <v>55</v>
      </c>
    </row>
    <row r="269" spans="1:33" s="4" customFormat="1" ht="15.95" customHeight="1" x14ac:dyDescent="0.35">
      <c r="A269" s="8" t="str">
        <f>IFERROR(IF(D269&gt;MatchDay!$U$2,"-",VLOOKUP(A260,timetables,MatchDay!$U$4+5,FALSE)),0)</f>
        <v>-</v>
      </c>
      <c r="B269" s="7" t="str">
        <f t="shared" ca="1" si="81"/>
        <v/>
      </c>
      <c r="C269" s="7" t="str">
        <f t="shared" ca="1" si="82"/>
        <v/>
      </c>
      <c r="D269" s="55">
        <v>6</v>
      </c>
      <c r="E269" s="17" t="str">
        <f t="shared" si="83"/>
        <v>-</v>
      </c>
      <c r="F269" s="18" t="str">
        <f>IFERROR(IF(A263=0,HLOOKUP(E269,Declarations!$D$2:$S$102,B261,FALSE),HLOOKUP(VLOOKUP(E269,Teams!$V$2:$W$19,2,FALSE),Declarations!$D$2:$S$102,B261,FALSE)),"")</f>
        <v/>
      </c>
      <c r="G269" s="18" t="str">
        <f t="shared" si="80"/>
        <v/>
      </c>
      <c r="H269" s="524">
        <f ca="1">IFERROR(INDIRECT(CONCATENATE("'Distance Input'!"&amp;B262&amp;C262+5)),"")</f>
        <v>0</v>
      </c>
      <c r="I269" s="525"/>
      <c r="J269" s="524">
        <v>0</v>
      </c>
      <c r="K269" s="525"/>
      <c r="L269" s="524">
        <v>0</v>
      </c>
      <c r="M269" s="525"/>
      <c r="N269" s="539">
        <f t="shared" ca="1" si="84"/>
        <v>0</v>
      </c>
      <c r="O269" s="540"/>
      <c r="P269" s="55">
        <v>0</v>
      </c>
      <c r="Q269" s="541">
        <v>0</v>
      </c>
      <c r="R269" s="541"/>
      <c r="S269" s="541">
        <v>0</v>
      </c>
      <c r="T269" s="541"/>
      <c r="U269" s="541">
        <v>0</v>
      </c>
      <c r="V269" s="541"/>
      <c r="W269" s="524">
        <f t="shared" ca="1" si="85"/>
        <v>0</v>
      </c>
      <c r="X269" s="525"/>
      <c r="Y269" s="55">
        <f ca="1">IF(OR(W269="",W269=0),0,IF(W269="X",MatchDay!$U$2+MatchDay!$U$2+1-COUNTIF(Distance!W264:W269,"X"),RANK(W269,$W264:$X279,0)))</f>
        <v>0</v>
      </c>
      <c r="Z269" s="19">
        <f ca="1">IFERROR(IF(Y269=0,0,IF(OR(VLOOKUP(AG269,E272:Y279,21,FALSE)=0,Y269&lt;=VLOOKUP(AG269,E272:Y279,21,FALSE)),"A","B")),"")</f>
        <v>0</v>
      </c>
      <c r="AA269" s="19" t="str">
        <f ca="1">IFERROR(IF(Z269="B","",RANK(AD269,AD264:AD279,1)),"")</f>
        <v/>
      </c>
      <c r="AB269" s="19" t="str">
        <f ca="1">IFERROR(IF(Z269="A","",RANK(AE269,AE264:AE279,1)),"")</f>
        <v/>
      </c>
      <c r="AD269" s="9" t="str">
        <f t="shared" ca="1" si="86"/>
        <v/>
      </c>
      <c r="AE269" s="9" t="str">
        <f t="shared" ca="1" si="87"/>
        <v/>
      </c>
      <c r="AF269" s="9" t="s">
        <v>179</v>
      </c>
      <c r="AG269" s="4" t="str">
        <f>IFERROR(IF(A263=0,E269*11,E269&amp;E269),"")</f>
        <v/>
      </c>
    </row>
    <row r="270" spans="1:33" s="4" customFormat="1" ht="15.95" customHeight="1" x14ac:dyDescent="0.35">
      <c r="A270" s="8" t="str">
        <f>IFERROR(IF(D270&gt;MatchDay!$U$2,"-",VLOOKUP(A260,timetables,MatchDay!$U$4+6,FALSE)),0)</f>
        <v>-</v>
      </c>
      <c r="B270" s="7" t="str">
        <f t="shared" ca="1" si="81"/>
        <v/>
      </c>
      <c r="C270" s="7" t="str">
        <f t="shared" ca="1" si="82"/>
        <v/>
      </c>
      <c r="D270" s="55">
        <v>7</v>
      </c>
      <c r="E270" s="17" t="str">
        <f t="shared" si="83"/>
        <v>-</v>
      </c>
      <c r="F270" s="18" t="str">
        <f>IFERROR(IF(A263=0,HLOOKUP(E270,Declarations!$D$2:$S$102,B261,FALSE),HLOOKUP(VLOOKUP(E270,Teams!$V$2:$W$19,2,FALSE),Declarations!$D$2:$S$102,B261,FALSE)),"")</f>
        <v/>
      </c>
      <c r="G270" s="18" t="str">
        <f t="shared" si="80"/>
        <v/>
      </c>
      <c r="H270" s="524">
        <f ca="1">IFERROR(INDIRECT(CONCATENATE("'Distance Input'!"&amp;B262&amp;C262+6)),"")</f>
        <v>0</v>
      </c>
      <c r="I270" s="525"/>
      <c r="J270" s="524">
        <v>0</v>
      </c>
      <c r="K270" s="525"/>
      <c r="L270" s="524">
        <v>0</v>
      </c>
      <c r="M270" s="525"/>
      <c r="N270" s="539">
        <f t="shared" ca="1" si="84"/>
        <v>0</v>
      </c>
      <c r="O270" s="540"/>
      <c r="P270" s="55">
        <v>0</v>
      </c>
      <c r="Q270" s="541">
        <v>0</v>
      </c>
      <c r="R270" s="541"/>
      <c r="S270" s="541">
        <v>0</v>
      </c>
      <c r="T270" s="541"/>
      <c r="U270" s="541">
        <v>0</v>
      </c>
      <c r="V270" s="541"/>
      <c r="W270" s="524">
        <f t="shared" ca="1" si="85"/>
        <v>0</v>
      </c>
      <c r="X270" s="525"/>
      <c r="Y270" s="55">
        <f ca="1">IF(OR(W270="",W270=0),0,IF(W270="X",MatchDay!$U$2+MatchDay!$U$2+1-COUNTIF(Distance!W264:W270,"X"),RANK(W270,$W264:$X279,0)))</f>
        <v>0</v>
      </c>
      <c r="Z270" s="19">
        <f ca="1">IFERROR(IF(Y270=0,0,IF(OR(VLOOKUP(AG270,E272:Y279,21,FALSE)=0,Y270&lt;=VLOOKUP(AG270,E272:Y279,21,FALSE)),"A","B")),"")</f>
        <v>0</v>
      </c>
      <c r="AA270" s="19" t="str">
        <f ca="1">IFERROR(IF(Z270="B","",RANK(AD270,AD264:AD279,1)),"")</f>
        <v/>
      </c>
      <c r="AB270" s="19" t="str">
        <f ca="1">IFERROR(IF(Z270="A","",RANK(AE270,AE264:AE279,1)),"")</f>
        <v/>
      </c>
      <c r="AD270" s="9" t="str">
        <f t="shared" ca="1" si="86"/>
        <v/>
      </c>
      <c r="AE270" s="9" t="str">
        <f t="shared" ca="1" si="87"/>
        <v/>
      </c>
      <c r="AF270" s="9" t="s">
        <v>179</v>
      </c>
      <c r="AG270" s="4" t="str">
        <f>IFERROR(IF(A263=0,E270*11,E270&amp;E270),"")</f>
        <v/>
      </c>
    </row>
    <row r="271" spans="1:33" s="4" customFormat="1" ht="15.95" customHeight="1" x14ac:dyDescent="0.35">
      <c r="A271" s="8" t="str">
        <f>IFERROR(IF(D271&gt;MatchDay!$U$2,"-",VLOOKUP(A260,timetables,MatchDay!$U$4+7,FALSE)),0)</f>
        <v>-</v>
      </c>
      <c r="B271" s="7" t="str">
        <f t="shared" ca="1" si="81"/>
        <v/>
      </c>
      <c r="C271" s="7" t="str">
        <f t="shared" ca="1" si="82"/>
        <v/>
      </c>
      <c r="D271" s="55">
        <v>8</v>
      </c>
      <c r="E271" s="17" t="str">
        <f t="shared" si="83"/>
        <v>-</v>
      </c>
      <c r="F271" s="18" t="str">
        <f>IFERROR(IF(A263=0,HLOOKUP(E271,Declarations!$D$2:$S$102,B261,FALSE),HLOOKUP(VLOOKUP(E271,Teams!$V$2:$W$19,2,FALSE),Declarations!$D$2:$S$102,B261,FALSE)),"")</f>
        <v/>
      </c>
      <c r="G271" s="18" t="str">
        <f t="shared" si="80"/>
        <v/>
      </c>
      <c r="H271" s="524">
        <f ca="1">IFERROR(INDIRECT(CONCATENATE("'Distance Input'!"&amp;B262&amp;C262+7)),"")</f>
        <v>0</v>
      </c>
      <c r="I271" s="525"/>
      <c r="J271" s="524">
        <v>0</v>
      </c>
      <c r="K271" s="525"/>
      <c r="L271" s="524">
        <v>0</v>
      </c>
      <c r="M271" s="525"/>
      <c r="N271" s="539">
        <f t="shared" ca="1" si="84"/>
        <v>0</v>
      </c>
      <c r="O271" s="540"/>
      <c r="P271" s="55">
        <v>0</v>
      </c>
      <c r="Q271" s="541">
        <v>0</v>
      </c>
      <c r="R271" s="541"/>
      <c r="S271" s="541">
        <v>0</v>
      </c>
      <c r="T271" s="541"/>
      <c r="U271" s="541">
        <v>0</v>
      </c>
      <c r="V271" s="541"/>
      <c r="W271" s="524">
        <f t="shared" ca="1" si="85"/>
        <v>0</v>
      </c>
      <c r="X271" s="525"/>
      <c r="Y271" s="55">
        <f ca="1">IF(OR(W271="",W271=0),0,IF(W271="X",MatchDay!$U$2+MatchDay!$U$2+1-COUNTIF(Distance!W264:W271,"X"),RANK(W271,$W264:$X279,0)))</f>
        <v>0</v>
      </c>
      <c r="Z271" s="19">
        <f ca="1">IFERROR(IF(Y271=0,0,IF(OR(VLOOKUP(AG271,E272:Y279,21,FALSE)=0,Y271&lt;=VLOOKUP(AG271,E272:Y279,21,FALSE)),"A","B")),"")</f>
        <v>0</v>
      </c>
      <c r="AA271" s="19" t="str">
        <f ca="1">IFERROR(IF(Z271="B","",RANK(AD271,AD264:AD279,1)),"")</f>
        <v/>
      </c>
      <c r="AB271" s="19" t="str">
        <f ca="1">IFERROR(IF(Z271="A","",RANK(AE271,AE264:AE279,1)),"")</f>
        <v/>
      </c>
      <c r="AD271" s="9" t="str">
        <f t="shared" ca="1" si="86"/>
        <v/>
      </c>
      <c r="AE271" s="9" t="str">
        <f t="shared" ca="1" si="87"/>
        <v/>
      </c>
      <c r="AF271" s="9" t="s">
        <v>179</v>
      </c>
      <c r="AG271" s="4" t="str">
        <f>IFERROR(IF(A263=0,E271*11,E271&amp;E271),"")</f>
        <v/>
      </c>
    </row>
    <row r="272" spans="1:33" s="4" customFormat="1" ht="15.95" customHeight="1" x14ac:dyDescent="0.35">
      <c r="A272" s="8">
        <f>IFERROR(IF(A263=0,A264*11,A264&amp;A264),"-")</f>
        <v>33</v>
      </c>
      <c r="B272" s="7" t="str">
        <f t="shared" ca="1" si="81"/>
        <v/>
      </c>
      <c r="C272" s="7">
        <f t="shared" ca="1" si="82"/>
        <v>1</v>
      </c>
      <c r="D272" s="55">
        <v>9</v>
      </c>
      <c r="E272" s="17">
        <f t="shared" si="83"/>
        <v>33</v>
      </c>
      <c r="F272" s="18" t="str">
        <f ca="1">IFERROR(IF(A263=0,HLOOKUP(E272,Declarations!$D$2:$S$102,B261,FALSE),HLOOKUP(VLOOKUP(E272,Teams!$V$2:$W$19,2,FALSE),Declarations!$D$2:$S$102,B261,FALSE)),"")</f>
        <v>ROTHWELL Noah</v>
      </c>
      <c r="G272" s="18" t="str">
        <f t="shared" si="80"/>
        <v>York</v>
      </c>
      <c r="H272" s="524">
        <f ca="1">IFERROR(INDIRECT(CONCATENATE("'Distance Input'!"&amp;B262&amp;C262+8)),"")</f>
        <v>6.14</v>
      </c>
      <c r="I272" s="525"/>
      <c r="J272" s="524">
        <v>0</v>
      </c>
      <c r="K272" s="525"/>
      <c r="L272" s="524">
        <v>0</v>
      </c>
      <c r="M272" s="525"/>
      <c r="N272" s="539">
        <f t="shared" ca="1" si="84"/>
        <v>6.14</v>
      </c>
      <c r="O272" s="540"/>
      <c r="P272" s="55">
        <v>0</v>
      </c>
      <c r="Q272" s="541">
        <v>0</v>
      </c>
      <c r="R272" s="541"/>
      <c r="S272" s="541">
        <v>0</v>
      </c>
      <c r="T272" s="541"/>
      <c r="U272" s="541">
        <v>0</v>
      </c>
      <c r="V272" s="541"/>
      <c r="W272" s="524">
        <f t="shared" ca="1" si="85"/>
        <v>6.14</v>
      </c>
      <c r="X272" s="525"/>
      <c r="Y272" s="55">
        <f ca="1">IF(OR(W272="",W272=0),0,IF(W272="X",MatchDay!$U$2+MatchDay!$U$2+1-COUNTIF(Distance!W264:W272,"X"),RANK(W272,$W264:$X279,0)))</f>
        <v>3</v>
      </c>
      <c r="Z272" s="19" t="str">
        <f ca="1">IFERROR(IF(Y272=0,0,IF(VLOOKUP(AG272,E264:Y271,21,FALSE)=0,"A",IF(Y272&gt;=VLOOKUP(AG272,E264:Y271,21,FALSE),"B","A"))),"")</f>
        <v>B</v>
      </c>
      <c r="AA272" s="19" t="str">
        <f ca="1">IFERROR(IF(Z272="B","",RANK(AD272,AD264:AD279,1)),"")</f>
        <v/>
      </c>
      <c r="AB272" s="19">
        <f ca="1">IFERROR(IF(Z272="A","",RANK(AE272,AE264:AE279,1)),"")</f>
        <v>1</v>
      </c>
      <c r="AD272" s="9" t="str">
        <f t="shared" ca="1" si="86"/>
        <v/>
      </c>
      <c r="AE272" s="9">
        <f t="shared" ca="1" si="87"/>
        <v>3</v>
      </c>
      <c r="AF272" s="9" t="s">
        <v>179</v>
      </c>
      <c r="AG272" s="4">
        <f>IFERROR(IF(A263=0,E272/11,LEFT(E272,1)),"")</f>
        <v>3</v>
      </c>
    </row>
    <row r="273" spans="1:33" s="4" customFormat="1" ht="15.95" customHeight="1" x14ac:dyDescent="0.35">
      <c r="A273" s="8">
        <f>IFERROR(IF(A263=0,A265*11,A265&amp;A265),"-")</f>
        <v>11</v>
      </c>
      <c r="B273" s="7" t="str">
        <f t="shared" ca="1" si="81"/>
        <v/>
      </c>
      <c r="C273" s="7">
        <f t="shared" ca="1" si="82"/>
        <v>4</v>
      </c>
      <c r="D273" s="55">
        <v>10</v>
      </c>
      <c r="E273" s="17">
        <f t="shared" si="83"/>
        <v>11</v>
      </c>
      <c r="F273" s="18" t="str">
        <f ca="1">IFERROR(IF(A263=0,HLOOKUP(E273,Declarations!$D$2:$S$102,B261,FALSE),HLOOKUP(VLOOKUP(E273,Teams!$V$2:$W$19,2,FALSE),Declarations!$D$2:$S$102,B261,FALSE)),"")</f>
        <v>DREW Matthew</v>
      </c>
      <c r="G273" s="18" t="str">
        <f t="shared" si="80"/>
        <v>C'field</v>
      </c>
      <c r="H273" s="524">
        <f ca="1">IFERROR(INDIRECT(CONCATENATE("'Distance Input'!"&amp;B262&amp;C262+9)),"")</f>
        <v>3.9</v>
      </c>
      <c r="I273" s="525"/>
      <c r="J273" s="524">
        <v>0</v>
      </c>
      <c r="K273" s="525"/>
      <c r="L273" s="524">
        <v>0</v>
      </c>
      <c r="M273" s="525"/>
      <c r="N273" s="539">
        <f t="shared" ca="1" si="84"/>
        <v>3.9</v>
      </c>
      <c r="O273" s="540"/>
      <c r="P273" s="55">
        <v>0</v>
      </c>
      <c r="Q273" s="541">
        <v>0</v>
      </c>
      <c r="R273" s="541"/>
      <c r="S273" s="541">
        <v>0</v>
      </c>
      <c r="T273" s="541"/>
      <c r="U273" s="541">
        <v>0</v>
      </c>
      <c r="V273" s="541"/>
      <c r="W273" s="524">
        <f t="shared" ca="1" si="85"/>
        <v>3.9</v>
      </c>
      <c r="X273" s="525"/>
      <c r="Y273" s="55">
        <f ca="1">IF(OR(W273="",W273=0),0,IF(W273="X",MatchDay!$U$2+MatchDay!$U$2+1-COUNTIF(Distance!W264:W273,"X"),RANK(W273,$W264:$X279,0)))</f>
        <v>9</v>
      </c>
      <c r="Z273" s="19" t="str">
        <f ca="1">IFERROR(IF(Y273=0,0,IF(VLOOKUP(AG273,E264:Y271,21,FALSE)=0,"A",IF(Y273&gt;=VLOOKUP(AG273,E264:Y271,21,FALSE),"B","A"))),"")</f>
        <v>B</v>
      </c>
      <c r="AA273" s="19" t="str">
        <f ca="1">IFERROR(IF(Z273="B","",RANK(AD273,AD264:AD279,1)),"")</f>
        <v/>
      </c>
      <c r="AB273" s="19">
        <f ca="1">IFERROR(IF(Z273="A","",RANK(AE273,AE264:AE279,1)),"")</f>
        <v>4</v>
      </c>
      <c r="AD273" s="9" t="str">
        <f t="shared" ca="1" si="86"/>
        <v/>
      </c>
      <c r="AE273" s="9">
        <f t="shared" ca="1" si="87"/>
        <v>9</v>
      </c>
      <c r="AF273" s="9" t="s">
        <v>179</v>
      </c>
      <c r="AG273" s="4">
        <f>IFERROR(IF(A263=0,E273/11,LEFT(E273,1)),"")</f>
        <v>1</v>
      </c>
    </row>
    <row r="274" spans="1:33" s="4" customFormat="1" ht="15.95" customHeight="1" x14ac:dyDescent="0.35">
      <c r="A274" s="8">
        <f>IFERROR(IF(A263=0,A266*11,A266&amp;A266),"-")</f>
        <v>44</v>
      </c>
      <c r="B274" s="7" t="str">
        <f t="shared" ca="1" si="81"/>
        <v/>
      </c>
      <c r="C274" s="7" t="str">
        <f t="shared" ca="1" si="82"/>
        <v/>
      </c>
      <c r="D274" s="55">
        <v>11</v>
      </c>
      <c r="E274" s="17">
        <f t="shared" si="83"/>
        <v>44</v>
      </c>
      <c r="F274" s="18" t="str">
        <f ca="1">IFERROR(IF(A263=0,HLOOKUP(E274,Declarations!$D$2:$S$102,B261,FALSE),HLOOKUP(VLOOKUP(E274,Teams!$V$2:$W$19,2,FALSE),Declarations!$D$2:$S$102,B261,FALSE)),"")</f>
        <v>-</v>
      </c>
      <c r="G274" s="18" t="str">
        <f t="shared" si="80"/>
        <v>M'bro</v>
      </c>
      <c r="H274" s="524">
        <f ca="1">IFERROR(INDIRECT(CONCATENATE("'Distance Input'!"&amp;B262&amp;C262+10)),"")</f>
        <v>0</v>
      </c>
      <c r="I274" s="525"/>
      <c r="J274" s="524">
        <v>0</v>
      </c>
      <c r="K274" s="525"/>
      <c r="L274" s="524">
        <v>0</v>
      </c>
      <c r="M274" s="525"/>
      <c r="N274" s="539">
        <f t="shared" ca="1" si="84"/>
        <v>0</v>
      </c>
      <c r="O274" s="540"/>
      <c r="P274" s="55">
        <v>0</v>
      </c>
      <c r="Q274" s="541">
        <v>0</v>
      </c>
      <c r="R274" s="541"/>
      <c r="S274" s="541">
        <v>0</v>
      </c>
      <c r="T274" s="541"/>
      <c r="U274" s="541">
        <v>0</v>
      </c>
      <c r="V274" s="541"/>
      <c r="W274" s="524">
        <f t="shared" ca="1" si="85"/>
        <v>0</v>
      </c>
      <c r="X274" s="525"/>
      <c r="Y274" s="55">
        <f ca="1">IF(OR(W274="",W274=0),0,IF(W274="X",MatchDay!$U$2+MatchDay!$U$2+1-COUNTIF(Distance!W264:W274,"X"),RANK(W274,$W264:$X279,0)))</f>
        <v>0</v>
      </c>
      <c r="Z274" s="19">
        <f ca="1">IFERROR(IF(Y274=0,0,IF(VLOOKUP(AG274,E264:Y271,21,FALSE)=0,"A",IF(Y274&gt;=VLOOKUP(AG274,E264:Y271,21,FALSE),"B","A"))),"")</f>
        <v>0</v>
      </c>
      <c r="AA274" s="19" t="str">
        <f ca="1">IFERROR(IF(Z274="B","",RANK(AD274,AD264:AD279,1)),"")</f>
        <v/>
      </c>
      <c r="AB274" s="19" t="str">
        <f ca="1">IFERROR(IF(Z274="A","",RANK(AE274,AE264:AE279,1)),"")</f>
        <v/>
      </c>
      <c r="AD274" s="9" t="str">
        <f t="shared" ca="1" si="86"/>
        <v/>
      </c>
      <c r="AE274" s="9" t="str">
        <f t="shared" ca="1" si="87"/>
        <v/>
      </c>
      <c r="AF274" s="9" t="s">
        <v>179</v>
      </c>
      <c r="AG274" s="4">
        <f>IFERROR(IF(A263=0,E274/11,LEFT(E274,1)),"")</f>
        <v>4</v>
      </c>
    </row>
    <row r="275" spans="1:33" s="4" customFormat="1" ht="15.95" customHeight="1" x14ac:dyDescent="0.35">
      <c r="A275" s="8">
        <f>IFERROR(IF(A263=0,A267*11,A267&amp;A267),"-")</f>
        <v>22</v>
      </c>
      <c r="B275" s="7">
        <f t="shared" ca="1" si="81"/>
        <v>4</v>
      </c>
      <c r="C275" s="7" t="str">
        <f t="shared" ca="1" si="82"/>
        <v/>
      </c>
      <c r="D275" s="55">
        <v>12</v>
      </c>
      <c r="E275" s="17">
        <f t="shared" si="83"/>
        <v>22</v>
      </c>
      <c r="F275" s="18" t="str">
        <f ca="1">IFERROR(IF(A263=0,HLOOKUP(E275,Declarations!$D$2:$S$102,B261,FALSE),HLOOKUP(VLOOKUP(E275,Teams!$V$2:$W$19,2,FALSE),Declarations!$D$2:$S$102,B261,FALSE)),"")</f>
        <v>COCKINGS Matthew</v>
      </c>
      <c r="G275" s="18" t="str">
        <f t="shared" si="80"/>
        <v>Sheff+D</v>
      </c>
      <c r="H275" s="524">
        <f ca="1">IFERROR(INDIRECT(CONCATENATE("'Distance Input'!"&amp;B262&amp;C262+11)),"")</f>
        <v>5.66</v>
      </c>
      <c r="I275" s="525"/>
      <c r="J275" s="524">
        <v>0</v>
      </c>
      <c r="K275" s="525"/>
      <c r="L275" s="524">
        <v>0</v>
      </c>
      <c r="M275" s="525"/>
      <c r="N275" s="539">
        <f t="shared" ca="1" si="84"/>
        <v>5.66</v>
      </c>
      <c r="O275" s="540"/>
      <c r="P275" s="55">
        <v>0</v>
      </c>
      <c r="Q275" s="541">
        <v>0</v>
      </c>
      <c r="R275" s="541"/>
      <c r="S275" s="541">
        <v>0</v>
      </c>
      <c r="T275" s="541"/>
      <c r="U275" s="541">
        <v>0</v>
      </c>
      <c r="V275" s="541"/>
      <c r="W275" s="524">
        <f t="shared" ca="1" si="85"/>
        <v>5.66</v>
      </c>
      <c r="X275" s="525"/>
      <c r="Y275" s="55">
        <f ca="1">IF(OR(W275="",W275=0),0,IF(W275="X",MatchDay!$U$2+MatchDay!$U$2+1-COUNTIF(Distance!W264:W275,"X"),RANK(W275,$W264:$X279,0)))</f>
        <v>5</v>
      </c>
      <c r="Z275" s="19" t="str">
        <f ca="1">IFERROR(IF(Y275=0,0,IF(VLOOKUP(AG275,E264:Y271,21,FALSE)=0,"A",IF(Y275&gt;=VLOOKUP(AG275,E264:Y271,21,FALSE),"B","A"))),"")</f>
        <v>A</v>
      </c>
      <c r="AA275" s="19">
        <f ca="1">IFERROR(IF(Z275="B","",RANK(AD275,AD264:AD279,1)),"")</f>
        <v>4</v>
      </c>
      <c r="AB275" s="19" t="str">
        <f ca="1">IFERROR(IF(Z275="A","",RANK(AE275,AE264:AE279,1)),"")</f>
        <v/>
      </c>
      <c r="AD275" s="9">
        <f t="shared" ca="1" si="86"/>
        <v>5</v>
      </c>
      <c r="AE275" s="9" t="str">
        <f t="shared" ca="1" si="87"/>
        <v/>
      </c>
      <c r="AF275" s="9" t="s">
        <v>179</v>
      </c>
      <c r="AG275" s="4">
        <f>IFERROR(IF(A263=0,E275/11,LEFT(E275,1)),"")</f>
        <v>2</v>
      </c>
    </row>
    <row r="276" spans="1:33" s="4" customFormat="1" ht="15.95" customHeight="1" x14ac:dyDescent="0.35">
      <c r="A276" s="8">
        <f>IFERROR(IF(A263=0,A268*11,A268&amp;A268),"-")</f>
        <v>55</v>
      </c>
      <c r="B276" s="7" t="str">
        <f t="shared" ca="1" si="81"/>
        <v/>
      </c>
      <c r="C276" s="7">
        <f t="shared" ca="1" si="82"/>
        <v>3</v>
      </c>
      <c r="D276" s="55">
        <v>13</v>
      </c>
      <c r="E276" s="17">
        <f t="shared" si="83"/>
        <v>55</v>
      </c>
      <c r="F276" s="18" t="str">
        <f ca="1">IFERROR(IF(A263=0,HLOOKUP(E276,Declarations!$D$2:$S$102,B261,FALSE),HLOOKUP(VLOOKUP(E276,Teams!$V$2:$W$19,2,FALSE),Declarations!$D$2:$S$102,B261,FALSE)),"")</f>
        <v>PELL Nathan</v>
      </c>
      <c r="G276" s="18" t="str">
        <f t="shared" si="80"/>
        <v>Scun</v>
      </c>
      <c r="H276" s="524">
        <f ca="1">IFERROR(INDIRECT(CONCATENATE("'Distance Input'!"&amp;B262&amp;C262+12)),"")</f>
        <v>4.32</v>
      </c>
      <c r="I276" s="525"/>
      <c r="J276" s="524">
        <v>0</v>
      </c>
      <c r="K276" s="525"/>
      <c r="L276" s="524">
        <v>0</v>
      </c>
      <c r="M276" s="525"/>
      <c r="N276" s="539">
        <f t="shared" ca="1" si="84"/>
        <v>4.32</v>
      </c>
      <c r="O276" s="540"/>
      <c r="P276" s="55">
        <v>0</v>
      </c>
      <c r="Q276" s="541">
        <v>0</v>
      </c>
      <c r="R276" s="541"/>
      <c r="S276" s="541">
        <v>0</v>
      </c>
      <c r="T276" s="541"/>
      <c r="U276" s="541">
        <v>0</v>
      </c>
      <c r="V276" s="541"/>
      <c r="W276" s="524">
        <f t="shared" ca="1" si="85"/>
        <v>4.32</v>
      </c>
      <c r="X276" s="525"/>
      <c r="Y276" s="55">
        <f ca="1">IF(OR(W276="",W276=0),0,IF(W276="X",MatchDay!$U$2+MatchDay!$U$2+1-COUNTIF(Distance!W264:W276,"X"),RANK(W276,$W264:$X279,0)))</f>
        <v>8</v>
      </c>
      <c r="Z276" s="19" t="str">
        <f ca="1">IFERROR(IF(Y276=0,0,IF(VLOOKUP(AG276,E264:Y271,21,FALSE)=0,"A",IF(Y276&gt;=VLOOKUP(AG276,E264:Y271,21,FALSE),"B","A"))),"")</f>
        <v>B</v>
      </c>
      <c r="AA276" s="19" t="str">
        <f ca="1">IFERROR(IF(Z276="B","",RANK(AD276,AD264:AD279,1)),"")</f>
        <v/>
      </c>
      <c r="AB276" s="19">
        <f ca="1">IFERROR(IF(Z276="A","",RANK(AE276,AE264:AE279,1)),"")</f>
        <v>3</v>
      </c>
      <c r="AD276" s="9" t="str">
        <f t="shared" ca="1" si="86"/>
        <v/>
      </c>
      <c r="AE276" s="9">
        <f t="shared" ca="1" si="87"/>
        <v>8</v>
      </c>
      <c r="AF276" s="9" t="s">
        <v>179</v>
      </c>
      <c r="AG276" s="4">
        <f>IFERROR(IF(A263=0,E276/11,LEFT(E276,1)),"")</f>
        <v>5</v>
      </c>
    </row>
    <row r="277" spans="1:33" s="4" customFormat="1" ht="15.95" customHeight="1" x14ac:dyDescent="0.35">
      <c r="A277" s="8" t="str">
        <f>IFERROR(IF(A263=0,A269*11,A269&amp;A269),"-")</f>
        <v>-</v>
      </c>
      <c r="B277" s="7" t="str">
        <f t="shared" ca="1" si="81"/>
        <v/>
      </c>
      <c r="C277" s="7" t="str">
        <f t="shared" ca="1" si="82"/>
        <v/>
      </c>
      <c r="D277" s="55">
        <v>14</v>
      </c>
      <c r="E277" s="17" t="str">
        <f t="shared" si="83"/>
        <v>-</v>
      </c>
      <c r="F277" s="18" t="str">
        <f>IFERROR(IF(A263=0,HLOOKUP(E277,Declarations!$D$2:$S$102,B261,FALSE),HLOOKUP(VLOOKUP(E277,Teams!$V$2:$W$19,2,FALSE),Declarations!$D$2:$S$102,B261,FALSE)),"")</f>
        <v/>
      </c>
      <c r="G277" s="18" t="str">
        <f t="shared" si="80"/>
        <v/>
      </c>
      <c r="H277" s="524">
        <f ca="1">IFERROR(INDIRECT(CONCATENATE("'Distance Input'!"&amp;B262&amp;C262+13)),"")</f>
        <v>0</v>
      </c>
      <c r="I277" s="525"/>
      <c r="J277" s="524">
        <v>0</v>
      </c>
      <c r="K277" s="525"/>
      <c r="L277" s="524">
        <v>0</v>
      </c>
      <c r="M277" s="525"/>
      <c r="N277" s="539">
        <f t="shared" ca="1" si="84"/>
        <v>0</v>
      </c>
      <c r="O277" s="540"/>
      <c r="P277" s="55">
        <v>0</v>
      </c>
      <c r="Q277" s="541">
        <v>0</v>
      </c>
      <c r="R277" s="541"/>
      <c r="S277" s="541">
        <v>0</v>
      </c>
      <c r="T277" s="541"/>
      <c r="U277" s="541">
        <v>0</v>
      </c>
      <c r="V277" s="541"/>
      <c r="W277" s="524">
        <f t="shared" ca="1" si="85"/>
        <v>0</v>
      </c>
      <c r="X277" s="525"/>
      <c r="Y277" s="55">
        <f ca="1">IF(OR(W277="",W277=0),0,IF(W277="X",MatchDay!$U$2+MatchDay!$U$2+1-COUNTIF(Distance!W264:W277,"X"),RANK(W277,$W264:$X279,0)))</f>
        <v>0</v>
      </c>
      <c r="Z277" s="19">
        <f ca="1">IFERROR(IF(Y277=0,0,IF(VLOOKUP(AG277,E264:Y271,21,FALSE)=0,"A",IF(Y277&gt;=VLOOKUP(AG277,E264:Y271,21,FALSE),"B","A"))),"")</f>
        <v>0</v>
      </c>
      <c r="AA277" s="19" t="str">
        <f ca="1">IFERROR(IF(Z277="B","",RANK(AD277,AD264:AD279,1)),"")</f>
        <v/>
      </c>
      <c r="AB277" s="19" t="str">
        <f ca="1">IFERROR(IF(Z277="A","",RANK(AE277,AE264:AE279,1)),"")</f>
        <v/>
      </c>
      <c r="AD277" s="9" t="str">
        <f t="shared" ca="1" si="86"/>
        <v/>
      </c>
      <c r="AE277" s="9" t="str">
        <f t="shared" ca="1" si="87"/>
        <v/>
      </c>
      <c r="AF277" s="9" t="s">
        <v>179</v>
      </c>
      <c r="AG277" s="4" t="str">
        <f>IFERROR(IF(A263=0,E277/11,LEFT(E277,1)),"")</f>
        <v/>
      </c>
    </row>
    <row r="278" spans="1:33" s="4" customFormat="1" ht="15.95" customHeight="1" x14ac:dyDescent="0.35">
      <c r="A278" s="8" t="str">
        <f>IFERROR(IF(A263=0,A270*11,A270&amp;A270),"-")</f>
        <v>-</v>
      </c>
      <c r="B278" s="7" t="str">
        <f t="shared" ca="1" si="81"/>
        <v/>
      </c>
      <c r="C278" s="7" t="str">
        <f t="shared" ca="1" si="82"/>
        <v/>
      </c>
      <c r="D278" s="55">
        <v>15</v>
      </c>
      <c r="E278" s="17" t="str">
        <f t="shared" si="83"/>
        <v>-</v>
      </c>
      <c r="F278" s="18" t="str">
        <f>IFERROR(IF(A263=0,HLOOKUP(E278,Declarations!$D$2:$S$102,B261,FALSE),HLOOKUP(VLOOKUP(E278,Teams!$V$2:$W$19,2,FALSE),Declarations!$D$2:$S$102,B261,FALSE)),"")</f>
        <v/>
      </c>
      <c r="G278" s="18" t="str">
        <f t="shared" si="80"/>
        <v/>
      </c>
      <c r="H278" s="524">
        <f ca="1">IFERROR(INDIRECT(CONCATENATE("'Distance Input'!"&amp;B262&amp;C262+14)),"")</f>
        <v>0</v>
      </c>
      <c r="I278" s="525"/>
      <c r="J278" s="524">
        <v>0</v>
      </c>
      <c r="K278" s="525"/>
      <c r="L278" s="524">
        <v>0</v>
      </c>
      <c r="M278" s="525"/>
      <c r="N278" s="539">
        <f t="shared" ca="1" si="84"/>
        <v>0</v>
      </c>
      <c r="O278" s="540"/>
      <c r="P278" s="55">
        <v>0</v>
      </c>
      <c r="Q278" s="541">
        <v>0</v>
      </c>
      <c r="R278" s="541"/>
      <c r="S278" s="541">
        <v>0</v>
      </c>
      <c r="T278" s="541"/>
      <c r="U278" s="541">
        <v>0</v>
      </c>
      <c r="V278" s="541"/>
      <c r="W278" s="524">
        <f t="shared" ca="1" si="85"/>
        <v>0</v>
      </c>
      <c r="X278" s="525"/>
      <c r="Y278" s="55">
        <f ca="1">IF(OR(W278="",W278=0),0,IF(W278="X",MatchDay!$U$2+MatchDay!$U$2+1-COUNTIF(Distance!W264:W278,"X"),RANK(W278,$W264:$X279,0)))</f>
        <v>0</v>
      </c>
      <c r="Z278" s="19">
        <f ca="1">IFERROR(IF(Y278=0,0,IF(VLOOKUP(AG278,E264:Y271,21,FALSE)=0,"A",IF(Y278&gt;=VLOOKUP(AG278,E264:Y271,21,FALSE),"B","A"))),"")</f>
        <v>0</v>
      </c>
      <c r="AA278" s="19" t="str">
        <f ca="1">IFERROR(IF(Z278="B","",RANK(AD278,AD264:AD279,1)),"")</f>
        <v/>
      </c>
      <c r="AB278" s="19" t="str">
        <f ca="1">IFERROR(IF(Z278="A","",RANK(AE278,AE264:AE279,1)),"")</f>
        <v/>
      </c>
      <c r="AD278" s="9" t="str">
        <f t="shared" ca="1" si="86"/>
        <v/>
      </c>
      <c r="AE278" s="9" t="str">
        <f t="shared" ca="1" si="87"/>
        <v/>
      </c>
      <c r="AF278" s="9" t="s">
        <v>179</v>
      </c>
      <c r="AG278" s="4" t="str">
        <f>IFERROR(IF(A263=0,E278/11,LEFT(E278,1)),"")</f>
        <v/>
      </c>
    </row>
    <row r="279" spans="1:33" s="4" customFormat="1" ht="15.95" customHeight="1" x14ac:dyDescent="0.35">
      <c r="A279" s="8" t="str">
        <f>IFERROR(IF(A263=0,A271*11,A271&amp;A271),"-")</f>
        <v>-</v>
      </c>
      <c r="B279" s="7" t="str">
        <f t="shared" ca="1" si="81"/>
        <v/>
      </c>
      <c r="C279" s="7" t="str">
        <f t="shared" ca="1" si="82"/>
        <v/>
      </c>
      <c r="D279" s="55">
        <v>16</v>
      </c>
      <c r="E279" s="17" t="str">
        <f t="shared" si="83"/>
        <v>-</v>
      </c>
      <c r="F279" s="18" t="str">
        <f>IFERROR(IF(A263=0,HLOOKUP(E279,Declarations!$D$2:$S$102,B261,FALSE),HLOOKUP(VLOOKUP(E279,Teams!$V$2:$W$19,2,FALSE),Declarations!$D$2:$S$102,B261,FALSE)),"")</f>
        <v/>
      </c>
      <c r="G279" s="18" t="str">
        <f t="shared" si="80"/>
        <v/>
      </c>
      <c r="H279" s="524">
        <f ca="1">IFERROR(INDIRECT(CONCATENATE("'Distance Input'!"&amp;B262&amp;C262+15)),"")</f>
        <v>0</v>
      </c>
      <c r="I279" s="525"/>
      <c r="J279" s="524">
        <v>0</v>
      </c>
      <c r="K279" s="525"/>
      <c r="L279" s="524">
        <v>0</v>
      </c>
      <c r="M279" s="525"/>
      <c r="N279" s="539">
        <f t="shared" ca="1" si="84"/>
        <v>0</v>
      </c>
      <c r="O279" s="540"/>
      <c r="P279" s="55">
        <v>0</v>
      </c>
      <c r="Q279" s="541">
        <v>0</v>
      </c>
      <c r="R279" s="541"/>
      <c r="S279" s="541">
        <v>0</v>
      </c>
      <c r="T279" s="541"/>
      <c r="U279" s="541">
        <v>0</v>
      </c>
      <c r="V279" s="541"/>
      <c r="W279" s="524">
        <f t="shared" ca="1" si="85"/>
        <v>0</v>
      </c>
      <c r="X279" s="525"/>
      <c r="Y279" s="55">
        <f ca="1">IF(OR(W279="",W279=0),0,IF(W279="X",MatchDay!$U$2+MatchDay!$U$2+1-COUNTIF(Distance!W264:W279,"X"),RANK(W279,$W264:$X279,0)))</f>
        <v>0</v>
      </c>
      <c r="Z279" s="19">
        <f ca="1">IFERROR(IF(Y279=0,0,IF(VLOOKUP(AG279,E264:Y271,21,FALSE)=0,"A",IF(Y279&gt;=VLOOKUP(AG279,E264:Y271,21,FALSE),"B","A"))),"")</f>
        <v>0</v>
      </c>
      <c r="AA279" s="19" t="str">
        <f ca="1">IFERROR(IF(Z279="B","",RANK(AD279,AD264:AD279,1)),"")</f>
        <v/>
      </c>
      <c r="AB279" s="19" t="str">
        <f ca="1">IFERROR(IF(Z279="A","",RANK(AE279,AE264:AE279,1)),"")</f>
        <v/>
      </c>
      <c r="AD279" s="9" t="str">
        <f t="shared" ca="1" si="86"/>
        <v/>
      </c>
      <c r="AE279" s="9" t="str">
        <f t="shared" ca="1" si="87"/>
        <v/>
      </c>
      <c r="AF279" s="9" t="s">
        <v>179</v>
      </c>
      <c r="AG279" s="4" t="str">
        <f>IFERROR(IF(A263=0,E279/11,LEFT(E279,1)),"")</f>
        <v/>
      </c>
    </row>
    <row r="280" spans="1:33" s="4" customFormat="1" ht="11.65" x14ac:dyDescent="0.45">
      <c r="A280" s="8"/>
      <c r="B280" s="10"/>
      <c r="C280" s="3"/>
      <c r="D280" s="20"/>
      <c r="E280" s="20"/>
      <c r="F280" s="21"/>
      <c r="G280" s="21"/>
      <c r="H280" s="20"/>
      <c r="I280" s="20"/>
      <c r="J280" s="20"/>
      <c r="K280" s="20"/>
      <c r="L280" s="20"/>
      <c r="M280" s="20"/>
      <c r="N280" s="20"/>
      <c r="O280" s="20"/>
      <c r="P280" s="20"/>
      <c r="Q280" s="20"/>
      <c r="R280" s="20"/>
      <c r="S280" s="20"/>
      <c r="T280" s="20"/>
      <c r="U280" s="20"/>
      <c r="V280" s="20"/>
      <c r="W280" s="20"/>
      <c r="X280" s="20"/>
      <c r="Y280" s="20"/>
      <c r="Z280" s="20"/>
      <c r="AA280" s="20"/>
      <c r="AB280" s="22"/>
    </row>
    <row r="281" spans="1:33" s="4" customFormat="1" ht="11.65" x14ac:dyDescent="0.45">
      <c r="A281" s="8"/>
      <c r="B281" s="10"/>
      <c r="C281" s="3"/>
      <c r="D281" s="533" t="s">
        <v>180</v>
      </c>
      <c r="E281" s="547"/>
      <c r="F281" s="547"/>
      <c r="G281" s="547"/>
      <c r="H281" s="547"/>
      <c r="I281" s="547"/>
      <c r="J281" s="512" t="s">
        <v>181</v>
      </c>
      <c r="K281" s="548"/>
      <c r="L281" s="548"/>
      <c r="M281" s="548"/>
      <c r="N281" s="548"/>
      <c r="O281" s="548"/>
      <c r="P281" s="548"/>
      <c r="Q281" s="548"/>
      <c r="R281" s="548"/>
      <c r="S281" s="548"/>
      <c r="T281" s="548"/>
      <c r="U281" s="549"/>
      <c r="V281" s="512" t="s">
        <v>182</v>
      </c>
      <c r="W281" s="513"/>
      <c r="X281" s="513"/>
      <c r="Y281" s="513"/>
      <c r="Z281" s="513"/>
      <c r="AA281" s="513"/>
      <c r="AB281" s="514"/>
    </row>
    <row r="282" spans="1:33" s="4" customFormat="1" ht="11.65" x14ac:dyDescent="0.45">
      <c r="A282" s="8" t="s">
        <v>55</v>
      </c>
      <c r="B282" s="10"/>
      <c r="C282" s="3"/>
      <c r="D282" s="12"/>
      <c r="E282" s="55" t="s">
        <v>183</v>
      </c>
      <c r="F282" s="55" t="s">
        <v>165</v>
      </c>
      <c r="G282" s="55" t="s">
        <v>166</v>
      </c>
      <c r="H282" s="533" t="s">
        <v>184</v>
      </c>
      <c r="I282" s="533"/>
      <c r="J282" s="23"/>
      <c r="K282" s="54" t="s">
        <v>183</v>
      </c>
      <c r="L282" s="512" t="s">
        <v>165</v>
      </c>
      <c r="M282" s="513"/>
      <c r="N282" s="513"/>
      <c r="O282" s="514"/>
      <c r="P282" s="512" t="s">
        <v>166</v>
      </c>
      <c r="Q282" s="513"/>
      <c r="R282" s="513"/>
      <c r="S282" s="514"/>
      <c r="T282" s="512" t="s">
        <v>184</v>
      </c>
      <c r="U282" s="514"/>
      <c r="V282" s="24"/>
      <c r="W282" s="25"/>
      <c r="X282" s="25"/>
      <c r="Y282" s="25"/>
      <c r="Z282" s="25"/>
      <c r="AA282" s="25"/>
      <c r="AB282" s="26"/>
    </row>
    <row r="283" spans="1:33" s="4" customFormat="1" ht="15.95" customHeight="1" x14ac:dyDescent="0.45">
      <c r="A283" s="11">
        <f>IFERROR(VLOOKUP(A260,standards,3,FALSE),"-")</f>
        <v>9.25</v>
      </c>
      <c r="B283" s="10">
        <v>1</v>
      </c>
      <c r="C283" s="3"/>
      <c r="D283" s="55">
        <v>1</v>
      </c>
      <c r="E283" s="19">
        <f ca="1">IFERROR(IF(OR(H264=98,H264=99),H264,VLOOKUP(B283,B264:E279,4,FALSE)),0)</f>
        <v>3</v>
      </c>
      <c r="F283" s="27" t="str">
        <f ca="1">IFERROR(VLOOKUP(E283,$E264:$F279,2,FALSE),"")</f>
        <v>WALSH Lincoln</v>
      </c>
      <c r="G283" s="18" t="str">
        <f t="shared" ref="G283:G290" ca="1" si="88">IFERROR(VLOOKUP(E283,teamlookup,5,FALSE),"-")</f>
        <v>York</v>
      </c>
      <c r="H283" s="542">
        <f ca="1">IFERROR(VLOOKUP(E283,E264:X279,19,FALSE),"")</f>
        <v>8.49</v>
      </c>
      <c r="I283" s="543"/>
      <c r="J283" s="55">
        <v>1</v>
      </c>
      <c r="K283" s="55">
        <f ca="1">IFERROR(VLOOKUP(B283,C264:X279,3,FALSE),"")</f>
        <v>33</v>
      </c>
      <c r="L283" s="544" t="str">
        <f ca="1">IFERROR(VLOOKUP(K283,$E264:$F279,2,FALSE),"")</f>
        <v>ROTHWELL Noah</v>
      </c>
      <c r="M283" s="545"/>
      <c r="N283" s="545"/>
      <c r="O283" s="546"/>
      <c r="P283" s="544" t="str">
        <f t="shared" ref="P283:P290" ca="1" si="89">IFERROR(VLOOKUP(K283,teamlookup,5,FALSE),"-")</f>
        <v>York</v>
      </c>
      <c r="Q283" s="545"/>
      <c r="R283" s="545"/>
      <c r="S283" s="546"/>
      <c r="T283" s="524">
        <f ca="1">IFERROR(VLOOKUP(K283,E264:X279,19,FALSE),"")</f>
        <v>6.14</v>
      </c>
      <c r="U283" s="525"/>
      <c r="V283" s="28"/>
      <c r="W283" s="29"/>
      <c r="X283" s="29"/>
      <c r="Y283" s="29"/>
      <c r="Z283" s="29"/>
      <c r="AA283" s="29"/>
      <c r="AB283" s="30"/>
    </row>
    <row r="284" spans="1:33" s="4" customFormat="1" ht="15.95" customHeight="1" x14ac:dyDescent="0.45">
      <c r="A284" s="11">
        <f>IFERROR(VLOOKUP(A260,standards,4,FALSE),"-")</f>
        <v>8.5500000000000007</v>
      </c>
      <c r="B284" s="10">
        <v>2</v>
      </c>
      <c r="C284" s="3"/>
      <c r="D284" s="55">
        <v>2</v>
      </c>
      <c r="E284" s="19">
        <f ca="1">IFERROR(VLOOKUP(B284,B264:E279,4,FALSE),"")</f>
        <v>4</v>
      </c>
      <c r="F284" s="27" t="str">
        <f ca="1">IFERROR(VLOOKUP(E284,$E264:$F279,2,FALSE),"")</f>
        <v>FRANCIS Stan</v>
      </c>
      <c r="G284" s="18" t="str">
        <f t="shared" ca="1" si="88"/>
        <v>M'bro</v>
      </c>
      <c r="H284" s="542">
        <f ca="1">IFERROR(VLOOKUP(E284,E264:X279,19,FALSE),"")</f>
        <v>6.45</v>
      </c>
      <c r="I284" s="543"/>
      <c r="J284" s="55">
        <v>2</v>
      </c>
      <c r="K284" s="55">
        <f ca="1">IFERROR(VLOOKUP(B284,C264:X279,3,FALSE),"")</f>
        <v>2</v>
      </c>
      <c r="L284" s="544" t="str">
        <f ca="1">IFERROR(VLOOKUP(K284,$E264:$F279,2,FALSE),"")</f>
        <v>HENNESSEY Thomas</v>
      </c>
      <c r="M284" s="545"/>
      <c r="N284" s="545"/>
      <c r="O284" s="546"/>
      <c r="P284" s="544" t="str">
        <f t="shared" ca="1" si="89"/>
        <v>Sheff+D</v>
      </c>
      <c r="Q284" s="545"/>
      <c r="R284" s="545"/>
      <c r="S284" s="546"/>
      <c r="T284" s="524">
        <f ca="1">IFERROR(VLOOKUP(K284,E264:X279,19,FALSE),"")</f>
        <v>5.63</v>
      </c>
      <c r="U284" s="525"/>
      <c r="V284" s="24"/>
      <c r="W284" s="25"/>
      <c r="X284" s="25"/>
      <c r="Y284" s="25"/>
      <c r="Z284" s="25"/>
      <c r="AA284" s="25"/>
      <c r="AB284" s="26"/>
    </row>
    <row r="285" spans="1:33" s="4" customFormat="1" ht="15.95" customHeight="1" x14ac:dyDescent="0.45">
      <c r="A285" s="11">
        <f>IFERROR(VLOOKUP(A260,standards,5,FALSE),"-")</f>
        <v>7.95</v>
      </c>
      <c r="B285" s="10">
        <v>3</v>
      </c>
      <c r="C285" s="3"/>
      <c r="D285" s="55">
        <v>3</v>
      </c>
      <c r="E285" s="19">
        <f ca="1">IFERROR(VLOOKUP(B285,B264:E279,4,FALSE),"")</f>
        <v>1</v>
      </c>
      <c r="F285" s="27" t="str">
        <f ca="1">IFERROR(VLOOKUP(E285,$E264:$F279,2,FALSE),"")</f>
        <v>STOWELL Callum</v>
      </c>
      <c r="G285" s="18" t="str">
        <f t="shared" ca="1" si="88"/>
        <v>C'field</v>
      </c>
      <c r="H285" s="542">
        <f ca="1">IFERROR(VLOOKUP(E285,E264:X279,19,FALSE),"")</f>
        <v>5.71</v>
      </c>
      <c r="I285" s="543"/>
      <c r="J285" s="55">
        <v>3</v>
      </c>
      <c r="K285" s="55">
        <f ca="1">IFERROR(VLOOKUP(B285,C264:X279,3,FALSE),"")</f>
        <v>55</v>
      </c>
      <c r="L285" s="544" t="str">
        <f ca="1">IFERROR(VLOOKUP(K285,$E264:$F279,2,FALSE),"")</f>
        <v>PELL Nathan</v>
      </c>
      <c r="M285" s="545"/>
      <c r="N285" s="545"/>
      <c r="O285" s="546"/>
      <c r="P285" s="544" t="str">
        <f t="shared" ca="1" si="89"/>
        <v>Scun</v>
      </c>
      <c r="Q285" s="545"/>
      <c r="R285" s="545"/>
      <c r="S285" s="546"/>
      <c r="T285" s="524">
        <f ca="1">IFERROR(VLOOKUP(K285,E264:X279,19,FALSE),"")</f>
        <v>4.32</v>
      </c>
      <c r="U285" s="525"/>
      <c r="V285" s="28"/>
      <c r="W285" s="29"/>
      <c r="X285" s="29"/>
      <c r="Y285" s="29"/>
      <c r="Z285" s="29"/>
      <c r="AA285" s="29"/>
      <c r="AB285" s="30"/>
    </row>
    <row r="286" spans="1:33" s="4" customFormat="1" ht="15.95" customHeight="1" x14ac:dyDescent="0.45">
      <c r="A286" s="11">
        <f>IFERROR(VLOOKUP(A260,AAA!A:F,6,FALSE),"-")</f>
        <v>7.05</v>
      </c>
      <c r="B286" s="10">
        <v>4</v>
      </c>
      <c r="C286" s="3"/>
      <c r="D286" s="55">
        <v>4</v>
      </c>
      <c r="E286" s="19">
        <f ca="1">IFERROR(VLOOKUP(B286,B264:E279,4,FALSE),"")</f>
        <v>22</v>
      </c>
      <c r="F286" s="27" t="str">
        <f ca="1">IFERROR(VLOOKUP(E286,$E264:$F279,2,FALSE),"")</f>
        <v>COCKINGS Matthew</v>
      </c>
      <c r="G286" s="18" t="str">
        <f t="shared" ca="1" si="88"/>
        <v>Sheff+D</v>
      </c>
      <c r="H286" s="542">
        <f ca="1">IFERROR(VLOOKUP(E286,E264:X279,19,FALSE),"")</f>
        <v>5.66</v>
      </c>
      <c r="I286" s="543"/>
      <c r="J286" s="55">
        <v>4</v>
      </c>
      <c r="K286" s="55">
        <f ca="1">IFERROR(VLOOKUP(B286,C264:X279,3,FALSE),"")</f>
        <v>11</v>
      </c>
      <c r="L286" s="544" t="str">
        <f ca="1">IFERROR(VLOOKUP(K286,$E264:$F279,2,FALSE),"")</f>
        <v>DREW Matthew</v>
      </c>
      <c r="M286" s="545"/>
      <c r="N286" s="545"/>
      <c r="O286" s="546"/>
      <c r="P286" s="544" t="str">
        <f t="shared" ca="1" si="89"/>
        <v>C'field</v>
      </c>
      <c r="Q286" s="545"/>
      <c r="R286" s="545"/>
      <c r="S286" s="546"/>
      <c r="T286" s="524">
        <f ca="1">IFERROR(VLOOKUP(K286,E264:X279,19,FALSE),"")</f>
        <v>3.9</v>
      </c>
      <c r="U286" s="525"/>
      <c r="V286" s="24"/>
      <c r="W286" s="25"/>
      <c r="X286" s="25"/>
      <c r="Y286" s="25"/>
      <c r="Z286" s="25"/>
      <c r="AA286" s="25"/>
      <c r="AB286" s="26"/>
    </row>
    <row r="287" spans="1:33" s="4" customFormat="1" ht="15.95" customHeight="1" x14ac:dyDescent="0.45">
      <c r="A287" s="8"/>
      <c r="B287" s="10">
        <v>5</v>
      </c>
      <c r="C287" s="3"/>
      <c r="D287" s="55">
        <v>5</v>
      </c>
      <c r="E287" s="19">
        <f ca="1">IFERROR(VLOOKUP(B287,B264:E279,4,FALSE),"")</f>
        <v>5</v>
      </c>
      <c r="F287" s="27" t="str">
        <f ca="1">IFERROR(VLOOKUP(E287,$E264:$F279,2,FALSE),"")</f>
        <v>COOK Alexander</v>
      </c>
      <c r="G287" s="18" t="str">
        <f t="shared" ca="1" si="88"/>
        <v>Scun</v>
      </c>
      <c r="H287" s="542">
        <f ca="1">IFERROR(VLOOKUP(E287,E264:X279,19,FALSE),"")</f>
        <v>5.19</v>
      </c>
      <c r="I287" s="543"/>
      <c r="J287" s="55">
        <v>5</v>
      </c>
      <c r="K287" s="55" t="str">
        <f ca="1">IFERROR(VLOOKUP(B287,C264:X279,3,FALSE),"")</f>
        <v/>
      </c>
      <c r="L287" s="544" t="str">
        <f ca="1">IFERROR(VLOOKUP(K287,$E264:$F279,2,FALSE),"")</f>
        <v/>
      </c>
      <c r="M287" s="545"/>
      <c r="N287" s="545"/>
      <c r="O287" s="546"/>
      <c r="P287" s="544" t="str">
        <f t="shared" ca="1" si="89"/>
        <v>-</v>
      </c>
      <c r="Q287" s="545"/>
      <c r="R287" s="545"/>
      <c r="S287" s="546"/>
      <c r="T287" s="524" t="str">
        <f ca="1">IFERROR(VLOOKUP(K287,E264:X279,19,FALSE),"")</f>
        <v/>
      </c>
      <c r="U287" s="525"/>
      <c r="V287" s="28"/>
      <c r="W287" s="29"/>
      <c r="X287" s="29"/>
      <c r="Y287" s="29"/>
      <c r="Z287" s="29"/>
      <c r="AA287" s="29"/>
      <c r="AB287" s="30"/>
    </row>
    <row r="288" spans="1:33" s="4" customFormat="1" ht="15.95" customHeight="1" x14ac:dyDescent="0.45">
      <c r="A288" s="8" t="s">
        <v>204</v>
      </c>
      <c r="B288" s="10">
        <v>6</v>
      </c>
      <c r="C288" s="3"/>
      <c r="D288" s="55">
        <v>6</v>
      </c>
      <c r="E288" s="19" t="str">
        <f ca="1">IFERROR(VLOOKUP(B288,B264:E279,4,FALSE),"")</f>
        <v/>
      </c>
      <c r="F288" s="27" t="str">
        <f ca="1">IFERROR(VLOOKUP(E288,$E264:$F279,2,FALSE),"")</f>
        <v/>
      </c>
      <c r="G288" s="18" t="str">
        <f t="shared" ca="1" si="88"/>
        <v>-</v>
      </c>
      <c r="H288" s="542" t="str">
        <f ca="1">IFERROR(VLOOKUP(E288,E264:X279,19,FALSE),"")</f>
        <v/>
      </c>
      <c r="I288" s="543"/>
      <c r="J288" s="55">
        <v>6</v>
      </c>
      <c r="K288" s="55" t="str">
        <f ca="1">IFERROR(VLOOKUP(B288,C264:X279,3,FALSE),"")</f>
        <v/>
      </c>
      <c r="L288" s="544" t="str">
        <f ca="1">IFERROR(VLOOKUP(K288,$E264:$F279,2,FALSE),"")</f>
        <v/>
      </c>
      <c r="M288" s="545"/>
      <c r="N288" s="545"/>
      <c r="O288" s="546"/>
      <c r="P288" s="544" t="str">
        <f t="shared" ca="1" si="89"/>
        <v>-</v>
      </c>
      <c r="Q288" s="545"/>
      <c r="R288" s="545"/>
      <c r="S288" s="546"/>
      <c r="T288" s="524" t="str">
        <f ca="1">IFERROR(VLOOKUP(K288,E264:X279,19,FALSE),"")</f>
        <v/>
      </c>
      <c r="U288" s="525"/>
      <c r="V288" s="512" t="s">
        <v>185</v>
      </c>
      <c r="W288" s="513"/>
      <c r="X288" s="513"/>
      <c r="Y288" s="513"/>
      <c r="Z288" s="513"/>
      <c r="AA288" s="513"/>
      <c r="AB288" s="514"/>
    </row>
    <row r="289" spans="1:33" s="4" customFormat="1" ht="15.95" customHeight="1" x14ac:dyDescent="0.45">
      <c r="A289" s="8">
        <f>IFERROR(VLOOKUP(A260,records,5,FALSE),"")</f>
        <v>12.35</v>
      </c>
      <c r="B289" s="10">
        <v>7</v>
      </c>
      <c r="C289" s="3"/>
      <c r="D289" s="55">
        <v>7</v>
      </c>
      <c r="E289" s="19" t="str">
        <f ca="1">IFERROR(VLOOKUP(B289,B264:E279,4,FALSE),"")</f>
        <v/>
      </c>
      <c r="F289" s="27" t="str">
        <f ca="1">IFERROR(VLOOKUP(E289,$E264:$F279,2,FALSE),"")</f>
        <v/>
      </c>
      <c r="G289" s="18" t="str">
        <f t="shared" ca="1" si="88"/>
        <v>-</v>
      </c>
      <c r="H289" s="542" t="str">
        <f ca="1">IFERROR(VLOOKUP(E289,E264:X279,19,FALSE),"")</f>
        <v/>
      </c>
      <c r="I289" s="543"/>
      <c r="J289" s="55">
        <v>7</v>
      </c>
      <c r="K289" s="55" t="str">
        <f ca="1">IFERROR(VLOOKUP(B289,C264:X279,3,FALSE),"")</f>
        <v/>
      </c>
      <c r="L289" s="544" t="str">
        <f ca="1">IFERROR(VLOOKUP(K289,$E264:$F279,2,FALSE),"")</f>
        <v/>
      </c>
      <c r="M289" s="545"/>
      <c r="N289" s="545"/>
      <c r="O289" s="546"/>
      <c r="P289" s="544" t="str">
        <f t="shared" ca="1" si="89"/>
        <v>-</v>
      </c>
      <c r="Q289" s="545"/>
      <c r="R289" s="545"/>
      <c r="S289" s="546"/>
      <c r="T289" s="524" t="str">
        <f ca="1">IFERROR(VLOOKUP(K289,E264:X279,19,FALSE),"")</f>
        <v/>
      </c>
      <c r="U289" s="525"/>
      <c r="V289" s="24"/>
      <c r="W289" s="25"/>
      <c r="X289" s="25"/>
      <c r="Y289" s="25"/>
      <c r="Z289" s="25"/>
      <c r="AA289" s="25"/>
      <c r="AB289" s="26"/>
    </row>
    <row r="290" spans="1:33" s="4" customFormat="1" ht="15.95" customHeight="1" x14ac:dyDescent="0.45">
      <c r="A290" s="8"/>
      <c r="B290" s="10">
        <v>8</v>
      </c>
      <c r="C290" s="3"/>
      <c r="D290" s="55">
        <v>8</v>
      </c>
      <c r="E290" s="19" t="str">
        <f ca="1">IFERROR(VLOOKUP(B290,B264:E279,4,FALSE),"")</f>
        <v/>
      </c>
      <c r="F290" s="27" t="str">
        <f ca="1">IFERROR(VLOOKUP(E290,$E264:$F279,2,FALSE),"")</f>
        <v/>
      </c>
      <c r="G290" s="18" t="str">
        <f t="shared" ca="1" si="88"/>
        <v>-</v>
      </c>
      <c r="H290" s="542" t="str">
        <f ca="1">IFERROR(VLOOKUP(E290,E264:X279,19,FALSE),"")</f>
        <v/>
      </c>
      <c r="I290" s="543"/>
      <c r="J290" s="55">
        <v>8</v>
      </c>
      <c r="K290" s="55" t="str">
        <f ca="1">IFERROR(VLOOKUP(B290,C264:X279,3,FALSE),"")</f>
        <v/>
      </c>
      <c r="L290" s="544" t="str">
        <f ca="1">IFERROR(VLOOKUP(K290,$E264:$F279,2,FALSE),"")</f>
        <v/>
      </c>
      <c r="M290" s="545"/>
      <c r="N290" s="545"/>
      <c r="O290" s="546"/>
      <c r="P290" s="544" t="str">
        <f t="shared" ca="1" si="89"/>
        <v>-</v>
      </c>
      <c r="Q290" s="545"/>
      <c r="R290" s="545"/>
      <c r="S290" s="546"/>
      <c r="T290" s="524" t="str">
        <f ca="1">IFERROR(VLOOKUP(K290,E264:X279,19,FALSE),"")</f>
        <v/>
      </c>
      <c r="U290" s="525"/>
      <c r="V290" s="28"/>
      <c r="W290" s="29"/>
      <c r="X290" s="29"/>
      <c r="Y290" s="29"/>
      <c r="Z290" s="29"/>
      <c r="AA290" s="29"/>
      <c r="AB290" s="30"/>
    </row>
    <row r="291" spans="1:33" s="4" customFormat="1" ht="21" x14ac:dyDescent="0.45">
      <c r="A291" s="2" t="str">
        <f>MatchDay!$U$6</f>
        <v>X</v>
      </c>
      <c r="B291" s="8"/>
      <c r="C291" s="3"/>
      <c r="D291" s="502" t="s">
        <v>186</v>
      </c>
      <c r="E291" s="503"/>
      <c r="F291" s="503"/>
      <c r="G291" s="503"/>
      <c r="H291" s="503"/>
      <c r="I291" s="503"/>
      <c r="J291" s="503"/>
      <c r="K291" s="515" t="s">
        <v>187</v>
      </c>
      <c r="L291" s="516"/>
      <c r="M291" s="516"/>
      <c r="N291" s="516"/>
      <c r="O291" s="518" t="str">
        <f>MatchDay!$C$2&amp;" "&amp;MatchDay!$C$3&amp;" "&amp;MatchDay!$C$4</f>
        <v>LOWER NORTH East 1</v>
      </c>
      <c r="P291" s="519"/>
      <c r="Q291" s="519"/>
      <c r="R291" s="519"/>
      <c r="S291" s="519"/>
      <c r="T291" s="519"/>
      <c r="U291" s="519"/>
      <c r="V291" s="519"/>
      <c r="W291" s="519"/>
      <c r="X291" s="519"/>
      <c r="Y291" s="519"/>
      <c r="Z291" s="519"/>
      <c r="AA291" s="519"/>
      <c r="AB291" s="520"/>
    </row>
    <row r="292" spans="1:33" s="4" customFormat="1" ht="15.75" customHeight="1" x14ac:dyDescent="0.45">
      <c r="A292" s="1" t="str">
        <f>IFERROR(IF(LEFT(MatchDay!$C$2,1)="L","L"&amp;A294,"U"&amp;A294),"")</f>
        <v>LFD10</v>
      </c>
      <c r="B292" s="10">
        <v>315</v>
      </c>
      <c r="C292" s="3"/>
      <c r="D292" s="512" t="s">
        <v>188</v>
      </c>
      <c r="E292" s="514"/>
      <c r="F292" s="513" t="str">
        <f>IFERROR(UPPER(VLOOKUP(A293,teamlookup,6,FALSE)),"")</f>
        <v/>
      </c>
      <c r="G292" s="514"/>
      <c r="H292" s="504" t="s">
        <v>201</v>
      </c>
      <c r="I292" s="510"/>
      <c r="J292" s="505"/>
      <c r="K292" s="512" t="str">
        <f>MatchDay!$C$8</f>
        <v>@ Doncaster</v>
      </c>
      <c r="L292" s="513"/>
      <c r="M292" s="513"/>
      <c r="N292" s="513"/>
      <c r="O292" s="513"/>
      <c r="P292" s="514"/>
      <c r="Q292" s="504" t="s">
        <v>160</v>
      </c>
      <c r="R292" s="505"/>
      <c r="S292" s="521">
        <f>MatchDay!$C$7</f>
        <v>43582</v>
      </c>
      <c r="T292" s="522"/>
      <c r="U292" s="522"/>
      <c r="V292" s="522"/>
      <c r="W292" s="522"/>
      <c r="X292" s="523"/>
      <c r="Y292" s="526" t="str">
        <f>IFERROR(IF(LEFT(A292,1)="L","",VLOOKUP(A292,AAA!$A:$I,8,FALSE)),"")</f>
        <v/>
      </c>
      <c r="Z292" s="527"/>
      <c r="AA292" s="524" t="str">
        <f>IFERROR(IF(LEFT(A292,1)="L","",VLOOKUP(A292,standards,9,FALSE)),"")</f>
        <v/>
      </c>
      <c r="AB292" s="525"/>
      <c r="AC292" s="6"/>
      <c r="AD292" s="6"/>
    </row>
    <row r="293" spans="1:33" s="4" customFormat="1" ht="15.75" customHeight="1" x14ac:dyDescent="0.45">
      <c r="A293" s="5">
        <f>IFERROR(IF(A291=1,VLOOKUP(A292,judges,VLOOKUP(MatchDay!$U$2*10+MatchDay!$C$5,judgesp,5,FALSE),FALSE),VLOOKUP(Distance!A292,judges,VLOOKUP(MatchDay!$U$2*10+MatchDay!$C$5,judges2,5,FALSE),FALSE)),"")</f>
        <v>0</v>
      </c>
      <c r="B293" s="181">
        <f>IFERROR(VLOOKUP(A292,Timetables!$A:$E,5,FALSE)-1,"")</f>
        <v>91</v>
      </c>
      <c r="C293" s="3"/>
      <c r="D293" s="504" t="s">
        <v>161</v>
      </c>
      <c r="E293" s="505"/>
      <c r="F293" s="508" t="str">
        <f>IFERROR(VLOOKUP(A292,timetables,2,FALSE)&amp;" "&amp;VLOOKUP(A292,timetables,3,FALSE),"")</f>
        <v>Javelin U13 Boys</v>
      </c>
      <c r="G293" s="509"/>
      <c r="H293" s="504" t="s">
        <v>162</v>
      </c>
      <c r="I293" s="510"/>
      <c r="J293" s="505"/>
      <c r="K293" s="511">
        <f>IFERROR(IF(A291=1,VLOOKUP(A292,Timetables!$A:$G,6,FALSE),VLOOKUP(A292,Timetables!$A:$G,7,FALSE)),"")</f>
        <v>0.63194444444444442</v>
      </c>
      <c r="L293" s="511" t="e">
        <v>#N/A</v>
      </c>
      <c r="M293" s="504" t="s">
        <v>202</v>
      </c>
      <c r="N293" s="505"/>
      <c r="O293" s="506" t="str">
        <f>IFERROR(VLOOKUP(A292,records,3,FALSE)&amp;", "&amp;VLOOKUP(A292,records,4,FALSE)&amp;", "&amp;VLOOKUP(A292,records,5,FALSE)&amp;", "&amp;VLOOKUP(A292,records,6,FALSE)&amp;", "&amp;VLOOKUP(A292,records,7,FALSE)&amp;" "&amp;VLOOKUP(A292,records,8,FALSE),"")</f>
        <v>Archie Goodliff, Windsor Slough Eton &amp; Hounslow, 48.28, Eton, July 18th 2015</v>
      </c>
      <c r="P293" s="506"/>
      <c r="Q293" s="506"/>
      <c r="R293" s="506"/>
      <c r="S293" s="506"/>
      <c r="T293" s="506"/>
      <c r="U293" s="506"/>
      <c r="V293" s="506"/>
      <c r="W293" s="506"/>
      <c r="X293" s="506"/>
      <c r="Y293" s="506"/>
      <c r="Z293" s="506"/>
      <c r="AA293" s="506"/>
      <c r="AB293" s="507"/>
    </row>
    <row r="294" spans="1:33" s="4" customFormat="1" ht="32.1" customHeight="1" x14ac:dyDescent="0.45">
      <c r="A294" s="5" t="s">
        <v>266</v>
      </c>
      <c r="B294" s="10" t="str">
        <f>IFERROR(VLOOKUP($A294,fdistance,2,FALSE),"")</f>
        <v>M</v>
      </c>
      <c r="C294" s="10">
        <f>IFERROR(VLOOKUP($A294,fdistance,3,FALSE),"")</f>
        <v>80</v>
      </c>
      <c r="D294" s="31" t="s">
        <v>163</v>
      </c>
      <c r="E294" s="13" t="s">
        <v>164</v>
      </c>
      <c r="F294" s="13" t="s">
        <v>165</v>
      </c>
      <c r="G294" s="14" t="s">
        <v>166</v>
      </c>
      <c r="H294" s="532" t="s">
        <v>167</v>
      </c>
      <c r="I294" s="534"/>
      <c r="J294" s="534" t="s">
        <v>168</v>
      </c>
      <c r="K294" s="534"/>
      <c r="L294" s="534" t="s">
        <v>169</v>
      </c>
      <c r="M294" s="534"/>
      <c r="N294" s="534" t="s">
        <v>170</v>
      </c>
      <c r="O294" s="534"/>
      <c r="P294" s="535" t="s">
        <v>171</v>
      </c>
      <c r="Q294" s="534" t="s">
        <v>172</v>
      </c>
      <c r="R294" s="534"/>
      <c r="S294" s="534" t="s">
        <v>173</v>
      </c>
      <c r="T294" s="534"/>
      <c r="U294" s="534" t="s">
        <v>174</v>
      </c>
      <c r="V294" s="534"/>
      <c r="W294" s="537" t="s">
        <v>175</v>
      </c>
      <c r="X294" s="538"/>
      <c r="Y294" s="528" t="s">
        <v>176</v>
      </c>
      <c r="Z294" s="530" t="s">
        <v>177</v>
      </c>
      <c r="AA294" s="531"/>
      <c r="AB294" s="532"/>
    </row>
    <row r="295" spans="1:33" s="4" customFormat="1" ht="11.65" x14ac:dyDescent="0.35">
      <c r="A295" s="137">
        <f>IFERROR(SEARCH("U17",F293),0)</f>
        <v>0</v>
      </c>
      <c r="B295" s="7" t="s">
        <v>53</v>
      </c>
      <c r="C295" s="7" t="s">
        <v>54</v>
      </c>
      <c r="D295" s="56"/>
      <c r="E295" s="56"/>
      <c r="F295" s="15"/>
      <c r="G295" s="16"/>
      <c r="H295" s="514" t="s">
        <v>178</v>
      </c>
      <c r="I295" s="533"/>
      <c r="J295" s="533" t="s">
        <v>178</v>
      </c>
      <c r="K295" s="533"/>
      <c r="L295" s="533" t="s">
        <v>178</v>
      </c>
      <c r="M295" s="533"/>
      <c r="N295" s="533" t="s">
        <v>178</v>
      </c>
      <c r="O295" s="533"/>
      <c r="P295" s="536"/>
      <c r="Q295" s="533" t="s">
        <v>178</v>
      </c>
      <c r="R295" s="533"/>
      <c r="S295" s="533" t="s">
        <v>178</v>
      </c>
      <c r="T295" s="533"/>
      <c r="U295" s="533" t="s">
        <v>178</v>
      </c>
      <c r="V295" s="533"/>
      <c r="W295" s="533" t="s">
        <v>178</v>
      </c>
      <c r="X295" s="512"/>
      <c r="Y295" s="529"/>
      <c r="Z295" s="55"/>
      <c r="AA295" s="55" t="s">
        <v>53</v>
      </c>
      <c r="AB295" s="55" t="s">
        <v>54</v>
      </c>
    </row>
    <row r="296" spans="1:33" s="4" customFormat="1" ht="15.95" customHeight="1" x14ac:dyDescent="0.35">
      <c r="A296" s="8">
        <f>IFERROR(IF(D296&gt;MatchDay!$U$2,"-",VLOOKUP(A292,timetables,MatchDay!$U$4,FALSE)),0)</f>
        <v>4</v>
      </c>
      <c r="B296" s="7">
        <f ca="1">AA296</f>
        <v>4</v>
      </c>
      <c r="C296" s="7" t="str">
        <f ca="1">AB296</f>
        <v/>
      </c>
      <c r="D296" s="56">
        <v>1</v>
      </c>
      <c r="E296" s="17">
        <f>A296</f>
        <v>4</v>
      </c>
      <c r="F296" s="18" t="str">
        <f ca="1">IFERROR(IF(A295=0,HLOOKUP(E296,Declarations!$D$2:$S$102,B293,FALSE),HLOOKUP(VLOOKUP(E296,Teams!$V$2:$W$19,2,FALSE),Declarations!$D$2:$S$102,B293,FALSE)),"")</f>
        <v>MAYNARD Finley</v>
      </c>
      <c r="G296" s="18" t="str">
        <f t="shared" ref="G296:G311" si="90">IFERROR(VLOOKUP(E296,teamlookup,5,FALSE),"-")</f>
        <v>M'bro</v>
      </c>
      <c r="H296" s="524">
        <f ca="1">IFERROR(INDIRECT(CONCATENATE("'Distance Input'!"&amp;B294&amp;C294)),"")</f>
        <v>14.05</v>
      </c>
      <c r="I296" s="525"/>
      <c r="J296" s="524">
        <v>0</v>
      </c>
      <c r="K296" s="525"/>
      <c r="L296" s="524">
        <v>0</v>
      </c>
      <c r="M296" s="525"/>
      <c r="N296" s="539">
        <f ca="1">H296</f>
        <v>14.05</v>
      </c>
      <c r="O296" s="540"/>
      <c r="P296" s="55">
        <v>0</v>
      </c>
      <c r="Q296" s="541">
        <v>0</v>
      </c>
      <c r="R296" s="541"/>
      <c r="S296" s="541">
        <v>0</v>
      </c>
      <c r="T296" s="541"/>
      <c r="U296" s="541">
        <v>0</v>
      </c>
      <c r="V296" s="541"/>
      <c r="W296" s="524">
        <f ca="1">N296</f>
        <v>14.05</v>
      </c>
      <c r="X296" s="525"/>
      <c r="Y296" s="55">
        <f ca="1">IF(OR(W296="",W296=0),0,IF(W296="X",MatchDay!$U$2+MatchDay!$U$2+1-COUNTIF(Distance!W296:W296,"X"),RANK(W296,$W296:$X311,0)))</f>
        <v>6</v>
      </c>
      <c r="Z296" s="19" t="str">
        <f ca="1">IFERROR(IF(Y296=0,0,IF(OR(VLOOKUP(AG296,E304:Y311,21,FALSE)=0,Y296&lt;=VLOOKUP(AG296,E304:Y311,21,FALSE)),"A","B")),"")</f>
        <v>A</v>
      </c>
      <c r="AA296" s="19">
        <f ca="1">IFERROR(IF(Z296="B","",RANK(AD296,AD296:AD311,1)),"")</f>
        <v>4</v>
      </c>
      <c r="AB296" s="19" t="str">
        <f ca="1">IFERROR(IF(Z296="A","",RANK(AE296,AE296:AE311,1)),"")</f>
        <v/>
      </c>
      <c r="AC296" s="8"/>
      <c r="AD296" s="9">
        <f ca="1">IF(OR(W296=0,Y296=0,Z296="B"),"",Y296)</f>
        <v>6</v>
      </c>
      <c r="AE296" s="9" t="str">
        <f ca="1">IF(OR(W296=0,Y296=0,Z296="A"),"",Y296)</f>
        <v/>
      </c>
      <c r="AF296" s="9" t="s">
        <v>179</v>
      </c>
      <c r="AG296" s="4">
        <f>IFERROR(IF(A295=0,E296*11,E296&amp;E296),"")</f>
        <v>44</v>
      </c>
    </row>
    <row r="297" spans="1:33" s="4" customFormat="1" ht="15.95" customHeight="1" x14ac:dyDescent="0.35">
      <c r="A297" s="8">
        <f>IFERROR(IF(D297&gt;MatchDay!$U$2,"-",VLOOKUP(A292,timetables,MatchDay!$U$4+1,FALSE)),0)</f>
        <v>2</v>
      </c>
      <c r="B297" s="7">
        <f t="shared" ref="B297:B311" ca="1" si="91">AA297</f>
        <v>1</v>
      </c>
      <c r="C297" s="7" t="str">
        <f t="shared" ref="C297:C311" ca="1" si="92">AB297</f>
        <v/>
      </c>
      <c r="D297" s="55">
        <v>2</v>
      </c>
      <c r="E297" s="17">
        <f t="shared" ref="E297:E311" si="93">A297</f>
        <v>2</v>
      </c>
      <c r="F297" s="18" t="str">
        <f ca="1">IFERROR(IF(A295=0,HLOOKUP(E297,Declarations!$D$2:$S$102,B293,FALSE),HLOOKUP(VLOOKUP(E297,Teams!$V$2:$W$19,2,FALSE),Declarations!$D$2:$S$102,B293,FALSE)),"")</f>
        <v>HENNESSEY Thomas</v>
      </c>
      <c r="G297" s="18" t="str">
        <f t="shared" si="90"/>
        <v>Sheff+D</v>
      </c>
      <c r="H297" s="524">
        <f ca="1">IFERROR(INDIRECT(CONCATENATE("'Distance Input'!"&amp;B294&amp;C294+1)),"")</f>
        <v>27.83</v>
      </c>
      <c r="I297" s="525"/>
      <c r="J297" s="524">
        <v>0</v>
      </c>
      <c r="K297" s="525"/>
      <c r="L297" s="524">
        <v>0</v>
      </c>
      <c r="M297" s="525"/>
      <c r="N297" s="539">
        <f t="shared" ref="N297:N311" ca="1" si="94">H297</f>
        <v>27.83</v>
      </c>
      <c r="O297" s="540"/>
      <c r="P297" s="55">
        <v>0</v>
      </c>
      <c r="Q297" s="541">
        <v>0</v>
      </c>
      <c r="R297" s="541"/>
      <c r="S297" s="541">
        <v>0</v>
      </c>
      <c r="T297" s="541"/>
      <c r="U297" s="541">
        <v>0</v>
      </c>
      <c r="V297" s="541"/>
      <c r="W297" s="524">
        <f t="shared" ref="W297:W311" ca="1" si="95">N297</f>
        <v>27.83</v>
      </c>
      <c r="X297" s="525"/>
      <c r="Y297" s="55">
        <f ca="1">IF(OR(W297="",W297=0),0,IF(W297="X",MatchDay!$U$2+MatchDay!$U$2+1-COUNTIF(Distance!W296:W297,"X"),RANK(W297,$W296:$X311,0)))</f>
        <v>1</v>
      </c>
      <c r="Z297" s="19" t="str">
        <f ca="1">IFERROR(IF(Y297=0,0,IF(OR(VLOOKUP(AG297,E304:Y311,21,FALSE)=0,Y297&lt;=VLOOKUP(AG297,E304:Y311,21,FALSE)),"A","B")),"")</f>
        <v>A</v>
      </c>
      <c r="AA297" s="19">
        <f ca="1">IFERROR(IF(Z297="B","",RANK(AD297,AD296:AD311,1)),"")</f>
        <v>1</v>
      </c>
      <c r="AB297" s="19" t="str">
        <f ca="1">IFERROR(IF(Z297="A","",RANK(AE297,AE296:AE311,1)),"")</f>
        <v/>
      </c>
      <c r="AC297" s="8"/>
      <c r="AD297" s="9">
        <f t="shared" ref="AD297:AD311" ca="1" si="96">IF(OR(W297=0,Y297=0,Z297="B"),"",Y297)</f>
        <v>1</v>
      </c>
      <c r="AE297" s="9" t="str">
        <f t="shared" ref="AE297:AE311" ca="1" si="97">IF(OR(W297=0,Y297=0,Z297="A"),"",Y297)</f>
        <v/>
      </c>
      <c r="AF297" s="9" t="s">
        <v>179</v>
      </c>
      <c r="AG297" s="4">
        <f>IFERROR(IF(A295=0,E297*11,E297&amp;E297),"")</f>
        <v>22</v>
      </c>
    </row>
    <row r="298" spans="1:33" s="4" customFormat="1" ht="15.95" customHeight="1" x14ac:dyDescent="0.35">
      <c r="A298" s="8">
        <f>IFERROR(IF(D298&gt;MatchDay!$U$2,"-",VLOOKUP(A292,timetables,MatchDay!$U$4+2,FALSE)),0)</f>
        <v>5</v>
      </c>
      <c r="B298" s="7">
        <f t="shared" ca="1" si="91"/>
        <v>3</v>
      </c>
      <c r="C298" s="7" t="str">
        <f t="shared" ca="1" si="92"/>
        <v/>
      </c>
      <c r="D298" s="55">
        <v>3</v>
      </c>
      <c r="E298" s="17">
        <f t="shared" si="93"/>
        <v>5</v>
      </c>
      <c r="F298" s="18" t="str">
        <f ca="1">IFERROR(IF(A295=0,HLOOKUP(E298,Declarations!$D$2:$S$102,B293,FALSE),HLOOKUP(VLOOKUP(E298,Teams!$V$2:$W$19,2,FALSE),Declarations!$D$2:$S$102,B293,FALSE)),"")</f>
        <v>COOK Alexander</v>
      </c>
      <c r="G298" s="18" t="str">
        <f t="shared" si="90"/>
        <v>Scun</v>
      </c>
      <c r="H298" s="524">
        <f ca="1">IFERROR(INDIRECT(CONCATENATE("'Distance Input'!"&amp;B294&amp;C294+2)),"")</f>
        <v>16.600000000000001</v>
      </c>
      <c r="I298" s="525"/>
      <c r="J298" s="524">
        <v>0</v>
      </c>
      <c r="K298" s="525"/>
      <c r="L298" s="524">
        <v>0</v>
      </c>
      <c r="M298" s="525"/>
      <c r="N298" s="539">
        <f t="shared" ca="1" si="94"/>
        <v>16.600000000000001</v>
      </c>
      <c r="O298" s="540"/>
      <c r="P298" s="55">
        <v>0</v>
      </c>
      <c r="Q298" s="541">
        <v>0</v>
      </c>
      <c r="R298" s="541"/>
      <c r="S298" s="541">
        <v>0</v>
      </c>
      <c r="T298" s="541"/>
      <c r="U298" s="541">
        <v>0</v>
      </c>
      <c r="V298" s="541"/>
      <c r="W298" s="524">
        <f t="shared" ca="1" si="95"/>
        <v>16.600000000000001</v>
      </c>
      <c r="X298" s="525"/>
      <c r="Y298" s="55">
        <f ca="1">IF(OR(W298="",W298=0),0,IF(W298="X",MatchDay!$U$2+MatchDay!$U$2+1-COUNTIF(Distance!W296:W298,"X"),RANK(W298,$W296:$X311,0)))</f>
        <v>3</v>
      </c>
      <c r="Z298" s="19" t="str">
        <f ca="1">IFERROR(IF(Y298=0,0,IF(OR(VLOOKUP(AG298,E304:Y311,21,FALSE)=0,Y298&lt;=VLOOKUP(AG298,E304:Y311,21,FALSE)),"A","B")),"")</f>
        <v>A</v>
      </c>
      <c r="AA298" s="19">
        <f ca="1">IFERROR(IF(Z298="B","",RANK(AD298,AD296:AD311,1)),"")</f>
        <v>3</v>
      </c>
      <c r="AB298" s="19" t="str">
        <f ca="1">IFERROR(IF(Z298="A","",RANK(AE298,AE296:AE311,1)),"")</f>
        <v/>
      </c>
      <c r="AD298" s="9">
        <f t="shared" ca="1" si="96"/>
        <v>3</v>
      </c>
      <c r="AE298" s="9" t="str">
        <f t="shared" ca="1" si="97"/>
        <v/>
      </c>
      <c r="AF298" s="9" t="s">
        <v>179</v>
      </c>
      <c r="AG298" s="4">
        <f>IFERROR(IF(A295=0,E298*11,E298&amp;E298),"")</f>
        <v>55</v>
      </c>
    </row>
    <row r="299" spans="1:33" s="4" customFormat="1" ht="15.95" customHeight="1" x14ac:dyDescent="0.35">
      <c r="A299" s="8">
        <f>IFERROR(IF(D299&gt;MatchDay!$U$2,"-",VLOOKUP(A292,timetables,MatchDay!$U$4+3,FALSE)),0)</f>
        <v>1</v>
      </c>
      <c r="B299" s="7">
        <f t="shared" ca="1" si="91"/>
        <v>5</v>
      </c>
      <c r="C299" s="7" t="str">
        <f t="shared" ca="1" si="92"/>
        <v/>
      </c>
      <c r="D299" s="55">
        <v>4</v>
      </c>
      <c r="E299" s="17">
        <f t="shared" si="93"/>
        <v>1</v>
      </c>
      <c r="F299" s="18" t="str">
        <f ca="1">IFERROR(IF(A295=0,HLOOKUP(E299,Declarations!$D$2:$S$102,B293,FALSE),HLOOKUP(VLOOKUP(E299,Teams!$V$2:$W$19,2,FALSE),Declarations!$D$2:$S$102,B293,FALSE)),"")</f>
        <v>STOWELL Callum</v>
      </c>
      <c r="G299" s="18" t="str">
        <f t="shared" si="90"/>
        <v>C'field</v>
      </c>
      <c r="H299" s="524">
        <f ca="1">IFERROR(INDIRECT(CONCATENATE("'Distance Input'!"&amp;B294&amp;C294+3)),"")</f>
        <v>12.32</v>
      </c>
      <c r="I299" s="525"/>
      <c r="J299" s="524">
        <v>0</v>
      </c>
      <c r="K299" s="525"/>
      <c r="L299" s="524">
        <v>0</v>
      </c>
      <c r="M299" s="525"/>
      <c r="N299" s="539">
        <f t="shared" ca="1" si="94"/>
        <v>12.32</v>
      </c>
      <c r="O299" s="540"/>
      <c r="P299" s="55">
        <v>0</v>
      </c>
      <c r="Q299" s="541">
        <v>0</v>
      </c>
      <c r="R299" s="541"/>
      <c r="S299" s="541">
        <v>0</v>
      </c>
      <c r="T299" s="541"/>
      <c r="U299" s="541">
        <v>0</v>
      </c>
      <c r="V299" s="541"/>
      <c r="W299" s="524">
        <f t="shared" ca="1" si="95"/>
        <v>12.32</v>
      </c>
      <c r="X299" s="525"/>
      <c r="Y299" s="55">
        <f ca="1">IF(OR(W299="",W299=0),0,IF(W299="X",MatchDay!$U$2+MatchDay!$U$2+1-COUNTIF(Distance!W296:W299,"X"),RANK(W299,$W296:$X311,0)))</f>
        <v>7</v>
      </c>
      <c r="Z299" s="19" t="str">
        <f ca="1">IFERROR(IF(Y299=0,0,IF(OR(VLOOKUP(AG299,E304:Y311,21,FALSE)=0,Y299&lt;=VLOOKUP(AG299,E304:Y311,21,FALSE)),"A","B")),"")</f>
        <v>A</v>
      </c>
      <c r="AA299" s="19">
        <f ca="1">IFERROR(IF(Z299="B","",RANK(AD299,AD296:AD311,1)),"")</f>
        <v>5</v>
      </c>
      <c r="AB299" s="19" t="str">
        <f ca="1">IFERROR(IF(Z299="A","",RANK(AE299,AE296:AE311,1)),"")</f>
        <v/>
      </c>
      <c r="AD299" s="9">
        <f t="shared" ca="1" si="96"/>
        <v>7</v>
      </c>
      <c r="AE299" s="9" t="str">
        <f t="shared" ca="1" si="97"/>
        <v/>
      </c>
      <c r="AF299" s="9" t="s">
        <v>179</v>
      </c>
      <c r="AG299" s="4">
        <f>IFERROR(IF(A295=0,E299*11,E299&amp;E299),"")</f>
        <v>11</v>
      </c>
    </row>
    <row r="300" spans="1:33" s="4" customFormat="1" ht="15.95" customHeight="1" x14ac:dyDescent="0.35">
      <c r="A300" s="8">
        <f>IFERROR(IF(D300&gt;MatchDay!$U$2,"-",VLOOKUP(A292,timetables,MatchDay!$U$4+4,FALSE)),0)</f>
        <v>3</v>
      </c>
      <c r="B300" s="7">
        <f t="shared" ca="1" si="91"/>
        <v>2</v>
      </c>
      <c r="C300" s="7" t="str">
        <f t="shared" ca="1" si="92"/>
        <v/>
      </c>
      <c r="D300" s="55">
        <v>5</v>
      </c>
      <c r="E300" s="17">
        <f t="shared" si="93"/>
        <v>3</v>
      </c>
      <c r="F300" s="18" t="str">
        <f ca="1">IFERROR(IF(A295=0,HLOOKUP(E300,Declarations!$D$2:$S$102,B293,FALSE),HLOOKUP(VLOOKUP(E300,Teams!$V$2:$W$19,2,FALSE),Declarations!$D$2:$S$102,B293,FALSE)),"")</f>
        <v>RUTTER Lewis</v>
      </c>
      <c r="G300" s="18" t="str">
        <f t="shared" si="90"/>
        <v>York</v>
      </c>
      <c r="H300" s="524">
        <f ca="1">IFERROR(INDIRECT(CONCATENATE("'Distance Input'!"&amp;B294&amp;C294+4)),"")</f>
        <v>18.79</v>
      </c>
      <c r="I300" s="525"/>
      <c r="J300" s="524">
        <v>0</v>
      </c>
      <c r="K300" s="525"/>
      <c r="L300" s="524">
        <v>0</v>
      </c>
      <c r="M300" s="525"/>
      <c r="N300" s="539">
        <f t="shared" ca="1" si="94"/>
        <v>18.79</v>
      </c>
      <c r="O300" s="540"/>
      <c r="P300" s="55">
        <v>0</v>
      </c>
      <c r="Q300" s="541">
        <v>0</v>
      </c>
      <c r="R300" s="541"/>
      <c r="S300" s="541">
        <v>0</v>
      </c>
      <c r="T300" s="541"/>
      <c r="U300" s="541">
        <v>0</v>
      </c>
      <c r="V300" s="541"/>
      <c r="W300" s="524">
        <f t="shared" ca="1" si="95"/>
        <v>18.79</v>
      </c>
      <c r="X300" s="525"/>
      <c r="Y300" s="55">
        <f ca="1">IF(OR(W300="",W300=0),0,IF(W300="X",MatchDay!$U$2+MatchDay!$U$2+1-COUNTIF(Distance!W296:W300,"X"),RANK(W300,$W296:$X311,0)))</f>
        <v>2</v>
      </c>
      <c r="Z300" s="19" t="str">
        <f ca="1">IFERROR(IF(Y300=0,0,IF(OR(VLOOKUP(AG300,E304:Y311,21,FALSE)=0,Y300&lt;=VLOOKUP(AG300,E304:Y311,21,FALSE)),"A","B")),"")</f>
        <v>A</v>
      </c>
      <c r="AA300" s="19">
        <f ca="1">IFERROR(IF(Z300="B","",RANK(AD300,AD296:AD311,1)),"")</f>
        <v>2</v>
      </c>
      <c r="AB300" s="19" t="str">
        <f ca="1">IFERROR(IF(Z300="A","",RANK(AE300,AE296:AE311,1)),"")</f>
        <v/>
      </c>
      <c r="AD300" s="9">
        <f t="shared" ca="1" si="96"/>
        <v>2</v>
      </c>
      <c r="AE300" s="9" t="str">
        <f t="shared" ca="1" si="97"/>
        <v/>
      </c>
      <c r="AF300" s="9" t="s">
        <v>179</v>
      </c>
      <c r="AG300" s="4">
        <f>IFERROR(IF(A295=0,E300*11,E300&amp;E300),"")</f>
        <v>33</v>
      </c>
    </row>
    <row r="301" spans="1:33" s="4" customFormat="1" ht="15.95" customHeight="1" x14ac:dyDescent="0.35">
      <c r="A301" s="8" t="str">
        <f>IFERROR(IF(D301&gt;MatchDay!$U$2,"-",VLOOKUP(A292,timetables,MatchDay!$U$4+5,FALSE)),0)</f>
        <v>-</v>
      </c>
      <c r="B301" s="7" t="str">
        <f t="shared" ca="1" si="91"/>
        <v/>
      </c>
      <c r="C301" s="7" t="str">
        <f t="shared" ca="1" si="92"/>
        <v/>
      </c>
      <c r="D301" s="55">
        <v>6</v>
      </c>
      <c r="E301" s="17" t="str">
        <f t="shared" si="93"/>
        <v>-</v>
      </c>
      <c r="F301" s="18" t="str">
        <f>IFERROR(IF(A295=0,HLOOKUP(E301,Declarations!$D$2:$S$102,B293,FALSE),HLOOKUP(VLOOKUP(E301,Teams!$V$2:$W$19,2,FALSE),Declarations!$D$2:$S$102,B293,FALSE)),"")</f>
        <v/>
      </c>
      <c r="G301" s="18" t="str">
        <f t="shared" si="90"/>
        <v/>
      </c>
      <c r="H301" s="524">
        <f ca="1">IFERROR(INDIRECT(CONCATENATE("'Distance Input'!"&amp;B294&amp;C294+5)),"")</f>
        <v>0</v>
      </c>
      <c r="I301" s="525"/>
      <c r="J301" s="524">
        <v>0</v>
      </c>
      <c r="K301" s="525"/>
      <c r="L301" s="524">
        <v>0</v>
      </c>
      <c r="M301" s="525"/>
      <c r="N301" s="539">
        <f t="shared" ca="1" si="94"/>
        <v>0</v>
      </c>
      <c r="O301" s="540"/>
      <c r="P301" s="55">
        <v>0</v>
      </c>
      <c r="Q301" s="541">
        <v>0</v>
      </c>
      <c r="R301" s="541"/>
      <c r="S301" s="541">
        <v>0</v>
      </c>
      <c r="T301" s="541"/>
      <c r="U301" s="541">
        <v>0</v>
      </c>
      <c r="V301" s="541"/>
      <c r="W301" s="524">
        <f t="shared" ca="1" si="95"/>
        <v>0</v>
      </c>
      <c r="X301" s="525"/>
      <c r="Y301" s="55">
        <f ca="1">IF(OR(W301="",W301=0),0,IF(W301="X",MatchDay!$U$2+MatchDay!$U$2+1-COUNTIF(Distance!W296:W301,"X"),RANK(W301,$W296:$X311,0)))</f>
        <v>0</v>
      </c>
      <c r="Z301" s="19">
        <f ca="1">IFERROR(IF(Y301=0,0,IF(OR(VLOOKUP(AG301,E304:Y311,21,FALSE)=0,Y301&lt;=VLOOKUP(AG301,E304:Y311,21,FALSE)),"A","B")),"")</f>
        <v>0</v>
      </c>
      <c r="AA301" s="19" t="str">
        <f ca="1">IFERROR(IF(Z301="B","",RANK(AD301,AD296:AD311,1)),"")</f>
        <v/>
      </c>
      <c r="AB301" s="19" t="str">
        <f ca="1">IFERROR(IF(Z301="A","",RANK(AE301,AE296:AE311,1)),"")</f>
        <v/>
      </c>
      <c r="AD301" s="9" t="str">
        <f t="shared" ca="1" si="96"/>
        <v/>
      </c>
      <c r="AE301" s="9" t="str">
        <f t="shared" ca="1" si="97"/>
        <v/>
      </c>
      <c r="AF301" s="9" t="s">
        <v>179</v>
      </c>
      <c r="AG301" s="4" t="str">
        <f>IFERROR(IF(A295=0,E301*11,E301&amp;E301),"")</f>
        <v/>
      </c>
    </row>
    <row r="302" spans="1:33" s="4" customFormat="1" ht="15.95" customHeight="1" x14ac:dyDescent="0.35">
      <c r="A302" s="8" t="str">
        <f>IFERROR(IF(D302&gt;MatchDay!$U$2,"-",VLOOKUP(A292,timetables,MatchDay!$U$4+6,FALSE)),0)</f>
        <v>-</v>
      </c>
      <c r="B302" s="7" t="str">
        <f t="shared" ca="1" si="91"/>
        <v/>
      </c>
      <c r="C302" s="7" t="str">
        <f t="shared" ca="1" si="92"/>
        <v/>
      </c>
      <c r="D302" s="55">
        <v>7</v>
      </c>
      <c r="E302" s="17" t="str">
        <f t="shared" si="93"/>
        <v>-</v>
      </c>
      <c r="F302" s="18" t="str">
        <f>IFERROR(IF(A295=0,HLOOKUP(E302,Declarations!$D$2:$S$102,B293,FALSE),HLOOKUP(VLOOKUP(E302,Teams!$V$2:$W$19,2,FALSE),Declarations!$D$2:$S$102,B293,FALSE)),"")</f>
        <v/>
      </c>
      <c r="G302" s="18" t="str">
        <f t="shared" si="90"/>
        <v/>
      </c>
      <c r="H302" s="524">
        <f ca="1">IFERROR(INDIRECT(CONCATENATE("'Distance Input'!"&amp;B294&amp;C294+6)),"")</f>
        <v>0</v>
      </c>
      <c r="I302" s="525"/>
      <c r="J302" s="524">
        <v>0</v>
      </c>
      <c r="K302" s="525"/>
      <c r="L302" s="524">
        <v>0</v>
      </c>
      <c r="M302" s="525"/>
      <c r="N302" s="539">
        <f t="shared" ca="1" si="94"/>
        <v>0</v>
      </c>
      <c r="O302" s="540"/>
      <c r="P302" s="55">
        <v>0</v>
      </c>
      <c r="Q302" s="541">
        <v>0</v>
      </c>
      <c r="R302" s="541"/>
      <c r="S302" s="541">
        <v>0</v>
      </c>
      <c r="T302" s="541"/>
      <c r="U302" s="541">
        <v>0</v>
      </c>
      <c r="V302" s="541"/>
      <c r="W302" s="524">
        <f t="shared" ca="1" si="95"/>
        <v>0</v>
      </c>
      <c r="X302" s="525"/>
      <c r="Y302" s="55">
        <f ca="1">IF(OR(W302="",W302=0),0,IF(W302="X",MatchDay!$U$2+MatchDay!$U$2+1-COUNTIF(Distance!W296:W302,"X"),RANK(W302,$W296:$X311,0)))</f>
        <v>0</v>
      </c>
      <c r="Z302" s="19">
        <f ca="1">IFERROR(IF(Y302=0,0,IF(OR(VLOOKUP(AG302,E304:Y311,21,FALSE)=0,Y302&lt;=VLOOKUP(AG302,E304:Y311,21,FALSE)),"A","B")),"")</f>
        <v>0</v>
      </c>
      <c r="AA302" s="19" t="str">
        <f ca="1">IFERROR(IF(Z302="B","",RANK(AD302,AD296:AD311,1)),"")</f>
        <v/>
      </c>
      <c r="AB302" s="19" t="str">
        <f ca="1">IFERROR(IF(Z302="A","",RANK(AE302,AE296:AE311,1)),"")</f>
        <v/>
      </c>
      <c r="AD302" s="9" t="str">
        <f t="shared" ca="1" si="96"/>
        <v/>
      </c>
      <c r="AE302" s="9" t="str">
        <f t="shared" ca="1" si="97"/>
        <v/>
      </c>
      <c r="AF302" s="9" t="s">
        <v>179</v>
      </c>
      <c r="AG302" s="4" t="str">
        <f>IFERROR(IF(A295=0,E302*11,E302&amp;E302),"")</f>
        <v/>
      </c>
    </row>
    <row r="303" spans="1:33" s="4" customFormat="1" ht="15.95" customHeight="1" x14ac:dyDescent="0.35">
      <c r="A303" s="8" t="str">
        <f>IFERROR(IF(D303&gt;MatchDay!$U$2,"-",VLOOKUP(A292,timetables,MatchDay!$U$4+7,FALSE)),0)</f>
        <v>-</v>
      </c>
      <c r="B303" s="7" t="str">
        <f t="shared" ca="1" si="91"/>
        <v/>
      </c>
      <c r="C303" s="7" t="str">
        <f t="shared" ca="1" si="92"/>
        <v/>
      </c>
      <c r="D303" s="55">
        <v>8</v>
      </c>
      <c r="E303" s="17" t="str">
        <f t="shared" si="93"/>
        <v>-</v>
      </c>
      <c r="F303" s="18" t="str">
        <f>IFERROR(IF(A295=0,HLOOKUP(E303,Declarations!$D$2:$S$102,B293,FALSE),HLOOKUP(VLOOKUP(E303,Teams!$V$2:$W$19,2,FALSE),Declarations!$D$2:$S$102,B293,FALSE)),"")</f>
        <v/>
      </c>
      <c r="G303" s="18" t="str">
        <f t="shared" si="90"/>
        <v/>
      </c>
      <c r="H303" s="524">
        <f ca="1">IFERROR(INDIRECT(CONCATENATE("'Distance Input'!"&amp;B294&amp;C294+7)),"")</f>
        <v>0</v>
      </c>
      <c r="I303" s="525"/>
      <c r="J303" s="524">
        <v>0</v>
      </c>
      <c r="K303" s="525"/>
      <c r="L303" s="524">
        <v>0</v>
      </c>
      <c r="M303" s="525"/>
      <c r="N303" s="539">
        <f t="shared" ca="1" si="94"/>
        <v>0</v>
      </c>
      <c r="O303" s="540"/>
      <c r="P303" s="55">
        <v>0</v>
      </c>
      <c r="Q303" s="541">
        <v>0</v>
      </c>
      <c r="R303" s="541"/>
      <c r="S303" s="541">
        <v>0</v>
      </c>
      <c r="T303" s="541"/>
      <c r="U303" s="541">
        <v>0</v>
      </c>
      <c r="V303" s="541"/>
      <c r="W303" s="524">
        <f t="shared" ca="1" si="95"/>
        <v>0</v>
      </c>
      <c r="X303" s="525"/>
      <c r="Y303" s="55">
        <f ca="1">IF(OR(W303="",W303=0),0,IF(W303="X",MatchDay!$U$2+MatchDay!$U$2+1-COUNTIF(Distance!W296:W303,"X"),RANK(W303,$W296:$X311,0)))</f>
        <v>0</v>
      </c>
      <c r="Z303" s="19">
        <f ca="1">IFERROR(IF(Y303=0,0,IF(OR(VLOOKUP(AG303,E304:Y311,21,FALSE)=0,Y303&lt;=VLOOKUP(AG303,E304:Y311,21,FALSE)),"A","B")),"")</f>
        <v>0</v>
      </c>
      <c r="AA303" s="19" t="str">
        <f ca="1">IFERROR(IF(Z303="B","",RANK(AD303,AD296:AD311,1)),"")</f>
        <v/>
      </c>
      <c r="AB303" s="19" t="str">
        <f ca="1">IFERROR(IF(Z303="A","",RANK(AE303,AE296:AE311,1)),"")</f>
        <v/>
      </c>
      <c r="AD303" s="9" t="str">
        <f t="shared" ca="1" si="96"/>
        <v/>
      </c>
      <c r="AE303" s="9" t="str">
        <f t="shared" ca="1" si="97"/>
        <v/>
      </c>
      <c r="AF303" s="9" t="s">
        <v>179</v>
      </c>
      <c r="AG303" s="4" t="str">
        <f>IFERROR(IF(A295=0,E303*11,E303&amp;E303),"")</f>
        <v/>
      </c>
    </row>
    <row r="304" spans="1:33" s="4" customFormat="1" ht="15.95" customHeight="1" x14ac:dyDescent="0.35">
      <c r="A304" s="8">
        <f>IFERROR(IF(A295=0,A296*11,A296&amp;A296),"-")</f>
        <v>44</v>
      </c>
      <c r="B304" s="7" t="str">
        <f t="shared" ca="1" si="91"/>
        <v/>
      </c>
      <c r="C304" s="7" t="str">
        <f t="shared" ca="1" si="92"/>
        <v/>
      </c>
      <c r="D304" s="55">
        <v>9</v>
      </c>
      <c r="E304" s="17">
        <f t="shared" si="93"/>
        <v>44</v>
      </c>
      <c r="F304" s="18" t="str">
        <f ca="1">IFERROR(IF(A295=0,HLOOKUP(E304,Declarations!$D$2:$S$102,B293,FALSE),HLOOKUP(VLOOKUP(E304,Teams!$V$2:$W$19,2,FALSE),Declarations!$D$2:$S$102,B293,FALSE)),"")</f>
        <v>-</v>
      </c>
      <c r="G304" s="18" t="str">
        <f t="shared" si="90"/>
        <v>M'bro</v>
      </c>
      <c r="H304" s="524">
        <f ca="1">IFERROR(INDIRECT(CONCATENATE("'Distance Input'!"&amp;B294&amp;C294+8)),"")</f>
        <v>0</v>
      </c>
      <c r="I304" s="525"/>
      <c r="J304" s="524">
        <v>0</v>
      </c>
      <c r="K304" s="525"/>
      <c r="L304" s="524">
        <v>0</v>
      </c>
      <c r="M304" s="525"/>
      <c r="N304" s="539">
        <f t="shared" ca="1" si="94"/>
        <v>0</v>
      </c>
      <c r="O304" s="540"/>
      <c r="P304" s="55">
        <v>0</v>
      </c>
      <c r="Q304" s="541">
        <v>0</v>
      </c>
      <c r="R304" s="541"/>
      <c r="S304" s="541">
        <v>0</v>
      </c>
      <c r="T304" s="541"/>
      <c r="U304" s="541">
        <v>0</v>
      </c>
      <c r="V304" s="541"/>
      <c r="W304" s="524">
        <f t="shared" ca="1" si="95"/>
        <v>0</v>
      </c>
      <c r="X304" s="525"/>
      <c r="Y304" s="55">
        <f ca="1">IF(OR(W304="",W304=0),0,IF(W304="X",MatchDay!$U$2+MatchDay!$U$2+1-COUNTIF(Distance!W296:W304,"X"),RANK(W304,$W296:$X311,0)))</f>
        <v>0</v>
      </c>
      <c r="Z304" s="19">
        <f ca="1">IFERROR(IF(Y304=0,0,IF(VLOOKUP(AG304,E296:Y303,21,FALSE)=0,"A",IF(Y304&gt;=VLOOKUP(AG304,E296:Y303,21,FALSE),"B","A"))),"")</f>
        <v>0</v>
      </c>
      <c r="AA304" s="19" t="str">
        <f ca="1">IFERROR(IF(Z304="B","",RANK(AD304,AD296:AD311,1)),"")</f>
        <v/>
      </c>
      <c r="AB304" s="19" t="str">
        <f ca="1">IFERROR(IF(Z304="A","",RANK(AE304,AE296:AE311,1)),"")</f>
        <v/>
      </c>
      <c r="AD304" s="9" t="str">
        <f t="shared" ca="1" si="96"/>
        <v/>
      </c>
      <c r="AE304" s="9" t="str">
        <f t="shared" ca="1" si="97"/>
        <v/>
      </c>
      <c r="AF304" s="9" t="s">
        <v>179</v>
      </c>
      <c r="AG304" s="4">
        <f>IFERROR(IF(A295=0,E304/11,LEFT(E304,1)),"")</f>
        <v>4</v>
      </c>
    </row>
    <row r="305" spans="1:33" s="4" customFormat="1" ht="15.95" customHeight="1" x14ac:dyDescent="0.35">
      <c r="A305" s="8">
        <f>IFERROR(IF(A295=0,A297*11,A297&amp;A297),"-")</f>
        <v>22</v>
      </c>
      <c r="B305" s="7" t="str">
        <f t="shared" ca="1" si="91"/>
        <v/>
      </c>
      <c r="C305" s="7">
        <f t="shared" ca="1" si="92"/>
        <v>1</v>
      </c>
      <c r="D305" s="55">
        <v>10</v>
      </c>
      <c r="E305" s="17">
        <f t="shared" si="93"/>
        <v>22</v>
      </c>
      <c r="F305" s="18" t="str">
        <f ca="1">IFERROR(IF(A295=0,HLOOKUP(E305,Declarations!$D$2:$S$102,B293,FALSE),HLOOKUP(VLOOKUP(E305,Teams!$V$2:$W$19,2,FALSE),Declarations!$D$2:$S$102,B293,FALSE)),"")</f>
        <v>COCKINGS Matthew</v>
      </c>
      <c r="G305" s="18" t="str">
        <f t="shared" si="90"/>
        <v>Sheff+D</v>
      </c>
      <c r="H305" s="524">
        <f ca="1">IFERROR(INDIRECT(CONCATENATE("'Distance Input'!"&amp;B294&amp;C294+9)),"")</f>
        <v>16.329999999999998</v>
      </c>
      <c r="I305" s="525"/>
      <c r="J305" s="524">
        <v>0</v>
      </c>
      <c r="K305" s="525"/>
      <c r="L305" s="524">
        <v>0</v>
      </c>
      <c r="M305" s="525"/>
      <c r="N305" s="539">
        <f t="shared" ca="1" si="94"/>
        <v>16.329999999999998</v>
      </c>
      <c r="O305" s="540"/>
      <c r="P305" s="55">
        <v>0</v>
      </c>
      <c r="Q305" s="541">
        <v>0</v>
      </c>
      <c r="R305" s="541"/>
      <c r="S305" s="541">
        <v>0</v>
      </c>
      <c r="T305" s="541"/>
      <c r="U305" s="541">
        <v>0</v>
      </c>
      <c r="V305" s="541"/>
      <c r="W305" s="524">
        <f t="shared" ca="1" si="95"/>
        <v>16.329999999999998</v>
      </c>
      <c r="X305" s="525"/>
      <c r="Y305" s="55">
        <f ca="1">IF(OR(W305="",W305=0),0,IF(W305="X",MatchDay!$U$2+MatchDay!$U$2+1-COUNTIF(Distance!W296:W305,"X"),RANK(W305,$W296:$X311,0)))</f>
        <v>4</v>
      </c>
      <c r="Z305" s="19" t="str">
        <f ca="1">IFERROR(IF(Y305=0,0,IF(VLOOKUP(AG305,E296:Y303,21,FALSE)=0,"A",IF(Y305&gt;=VLOOKUP(AG305,E296:Y303,21,FALSE),"B","A"))),"")</f>
        <v>B</v>
      </c>
      <c r="AA305" s="19" t="str">
        <f ca="1">IFERROR(IF(Z305="B","",RANK(AD305,AD296:AD311,1)),"")</f>
        <v/>
      </c>
      <c r="AB305" s="19">
        <f ca="1">IFERROR(IF(Z305="A","",RANK(AE305,AE296:AE311,1)),"")</f>
        <v>1</v>
      </c>
      <c r="AD305" s="9" t="str">
        <f t="shared" ca="1" si="96"/>
        <v/>
      </c>
      <c r="AE305" s="9">
        <f t="shared" ca="1" si="97"/>
        <v>4</v>
      </c>
      <c r="AF305" s="9" t="s">
        <v>179</v>
      </c>
      <c r="AG305" s="4">
        <f>IFERROR(IF(A295=0,E305/11,LEFT(E305,1)),"")</f>
        <v>2</v>
      </c>
    </row>
    <row r="306" spans="1:33" s="4" customFormat="1" ht="15.95" customHeight="1" x14ac:dyDescent="0.35">
      <c r="A306" s="8">
        <f>IFERROR(IF(A295=0,A298*11,A298&amp;A298),"-")</f>
        <v>55</v>
      </c>
      <c r="B306" s="7" t="str">
        <f t="shared" ca="1" si="91"/>
        <v/>
      </c>
      <c r="C306" s="7">
        <f t="shared" ca="1" si="92"/>
        <v>3</v>
      </c>
      <c r="D306" s="55">
        <v>11</v>
      </c>
      <c r="E306" s="17">
        <f t="shared" si="93"/>
        <v>55</v>
      </c>
      <c r="F306" s="18" t="str">
        <f ca="1">IFERROR(IF(A295=0,HLOOKUP(E306,Declarations!$D$2:$S$102,B293,FALSE),HLOOKUP(VLOOKUP(E306,Teams!$V$2:$W$19,2,FALSE),Declarations!$D$2:$S$102,B293,FALSE)),"")</f>
        <v>PELL Nathan</v>
      </c>
      <c r="G306" s="18" t="str">
        <f t="shared" si="90"/>
        <v>Scun</v>
      </c>
      <c r="H306" s="524">
        <f ca="1">IFERROR(INDIRECT(CONCATENATE("'Distance Input'!"&amp;B294&amp;C294+10)),"")</f>
        <v>11.57</v>
      </c>
      <c r="I306" s="525"/>
      <c r="J306" s="524">
        <v>0</v>
      </c>
      <c r="K306" s="525"/>
      <c r="L306" s="524">
        <v>0</v>
      </c>
      <c r="M306" s="525"/>
      <c r="N306" s="539">
        <f t="shared" ca="1" si="94"/>
        <v>11.57</v>
      </c>
      <c r="O306" s="540"/>
      <c r="P306" s="55">
        <v>0</v>
      </c>
      <c r="Q306" s="541">
        <v>0</v>
      </c>
      <c r="R306" s="541"/>
      <c r="S306" s="541">
        <v>0</v>
      </c>
      <c r="T306" s="541"/>
      <c r="U306" s="541">
        <v>0</v>
      </c>
      <c r="V306" s="541"/>
      <c r="W306" s="524">
        <f t="shared" ca="1" si="95"/>
        <v>11.57</v>
      </c>
      <c r="X306" s="525"/>
      <c r="Y306" s="55">
        <f ca="1">IF(OR(W306="",W306=0),0,IF(W306="X",MatchDay!$U$2+MatchDay!$U$2+1-COUNTIF(Distance!W296:W306,"X"),RANK(W306,$W296:$X311,0)))</f>
        <v>8</v>
      </c>
      <c r="Z306" s="19" t="str">
        <f ca="1">IFERROR(IF(Y306=0,0,IF(VLOOKUP(AG306,E296:Y303,21,FALSE)=0,"A",IF(Y306&gt;=VLOOKUP(AG306,E296:Y303,21,FALSE),"B","A"))),"")</f>
        <v>B</v>
      </c>
      <c r="AA306" s="19" t="str">
        <f ca="1">IFERROR(IF(Z306="B","",RANK(AD306,AD296:AD311,1)),"")</f>
        <v/>
      </c>
      <c r="AB306" s="19">
        <f ca="1">IFERROR(IF(Z306="A","",RANK(AE306,AE296:AE311,1)),"")</f>
        <v>3</v>
      </c>
      <c r="AD306" s="9" t="str">
        <f t="shared" ca="1" si="96"/>
        <v/>
      </c>
      <c r="AE306" s="9">
        <f t="shared" ca="1" si="97"/>
        <v>8</v>
      </c>
      <c r="AF306" s="9" t="s">
        <v>179</v>
      </c>
      <c r="AG306" s="4">
        <f>IFERROR(IF(A295=0,E306/11,LEFT(E306,1)),"")</f>
        <v>5</v>
      </c>
    </row>
    <row r="307" spans="1:33" s="4" customFormat="1" ht="15.95" customHeight="1" x14ac:dyDescent="0.35">
      <c r="A307" s="8">
        <f>IFERROR(IF(A295=0,A299*11,A299&amp;A299),"-")</f>
        <v>11</v>
      </c>
      <c r="B307" s="7" t="str">
        <f t="shared" ca="1" si="91"/>
        <v/>
      </c>
      <c r="C307" s="7" t="str">
        <f t="shared" ca="1" si="92"/>
        <v/>
      </c>
      <c r="D307" s="55">
        <v>12</v>
      </c>
      <c r="E307" s="17">
        <f t="shared" si="93"/>
        <v>11</v>
      </c>
      <c r="F307" s="18">
        <f ca="1">IFERROR(IF(A295=0,HLOOKUP(E307,Declarations!$D$2:$S$102,B293,FALSE),HLOOKUP(VLOOKUP(E307,Teams!$V$2:$W$19,2,FALSE),Declarations!$D$2:$S$102,B293,FALSE)),"")</f>
        <v>0</v>
      </c>
      <c r="G307" s="18" t="str">
        <f t="shared" si="90"/>
        <v>C'field</v>
      </c>
      <c r="H307" s="524">
        <f ca="1">IFERROR(INDIRECT(CONCATENATE("'Distance Input'!"&amp;B294&amp;C294+11)),"")</f>
        <v>0</v>
      </c>
      <c r="I307" s="525"/>
      <c r="J307" s="524">
        <v>0</v>
      </c>
      <c r="K307" s="525"/>
      <c r="L307" s="524">
        <v>0</v>
      </c>
      <c r="M307" s="525"/>
      <c r="N307" s="539">
        <f t="shared" ca="1" si="94"/>
        <v>0</v>
      </c>
      <c r="O307" s="540"/>
      <c r="P307" s="55">
        <v>0</v>
      </c>
      <c r="Q307" s="541">
        <v>0</v>
      </c>
      <c r="R307" s="541"/>
      <c r="S307" s="541">
        <v>0</v>
      </c>
      <c r="T307" s="541"/>
      <c r="U307" s="541">
        <v>0</v>
      </c>
      <c r="V307" s="541"/>
      <c r="W307" s="524">
        <f t="shared" ca="1" si="95"/>
        <v>0</v>
      </c>
      <c r="X307" s="525"/>
      <c r="Y307" s="55">
        <f ca="1">IF(OR(W307="",W307=0),0,IF(W307="X",MatchDay!$U$2+MatchDay!$U$2+1-COUNTIF(Distance!W296:W307,"X"),RANK(W307,$W296:$X311,0)))</f>
        <v>0</v>
      </c>
      <c r="Z307" s="19">
        <f ca="1">IFERROR(IF(Y307=0,0,IF(VLOOKUP(AG307,E296:Y303,21,FALSE)=0,"A",IF(Y307&gt;=VLOOKUP(AG307,E296:Y303,21,FALSE),"B","A"))),"")</f>
        <v>0</v>
      </c>
      <c r="AA307" s="19" t="str">
        <f ca="1">IFERROR(IF(Z307="B","",RANK(AD307,AD296:AD311,1)),"")</f>
        <v/>
      </c>
      <c r="AB307" s="19" t="str">
        <f ca="1">IFERROR(IF(Z307="A","",RANK(AE307,AE296:AE311,1)),"")</f>
        <v/>
      </c>
      <c r="AD307" s="9" t="str">
        <f t="shared" ca="1" si="96"/>
        <v/>
      </c>
      <c r="AE307" s="9" t="str">
        <f t="shared" ca="1" si="97"/>
        <v/>
      </c>
      <c r="AF307" s="9" t="s">
        <v>179</v>
      </c>
      <c r="AG307" s="4">
        <f>IFERROR(IF(A295=0,E307/11,LEFT(E307,1)),"")</f>
        <v>1</v>
      </c>
    </row>
    <row r="308" spans="1:33" s="4" customFormat="1" ht="15.95" customHeight="1" x14ac:dyDescent="0.35">
      <c r="A308" s="8">
        <f>IFERROR(IF(A295=0,A300*11,A300&amp;A300),"-")</f>
        <v>33</v>
      </c>
      <c r="B308" s="7" t="str">
        <f t="shared" ca="1" si="91"/>
        <v/>
      </c>
      <c r="C308" s="7">
        <f t="shared" ca="1" si="92"/>
        <v>2</v>
      </c>
      <c r="D308" s="55">
        <v>13</v>
      </c>
      <c r="E308" s="17">
        <f t="shared" si="93"/>
        <v>33</v>
      </c>
      <c r="F308" s="18" t="str">
        <f ca="1">IFERROR(IF(A295=0,HLOOKUP(E308,Declarations!$D$2:$S$102,B293,FALSE),HLOOKUP(VLOOKUP(E308,Teams!$V$2:$W$19,2,FALSE),Declarations!$D$2:$S$102,B293,FALSE)),"")</f>
        <v>ROTHWELL Noah</v>
      </c>
      <c r="G308" s="18" t="str">
        <f t="shared" si="90"/>
        <v>York</v>
      </c>
      <c r="H308" s="524">
        <f ca="1">IFERROR(INDIRECT(CONCATENATE("'Distance Input'!"&amp;B294&amp;C294+12)),"")</f>
        <v>14.45</v>
      </c>
      <c r="I308" s="525"/>
      <c r="J308" s="524">
        <v>0</v>
      </c>
      <c r="K308" s="525"/>
      <c r="L308" s="524">
        <v>0</v>
      </c>
      <c r="M308" s="525"/>
      <c r="N308" s="539">
        <f t="shared" ca="1" si="94"/>
        <v>14.45</v>
      </c>
      <c r="O308" s="540"/>
      <c r="P308" s="55">
        <v>0</v>
      </c>
      <c r="Q308" s="541">
        <v>0</v>
      </c>
      <c r="R308" s="541"/>
      <c r="S308" s="541">
        <v>0</v>
      </c>
      <c r="T308" s="541"/>
      <c r="U308" s="541">
        <v>0</v>
      </c>
      <c r="V308" s="541"/>
      <c r="W308" s="524">
        <f t="shared" ca="1" si="95"/>
        <v>14.45</v>
      </c>
      <c r="X308" s="525"/>
      <c r="Y308" s="55">
        <f ca="1">IF(OR(W308="",W308=0),0,IF(W308="X",MatchDay!$U$2+MatchDay!$U$2+1-COUNTIF(Distance!W296:W308,"X"),RANK(W308,$W296:$X311,0)))</f>
        <v>5</v>
      </c>
      <c r="Z308" s="19" t="str">
        <f ca="1">IFERROR(IF(Y308=0,0,IF(VLOOKUP(AG308,E296:Y303,21,FALSE)=0,"A",IF(Y308&gt;=VLOOKUP(AG308,E296:Y303,21,FALSE),"B","A"))),"")</f>
        <v>B</v>
      </c>
      <c r="AA308" s="19" t="str">
        <f ca="1">IFERROR(IF(Z308="B","",RANK(AD308,AD296:AD311,1)),"")</f>
        <v/>
      </c>
      <c r="AB308" s="19">
        <f ca="1">IFERROR(IF(Z308="A","",RANK(AE308,AE296:AE311,1)),"")</f>
        <v>2</v>
      </c>
      <c r="AD308" s="9" t="str">
        <f t="shared" ca="1" si="96"/>
        <v/>
      </c>
      <c r="AE308" s="9">
        <f t="shared" ca="1" si="97"/>
        <v>5</v>
      </c>
      <c r="AF308" s="9" t="s">
        <v>179</v>
      </c>
      <c r="AG308" s="4">
        <f>IFERROR(IF(A295=0,E308/11,LEFT(E308,1)),"")</f>
        <v>3</v>
      </c>
    </row>
    <row r="309" spans="1:33" s="4" customFormat="1" ht="15.95" customHeight="1" x14ac:dyDescent="0.35">
      <c r="A309" s="8" t="str">
        <f>IFERROR(IF(A295=0,A301*11,A301&amp;A301),"-")</f>
        <v>-</v>
      </c>
      <c r="B309" s="7" t="str">
        <f t="shared" ca="1" si="91"/>
        <v/>
      </c>
      <c r="C309" s="7" t="str">
        <f t="shared" ca="1" si="92"/>
        <v/>
      </c>
      <c r="D309" s="55">
        <v>14</v>
      </c>
      <c r="E309" s="17" t="str">
        <f t="shared" si="93"/>
        <v>-</v>
      </c>
      <c r="F309" s="18" t="str">
        <f>IFERROR(IF(A295=0,HLOOKUP(E309,Declarations!$D$2:$S$102,B293,FALSE),HLOOKUP(VLOOKUP(E309,Teams!$V$2:$W$19,2,FALSE),Declarations!$D$2:$S$102,B293,FALSE)),"")</f>
        <v/>
      </c>
      <c r="G309" s="18" t="str">
        <f t="shared" si="90"/>
        <v/>
      </c>
      <c r="H309" s="524">
        <f ca="1">IFERROR(INDIRECT(CONCATENATE("'Distance Input'!"&amp;B294&amp;C294+13)),"")</f>
        <v>0</v>
      </c>
      <c r="I309" s="525"/>
      <c r="J309" s="524">
        <v>0</v>
      </c>
      <c r="K309" s="525"/>
      <c r="L309" s="524">
        <v>0</v>
      </c>
      <c r="M309" s="525"/>
      <c r="N309" s="539">
        <f t="shared" ca="1" si="94"/>
        <v>0</v>
      </c>
      <c r="O309" s="540"/>
      <c r="P309" s="55">
        <v>0</v>
      </c>
      <c r="Q309" s="541">
        <v>0</v>
      </c>
      <c r="R309" s="541"/>
      <c r="S309" s="541">
        <v>0</v>
      </c>
      <c r="T309" s="541"/>
      <c r="U309" s="541">
        <v>0</v>
      </c>
      <c r="V309" s="541"/>
      <c r="W309" s="524">
        <f t="shared" ca="1" si="95"/>
        <v>0</v>
      </c>
      <c r="X309" s="525"/>
      <c r="Y309" s="55">
        <f ca="1">IF(OR(W309="",W309=0),0,IF(W309="X",MatchDay!$U$2+MatchDay!$U$2+1-COUNTIF(Distance!W296:W309,"X"),RANK(W309,$W296:$X311,0)))</f>
        <v>0</v>
      </c>
      <c r="Z309" s="19">
        <f ca="1">IFERROR(IF(Y309=0,0,IF(VLOOKUP(AG309,E296:Y303,21,FALSE)=0,"A",IF(Y309&gt;=VLOOKUP(AG309,E296:Y303,21,FALSE),"B","A"))),"")</f>
        <v>0</v>
      </c>
      <c r="AA309" s="19" t="str">
        <f ca="1">IFERROR(IF(Z309="B","",RANK(AD309,AD296:AD311,1)),"")</f>
        <v/>
      </c>
      <c r="AB309" s="19" t="str">
        <f ca="1">IFERROR(IF(Z309="A","",RANK(AE309,AE296:AE311,1)),"")</f>
        <v/>
      </c>
      <c r="AD309" s="9" t="str">
        <f t="shared" ca="1" si="96"/>
        <v/>
      </c>
      <c r="AE309" s="9" t="str">
        <f t="shared" ca="1" si="97"/>
        <v/>
      </c>
      <c r="AF309" s="9" t="s">
        <v>179</v>
      </c>
      <c r="AG309" s="4" t="str">
        <f>IFERROR(IF(A295=0,E309/11,LEFT(E309,1)),"")</f>
        <v/>
      </c>
    </row>
    <row r="310" spans="1:33" s="4" customFormat="1" ht="15.95" customHeight="1" x14ac:dyDescent="0.35">
      <c r="A310" s="8" t="str">
        <f>IFERROR(IF(A295=0,A302*11,A302&amp;A302),"-")</f>
        <v>-</v>
      </c>
      <c r="B310" s="7" t="str">
        <f t="shared" ca="1" si="91"/>
        <v/>
      </c>
      <c r="C310" s="7" t="str">
        <f t="shared" ca="1" si="92"/>
        <v/>
      </c>
      <c r="D310" s="55">
        <v>15</v>
      </c>
      <c r="E310" s="17" t="str">
        <f t="shared" si="93"/>
        <v>-</v>
      </c>
      <c r="F310" s="18" t="str">
        <f>IFERROR(IF(A295=0,HLOOKUP(E310,Declarations!$D$2:$S$102,B293,FALSE),HLOOKUP(VLOOKUP(E310,Teams!$V$2:$W$19,2,FALSE),Declarations!$D$2:$S$102,B293,FALSE)),"")</f>
        <v/>
      </c>
      <c r="G310" s="18" t="str">
        <f t="shared" si="90"/>
        <v/>
      </c>
      <c r="H310" s="524">
        <f ca="1">IFERROR(INDIRECT(CONCATENATE("'Distance Input'!"&amp;B294&amp;C294+14)),"")</f>
        <v>0</v>
      </c>
      <c r="I310" s="525"/>
      <c r="J310" s="524">
        <v>0</v>
      </c>
      <c r="K310" s="525"/>
      <c r="L310" s="524">
        <v>0</v>
      </c>
      <c r="M310" s="525"/>
      <c r="N310" s="539">
        <f t="shared" ca="1" si="94"/>
        <v>0</v>
      </c>
      <c r="O310" s="540"/>
      <c r="P310" s="55">
        <v>0</v>
      </c>
      <c r="Q310" s="541">
        <v>0</v>
      </c>
      <c r="R310" s="541"/>
      <c r="S310" s="541">
        <v>0</v>
      </c>
      <c r="T310" s="541"/>
      <c r="U310" s="541">
        <v>0</v>
      </c>
      <c r="V310" s="541"/>
      <c r="W310" s="524">
        <f t="shared" ca="1" si="95"/>
        <v>0</v>
      </c>
      <c r="X310" s="525"/>
      <c r="Y310" s="55">
        <f ca="1">IF(OR(W310="",W310=0),0,IF(W310="X",MatchDay!$U$2+MatchDay!$U$2+1-COUNTIF(Distance!W296:W310,"X"),RANK(W310,$W296:$X311,0)))</f>
        <v>0</v>
      </c>
      <c r="Z310" s="19">
        <f ca="1">IFERROR(IF(Y310=0,0,IF(VLOOKUP(AG310,E296:Y303,21,FALSE)=0,"A",IF(Y310&gt;=VLOOKUP(AG310,E296:Y303,21,FALSE),"B","A"))),"")</f>
        <v>0</v>
      </c>
      <c r="AA310" s="19" t="str">
        <f ca="1">IFERROR(IF(Z310="B","",RANK(AD310,AD296:AD311,1)),"")</f>
        <v/>
      </c>
      <c r="AB310" s="19" t="str">
        <f ca="1">IFERROR(IF(Z310="A","",RANK(AE310,AE296:AE311,1)),"")</f>
        <v/>
      </c>
      <c r="AD310" s="9" t="str">
        <f t="shared" ca="1" si="96"/>
        <v/>
      </c>
      <c r="AE310" s="9" t="str">
        <f t="shared" ca="1" si="97"/>
        <v/>
      </c>
      <c r="AF310" s="9" t="s">
        <v>179</v>
      </c>
      <c r="AG310" s="4" t="str">
        <f>IFERROR(IF(A295=0,E310/11,LEFT(E310,1)),"")</f>
        <v/>
      </c>
    </row>
    <row r="311" spans="1:33" s="4" customFormat="1" ht="15.95" customHeight="1" x14ac:dyDescent="0.35">
      <c r="A311" s="8" t="str">
        <f>IFERROR(IF(A295=0,A303*11,A303&amp;A303),"-")</f>
        <v>-</v>
      </c>
      <c r="B311" s="7" t="str">
        <f t="shared" ca="1" si="91"/>
        <v/>
      </c>
      <c r="C311" s="7" t="str">
        <f t="shared" ca="1" si="92"/>
        <v/>
      </c>
      <c r="D311" s="55">
        <v>16</v>
      </c>
      <c r="E311" s="17" t="str">
        <f t="shared" si="93"/>
        <v>-</v>
      </c>
      <c r="F311" s="18" t="str">
        <f>IFERROR(IF(A295=0,HLOOKUP(E311,Declarations!$D$2:$S$102,B293,FALSE),HLOOKUP(VLOOKUP(E311,Teams!$V$2:$W$19,2,FALSE),Declarations!$D$2:$S$102,B293,FALSE)),"")</f>
        <v/>
      </c>
      <c r="G311" s="18" t="str">
        <f t="shared" si="90"/>
        <v/>
      </c>
      <c r="H311" s="524">
        <f ca="1">IFERROR(INDIRECT(CONCATENATE("'Distance Input'!"&amp;B294&amp;C294+15)),"")</f>
        <v>0</v>
      </c>
      <c r="I311" s="525"/>
      <c r="J311" s="524">
        <v>0</v>
      </c>
      <c r="K311" s="525"/>
      <c r="L311" s="524">
        <v>0</v>
      </c>
      <c r="M311" s="525"/>
      <c r="N311" s="539">
        <f t="shared" ca="1" si="94"/>
        <v>0</v>
      </c>
      <c r="O311" s="540"/>
      <c r="P311" s="55">
        <v>0</v>
      </c>
      <c r="Q311" s="541">
        <v>0</v>
      </c>
      <c r="R311" s="541"/>
      <c r="S311" s="541">
        <v>0</v>
      </c>
      <c r="T311" s="541"/>
      <c r="U311" s="541">
        <v>0</v>
      </c>
      <c r="V311" s="541"/>
      <c r="W311" s="524">
        <f t="shared" ca="1" si="95"/>
        <v>0</v>
      </c>
      <c r="X311" s="525"/>
      <c r="Y311" s="55">
        <f ca="1">IF(OR(W311="",W311=0),0,IF(W311="X",MatchDay!$U$2+MatchDay!$U$2+1-COUNTIF(Distance!W296:W311,"X"),RANK(W311,$W296:$X311,0)))</f>
        <v>0</v>
      </c>
      <c r="Z311" s="19">
        <f ca="1">IFERROR(IF(Y311=0,0,IF(VLOOKUP(AG311,E296:Y303,21,FALSE)=0,"A",IF(Y311&gt;=VLOOKUP(AG311,E296:Y303,21,FALSE),"B","A"))),"")</f>
        <v>0</v>
      </c>
      <c r="AA311" s="19" t="str">
        <f ca="1">IFERROR(IF(Z311="B","",RANK(AD311,AD296:AD311,1)),"")</f>
        <v/>
      </c>
      <c r="AB311" s="19" t="str">
        <f ca="1">IFERROR(IF(Z311="A","",RANK(AE311,AE296:AE311,1)),"")</f>
        <v/>
      </c>
      <c r="AD311" s="9" t="str">
        <f t="shared" ca="1" si="96"/>
        <v/>
      </c>
      <c r="AE311" s="9" t="str">
        <f t="shared" ca="1" si="97"/>
        <v/>
      </c>
      <c r="AF311" s="9" t="s">
        <v>179</v>
      </c>
      <c r="AG311" s="4" t="str">
        <f>IFERROR(IF(A295=0,E311/11,LEFT(E311,1)),"")</f>
        <v/>
      </c>
    </row>
    <row r="312" spans="1:33" s="4" customFormat="1" ht="11.65" x14ac:dyDescent="0.45">
      <c r="A312" s="8"/>
      <c r="B312" s="10"/>
      <c r="C312" s="3"/>
      <c r="D312" s="20"/>
      <c r="E312" s="20"/>
      <c r="F312" s="21"/>
      <c r="G312" s="21"/>
      <c r="H312" s="20"/>
      <c r="I312" s="20"/>
      <c r="J312" s="20"/>
      <c r="K312" s="20"/>
      <c r="L312" s="20"/>
      <c r="M312" s="20"/>
      <c r="N312" s="20"/>
      <c r="O312" s="20"/>
      <c r="P312" s="20"/>
      <c r="Q312" s="20"/>
      <c r="R312" s="20"/>
      <c r="S312" s="20"/>
      <c r="T312" s="20"/>
      <c r="U312" s="20"/>
      <c r="V312" s="20"/>
      <c r="W312" s="20"/>
      <c r="X312" s="20"/>
      <c r="Y312" s="20"/>
      <c r="Z312" s="20"/>
      <c r="AA312" s="20"/>
      <c r="AB312" s="22"/>
    </row>
    <row r="313" spans="1:33" s="4" customFormat="1" ht="11.65" x14ac:dyDescent="0.45">
      <c r="A313" s="8"/>
      <c r="B313" s="10"/>
      <c r="C313" s="3"/>
      <c r="D313" s="533" t="s">
        <v>180</v>
      </c>
      <c r="E313" s="547"/>
      <c r="F313" s="547"/>
      <c r="G313" s="547"/>
      <c r="H313" s="547"/>
      <c r="I313" s="547"/>
      <c r="J313" s="512" t="s">
        <v>181</v>
      </c>
      <c r="K313" s="548"/>
      <c r="L313" s="548"/>
      <c r="M313" s="548"/>
      <c r="N313" s="548"/>
      <c r="O313" s="548"/>
      <c r="P313" s="548"/>
      <c r="Q313" s="548"/>
      <c r="R313" s="548"/>
      <c r="S313" s="548"/>
      <c r="T313" s="548"/>
      <c r="U313" s="549"/>
      <c r="V313" s="512" t="s">
        <v>182</v>
      </c>
      <c r="W313" s="513"/>
      <c r="X313" s="513"/>
      <c r="Y313" s="513"/>
      <c r="Z313" s="513"/>
      <c r="AA313" s="513"/>
      <c r="AB313" s="514"/>
    </row>
    <row r="314" spans="1:33" s="4" customFormat="1" ht="11.65" x14ac:dyDescent="0.45">
      <c r="A314" s="8" t="s">
        <v>55</v>
      </c>
      <c r="B314" s="10"/>
      <c r="C314" s="3"/>
      <c r="D314" s="12"/>
      <c r="E314" s="55" t="s">
        <v>183</v>
      </c>
      <c r="F314" s="55" t="s">
        <v>165</v>
      </c>
      <c r="G314" s="55" t="s">
        <v>166</v>
      </c>
      <c r="H314" s="533" t="s">
        <v>184</v>
      </c>
      <c r="I314" s="533"/>
      <c r="J314" s="23"/>
      <c r="K314" s="54" t="s">
        <v>183</v>
      </c>
      <c r="L314" s="512" t="s">
        <v>165</v>
      </c>
      <c r="M314" s="513"/>
      <c r="N314" s="513"/>
      <c r="O314" s="514"/>
      <c r="P314" s="512" t="s">
        <v>166</v>
      </c>
      <c r="Q314" s="513"/>
      <c r="R314" s="513"/>
      <c r="S314" s="514"/>
      <c r="T314" s="512" t="s">
        <v>184</v>
      </c>
      <c r="U314" s="514"/>
      <c r="V314" s="24"/>
      <c r="W314" s="25"/>
      <c r="X314" s="25"/>
      <c r="Y314" s="25"/>
      <c r="Z314" s="25"/>
      <c r="AA314" s="25"/>
      <c r="AB314" s="26"/>
    </row>
    <row r="315" spans="1:33" s="4" customFormat="1" ht="15.95" customHeight="1" x14ac:dyDescent="0.45">
      <c r="A315" s="11">
        <f>IFERROR(VLOOKUP(A292,standards,3,FALSE),"-")</f>
        <v>31.15</v>
      </c>
      <c r="B315" s="10">
        <v>1</v>
      </c>
      <c r="C315" s="3"/>
      <c r="D315" s="55">
        <v>1</v>
      </c>
      <c r="E315" s="19">
        <f ca="1">IFERROR(IF(OR(H296=98,H296=99),H296,VLOOKUP(B315,B296:E311,4,FALSE)),0)</f>
        <v>2</v>
      </c>
      <c r="F315" s="27" t="str">
        <f ca="1">IFERROR(VLOOKUP(E315,$E296:$F311,2,FALSE),"")</f>
        <v>HENNESSEY Thomas</v>
      </c>
      <c r="G315" s="18" t="str">
        <f t="shared" ref="G315:G322" ca="1" si="98">IFERROR(VLOOKUP(E315,teamlookup,5,FALSE),"-")</f>
        <v>Sheff+D</v>
      </c>
      <c r="H315" s="542">
        <f ca="1">IFERROR(VLOOKUP(E315,E296:X311,19,FALSE),"")</f>
        <v>27.83</v>
      </c>
      <c r="I315" s="543"/>
      <c r="J315" s="55">
        <v>1</v>
      </c>
      <c r="K315" s="55">
        <f ca="1">IFERROR(VLOOKUP(B315,C296:X311,3,FALSE),"")</f>
        <v>22</v>
      </c>
      <c r="L315" s="544" t="str">
        <f ca="1">IFERROR(VLOOKUP(K315,$E296:$F311,2,FALSE),"")</f>
        <v>COCKINGS Matthew</v>
      </c>
      <c r="M315" s="545"/>
      <c r="N315" s="545"/>
      <c r="O315" s="546"/>
      <c r="P315" s="544" t="str">
        <f t="shared" ref="P315:P322" ca="1" si="99">IFERROR(VLOOKUP(K315,teamlookup,5,FALSE),"-")</f>
        <v>Sheff+D</v>
      </c>
      <c r="Q315" s="545"/>
      <c r="R315" s="545"/>
      <c r="S315" s="546"/>
      <c r="T315" s="524">
        <f ca="1">IFERROR(VLOOKUP(K315,E296:X311,19,FALSE),"")</f>
        <v>16.329999999999998</v>
      </c>
      <c r="U315" s="525"/>
      <c r="V315" s="28"/>
      <c r="W315" s="29"/>
      <c r="X315" s="29"/>
      <c r="Y315" s="29"/>
      <c r="Z315" s="29"/>
      <c r="AA315" s="29"/>
      <c r="AB315" s="30"/>
    </row>
    <row r="316" spans="1:33" s="4" customFormat="1" ht="15.95" customHeight="1" x14ac:dyDescent="0.45">
      <c r="A316" s="11">
        <f>IFERROR(VLOOKUP(A292,standards,4,FALSE),"-")</f>
        <v>29</v>
      </c>
      <c r="B316" s="10">
        <v>2</v>
      </c>
      <c r="C316" s="3"/>
      <c r="D316" s="55">
        <v>2</v>
      </c>
      <c r="E316" s="19">
        <f ca="1">IFERROR(VLOOKUP(B316,B296:E311,4,FALSE),"")</f>
        <v>3</v>
      </c>
      <c r="F316" s="27" t="str">
        <f ca="1">IFERROR(VLOOKUP(E316,$E296:$F311,2,FALSE),"")</f>
        <v>RUTTER Lewis</v>
      </c>
      <c r="G316" s="18" t="str">
        <f t="shared" ca="1" si="98"/>
        <v>York</v>
      </c>
      <c r="H316" s="542">
        <f ca="1">IFERROR(VLOOKUP(E316,E296:X311,19,FALSE),"")</f>
        <v>18.79</v>
      </c>
      <c r="I316" s="543"/>
      <c r="J316" s="55">
        <v>2</v>
      </c>
      <c r="K316" s="55">
        <f ca="1">IFERROR(VLOOKUP(B316,C296:X311,3,FALSE),"")</f>
        <v>33</v>
      </c>
      <c r="L316" s="544" t="str">
        <f ca="1">IFERROR(VLOOKUP(K316,$E296:$F311,2,FALSE),"")</f>
        <v>ROTHWELL Noah</v>
      </c>
      <c r="M316" s="545"/>
      <c r="N316" s="545"/>
      <c r="O316" s="546"/>
      <c r="P316" s="544" t="str">
        <f t="shared" ca="1" si="99"/>
        <v>York</v>
      </c>
      <c r="Q316" s="545"/>
      <c r="R316" s="545"/>
      <c r="S316" s="546"/>
      <c r="T316" s="524">
        <f ca="1">IFERROR(VLOOKUP(K316,E296:X311,19,FALSE),"")</f>
        <v>14.45</v>
      </c>
      <c r="U316" s="525"/>
      <c r="V316" s="24"/>
      <c r="W316" s="25"/>
      <c r="X316" s="25"/>
      <c r="Y316" s="25"/>
      <c r="Z316" s="25"/>
      <c r="AA316" s="25"/>
      <c r="AB316" s="26"/>
    </row>
    <row r="317" spans="1:33" s="4" customFormat="1" ht="15.95" customHeight="1" x14ac:dyDescent="0.45">
      <c r="A317" s="11">
        <f>IFERROR(VLOOKUP(A292,standards,5,FALSE),"-")</f>
        <v>26.1</v>
      </c>
      <c r="B317" s="10">
        <v>3</v>
      </c>
      <c r="C317" s="3"/>
      <c r="D317" s="55">
        <v>3</v>
      </c>
      <c r="E317" s="19">
        <f ca="1">IFERROR(VLOOKUP(B317,B296:E311,4,FALSE),"")</f>
        <v>5</v>
      </c>
      <c r="F317" s="27" t="str">
        <f ca="1">IFERROR(VLOOKUP(E317,$E296:$F311,2,FALSE),"")</f>
        <v>COOK Alexander</v>
      </c>
      <c r="G317" s="18" t="str">
        <f t="shared" ca="1" si="98"/>
        <v>Scun</v>
      </c>
      <c r="H317" s="542">
        <f ca="1">IFERROR(VLOOKUP(E317,E296:X311,19,FALSE),"")</f>
        <v>16.600000000000001</v>
      </c>
      <c r="I317" s="543"/>
      <c r="J317" s="55">
        <v>3</v>
      </c>
      <c r="K317" s="55">
        <f ca="1">IFERROR(VLOOKUP(B317,C296:X311,3,FALSE),"")</f>
        <v>55</v>
      </c>
      <c r="L317" s="544" t="str">
        <f ca="1">IFERROR(VLOOKUP(K317,$E296:$F311,2,FALSE),"")</f>
        <v>PELL Nathan</v>
      </c>
      <c r="M317" s="545"/>
      <c r="N317" s="545"/>
      <c r="O317" s="546"/>
      <c r="P317" s="544" t="str">
        <f t="shared" ca="1" si="99"/>
        <v>Scun</v>
      </c>
      <c r="Q317" s="545"/>
      <c r="R317" s="545"/>
      <c r="S317" s="546"/>
      <c r="T317" s="524">
        <f ca="1">IFERROR(VLOOKUP(K317,E296:X311,19,FALSE),"")</f>
        <v>11.57</v>
      </c>
      <c r="U317" s="525"/>
      <c r="V317" s="28"/>
      <c r="W317" s="29"/>
      <c r="X317" s="29"/>
      <c r="Y317" s="29"/>
      <c r="Z317" s="29"/>
      <c r="AA317" s="29"/>
      <c r="AB317" s="30"/>
    </row>
    <row r="318" spans="1:33" s="4" customFormat="1" ht="15.95" customHeight="1" x14ac:dyDescent="0.45">
      <c r="A318" s="11">
        <f>IFERROR(VLOOKUP(A292,AAA!A:F,6,FALSE),"-")</f>
        <v>21.3</v>
      </c>
      <c r="B318" s="10">
        <v>4</v>
      </c>
      <c r="C318" s="3"/>
      <c r="D318" s="55">
        <v>4</v>
      </c>
      <c r="E318" s="19">
        <f ca="1">IFERROR(VLOOKUP(B318,B296:E311,4,FALSE),"")</f>
        <v>4</v>
      </c>
      <c r="F318" s="27" t="str">
        <f ca="1">IFERROR(VLOOKUP(E318,$E296:$F311,2,FALSE),"")</f>
        <v>MAYNARD Finley</v>
      </c>
      <c r="G318" s="18" t="str">
        <f t="shared" ca="1" si="98"/>
        <v>M'bro</v>
      </c>
      <c r="H318" s="542">
        <f ca="1">IFERROR(VLOOKUP(E318,E296:X311,19,FALSE),"")</f>
        <v>14.05</v>
      </c>
      <c r="I318" s="543"/>
      <c r="J318" s="55">
        <v>4</v>
      </c>
      <c r="K318" s="55" t="str">
        <f ca="1">IFERROR(VLOOKUP(B318,C296:X311,3,FALSE),"")</f>
        <v/>
      </c>
      <c r="L318" s="544" t="str">
        <f ca="1">IFERROR(VLOOKUP(K318,$E296:$F311,2,FALSE),"")</f>
        <v/>
      </c>
      <c r="M318" s="545"/>
      <c r="N318" s="545"/>
      <c r="O318" s="546"/>
      <c r="P318" s="544" t="str">
        <f t="shared" ca="1" si="99"/>
        <v>-</v>
      </c>
      <c r="Q318" s="545"/>
      <c r="R318" s="545"/>
      <c r="S318" s="546"/>
      <c r="T318" s="524" t="str">
        <f ca="1">IFERROR(VLOOKUP(K318,E296:X311,19,FALSE),"")</f>
        <v/>
      </c>
      <c r="U318" s="525"/>
      <c r="V318" s="24"/>
      <c r="W318" s="25"/>
      <c r="X318" s="25"/>
      <c r="Y318" s="25"/>
      <c r="Z318" s="25"/>
      <c r="AA318" s="25"/>
      <c r="AB318" s="26"/>
    </row>
    <row r="319" spans="1:33" s="4" customFormat="1" ht="15.95" customHeight="1" x14ac:dyDescent="0.45">
      <c r="A319" s="8"/>
      <c r="B319" s="10">
        <v>5</v>
      </c>
      <c r="C319" s="3"/>
      <c r="D319" s="55">
        <v>5</v>
      </c>
      <c r="E319" s="19">
        <f ca="1">IFERROR(VLOOKUP(B319,B296:E311,4,FALSE),"")</f>
        <v>1</v>
      </c>
      <c r="F319" s="27" t="str">
        <f ca="1">IFERROR(VLOOKUP(E319,$E296:$F311,2,FALSE),"")</f>
        <v>STOWELL Callum</v>
      </c>
      <c r="G319" s="18" t="str">
        <f t="shared" ca="1" si="98"/>
        <v>C'field</v>
      </c>
      <c r="H319" s="542">
        <f ca="1">IFERROR(VLOOKUP(E319,E296:X311,19,FALSE),"")</f>
        <v>12.32</v>
      </c>
      <c r="I319" s="543"/>
      <c r="J319" s="55">
        <v>5</v>
      </c>
      <c r="K319" s="55" t="str">
        <f ca="1">IFERROR(VLOOKUP(B319,C296:X311,3,FALSE),"")</f>
        <v/>
      </c>
      <c r="L319" s="544" t="str">
        <f ca="1">IFERROR(VLOOKUP(K319,$E296:$F311,2,FALSE),"")</f>
        <v/>
      </c>
      <c r="M319" s="545"/>
      <c r="N319" s="545"/>
      <c r="O319" s="546"/>
      <c r="P319" s="544" t="str">
        <f t="shared" ca="1" si="99"/>
        <v>-</v>
      </c>
      <c r="Q319" s="545"/>
      <c r="R319" s="545"/>
      <c r="S319" s="546"/>
      <c r="T319" s="524" t="str">
        <f ca="1">IFERROR(VLOOKUP(K319,E296:X311,19,FALSE),"")</f>
        <v/>
      </c>
      <c r="U319" s="525"/>
      <c r="V319" s="28"/>
      <c r="W319" s="29"/>
      <c r="X319" s="29"/>
      <c r="Y319" s="29"/>
      <c r="Z319" s="29"/>
      <c r="AA319" s="29"/>
      <c r="AB319" s="30"/>
    </row>
    <row r="320" spans="1:33" s="4" customFormat="1" ht="15.95" customHeight="1" x14ac:dyDescent="0.45">
      <c r="A320" s="8" t="s">
        <v>204</v>
      </c>
      <c r="B320" s="10">
        <v>6</v>
      </c>
      <c r="C320" s="3"/>
      <c r="D320" s="55">
        <v>6</v>
      </c>
      <c r="E320" s="19" t="str">
        <f ca="1">IFERROR(VLOOKUP(B320,B296:E311,4,FALSE),"")</f>
        <v/>
      </c>
      <c r="F320" s="27" t="str">
        <f ca="1">IFERROR(VLOOKUP(E320,$E296:$F311,2,FALSE),"")</f>
        <v/>
      </c>
      <c r="G320" s="18" t="str">
        <f t="shared" ca="1" si="98"/>
        <v>-</v>
      </c>
      <c r="H320" s="542" t="str">
        <f ca="1">IFERROR(VLOOKUP(E320,E296:X311,19,FALSE),"")</f>
        <v/>
      </c>
      <c r="I320" s="543"/>
      <c r="J320" s="55">
        <v>6</v>
      </c>
      <c r="K320" s="55" t="str">
        <f ca="1">IFERROR(VLOOKUP(B320,C296:X311,3,FALSE),"")</f>
        <v/>
      </c>
      <c r="L320" s="544" t="str">
        <f ca="1">IFERROR(VLOOKUP(K320,$E296:$F311,2,FALSE),"")</f>
        <v/>
      </c>
      <c r="M320" s="545"/>
      <c r="N320" s="545"/>
      <c r="O320" s="546"/>
      <c r="P320" s="544" t="str">
        <f t="shared" ca="1" si="99"/>
        <v>-</v>
      </c>
      <c r="Q320" s="545"/>
      <c r="R320" s="545"/>
      <c r="S320" s="546"/>
      <c r="T320" s="524" t="str">
        <f ca="1">IFERROR(VLOOKUP(K320,E296:X311,19,FALSE),"")</f>
        <v/>
      </c>
      <c r="U320" s="525"/>
      <c r="V320" s="512" t="s">
        <v>185</v>
      </c>
      <c r="W320" s="513"/>
      <c r="X320" s="513"/>
      <c r="Y320" s="513"/>
      <c r="Z320" s="513"/>
      <c r="AA320" s="513"/>
      <c r="AB320" s="514"/>
    </row>
    <row r="321" spans="1:33" s="4" customFormat="1" ht="15.95" customHeight="1" x14ac:dyDescent="0.45">
      <c r="A321" s="8">
        <f>IFERROR(VLOOKUP(A292,records,5,FALSE),"")</f>
        <v>48.28</v>
      </c>
      <c r="B321" s="10">
        <v>7</v>
      </c>
      <c r="C321" s="3"/>
      <c r="D321" s="55">
        <v>7</v>
      </c>
      <c r="E321" s="19" t="str">
        <f ca="1">IFERROR(VLOOKUP(B321,B296:E311,4,FALSE),"")</f>
        <v/>
      </c>
      <c r="F321" s="27" t="str">
        <f ca="1">IFERROR(VLOOKUP(E321,$E296:$F311,2,FALSE),"")</f>
        <v/>
      </c>
      <c r="G321" s="18" t="str">
        <f t="shared" ca="1" si="98"/>
        <v>-</v>
      </c>
      <c r="H321" s="542" t="str">
        <f ca="1">IFERROR(VLOOKUP(E321,E296:X311,19,FALSE),"")</f>
        <v/>
      </c>
      <c r="I321" s="543"/>
      <c r="J321" s="55">
        <v>7</v>
      </c>
      <c r="K321" s="55" t="str">
        <f ca="1">IFERROR(VLOOKUP(B321,C296:X311,3,FALSE),"")</f>
        <v/>
      </c>
      <c r="L321" s="544" t="str">
        <f ca="1">IFERROR(VLOOKUP(K321,$E296:$F311,2,FALSE),"")</f>
        <v/>
      </c>
      <c r="M321" s="545"/>
      <c r="N321" s="545"/>
      <c r="O321" s="546"/>
      <c r="P321" s="544" t="str">
        <f t="shared" ca="1" si="99"/>
        <v>-</v>
      </c>
      <c r="Q321" s="545"/>
      <c r="R321" s="545"/>
      <c r="S321" s="546"/>
      <c r="T321" s="524" t="str">
        <f ca="1">IFERROR(VLOOKUP(K321,E296:X311,19,FALSE),"")</f>
        <v/>
      </c>
      <c r="U321" s="525"/>
      <c r="V321" s="24"/>
      <c r="W321" s="25"/>
      <c r="X321" s="25"/>
      <c r="Y321" s="25"/>
      <c r="Z321" s="25"/>
      <c r="AA321" s="25"/>
      <c r="AB321" s="26"/>
    </row>
    <row r="322" spans="1:33" s="4" customFormat="1" ht="15.95" customHeight="1" x14ac:dyDescent="0.45">
      <c r="A322" s="8"/>
      <c r="B322" s="10">
        <v>8</v>
      </c>
      <c r="C322" s="3"/>
      <c r="D322" s="55">
        <v>8</v>
      </c>
      <c r="E322" s="19" t="str">
        <f ca="1">IFERROR(VLOOKUP(B322,B296:E311,4,FALSE),"")</f>
        <v/>
      </c>
      <c r="F322" s="27" t="str">
        <f ca="1">IFERROR(VLOOKUP(E322,$E296:$F311,2,FALSE),"")</f>
        <v/>
      </c>
      <c r="G322" s="18" t="str">
        <f t="shared" ca="1" si="98"/>
        <v>-</v>
      </c>
      <c r="H322" s="542" t="str">
        <f ca="1">IFERROR(VLOOKUP(E322,E296:X311,19,FALSE),"")</f>
        <v/>
      </c>
      <c r="I322" s="543"/>
      <c r="J322" s="55">
        <v>8</v>
      </c>
      <c r="K322" s="55" t="str">
        <f ca="1">IFERROR(VLOOKUP(B322,C296:X311,3,FALSE),"")</f>
        <v/>
      </c>
      <c r="L322" s="544" t="str">
        <f ca="1">IFERROR(VLOOKUP(K322,$E296:$F311,2,FALSE),"")</f>
        <v/>
      </c>
      <c r="M322" s="545"/>
      <c r="N322" s="545"/>
      <c r="O322" s="546"/>
      <c r="P322" s="544" t="str">
        <f t="shared" ca="1" si="99"/>
        <v>-</v>
      </c>
      <c r="Q322" s="545"/>
      <c r="R322" s="545"/>
      <c r="S322" s="546"/>
      <c r="T322" s="524" t="str">
        <f ca="1">IFERROR(VLOOKUP(K322,E296:X311,19,FALSE),"")</f>
        <v/>
      </c>
      <c r="U322" s="525"/>
      <c r="V322" s="28"/>
      <c r="W322" s="29"/>
      <c r="X322" s="29"/>
      <c r="Y322" s="29"/>
      <c r="Z322" s="29"/>
      <c r="AA322" s="29"/>
      <c r="AB322" s="30"/>
    </row>
    <row r="323" spans="1:33" s="4" customFormat="1" ht="21" x14ac:dyDescent="0.45">
      <c r="A323" s="2" t="str">
        <f>MatchDay!$U$6</f>
        <v>X</v>
      </c>
      <c r="B323" s="8"/>
      <c r="C323" s="3"/>
      <c r="D323" s="502" t="s">
        <v>186</v>
      </c>
      <c r="E323" s="503"/>
      <c r="F323" s="503"/>
      <c r="G323" s="503"/>
      <c r="H323" s="503"/>
      <c r="I323" s="503"/>
      <c r="J323" s="503"/>
      <c r="K323" s="515" t="s">
        <v>187</v>
      </c>
      <c r="L323" s="516"/>
      <c r="M323" s="516"/>
      <c r="N323" s="516"/>
      <c r="O323" s="518" t="str">
        <f>MatchDay!$C$2&amp;" "&amp;MatchDay!$C$3&amp;" "&amp;MatchDay!$C$4</f>
        <v>LOWER NORTH East 1</v>
      </c>
      <c r="P323" s="519"/>
      <c r="Q323" s="519"/>
      <c r="R323" s="519"/>
      <c r="S323" s="519"/>
      <c r="T323" s="519"/>
      <c r="U323" s="519"/>
      <c r="V323" s="519"/>
      <c r="W323" s="519"/>
      <c r="X323" s="519"/>
      <c r="Y323" s="519"/>
      <c r="Z323" s="519"/>
      <c r="AA323" s="519"/>
      <c r="AB323" s="520"/>
    </row>
    <row r="324" spans="1:33" s="4" customFormat="1" ht="15.75" customHeight="1" x14ac:dyDescent="0.45">
      <c r="A324" s="1" t="str">
        <f>IFERROR(IF(LEFT(MatchDay!$C$2,1)="L","L"&amp;A326,"U"&amp;A326),"")</f>
        <v>LFD11</v>
      </c>
      <c r="B324" s="10">
        <v>347</v>
      </c>
      <c r="C324" s="3"/>
      <c r="D324" s="512" t="s">
        <v>188</v>
      </c>
      <c r="E324" s="514"/>
      <c r="F324" s="513" t="str">
        <f>IFERROR(UPPER(VLOOKUP(A325,teamlookup,6,FALSE)),"")</f>
        <v/>
      </c>
      <c r="G324" s="514"/>
      <c r="H324" s="504" t="s">
        <v>201</v>
      </c>
      <c r="I324" s="510"/>
      <c r="J324" s="505"/>
      <c r="K324" s="512" t="str">
        <f>MatchDay!$C$8</f>
        <v>@ Doncaster</v>
      </c>
      <c r="L324" s="513"/>
      <c r="M324" s="513"/>
      <c r="N324" s="513"/>
      <c r="O324" s="513"/>
      <c r="P324" s="514"/>
      <c r="Q324" s="504" t="s">
        <v>160</v>
      </c>
      <c r="R324" s="505"/>
      <c r="S324" s="521">
        <f>MatchDay!$C$7</f>
        <v>43582</v>
      </c>
      <c r="T324" s="522"/>
      <c r="U324" s="522"/>
      <c r="V324" s="522"/>
      <c r="W324" s="522"/>
      <c r="X324" s="523"/>
      <c r="Y324" s="526" t="str">
        <f>IFERROR(IF(LEFT(A324,1)="L","",VLOOKUP(A324,AAA!$A:$I,8,FALSE)),"")</f>
        <v/>
      </c>
      <c r="Z324" s="527"/>
      <c r="AA324" s="524" t="str">
        <f>IFERROR(IF(LEFT(A324,1)="L","",VLOOKUP(A324,standards,9,FALSE)),"")</f>
        <v/>
      </c>
      <c r="AB324" s="525"/>
      <c r="AC324" s="6"/>
      <c r="AD324" s="6"/>
    </row>
    <row r="325" spans="1:33" s="4" customFormat="1" ht="15.75" customHeight="1" x14ac:dyDescent="0.45">
      <c r="A325" s="5">
        <f>IFERROR(IF(A323=1,VLOOKUP(A324,judges,VLOOKUP(MatchDay!$U$2*10+MatchDay!$C$5,judgesp,5,FALSE),FALSE),VLOOKUP(Distance!A324,judges,VLOOKUP(MatchDay!$U$2*10+MatchDay!$C$5,judges2,5,FALSE),FALSE)),"")</f>
        <v>0</v>
      </c>
      <c r="B325" s="181">
        <f>IFERROR(VLOOKUP(A324,Timetables!$A:$E,5,FALSE)-1,"")</f>
        <v>17</v>
      </c>
      <c r="C325" s="3"/>
      <c r="D325" s="504" t="s">
        <v>161</v>
      </c>
      <c r="E325" s="505"/>
      <c r="F325" s="508" t="str">
        <f>IFERROR(VLOOKUP(A324,timetables,2,FALSE)&amp;" "&amp;VLOOKUP(A324,timetables,3,FALSE),"")</f>
        <v>Shot U15 Girls</v>
      </c>
      <c r="G325" s="509"/>
      <c r="H325" s="504" t="s">
        <v>162</v>
      </c>
      <c r="I325" s="510"/>
      <c r="J325" s="505"/>
      <c r="K325" s="511">
        <f>IFERROR(IF(A323=1,VLOOKUP(A324,Timetables!$A:$G,6,FALSE),VLOOKUP(A324,Timetables!$A:$G,7,FALSE)),"")</f>
        <v>0.64583333333333337</v>
      </c>
      <c r="L325" s="511" t="e">
        <v>#N/A</v>
      </c>
      <c r="M325" s="504" t="s">
        <v>202</v>
      </c>
      <c r="N325" s="505"/>
      <c r="O325" s="506" t="str">
        <f>IFERROR(VLOOKUP(A324,records,3,FALSE)&amp;", "&amp;VLOOKUP(A324,records,4,FALSE)&amp;", "&amp;VLOOKUP(A324,records,5,FALSE)&amp;", "&amp;VLOOKUP(A324,records,6,FALSE)&amp;", "&amp;VLOOKUP(A324,records,7,FALSE)&amp;" "&amp;VLOOKUP(A324,records,8,FALSE),"")</f>
        <v>Omolola Kuponiyi, Havering AC, 13.72, Bracknell, April 21st 2018</v>
      </c>
      <c r="P325" s="506"/>
      <c r="Q325" s="506"/>
      <c r="R325" s="506"/>
      <c r="S325" s="506"/>
      <c r="T325" s="506"/>
      <c r="U325" s="506"/>
      <c r="V325" s="506"/>
      <c r="W325" s="506"/>
      <c r="X325" s="506"/>
      <c r="Y325" s="506"/>
      <c r="Z325" s="506"/>
      <c r="AA325" s="506"/>
      <c r="AB325" s="507"/>
    </row>
    <row r="326" spans="1:33" s="4" customFormat="1" ht="32.1" customHeight="1" x14ac:dyDescent="0.45">
      <c r="A326" s="5" t="s">
        <v>267</v>
      </c>
      <c r="B326" s="10" t="str">
        <f>IFERROR(VLOOKUP($A326,fdistance,2,FALSE),"")</f>
        <v>F</v>
      </c>
      <c r="C326" s="10">
        <f>IFERROR(VLOOKUP($A326,fdistance,3,FALSE),"")</f>
        <v>99</v>
      </c>
      <c r="D326" s="31" t="s">
        <v>163</v>
      </c>
      <c r="E326" s="13" t="s">
        <v>164</v>
      </c>
      <c r="F326" s="13" t="s">
        <v>165</v>
      </c>
      <c r="G326" s="14" t="s">
        <v>166</v>
      </c>
      <c r="H326" s="532" t="s">
        <v>167</v>
      </c>
      <c r="I326" s="534"/>
      <c r="J326" s="534" t="s">
        <v>168</v>
      </c>
      <c r="K326" s="534"/>
      <c r="L326" s="534" t="s">
        <v>169</v>
      </c>
      <c r="M326" s="534"/>
      <c r="N326" s="534" t="s">
        <v>170</v>
      </c>
      <c r="O326" s="534"/>
      <c r="P326" s="535" t="s">
        <v>171</v>
      </c>
      <c r="Q326" s="534" t="s">
        <v>172</v>
      </c>
      <c r="R326" s="534"/>
      <c r="S326" s="534" t="s">
        <v>173</v>
      </c>
      <c r="T326" s="534"/>
      <c r="U326" s="534" t="s">
        <v>174</v>
      </c>
      <c r="V326" s="534"/>
      <c r="W326" s="537" t="s">
        <v>175</v>
      </c>
      <c r="X326" s="538"/>
      <c r="Y326" s="528" t="s">
        <v>176</v>
      </c>
      <c r="Z326" s="530" t="s">
        <v>177</v>
      </c>
      <c r="AA326" s="531"/>
      <c r="AB326" s="532"/>
    </row>
    <row r="327" spans="1:33" s="4" customFormat="1" ht="11.65" x14ac:dyDescent="0.35">
      <c r="A327" s="137">
        <f>IFERROR(SEARCH("U17",F325),0)</f>
        <v>0</v>
      </c>
      <c r="B327" s="7" t="s">
        <v>53</v>
      </c>
      <c r="C327" s="7" t="s">
        <v>54</v>
      </c>
      <c r="D327" s="56"/>
      <c r="E327" s="56"/>
      <c r="F327" s="15"/>
      <c r="G327" s="16"/>
      <c r="H327" s="514" t="s">
        <v>178</v>
      </c>
      <c r="I327" s="533"/>
      <c r="J327" s="533" t="s">
        <v>178</v>
      </c>
      <c r="K327" s="533"/>
      <c r="L327" s="533" t="s">
        <v>178</v>
      </c>
      <c r="M327" s="533"/>
      <c r="N327" s="533" t="s">
        <v>178</v>
      </c>
      <c r="O327" s="533"/>
      <c r="P327" s="536"/>
      <c r="Q327" s="533" t="s">
        <v>178</v>
      </c>
      <c r="R327" s="533"/>
      <c r="S327" s="533" t="s">
        <v>178</v>
      </c>
      <c r="T327" s="533"/>
      <c r="U327" s="533" t="s">
        <v>178</v>
      </c>
      <c r="V327" s="533"/>
      <c r="W327" s="533" t="s">
        <v>178</v>
      </c>
      <c r="X327" s="512"/>
      <c r="Y327" s="529"/>
      <c r="Z327" s="55"/>
      <c r="AA327" s="55" t="s">
        <v>53</v>
      </c>
      <c r="AB327" s="55" t="s">
        <v>54</v>
      </c>
    </row>
    <row r="328" spans="1:33" s="4" customFormat="1" ht="15.95" customHeight="1" x14ac:dyDescent="0.35">
      <c r="A328" s="8">
        <f>IFERROR(IF(D328&gt;MatchDay!$U$2,"-",VLOOKUP(A324,timetables,MatchDay!$U$4,FALSE)),0)</f>
        <v>3</v>
      </c>
      <c r="B328" s="7">
        <f ca="1">AA328</f>
        <v>2</v>
      </c>
      <c r="C328" s="7" t="str">
        <f ca="1">AB328</f>
        <v/>
      </c>
      <c r="D328" s="56">
        <v>1</v>
      </c>
      <c r="E328" s="17">
        <f>A328</f>
        <v>3</v>
      </c>
      <c r="F328" s="18" t="str">
        <f ca="1">IFERROR(IF(A327=0,HLOOKUP(E328,Declarations!$D$2:$S$102,B325,FALSE),HLOOKUP(VLOOKUP(E328,Teams!$V$2:$W$19,2,FALSE),Declarations!$D$2:$S$102,B325,FALSE)),"")</f>
        <v>BROOKS Carmen</v>
      </c>
      <c r="G328" s="18" t="str">
        <f t="shared" ref="G328:G343" si="100">IFERROR(VLOOKUP(E328,teamlookup,5,FALSE),"-")</f>
        <v>York</v>
      </c>
      <c r="H328" s="524">
        <f ca="1">IFERROR(INDIRECT(CONCATENATE("'Distance Input'!"&amp;B326&amp;C326)),"")</f>
        <v>10.01</v>
      </c>
      <c r="I328" s="525"/>
      <c r="J328" s="524">
        <v>0</v>
      </c>
      <c r="K328" s="525"/>
      <c r="L328" s="524">
        <v>0</v>
      </c>
      <c r="M328" s="525"/>
      <c r="N328" s="539">
        <f ca="1">H328</f>
        <v>10.01</v>
      </c>
      <c r="O328" s="540"/>
      <c r="P328" s="55">
        <v>0</v>
      </c>
      <c r="Q328" s="541">
        <v>0</v>
      </c>
      <c r="R328" s="541"/>
      <c r="S328" s="541">
        <v>0</v>
      </c>
      <c r="T328" s="541"/>
      <c r="U328" s="541">
        <v>0</v>
      </c>
      <c r="V328" s="541"/>
      <c r="W328" s="524">
        <f ca="1">N328</f>
        <v>10.01</v>
      </c>
      <c r="X328" s="525"/>
      <c r="Y328" s="55">
        <f ca="1">IF(OR(W328="",W328=0),0,IF(W328="X",MatchDay!$U$2+MatchDay!$U$2+1-COUNTIF(Distance!W328:W328,"X"),RANK(W328,$W328:$X343,0)))</f>
        <v>3</v>
      </c>
      <c r="Z328" s="19" t="str">
        <f ca="1">IFERROR(IF(Y328=0,0,IF(OR(VLOOKUP(AG328,E336:Y343,21,FALSE)=0,Y328&lt;=VLOOKUP(AG328,E336:Y343,21,FALSE)),"A","B")),"")</f>
        <v>A</v>
      </c>
      <c r="AA328" s="19">
        <f ca="1">IFERROR(IF(Z328="B","",RANK(AD328,AD328:AD343,1)),"")</f>
        <v>2</v>
      </c>
      <c r="AB328" s="19" t="str">
        <f ca="1">IFERROR(IF(Z328="A","",RANK(AE328,AE328:AE343,1)),"")</f>
        <v/>
      </c>
      <c r="AC328" s="8"/>
      <c r="AD328" s="9">
        <f ca="1">IF(OR(W328=0,Y328=0,Z328="B"),"",Y328)</f>
        <v>3</v>
      </c>
      <c r="AE328" s="9" t="str">
        <f ca="1">IF(OR(W328=0,Y328=0,Z328="A"),"",Y328)</f>
        <v/>
      </c>
      <c r="AF328" s="9" t="s">
        <v>179</v>
      </c>
      <c r="AG328" s="4">
        <f>IFERROR(IF(A327=0,E328*11,E328&amp;E328),"")</f>
        <v>33</v>
      </c>
    </row>
    <row r="329" spans="1:33" s="4" customFormat="1" ht="15.95" customHeight="1" x14ac:dyDescent="0.35">
      <c r="A329" s="8">
        <f>IFERROR(IF(D329&gt;MatchDay!$U$2,"-",VLOOKUP(A324,timetables,MatchDay!$U$4+1,FALSE)),0)</f>
        <v>1</v>
      </c>
      <c r="B329" s="7">
        <f t="shared" ref="B329:B343" ca="1" si="101">AA329</f>
        <v>5</v>
      </c>
      <c r="C329" s="7" t="str">
        <f t="shared" ref="C329:C343" ca="1" si="102">AB329</f>
        <v/>
      </c>
      <c r="D329" s="55">
        <v>2</v>
      </c>
      <c r="E329" s="17">
        <f t="shared" ref="E329:E343" si="103">A329</f>
        <v>1</v>
      </c>
      <c r="F329" s="18" t="str">
        <f ca="1">IFERROR(IF(A327=0,HLOOKUP(E329,Declarations!$D$2:$S$102,B325,FALSE),HLOOKUP(VLOOKUP(E329,Teams!$V$2:$W$19,2,FALSE),Declarations!$D$2:$S$102,B325,FALSE)),"")</f>
        <v>HIGHAM Ruby</v>
      </c>
      <c r="G329" s="18" t="str">
        <f t="shared" si="100"/>
        <v>C'field</v>
      </c>
      <c r="H329" s="524">
        <f ca="1">IFERROR(INDIRECT(CONCATENATE("'Distance Input'!"&amp;B326&amp;C326+1)),"")</f>
        <v>6.45</v>
      </c>
      <c r="I329" s="525"/>
      <c r="J329" s="524">
        <v>0</v>
      </c>
      <c r="K329" s="525"/>
      <c r="L329" s="524">
        <v>0</v>
      </c>
      <c r="M329" s="525"/>
      <c r="N329" s="539">
        <f t="shared" ref="N329:N343" ca="1" si="104">H329</f>
        <v>6.45</v>
      </c>
      <c r="O329" s="540"/>
      <c r="P329" s="55">
        <v>0</v>
      </c>
      <c r="Q329" s="541">
        <v>0</v>
      </c>
      <c r="R329" s="541"/>
      <c r="S329" s="541">
        <v>0</v>
      </c>
      <c r="T329" s="541"/>
      <c r="U329" s="541">
        <v>0</v>
      </c>
      <c r="V329" s="541"/>
      <c r="W329" s="524">
        <f t="shared" ref="W329:W343" ca="1" si="105">N329</f>
        <v>6.45</v>
      </c>
      <c r="X329" s="525"/>
      <c r="Y329" s="55">
        <f ca="1">IF(OR(W329="",W329=0),0,IF(W329="X",MatchDay!$U$2+MatchDay!$U$2+1-COUNTIF(Distance!W328:W329,"X"),RANK(W329,$W328:$X343,0)))</f>
        <v>7</v>
      </c>
      <c r="Z329" s="19" t="str">
        <f ca="1">IFERROR(IF(Y329=0,0,IF(OR(VLOOKUP(AG329,E336:Y343,21,FALSE)=0,Y329&lt;=VLOOKUP(AG329,E336:Y343,21,FALSE)),"A","B")),"")</f>
        <v>A</v>
      </c>
      <c r="AA329" s="19">
        <f ca="1">IFERROR(IF(Z329="B","",RANK(AD329,AD328:AD343,1)),"")</f>
        <v>5</v>
      </c>
      <c r="AB329" s="19" t="str">
        <f ca="1">IFERROR(IF(Z329="A","",RANK(AE329,AE328:AE343,1)),"")</f>
        <v/>
      </c>
      <c r="AC329" s="8"/>
      <c r="AD329" s="9">
        <f t="shared" ref="AD329:AD343" ca="1" si="106">IF(OR(W329=0,Y329=0,Z329="B"),"",Y329)</f>
        <v>7</v>
      </c>
      <c r="AE329" s="9" t="str">
        <f t="shared" ref="AE329:AE343" ca="1" si="107">IF(OR(W329=0,Y329=0,Z329="A"),"",Y329)</f>
        <v/>
      </c>
      <c r="AF329" s="9" t="s">
        <v>179</v>
      </c>
      <c r="AG329" s="4">
        <f>IFERROR(IF(A327=0,E329*11,E329&amp;E329),"")</f>
        <v>11</v>
      </c>
    </row>
    <row r="330" spans="1:33" s="4" customFormat="1" ht="15.95" customHeight="1" x14ac:dyDescent="0.35">
      <c r="A330" s="8">
        <f>IFERROR(IF(D330&gt;MatchDay!$U$2,"-",VLOOKUP(A324,timetables,MatchDay!$U$4+2,FALSE)),0)</f>
        <v>4</v>
      </c>
      <c r="B330" s="7">
        <f t="shared" ca="1" si="101"/>
        <v>3</v>
      </c>
      <c r="C330" s="7" t="str">
        <f t="shared" ca="1" si="102"/>
        <v/>
      </c>
      <c r="D330" s="55">
        <v>3</v>
      </c>
      <c r="E330" s="17">
        <f t="shared" si="103"/>
        <v>4</v>
      </c>
      <c r="F330" s="18" t="str">
        <f ca="1">IFERROR(IF(A327=0,HLOOKUP(E330,Declarations!$D$2:$S$102,B325,FALSE),HLOOKUP(VLOOKUP(E330,Teams!$V$2:$W$19,2,FALSE),Declarations!$D$2:$S$102,B325,FALSE)),"")</f>
        <v>DORAN Bethany</v>
      </c>
      <c r="G330" s="18" t="str">
        <f t="shared" si="100"/>
        <v>M'bro</v>
      </c>
      <c r="H330" s="524">
        <f ca="1">IFERROR(INDIRECT(CONCATENATE("'Distance Input'!"&amp;B326&amp;C326+2)),"")</f>
        <v>7.89</v>
      </c>
      <c r="I330" s="525"/>
      <c r="J330" s="524">
        <v>0</v>
      </c>
      <c r="K330" s="525"/>
      <c r="L330" s="524">
        <v>0</v>
      </c>
      <c r="M330" s="525"/>
      <c r="N330" s="539">
        <f t="shared" ca="1" si="104"/>
        <v>7.89</v>
      </c>
      <c r="O330" s="540"/>
      <c r="P330" s="55">
        <v>0</v>
      </c>
      <c r="Q330" s="541">
        <v>0</v>
      </c>
      <c r="R330" s="541"/>
      <c r="S330" s="541">
        <v>0</v>
      </c>
      <c r="T330" s="541"/>
      <c r="U330" s="541">
        <v>0</v>
      </c>
      <c r="V330" s="541"/>
      <c r="W330" s="524">
        <f t="shared" ca="1" si="105"/>
        <v>7.89</v>
      </c>
      <c r="X330" s="525"/>
      <c r="Y330" s="55">
        <f ca="1">IF(OR(W330="",W330=0),0,IF(W330="X",MatchDay!$U$2+MatchDay!$U$2+1-COUNTIF(Distance!W328:W330,"X"),RANK(W330,$W328:$X343,0)))</f>
        <v>4</v>
      </c>
      <c r="Z330" s="19" t="str">
        <f ca="1">IFERROR(IF(Y330=0,0,IF(OR(VLOOKUP(AG330,E336:Y343,21,FALSE)=0,Y330&lt;=VLOOKUP(AG330,E336:Y343,21,FALSE)),"A","B")),"")</f>
        <v>A</v>
      </c>
      <c r="AA330" s="19">
        <f ca="1">IFERROR(IF(Z330="B","",RANK(AD330,AD328:AD343,1)),"")</f>
        <v>3</v>
      </c>
      <c r="AB330" s="19" t="str">
        <f ca="1">IFERROR(IF(Z330="A","",RANK(AE330,AE328:AE343,1)),"")</f>
        <v/>
      </c>
      <c r="AD330" s="9">
        <f t="shared" ca="1" si="106"/>
        <v>4</v>
      </c>
      <c r="AE330" s="9" t="str">
        <f t="shared" ca="1" si="107"/>
        <v/>
      </c>
      <c r="AF330" s="9" t="s">
        <v>179</v>
      </c>
      <c r="AG330" s="4">
        <f>IFERROR(IF(A327=0,E330*11,E330&amp;E330),"")</f>
        <v>44</v>
      </c>
    </row>
    <row r="331" spans="1:33" s="4" customFormat="1" ht="15.95" customHeight="1" x14ac:dyDescent="0.35">
      <c r="A331" s="8">
        <f>IFERROR(IF(D331&gt;MatchDay!$U$2,"-",VLOOKUP(A324,timetables,MatchDay!$U$4+3,FALSE)),0)</f>
        <v>2</v>
      </c>
      <c r="B331" s="7">
        <f t="shared" ca="1" si="101"/>
        <v>1</v>
      </c>
      <c r="C331" s="7" t="str">
        <f t="shared" ca="1" si="102"/>
        <v/>
      </c>
      <c r="D331" s="55">
        <v>4</v>
      </c>
      <c r="E331" s="17">
        <f t="shared" si="103"/>
        <v>2</v>
      </c>
      <c r="F331" s="18" t="str">
        <f ca="1">IFERROR(IF(A327=0,HLOOKUP(E331,Declarations!$D$2:$S$102,B325,FALSE),HLOOKUP(VLOOKUP(E331,Teams!$V$2:$W$19,2,FALSE),Declarations!$D$2:$S$102,B325,FALSE)),"")</f>
        <v>ADEBAYO Daphney</v>
      </c>
      <c r="G331" s="18" t="str">
        <f t="shared" si="100"/>
        <v>Sheff+D</v>
      </c>
      <c r="H331" s="524">
        <f ca="1">IFERROR(INDIRECT(CONCATENATE("'Distance Input'!"&amp;B326&amp;C326+3)),"")</f>
        <v>10.51</v>
      </c>
      <c r="I331" s="525"/>
      <c r="J331" s="524">
        <v>0</v>
      </c>
      <c r="K331" s="525"/>
      <c r="L331" s="524">
        <v>0</v>
      </c>
      <c r="M331" s="525"/>
      <c r="N331" s="539">
        <f t="shared" ca="1" si="104"/>
        <v>10.51</v>
      </c>
      <c r="O331" s="540"/>
      <c r="P331" s="55">
        <v>0</v>
      </c>
      <c r="Q331" s="541">
        <v>0</v>
      </c>
      <c r="R331" s="541"/>
      <c r="S331" s="541">
        <v>0</v>
      </c>
      <c r="T331" s="541"/>
      <c r="U331" s="541">
        <v>0</v>
      </c>
      <c r="V331" s="541"/>
      <c r="W331" s="524">
        <f t="shared" ca="1" si="105"/>
        <v>10.51</v>
      </c>
      <c r="X331" s="525"/>
      <c r="Y331" s="55">
        <f ca="1">IF(OR(W331="",W331=0),0,IF(W331="X",MatchDay!$U$2+MatchDay!$U$2+1-COUNTIF(Distance!W328:W331,"X"),RANK(W331,$W328:$X343,0)))</f>
        <v>1</v>
      </c>
      <c r="Z331" s="19" t="str">
        <f ca="1">IFERROR(IF(Y331=0,0,IF(OR(VLOOKUP(AG331,E336:Y343,21,FALSE)=0,Y331&lt;=VLOOKUP(AG331,E336:Y343,21,FALSE)),"A","B")),"")</f>
        <v>A</v>
      </c>
      <c r="AA331" s="19">
        <f ca="1">IFERROR(IF(Z331="B","",RANK(AD331,AD328:AD343,1)),"")</f>
        <v>1</v>
      </c>
      <c r="AB331" s="19" t="str">
        <f ca="1">IFERROR(IF(Z331="A","",RANK(AE331,AE328:AE343,1)),"")</f>
        <v/>
      </c>
      <c r="AD331" s="9">
        <f t="shared" ca="1" si="106"/>
        <v>1</v>
      </c>
      <c r="AE331" s="9" t="str">
        <f t="shared" ca="1" si="107"/>
        <v/>
      </c>
      <c r="AF331" s="9" t="s">
        <v>179</v>
      </c>
      <c r="AG331" s="4">
        <f>IFERROR(IF(A327=0,E331*11,E331&amp;E331),"")</f>
        <v>22</v>
      </c>
    </row>
    <row r="332" spans="1:33" s="4" customFormat="1" ht="15.95" customHeight="1" x14ac:dyDescent="0.35">
      <c r="A332" s="8">
        <f>IFERROR(IF(D332&gt;MatchDay!$U$2,"-",VLOOKUP(A324,timetables,MatchDay!$U$4+4,FALSE)),0)</f>
        <v>5</v>
      </c>
      <c r="B332" s="7">
        <f t="shared" ca="1" si="101"/>
        <v>4</v>
      </c>
      <c r="C332" s="7" t="str">
        <f t="shared" ca="1" si="102"/>
        <v/>
      </c>
      <c r="D332" s="55">
        <v>5</v>
      </c>
      <c r="E332" s="17">
        <f t="shared" si="103"/>
        <v>5</v>
      </c>
      <c r="F332" s="18" t="str">
        <f ca="1">IFERROR(IF(A327=0,HLOOKUP(E332,Declarations!$D$2:$S$102,B325,FALSE),HLOOKUP(VLOOKUP(E332,Teams!$V$2:$W$19,2,FALSE),Declarations!$D$2:$S$102,B325,FALSE)),"")</f>
        <v>THIRKETTLE Charlotte</v>
      </c>
      <c r="G332" s="18" t="str">
        <f t="shared" si="100"/>
        <v>Scun</v>
      </c>
      <c r="H332" s="524">
        <f ca="1">IFERROR(INDIRECT(CONCATENATE("'Distance Input'!"&amp;B326&amp;C326+4)),"")</f>
        <v>7.3</v>
      </c>
      <c r="I332" s="525"/>
      <c r="J332" s="524">
        <v>0</v>
      </c>
      <c r="K332" s="525"/>
      <c r="L332" s="524">
        <v>0</v>
      </c>
      <c r="M332" s="525"/>
      <c r="N332" s="539">
        <f t="shared" ca="1" si="104"/>
        <v>7.3</v>
      </c>
      <c r="O332" s="540"/>
      <c r="P332" s="55">
        <v>0</v>
      </c>
      <c r="Q332" s="541">
        <v>0</v>
      </c>
      <c r="R332" s="541"/>
      <c r="S332" s="541">
        <v>0</v>
      </c>
      <c r="T332" s="541"/>
      <c r="U332" s="541">
        <v>0</v>
      </c>
      <c r="V332" s="541"/>
      <c r="W332" s="524">
        <f t="shared" ca="1" si="105"/>
        <v>7.3</v>
      </c>
      <c r="X332" s="525"/>
      <c r="Y332" s="55">
        <f ca="1">IF(OR(W332="",W332=0),0,IF(W332="X",MatchDay!$U$2+MatchDay!$U$2+1-COUNTIF(Distance!W328:W332,"X"),RANK(W332,$W328:$X343,0)))</f>
        <v>5</v>
      </c>
      <c r="Z332" s="19" t="str">
        <f ca="1">IFERROR(IF(Y332=0,0,IF(OR(VLOOKUP(AG332,E336:Y343,21,FALSE)=0,Y332&lt;=VLOOKUP(AG332,E336:Y343,21,FALSE)),"A","B")),"")</f>
        <v>A</v>
      </c>
      <c r="AA332" s="19">
        <f ca="1">IFERROR(IF(Z332="B","",RANK(AD332,AD328:AD343,1)),"")</f>
        <v>4</v>
      </c>
      <c r="AB332" s="19" t="str">
        <f ca="1">IFERROR(IF(Z332="A","",RANK(AE332,AE328:AE343,1)),"")</f>
        <v/>
      </c>
      <c r="AD332" s="9">
        <f t="shared" ca="1" si="106"/>
        <v>5</v>
      </c>
      <c r="AE332" s="9" t="str">
        <f t="shared" ca="1" si="107"/>
        <v/>
      </c>
      <c r="AF332" s="9" t="s">
        <v>179</v>
      </c>
      <c r="AG332" s="4">
        <f>IFERROR(IF(A327=0,E332*11,E332&amp;E332),"")</f>
        <v>55</v>
      </c>
    </row>
    <row r="333" spans="1:33" s="4" customFormat="1" ht="15.95" customHeight="1" x14ac:dyDescent="0.35">
      <c r="A333" s="8" t="str">
        <f>IFERROR(IF(D333&gt;MatchDay!$U$2,"-",VLOOKUP(A324,timetables,MatchDay!$U$4+5,FALSE)),0)</f>
        <v>-</v>
      </c>
      <c r="B333" s="7" t="str">
        <f t="shared" ca="1" si="101"/>
        <v/>
      </c>
      <c r="C333" s="7" t="str">
        <f t="shared" ca="1" si="102"/>
        <v/>
      </c>
      <c r="D333" s="55">
        <v>6</v>
      </c>
      <c r="E333" s="17" t="str">
        <f t="shared" si="103"/>
        <v>-</v>
      </c>
      <c r="F333" s="18" t="str">
        <f>IFERROR(IF(A327=0,HLOOKUP(E333,Declarations!$D$2:$S$102,B325,FALSE),HLOOKUP(VLOOKUP(E333,Teams!$V$2:$W$19,2,FALSE),Declarations!$D$2:$S$102,B325,FALSE)),"")</f>
        <v/>
      </c>
      <c r="G333" s="18" t="str">
        <f t="shared" si="100"/>
        <v/>
      </c>
      <c r="H333" s="524">
        <f ca="1">IFERROR(INDIRECT(CONCATENATE("'Distance Input'!"&amp;B326&amp;C326+5)),"")</f>
        <v>0</v>
      </c>
      <c r="I333" s="525"/>
      <c r="J333" s="524">
        <v>0</v>
      </c>
      <c r="K333" s="525"/>
      <c r="L333" s="524">
        <v>0</v>
      </c>
      <c r="M333" s="525"/>
      <c r="N333" s="539">
        <f t="shared" ca="1" si="104"/>
        <v>0</v>
      </c>
      <c r="O333" s="540"/>
      <c r="P333" s="55">
        <v>0</v>
      </c>
      <c r="Q333" s="541">
        <v>0</v>
      </c>
      <c r="R333" s="541"/>
      <c r="S333" s="541">
        <v>0</v>
      </c>
      <c r="T333" s="541"/>
      <c r="U333" s="541">
        <v>0</v>
      </c>
      <c r="V333" s="541"/>
      <c r="W333" s="524">
        <f t="shared" ca="1" si="105"/>
        <v>0</v>
      </c>
      <c r="X333" s="525"/>
      <c r="Y333" s="55">
        <f ca="1">IF(OR(W333="",W333=0),0,IF(W333="X",MatchDay!$U$2+MatchDay!$U$2+1-COUNTIF(Distance!W328:W333,"X"),RANK(W333,$W328:$X343,0)))</f>
        <v>0</v>
      </c>
      <c r="Z333" s="19">
        <f ca="1">IFERROR(IF(Y333=0,0,IF(OR(VLOOKUP(AG333,E336:Y343,21,FALSE)=0,Y333&lt;=VLOOKUP(AG333,E336:Y343,21,FALSE)),"A","B")),"")</f>
        <v>0</v>
      </c>
      <c r="AA333" s="19" t="str">
        <f ca="1">IFERROR(IF(Z333="B","",RANK(AD333,AD328:AD343,1)),"")</f>
        <v/>
      </c>
      <c r="AB333" s="19" t="str">
        <f ca="1">IFERROR(IF(Z333="A","",RANK(AE333,AE328:AE343,1)),"")</f>
        <v/>
      </c>
      <c r="AD333" s="9" t="str">
        <f t="shared" ca="1" si="106"/>
        <v/>
      </c>
      <c r="AE333" s="9" t="str">
        <f t="shared" ca="1" si="107"/>
        <v/>
      </c>
      <c r="AF333" s="9" t="s">
        <v>179</v>
      </c>
      <c r="AG333" s="4" t="str">
        <f>IFERROR(IF(A327=0,E333*11,E333&amp;E333),"")</f>
        <v/>
      </c>
    </row>
    <row r="334" spans="1:33" s="4" customFormat="1" ht="15.95" customHeight="1" x14ac:dyDescent="0.35">
      <c r="A334" s="8" t="str">
        <f>IFERROR(IF(D334&gt;MatchDay!$U$2,"-",VLOOKUP(A324,timetables,MatchDay!$U$4+6,FALSE)),0)</f>
        <v>-</v>
      </c>
      <c r="B334" s="7" t="str">
        <f t="shared" ca="1" si="101"/>
        <v/>
      </c>
      <c r="C334" s="7" t="str">
        <f t="shared" ca="1" si="102"/>
        <v/>
      </c>
      <c r="D334" s="55">
        <v>7</v>
      </c>
      <c r="E334" s="17" t="str">
        <f t="shared" si="103"/>
        <v>-</v>
      </c>
      <c r="F334" s="18" t="str">
        <f>IFERROR(IF(A327=0,HLOOKUP(E334,Declarations!$D$2:$S$102,B325,FALSE),HLOOKUP(VLOOKUP(E334,Teams!$V$2:$W$19,2,FALSE),Declarations!$D$2:$S$102,B325,FALSE)),"")</f>
        <v/>
      </c>
      <c r="G334" s="18" t="str">
        <f t="shared" si="100"/>
        <v/>
      </c>
      <c r="H334" s="524">
        <f ca="1">IFERROR(INDIRECT(CONCATENATE("'Distance Input'!"&amp;B326&amp;C326+6)),"")</f>
        <v>0</v>
      </c>
      <c r="I334" s="525"/>
      <c r="J334" s="524">
        <v>0</v>
      </c>
      <c r="K334" s="525"/>
      <c r="L334" s="524">
        <v>0</v>
      </c>
      <c r="M334" s="525"/>
      <c r="N334" s="539">
        <f t="shared" ca="1" si="104"/>
        <v>0</v>
      </c>
      <c r="O334" s="540"/>
      <c r="P334" s="55">
        <v>0</v>
      </c>
      <c r="Q334" s="541">
        <v>0</v>
      </c>
      <c r="R334" s="541"/>
      <c r="S334" s="541">
        <v>0</v>
      </c>
      <c r="T334" s="541"/>
      <c r="U334" s="541">
        <v>0</v>
      </c>
      <c r="V334" s="541"/>
      <c r="W334" s="524">
        <f t="shared" ca="1" si="105"/>
        <v>0</v>
      </c>
      <c r="X334" s="525"/>
      <c r="Y334" s="55">
        <f ca="1">IF(OR(W334="",W334=0),0,IF(W334="X",MatchDay!$U$2+MatchDay!$U$2+1-COUNTIF(Distance!W328:W334,"X"),RANK(W334,$W328:$X343,0)))</f>
        <v>0</v>
      </c>
      <c r="Z334" s="19">
        <f ca="1">IFERROR(IF(Y334=0,0,IF(OR(VLOOKUP(AG334,E336:Y343,21,FALSE)=0,Y334&lt;=VLOOKUP(AG334,E336:Y343,21,FALSE)),"A","B")),"")</f>
        <v>0</v>
      </c>
      <c r="AA334" s="19" t="str">
        <f ca="1">IFERROR(IF(Z334="B","",RANK(AD334,AD328:AD343,1)),"")</f>
        <v/>
      </c>
      <c r="AB334" s="19" t="str">
        <f ca="1">IFERROR(IF(Z334="A","",RANK(AE334,AE328:AE343,1)),"")</f>
        <v/>
      </c>
      <c r="AD334" s="9" t="str">
        <f t="shared" ca="1" si="106"/>
        <v/>
      </c>
      <c r="AE334" s="9" t="str">
        <f t="shared" ca="1" si="107"/>
        <v/>
      </c>
      <c r="AF334" s="9" t="s">
        <v>179</v>
      </c>
      <c r="AG334" s="4" t="str">
        <f>IFERROR(IF(A327=0,E334*11,E334&amp;E334),"")</f>
        <v/>
      </c>
    </row>
    <row r="335" spans="1:33" s="4" customFormat="1" ht="15.95" customHeight="1" x14ac:dyDescent="0.35">
      <c r="A335" s="8" t="str">
        <f>IFERROR(IF(D335&gt;MatchDay!$U$2,"-",VLOOKUP(A324,timetables,MatchDay!$U$4+7,FALSE)),0)</f>
        <v>-</v>
      </c>
      <c r="B335" s="7" t="str">
        <f t="shared" ca="1" si="101"/>
        <v/>
      </c>
      <c r="C335" s="7" t="str">
        <f t="shared" ca="1" si="102"/>
        <v/>
      </c>
      <c r="D335" s="55">
        <v>8</v>
      </c>
      <c r="E335" s="17" t="str">
        <f t="shared" si="103"/>
        <v>-</v>
      </c>
      <c r="F335" s="18" t="str">
        <f>IFERROR(IF(A327=0,HLOOKUP(E335,Declarations!$D$2:$S$102,B325,FALSE),HLOOKUP(VLOOKUP(E335,Teams!$V$2:$W$19,2,FALSE),Declarations!$D$2:$S$102,B325,FALSE)),"")</f>
        <v/>
      </c>
      <c r="G335" s="18" t="str">
        <f t="shared" si="100"/>
        <v/>
      </c>
      <c r="H335" s="524">
        <f ca="1">IFERROR(INDIRECT(CONCATENATE("'Distance Input'!"&amp;B326&amp;C326+7)),"")</f>
        <v>0</v>
      </c>
      <c r="I335" s="525"/>
      <c r="J335" s="524">
        <v>0</v>
      </c>
      <c r="K335" s="525"/>
      <c r="L335" s="524">
        <v>0</v>
      </c>
      <c r="M335" s="525"/>
      <c r="N335" s="539">
        <f t="shared" ca="1" si="104"/>
        <v>0</v>
      </c>
      <c r="O335" s="540"/>
      <c r="P335" s="55">
        <v>0</v>
      </c>
      <c r="Q335" s="541">
        <v>0</v>
      </c>
      <c r="R335" s="541"/>
      <c r="S335" s="541">
        <v>0</v>
      </c>
      <c r="T335" s="541"/>
      <c r="U335" s="541">
        <v>0</v>
      </c>
      <c r="V335" s="541"/>
      <c r="W335" s="524">
        <f t="shared" ca="1" si="105"/>
        <v>0</v>
      </c>
      <c r="X335" s="525"/>
      <c r="Y335" s="55">
        <f ca="1">IF(OR(W335="",W335=0),0,IF(W335="X",MatchDay!$U$2+MatchDay!$U$2+1-COUNTIF(Distance!W328:W335,"X"),RANK(W335,$W328:$X343,0)))</f>
        <v>0</v>
      </c>
      <c r="Z335" s="19">
        <f ca="1">IFERROR(IF(Y335=0,0,IF(OR(VLOOKUP(AG335,E336:Y343,21,FALSE)=0,Y335&lt;=VLOOKUP(AG335,E336:Y343,21,FALSE)),"A","B")),"")</f>
        <v>0</v>
      </c>
      <c r="AA335" s="19" t="str">
        <f ca="1">IFERROR(IF(Z335="B","",RANK(AD335,AD328:AD343,1)),"")</f>
        <v/>
      </c>
      <c r="AB335" s="19" t="str">
        <f ca="1">IFERROR(IF(Z335="A","",RANK(AE335,AE328:AE343,1)),"")</f>
        <v/>
      </c>
      <c r="AD335" s="9" t="str">
        <f t="shared" ca="1" si="106"/>
        <v/>
      </c>
      <c r="AE335" s="9" t="str">
        <f t="shared" ca="1" si="107"/>
        <v/>
      </c>
      <c r="AF335" s="9" t="s">
        <v>179</v>
      </c>
      <c r="AG335" s="4" t="str">
        <f>IFERROR(IF(A327=0,E335*11,E335&amp;E335),"")</f>
        <v/>
      </c>
    </row>
    <row r="336" spans="1:33" s="4" customFormat="1" ht="15.95" customHeight="1" x14ac:dyDescent="0.35">
      <c r="A336" s="8">
        <f>IFERROR(IF(A327=0,A328*11,A328&amp;A328),"-")</f>
        <v>33</v>
      </c>
      <c r="B336" s="7" t="str">
        <f t="shared" ca="1" si="101"/>
        <v/>
      </c>
      <c r="C336" s="7">
        <f t="shared" ca="1" si="102"/>
        <v>2</v>
      </c>
      <c r="D336" s="55">
        <v>9</v>
      </c>
      <c r="E336" s="17">
        <f t="shared" si="103"/>
        <v>33</v>
      </c>
      <c r="F336" s="18" t="str">
        <f ca="1">IFERROR(IF(A327=0,HLOOKUP(E336,Declarations!$D$2:$S$102,B325,FALSE),HLOOKUP(VLOOKUP(E336,Teams!$V$2:$W$19,2,FALSE),Declarations!$D$2:$S$102,B325,FALSE)),"")</f>
        <v>LEE Isabel</v>
      </c>
      <c r="G336" s="18" t="str">
        <f t="shared" si="100"/>
        <v>York</v>
      </c>
      <c r="H336" s="524">
        <f ca="1">IFERROR(INDIRECT(CONCATENATE("'Distance Input'!"&amp;B326&amp;C326+8)),"")</f>
        <v>7.07</v>
      </c>
      <c r="I336" s="525"/>
      <c r="J336" s="524">
        <v>0</v>
      </c>
      <c r="K336" s="525"/>
      <c r="L336" s="524">
        <v>0</v>
      </c>
      <c r="M336" s="525"/>
      <c r="N336" s="539">
        <f t="shared" ca="1" si="104"/>
        <v>7.07</v>
      </c>
      <c r="O336" s="540"/>
      <c r="P336" s="55">
        <v>0</v>
      </c>
      <c r="Q336" s="541">
        <v>0</v>
      </c>
      <c r="R336" s="541"/>
      <c r="S336" s="541">
        <v>0</v>
      </c>
      <c r="T336" s="541"/>
      <c r="U336" s="541">
        <v>0</v>
      </c>
      <c r="V336" s="541"/>
      <c r="W336" s="524">
        <f t="shared" ca="1" si="105"/>
        <v>7.07</v>
      </c>
      <c r="X336" s="525"/>
      <c r="Y336" s="55">
        <f ca="1">IF(OR(W336="",W336=0),0,IF(W336="X",MatchDay!$U$2+MatchDay!$U$2+1-COUNTIF(Distance!W328:W336,"X"),RANK(W336,$W328:$X343,0)))</f>
        <v>6</v>
      </c>
      <c r="Z336" s="19" t="str">
        <f ca="1">IFERROR(IF(Y336=0,0,IF(VLOOKUP(AG336,E328:Y335,21,FALSE)=0,"A",IF(Y336&gt;=VLOOKUP(AG336,E328:Y335,21,FALSE),"B","A"))),"")</f>
        <v>B</v>
      </c>
      <c r="AA336" s="19" t="str">
        <f ca="1">IFERROR(IF(Z336="B","",RANK(AD336,AD328:AD343,1)),"")</f>
        <v/>
      </c>
      <c r="AB336" s="19">
        <f ca="1">IFERROR(IF(Z336="A","",RANK(AE336,AE328:AE343,1)),"")</f>
        <v>2</v>
      </c>
      <c r="AD336" s="9" t="str">
        <f t="shared" ca="1" si="106"/>
        <v/>
      </c>
      <c r="AE336" s="9">
        <f t="shared" ca="1" si="107"/>
        <v>6</v>
      </c>
      <c r="AF336" s="9" t="s">
        <v>179</v>
      </c>
      <c r="AG336" s="4">
        <f>IFERROR(IF(A327=0,E336/11,LEFT(E336,1)),"")</f>
        <v>3</v>
      </c>
    </row>
    <row r="337" spans="1:33" s="4" customFormat="1" ht="15.95" customHeight="1" x14ac:dyDescent="0.35">
      <c r="A337" s="8">
        <f>IFERROR(IF(A327=0,A329*11,A329&amp;A329),"-")</f>
        <v>11</v>
      </c>
      <c r="B337" s="7" t="str">
        <f t="shared" ca="1" si="101"/>
        <v/>
      </c>
      <c r="C337" s="7">
        <f t="shared" ca="1" si="102"/>
        <v>3</v>
      </c>
      <c r="D337" s="55">
        <v>10</v>
      </c>
      <c r="E337" s="17">
        <f t="shared" si="103"/>
        <v>11</v>
      </c>
      <c r="F337" s="18" t="str">
        <f ca="1">IFERROR(IF(A327=0,HLOOKUP(E337,Declarations!$D$2:$S$102,B325,FALSE),HLOOKUP(VLOOKUP(E337,Teams!$V$2:$W$19,2,FALSE),Declarations!$D$2:$S$102,B325,FALSE)),"")</f>
        <v>BAINES Lily</v>
      </c>
      <c r="G337" s="18" t="str">
        <f t="shared" si="100"/>
        <v>C'field</v>
      </c>
      <c r="H337" s="524">
        <f ca="1">IFERROR(INDIRECT(CONCATENATE("'Distance Input'!"&amp;B326&amp;C326+9)),"")</f>
        <v>6.25</v>
      </c>
      <c r="I337" s="525"/>
      <c r="J337" s="524">
        <v>0</v>
      </c>
      <c r="K337" s="525"/>
      <c r="L337" s="524">
        <v>0</v>
      </c>
      <c r="M337" s="525"/>
      <c r="N337" s="539">
        <f t="shared" ca="1" si="104"/>
        <v>6.25</v>
      </c>
      <c r="O337" s="540"/>
      <c r="P337" s="55">
        <v>0</v>
      </c>
      <c r="Q337" s="541">
        <v>0</v>
      </c>
      <c r="R337" s="541"/>
      <c r="S337" s="541">
        <v>0</v>
      </c>
      <c r="T337" s="541"/>
      <c r="U337" s="541">
        <v>0</v>
      </c>
      <c r="V337" s="541"/>
      <c r="W337" s="524">
        <f t="shared" ca="1" si="105"/>
        <v>6.25</v>
      </c>
      <c r="X337" s="525"/>
      <c r="Y337" s="55">
        <f ca="1">IF(OR(W337="",W337=0),0,IF(W337="X",MatchDay!$U$2+MatchDay!$U$2+1-COUNTIF(Distance!W328:W337,"X"),RANK(W337,$W328:$X343,0)))</f>
        <v>8</v>
      </c>
      <c r="Z337" s="19" t="str">
        <f ca="1">IFERROR(IF(Y337=0,0,IF(VLOOKUP(AG337,E328:Y335,21,FALSE)=0,"A",IF(Y337&gt;=VLOOKUP(AG337,E328:Y335,21,FALSE),"B","A"))),"")</f>
        <v>B</v>
      </c>
      <c r="AA337" s="19" t="str">
        <f ca="1">IFERROR(IF(Z337="B","",RANK(AD337,AD328:AD343,1)),"")</f>
        <v/>
      </c>
      <c r="AB337" s="19">
        <f ca="1">IFERROR(IF(Z337="A","",RANK(AE337,AE328:AE343,1)),"")</f>
        <v>3</v>
      </c>
      <c r="AD337" s="9" t="str">
        <f t="shared" ca="1" si="106"/>
        <v/>
      </c>
      <c r="AE337" s="9">
        <f t="shared" ca="1" si="107"/>
        <v>8</v>
      </c>
      <c r="AF337" s="9" t="s">
        <v>179</v>
      </c>
      <c r="AG337" s="4">
        <f>IFERROR(IF(A327=0,E337/11,LEFT(E337,1)),"")</f>
        <v>1</v>
      </c>
    </row>
    <row r="338" spans="1:33" s="4" customFormat="1" ht="15.95" customHeight="1" x14ac:dyDescent="0.35">
      <c r="A338" s="8">
        <f>IFERROR(IF(A327=0,A330*11,A330&amp;A330),"-")</f>
        <v>44</v>
      </c>
      <c r="B338" s="7" t="str">
        <f t="shared" ca="1" si="101"/>
        <v/>
      </c>
      <c r="C338" s="7" t="str">
        <f t="shared" ca="1" si="102"/>
        <v/>
      </c>
      <c r="D338" s="55">
        <v>11</v>
      </c>
      <c r="E338" s="17">
        <f t="shared" si="103"/>
        <v>44</v>
      </c>
      <c r="F338" s="18" t="str">
        <f ca="1">IFERROR(IF(A327=0,HLOOKUP(E338,Declarations!$D$2:$S$102,B325,FALSE),HLOOKUP(VLOOKUP(E338,Teams!$V$2:$W$19,2,FALSE),Declarations!$D$2:$S$102,B325,FALSE)),"")</f>
        <v>-</v>
      </c>
      <c r="G338" s="18" t="str">
        <f t="shared" si="100"/>
        <v>M'bro</v>
      </c>
      <c r="H338" s="524">
        <f ca="1">IFERROR(INDIRECT(CONCATENATE("'Distance Input'!"&amp;B326&amp;C326+10)),"")</f>
        <v>0</v>
      </c>
      <c r="I338" s="525"/>
      <c r="J338" s="524">
        <v>0</v>
      </c>
      <c r="K338" s="525"/>
      <c r="L338" s="524">
        <v>0</v>
      </c>
      <c r="M338" s="525"/>
      <c r="N338" s="539">
        <f t="shared" ca="1" si="104"/>
        <v>0</v>
      </c>
      <c r="O338" s="540"/>
      <c r="P338" s="55">
        <v>0</v>
      </c>
      <c r="Q338" s="541">
        <v>0</v>
      </c>
      <c r="R338" s="541"/>
      <c r="S338" s="541">
        <v>0</v>
      </c>
      <c r="T338" s="541"/>
      <c r="U338" s="541">
        <v>0</v>
      </c>
      <c r="V338" s="541"/>
      <c r="W338" s="524">
        <f t="shared" ca="1" si="105"/>
        <v>0</v>
      </c>
      <c r="X338" s="525"/>
      <c r="Y338" s="55">
        <f ca="1">IF(OR(W338="",W338=0),0,IF(W338="X",MatchDay!$U$2+MatchDay!$U$2+1-COUNTIF(Distance!W328:W338,"X"),RANK(W338,$W328:$X343,0)))</f>
        <v>0</v>
      </c>
      <c r="Z338" s="19">
        <f ca="1">IFERROR(IF(Y338=0,0,IF(VLOOKUP(AG338,E328:Y335,21,FALSE)=0,"A",IF(Y338&gt;=VLOOKUP(AG338,E328:Y335,21,FALSE),"B","A"))),"")</f>
        <v>0</v>
      </c>
      <c r="AA338" s="19" t="str">
        <f ca="1">IFERROR(IF(Z338="B","",RANK(AD338,AD328:AD343,1)),"")</f>
        <v/>
      </c>
      <c r="AB338" s="19" t="str">
        <f ca="1">IFERROR(IF(Z338="A","",RANK(AE338,AE328:AE343,1)),"")</f>
        <v/>
      </c>
      <c r="AD338" s="9" t="str">
        <f t="shared" ca="1" si="106"/>
        <v/>
      </c>
      <c r="AE338" s="9" t="str">
        <f t="shared" ca="1" si="107"/>
        <v/>
      </c>
      <c r="AF338" s="9" t="s">
        <v>179</v>
      </c>
      <c r="AG338" s="4">
        <f>IFERROR(IF(A327=0,E338/11,LEFT(E338,1)),"")</f>
        <v>4</v>
      </c>
    </row>
    <row r="339" spans="1:33" s="4" customFormat="1" ht="15.95" customHeight="1" x14ac:dyDescent="0.35">
      <c r="A339" s="8">
        <f>IFERROR(IF(A327=0,A331*11,A331&amp;A331),"-")</f>
        <v>22</v>
      </c>
      <c r="B339" s="7" t="str">
        <f t="shared" ca="1" si="101"/>
        <v/>
      </c>
      <c r="C339" s="7">
        <f t="shared" ca="1" si="102"/>
        <v>1</v>
      </c>
      <c r="D339" s="55">
        <v>12</v>
      </c>
      <c r="E339" s="17">
        <f t="shared" si="103"/>
        <v>22</v>
      </c>
      <c r="F339" s="18" t="str">
        <f ca="1">IFERROR(IF(A327=0,HLOOKUP(E339,Declarations!$D$2:$S$102,B325,FALSE),HLOOKUP(VLOOKUP(E339,Teams!$V$2:$W$19,2,FALSE),Declarations!$D$2:$S$102,B325,FALSE)),"")</f>
        <v>KYNOCH Ella</v>
      </c>
      <c r="G339" s="18" t="str">
        <f t="shared" si="100"/>
        <v>Sheff+D</v>
      </c>
      <c r="H339" s="524">
        <f ca="1">IFERROR(INDIRECT(CONCATENATE("'Distance Input'!"&amp;B326&amp;C326+11)),"")</f>
        <v>10.28</v>
      </c>
      <c r="I339" s="525"/>
      <c r="J339" s="524">
        <v>0</v>
      </c>
      <c r="K339" s="525"/>
      <c r="L339" s="524">
        <v>0</v>
      </c>
      <c r="M339" s="525"/>
      <c r="N339" s="539">
        <f t="shared" ca="1" si="104"/>
        <v>10.28</v>
      </c>
      <c r="O339" s="540"/>
      <c r="P339" s="55">
        <v>0</v>
      </c>
      <c r="Q339" s="541">
        <v>0</v>
      </c>
      <c r="R339" s="541"/>
      <c r="S339" s="541">
        <v>0</v>
      </c>
      <c r="T339" s="541"/>
      <c r="U339" s="541">
        <v>0</v>
      </c>
      <c r="V339" s="541"/>
      <c r="W339" s="524">
        <f t="shared" ca="1" si="105"/>
        <v>10.28</v>
      </c>
      <c r="X339" s="525"/>
      <c r="Y339" s="55">
        <f ca="1">IF(OR(W339="",W339=0),0,IF(W339="X",MatchDay!$U$2+MatchDay!$U$2+1-COUNTIF(Distance!W328:W339,"X"),RANK(W339,$W328:$X343,0)))</f>
        <v>2</v>
      </c>
      <c r="Z339" s="19" t="str">
        <f ca="1">IFERROR(IF(Y339=0,0,IF(VLOOKUP(AG339,E328:Y335,21,FALSE)=0,"A",IF(Y339&gt;=VLOOKUP(AG339,E328:Y335,21,FALSE),"B","A"))),"")</f>
        <v>B</v>
      </c>
      <c r="AA339" s="19" t="str">
        <f ca="1">IFERROR(IF(Z339="B","",RANK(AD339,AD328:AD343,1)),"")</f>
        <v/>
      </c>
      <c r="AB339" s="19">
        <f ca="1">IFERROR(IF(Z339="A","",RANK(AE339,AE328:AE343,1)),"")</f>
        <v>1</v>
      </c>
      <c r="AD339" s="9" t="str">
        <f t="shared" ca="1" si="106"/>
        <v/>
      </c>
      <c r="AE339" s="9">
        <f t="shared" ca="1" si="107"/>
        <v>2</v>
      </c>
      <c r="AF339" s="9" t="s">
        <v>179</v>
      </c>
      <c r="AG339" s="4">
        <f>IFERROR(IF(A327=0,E339/11,LEFT(E339,1)),"")</f>
        <v>2</v>
      </c>
    </row>
    <row r="340" spans="1:33" s="4" customFormat="1" ht="15.95" customHeight="1" x14ac:dyDescent="0.35">
      <c r="A340" s="8">
        <f>IFERROR(IF(A327=0,A332*11,A332&amp;A332),"-")</f>
        <v>55</v>
      </c>
      <c r="B340" s="7" t="str">
        <f t="shared" ca="1" si="101"/>
        <v/>
      </c>
      <c r="C340" s="7">
        <f t="shared" ca="1" si="102"/>
        <v>4</v>
      </c>
      <c r="D340" s="55">
        <v>13</v>
      </c>
      <c r="E340" s="17">
        <f t="shared" si="103"/>
        <v>55</v>
      </c>
      <c r="F340" s="18" t="str">
        <f ca="1">IFERROR(IF(A327=0,HLOOKUP(E340,Declarations!$D$2:$S$102,B325,FALSE),HLOOKUP(VLOOKUP(E340,Teams!$V$2:$W$19,2,FALSE),Declarations!$D$2:$S$102,B325,FALSE)),"")</f>
        <v>VICKERS Cerys</v>
      </c>
      <c r="G340" s="18" t="str">
        <f t="shared" si="100"/>
        <v>Scun</v>
      </c>
      <c r="H340" s="524">
        <f ca="1">IFERROR(INDIRECT(CONCATENATE("'Distance Input'!"&amp;B326&amp;C326+12)),"")</f>
        <v>5.08</v>
      </c>
      <c r="I340" s="525"/>
      <c r="J340" s="524">
        <v>0</v>
      </c>
      <c r="K340" s="525"/>
      <c r="L340" s="524">
        <v>0</v>
      </c>
      <c r="M340" s="525"/>
      <c r="N340" s="539">
        <f t="shared" ca="1" si="104"/>
        <v>5.08</v>
      </c>
      <c r="O340" s="540"/>
      <c r="P340" s="55">
        <v>0</v>
      </c>
      <c r="Q340" s="541">
        <v>0</v>
      </c>
      <c r="R340" s="541"/>
      <c r="S340" s="541">
        <v>0</v>
      </c>
      <c r="T340" s="541"/>
      <c r="U340" s="541">
        <v>0</v>
      </c>
      <c r="V340" s="541"/>
      <c r="W340" s="524">
        <f t="shared" ca="1" si="105"/>
        <v>5.08</v>
      </c>
      <c r="X340" s="525"/>
      <c r="Y340" s="55">
        <f ca="1">IF(OR(W340="",W340=0),0,IF(W340="X",MatchDay!$U$2+MatchDay!$U$2+1-COUNTIF(Distance!W328:W340,"X"),RANK(W340,$W328:$X343,0)))</f>
        <v>9</v>
      </c>
      <c r="Z340" s="19" t="str">
        <f ca="1">IFERROR(IF(Y340=0,0,IF(VLOOKUP(AG340,E328:Y335,21,FALSE)=0,"A",IF(Y340&gt;=VLOOKUP(AG340,E328:Y335,21,FALSE),"B","A"))),"")</f>
        <v>B</v>
      </c>
      <c r="AA340" s="19" t="str">
        <f ca="1">IFERROR(IF(Z340="B","",RANK(AD340,AD328:AD343,1)),"")</f>
        <v/>
      </c>
      <c r="AB340" s="19">
        <f ca="1">IFERROR(IF(Z340="A","",RANK(AE340,AE328:AE343,1)),"")</f>
        <v>4</v>
      </c>
      <c r="AD340" s="9" t="str">
        <f t="shared" ca="1" si="106"/>
        <v/>
      </c>
      <c r="AE340" s="9">
        <f t="shared" ca="1" si="107"/>
        <v>9</v>
      </c>
      <c r="AF340" s="9" t="s">
        <v>179</v>
      </c>
      <c r="AG340" s="4">
        <f>IFERROR(IF(A327=0,E340/11,LEFT(E340,1)),"")</f>
        <v>5</v>
      </c>
    </row>
    <row r="341" spans="1:33" s="4" customFormat="1" ht="15.95" customHeight="1" x14ac:dyDescent="0.35">
      <c r="A341" s="8" t="str">
        <f>IFERROR(IF(A327=0,A333*11,A333&amp;A333),"-")</f>
        <v>-</v>
      </c>
      <c r="B341" s="7" t="str">
        <f t="shared" ca="1" si="101"/>
        <v/>
      </c>
      <c r="C341" s="7" t="str">
        <f t="shared" ca="1" si="102"/>
        <v/>
      </c>
      <c r="D341" s="55">
        <v>14</v>
      </c>
      <c r="E341" s="17" t="str">
        <f t="shared" si="103"/>
        <v>-</v>
      </c>
      <c r="F341" s="18" t="str">
        <f>IFERROR(IF(A327=0,HLOOKUP(E341,Declarations!$D$2:$S$102,B325,FALSE),HLOOKUP(VLOOKUP(E341,Teams!$V$2:$W$19,2,FALSE),Declarations!$D$2:$S$102,B325,FALSE)),"")</f>
        <v/>
      </c>
      <c r="G341" s="18" t="str">
        <f t="shared" si="100"/>
        <v/>
      </c>
      <c r="H341" s="524">
        <f ca="1">IFERROR(INDIRECT(CONCATENATE("'Distance Input'!"&amp;B326&amp;C326+13)),"")</f>
        <v>0</v>
      </c>
      <c r="I341" s="525"/>
      <c r="J341" s="524">
        <v>0</v>
      </c>
      <c r="K341" s="525"/>
      <c r="L341" s="524">
        <v>0</v>
      </c>
      <c r="M341" s="525"/>
      <c r="N341" s="539">
        <f t="shared" ca="1" si="104"/>
        <v>0</v>
      </c>
      <c r="O341" s="540"/>
      <c r="P341" s="55">
        <v>0</v>
      </c>
      <c r="Q341" s="541">
        <v>0</v>
      </c>
      <c r="R341" s="541"/>
      <c r="S341" s="541">
        <v>0</v>
      </c>
      <c r="T341" s="541"/>
      <c r="U341" s="541">
        <v>0</v>
      </c>
      <c r="V341" s="541"/>
      <c r="W341" s="524">
        <f t="shared" ca="1" si="105"/>
        <v>0</v>
      </c>
      <c r="X341" s="525"/>
      <c r="Y341" s="55">
        <f ca="1">IF(OR(W341="",W341=0),0,IF(W341="X",MatchDay!$U$2+MatchDay!$U$2+1-COUNTIF(Distance!W328:W341,"X"),RANK(W341,$W328:$X343,0)))</f>
        <v>0</v>
      </c>
      <c r="Z341" s="19">
        <f ca="1">IFERROR(IF(Y341=0,0,IF(VLOOKUP(AG341,E328:Y335,21,FALSE)=0,"A",IF(Y341&gt;=VLOOKUP(AG341,E328:Y335,21,FALSE),"B","A"))),"")</f>
        <v>0</v>
      </c>
      <c r="AA341" s="19" t="str">
        <f ca="1">IFERROR(IF(Z341="B","",RANK(AD341,AD328:AD343,1)),"")</f>
        <v/>
      </c>
      <c r="AB341" s="19" t="str">
        <f ca="1">IFERROR(IF(Z341="A","",RANK(AE341,AE328:AE343,1)),"")</f>
        <v/>
      </c>
      <c r="AD341" s="9" t="str">
        <f t="shared" ca="1" si="106"/>
        <v/>
      </c>
      <c r="AE341" s="9" t="str">
        <f t="shared" ca="1" si="107"/>
        <v/>
      </c>
      <c r="AF341" s="9" t="s">
        <v>179</v>
      </c>
      <c r="AG341" s="4" t="str">
        <f>IFERROR(IF(A327=0,E341/11,LEFT(E341,1)),"")</f>
        <v/>
      </c>
    </row>
    <row r="342" spans="1:33" s="4" customFormat="1" ht="15.95" customHeight="1" x14ac:dyDescent="0.35">
      <c r="A342" s="8" t="str">
        <f>IFERROR(IF(A327=0,A334*11,A334&amp;A334),"-")</f>
        <v>-</v>
      </c>
      <c r="B342" s="7" t="str">
        <f t="shared" ca="1" si="101"/>
        <v/>
      </c>
      <c r="C342" s="7" t="str">
        <f t="shared" ca="1" si="102"/>
        <v/>
      </c>
      <c r="D342" s="55">
        <v>15</v>
      </c>
      <c r="E342" s="17" t="str">
        <f t="shared" si="103"/>
        <v>-</v>
      </c>
      <c r="F342" s="18" t="str">
        <f>IFERROR(IF(A327=0,HLOOKUP(E342,Declarations!$D$2:$S$102,B325,FALSE),HLOOKUP(VLOOKUP(E342,Teams!$V$2:$W$19,2,FALSE),Declarations!$D$2:$S$102,B325,FALSE)),"")</f>
        <v/>
      </c>
      <c r="G342" s="18" t="str">
        <f t="shared" si="100"/>
        <v/>
      </c>
      <c r="H342" s="524">
        <f ca="1">IFERROR(INDIRECT(CONCATENATE("'Distance Input'!"&amp;B326&amp;C326+14)),"")</f>
        <v>0</v>
      </c>
      <c r="I342" s="525"/>
      <c r="J342" s="524">
        <v>0</v>
      </c>
      <c r="K342" s="525"/>
      <c r="L342" s="524">
        <v>0</v>
      </c>
      <c r="M342" s="525"/>
      <c r="N342" s="539">
        <f t="shared" ca="1" si="104"/>
        <v>0</v>
      </c>
      <c r="O342" s="540"/>
      <c r="P342" s="55">
        <v>0</v>
      </c>
      <c r="Q342" s="541">
        <v>0</v>
      </c>
      <c r="R342" s="541"/>
      <c r="S342" s="541">
        <v>0</v>
      </c>
      <c r="T342" s="541"/>
      <c r="U342" s="541">
        <v>0</v>
      </c>
      <c r="V342" s="541"/>
      <c r="W342" s="524">
        <f t="shared" ca="1" si="105"/>
        <v>0</v>
      </c>
      <c r="X342" s="525"/>
      <c r="Y342" s="55">
        <f ca="1">IF(OR(W342="",W342=0),0,IF(W342="X",MatchDay!$U$2+MatchDay!$U$2+1-COUNTIF(Distance!W328:W342,"X"),RANK(W342,$W328:$X343,0)))</f>
        <v>0</v>
      </c>
      <c r="Z342" s="19">
        <f ca="1">IFERROR(IF(Y342=0,0,IF(VLOOKUP(AG342,E328:Y335,21,FALSE)=0,"A",IF(Y342&gt;=VLOOKUP(AG342,E328:Y335,21,FALSE),"B","A"))),"")</f>
        <v>0</v>
      </c>
      <c r="AA342" s="19" t="str">
        <f ca="1">IFERROR(IF(Z342="B","",RANK(AD342,AD328:AD343,1)),"")</f>
        <v/>
      </c>
      <c r="AB342" s="19" t="str">
        <f ca="1">IFERROR(IF(Z342="A","",RANK(AE342,AE328:AE343,1)),"")</f>
        <v/>
      </c>
      <c r="AD342" s="9" t="str">
        <f t="shared" ca="1" si="106"/>
        <v/>
      </c>
      <c r="AE342" s="9" t="str">
        <f t="shared" ca="1" si="107"/>
        <v/>
      </c>
      <c r="AF342" s="9" t="s">
        <v>179</v>
      </c>
      <c r="AG342" s="4" t="str">
        <f>IFERROR(IF(A327=0,E342/11,LEFT(E342,1)),"")</f>
        <v/>
      </c>
    </row>
    <row r="343" spans="1:33" s="4" customFormat="1" ht="15.95" customHeight="1" x14ac:dyDescent="0.35">
      <c r="A343" s="8" t="str">
        <f>IFERROR(IF(A327=0,A335*11,A335&amp;A335),"-")</f>
        <v>-</v>
      </c>
      <c r="B343" s="7" t="str">
        <f t="shared" ca="1" si="101"/>
        <v/>
      </c>
      <c r="C343" s="7" t="str">
        <f t="shared" ca="1" si="102"/>
        <v/>
      </c>
      <c r="D343" s="55">
        <v>16</v>
      </c>
      <c r="E343" s="17" t="str">
        <f t="shared" si="103"/>
        <v>-</v>
      </c>
      <c r="F343" s="18" t="str">
        <f>IFERROR(IF(A327=0,HLOOKUP(E343,Declarations!$D$2:$S$102,B325,FALSE),HLOOKUP(VLOOKUP(E343,Teams!$V$2:$W$19,2,FALSE),Declarations!$D$2:$S$102,B325,FALSE)),"")</f>
        <v/>
      </c>
      <c r="G343" s="18" t="str">
        <f t="shared" si="100"/>
        <v/>
      </c>
      <c r="H343" s="524">
        <f ca="1">IFERROR(INDIRECT(CONCATENATE("'Distance Input'!"&amp;B326&amp;C326+15)),"")</f>
        <v>0</v>
      </c>
      <c r="I343" s="525"/>
      <c r="J343" s="524">
        <v>0</v>
      </c>
      <c r="K343" s="525"/>
      <c r="L343" s="524">
        <v>0</v>
      </c>
      <c r="M343" s="525"/>
      <c r="N343" s="539">
        <f t="shared" ca="1" si="104"/>
        <v>0</v>
      </c>
      <c r="O343" s="540"/>
      <c r="P343" s="55">
        <v>0</v>
      </c>
      <c r="Q343" s="541">
        <v>0</v>
      </c>
      <c r="R343" s="541"/>
      <c r="S343" s="541">
        <v>0</v>
      </c>
      <c r="T343" s="541"/>
      <c r="U343" s="541">
        <v>0</v>
      </c>
      <c r="V343" s="541"/>
      <c r="W343" s="524">
        <f t="shared" ca="1" si="105"/>
        <v>0</v>
      </c>
      <c r="X343" s="525"/>
      <c r="Y343" s="55">
        <f ca="1">IF(OR(W343="",W343=0),0,IF(W343="X",MatchDay!$U$2+MatchDay!$U$2+1-COUNTIF(Distance!W328:W343,"X"),RANK(W343,$W328:$X343,0)))</f>
        <v>0</v>
      </c>
      <c r="Z343" s="19">
        <f ca="1">IFERROR(IF(Y343=0,0,IF(VLOOKUP(AG343,E328:Y335,21,FALSE)=0,"A",IF(Y343&gt;=VLOOKUP(AG343,E328:Y335,21,FALSE),"B","A"))),"")</f>
        <v>0</v>
      </c>
      <c r="AA343" s="19" t="str">
        <f ca="1">IFERROR(IF(Z343="B","",RANK(AD343,AD328:AD343,1)),"")</f>
        <v/>
      </c>
      <c r="AB343" s="19" t="str">
        <f ca="1">IFERROR(IF(Z343="A","",RANK(AE343,AE328:AE343,1)),"")</f>
        <v/>
      </c>
      <c r="AD343" s="9" t="str">
        <f t="shared" ca="1" si="106"/>
        <v/>
      </c>
      <c r="AE343" s="9" t="str">
        <f t="shared" ca="1" si="107"/>
        <v/>
      </c>
      <c r="AF343" s="9" t="s">
        <v>179</v>
      </c>
      <c r="AG343" s="4" t="str">
        <f>IFERROR(IF(A327=0,E343/11,LEFT(E343,1)),"")</f>
        <v/>
      </c>
    </row>
    <row r="344" spans="1:33" s="4" customFormat="1" ht="11.65" x14ac:dyDescent="0.45">
      <c r="A344" s="8"/>
      <c r="B344" s="10"/>
      <c r="C344" s="3"/>
      <c r="D344" s="20"/>
      <c r="E344" s="20"/>
      <c r="F344" s="21"/>
      <c r="G344" s="21"/>
      <c r="H344" s="20"/>
      <c r="I344" s="20"/>
      <c r="J344" s="20"/>
      <c r="K344" s="20"/>
      <c r="L344" s="20"/>
      <c r="M344" s="20"/>
      <c r="N344" s="20"/>
      <c r="O344" s="20"/>
      <c r="P344" s="20"/>
      <c r="Q344" s="20"/>
      <c r="R344" s="20"/>
      <c r="S344" s="20"/>
      <c r="T344" s="20"/>
      <c r="U344" s="20"/>
      <c r="V344" s="20"/>
      <c r="W344" s="20"/>
      <c r="X344" s="20"/>
      <c r="Y344" s="20"/>
      <c r="Z344" s="20"/>
      <c r="AA344" s="20"/>
      <c r="AB344" s="22"/>
    </row>
    <row r="345" spans="1:33" s="4" customFormat="1" ht="11.65" x14ac:dyDescent="0.45">
      <c r="A345" s="8"/>
      <c r="B345" s="10"/>
      <c r="C345" s="3"/>
      <c r="D345" s="533" t="s">
        <v>180</v>
      </c>
      <c r="E345" s="547"/>
      <c r="F345" s="547"/>
      <c r="G345" s="547"/>
      <c r="H345" s="547"/>
      <c r="I345" s="547"/>
      <c r="J345" s="512" t="s">
        <v>181</v>
      </c>
      <c r="K345" s="548"/>
      <c r="L345" s="548"/>
      <c r="M345" s="548"/>
      <c r="N345" s="548"/>
      <c r="O345" s="548"/>
      <c r="P345" s="548"/>
      <c r="Q345" s="548"/>
      <c r="R345" s="548"/>
      <c r="S345" s="548"/>
      <c r="T345" s="548"/>
      <c r="U345" s="549"/>
      <c r="V345" s="512" t="s">
        <v>182</v>
      </c>
      <c r="W345" s="513"/>
      <c r="X345" s="513"/>
      <c r="Y345" s="513"/>
      <c r="Z345" s="513"/>
      <c r="AA345" s="513"/>
      <c r="AB345" s="514"/>
    </row>
    <row r="346" spans="1:33" s="4" customFormat="1" ht="11.65" x14ac:dyDescent="0.45">
      <c r="A346" s="8" t="s">
        <v>55</v>
      </c>
      <c r="B346" s="10"/>
      <c r="C346" s="3"/>
      <c r="D346" s="12"/>
      <c r="E346" s="55" t="s">
        <v>183</v>
      </c>
      <c r="F346" s="55" t="s">
        <v>165</v>
      </c>
      <c r="G346" s="55" t="s">
        <v>166</v>
      </c>
      <c r="H346" s="533" t="s">
        <v>184</v>
      </c>
      <c r="I346" s="533"/>
      <c r="J346" s="23"/>
      <c r="K346" s="54" t="s">
        <v>183</v>
      </c>
      <c r="L346" s="512" t="s">
        <v>165</v>
      </c>
      <c r="M346" s="513"/>
      <c r="N346" s="513"/>
      <c r="O346" s="514"/>
      <c r="P346" s="512" t="s">
        <v>166</v>
      </c>
      <c r="Q346" s="513"/>
      <c r="R346" s="513"/>
      <c r="S346" s="514"/>
      <c r="T346" s="512" t="s">
        <v>184</v>
      </c>
      <c r="U346" s="514"/>
      <c r="V346" s="24"/>
      <c r="W346" s="25"/>
      <c r="X346" s="25"/>
      <c r="Y346" s="25"/>
      <c r="Z346" s="25"/>
      <c r="AA346" s="25"/>
      <c r="AB346" s="26"/>
    </row>
    <row r="347" spans="1:33" s="4" customFormat="1" ht="15.95" customHeight="1" x14ac:dyDescent="0.45">
      <c r="A347" s="11">
        <f>IFERROR(VLOOKUP(A324,standards,3,FALSE),"-")</f>
        <v>10.15</v>
      </c>
      <c r="B347" s="10">
        <v>1</v>
      </c>
      <c r="C347" s="3"/>
      <c r="D347" s="55">
        <v>1</v>
      </c>
      <c r="E347" s="19">
        <f ca="1">IFERROR(IF(OR(H328=98,H328=99),H328,VLOOKUP(B347,B328:E343,4,FALSE)),0)</f>
        <v>2</v>
      </c>
      <c r="F347" s="27" t="str">
        <f ca="1">IFERROR(VLOOKUP(E347,$E328:$F343,2,FALSE),"")</f>
        <v>ADEBAYO Daphney</v>
      </c>
      <c r="G347" s="18" t="str">
        <f t="shared" ref="G347:G354" ca="1" si="108">IFERROR(VLOOKUP(E347,teamlookup,5,FALSE),"-")</f>
        <v>Sheff+D</v>
      </c>
      <c r="H347" s="542">
        <f ca="1">IFERROR(VLOOKUP(E347,E328:X343,19,FALSE),"")</f>
        <v>10.51</v>
      </c>
      <c r="I347" s="543"/>
      <c r="J347" s="55">
        <v>1</v>
      </c>
      <c r="K347" s="55">
        <f ca="1">IFERROR(VLOOKUP(B347,C328:X343,3,FALSE),"")</f>
        <v>22</v>
      </c>
      <c r="L347" s="544" t="str">
        <f ca="1">IFERROR(VLOOKUP(K347,$E328:$F343,2,FALSE),"")</f>
        <v>KYNOCH Ella</v>
      </c>
      <c r="M347" s="545"/>
      <c r="N347" s="545"/>
      <c r="O347" s="546"/>
      <c r="P347" s="544" t="str">
        <f t="shared" ref="P347:P354" ca="1" si="109">IFERROR(VLOOKUP(K347,teamlookup,5,FALSE),"-")</f>
        <v>Sheff+D</v>
      </c>
      <c r="Q347" s="545"/>
      <c r="R347" s="545"/>
      <c r="S347" s="546"/>
      <c r="T347" s="524">
        <f ca="1">IFERROR(VLOOKUP(K347,E328:X343,19,FALSE),"")</f>
        <v>10.28</v>
      </c>
      <c r="U347" s="525"/>
      <c r="V347" s="28"/>
      <c r="W347" s="29"/>
      <c r="X347" s="29"/>
      <c r="Y347" s="29"/>
      <c r="Z347" s="29"/>
      <c r="AA347" s="29"/>
      <c r="AB347" s="30"/>
    </row>
    <row r="348" spans="1:33" s="4" customFormat="1" ht="15.95" customHeight="1" x14ac:dyDescent="0.45">
      <c r="A348" s="11">
        <f>IFERROR(VLOOKUP(A324,standards,4,FALSE),"-")</f>
        <v>9.5</v>
      </c>
      <c r="B348" s="10">
        <v>2</v>
      </c>
      <c r="C348" s="3"/>
      <c r="D348" s="55">
        <v>2</v>
      </c>
      <c r="E348" s="19">
        <f ca="1">IFERROR(VLOOKUP(B348,B328:E343,4,FALSE),"")</f>
        <v>3</v>
      </c>
      <c r="F348" s="27" t="str">
        <f ca="1">IFERROR(VLOOKUP(E348,$E328:$F343,2,FALSE),"")</f>
        <v>BROOKS Carmen</v>
      </c>
      <c r="G348" s="18" t="str">
        <f t="shared" ca="1" si="108"/>
        <v>York</v>
      </c>
      <c r="H348" s="542">
        <f ca="1">IFERROR(VLOOKUP(E348,E328:X343,19,FALSE),"")</f>
        <v>10.01</v>
      </c>
      <c r="I348" s="543"/>
      <c r="J348" s="55">
        <v>2</v>
      </c>
      <c r="K348" s="55">
        <f ca="1">IFERROR(VLOOKUP(B348,C328:X343,3,FALSE),"")</f>
        <v>33</v>
      </c>
      <c r="L348" s="544" t="str">
        <f ca="1">IFERROR(VLOOKUP(K348,$E328:$F343,2,FALSE),"")</f>
        <v>LEE Isabel</v>
      </c>
      <c r="M348" s="545"/>
      <c r="N348" s="545"/>
      <c r="O348" s="546"/>
      <c r="P348" s="544" t="str">
        <f t="shared" ca="1" si="109"/>
        <v>York</v>
      </c>
      <c r="Q348" s="545"/>
      <c r="R348" s="545"/>
      <c r="S348" s="546"/>
      <c r="T348" s="524">
        <f ca="1">IFERROR(VLOOKUP(K348,E328:X343,19,FALSE),"")</f>
        <v>7.07</v>
      </c>
      <c r="U348" s="525"/>
      <c r="V348" s="24"/>
      <c r="W348" s="25"/>
      <c r="X348" s="25"/>
      <c r="Y348" s="25"/>
      <c r="Z348" s="25"/>
      <c r="AA348" s="25"/>
      <c r="AB348" s="26"/>
    </row>
    <row r="349" spans="1:33" s="4" customFormat="1" ht="15.95" customHeight="1" x14ac:dyDescent="0.45">
      <c r="A349" s="11">
        <f>IFERROR(VLOOKUP(A324,standards,5,FALSE),"-")</f>
        <v>8.85</v>
      </c>
      <c r="B349" s="10">
        <v>3</v>
      </c>
      <c r="C349" s="3"/>
      <c r="D349" s="55">
        <v>3</v>
      </c>
      <c r="E349" s="19">
        <f ca="1">IFERROR(VLOOKUP(B349,B328:E343,4,FALSE),"")</f>
        <v>4</v>
      </c>
      <c r="F349" s="27" t="str">
        <f ca="1">IFERROR(VLOOKUP(E349,$E328:$F343,2,FALSE),"")</f>
        <v>DORAN Bethany</v>
      </c>
      <c r="G349" s="18" t="str">
        <f t="shared" ca="1" si="108"/>
        <v>M'bro</v>
      </c>
      <c r="H349" s="542">
        <f ca="1">IFERROR(VLOOKUP(E349,E328:X343,19,FALSE),"")</f>
        <v>7.89</v>
      </c>
      <c r="I349" s="543"/>
      <c r="J349" s="55">
        <v>3</v>
      </c>
      <c r="K349" s="55">
        <f ca="1">IFERROR(VLOOKUP(B349,C328:X343,3,FALSE),"")</f>
        <v>11</v>
      </c>
      <c r="L349" s="544" t="str">
        <f ca="1">IFERROR(VLOOKUP(K349,$E328:$F343,2,FALSE),"")</f>
        <v>BAINES Lily</v>
      </c>
      <c r="M349" s="545"/>
      <c r="N349" s="545"/>
      <c r="O349" s="546"/>
      <c r="P349" s="544" t="str">
        <f t="shared" ca="1" si="109"/>
        <v>C'field</v>
      </c>
      <c r="Q349" s="545"/>
      <c r="R349" s="545"/>
      <c r="S349" s="546"/>
      <c r="T349" s="524">
        <f ca="1">IFERROR(VLOOKUP(K349,E328:X343,19,FALSE),"")</f>
        <v>6.25</v>
      </c>
      <c r="U349" s="525"/>
      <c r="V349" s="28"/>
      <c r="W349" s="29"/>
      <c r="X349" s="29"/>
      <c r="Y349" s="29"/>
      <c r="Z349" s="29"/>
      <c r="AA349" s="29"/>
      <c r="AB349" s="30"/>
    </row>
    <row r="350" spans="1:33" s="4" customFormat="1" ht="15.95" customHeight="1" x14ac:dyDescent="0.45">
      <c r="A350" s="11">
        <f>IFERROR(VLOOKUP(A324,AAA!A:F,6,FALSE),"-")</f>
        <v>7.95</v>
      </c>
      <c r="B350" s="10">
        <v>4</v>
      </c>
      <c r="C350" s="3"/>
      <c r="D350" s="55">
        <v>4</v>
      </c>
      <c r="E350" s="19">
        <f ca="1">IFERROR(VLOOKUP(B350,B328:E343,4,FALSE),"")</f>
        <v>5</v>
      </c>
      <c r="F350" s="27" t="str">
        <f ca="1">IFERROR(VLOOKUP(E350,$E328:$F343,2,FALSE),"")</f>
        <v>THIRKETTLE Charlotte</v>
      </c>
      <c r="G350" s="18" t="str">
        <f t="shared" ca="1" si="108"/>
        <v>Scun</v>
      </c>
      <c r="H350" s="542">
        <f ca="1">IFERROR(VLOOKUP(E350,E328:X343,19,FALSE),"")</f>
        <v>7.3</v>
      </c>
      <c r="I350" s="543"/>
      <c r="J350" s="55">
        <v>4</v>
      </c>
      <c r="K350" s="55">
        <f ca="1">IFERROR(VLOOKUP(B350,C328:X343,3,FALSE),"")</f>
        <v>55</v>
      </c>
      <c r="L350" s="544" t="str">
        <f ca="1">IFERROR(VLOOKUP(K350,$E328:$F343,2,FALSE),"")</f>
        <v>VICKERS Cerys</v>
      </c>
      <c r="M350" s="545"/>
      <c r="N350" s="545"/>
      <c r="O350" s="546"/>
      <c r="P350" s="544" t="str">
        <f t="shared" ca="1" si="109"/>
        <v>Scun</v>
      </c>
      <c r="Q350" s="545"/>
      <c r="R350" s="545"/>
      <c r="S350" s="546"/>
      <c r="T350" s="524">
        <f ca="1">IFERROR(VLOOKUP(K350,E328:X343,19,FALSE),"")</f>
        <v>5.08</v>
      </c>
      <c r="U350" s="525"/>
      <c r="V350" s="24"/>
      <c r="W350" s="25"/>
      <c r="X350" s="25"/>
      <c r="Y350" s="25"/>
      <c r="Z350" s="25"/>
      <c r="AA350" s="25"/>
      <c r="AB350" s="26"/>
    </row>
    <row r="351" spans="1:33" s="4" customFormat="1" ht="15.95" customHeight="1" x14ac:dyDescent="0.45">
      <c r="A351" s="8"/>
      <c r="B351" s="10">
        <v>5</v>
      </c>
      <c r="C351" s="3"/>
      <c r="D351" s="55">
        <v>5</v>
      </c>
      <c r="E351" s="19">
        <f ca="1">IFERROR(VLOOKUP(B351,B328:E343,4,FALSE),"")</f>
        <v>1</v>
      </c>
      <c r="F351" s="27" t="str">
        <f ca="1">IFERROR(VLOOKUP(E351,$E328:$F343,2,FALSE),"")</f>
        <v>HIGHAM Ruby</v>
      </c>
      <c r="G351" s="18" t="str">
        <f t="shared" ca="1" si="108"/>
        <v>C'field</v>
      </c>
      <c r="H351" s="542">
        <f ca="1">IFERROR(VLOOKUP(E351,E328:X343,19,FALSE),"")</f>
        <v>6.45</v>
      </c>
      <c r="I351" s="543"/>
      <c r="J351" s="55">
        <v>5</v>
      </c>
      <c r="K351" s="55" t="str">
        <f ca="1">IFERROR(VLOOKUP(B351,C328:X343,3,FALSE),"")</f>
        <v/>
      </c>
      <c r="L351" s="544" t="str">
        <f ca="1">IFERROR(VLOOKUP(K351,$E328:$F343,2,FALSE),"")</f>
        <v/>
      </c>
      <c r="M351" s="545"/>
      <c r="N351" s="545"/>
      <c r="O351" s="546"/>
      <c r="P351" s="544" t="str">
        <f t="shared" ca="1" si="109"/>
        <v>-</v>
      </c>
      <c r="Q351" s="545"/>
      <c r="R351" s="545"/>
      <c r="S351" s="546"/>
      <c r="T351" s="524" t="str">
        <f ca="1">IFERROR(VLOOKUP(K351,E328:X343,19,FALSE),"")</f>
        <v/>
      </c>
      <c r="U351" s="525"/>
      <c r="V351" s="28"/>
      <c r="W351" s="29"/>
      <c r="X351" s="29"/>
      <c r="Y351" s="29"/>
      <c r="Z351" s="29"/>
      <c r="AA351" s="29"/>
      <c r="AB351" s="30"/>
    </row>
    <row r="352" spans="1:33" s="4" customFormat="1" ht="15.95" customHeight="1" x14ac:dyDescent="0.45">
      <c r="A352" s="8" t="s">
        <v>204</v>
      </c>
      <c r="B352" s="10">
        <v>6</v>
      </c>
      <c r="C352" s="3"/>
      <c r="D352" s="55">
        <v>6</v>
      </c>
      <c r="E352" s="19" t="str">
        <f ca="1">IFERROR(VLOOKUP(B352,B328:E343,4,FALSE),"")</f>
        <v/>
      </c>
      <c r="F352" s="27" t="str">
        <f ca="1">IFERROR(VLOOKUP(E352,$E328:$F343,2,FALSE),"")</f>
        <v/>
      </c>
      <c r="G352" s="18" t="str">
        <f t="shared" ca="1" si="108"/>
        <v>-</v>
      </c>
      <c r="H352" s="542" t="str">
        <f ca="1">IFERROR(VLOOKUP(E352,E328:X343,19,FALSE),"")</f>
        <v/>
      </c>
      <c r="I352" s="543"/>
      <c r="J352" s="55">
        <v>6</v>
      </c>
      <c r="K352" s="55" t="str">
        <f ca="1">IFERROR(VLOOKUP(B352,C328:X343,3,FALSE),"")</f>
        <v/>
      </c>
      <c r="L352" s="544" t="str">
        <f ca="1">IFERROR(VLOOKUP(K352,$E328:$F343,2,FALSE),"")</f>
        <v/>
      </c>
      <c r="M352" s="545"/>
      <c r="N352" s="545"/>
      <c r="O352" s="546"/>
      <c r="P352" s="544" t="str">
        <f t="shared" ca="1" si="109"/>
        <v>-</v>
      </c>
      <c r="Q352" s="545"/>
      <c r="R352" s="545"/>
      <c r="S352" s="546"/>
      <c r="T352" s="524" t="str">
        <f ca="1">IFERROR(VLOOKUP(K352,E328:X343,19,FALSE),"")</f>
        <v/>
      </c>
      <c r="U352" s="525"/>
      <c r="V352" s="512" t="s">
        <v>185</v>
      </c>
      <c r="W352" s="513"/>
      <c r="X352" s="513"/>
      <c r="Y352" s="513"/>
      <c r="Z352" s="513"/>
      <c r="AA352" s="513"/>
      <c r="AB352" s="514"/>
    </row>
    <row r="353" spans="1:33" s="4" customFormat="1" ht="15.95" customHeight="1" x14ac:dyDescent="0.45">
      <c r="A353" s="8">
        <f>IFERROR(VLOOKUP(A324,records,5,FALSE),"")</f>
        <v>13.72</v>
      </c>
      <c r="B353" s="10">
        <v>7</v>
      </c>
      <c r="C353" s="3"/>
      <c r="D353" s="55">
        <v>7</v>
      </c>
      <c r="E353" s="19" t="str">
        <f ca="1">IFERROR(VLOOKUP(B353,B328:E343,4,FALSE),"")</f>
        <v/>
      </c>
      <c r="F353" s="27" t="str">
        <f ca="1">IFERROR(VLOOKUP(E353,$E328:$F343,2,FALSE),"")</f>
        <v/>
      </c>
      <c r="G353" s="18" t="str">
        <f t="shared" ca="1" si="108"/>
        <v>-</v>
      </c>
      <c r="H353" s="542" t="str">
        <f ca="1">IFERROR(VLOOKUP(E353,E328:X343,19,FALSE),"")</f>
        <v/>
      </c>
      <c r="I353" s="543"/>
      <c r="J353" s="55">
        <v>7</v>
      </c>
      <c r="K353" s="55" t="str">
        <f ca="1">IFERROR(VLOOKUP(B353,C328:X343,3,FALSE),"")</f>
        <v/>
      </c>
      <c r="L353" s="544" t="str">
        <f ca="1">IFERROR(VLOOKUP(K353,$E328:$F343,2,FALSE),"")</f>
        <v/>
      </c>
      <c r="M353" s="545"/>
      <c r="N353" s="545"/>
      <c r="O353" s="546"/>
      <c r="P353" s="544" t="str">
        <f t="shared" ca="1" si="109"/>
        <v>-</v>
      </c>
      <c r="Q353" s="545"/>
      <c r="R353" s="545"/>
      <c r="S353" s="546"/>
      <c r="T353" s="524" t="str">
        <f ca="1">IFERROR(VLOOKUP(K353,E328:X343,19,FALSE),"")</f>
        <v/>
      </c>
      <c r="U353" s="525"/>
      <c r="V353" s="24"/>
      <c r="W353" s="25"/>
      <c r="X353" s="25"/>
      <c r="Y353" s="25"/>
      <c r="Z353" s="25"/>
      <c r="AA353" s="25"/>
      <c r="AB353" s="26"/>
    </row>
    <row r="354" spans="1:33" s="4" customFormat="1" ht="15.95" customHeight="1" x14ac:dyDescent="0.45">
      <c r="A354" s="8"/>
      <c r="B354" s="10">
        <v>8</v>
      </c>
      <c r="C354" s="3"/>
      <c r="D354" s="55">
        <v>8</v>
      </c>
      <c r="E354" s="19" t="str">
        <f ca="1">IFERROR(VLOOKUP(B354,B328:E343,4,FALSE),"")</f>
        <v/>
      </c>
      <c r="F354" s="27" t="str">
        <f ca="1">IFERROR(VLOOKUP(E354,$E328:$F343,2,FALSE),"")</f>
        <v/>
      </c>
      <c r="G354" s="18" t="str">
        <f t="shared" ca="1" si="108"/>
        <v>-</v>
      </c>
      <c r="H354" s="542" t="str">
        <f ca="1">IFERROR(VLOOKUP(E354,E328:X343,19,FALSE),"")</f>
        <v/>
      </c>
      <c r="I354" s="543"/>
      <c r="J354" s="55">
        <v>8</v>
      </c>
      <c r="K354" s="55" t="str">
        <f ca="1">IFERROR(VLOOKUP(B354,C328:X343,3,FALSE),"")</f>
        <v/>
      </c>
      <c r="L354" s="544" t="str">
        <f ca="1">IFERROR(VLOOKUP(K354,$E328:$F343,2,FALSE),"")</f>
        <v/>
      </c>
      <c r="M354" s="545"/>
      <c r="N354" s="545"/>
      <c r="O354" s="546"/>
      <c r="P354" s="544" t="str">
        <f t="shared" ca="1" si="109"/>
        <v>-</v>
      </c>
      <c r="Q354" s="545"/>
      <c r="R354" s="545"/>
      <c r="S354" s="546"/>
      <c r="T354" s="524" t="str">
        <f ca="1">IFERROR(VLOOKUP(K354,E328:X343,19,FALSE),"")</f>
        <v/>
      </c>
      <c r="U354" s="525"/>
      <c r="V354" s="28"/>
      <c r="W354" s="29"/>
      <c r="X354" s="29"/>
      <c r="Y354" s="29"/>
      <c r="Z354" s="29"/>
      <c r="AA354" s="29"/>
      <c r="AB354" s="30"/>
    </row>
    <row r="355" spans="1:33" s="4" customFormat="1" ht="21" x14ac:dyDescent="0.45">
      <c r="A355" s="2" t="str">
        <f>MatchDay!$U$6</f>
        <v>X</v>
      </c>
      <c r="B355" s="8"/>
      <c r="C355" s="3"/>
      <c r="D355" s="502" t="s">
        <v>186</v>
      </c>
      <c r="E355" s="503"/>
      <c r="F355" s="503"/>
      <c r="G355" s="503"/>
      <c r="H355" s="503"/>
      <c r="I355" s="503"/>
      <c r="J355" s="503"/>
      <c r="K355" s="515" t="s">
        <v>187</v>
      </c>
      <c r="L355" s="516"/>
      <c r="M355" s="516"/>
      <c r="N355" s="516"/>
      <c r="O355" s="518" t="str">
        <f>MatchDay!$C$2&amp;" "&amp;MatchDay!$C$3&amp;" "&amp;MatchDay!$C$4</f>
        <v>LOWER NORTH East 1</v>
      </c>
      <c r="P355" s="519"/>
      <c r="Q355" s="519"/>
      <c r="R355" s="519"/>
      <c r="S355" s="519"/>
      <c r="T355" s="519"/>
      <c r="U355" s="519"/>
      <c r="V355" s="519"/>
      <c r="W355" s="519"/>
      <c r="X355" s="519"/>
      <c r="Y355" s="519"/>
      <c r="Z355" s="519"/>
      <c r="AA355" s="519"/>
      <c r="AB355" s="520"/>
    </row>
    <row r="356" spans="1:33" s="4" customFormat="1" ht="15.75" customHeight="1" x14ac:dyDescent="0.45">
      <c r="A356" s="1" t="str">
        <f>IFERROR(IF(LEFT(MatchDay!$C$2,1)="L","L"&amp;A358,"U"&amp;A358),"")</f>
        <v>LFD12</v>
      </c>
      <c r="B356" s="10">
        <v>379</v>
      </c>
      <c r="C356" s="3"/>
      <c r="D356" s="512" t="s">
        <v>188</v>
      </c>
      <c r="E356" s="514"/>
      <c r="F356" s="513" t="str">
        <f>IFERROR(UPPER(VLOOKUP(A357,teamlookup,6,FALSE)),"")</f>
        <v/>
      </c>
      <c r="G356" s="514"/>
      <c r="H356" s="504" t="s">
        <v>201</v>
      </c>
      <c r="I356" s="510"/>
      <c r="J356" s="505"/>
      <c r="K356" s="512" t="str">
        <f>MatchDay!$C$8</f>
        <v>@ Doncaster</v>
      </c>
      <c r="L356" s="513"/>
      <c r="M356" s="513"/>
      <c r="N356" s="513"/>
      <c r="O356" s="513"/>
      <c r="P356" s="514"/>
      <c r="Q356" s="504" t="s">
        <v>160</v>
      </c>
      <c r="R356" s="505"/>
      <c r="S356" s="521">
        <f>MatchDay!$C$7</f>
        <v>43582</v>
      </c>
      <c r="T356" s="522"/>
      <c r="U356" s="522"/>
      <c r="V356" s="522"/>
      <c r="W356" s="522"/>
      <c r="X356" s="523"/>
      <c r="Y356" s="526" t="str">
        <f>IFERROR(IF(LEFT(A356,1)="L","",VLOOKUP(A356,AAA!$A:$I,8,FALSE)),"")</f>
        <v/>
      </c>
      <c r="Z356" s="527"/>
      <c r="AA356" s="524" t="str">
        <f>IFERROR(IF(LEFT(A356,1)="L","",VLOOKUP(A356,standards,9,FALSE)),"")</f>
        <v/>
      </c>
      <c r="AB356" s="525"/>
      <c r="AC356" s="6"/>
      <c r="AD356" s="6"/>
    </row>
    <row r="357" spans="1:33" s="4" customFormat="1" ht="15.75" customHeight="1" x14ac:dyDescent="0.45">
      <c r="A357" s="5">
        <f>IFERROR(IF(A355=1,VLOOKUP(A356,judges,VLOOKUP(MatchDay!$U$2*10+MatchDay!$C$5,judgesp,5,FALSE),FALSE),VLOOKUP(Distance!A356,judges,VLOOKUP(MatchDay!$U$2*10+MatchDay!$C$5,judges2,5,FALSE),FALSE)),"")</f>
        <v>0</v>
      </c>
      <c r="B357" s="181">
        <f>IFERROR(VLOOKUP(A356,Timetables!$A:$E,5,FALSE)-1,"")</f>
        <v>41</v>
      </c>
      <c r="C357" s="3"/>
      <c r="D357" s="504" t="s">
        <v>161</v>
      </c>
      <c r="E357" s="505"/>
      <c r="F357" s="508" t="str">
        <f>IFERROR(VLOOKUP(A356,timetables,2,FALSE)&amp;" "&amp;VLOOKUP(A356,timetables,3,FALSE),"")</f>
        <v>Javelin U13 Girls</v>
      </c>
      <c r="G357" s="509"/>
      <c r="H357" s="504" t="s">
        <v>162</v>
      </c>
      <c r="I357" s="510"/>
      <c r="J357" s="505"/>
      <c r="K357" s="511">
        <f>IFERROR(IF(A355=1,VLOOKUP(A356,Timetables!$A:$G,6,FALSE),VLOOKUP(A356,Timetables!$A:$G,7,FALSE)),"")</f>
        <v>0.65972222222222221</v>
      </c>
      <c r="L357" s="511" t="e">
        <v>#N/A</v>
      </c>
      <c r="M357" s="504" t="s">
        <v>202</v>
      </c>
      <c r="N357" s="505"/>
      <c r="O357" s="506" t="str">
        <f>IFERROR(VLOOKUP(A356,records,3,FALSE)&amp;", "&amp;VLOOKUP(A356,records,4,FALSE)&amp;", "&amp;VLOOKUP(A356,records,5,FALSE)&amp;", "&amp;VLOOKUP(A356,records,6,FALSE)&amp;", "&amp;VLOOKUP(A356,records,7,FALSE)&amp;" "&amp;VLOOKUP(A356,records,8,FALSE),"")</f>
        <v>Hannah Lewington, Swindon Harriers, 41.04, Swindon, July 21st 2018</v>
      </c>
      <c r="P357" s="506"/>
      <c r="Q357" s="506"/>
      <c r="R357" s="506"/>
      <c r="S357" s="506"/>
      <c r="T357" s="506"/>
      <c r="U357" s="506"/>
      <c r="V357" s="506"/>
      <c r="W357" s="506"/>
      <c r="X357" s="506"/>
      <c r="Y357" s="506"/>
      <c r="Z357" s="506"/>
      <c r="AA357" s="506"/>
      <c r="AB357" s="507"/>
    </row>
    <row r="358" spans="1:33" s="4" customFormat="1" ht="32.1" customHeight="1" x14ac:dyDescent="0.45">
      <c r="A358" s="5" t="s">
        <v>268</v>
      </c>
      <c r="B358" s="10" t="str">
        <f>IFERROR(VLOOKUP($A358,fdistance,2,FALSE),"")</f>
        <v>M</v>
      </c>
      <c r="C358" s="10">
        <f>IFERROR(VLOOKUP($A358,fdistance,3,FALSE),"")</f>
        <v>99</v>
      </c>
      <c r="D358" s="31" t="s">
        <v>163</v>
      </c>
      <c r="E358" s="13" t="s">
        <v>164</v>
      </c>
      <c r="F358" s="13" t="s">
        <v>165</v>
      </c>
      <c r="G358" s="14" t="s">
        <v>166</v>
      </c>
      <c r="H358" s="532" t="s">
        <v>167</v>
      </c>
      <c r="I358" s="534"/>
      <c r="J358" s="534" t="s">
        <v>168</v>
      </c>
      <c r="K358" s="534"/>
      <c r="L358" s="534" t="s">
        <v>169</v>
      </c>
      <c r="M358" s="534"/>
      <c r="N358" s="534" t="s">
        <v>170</v>
      </c>
      <c r="O358" s="534"/>
      <c r="P358" s="535" t="s">
        <v>171</v>
      </c>
      <c r="Q358" s="534" t="s">
        <v>172</v>
      </c>
      <c r="R358" s="534"/>
      <c r="S358" s="534" t="s">
        <v>173</v>
      </c>
      <c r="T358" s="534"/>
      <c r="U358" s="534" t="s">
        <v>174</v>
      </c>
      <c r="V358" s="534"/>
      <c r="W358" s="537" t="s">
        <v>175</v>
      </c>
      <c r="X358" s="538"/>
      <c r="Y358" s="528" t="s">
        <v>176</v>
      </c>
      <c r="Z358" s="530" t="s">
        <v>177</v>
      </c>
      <c r="AA358" s="531"/>
      <c r="AB358" s="532"/>
    </row>
    <row r="359" spans="1:33" s="4" customFormat="1" ht="11.65" x14ac:dyDescent="0.35">
      <c r="A359" s="137">
        <f>IFERROR(SEARCH("U17",F357),0)</f>
        <v>0</v>
      </c>
      <c r="B359" s="7" t="s">
        <v>53</v>
      </c>
      <c r="C359" s="7" t="s">
        <v>54</v>
      </c>
      <c r="D359" s="56"/>
      <c r="E359" s="56"/>
      <c r="F359" s="15"/>
      <c r="G359" s="16"/>
      <c r="H359" s="514" t="s">
        <v>178</v>
      </c>
      <c r="I359" s="533"/>
      <c r="J359" s="533" t="s">
        <v>178</v>
      </c>
      <c r="K359" s="533"/>
      <c r="L359" s="533" t="s">
        <v>178</v>
      </c>
      <c r="M359" s="533"/>
      <c r="N359" s="533" t="s">
        <v>178</v>
      </c>
      <c r="O359" s="533"/>
      <c r="P359" s="536"/>
      <c r="Q359" s="533" t="s">
        <v>178</v>
      </c>
      <c r="R359" s="533"/>
      <c r="S359" s="533" t="s">
        <v>178</v>
      </c>
      <c r="T359" s="533"/>
      <c r="U359" s="533" t="s">
        <v>178</v>
      </c>
      <c r="V359" s="533"/>
      <c r="W359" s="533" t="s">
        <v>178</v>
      </c>
      <c r="X359" s="512"/>
      <c r="Y359" s="529"/>
      <c r="Z359" s="55"/>
      <c r="AA359" s="55" t="s">
        <v>53</v>
      </c>
      <c r="AB359" s="55" t="s">
        <v>54</v>
      </c>
    </row>
    <row r="360" spans="1:33" s="4" customFormat="1" ht="15.95" customHeight="1" x14ac:dyDescent="0.35">
      <c r="A360" s="8">
        <f>IFERROR(IF(D360&gt;MatchDay!$U$2,"-",VLOOKUP(A356,timetables,MatchDay!$U$4,FALSE)),0)</f>
        <v>4</v>
      </c>
      <c r="B360" s="7" t="str">
        <f ca="1">AA360</f>
        <v/>
      </c>
      <c r="C360" s="7" t="str">
        <f ca="1">AB360</f>
        <v/>
      </c>
      <c r="D360" s="56">
        <v>1</v>
      </c>
      <c r="E360" s="17">
        <f>A360</f>
        <v>4</v>
      </c>
      <c r="F360" s="18" t="str">
        <f ca="1">IFERROR(IF(A359=0,HLOOKUP(E360,Declarations!$D$2:$S$102,B357,FALSE),HLOOKUP(VLOOKUP(E360,Teams!$V$2:$W$19,2,FALSE),Declarations!$D$2:$S$102,B357,FALSE)),"")</f>
        <v>-</v>
      </c>
      <c r="G360" s="18" t="str">
        <f t="shared" ref="G360:G375" si="110">IFERROR(VLOOKUP(E360,teamlookup,5,FALSE),"-")</f>
        <v>M'bro</v>
      </c>
      <c r="H360" s="524">
        <f ca="1">IFERROR(INDIRECT(CONCATENATE("'Distance Input'!"&amp;B358&amp;C358)),"")</f>
        <v>0</v>
      </c>
      <c r="I360" s="525"/>
      <c r="J360" s="524">
        <v>0</v>
      </c>
      <c r="K360" s="525"/>
      <c r="L360" s="524">
        <v>0</v>
      </c>
      <c r="M360" s="525"/>
      <c r="N360" s="539">
        <f ca="1">H360</f>
        <v>0</v>
      </c>
      <c r="O360" s="540"/>
      <c r="P360" s="55">
        <v>0</v>
      </c>
      <c r="Q360" s="541">
        <v>0</v>
      </c>
      <c r="R360" s="541"/>
      <c r="S360" s="541">
        <v>0</v>
      </c>
      <c r="T360" s="541"/>
      <c r="U360" s="541">
        <v>0</v>
      </c>
      <c r="V360" s="541"/>
      <c r="W360" s="524">
        <f ca="1">N360</f>
        <v>0</v>
      </c>
      <c r="X360" s="525"/>
      <c r="Y360" s="55">
        <f ca="1">IF(OR(W360="",W360=0),0,IF(W360="X",MatchDay!$U$2+MatchDay!$U$2+1-COUNTIF(Distance!W360:W360,"X"),RANK(W360,$W360:$X375,0)))</f>
        <v>0</v>
      </c>
      <c r="Z360" s="19">
        <f ca="1">IFERROR(IF(Y360=0,0,IF(OR(VLOOKUP(AG360,E368:Y375,21,FALSE)=0,Y360&lt;=VLOOKUP(AG360,E368:Y375,21,FALSE)),"A","B")),"")</f>
        <v>0</v>
      </c>
      <c r="AA360" s="19" t="str">
        <f ca="1">IFERROR(IF(Z360="B","",RANK(AD360,AD360:AD375,1)),"")</f>
        <v/>
      </c>
      <c r="AB360" s="19" t="str">
        <f ca="1">IFERROR(IF(Z360="A","",RANK(AE360,AE360:AE375,1)),"")</f>
        <v/>
      </c>
      <c r="AC360" s="8"/>
      <c r="AD360" s="9" t="str">
        <f ca="1">IF(OR(W360=0,Y360=0,Z360="B"),"",Y360)</f>
        <v/>
      </c>
      <c r="AE360" s="9" t="str">
        <f ca="1">IF(OR(W360=0,Y360=0,Z360="A"),"",Y360)</f>
        <v/>
      </c>
      <c r="AF360" s="9" t="s">
        <v>179</v>
      </c>
      <c r="AG360" s="4">
        <f>IFERROR(IF(A359=0,E360*11,E360&amp;E360),"")</f>
        <v>44</v>
      </c>
    </row>
    <row r="361" spans="1:33" s="4" customFormat="1" ht="15.95" customHeight="1" x14ac:dyDescent="0.35">
      <c r="A361" s="8">
        <f>IFERROR(IF(D361&gt;MatchDay!$U$2,"-",VLOOKUP(A356,timetables,MatchDay!$U$4+1,FALSE)),0)</f>
        <v>2</v>
      </c>
      <c r="B361" s="7">
        <f t="shared" ref="B361:B375" ca="1" si="111">AA361</f>
        <v>3</v>
      </c>
      <c r="C361" s="7" t="str">
        <f t="shared" ref="C361:C375" ca="1" si="112">AB361</f>
        <v/>
      </c>
      <c r="D361" s="55">
        <v>2</v>
      </c>
      <c r="E361" s="17">
        <f t="shared" ref="E361:E375" si="113">A361</f>
        <v>2</v>
      </c>
      <c r="F361" s="18" t="str">
        <f ca="1">IFERROR(IF(A359=0,HLOOKUP(E361,Declarations!$D$2:$S$102,B357,FALSE),HLOOKUP(VLOOKUP(E361,Teams!$V$2:$W$19,2,FALSE),Declarations!$D$2:$S$102,B357,FALSE)),"")</f>
        <v>ROBERTS Eve</v>
      </c>
      <c r="G361" s="18" t="str">
        <f t="shared" si="110"/>
        <v>Sheff+D</v>
      </c>
      <c r="H361" s="524">
        <f ca="1">IFERROR(INDIRECT(CONCATENATE("'Distance Input'!"&amp;B358&amp;C358+1)),"")</f>
        <v>13.37</v>
      </c>
      <c r="I361" s="525"/>
      <c r="J361" s="524">
        <v>0</v>
      </c>
      <c r="K361" s="525"/>
      <c r="L361" s="524">
        <v>0</v>
      </c>
      <c r="M361" s="525"/>
      <c r="N361" s="539">
        <f t="shared" ref="N361:N375" ca="1" si="114">H361</f>
        <v>13.37</v>
      </c>
      <c r="O361" s="540"/>
      <c r="P361" s="55">
        <v>0</v>
      </c>
      <c r="Q361" s="541">
        <v>0</v>
      </c>
      <c r="R361" s="541"/>
      <c r="S361" s="541">
        <v>0</v>
      </c>
      <c r="T361" s="541"/>
      <c r="U361" s="541">
        <v>0</v>
      </c>
      <c r="V361" s="541"/>
      <c r="W361" s="524">
        <f t="shared" ref="W361:W375" ca="1" si="115">N361</f>
        <v>13.37</v>
      </c>
      <c r="X361" s="525"/>
      <c r="Y361" s="55">
        <f ca="1">IF(OR(W361="",W361=0),0,IF(W361="X",MatchDay!$U$2+MatchDay!$U$2+1-COUNTIF(Distance!W360:W361,"X"),RANK(W361,$W360:$X375,0)))</f>
        <v>4</v>
      </c>
      <c r="Z361" s="19" t="str">
        <f ca="1">IFERROR(IF(Y361=0,0,IF(OR(VLOOKUP(AG361,E368:Y375,21,FALSE)=0,Y361&lt;=VLOOKUP(AG361,E368:Y375,21,FALSE)),"A","B")),"")</f>
        <v>A</v>
      </c>
      <c r="AA361" s="19">
        <f ca="1">IFERROR(IF(Z361="B","",RANK(AD361,AD360:AD375,1)),"")</f>
        <v>3</v>
      </c>
      <c r="AB361" s="19" t="str">
        <f ca="1">IFERROR(IF(Z361="A","",RANK(AE361,AE360:AE375,1)),"")</f>
        <v/>
      </c>
      <c r="AC361" s="8"/>
      <c r="AD361" s="9">
        <f t="shared" ref="AD361:AD375" ca="1" si="116">IF(OR(W361=0,Y361=0,Z361="B"),"",Y361)</f>
        <v>4</v>
      </c>
      <c r="AE361" s="9" t="str">
        <f t="shared" ref="AE361:AE375" ca="1" si="117">IF(OR(W361=0,Y361=0,Z361="A"),"",Y361)</f>
        <v/>
      </c>
      <c r="AF361" s="9" t="s">
        <v>179</v>
      </c>
      <c r="AG361" s="4">
        <f>IFERROR(IF(A359=0,E361*11,E361&amp;E361),"")</f>
        <v>22</v>
      </c>
    </row>
    <row r="362" spans="1:33" s="4" customFormat="1" ht="15.95" customHeight="1" x14ac:dyDescent="0.35">
      <c r="A362" s="8">
        <f>IFERROR(IF(D362&gt;MatchDay!$U$2,"-",VLOOKUP(A356,timetables,MatchDay!$U$4+2,FALSE)),0)</f>
        <v>5</v>
      </c>
      <c r="B362" s="7" t="str">
        <f t="shared" ca="1" si="111"/>
        <v/>
      </c>
      <c r="C362" s="7" t="str">
        <f t="shared" ca="1" si="112"/>
        <v/>
      </c>
      <c r="D362" s="55">
        <v>3</v>
      </c>
      <c r="E362" s="17">
        <f t="shared" si="113"/>
        <v>5</v>
      </c>
      <c r="F362" s="18">
        <f ca="1">IFERROR(IF(A359=0,HLOOKUP(E362,Declarations!$D$2:$S$102,B357,FALSE),HLOOKUP(VLOOKUP(E362,Teams!$V$2:$W$19,2,FALSE),Declarations!$D$2:$S$102,B357,FALSE)),"")</f>
        <v>0</v>
      </c>
      <c r="G362" s="18" t="str">
        <f t="shared" si="110"/>
        <v>Scun</v>
      </c>
      <c r="H362" s="524">
        <f ca="1">IFERROR(INDIRECT(CONCATENATE("'Distance Input'!"&amp;B358&amp;C358+2)),"")</f>
        <v>0</v>
      </c>
      <c r="I362" s="525"/>
      <c r="J362" s="524">
        <v>0</v>
      </c>
      <c r="K362" s="525"/>
      <c r="L362" s="524">
        <v>0</v>
      </c>
      <c r="M362" s="525"/>
      <c r="N362" s="539">
        <f t="shared" ca="1" si="114"/>
        <v>0</v>
      </c>
      <c r="O362" s="540"/>
      <c r="P362" s="55">
        <v>0</v>
      </c>
      <c r="Q362" s="541">
        <v>0</v>
      </c>
      <c r="R362" s="541"/>
      <c r="S362" s="541">
        <v>0</v>
      </c>
      <c r="T362" s="541"/>
      <c r="U362" s="541">
        <v>0</v>
      </c>
      <c r="V362" s="541"/>
      <c r="W362" s="524">
        <f t="shared" ca="1" si="115"/>
        <v>0</v>
      </c>
      <c r="X362" s="525"/>
      <c r="Y362" s="55">
        <f ca="1">IF(OR(W362="",W362=0),0,IF(W362="X",MatchDay!$U$2+MatchDay!$U$2+1-COUNTIF(Distance!W360:W362,"X"),RANK(W362,$W360:$X375,0)))</f>
        <v>0</v>
      </c>
      <c r="Z362" s="19">
        <f ca="1">IFERROR(IF(Y362=0,0,IF(OR(VLOOKUP(AG362,E368:Y375,21,FALSE)=0,Y362&lt;=VLOOKUP(AG362,E368:Y375,21,FALSE)),"A","B")),"")</f>
        <v>0</v>
      </c>
      <c r="AA362" s="19" t="str">
        <f ca="1">IFERROR(IF(Z362="B","",RANK(AD362,AD360:AD375,1)),"")</f>
        <v/>
      </c>
      <c r="AB362" s="19" t="str">
        <f ca="1">IFERROR(IF(Z362="A","",RANK(AE362,AE360:AE375,1)),"")</f>
        <v/>
      </c>
      <c r="AD362" s="9" t="str">
        <f t="shared" ca="1" si="116"/>
        <v/>
      </c>
      <c r="AE362" s="9" t="str">
        <f t="shared" ca="1" si="117"/>
        <v/>
      </c>
      <c r="AF362" s="9" t="s">
        <v>179</v>
      </c>
      <c r="AG362" s="4">
        <f>IFERROR(IF(A359=0,E362*11,E362&amp;E362),"")</f>
        <v>55</v>
      </c>
    </row>
    <row r="363" spans="1:33" s="4" customFormat="1" ht="15.95" customHeight="1" x14ac:dyDescent="0.35">
      <c r="A363" s="8">
        <f>IFERROR(IF(D363&gt;MatchDay!$U$2,"-",VLOOKUP(A356,timetables,MatchDay!$U$4+3,FALSE)),0)</f>
        <v>1</v>
      </c>
      <c r="B363" s="7">
        <f t="shared" ca="1" si="111"/>
        <v>1</v>
      </c>
      <c r="C363" s="7" t="str">
        <f t="shared" ca="1" si="112"/>
        <v/>
      </c>
      <c r="D363" s="55">
        <v>4</v>
      </c>
      <c r="E363" s="17">
        <f t="shared" si="113"/>
        <v>1</v>
      </c>
      <c r="F363" s="18" t="str">
        <f ca="1">IFERROR(IF(A359=0,HLOOKUP(E363,Declarations!$D$2:$S$102,B357,FALSE),HLOOKUP(VLOOKUP(E363,Teams!$V$2:$W$19,2,FALSE),Declarations!$D$2:$S$102,B357,FALSE)),"")</f>
        <v>FELLOWS Isabelle</v>
      </c>
      <c r="G363" s="18" t="str">
        <f t="shared" si="110"/>
        <v>C'field</v>
      </c>
      <c r="H363" s="524">
        <f ca="1">IFERROR(INDIRECT(CONCATENATE("'Distance Input'!"&amp;B358&amp;C358+3)),"")</f>
        <v>29.04</v>
      </c>
      <c r="I363" s="525"/>
      <c r="J363" s="524">
        <v>0</v>
      </c>
      <c r="K363" s="525"/>
      <c r="L363" s="524">
        <v>0</v>
      </c>
      <c r="M363" s="525"/>
      <c r="N363" s="539">
        <f t="shared" ca="1" si="114"/>
        <v>29.04</v>
      </c>
      <c r="O363" s="540"/>
      <c r="P363" s="55">
        <v>0</v>
      </c>
      <c r="Q363" s="541">
        <v>0</v>
      </c>
      <c r="R363" s="541"/>
      <c r="S363" s="541">
        <v>0</v>
      </c>
      <c r="T363" s="541"/>
      <c r="U363" s="541">
        <v>0</v>
      </c>
      <c r="V363" s="541"/>
      <c r="W363" s="524">
        <f t="shared" ca="1" si="115"/>
        <v>29.04</v>
      </c>
      <c r="X363" s="525"/>
      <c r="Y363" s="55">
        <f ca="1">IF(OR(W363="",W363=0),0,IF(W363="X",MatchDay!$U$2+MatchDay!$U$2+1-COUNTIF(Distance!W360:W363,"X"),RANK(W363,$W360:$X375,0)))</f>
        <v>1</v>
      </c>
      <c r="Z363" s="19" t="str">
        <f ca="1">IFERROR(IF(Y363=0,0,IF(OR(VLOOKUP(AG363,E368:Y375,21,FALSE)=0,Y363&lt;=VLOOKUP(AG363,E368:Y375,21,FALSE)),"A","B")),"")</f>
        <v>A</v>
      </c>
      <c r="AA363" s="19">
        <f ca="1">IFERROR(IF(Z363="B","",RANK(AD363,AD360:AD375,1)),"")</f>
        <v>1</v>
      </c>
      <c r="AB363" s="19" t="str">
        <f ca="1">IFERROR(IF(Z363="A","",RANK(AE363,AE360:AE375,1)),"")</f>
        <v/>
      </c>
      <c r="AD363" s="9">
        <f t="shared" ca="1" si="116"/>
        <v>1</v>
      </c>
      <c r="AE363" s="9" t="str">
        <f t="shared" ca="1" si="117"/>
        <v/>
      </c>
      <c r="AF363" s="9" t="s">
        <v>179</v>
      </c>
      <c r="AG363" s="4">
        <f>IFERROR(IF(A359=0,E363*11,E363&amp;E363),"")</f>
        <v>11</v>
      </c>
    </row>
    <row r="364" spans="1:33" s="4" customFormat="1" ht="15.95" customHeight="1" x14ac:dyDescent="0.35">
      <c r="A364" s="8">
        <f>IFERROR(IF(D364&gt;MatchDay!$U$2,"-",VLOOKUP(A356,timetables,MatchDay!$U$4+4,FALSE)),0)</f>
        <v>3</v>
      </c>
      <c r="B364" s="7">
        <f t="shared" ca="1" si="111"/>
        <v>2</v>
      </c>
      <c r="C364" s="7" t="str">
        <f t="shared" ca="1" si="112"/>
        <v/>
      </c>
      <c r="D364" s="55">
        <v>5</v>
      </c>
      <c r="E364" s="17">
        <f t="shared" si="113"/>
        <v>3</v>
      </c>
      <c r="F364" s="18" t="str">
        <f ca="1">IFERROR(IF(A359=0,HLOOKUP(E364,Declarations!$D$2:$S$102,B357,FALSE),HLOOKUP(VLOOKUP(E364,Teams!$V$2:$W$19,2,FALSE),Declarations!$D$2:$S$102,B357,FALSE)),"")</f>
        <v>CLAGUE Kathryn</v>
      </c>
      <c r="G364" s="18" t="str">
        <f t="shared" si="110"/>
        <v>York</v>
      </c>
      <c r="H364" s="524">
        <f ca="1">IFERROR(INDIRECT(CONCATENATE("'Distance Input'!"&amp;B358&amp;C358+4)),"")</f>
        <v>24.68</v>
      </c>
      <c r="I364" s="525"/>
      <c r="J364" s="524">
        <v>0</v>
      </c>
      <c r="K364" s="525"/>
      <c r="L364" s="524">
        <v>0</v>
      </c>
      <c r="M364" s="525"/>
      <c r="N364" s="539">
        <f t="shared" ca="1" si="114"/>
        <v>24.68</v>
      </c>
      <c r="O364" s="540"/>
      <c r="P364" s="55">
        <v>0</v>
      </c>
      <c r="Q364" s="541">
        <v>0</v>
      </c>
      <c r="R364" s="541"/>
      <c r="S364" s="541">
        <v>0</v>
      </c>
      <c r="T364" s="541"/>
      <c r="U364" s="541">
        <v>0</v>
      </c>
      <c r="V364" s="541"/>
      <c r="W364" s="524">
        <f t="shared" ca="1" si="115"/>
        <v>24.68</v>
      </c>
      <c r="X364" s="525"/>
      <c r="Y364" s="55">
        <f ca="1">IF(OR(W364="",W364=0),0,IF(W364="X",MatchDay!$U$2+MatchDay!$U$2+1-COUNTIF(Distance!W360:W364,"X"),RANK(W364,$W360:$X375,0)))</f>
        <v>3</v>
      </c>
      <c r="Z364" s="19" t="str">
        <f ca="1">IFERROR(IF(Y364=0,0,IF(OR(VLOOKUP(AG364,E368:Y375,21,FALSE)=0,Y364&lt;=VLOOKUP(AG364,E368:Y375,21,FALSE)),"A","B")),"")</f>
        <v>A</v>
      </c>
      <c r="AA364" s="19">
        <f ca="1">IFERROR(IF(Z364="B","",RANK(AD364,AD360:AD375,1)),"")</f>
        <v>2</v>
      </c>
      <c r="AB364" s="19" t="str">
        <f ca="1">IFERROR(IF(Z364="A","",RANK(AE364,AE360:AE375,1)),"")</f>
        <v/>
      </c>
      <c r="AD364" s="9">
        <f t="shared" ca="1" si="116"/>
        <v>3</v>
      </c>
      <c r="AE364" s="9" t="str">
        <f t="shared" ca="1" si="117"/>
        <v/>
      </c>
      <c r="AF364" s="9" t="s">
        <v>179</v>
      </c>
      <c r="AG364" s="4">
        <f>IFERROR(IF(A359=0,E364*11,E364&amp;E364),"")</f>
        <v>33</v>
      </c>
    </row>
    <row r="365" spans="1:33" s="4" customFormat="1" ht="15.95" customHeight="1" x14ac:dyDescent="0.35">
      <c r="A365" s="8" t="str">
        <f>IFERROR(IF(D365&gt;MatchDay!$U$2,"-",VLOOKUP(A356,timetables,MatchDay!$U$4+5,FALSE)),0)</f>
        <v>-</v>
      </c>
      <c r="B365" s="7" t="str">
        <f t="shared" ca="1" si="111"/>
        <v/>
      </c>
      <c r="C365" s="7" t="str">
        <f t="shared" ca="1" si="112"/>
        <v/>
      </c>
      <c r="D365" s="55">
        <v>6</v>
      </c>
      <c r="E365" s="17" t="str">
        <f t="shared" si="113"/>
        <v>-</v>
      </c>
      <c r="F365" s="18" t="str">
        <f>IFERROR(IF(A359=0,HLOOKUP(E365,Declarations!$D$2:$S$102,B357,FALSE),HLOOKUP(VLOOKUP(E365,Teams!$V$2:$W$19,2,FALSE),Declarations!$D$2:$S$102,B357,FALSE)),"")</f>
        <v/>
      </c>
      <c r="G365" s="18" t="str">
        <f t="shared" si="110"/>
        <v/>
      </c>
      <c r="H365" s="524">
        <f ca="1">IFERROR(INDIRECT(CONCATENATE("'Distance Input'!"&amp;B358&amp;C358+5)),"")</f>
        <v>0</v>
      </c>
      <c r="I365" s="525"/>
      <c r="J365" s="524">
        <v>0</v>
      </c>
      <c r="K365" s="525"/>
      <c r="L365" s="524">
        <v>0</v>
      </c>
      <c r="M365" s="525"/>
      <c r="N365" s="539">
        <f t="shared" ca="1" si="114"/>
        <v>0</v>
      </c>
      <c r="O365" s="540"/>
      <c r="P365" s="55">
        <v>0</v>
      </c>
      <c r="Q365" s="541">
        <v>0</v>
      </c>
      <c r="R365" s="541"/>
      <c r="S365" s="541">
        <v>0</v>
      </c>
      <c r="T365" s="541"/>
      <c r="U365" s="541">
        <v>0</v>
      </c>
      <c r="V365" s="541"/>
      <c r="W365" s="524">
        <f t="shared" ca="1" si="115"/>
        <v>0</v>
      </c>
      <c r="X365" s="525"/>
      <c r="Y365" s="55">
        <f ca="1">IF(OR(W365="",W365=0),0,IF(W365="X",MatchDay!$U$2+MatchDay!$U$2+1-COUNTIF(Distance!W360:W365,"X"),RANK(W365,$W360:$X375,0)))</f>
        <v>0</v>
      </c>
      <c r="Z365" s="19">
        <f ca="1">IFERROR(IF(Y365=0,0,IF(OR(VLOOKUP(AG365,E368:Y375,21,FALSE)=0,Y365&lt;=VLOOKUP(AG365,E368:Y375,21,FALSE)),"A","B")),"")</f>
        <v>0</v>
      </c>
      <c r="AA365" s="19" t="str">
        <f ca="1">IFERROR(IF(Z365="B","",RANK(AD365,AD360:AD375,1)),"")</f>
        <v/>
      </c>
      <c r="AB365" s="19" t="str">
        <f ca="1">IFERROR(IF(Z365="A","",RANK(AE365,AE360:AE375,1)),"")</f>
        <v/>
      </c>
      <c r="AD365" s="9" t="str">
        <f t="shared" ca="1" si="116"/>
        <v/>
      </c>
      <c r="AE365" s="9" t="str">
        <f t="shared" ca="1" si="117"/>
        <v/>
      </c>
      <c r="AF365" s="9" t="s">
        <v>179</v>
      </c>
      <c r="AG365" s="4" t="str">
        <f>IFERROR(IF(A359=0,E365*11,E365&amp;E365),"")</f>
        <v/>
      </c>
    </row>
    <row r="366" spans="1:33" s="4" customFormat="1" ht="15.95" customHeight="1" x14ac:dyDescent="0.35">
      <c r="A366" s="8" t="str">
        <f>IFERROR(IF(D366&gt;MatchDay!$U$2,"-",VLOOKUP(A356,timetables,MatchDay!$U$4+6,FALSE)),0)</f>
        <v>-</v>
      </c>
      <c r="B366" s="7" t="str">
        <f t="shared" ca="1" si="111"/>
        <v/>
      </c>
      <c r="C366" s="7" t="str">
        <f t="shared" ca="1" si="112"/>
        <v/>
      </c>
      <c r="D366" s="55">
        <v>7</v>
      </c>
      <c r="E366" s="17" t="str">
        <f t="shared" si="113"/>
        <v>-</v>
      </c>
      <c r="F366" s="18" t="str">
        <f>IFERROR(IF(A359=0,HLOOKUP(E366,Declarations!$D$2:$S$102,B357,FALSE),HLOOKUP(VLOOKUP(E366,Teams!$V$2:$W$19,2,FALSE),Declarations!$D$2:$S$102,B357,FALSE)),"")</f>
        <v/>
      </c>
      <c r="G366" s="18" t="str">
        <f t="shared" si="110"/>
        <v/>
      </c>
      <c r="H366" s="524">
        <f ca="1">IFERROR(INDIRECT(CONCATENATE("'Distance Input'!"&amp;B358&amp;C358+6)),"")</f>
        <v>0</v>
      </c>
      <c r="I366" s="525"/>
      <c r="J366" s="524">
        <v>0</v>
      </c>
      <c r="K366" s="525"/>
      <c r="L366" s="524">
        <v>0</v>
      </c>
      <c r="M366" s="525"/>
      <c r="N366" s="539">
        <f t="shared" ca="1" si="114"/>
        <v>0</v>
      </c>
      <c r="O366" s="540"/>
      <c r="P366" s="55">
        <v>0</v>
      </c>
      <c r="Q366" s="541">
        <v>0</v>
      </c>
      <c r="R366" s="541"/>
      <c r="S366" s="541">
        <v>0</v>
      </c>
      <c r="T366" s="541"/>
      <c r="U366" s="541">
        <v>0</v>
      </c>
      <c r="V366" s="541"/>
      <c r="W366" s="524">
        <f t="shared" ca="1" si="115"/>
        <v>0</v>
      </c>
      <c r="X366" s="525"/>
      <c r="Y366" s="55">
        <f ca="1">IF(OR(W366="",W366=0),0,IF(W366="X",MatchDay!$U$2+MatchDay!$U$2+1-COUNTIF(Distance!W360:W366,"X"),RANK(W366,$W360:$X375,0)))</f>
        <v>0</v>
      </c>
      <c r="Z366" s="19">
        <f ca="1">IFERROR(IF(Y366=0,0,IF(OR(VLOOKUP(AG366,E368:Y375,21,FALSE)=0,Y366&lt;=VLOOKUP(AG366,E368:Y375,21,FALSE)),"A","B")),"")</f>
        <v>0</v>
      </c>
      <c r="AA366" s="19" t="str">
        <f ca="1">IFERROR(IF(Z366="B","",RANK(AD366,AD360:AD375,1)),"")</f>
        <v/>
      </c>
      <c r="AB366" s="19" t="str">
        <f ca="1">IFERROR(IF(Z366="A","",RANK(AE366,AE360:AE375,1)),"")</f>
        <v/>
      </c>
      <c r="AD366" s="9" t="str">
        <f t="shared" ca="1" si="116"/>
        <v/>
      </c>
      <c r="AE366" s="9" t="str">
        <f t="shared" ca="1" si="117"/>
        <v/>
      </c>
      <c r="AF366" s="9" t="s">
        <v>179</v>
      </c>
      <c r="AG366" s="4" t="str">
        <f>IFERROR(IF(A359=0,E366*11,E366&amp;E366),"")</f>
        <v/>
      </c>
    </row>
    <row r="367" spans="1:33" s="4" customFormat="1" ht="15.95" customHeight="1" x14ac:dyDescent="0.35">
      <c r="A367" s="8" t="str">
        <f>IFERROR(IF(D367&gt;MatchDay!$U$2,"-",VLOOKUP(A356,timetables,MatchDay!$U$4+7,FALSE)),0)</f>
        <v>-</v>
      </c>
      <c r="B367" s="7" t="str">
        <f t="shared" ca="1" si="111"/>
        <v/>
      </c>
      <c r="C367" s="7" t="str">
        <f t="shared" ca="1" si="112"/>
        <v/>
      </c>
      <c r="D367" s="55">
        <v>8</v>
      </c>
      <c r="E367" s="17" t="str">
        <f t="shared" si="113"/>
        <v>-</v>
      </c>
      <c r="F367" s="18" t="str">
        <f>IFERROR(IF(A359=0,HLOOKUP(E367,Declarations!$D$2:$S$102,B357,FALSE),HLOOKUP(VLOOKUP(E367,Teams!$V$2:$W$19,2,FALSE),Declarations!$D$2:$S$102,B357,FALSE)),"")</f>
        <v/>
      </c>
      <c r="G367" s="18" t="str">
        <f t="shared" si="110"/>
        <v/>
      </c>
      <c r="H367" s="524">
        <f ca="1">IFERROR(INDIRECT(CONCATENATE("'Distance Input'!"&amp;B358&amp;C358+7)),"")</f>
        <v>0</v>
      </c>
      <c r="I367" s="525"/>
      <c r="J367" s="524">
        <v>0</v>
      </c>
      <c r="K367" s="525"/>
      <c r="L367" s="524">
        <v>0</v>
      </c>
      <c r="M367" s="525"/>
      <c r="N367" s="539">
        <f t="shared" ca="1" si="114"/>
        <v>0</v>
      </c>
      <c r="O367" s="540"/>
      <c r="P367" s="55">
        <v>0</v>
      </c>
      <c r="Q367" s="541">
        <v>0</v>
      </c>
      <c r="R367" s="541"/>
      <c r="S367" s="541">
        <v>0</v>
      </c>
      <c r="T367" s="541"/>
      <c r="U367" s="541">
        <v>0</v>
      </c>
      <c r="V367" s="541"/>
      <c r="W367" s="524">
        <f t="shared" ca="1" si="115"/>
        <v>0</v>
      </c>
      <c r="X367" s="525"/>
      <c r="Y367" s="55">
        <f ca="1">IF(OR(W367="",W367=0),0,IF(W367="X",MatchDay!$U$2+MatchDay!$U$2+1-COUNTIF(Distance!W360:W367,"X"),RANK(W367,$W360:$X375,0)))</f>
        <v>0</v>
      </c>
      <c r="Z367" s="19">
        <f ca="1">IFERROR(IF(Y367=0,0,IF(OR(VLOOKUP(AG367,E368:Y375,21,FALSE)=0,Y367&lt;=VLOOKUP(AG367,E368:Y375,21,FALSE)),"A","B")),"")</f>
        <v>0</v>
      </c>
      <c r="AA367" s="19" t="str">
        <f ca="1">IFERROR(IF(Z367="B","",RANK(AD367,AD360:AD375,1)),"")</f>
        <v/>
      </c>
      <c r="AB367" s="19" t="str">
        <f ca="1">IFERROR(IF(Z367="A","",RANK(AE367,AE360:AE375,1)),"")</f>
        <v/>
      </c>
      <c r="AD367" s="9" t="str">
        <f t="shared" ca="1" si="116"/>
        <v/>
      </c>
      <c r="AE367" s="9" t="str">
        <f t="shared" ca="1" si="117"/>
        <v/>
      </c>
      <c r="AF367" s="9" t="s">
        <v>179</v>
      </c>
      <c r="AG367" s="4" t="str">
        <f>IFERROR(IF(A359=0,E367*11,E367&amp;E367),"")</f>
        <v/>
      </c>
    </row>
    <row r="368" spans="1:33" s="4" customFormat="1" ht="15.95" customHeight="1" x14ac:dyDescent="0.35">
      <c r="A368" s="8">
        <f>IFERROR(IF(A359=0,A360*11,A360&amp;A360),"-")</f>
        <v>44</v>
      </c>
      <c r="B368" s="7" t="str">
        <f t="shared" ca="1" si="111"/>
        <v/>
      </c>
      <c r="C368" s="7" t="str">
        <f t="shared" ca="1" si="112"/>
        <v/>
      </c>
      <c r="D368" s="55">
        <v>9</v>
      </c>
      <c r="E368" s="17">
        <f t="shared" si="113"/>
        <v>44</v>
      </c>
      <c r="F368" s="18" t="str">
        <f ca="1">IFERROR(IF(A359=0,HLOOKUP(E368,Declarations!$D$2:$S$102,B357,FALSE),HLOOKUP(VLOOKUP(E368,Teams!$V$2:$W$19,2,FALSE),Declarations!$D$2:$S$102,B357,FALSE)),"")</f>
        <v>-</v>
      </c>
      <c r="G368" s="18" t="str">
        <f t="shared" si="110"/>
        <v>M'bro</v>
      </c>
      <c r="H368" s="524">
        <f ca="1">IFERROR(INDIRECT(CONCATENATE("'Distance Input'!"&amp;B358&amp;C358+8)),"")</f>
        <v>0</v>
      </c>
      <c r="I368" s="525"/>
      <c r="J368" s="524">
        <v>0</v>
      </c>
      <c r="K368" s="525"/>
      <c r="L368" s="524">
        <v>0</v>
      </c>
      <c r="M368" s="525"/>
      <c r="N368" s="539">
        <f t="shared" ca="1" si="114"/>
        <v>0</v>
      </c>
      <c r="O368" s="540"/>
      <c r="P368" s="55">
        <v>0</v>
      </c>
      <c r="Q368" s="541">
        <v>0</v>
      </c>
      <c r="R368" s="541"/>
      <c r="S368" s="541">
        <v>0</v>
      </c>
      <c r="T368" s="541"/>
      <c r="U368" s="541">
        <v>0</v>
      </c>
      <c r="V368" s="541"/>
      <c r="W368" s="524">
        <f t="shared" ca="1" si="115"/>
        <v>0</v>
      </c>
      <c r="X368" s="525"/>
      <c r="Y368" s="55">
        <f ca="1">IF(OR(W368="",W368=0),0,IF(W368="X",MatchDay!$U$2+MatchDay!$U$2+1-COUNTIF(Distance!W360:W368,"X"),RANK(W368,$W360:$X375,0)))</f>
        <v>0</v>
      </c>
      <c r="Z368" s="19">
        <f ca="1">IFERROR(IF(Y368=0,0,IF(VLOOKUP(AG368,E360:Y367,21,FALSE)=0,"A",IF(Y368&gt;=VLOOKUP(AG368,E360:Y367,21,FALSE),"B","A"))),"")</f>
        <v>0</v>
      </c>
      <c r="AA368" s="19" t="str">
        <f ca="1">IFERROR(IF(Z368="B","",RANK(AD368,AD360:AD375,1)),"")</f>
        <v/>
      </c>
      <c r="AB368" s="19" t="str">
        <f ca="1">IFERROR(IF(Z368="A","",RANK(AE368,AE360:AE375,1)),"")</f>
        <v/>
      </c>
      <c r="AD368" s="9" t="str">
        <f t="shared" ca="1" si="116"/>
        <v/>
      </c>
      <c r="AE368" s="9" t="str">
        <f t="shared" ca="1" si="117"/>
        <v/>
      </c>
      <c r="AF368" s="9" t="s">
        <v>179</v>
      </c>
      <c r="AG368" s="4">
        <f>IFERROR(IF(A359=0,E368/11,LEFT(E368,1)),"")</f>
        <v>4</v>
      </c>
    </row>
    <row r="369" spans="1:33" s="4" customFormat="1" ht="15.95" customHeight="1" x14ac:dyDescent="0.35">
      <c r="A369" s="8">
        <f>IFERROR(IF(A359=0,A361*11,A361&amp;A361),"-")</f>
        <v>22</v>
      </c>
      <c r="B369" s="7" t="str">
        <f t="shared" ca="1" si="111"/>
        <v/>
      </c>
      <c r="C369" s="7" t="str">
        <f t="shared" ca="1" si="112"/>
        <v/>
      </c>
      <c r="D369" s="55">
        <v>10</v>
      </c>
      <c r="E369" s="17">
        <f t="shared" si="113"/>
        <v>22</v>
      </c>
      <c r="F369" s="18" t="str">
        <f ca="1">IFERROR(IF(A359=0,HLOOKUP(E369,Declarations!$D$2:$S$102,B357,FALSE),HLOOKUP(VLOOKUP(E369,Teams!$V$2:$W$19,2,FALSE),Declarations!$D$2:$S$102,B357,FALSE)),"")</f>
        <v>GRAY Molly</v>
      </c>
      <c r="G369" s="18" t="str">
        <f t="shared" si="110"/>
        <v>Sheff+D</v>
      </c>
      <c r="H369" s="524">
        <f ca="1">IFERROR(INDIRECT(CONCATENATE("'Distance Input'!"&amp;B358&amp;C358+9)),"")</f>
        <v>0</v>
      </c>
      <c r="I369" s="525"/>
      <c r="J369" s="524">
        <v>0</v>
      </c>
      <c r="K369" s="525"/>
      <c r="L369" s="524">
        <v>0</v>
      </c>
      <c r="M369" s="525"/>
      <c r="N369" s="539">
        <f t="shared" ca="1" si="114"/>
        <v>0</v>
      </c>
      <c r="O369" s="540"/>
      <c r="P369" s="55">
        <v>0</v>
      </c>
      <c r="Q369" s="541">
        <v>0</v>
      </c>
      <c r="R369" s="541"/>
      <c r="S369" s="541">
        <v>0</v>
      </c>
      <c r="T369" s="541"/>
      <c r="U369" s="541">
        <v>0</v>
      </c>
      <c r="V369" s="541"/>
      <c r="W369" s="524">
        <f t="shared" ca="1" si="115"/>
        <v>0</v>
      </c>
      <c r="X369" s="525"/>
      <c r="Y369" s="55">
        <f ca="1">IF(OR(W369="",W369=0),0,IF(W369="X",MatchDay!$U$2+MatchDay!$U$2+1-COUNTIF(Distance!W360:W369,"X"),RANK(W369,$W360:$X375,0)))</f>
        <v>0</v>
      </c>
      <c r="Z369" s="19">
        <f ca="1">IFERROR(IF(Y369=0,0,IF(VLOOKUP(AG369,E360:Y367,21,FALSE)=0,"A",IF(Y369&gt;=VLOOKUP(AG369,E360:Y367,21,FALSE),"B","A"))),"")</f>
        <v>0</v>
      </c>
      <c r="AA369" s="19" t="str">
        <f ca="1">IFERROR(IF(Z369="B","",RANK(AD369,AD360:AD375,1)),"")</f>
        <v/>
      </c>
      <c r="AB369" s="19" t="str">
        <f ca="1">IFERROR(IF(Z369="A","",RANK(AE369,AE360:AE375,1)),"")</f>
        <v/>
      </c>
      <c r="AD369" s="9" t="str">
        <f t="shared" ca="1" si="116"/>
        <v/>
      </c>
      <c r="AE369" s="9" t="str">
        <f t="shared" ca="1" si="117"/>
        <v/>
      </c>
      <c r="AF369" s="9" t="s">
        <v>179</v>
      </c>
      <c r="AG369" s="4">
        <f>IFERROR(IF(A359=0,E369/11,LEFT(E369,1)),"")</f>
        <v>2</v>
      </c>
    </row>
    <row r="370" spans="1:33" s="4" customFormat="1" ht="15.95" customHeight="1" x14ac:dyDescent="0.35">
      <c r="A370" s="8">
        <f>IFERROR(IF(A359=0,A362*11,A362&amp;A362),"-")</f>
        <v>55</v>
      </c>
      <c r="B370" s="7" t="str">
        <f t="shared" ca="1" si="111"/>
        <v/>
      </c>
      <c r="C370" s="7" t="str">
        <f t="shared" ca="1" si="112"/>
        <v/>
      </c>
      <c r="D370" s="55">
        <v>11</v>
      </c>
      <c r="E370" s="17">
        <f t="shared" si="113"/>
        <v>55</v>
      </c>
      <c r="F370" s="18">
        <f ca="1">IFERROR(IF(A359=0,HLOOKUP(E370,Declarations!$D$2:$S$102,B357,FALSE),HLOOKUP(VLOOKUP(E370,Teams!$V$2:$W$19,2,FALSE),Declarations!$D$2:$S$102,B357,FALSE)),"")</f>
        <v>0</v>
      </c>
      <c r="G370" s="18" t="str">
        <f t="shared" si="110"/>
        <v>Scun</v>
      </c>
      <c r="H370" s="524">
        <f ca="1">IFERROR(INDIRECT(CONCATENATE("'Distance Input'!"&amp;B358&amp;C358+10)),"")</f>
        <v>0</v>
      </c>
      <c r="I370" s="525"/>
      <c r="J370" s="524">
        <v>0</v>
      </c>
      <c r="K370" s="525"/>
      <c r="L370" s="524">
        <v>0</v>
      </c>
      <c r="M370" s="525"/>
      <c r="N370" s="539">
        <f t="shared" ca="1" si="114"/>
        <v>0</v>
      </c>
      <c r="O370" s="540"/>
      <c r="P370" s="55">
        <v>0</v>
      </c>
      <c r="Q370" s="541">
        <v>0</v>
      </c>
      <c r="R370" s="541"/>
      <c r="S370" s="541">
        <v>0</v>
      </c>
      <c r="T370" s="541"/>
      <c r="U370" s="541">
        <v>0</v>
      </c>
      <c r="V370" s="541"/>
      <c r="W370" s="524">
        <f t="shared" ca="1" si="115"/>
        <v>0</v>
      </c>
      <c r="X370" s="525"/>
      <c r="Y370" s="55">
        <f ca="1">IF(OR(W370="",W370=0),0,IF(W370="X",MatchDay!$U$2+MatchDay!$U$2+1-COUNTIF(Distance!W360:W370,"X"),RANK(W370,$W360:$X375,0)))</f>
        <v>0</v>
      </c>
      <c r="Z370" s="19">
        <f ca="1">IFERROR(IF(Y370=0,0,IF(VLOOKUP(AG370,E360:Y367,21,FALSE)=0,"A",IF(Y370&gt;=VLOOKUP(AG370,E360:Y367,21,FALSE),"B","A"))),"")</f>
        <v>0</v>
      </c>
      <c r="AA370" s="19" t="str">
        <f ca="1">IFERROR(IF(Z370="B","",RANK(AD370,AD360:AD375,1)),"")</f>
        <v/>
      </c>
      <c r="AB370" s="19" t="str">
        <f ca="1">IFERROR(IF(Z370="A","",RANK(AE370,AE360:AE375,1)),"")</f>
        <v/>
      </c>
      <c r="AD370" s="9" t="str">
        <f t="shared" ca="1" si="116"/>
        <v/>
      </c>
      <c r="AE370" s="9" t="str">
        <f t="shared" ca="1" si="117"/>
        <v/>
      </c>
      <c r="AF370" s="9" t="s">
        <v>179</v>
      </c>
      <c r="AG370" s="4">
        <f>IFERROR(IF(A359=0,E370/11,LEFT(E370,1)),"")</f>
        <v>5</v>
      </c>
    </row>
    <row r="371" spans="1:33" s="4" customFormat="1" ht="15.95" customHeight="1" x14ac:dyDescent="0.35">
      <c r="A371" s="8">
        <f>IFERROR(IF(A359=0,A363*11,A363&amp;A363),"-")</f>
        <v>11</v>
      </c>
      <c r="B371" s="7" t="str">
        <f t="shared" ca="1" si="111"/>
        <v/>
      </c>
      <c r="C371" s="7">
        <f t="shared" ca="1" si="112"/>
        <v>1</v>
      </c>
      <c r="D371" s="55">
        <v>12</v>
      </c>
      <c r="E371" s="17">
        <f t="shared" si="113"/>
        <v>11</v>
      </c>
      <c r="F371" s="18" t="str">
        <f ca="1">IFERROR(IF(A359=0,HLOOKUP(E371,Declarations!$D$2:$S$102,B357,FALSE),HLOOKUP(VLOOKUP(E371,Teams!$V$2:$W$19,2,FALSE),Declarations!$D$2:$S$102,B357,FALSE)),"")</f>
        <v>HALL Lottie</v>
      </c>
      <c r="G371" s="18" t="str">
        <f t="shared" si="110"/>
        <v>C'field</v>
      </c>
      <c r="H371" s="524">
        <f ca="1">IFERROR(INDIRECT(CONCATENATE("'Distance Input'!"&amp;B358&amp;C358+11)),"")</f>
        <v>28.98</v>
      </c>
      <c r="I371" s="525"/>
      <c r="J371" s="524">
        <v>0</v>
      </c>
      <c r="K371" s="525"/>
      <c r="L371" s="524">
        <v>0</v>
      </c>
      <c r="M371" s="525"/>
      <c r="N371" s="539">
        <f t="shared" ca="1" si="114"/>
        <v>28.98</v>
      </c>
      <c r="O371" s="540"/>
      <c r="P371" s="55">
        <v>0</v>
      </c>
      <c r="Q371" s="541">
        <v>0</v>
      </c>
      <c r="R371" s="541"/>
      <c r="S371" s="541">
        <v>0</v>
      </c>
      <c r="T371" s="541"/>
      <c r="U371" s="541">
        <v>0</v>
      </c>
      <c r="V371" s="541"/>
      <c r="W371" s="524">
        <f t="shared" ca="1" si="115"/>
        <v>28.98</v>
      </c>
      <c r="X371" s="525"/>
      <c r="Y371" s="55">
        <f ca="1">IF(OR(W371="",W371=0),0,IF(W371="X",MatchDay!$U$2+MatchDay!$U$2+1-COUNTIF(Distance!W360:W371,"X"),RANK(W371,$W360:$X375,0)))</f>
        <v>2</v>
      </c>
      <c r="Z371" s="19" t="str">
        <f ca="1">IFERROR(IF(Y371=0,0,IF(VLOOKUP(AG371,E360:Y367,21,FALSE)=0,"A",IF(Y371&gt;=VLOOKUP(AG371,E360:Y367,21,FALSE),"B","A"))),"")</f>
        <v>B</v>
      </c>
      <c r="AA371" s="19" t="str">
        <f ca="1">IFERROR(IF(Z371="B","",RANK(AD371,AD360:AD375,1)),"")</f>
        <v/>
      </c>
      <c r="AB371" s="19">
        <f ca="1">IFERROR(IF(Z371="A","",RANK(AE371,AE360:AE375,1)),"")</f>
        <v>1</v>
      </c>
      <c r="AD371" s="9" t="str">
        <f t="shared" ca="1" si="116"/>
        <v/>
      </c>
      <c r="AE371" s="9">
        <f t="shared" ca="1" si="117"/>
        <v>2</v>
      </c>
      <c r="AF371" s="9" t="s">
        <v>179</v>
      </c>
      <c r="AG371" s="4">
        <f>IFERROR(IF(A359=0,E371/11,LEFT(E371,1)),"")</f>
        <v>1</v>
      </c>
    </row>
    <row r="372" spans="1:33" s="4" customFormat="1" ht="15.95" customHeight="1" x14ac:dyDescent="0.35">
      <c r="A372" s="8">
        <f>IFERROR(IF(A359=0,A364*11,A364&amp;A364),"-")</f>
        <v>33</v>
      </c>
      <c r="B372" s="7" t="str">
        <f t="shared" ca="1" si="111"/>
        <v/>
      </c>
      <c r="C372" s="7">
        <f t="shared" ca="1" si="112"/>
        <v>2</v>
      </c>
      <c r="D372" s="55">
        <v>13</v>
      </c>
      <c r="E372" s="17">
        <f t="shared" si="113"/>
        <v>33</v>
      </c>
      <c r="F372" s="18" t="str">
        <f ca="1">IFERROR(IF(A359=0,HLOOKUP(E372,Declarations!$D$2:$S$102,B357,FALSE),HLOOKUP(VLOOKUP(E372,Teams!$V$2:$W$19,2,FALSE),Declarations!$D$2:$S$102,B357,FALSE)),"")</f>
        <v>WRIGHT Ella</v>
      </c>
      <c r="G372" s="18" t="str">
        <f t="shared" si="110"/>
        <v>York</v>
      </c>
      <c r="H372" s="524">
        <f ca="1">IFERROR(INDIRECT(CONCATENATE("'Distance Input'!"&amp;B358&amp;C358+12)),"")</f>
        <v>10.85</v>
      </c>
      <c r="I372" s="525"/>
      <c r="J372" s="524">
        <v>0</v>
      </c>
      <c r="K372" s="525"/>
      <c r="L372" s="524">
        <v>0</v>
      </c>
      <c r="M372" s="525"/>
      <c r="N372" s="539">
        <f t="shared" ca="1" si="114"/>
        <v>10.85</v>
      </c>
      <c r="O372" s="540"/>
      <c r="P372" s="55">
        <v>0</v>
      </c>
      <c r="Q372" s="541">
        <v>0</v>
      </c>
      <c r="R372" s="541"/>
      <c r="S372" s="541">
        <v>0</v>
      </c>
      <c r="T372" s="541"/>
      <c r="U372" s="541">
        <v>0</v>
      </c>
      <c r="V372" s="541"/>
      <c r="W372" s="524">
        <f t="shared" ca="1" si="115"/>
        <v>10.85</v>
      </c>
      <c r="X372" s="525"/>
      <c r="Y372" s="55">
        <f ca="1">IF(OR(W372="",W372=0),0,IF(W372="X",MatchDay!$U$2+MatchDay!$U$2+1-COUNTIF(Distance!W360:W372,"X"),RANK(W372,$W360:$X375,0)))</f>
        <v>5</v>
      </c>
      <c r="Z372" s="19" t="str">
        <f ca="1">IFERROR(IF(Y372=0,0,IF(VLOOKUP(AG372,E360:Y367,21,FALSE)=0,"A",IF(Y372&gt;=VLOOKUP(AG372,E360:Y367,21,FALSE),"B","A"))),"")</f>
        <v>B</v>
      </c>
      <c r="AA372" s="19" t="str">
        <f ca="1">IFERROR(IF(Z372="B","",RANK(AD372,AD360:AD375,1)),"")</f>
        <v/>
      </c>
      <c r="AB372" s="19">
        <f ca="1">IFERROR(IF(Z372="A","",RANK(AE372,AE360:AE375,1)),"")</f>
        <v>2</v>
      </c>
      <c r="AD372" s="9" t="str">
        <f t="shared" ca="1" si="116"/>
        <v/>
      </c>
      <c r="AE372" s="9">
        <f t="shared" ca="1" si="117"/>
        <v>5</v>
      </c>
      <c r="AF372" s="9" t="s">
        <v>179</v>
      </c>
      <c r="AG372" s="4">
        <f>IFERROR(IF(A359=0,E372/11,LEFT(E372,1)),"")</f>
        <v>3</v>
      </c>
    </row>
    <row r="373" spans="1:33" s="4" customFormat="1" ht="15.95" customHeight="1" x14ac:dyDescent="0.35">
      <c r="A373" s="8" t="str">
        <f>IFERROR(IF(A359=0,A365*11,A365&amp;A365),"-")</f>
        <v>-</v>
      </c>
      <c r="B373" s="7" t="str">
        <f t="shared" ca="1" si="111"/>
        <v/>
      </c>
      <c r="C373" s="7" t="str">
        <f t="shared" ca="1" si="112"/>
        <v/>
      </c>
      <c r="D373" s="55">
        <v>14</v>
      </c>
      <c r="E373" s="17" t="str">
        <f t="shared" si="113"/>
        <v>-</v>
      </c>
      <c r="F373" s="18" t="str">
        <f>IFERROR(IF(A359=0,HLOOKUP(E373,Declarations!$D$2:$S$102,B357,FALSE),HLOOKUP(VLOOKUP(E373,Teams!$V$2:$W$19,2,FALSE),Declarations!$D$2:$S$102,B357,FALSE)),"")</f>
        <v/>
      </c>
      <c r="G373" s="18" t="str">
        <f t="shared" si="110"/>
        <v/>
      </c>
      <c r="H373" s="524">
        <f ca="1">IFERROR(INDIRECT(CONCATENATE("'Distance Input'!"&amp;B358&amp;C358+13)),"")</f>
        <v>0</v>
      </c>
      <c r="I373" s="525"/>
      <c r="J373" s="524">
        <v>0</v>
      </c>
      <c r="K373" s="525"/>
      <c r="L373" s="524">
        <v>0</v>
      </c>
      <c r="M373" s="525"/>
      <c r="N373" s="539">
        <f t="shared" ca="1" si="114"/>
        <v>0</v>
      </c>
      <c r="O373" s="540"/>
      <c r="P373" s="55">
        <v>0</v>
      </c>
      <c r="Q373" s="541">
        <v>0</v>
      </c>
      <c r="R373" s="541"/>
      <c r="S373" s="541">
        <v>0</v>
      </c>
      <c r="T373" s="541"/>
      <c r="U373" s="541">
        <v>0</v>
      </c>
      <c r="V373" s="541"/>
      <c r="W373" s="524">
        <f t="shared" ca="1" si="115"/>
        <v>0</v>
      </c>
      <c r="X373" s="525"/>
      <c r="Y373" s="55">
        <f ca="1">IF(OR(W373="",W373=0),0,IF(W373="X",MatchDay!$U$2+MatchDay!$U$2+1-COUNTIF(Distance!W360:W373,"X"),RANK(W373,$W360:$X375,0)))</f>
        <v>0</v>
      </c>
      <c r="Z373" s="19">
        <f ca="1">IFERROR(IF(Y373=0,0,IF(VLOOKUP(AG373,E360:Y367,21,FALSE)=0,"A",IF(Y373&gt;=VLOOKUP(AG373,E360:Y367,21,FALSE),"B","A"))),"")</f>
        <v>0</v>
      </c>
      <c r="AA373" s="19" t="str">
        <f ca="1">IFERROR(IF(Z373="B","",RANK(AD373,AD360:AD375,1)),"")</f>
        <v/>
      </c>
      <c r="AB373" s="19" t="str">
        <f ca="1">IFERROR(IF(Z373="A","",RANK(AE373,AE360:AE375,1)),"")</f>
        <v/>
      </c>
      <c r="AD373" s="9" t="str">
        <f t="shared" ca="1" si="116"/>
        <v/>
      </c>
      <c r="AE373" s="9" t="str">
        <f t="shared" ca="1" si="117"/>
        <v/>
      </c>
      <c r="AF373" s="9" t="s">
        <v>179</v>
      </c>
      <c r="AG373" s="4" t="str">
        <f>IFERROR(IF(A359=0,E373/11,LEFT(E373,1)),"")</f>
        <v/>
      </c>
    </row>
    <row r="374" spans="1:33" s="4" customFormat="1" ht="15.95" customHeight="1" x14ac:dyDescent="0.35">
      <c r="A374" s="8" t="str">
        <f>IFERROR(IF(A359=0,A366*11,A366&amp;A366),"-")</f>
        <v>-</v>
      </c>
      <c r="B374" s="7" t="str">
        <f t="shared" ca="1" si="111"/>
        <v/>
      </c>
      <c r="C374" s="7" t="str">
        <f t="shared" ca="1" si="112"/>
        <v/>
      </c>
      <c r="D374" s="55">
        <v>15</v>
      </c>
      <c r="E374" s="17" t="str">
        <f t="shared" si="113"/>
        <v>-</v>
      </c>
      <c r="F374" s="18" t="str">
        <f>IFERROR(IF(A359=0,HLOOKUP(E374,Declarations!$D$2:$S$102,B357,FALSE),HLOOKUP(VLOOKUP(E374,Teams!$V$2:$W$19,2,FALSE),Declarations!$D$2:$S$102,B357,FALSE)),"")</f>
        <v/>
      </c>
      <c r="G374" s="18" t="str">
        <f t="shared" si="110"/>
        <v/>
      </c>
      <c r="H374" s="524">
        <f ca="1">IFERROR(INDIRECT(CONCATENATE("'Distance Input'!"&amp;B358&amp;C358+14)),"")</f>
        <v>0</v>
      </c>
      <c r="I374" s="525"/>
      <c r="J374" s="524">
        <v>0</v>
      </c>
      <c r="K374" s="525"/>
      <c r="L374" s="524">
        <v>0</v>
      </c>
      <c r="M374" s="525"/>
      <c r="N374" s="539">
        <f t="shared" ca="1" si="114"/>
        <v>0</v>
      </c>
      <c r="O374" s="540"/>
      <c r="P374" s="55">
        <v>0</v>
      </c>
      <c r="Q374" s="541">
        <v>0</v>
      </c>
      <c r="R374" s="541"/>
      <c r="S374" s="541">
        <v>0</v>
      </c>
      <c r="T374" s="541"/>
      <c r="U374" s="541">
        <v>0</v>
      </c>
      <c r="V374" s="541"/>
      <c r="W374" s="524">
        <f t="shared" ca="1" si="115"/>
        <v>0</v>
      </c>
      <c r="X374" s="525"/>
      <c r="Y374" s="55">
        <f ca="1">IF(OR(W374="",W374=0),0,IF(W374="X",MatchDay!$U$2+MatchDay!$U$2+1-COUNTIF(Distance!W360:W374,"X"),RANK(W374,$W360:$X375,0)))</f>
        <v>0</v>
      </c>
      <c r="Z374" s="19">
        <f ca="1">IFERROR(IF(Y374=0,0,IF(VLOOKUP(AG374,E360:Y367,21,FALSE)=0,"A",IF(Y374&gt;=VLOOKUP(AG374,E360:Y367,21,FALSE),"B","A"))),"")</f>
        <v>0</v>
      </c>
      <c r="AA374" s="19" t="str">
        <f ca="1">IFERROR(IF(Z374="B","",RANK(AD374,AD360:AD375,1)),"")</f>
        <v/>
      </c>
      <c r="AB374" s="19" t="str">
        <f ca="1">IFERROR(IF(Z374="A","",RANK(AE374,AE360:AE375,1)),"")</f>
        <v/>
      </c>
      <c r="AD374" s="9" t="str">
        <f t="shared" ca="1" si="116"/>
        <v/>
      </c>
      <c r="AE374" s="9" t="str">
        <f t="shared" ca="1" si="117"/>
        <v/>
      </c>
      <c r="AF374" s="9" t="s">
        <v>179</v>
      </c>
      <c r="AG374" s="4" t="str">
        <f>IFERROR(IF(A359=0,E374/11,LEFT(E374,1)),"")</f>
        <v/>
      </c>
    </row>
    <row r="375" spans="1:33" s="4" customFormat="1" ht="15.95" customHeight="1" x14ac:dyDescent="0.35">
      <c r="A375" s="8" t="str">
        <f>IFERROR(IF(A359=0,A367*11,A367&amp;A367),"-")</f>
        <v>-</v>
      </c>
      <c r="B375" s="7" t="str">
        <f t="shared" ca="1" si="111"/>
        <v/>
      </c>
      <c r="C375" s="7" t="str">
        <f t="shared" ca="1" si="112"/>
        <v/>
      </c>
      <c r="D375" s="55">
        <v>16</v>
      </c>
      <c r="E375" s="17" t="str">
        <f t="shared" si="113"/>
        <v>-</v>
      </c>
      <c r="F375" s="18" t="str">
        <f>IFERROR(IF(A359=0,HLOOKUP(E375,Declarations!$D$2:$S$102,B357,FALSE),HLOOKUP(VLOOKUP(E375,Teams!$V$2:$W$19,2,FALSE),Declarations!$D$2:$S$102,B357,FALSE)),"")</f>
        <v/>
      </c>
      <c r="G375" s="18" t="str">
        <f t="shared" si="110"/>
        <v/>
      </c>
      <c r="H375" s="524">
        <f ca="1">IFERROR(INDIRECT(CONCATENATE("'Distance Input'!"&amp;B358&amp;C358+15)),"")</f>
        <v>0</v>
      </c>
      <c r="I375" s="525"/>
      <c r="J375" s="524">
        <v>0</v>
      </c>
      <c r="K375" s="525"/>
      <c r="L375" s="524">
        <v>0</v>
      </c>
      <c r="M375" s="525"/>
      <c r="N375" s="539">
        <f t="shared" ca="1" si="114"/>
        <v>0</v>
      </c>
      <c r="O375" s="540"/>
      <c r="P375" s="55">
        <v>0</v>
      </c>
      <c r="Q375" s="541">
        <v>0</v>
      </c>
      <c r="R375" s="541"/>
      <c r="S375" s="541">
        <v>0</v>
      </c>
      <c r="T375" s="541"/>
      <c r="U375" s="541">
        <v>0</v>
      </c>
      <c r="V375" s="541"/>
      <c r="W375" s="524">
        <f t="shared" ca="1" si="115"/>
        <v>0</v>
      </c>
      <c r="X375" s="525"/>
      <c r="Y375" s="55">
        <f ca="1">IF(OR(W375="",W375=0),0,IF(W375="X",MatchDay!$U$2+MatchDay!$U$2+1-COUNTIF(Distance!W360:W375,"X"),RANK(W375,$W360:$X375,0)))</f>
        <v>0</v>
      </c>
      <c r="Z375" s="19">
        <f ca="1">IFERROR(IF(Y375=0,0,IF(VLOOKUP(AG375,E360:Y367,21,FALSE)=0,"A",IF(Y375&gt;=VLOOKUP(AG375,E360:Y367,21,FALSE),"B","A"))),"")</f>
        <v>0</v>
      </c>
      <c r="AA375" s="19" t="str">
        <f ca="1">IFERROR(IF(Z375="B","",RANK(AD375,AD360:AD375,1)),"")</f>
        <v/>
      </c>
      <c r="AB375" s="19" t="str">
        <f ca="1">IFERROR(IF(Z375="A","",RANK(AE375,AE360:AE375,1)),"")</f>
        <v/>
      </c>
      <c r="AD375" s="9" t="str">
        <f t="shared" ca="1" si="116"/>
        <v/>
      </c>
      <c r="AE375" s="9" t="str">
        <f t="shared" ca="1" si="117"/>
        <v/>
      </c>
      <c r="AF375" s="9" t="s">
        <v>179</v>
      </c>
      <c r="AG375" s="4" t="str">
        <f>IFERROR(IF(A359=0,E375/11,LEFT(E375,1)),"")</f>
        <v/>
      </c>
    </row>
    <row r="376" spans="1:33" s="4" customFormat="1" ht="11.65" x14ac:dyDescent="0.45">
      <c r="A376" s="8"/>
      <c r="B376" s="10"/>
      <c r="C376" s="3"/>
      <c r="D376" s="20"/>
      <c r="E376" s="20"/>
      <c r="F376" s="21"/>
      <c r="G376" s="21"/>
      <c r="H376" s="20"/>
      <c r="I376" s="20"/>
      <c r="J376" s="20"/>
      <c r="K376" s="20"/>
      <c r="L376" s="20"/>
      <c r="M376" s="20"/>
      <c r="N376" s="20"/>
      <c r="O376" s="20"/>
      <c r="P376" s="20"/>
      <c r="Q376" s="20"/>
      <c r="R376" s="20"/>
      <c r="S376" s="20"/>
      <c r="T376" s="20"/>
      <c r="U376" s="20"/>
      <c r="V376" s="20"/>
      <c r="W376" s="20"/>
      <c r="X376" s="20"/>
      <c r="Y376" s="20"/>
      <c r="Z376" s="20"/>
      <c r="AA376" s="20"/>
      <c r="AB376" s="22"/>
    </row>
    <row r="377" spans="1:33" s="4" customFormat="1" ht="11.65" x14ac:dyDescent="0.45">
      <c r="A377" s="8"/>
      <c r="B377" s="10"/>
      <c r="C377" s="3"/>
      <c r="D377" s="533" t="s">
        <v>180</v>
      </c>
      <c r="E377" s="547"/>
      <c r="F377" s="547"/>
      <c r="G377" s="547"/>
      <c r="H377" s="547"/>
      <c r="I377" s="547"/>
      <c r="J377" s="512" t="s">
        <v>181</v>
      </c>
      <c r="K377" s="548"/>
      <c r="L377" s="548"/>
      <c r="M377" s="548"/>
      <c r="N377" s="548"/>
      <c r="O377" s="548"/>
      <c r="P377" s="548"/>
      <c r="Q377" s="548"/>
      <c r="R377" s="548"/>
      <c r="S377" s="548"/>
      <c r="T377" s="548"/>
      <c r="U377" s="549"/>
      <c r="V377" s="512" t="s">
        <v>182</v>
      </c>
      <c r="W377" s="513"/>
      <c r="X377" s="513"/>
      <c r="Y377" s="513"/>
      <c r="Z377" s="513"/>
      <c r="AA377" s="513"/>
      <c r="AB377" s="514"/>
    </row>
    <row r="378" spans="1:33" s="4" customFormat="1" ht="11.65" x14ac:dyDescent="0.45">
      <c r="A378" s="8" t="s">
        <v>55</v>
      </c>
      <c r="B378" s="10"/>
      <c r="C378" s="3"/>
      <c r="D378" s="12"/>
      <c r="E378" s="55" t="s">
        <v>183</v>
      </c>
      <c r="F378" s="55" t="s">
        <v>165</v>
      </c>
      <c r="G378" s="55" t="s">
        <v>166</v>
      </c>
      <c r="H378" s="533" t="s">
        <v>184</v>
      </c>
      <c r="I378" s="533"/>
      <c r="J378" s="23"/>
      <c r="K378" s="54" t="s">
        <v>183</v>
      </c>
      <c r="L378" s="512" t="s">
        <v>165</v>
      </c>
      <c r="M378" s="513"/>
      <c r="N378" s="513"/>
      <c r="O378" s="514"/>
      <c r="P378" s="512" t="s">
        <v>166</v>
      </c>
      <c r="Q378" s="513"/>
      <c r="R378" s="513"/>
      <c r="S378" s="514"/>
      <c r="T378" s="512" t="s">
        <v>184</v>
      </c>
      <c r="U378" s="514"/>
      <c r="V378" s="24"/>
      <c r="W378" s="25"/>
      <c r="X378" s="25"/>
      <c r="Y378" s="25"/>
      <c r="Z378" s="25"/>
      <c r="AA378" s="25"/>
      <c r="AB378" s="26"/>
    </row>
    <row r="379" spans="1:33" s="4" customFormat="1" ht="15.95" customHeight="1" x14ac:dyDescent="0.45">
      <c r="A379" s="11">
        <f>IFERROR(VLOOKUP(A356,standards,3,FALSE),"-")</f>
        <v>24.75</v>
      </c>
      <c r="B379" s="10">
        <v>1</v>
      </c>
      <c r="C379" s="3"/>
      <c r="D379" s="55">
        <v>1</v>
      </c>
      <c r="E379" s="19">
        <f ca="1">IFERROR(IF(OR(H360=98,H360=99),H360,VLOOKUP(B379,B360:E375,4,FALSE)),0)</f>
        <v>1</v>
      </c>
      <c r="F379" s="27" t="str">
        <f ca="1">IFERROR(VLOOKUP(E379,$E360:$F375,2,FALSE),"")</f>
        <v>FELLOWS Isabelle</v>
      </c>
      <c r="G379" s="18" t="str">
        <f t="shared" ref="G379:G386" ca="1" si="118">IFERROR(VLOOKUP(E379,teamlookup,5,FALSE),"-")</f>
        <v>C'field</v>
      </c>
      <c r="H379" s="542">
        <f ca="1">IFERROR(VLOOKUP(E379,E360:X375,19,FALSE),"")</f>
        <v>29.04</v>
      </c>
      <c r="I379" s="543"/>
      <c r="J379" s="55">
        <v>1</v>
      </c>
      <c r="K379" s="55">
        <f ca="1">IFERROR(VLOOKUP(B379,C360:X375,3,FALSE),"")</f>
        <v>11</v>
      </c>
      <c r="L379" s="544" t="str">
        <f ca="1">IFERROR(VLOOKUP(K379,$E360:$F375,2,FALSE),"")</f>
        <v>HALL Lottie</v>
      </c>
      <c r="M379" s="545"/>
      <c r="N379" s="545"/>
      <c r="O379" s="546"/>
      <c r="P379" s="544" t="str">
        <f t="shared" ref="P379:P386" ca="1" si="119">IFERROR(VLOOKUP(K379,teamlookup,5,FALSE),"-")</f>
        <v>C'field</v>
      </c>
      <c r="Q379" s="545"/>
      <c r="R379" s="545"/>
      <c r="S379" s="546"/>
      <c r="T379" s="524">
        <f ca="1">IFERROR(VLOOKUP(K379,E360:X375,19,FALSE),"")</f>
        <v>28.98</v>
      </c>
      <c r="U379" s="525"/>
      <c r="V379" s="28"/>
      <c r="W379" s="29"/>
      <c r="X379" s="29"/>
      <c r="Y379" s="29"/>
      <c r="Z379" s="29"/>
      <c r="AA379" s="29"/>
      <c r="AB379" s="30"/>
    </row>
    <row r="380" spans="1:33" s="4" customFormat="1" ht="15.95" customHeight="1" x14ac:dyDescent="0.45">
      <c r="A380" s="11">
        <f>IFERROR(VLOOKUP(A356,standards,4,FALSE),"-")</f>
        <v>21.85</v>
      </c>
      <c r="B380" s="10">
        <v>2</v>
      </c>
      <c r="C380" s="3"/>
      <c r="D380" s="55">
        <v>2</v>
      </c>
      <c r="E380" s="19">
        <f ca="1">IFERROR(VLOOKUP(B380,B360:E375,4,FALSE),"")</f>
        <v>3</v>
      </c>
      <c r="F380" s="27" t="str">
        <f ca="1">IFERROR(VLOOKUP(E380,$E360:$F375,2,FALSE),"")</f>
        <v>CLAGUE Kathryn</v>
      </c>
      <c r="G380" s="18" t="str">
        <f t="shared" ca="1" si="118"/>
        <v>York</v>
      </c>
      <c r="H380" s="542">
        <f ca="1">IFERROR(VLOOKUP(E380,E360:X375,19,FALSE),"")</f>
        <v>24.68</v>
      </c>
      <c r="I380" s="543"/>
      <c r="J380" s="55">
        <v>2</v>
      </c>
      <c r="K380" s="55">
        <f ca="1">IFERROR(VLOOKUP(B380,C360:X375,3,FALSE),"")</f>
        <v>33</v>
      </c>
      <c r="L380" s="544" t="str">
        <f ca="1">IFERROR(VLOOKUP(K380,$E360:$F375,2,FALSE),"")</f>
        <v>WRIGHT Ella</v>
      </c>
      <c r="M380" s="545"/>
      <c r="N380" s="545"/>
      <c r="O380" s="546"/>
      <c r="P380" s="544" t="str">
        <f t="shared" ca="1" si="119"/>
        <v>York</v>
      </c>
      <c r="Q380" s="545"/>
      <c r="R380" s="545"/>
      <c r="S380" s="546"/>
      <c r="T380" s="524">
        <f ca="1">IFERROR(VLOOKUP(K380,E360:X375,19,FALSE),"")</f>
        <v>10.85</v>
      </c>
      <c r="U380" s="525"/>
      <c r="V380" s="24"/>
      <c r="W380" s="25"/>
      <c r="X380" s="25"/>
      <c r="Y380" s="25"/>
      <c r="Z380" s="25"/>
      <c r="AA380" s="25"/>
      <c r="AB380" s="26"/>
    </row>
    <row r="381" spans="1:33" s="4" customFormat="1" ht="15.95" customHeight="1" x14ac:dyDescent="0.45">
      <c r="A381" s="11">
        <f>IFERROR(VLOOKUP(A356,standards,5,FALSE),"-")</f>
        <v>19.100000000000001</v>
      </c>
      <c r="B381" s="10">
        <v>3</v>
      </c>
      <c r="C381" s="3"/>
      <c r="D381" s="55">
        <v>3</v>
      </c>
      <c r="E381" s="19">
        <f ca="1">IFERROR(VLOOKUP(B381,B360:E375,4,FALSE),"")</f>
        <v>2</v>
      </c>
      <c r="F381" s="27" t="str">
        <f ca="1">IFERROR(VLOOKUP(E381,$E360:$F375,2,FALSE),"")</f>
        <v>ROBERTS Eve</v>
      </c>
      <c r="G381" s="18" t="str">
        <f t="shared" ca="1" si="118"/>
        <v>Sheff+D</v>
      </c>
      <c r="H381" s="542">
        <f ca="1">IFERROR(VLOOKUP(E381,E360:X375,19,FALSE),"")</f>
        <v>13.37</v>
      </c>
      <c r="I381" s="543"/>
      <c r="J381" s="55">
        <v>3</v>
      </c>
      <c r="K381" s="55" t="str">
        <f ca="1">IFERROR(VLOOKUP(B381,C360:X375,3,FALSE),"")</f>
        <v/>
      </c>
      <c r="L381" s="544" t="str">
        <f ca="1">IFERROR(VLOOKUP(K381,$E360:$F375,2,FALSE),"")</f>
        <v/>
      </c>
      <c r="M381" s="545"/>
      <c r="N381" s="545"/>
      <c r="O381" s="546"/>
      <c r="P381" s="544" t="str">
        <f t="shared" ca="1" si="119"/>
        <v>-</v>
      </c>
      <c r="Q381" s="545"/>
      <c r="R381" s="545"/>
      <c r="S381" s="546"/>
      <c r="T381" s="524" t="str">
        <f ca="1">IFERROR(VLOOKUP(K381,E360:X375,19,FALSE),"")</f>
        <v/>
      </c>
      <c r="U381" s="525"/>
      <c r="V381" s="28"/>
      <c r="W381" s="29"/>
      <c r="X381" s="29"/>
      <c r="Y381" s="29"/>
      <c r="Z381" s="29"/>
      <c r="AA381" s="29"/>
      <c r="AB381" s="30"/>
    </row>
    <row r="382" spans="1:33" s="4" customFormat="1" ht="15.95" customHeight="1" x14ac:dyDescent="0.45">
      <c r="A382" s="11">
        <f>IFERROR(VLOOKUP(A356,AAA!A:F,6,FALSE),"-")</f>
        <v>15.2</v>
      </c>
      <c r="B382" s="10">
        <v>4</v>
      </c>
      <c r="C382" s="3"/>
      <c r="D382" s="55">
        <v>4</v>
      </c>
      <c r="E382" s="19" t="str">
        <f ca="1">IFERROR(VLOOKUP(B382,B360:E375,4,FALSE),"")</f>
        <v/>
      </c>
      <c r="F382" s="27" t="str">
        <f ca="1">IFERROR(VLOOKUP(E382,$E360:$F375,2,FALSE),"")</f>
        <v/>
      </c>
      <c r="G382" s="18" t="str">
        <f t="shared" ca="1" si="118"/>
        <v>-</v>
      </c>
      <c r="H382" s="542" t="str">
        <f ca="1">IFERROR(VLOOKUP(E382,E360:X375,19,FALSE),"")</f>
        <v/>
      </c>
      <c r="I382" s="543"/>
      <c r="J382" s="55">
        <v>4</v>
      </c>
      <c r="K382" s="55" t="str">
        <f ca="1">IFERROR(VLOOKUP(B382,C360:X375,3,FALSE),"")</f>
        <v/>
      </c>
      <c r="L382" s="544" t="str">
        <f ca="1">IFERROR(VLOOKUP(K382,$E360:$F375,2,FALSE),"")</f>
        <v/>
      </c>
      <c r="M382" s="545"/>
      <c r="N382" s="545"/>
      <c r="O382" s="546"/>
      <c r="P382" s="544" t="str">
        <f t="shared" ca="1" si="119"/>
        <v>-</v>
      </c>
      <c r="Q382" s="545"/>
      <c r="R382" s="545"/>
      <c r="S382" s="546"/>
      <c r="T382" s="524" t="str">
        <f ca="1">IFERROR(VLOOKUP(K382,E360:X375,19,FALSE),"")</f>
        <v/>
      </c>
      <c r="U382" s="525"/>
      <c r="V382" s="24"/>
      <c r="W382" s="25"/>
      <c r="X382" s="25"/>
      <c r="Y382" s="25"/>
      <c r="Z382" s="25"/>
      <c r="AA382" s="25"/>
      <c r="AB382" s="26"/>
    </row>
    <row r="383" spans="1:33" s="4" customFormat="1" ht="15.95" customHeight="1" x14ac:dyDescent="0.45">
      <c r="A383" s="8"/>
      <c r="B383" s="10">
        <v>5</v>
      </c>
      <c r="C383" s="3"/>
      <c r="D383" s="55">
        <v>5</v>
      </c>
      <c r="E383" s="19" t="str">
        <f ca="1">IFERROR(VLOOKUP(B383,B360:E375,4,FALSE),"")</f>
        <v/>
      </c>
      <c r="F383" s="27" t="str">
        <f ca="1">IFERROR(VLOOKUP(E383,$E360:$F375,2,FALSE),"")</f>
        <v/>
      </c>
      <c r="G383" s="18" t="str">
        <f t="shared" ca="1" si="118"/>
        <v>-</v>
      </c>
      <c r="H383" s="542" t="str">
        <f ca="1">IFERROR(VLOOKUP(E383,E360:X375,19,FALSE),"")</f>
        <v/>
      </c>
      <c r="I383" s="543"/>
      <c r="J383" s="55">
        <v>5</v>
      </c>
      <c r="K383" s="55" t="str">
        <f ca="1">IFERROR(VLOOKUP(B383,C360:X375,3,FALSE),"")</f>
        <v/>
      </c>
      <c r="L383" s="544" t="str">
        <f ca="1">IFERROR(VLOOKUP(K383,$E360:$F375,2,FALSE),"")</f>
        <v/>
      </c>
      <c r="M383" s="545"/>
      <c r="N383" s="545"/>
      <c r="O383" s="546"/>
      <c r="P383" s="544" t="str">
        <f t="shared" ca="1" si="119"/>
        <v>-</v>
      </c>
      <c r="Q383" s="545"/>
      <c r="R383" s="545"/>
      <c r="S383" s="546"/>
      <c r="T383" s="524" t="str">
        <f ca="1">IFERROR(VLOOKUP(K383,E360:X375,19,FALSE),"")</f>
        <v/>
      </c>
      <c r="U383" s="525"/>
      <c r="V383" s="28"/>
      <c r="W383" s="29"/>
      <c r="X383" s="29"/>
      <c r="Y383" s="29"/>
      <c r="Z383" s="29"/>
      <c r="AA383" s="29"/>
      <c r="AB383" s="30"/>
    </row>
    <row r="384" spans="1:33" s="4" customFormat="1" ht="15.95" customHeight="1" x14ac:dyDescent="0.45">
      <c r="A384" s="8" t="s">
        <v>204</v>
      </c>
      <c r="B384" s="10">
        <v>6</v>
      </c>
      <c r="C384" s="3"/>
      <c r="D384" s="55">
        <v>6</v>
      </c>
      <c r="E384" s="19" t="str">
        <f ca="1">IFERROR(VLOOKUP(B384,B360:E375,4,FALSE),"")</f>
        <v/>
      </c>
      <c r="F384" s="27" t="str">
        <f ca="1">IFERROR(VLOOKUP(E384,$E360:$F375,2,FALSE),"")</f>
        <v/>
      </c>
      <c r="G384" s="18" t="str">
        <f t="shared" ca="1" si="118"/>
        <v>-</v>
      </c>
      <c r="H384" s="542" t="str">
        <f ca="1">IFERROR(VLOOKUP(E384,E360:X375,19,FALSE),"")</f>
        <v/>
      </c>
      <c r="I384" s="543"/>
      <c r="J384" s="55">
        <v>6</v>
      </c>
      <c r="K384" s="55" t="str">
        <f ca="1">IFERROR(VLOOKUP(B384,C360:X375,3,FALSE),"")</f>
        <v/>
      </c>
      <c r="L384" s="544" t="str">
        <f ca="1">IFERROR(VLOOKUP(K384,$E360:$F375,2,FALSE),"")</f>
        <v/>
      </c>
      <c r="M384" s="545"/>
      <c r="N384" s="545"/>
      <c r="O384" s="546"/>
      <c r="P384" s="544" t="str">
        <f t="shared" ca="1" si="119"/>
        <v>-</v>
      </c>
      <c r="Q384" s="545"/>
      <c r="R384" s="545"/>
      <c r="S384" s="546"/>
      <c r="T384" s="524" t="str">
        <f ca="1">IFERROR(VLOOKUP(K384,E360:X375,19,FALSE),"")</f>
        <v/>
      </c>
      <c r="U384" s="525"/>
      <c r="V384" s="512" t="s">
        <v>185</v>
      </c>
      <c r="W384" s="513"/>
      <c r="X384" s="513"/>
      <c r="Y384" s="513"/>
      <c r="Z384" s="513"/>
      <c r="AA384" s="513"/>
      <c r="AB384" s="514"/>
    </row>
    <row r="385" spans="1:33" s="4" customFormat="1" ht="15.95" customHeight="1" x14ac:dyDescent="0.45">
      <c r="A385" s="8">
        <f>IFERROR(VLOOKUP(A356,records,5,FALSE),"")</f>
        <v>41.04</v>
      </c>
      <c r="B385" s="10">
        <v>7</v>
      </c>
      <c r="C385" s="3"/>
      <c r="D385" s="55">
        <v>7</v>
      </c>
      <c r="E385" s="19" t="str">
        <f ca="1">IFERROR(VLOOKUP(B385,B360:E375,4,FALSE),"")</f>
        <v/>
      </c>
      <c r="F385" s="27" t="str">
        <f ca="1">IFERROR(VLOOKUP(E385,$E360:$F375,2,FALSE),"")</f>
        <v/>
      </c>
      <c r="G385" s="18" t="str">
        <f t="shared" ca="1" si="118"/>
        <v>-</v>
      </c>
      <c r="H385" s="542" t="str">
        <f ca="1">IFERROR(VLOOKUP(E385,E360:X375,19,FALSE),"")</f>
        <v/>
      </c>
      <c r="I385" s="543"/>
      <c r="J385" s="55">
        <v>7</v>
      </c>
      <c r="K385" s="55" t="str">
        <f ca="1">IFERROR(VLOOKUP(B385,C360:X375,3,FALSE),"")</f>
        <v/>
      </c>
      <c r="L385" s="544" t="str">
        <f ca="1">IFERROR(VLOOKUP(K385,$E360:$F375,2,FALSE),"")</f>
        <v/>
      </c>
      <c r="M385" s="545"/>
      <c r="N385" s="545"/>
      <c r="O385" s="546"/>
      <c r="P385" s="544" t="str">
        <f t="shared" ca="1" si="119"/>
        <v>-</v>
      </c>
      <c r="Q385" s="545"/>
      <c r="R385" s="545"/>
      <c r="S385" s="546"/>
      <c r="T385" s="524" t="str">
        <f ca="1">IFERROR(VLOOKUP(K385,E360:X375,19,FALSE),"")</f>
        <v/>
      </c>
      <c r="U385" s="525"/>
      <c r="V385" s="24"/>
      <c r="W385" s="25"/>
      <c r="X385" s="25"/>
      <c r="Y385" s="25"/>
      <c r="Z385" s="25"/>
      <c r="AA385" s="25"/>
      <c r="AB385" s="26"/>
    </row>
    <row r="386" spans="1:33" s="4" customFormat="1" ht="15.95" customHeight="1" x14ac:dyDescent="0.45">
      <c r="A386" s="8"/>
      <c r="B386" s="10">
        <v>8</v>
      </c>
      <c r="C386" s="3"/>
      <c r="D386" s="55">
        <v>8</v>
      </c>
      <c r="E386" s="19" t="str">
        <f ca="1">IFERROR(VLOOKUP(B386,B360:E375,4,FALSE),"")</f>
        <v/>
      </c>
      <c r="F386" s="27" t="str">
        <f ca="1">IFERROR(VLOOKUP(E386,$E360:$F375,2,FALSE),"")</f>
        <v/>
      </c>
      <c r="G386" s="18" t="str">
        <f t="shared" ca="1" si="118"/>
        <v>-</v>
      </c>
      <c r="H386" s="542" t="str">
        <f ca="1">IFERROR(VLOOKUP(E386,E360:X375,19,FALSE),"")</f>
        <v/>
      </c>
      <c r="I386" s="543"/>
      <c r="J386" s="55">
        <v>8</v>
      </c>
      <c r="K386" s="55" t="str">
        <f ca="1">IFERROR(VLOOKUP(B386,C360:X375,3,FALSE),"")</f>
        <v/>
      </c>
      <c r="L386" s="544" t="str">
        <f ca="1">IFERROR(VLOOKUP(K386,$E360:$F375,2,FALSE),"")</f>
        <v/>
      </c>
      <c r="M386" s="545"/>
      <c r="N386" s="545"/>
      <c r="O386" s="546"/>
      <c r="P386" s="544" t="str">
        <f t="shared" ca="1" si="119"/>
        <v>-</v>
      </c>
      <c r="Q386" s="545"/>
      <c r="R386" s="545"/>
      <c r="S386" s="546"/>
      <c r="T386" s="524" t="str">
        <f ca="1">IFERROR(VLOOKUP(K386,E360:X375,19,FALSE),"")</f>
        <v/>
      </c>
      <c r="U386" s="525"/>
      <c r="V386" s="28"/>
      <c r="W386" s="29"/>
      <c r="X386" s="29"/>
      <c r="Y386" s="29"/>
      <c r="Z386" s="29"/>
      <c r="AA386" s="29"/>
      <c r="AB386" s="30"/>
    </row>
    <row r="387" spans="1:33" s="4" customFormat="1" ht="21" x14ac:dyDescent="0.45">
      <c r="A387" s="2" t="str">
        <f>MatchDay!$U$6</f>
        <v>X</v>
      </c>
      <c r="B387" s="8"/>
      <c r="C387" s="3"/>
      <c r="D387" s="502" t="s">
        <v>186</v>
      </c>
      <c r="E387" s="503"/>
      <c r="F387" s="503"/>
      <c r="G387" s="503"/>
      <c r="H387" s="503"/>
      <c r="I387" s="503"/>
      <c r="J387" s="503"/>
      <c r="K387" s="515" t="s">
        <v>187</v>
      </c>
      <c r="L387" s="516"/>
      <c r="M387" s="516"/>
      <c r="N387" s="516"/>
      <c r="O387" s="518" t="str">
        <f>MatchDay!$C$2&amp;" "&amp;MatchDay!$C$3&amp;" "&amp;MatchDay!$C$4</f>
        <v>LOWER NORTH East 1</v>
      </c>
      <c r="P387" s="519"/>
      <c r="Q387" s="519"/>
      <c r="R387" s="519"/>
      <c r="S387" s="519"/>
      <c r="T387" s="519"/>
      <c r="U387" s="519"/>
      <c r="V387" s="519"/>
      <c r="W387" s="519"/>
      <c r="X387" s="519"/>
      <c r="Y387" s="519"/>
      <c r="Z387" s="519"/>
      <c r="AA387" s="519"/>
      <c r="AB387" s="520"/>
    </row>
    <row r="388" spans="1:33" s="4" customFormat="1" ht="15.75" customHeight="1" x14ac:dyDescent="0.45">
      <c r="A388" s="1" t="str">
        <f>IFERROR(IF(LEFT(MatchDay!$C$2,1)="L","L"&amp;A390,"U"&amp;A390),"")</f>
        <v>LFW01</v>
      </c>
      <c r="B388" s="10">
        <v>411</v>
      </c>
      <c r="C388" s="3"/>
      <c r="D388" s="512" t="s">
        <v>188</v>
      </c>
      <c r="E388" s="514"/>
      <c r="F388" s="513" t="str">
        <f>IFERROR(UPPER(VLOOKUP(A389,teamlookup,6,FALSE)),"")</f>
        <v/>
      </c>
      <c r="G388" s="514"/>
      <c r="H388" s="504" t="s">
        <v>201</v>
      </c>
      <c r="I388" s="510"/>
      <c r="J388" s="505"/>
      <c r="K388" s="512" t="str">
        <f>MatchDay!$C$8</f>
        <v>@ Doncaster</v>
      </c>
      <c r="L388" s="513"/>
      <c r="M388" s="513"/>
      <c r="N388" s="513"/>
      <c r="O388" s="513"/>
      <c r="P388" s="514"/>
      <c r="Q388" s="504" t="s">
        <v>160</v>
      </c>
      <c r="R388" s="505"/>
      <c r="S388" s="521">
        <f>MatchDay!$C$7</f>
        <v>43582</v>
      </c>
      <c r="T388" s="522"/>
      <c r="U388" s="522"/>
      <c r="V388" s="522"/>
      <c r="W388" s="522"/>
      <c r="X388" s="523"/>
      <c r="Y388" s="526" t="str">
        <f>IFERROR(IF(LEFT(A388,1)="L","",VLOOKUP(A388,AAA!$A:$I,8,FALSE)),"")</f>
        <v/>
      </c>
      <c r="Z388" s="527"/>
      <c r="AA388" s="524" t="str">
        <f>IFERROR(IF(LEFT(A388,1)="L","",VLOOKUP(A388,standards,9,FALSE)),"")</f>
        <v/>
      </c>
      <c r="AB388" s="525"/>
      <c r="AC388" s="6"/>
      <c r="AD388" s="6"/>
    </row>
    <row r="389" spans="1:33" s="4" customFormat="1" ht="15.75" customHeight="1" x14ac:dyDescent="0.45">
      <c r="A389" s="5">
        <f>IFERROR(IF(A387=1,VLOOKUP(A388,judges,VLOOKUP(MatchDay!$U$2*10+MatchDay!$C$5,judgesp,5,FALSE),FALSE),VLOOKUP(Distance!A388,judges,VLOOKUP(MatchDay!$U$2*10+MatchDay!$C$5,judges2,5,FALSE),FALSE)),"")</f>
        <v>0</v>
      </c>
      <c r="B389" s="181">
        <f>IFERROR(VLOOKUP(A388,Timetables!$A:$E,5,FALSE)-1,"")</f>
        <v>93</v>
      </c>
      <c r="C389" s="3"/>
      <c r="D389" s="504" t="s">
        <v>161</v>
      </c>
      <c r="E389" s="505"/>
      <c r="F389" s="508" t="str">
        <f>IFERROR(VLOOKUP(A388,timetables,2,FALSE)&amp;" "&amp;VLOOKUP(A388,timetables,3,FALSE),"")</f>
        <v>Long Jump U13 Boys</v>
      </c>
      <c r="G389" s="509"/>
      <c r="H389" s="504" t="s">
        <v>162</v>
      </c>
      <c r="I389" s="510"/>
      <c r="J389" s="505"/>
      <c r="K389" s="511">
        <f>IFERROR(IF(A387=1,VLOOKUP(A388,Timetables!$A:$G,6,FALSE),VLOOKUP(A388,Timetables!$A:$G,7,FALSE)),"")</f>
        <v>0.47916666666666669</v>
      </c>
      <c r="L389" s="511" t="e">
        <v>#N/A</v>
      </c>
      <c r="M389" s="504" t="s">
        <v>202</v>
      </c>
      <c r="N389" s="505"/>
      <c r="O389" s="506" t="str">
        <f>IFERROR(VLOOKUP(A388,records,3,FALSE)&amp;", "&amp;VLOOKUP(A388,records,4,FALSE)&amp;", "&amp;VLOOKUP(A388,records,5,FALSE)&amp;", "&amp;VLOOKUP(A388,records,6,FALSE)&amp;", "&amp;VLOOKUP(A388,records,7,FALSE)&amp;" "&amp;VLOOKUP(A388,records,8,FALSE),"")</f>
        <v>Dante Clark, Herne Hill Harriers, 5.45, Croydon, July 21st 2018</v>
      </c>
      <c r="P389" s="506"/>
      <c r="Q389" s="506"/>
      <c r="R389" s="506"/>
      <c r="S389" s="506"/>
      <c r="T389" s="506"/>
      <c r="U389" s="506"/>
      <c r="V389" s="506"/>
      <c r="W389" s="506"/>
      <c r="X389" s="506"/>
      <c r="Y389" s="506"/>
      <c r="Z389" s="506"/>
      <c r="AA389" s="506"/>
      <c r="AB389" s="507"/>
    </row>
    <row r="390" spans="1:33" s="4" customFormat="1" ht="32.1" customHeight="1" x14ac:dyDescent="0.45">
      <c r="A390" s="5" t="s">
        <v>301</v>
      </c>
      <c r="B390" s="10" t="str">
        <f>IFERROR(VLOOKUP($A390,fdistance,2,FALSE),"")</f>
        <v>T</v>
      </c>
      <c r="C390" s="10">
        <f>IFERROR(VLOOKUP($A390,fdistance,3,FALSE),"")</f>
        <v>4</v>
      </c>
      <c r="D390" s="31" t="s">
        <v>163</v>
      </c>
      <c r="E390" s="13" t="s">
        <v>164</v>
      </c>
      <c r="F390" s="13" t="s">
        <v>165</v>
      </c>
      <c r="G390" s="14" t="s">
        <v>166</v>
      </c>
      <c r="H390" s="532" t="s">
        <v>167</v>
      </c>
      <c r="I390" s="534"/>
      <c r="J390" s="534" t="s">
        <v>168</v>
      </c>
      <c r="K390" s="534"/>
      <c r="L390" s="534" t="s">
        <v>169</v>
      </c>
      <c r="M390" s="534"/>
      <c r="N390" s="534" t="s">
        <v>170</v>
      </c>
      <c r="O390" s="534"/>
      <c r="P390" s="535" t="s">
        <v>171</v>
      </c>
      <c r="Q390" s="534" t="s">
        <v>172</v>
      </c>
      <c r="R390" s="534"/>
      <c r="S390" s="534" t="s">
        <v>173</v>
      </c>
      <c r="T390" s="534"/>
      <c r="U390" s="534" t="s">
        <v>174</v>
      </c>
      <c r="V390" s="534"/>
      <c r="W390" s="537" t="s">
        <v>175</v>
      </c>
      <c r="X390" s="538"/>
      <c r="Y390" s="528" t="s">
        <v>176</v>
      </c>
      <c r="Z390" s="530" t="s">
        <v>177</v>
      </c>
      <c r="AA390" s="531"/>
      <c r="AB390" s="532"/>
    </row>
    <row r="391" spans="1:33" s="4" customFormat="1" ht="11.65" x14ac:dyDescent="0.35">
      <c r="A391" s="137">
        <f>IFERROR(SEARCH("U17",F389),0)</f>
        <v>0</v>
      </c>
      <c r="B391" s="7" t="s">
        <v>53</v>
      </c>
      <c r="C391" s="7" t="s">
        <v>54</v>
      </c>
      <c r="D391" s="56"/>
      <c r="E391" s="56"/>
      <c r="F391" s="15"/>
      <c r="G391" s="16"/>
      <c r="H391" s="514" t="s">
        <v>178</v>
      </c>
      <c r="I391" s="533"/>
      <c r="J391" s="533" t="s">
        <v>178</v>
      </c>
      <c r="K391" s="533"/>
      <c r="L391" s="533" t="s">
        <v>178</v>
      </c>
      <c r="M391" s="533"/>
      <c r="N391" s="533" t="s">
        <v>178</v>
      </c>
      <c r="O391" s="533"/>
      <c r="P391" s="536"/>
      <c r="Q391" s="533" t="s">
        <v>178</v>
      </c>
      <c r="R391" s="533"/>
      <c r="S391" s="533" t="s">
        <v>178</v>
      </c>
      <c r="T391" s="533"/>
      <c r="U391" s="533" t="s">
        <v>178</v>
      </c>
      <c r="V391" s="533"/>
      <c r="W391" s="533" t="s">
        <v>178</v>
      </c>
      <c r="X391" s="512"/>
      <c r="Y391" s="529"/>
      <c r="Z391" s="55"/>
      <c r="AA391" s="55" t="s">
        <v>53</v>
      </c>
      <c r="AB391" s="55" t="s">
        <v>54</v>
      </c>
    </row>
    <row r="392" spans="1:33" s="4" customFormat="1" ht="15.95" customHeight="1" x14ac:dyDescent="0.35">
      <c r="A392" s="8">
        <f>IFERROR(IF(D392&gt;MatchDay!$U$2,"-",VLOOKUP(A388,timetables,MatchDay!$U$4,FALSE)),0)</f>
        <v>1</v>
      </c>
      <c r="B392" s="7">
        <f ca="1">AA392</f>
        <v>4</v>
      </c>
      <c r="C392" s="7" t="str">
        <f ca="1">AB392</f>
        <v/>
      </c>
      <c r="D392" s="56">
        <v>1</v>
      </c>
      <c r="E392" s="17">
        <f>A392</f>
        <v>1</v>
      </c>
      <c r="F392" s="18" t="str">
        <f ca="1">IFERROR(IF(A391=0,HLOOKUP(E392,Declarations!$D$2:$S$102,B389,FALSE),HLOOKUP(VLOOKUP(E392,Teams!$V$2:$W$19,2,FALSE),Declarations!$D$2:$S$102,B389,FALSE)),"")</f>
        <v>GASKIN Nathanael</v>
      </c>
      <c r="G392" s="18" t="str">
        <f t="shared" ref="G392:G407" si="120">IFERROR(VLOOKUP(E392,teamlookup,5,FALSE),"-")</f>
        <v>C'field</v>
      </c>
      <c r="H392" s="524">
        <f ca="1">IFERROR(INDIRECT(CONCATENATE("'Distance Input'!"&amp;B390&amp;C390)),"")</f>
        <v>3.81</v>
      </c>
      <c r="I392" s="525"/>
      <c r="J392" s="524">
        <v>0</v>
      </c>
      <c r="K392" s="525"/>
      <c r="L392" s="524">
        <v>0</v>
      </c>
      <c r="M392" s="525"/>
      <c r="N392" s="539">
        <f ca="1">H392</f>
        <v>3.81</v>
      </c>
      <c r="O392" s="540"/>
      <c r="P392" s="55">
        <v>0</v>
      </c>
      <c r="Q392" s="541">
        <v>0</v>
      </c>
      <c r="R392" s="541"/>
      <c r="S392" s="541">
        <v>0</v>
      </c>
      <c r="T392" s="541"/>
      <c r="U392" s="541">
        <v>0</v>
      </c>
      <c r="V392" s="541"/>
      <c r="W392" s="524">
        <f ca="1">N392</f>
        <v>3.81</v>
      </c>
      <c r="X392" s="525"/>
      <c r="Y392" s="55">
        <f ca="1">IF(OR(W392="",W392=0),0,IF(W392="X",MatchDay!$U$2+MatchDay!$U$2+1-COUNTIF(Distance!W392:W392,"X"),RANK(W392,$W392:$X407,0)))</f>
        <v>6</v>
      </c>
      <c r="Z392" s="19" t="str">
        <f ca="1">IFERROR(IF(Y392=0,0,IF(OR(VLOOKUP(AG392,E400:Y407,21,FALSE)=0,Y392&lt;=VLOOKUP(AG392,E400:Y407,21,FALSE)),"A","B")),"")</f>
        <v>A</v>
      </c>
      <c r="AA392" s="19">
        <f ca="1">IFERROR(IF(Z392="B","",RANK(AD392,AD392:AD407,1)),"")</f>
        <v>4</v>
      </c>
      <c r="AB392" s="19" t="str">
        <f ca="1">IFERROR(IF(Z392="A","",RANK(AE392,AE392:AE407,1)),"")</f>
        <v/>
      </c>
      <c r="AC392" s="8"/>
      <c r="AD392" s="9">
        <f ca="1">IF(OR(W392=0,Y392=0,Z392="B"),"",Y392)</f>
        <v>6</v>
      </c>
      <c r="AE392" s="9" t="str">
        <f ca="1">IF(OR(W392=0,Y392=0,Z392="A"),"",Y392)</f>
        <v/>
      </c>
      <c r="AF392" s="9" t="s">
        <v>179</v>
      </c>
      <c r="AG392" s="4">
        <f>IFERROR(IF(A391=0,E392*11,E392&amp;E392),"")</f>
        <v>11</v>
      </c>
    </row>
    <row r="393" spans="1:33" s="4" customFormat="1" ht="15.95" customHeight="1" x14ac:dyDescent="0.35">
      <c r="A393" s="8">
        <f>IFERROR(IF(D393&gt;MatchDay!$U$2,"-",VLOOKUP(A388,timetables,MatchDay!$U$4+1,FALSE)),0)</f>
        <v>5</v>
      </c>
      <c r="B393" s="7">
        <f t="shared" ref="B393:B407" ca="1" si="121">AA393</f>
        <v>5</v>
      </c>
      <c r="C393" s="7" t="str">
        <f t="shared" ref="C393:C407" ca="1" si="122">AB393</f>
        <v/>
      </c>
      <c r="D393" s="55">
        <v>2</v>
      </c>
      <c r="E393" s="17">
        <f t="shared" ref="E393:E407" si="123">A393</f>
        <v>5</v>
      </c>
      <c r="F393" s="18" t="str">
        <f ca="1">IFERROR(IF(A391=0,HLOOKUP(E393,Declarations!$D$2:$S$102,B389,FALSE),HLOOKUP(VLOOKUP(E393,Teams!$V$2:$W$19,2,FALSE),Declarations!$D$2:$S$102,B389,FALSE)),"")</f>
        <v>LANGTON Cody</v>
      </c>
      <c r="G393" s="18" t="str">
        <f t="shared" si="120"/>
        <v>Scun</v>
      </c>
      <c r="H393" s="524">
        <f ca="1">IFERROR(INDIRECT(CONCATENATE("'Distance Input'!"&amp;B390&amp;C390+1)),"")</f>
        <v>3.27</v>
      </c>
      <c r="I393" s="525"/>
      <c r="J393" s="524">
        <v>0</v>
      </c>
      <c r="K393" s="525"/>
      <c r="L393" s="524">
        <v>0</v>
      </c>
      <c r="M393" s="525"/>
      <c r="N393" s="539">
        <f t="shared" ref="N393:N407" ca="1" si="124">H393</f>
        <v>3.27</v>
      </c>
      <c r="O393" s="540"/>
      <c r="P393" s="55">
        <v>0</v>
      </c>
      <c r="Q393" s="541">
        <v>0</v>
      </c>
      <c r="R393" s="541"/>
      <c r="S393" s="541">
        <v>0</v>
      </c>
      <c r="T393" s="541"/>
      <c r="U393" s="541">
        <v>0</v>
      </c>
      <c r="V393" s="541"/>
      <c r="W393" s="524">
        <f t="shared" ref="W393:W407" ca="1" si="125">N393</f>
        <v>3.27</v>
      </c>
      <c r="X393" s="525"/>
      <c r="Y393" s="55">
        <f ca="1">IF(OR(W393="",W393=0),0,IF(W393="X",MatchDay!$U$2+MatchDay!$U$2+1-COUNTIF(Distance!W392:W393,"X"),RANK(W393,$W392:$X407,0)))</f>
        <v>7</v>
      </c>
      <c r="Z393" s="19" t="str">
        <f ca="1">IFERROR(IF(Y393=0,0,IF(OR(VLOOKUP(AG393,E400:Y407,21,FALSE)=0,Y393&lt;=VLOOKUP(AG393,E400:Y407,21,FALSE)),"A","B")),"")</f>
        <v>A</v>
      </c>
      <c r="AA393" s="19">
        <f ca="1">IFERROR(IF(Z393="B","",RANK(AD393,AD392:AD407,1)),"")</f>
        <v>5</v>
      </c>
      <c r="AB393" s="19" t="str">
        <f ca="1">IFERROR(IF(Z393="A","",RANK(AE393,AE392:AE407,1)),"")</f>
        <v/>
      </c>
      <c r="AC393" s="8"/>
      <c r="AD393" s="9">
        <f t="shared" ref="AD393:AD407" ca="1" si="126">IF(OR(W393=0,Y393=0,Z393="B"),"",Y393)</f>
        <v>7</v>
      </c>
      <c r="AE393" s="9" t="str">
        <f t="shared" ref="AE393:AE407" ca="1" si="127">IF(OR(W393=0,Y393=0,Z393="A"),"",Y393)</f>
        <v/>
      </c>
      <c r="AF393" s="9" t="s">
        <v>179</v>
      </c>
      <c r="AG393" s="4">
        <f>IFERROR(IF(A391=0,E393*11,E393&amp;E393),"")</f>
        <v>55</v>
      </c>
    </row>
    <row r="394" spans="1:33" s="4" customFormat="1" ht="15.95" customHeight="1" x14ac:dyDescent="0.35">
      <c r="A394" s="8">
        <f>IFERROR(IF(D394&gt;MatchDay!$U$2,"-",VLOOKUP(A388,timetables,MatchDay!$U$4+2,FALSE)),0)</f>
        <v>4</v>
      </c>
      <c r="B394" s="7" t="str">
        <f t="shared" ca="1" si="121"/>
        <v/>
      </c>
      <c r="C394" s="7">
        <f t="shared" ca="1" si="122"/>
        <v>3</v>
      </c>
      <c r="D394" s="55">
        <v>3</v>
      </c>
      <c r="E394" s="17">
        <f t="shared" si="123"/>
        <v>4</v>
      </c>
      <c r="F394" s="18" t="str">
        <f ca="1">IFERROR(IF(A391=0,HLOOKUP(E394,Declarations!$D$2:$S$102,B389,FALSE),HLOOKUP(VLOOKUP(E394,Teams!$V$2:$W$19,2,FALSE),Declarations!$D$2:$S$102,B389,FALSE)),"")</f>
        <v>BAKER Edward</v>
      </c>
      <c r="G394" s="18" t="str">
        <f t="shared" si="120"/>
        <v>M'bro</v>
      </c>
      <c r="H394" s="524">
        <f ca="1">IFERROR(INDIRECT(CONCATENATE("'Distance Input'!"&amp;B390&amp;C390+2)),"")</f>
        <v>3.19</v>
      </c>
      <c r="I394" s="525"/>
      <c r="J394" s="524">
        <v>0</v>
      </c>
      <c r="K394" s="525"/>
      <c r="L394" s="524">
        <v>0</v>
      </c>
      <c r="M394" s="525"/>
      <c r="N394" s="539">
        <f t="shared" ca="1" si="124"/>
        <v>3.19</v>
      </c>
      <c r="O394" s="540"/>
      <c r="P394" s="55">
        <v>0</v>
      </c>
      <c r="Q394" s="541">
        <v>0</v>
      </c>
      <c r="R394" s="541"/>
      <c r="S394" s="541">
        <v>0</v>
      </c>
      <c r="T394" s="541"/>
      <c r="U394" s="541">
        <v>0</v>
      </c>
      <c r="V394" s="541"/>
      <c r="W394" s="524">
        <f t="shared" ca="1" si="125"/>
        <v>3.19</v>
      </c>
      <c r="X394" s="525"/>
      <c r="Y394" s="55">
        <f ca="1">IF(OR(W394="",W394=0),0,IF(W394="X",MatchDay!$U$2+MatchDay!$U$2+1-COUNTIF(Distance!W392:W394,"X"),RANK(W394,$W392:$X407,0)))</f>
        <v>8</v>
      </c>
      <c r="Z394" s="19" t="str">
        <f ca="1">IFERROR(IF(Y394=0,0,IF(OR(VLOOKUP(AG394,E400:Y407,21,FALSE)=0,Y394&lt;=VLOOKUP(AG394,E400:Y407,21,FALSE)),"A","B")),"")</f>
        <v>B</v>
      </c>
      <c r="AA394" s="19" t="str">
        <f ca="1">IFERROR(IF(Z394="B","",RANK(AD394,AD392:AD407,1)),"")</f>
        <v/>
      </c>
      <c r="AB394" s="19">
        <f ca="1">IFERROR(IF(Z394="A","",RANK(AE394,AE392:AE407,1)),"")</f>
        <v>3</v>
      </c>
      <c r="AD394" s="9" t="str">
        <f t="shared" ca="1" si="126"/>
        <v/>
      </c>
      <c r="AE394" s="9">
        <f t="shared" ca="1" si="127"/>
        <v>8</v>
      </c>
      <c r="AF394" s="9" t="s">
        <v>179</v>
      </c>
      <c r="AG394" s="4">
        <f>IFERROR(IF(A391=0,E394*11,E394&amp;E394),"")</f>
        <v>44</v>
      </c>
    </row>
    <row r="395" spans="1:33" s="4" customFormat="1" ht="15.95" customHeight="1" x14ac:dyDescent="0.35">
      <c r="A395" s="8">
        <f>IFERROR(IF(D395&gt;MatchDay!$U$2,"-",VLOOKUP(A388,timetables,MatchDay!$U$4+3,FALSE)),0)</f>
        <v>2</v>
      </c>
      <c r="B395" s="7" t="str">
        <f t="shared" ca="1" si="121"/>
        <v/>
      </c>
      <c r="C395" s="7">
        <f t="shared" ca="1" si="122"/>
        <v>1</v>
      </c>
      <c r="D395" s="55">
        <v>4</v>
      </c>
      <c r="E395" s="17">
        <f t="shared" si="123"/>
        <v>2</v>
      </c>
      <c r="F395" s="18" t="str">
        <f ca="1">IFERROR(IF(A391=0,HLOOKUP(E395,Declarations!$D$2:$S$102,B389,FALSE),HLOOKUP(VLOOKUP(E395,Teams!$V$2:$W$19,2,FALSE),Declarations!$D$2:$S$102,B389,FALSE)),"")</f>
        <v>CONNELLY George</v>
      </c>
      <c r="G395" s="18" t="str">
        <f t="shared" si="120"/>
        <v>Sheff+D</v>
      </c>
      <c r="H395" s="524">
        <f ca="1">IFERROR(INDIRECT(CONCATENATE("'Distance Input'!"&amp;B390&amp;C390+3)),"")</f>
        <v>4.22</v>
      </c>
      <c r="I395" s="525"/>
      <c r="J395" s="524">
        <v>0</v>
      </c>
      <c r="K395" s="525"/>
      <c r="L395" s="524">
        <v>0</v>
      </c>
      <c r="M395" s="525"/>
      <c r="N395" s="539">
        <f t="shared" ca="1" si="124"/>
        <v>4.22</v>
      </c>
      <c r="O395" s="540"/>
      <c r="P395" s="55">
        <v>0</v>
      </c>
      <c r="Q395" s="541">
        <v>0</v>
      </c>
      <c r="R395" s="541"/>
      <c r="S395" s="541">
        <v>0</v>
      </c>
      <c r="T395" s="541"/>
      <c r="U395" s="541">
        <v>0</v>
      </c>
      <c r="V395" s="541"/>
      <c r="W395" s="524">
        <f t="shared" ca="1" si="125"/>
        <v>4.22</v>
      </c>
      <c r="X395" s="525"/>
      <c r="Y395" s="55">
        <f ca="1">IF(OR(W395="",W395=0),0,IF(W395="X",MatchDay!$U$2+MatchDay!$U$2+1-COUNTIF(Distance!W392:W395,"X"),RANK(W395,$W392:$X407,0)))</f>
        <v>3</v>
      </c>
      <c r="Z395" s="19" t="str">
        <f ca="1">IFERROR(IF(Y395=0,0,IF(OR(VLOOKUP(AG395,E400:Y407,21,FALSE)=0,Y395&lt;=VLOOKUP(AG395,E400:Y407,21,FALSE)),"A","B")),"")</f>
        <v>B</v>
      </c>
      <c r="AA395" s="19" t="str">
        <f ca="1">IFERROR(IF(Z395="B","",RANK(AD395,AD392:AD407,1)),"")</f>
        <v/>
      </c>
      <c r="AB395" s="19">
        <f ca="1">IFERROR(IF(Z395="A","",RANK(AE395,AE392:AE407,1)),"")</f>
        <v>1</v>
      </c>
      <c r="AD395" s="9" t="str">
        <f t="shared" ca="1" si="126"/>
        <v/>
      </c>
      <c r="AE395" s="9">
        <f t="shared" ca="1" si="127"/>
        <v>3</v>
      </c>
      <c r="AF395" s="9" t="s">
        <v>179</v>
      </c>
      <c r="AG395" s="4">
        <f>IFERROR(IF(A391=0,E395*11,E395&amp;E395),"")</f>
        <v>22</v>
      </c>
    </row>
    <row r="396" spans="1:33" s="4" customFormat="1" ht="15.95" customHeight="1" x14ac:dyDescent="0.35">
      <c r="A396" s="8">
        <f>IFERROR(IF(D396&gt;MatchDay!$U$2,"-",VLOOKUP(A388,timetables,MatchDay!$U$4+4,FALSE)),0)</f>
        <v>3</v>
      </c>
      <c r="B396" s="7" t="str">
        <f t="shared" ca="1" si="121"/>
        <v/>
      </c>
      <c r="C396" s="7">
        <f t="shared" ca="1" si="122"/>
        <v>2</v>
      </c>
      <c r="D396" s="55">
        <v>5</v>
      </c>
      <c r="E396" s="17">
        <f t="shared" si="123"/>
        <v>3</v>
      </c>
      <c r="F396" s="18" t="str">
        <f ca="1">IFERROR(IF(A391=0,HLOOKUP(E396,Declarations!$D$2:$S$102,B389,FALSE),HLOOKUP(VLOOKUP(E396,Teams!$V$2:$W$19,2,FALSE),Declarations!$D$2:$S$102,B389,FALSE)),"")</f>
        <v>MARSHALL Syd</v>
      </c>
      <c r="G396" s="18" t="str">
        <f t="shared" si="120"/>
        <v>York</v>
      </c>
      <c r="H396" s="524">
        <f ca="1">IFERROR(INDIRECT(CONCATENATE("'Distance Input'!"&amp;B390&amp;C390+4)),"")</f>
        <v>3.86</v>
      </c>
      <c r="I396" s="525"/>
      <c r="J396" s="524">
        <v>0</v>
      </c>
      <c r="K396" s="525"/>
      <c r="L396" s="524">
        <v>0</v>
      </c>
      <c r="M396" s="525"/>
      <c r="N396" s="539">
        <f t="shared" ca="1" si="124"/>
        <v>3.86</v>
      </c>
      <c r="O396" s="540"/>
      <c r="P396" s="55">
        <v>0</v>
      </c>
      <c r="Q396" s="541">
        <v>0</v>
      </c>
      <c r="R396" s="541"/>
      <c r="S396" s="541">
        <v>0</v>
      </c>
      <c r="T396" s="541"/>
      <c r="U396" s="541">
        <v>0</v>
      </c>
      <c r="V396" s="541"/>
      <c r="W396" s="524">
        <f t="shared" ca="1" si="125"/>
        <v>3.86</v>
      </c>
      <c r="X396" s="525"/>
      <c r="Y396" s="55">
        <f ca="1">IF(OR(W396="",W396=0),0,IF(W396="X",MatchDay!$U$2+MatchDay!$U$2+1-COUNTIF(Distance!W392:W396,"X"),RANK(W396,$W392:$X407,0)))</f>
        <v>4</v>
      </c>
      <c r="Z396" s="19" t="str">
        <f ca="1">IFERROR(IF(Y396=0,0,IF(OR(VLOOKUP(AG396,E400:Y407,21,FALSE)=0,Y396&lt;=VLOOKUP(AG396,E400:Y407,21,FALSE)),"A","B")),"")</f>
        <v>B</v>
      </c>
      <c r="AA396" s="19" t="str">
        <f ca="1">IFERROR(IF(Z396="B","",RANK(AD396,AD392:AD407,1)),"")</f>
        <v/>
      </c>
      <c r="AB396" s="19">
        <f ca="1">IFERROR(IF(Z396="A","",RANK(AE396,AE392:AE407,1)),"")</f>
        <v>2</v>
      </c>
      <c r="AD396" s="9" t="str">
        <f t="shared" ca="1" si="126"/>
        <v/>
      </c>
      <c r="AE396" s="9">
        <f t="shared" ca="1" si="127"/>
        <v>4</v>
      </c>
      <c r="AF396" s="9" t="s">
        <v>179</v>
      </c>
      <c r="AG396" s="4">
        <f>IFERROR(IF(A391=0,E396*11,E396&amp;E396),"")</f>
        <v>33</v>
      </c>
    </row>
    <row r="397" spans="1:33" s="4" customFormat="1" ht="15.95" customHeight="1" x14ac:dyDescent="0.35">
      <c r="A397" s="8" t="str">
        <f>IFERROR(IF(D397&gt;MatchDay!$U$2,"-",VLOOKUP(A388,timetables,MatchDay!$U$4+5,FALSE)),0)</f>
        <v>-</v>
      </c>
      <c r="B397" s="7" t="str">
        <f t="shared" ca="1" si="121"/>
        <v/>
      </c>
      <c r="C397" s="7" t="str">
        <f t="shared" ca="1" si="122"/>
        <v/>
      </c>
      <c r="D397" s="55">
        <v>6</v>
      </c>
      <c r="E397" s="17" t="str">
        <f t="shared" si="123"/>
        <v>-</v>
      </c>
      <c r="F397" s="18" t="str">
        <f>IFERROR(IF(A391=0,HLOOKUP(E397,Declarations!$D$2:$S$102,B389,FALSE),HLOOKUP(VLOOKUP(E397,Teams!$V$2:$W$19,2,FALSE),Declarations!$D$2:$S$102,B389,FALSE)),"")</f>
        <v/>
      </c>
      <c r="G397" s="18" t="str">
        <f t="shared" si="120"/>
        <v/>
      </c>
      <c r="H397" s="524">
        <f ca="1">IFERROR(INDIRECT(CONCATENATE("'Distance Input'!"&amp;B390&amp;C390+5)),"")</f>
        <v>0</v>
      </c>
      <c r="I397" s="525"/>
      <c r="J397" s="524">
        <v>0</v>
      </c>
      <c r="K397" s="525"/>
      <c r="L397" s="524">
        <v>0</v>
      </c>
      <c r="M397" s="525"/>
      <c r="N397" s="539">
        <f t="shared" ca="1" si="124"/>
        <v>0</v>
      </c>
      <c r="O397" s="540"/>
      <c r="P397" s="55">
        <v>0</v>
      </c>
      <c r="Q397" s="541">
        <v>0</v>
      </c>
      <c r="R397" s="541"/>
      <c r="S397" s="541">
        <v>0</v>
      </c>
      <c r="T397" s="541"/>
      <c r="U397" s="541">
        <v>0</v>
      </c>
      <c r="V397" s="541"/>
      <c r="W397" s="524">
        <f t="shared" ca="1" si="125"/>
        <v>0</v>
      </c>
      <c r="X397" s="525"/>
      <c r="Y397" s="55">
        <f ca="1">IF(OR(W397="",W397=0),0,IF(W397="X",MatchDay!$U$2+MatchDay!$U$2+1-COUNTIF(Distance!W392:W397,"X"),RANK(W397,$W392:$X407,0)))</f>
        <v>0</v>
      </c>
      <c r="Z397" s="19">
        <f ca="1">IFERROR(IF(Y397=0,0,IF(OR(VLOOKUP(AG397,E400:Y407,21,FALSE)=0,Y397&lt;=VLOOKUP(AG397,E400:Y407,21,FALSE)),"A","B")),"")</f>
        <v>0</v>
      </c>
      <c r="AA397" s="19" t="str">
        <f ca="1">IFERROR(IF(Z397="B","",RANK(AD397,AD392:AD407,1)),"")</f>
        <v/>
      </c>
      <c r="AB397" s="19" t="str">
        <f ca="1">IFERROR(IF(Z397="A","",RANK(AE397,AE392:AE407,1)),"")</f>
        <v/>
      </c>
      <c r="AD397" s="9" t="str">
        <f t="shared" ca="1" si="126"/>
        <v/>
      </c>
      <c r="AE397" s="9" t="str">
        <f t="shared" ca="1" si="127"/>
        <v/>
      </c>
      <c r="AF397" s="9" t="s">
        <v>179</v>
      </c>
      <c r="AG397" s="4" t="str">
        <f>IFERROR(IF(A391=0,E397*11,E397&amp;E397),"")</f>
        <v/>
      </c>
    </row>
    <row r="398" spans="1:33" s="4" customFormat="1" ht="15.95" customHeight="1" x14ac:dyDescent="0.35">
      <c r="A398" s="8" t="str">
        <f>IFERROR(IF(D398&gt;MatchDay!$U$2,"-",VLOOKUP(A388,timetables,MatchDay!$U$4+6,FALSE)),0)</f>
        <v>-</v>
      </c>
      <c r="B398" s="7" t="str">
        <f t="shared" ca="1" si="121"/>
        <v/>
      </c>
      <c r="C398" s="7" t="str">
        <f t="shared" ca="1" si="122"/>
        <v/>
      </c>
      <c r="D398" s="55">
        <v>7</v>
      </c>
      <c r="E398" s="17" t="str">
        <f t="shared" si="123"/>
        <v>-</v>
      </c>
      <c r="F398" s="18" t="str">
        <f>IFERROR(IF(A391=0,HLOOKUP(E398,Declarations!$D$2:$S$102,B389,FALSE),HLOOKUP(VLOOKUP(E398,Teams!$V$2:$W$19,2,FALSE),Declarations!$D$2:$S$102,B389,FALSE)),"")</f>
        <v/>
      </c>
      <c r="G398" s="18" t="str">
        <f t="shared" si="120"/>
        <v/>
      </c>
      <c r="H398" s="524">
        <f ca="1">IFERROR(INDIRECT(CONCATENATE("'Distance Input'!"&amp;B390&amp;C390+6)),"")</f>
        <v>0</v>
      </c>
      <c r="I398" s="525"/>
      <c r="J398" s="524">
        <v>0</v>
      </c>
      <c r="K398" s="525"/>
      <c r="L398" s="524">
        <v>0</v>
      </c>
      <c r="M398" s="525"/>
      <c r="N398" s="539">
        <f t="shared" ca="1" si="124"/>
        <v>0</v>
      </c>
      <c r="O398" s="540"/>
      <c r="P398" s="55">
        <v>0</v>
      </c>
      <c r="Q398" s="541">
        <v>0</v>
      </c>
      <c r="R398" s="541"/>
      <c r="S398" s="541">
        <v>0</v>
      </c>
      <c r="T398" s="541"/>
      <c r="U398" s="541">
        <v>0</v>
      </c>
      <c r="V398" s="541"/>
      <c r="W398" s="524">
        <f t="shared" ca="1" si="125"/>
        <v>0</v>
      </c>
      <c r="X398" s="525"/>
      <c r="Y398" s="55">
        <f ca="1">IF(OR(W398="",W398=0),0,IF(W398="X",MatchDay!$U$2+MatchDay!$U$2+1-COUNTIF(Distance!W392:W398,"X"),RANK(W398,$W392:$X407,0)))</f>
        <v>0</v>
      </c>
      <c r="Z398" s="19">
        <f ca="1">IFERROR(IF(Y398=0,0,IF(OR(VLOOKUP(AG398,E400:Y407,21,FALSE)=0,Y398&lt;=VLOOKUP(AG398,E400:Y407,21,FALSE)),"A","B")),"")</f>
        <v>0</v>
      </c>
      <c r="AA398" s="19" t="str">
        <f ca="1">IFERROR(IF(Z398="B","",RANK(AD398,AD392:AD407,1)),"")</f>
        <v/>
      </c>
      <c r="AB398" s="19" t="str">
        <f ca="1">IFERROR(IF(Z398="A","",RANK(AE398,AE392:AE407,1)),"")</f>
        <v/>
      </c>
      <c r="AD398" s="9" t="str">
        <f t="shared" ca="1" si="126"/>
        <v/>
      </c>
      <c r="AE398" s="9" t="str">
        <f t="shared" ca="1" si="127"/>
        <v/>
      </c>
      <c r="AF398" s="9" t="s">
        <v>179</v>
      </c>
      <c r="AG398" s="4" t="str">
        <f>IFERROR(IF(A391=0,E398*11,E398&amp;E398),"")</f>
        <v/>
      </c>
    </row>
    <row r="399" spans="1:33" s="4" customFormat="1" ht="15.95" customHeight="1" x14ac:dyDescent="0.35">
      <c r="A399" s="8" t="str">
        <f>IFERROR(IF(D399&gt;MatchDay!$U$2,"-",VLOOKUP(A388,timetables,MatchDay!$U$4+7,FALSE)),0)</f>
        <v>-</v>
      </c>
      <c r="B399" s="7" t="str">
        <f t="shared" ca="1" si="121"/>
        <v/>
      </c>
      <c r="C399" s="7" t="str">
        <f t="shared" ca="1" si="122"/>
        <v/>
      </c>
      <c r="D399" s="55">
        <v>8</v>
      </c>
      <c r="E399" s="17" t="str">
        <f t="shared" si="123"/>
        <v>-</v>
      </c>
      <c r="F399" s="18" t="str">
        <f>IFERROR(IF(A391=0,HLOOKUP(E399,Declarations!$D$2:$S$102,B389,FALSE),HLOOKUP(VLOOKUP(E399,Teams!$V$2:$W$19,2,FALSE),Declarations!$D$2:$S$102,B389,FALSE)),"")</f>
        <v/>
      </c>
      <c r="G399" s="18" t="str">
        <f t="shared" si="120"/>
        <v/>
      </c>
      <c r="H399" s="524">
        <f ca="1">IFERROR(INDIRECT(CONCATENATE("'Distance Input'!"&amp;B390&amp;C390+7)),"")</f>
        <v>0</v>
      </c>
      <c r="I399" s="525"/>
      <c r="J399" s="524">
        <v>0</v>
      </c>
      <c r="K399" s="525"/>
      <c r="L399" s="524">
        <v>0</v>
      </c>
      <c r="M399" s="525"/>
      <c r="N399" s="539">
        <f t="shared" ca="1" si="124"/>
        <v>0</v>
      </c>
      <c r="O399" s="540"/>
      <c r="P399" s="55">
        <v>0</v>
      </c>
      <c r="Q399" s="541">
        <v>0</v>
      </c>
      <c r="R399" s="541"/>
      <c r="S399" s="541">
        <v>0</v>
      </c>
      <c r="T399" s="541"/>
      <c r="U399" s="541">
        <v>0</v>
      </c>
      <c r="V399" s="541"/>
      <c r="W399" s="524">
        <f t="shared" ca="1" si="125"/>
        <v>0</v>
      </c>
      <c r="X399" s="525"/>
      <c r="Y399" s="55">
        <f ca="1">IF(OR(W399="",W399=0),0,IF(W399="X",MatchDay!$U$2+MatchDay!$U$2+1-COUNTIF(Distance!W392:W399,"X"),RANK(W399,$W392:$X407,0)))</f>
        <v>0</v>
      </c>
      <c r="Z399" s="19">
        <f ca="1">IFERROR(IF(Y399=0,0,IF(OR(VLOOKUP(AG399,E400:Y407,21,FALSE)=0,Y399&lt;=VLOOKUP(AG399,E400:Y407,21,FALSE)),"A","B")),"")</f>
        <v>0</v>
      </c>
      <c r="AA399" s="19" t="str">
        <f ca="1">IFERROR(IF(Z399="B","",RANK(AD399,AD392:AD407,1)),"")</f>
        <v/>
      </c>
      <c r="AB399" s="19" t="str">
        <f ca="1">IFERROR(IF(Z399="A","",RANK(AE399,AE392:AE407,1)),"")</f>
        <v/>
      </c>
      <c r="AD399" s="9" t="str">
        <f t="shared" ca="1" si="126"/>
        <v/>
      </c>
      <c r="AE399" s="9" t="str">
        <f t="shared" ca="1" si="127"/>
        <v/>
      </c>
      <c r="AF399" s="9" t="s">
        <v>179</v>
      </c>
      <c r="AG399" s="4" t="str">
        <f>IFERROR(IF(A391=0,E399*11,E399&amp;E399),"")</f>
        <v/>
      </c>
    </row>
    <row r="400" spans="1:33" s="4" customFormat="1" ht="15.95" customHeight="1" x14ac:dyDescent="0.35">
      <c r="A400" s="8">
        <f>IFERROR(IF(A391=0,A392*11,A392&amp;A392),"-")</f>
        <v>11</v>
      </c>
      <c r="B400" s="7" t="str">
        <f t="shared" ca="1" si="121"/>
        <v/>
      </c>
      <c r="C400" s="7">
        <f t="shared" ca="1" si="122"/>
        <v>4</v>
      </c>
      <c r="D400" s="55">
        <v>9</v>
      </c>
      <c r="E400" s="17">
        <f t="shared" si="123"/>
        <v>11</v>
      </c>
      <c r="F400" s="18" t="str">
        <f ca="1">IFERROR(IF(A391=0,HLOOKUP(E400,Declarations!$D$2:$S$102,B389,FALSE),HLOOKUP(VLOOKUP(E400,Teams!$V$2:$W$19,2,FALSE),Declarations!$D$2:$S$102,B389,FALSE)),"")</f>
        <v>DREW Matthew</v>
      </c>
      <c r="G400" s="18" t="str">
        <f t="shared" si="120"/>
        <v>C'field</v>
      </c>
      <c r="H400" s="524">
        <f ca="1">IFERROR(INDIRECT(CONCATENATE("'Distance Input'!"&amp;B390&amp;C390+8)),"")</f>
        <v>2.72</v>
      </c>
      <c r="I400" s="525"/>
      <c r="J400" s="524">
        <v>0</v>
      </c>
      <c r="K400" s="525"/>
      <c r="L400" s="524">
        <v>0</v>
      </c>
      <c r="M400" s="525"/>
      <c r="N400" s="539">
        <f t="shared" ca="1" si="124"/>
        <v>2.72</v>
      </c>
      <c r="O400" s="540"/>
      <c r="P400" s="55">
        <v>0</v>
      </c>
      <c r="Q400" s="541">
        <v>0</v>
      </c>
      <c r="R400" s="541"/>
      <c r="S400" s="541">
        <v>0</v>
      </c>
      <c r="T400" s="541"/>
      <c r="U400" s="541">
        <v>0</v>
      </c>
      <c r="V400" s="541"/>
      <c r="W400" s="524">
        <f t="shared" ca="1" si="125"/>
        <v>2.72</v>
      </c>
      <c r="X400" s="525"/>
      <c r="Y400" s="55">
        <f ca="1">IF(OR(W400="",W400=0),0,IF(W400="X",MatchDay!$U$2+MatchDay!$U$2+1-COUNTIF(Distance!W392:W400,"X"),RANK(W400,$W392:$X407,0)))</f>
        <v>9</v>
      </c>
      <c r="Z400" s="19" t="str">
        <f ca="1">IFERROR(IF(Y400=0,0,IF(VLOOKUP(AG400,E392:Y399,21,FALSE)=0,"A",IF(Y400&gt;=VLOOKUP(AG400,E392:Y399,21,FALSE),"B","A"))),"")</f>
        <v>B</v>
      </c>
      <c r="AA400" s="19" t="str">
        <f ca="1">IFERROR(IF(Z400="B","",RANK(AD400,AD392:AD407,1)),"")</f>
        <v/>
      </c>
      <c r="AB400" s="19">
        <f ca="1">IFERROR(IF(Z400="A","",RANK(AE400,AE392:AE407,1)),"")</f>
        <v>4</v>
      </c>
      <c r="AD400" s="9" t="str">
        <f t="shared" ca="1" si="126"/>
        <v/>
      </c>
      <c r="AE400" s="9">
        <f t="shared" ca="1" si="127"/>
        <v>9</v>
      </c>
      <c r="AF400" s="9" t="s">
        <v>179</v>
      </c>
      <c r="AG400" s="4">
        <f>IFERROR(IF(A391=0,E400/11,LEFT(E400,1)),"")</f>
        <v>1</v>
      </c>
    </row>
    <row r="401" spans="1:33" s="4" customFormat="1" ht="15.95" customHeight="1" x14ac:dyDescent="0.35">
      <c r="A401" s="8">
        <f>IFERROR(IF(A391=0,A393*11,A393&amp;A393),"-")</f>
        <v>55</v>
      </c>
      <c r="B401" s="7" t="str">
        <f t="shared" ca="1" si="121"/>
        <v/>
      </c>
      <c r="C401" s="7" t="str">
        <f t="shared" ca="1" si="122"/>
        <v/>
      </c>
      <c r="D401" s="55">
        <v>10</v>
      </c>
      <c r="E401" s="17">
        <f t="shared" si="123"/>
        <v>55</v>
      </c>
      <c r="F401" s="18" t="str">
        <f ca="1">IFERROR(IF(A391=0,HLOOKUP(E401,Declarations!$D$2:$S$102,B389,FALSE),HLOOKUP(VLOOKUP(E401,Teams!$V$2:$W$19,2,FALSE),Declarations!$D$2:$S$102,B389,FALSE)),"")</f>
        <v>-</v>
      </c>
      <c r="G401" s="18" t="str">
        <f t="shared" si="120"/>
        <v>Scun</v>
      </c>
      <c r="H401" s="524">
        <f ca="1">IFERROR(INDIRECT(CONCATENATE("'Distance Input'!"&amp;B390&amp;C390+9)),"")</f>
        <v>0</v>
      </c>
      <c r="I401" s="525"/>
      <c r="J401" s="524">
        <v>0</v>
      </c>
      <c r="K401" s="525"/>
      <c r="L401" s="524">
        <v>0</v>
      </c>
      <c r="M401" s="525"/>
      <c r="N401" s="539">
        <f t="shared" ca="1" si="124"/>
        <v>0</v>
      </c>
      <c r="O401" s="540"/>
      <c r="P401" s="55">
        <v>0</v>
      </c>
      <c r="Q401" s="541">
        <v>0</v>
      </c>
      <c r="R401" s="541"/>
      <c r="S401" s="541">
        <v>0</v>
      </c>
      <c r="T401" s="541"/>
      <c r="U401" s="541">
        <v>0</v>
      </c>
      <c r="V401" s="541"/>
      <c r="W401" s="524">
        <f t="shared" ca="1" si="125"/>
        <v>0</v>
      </c>
      <c r="X401" s="525"/>
      <c r="Y401" s="55">
        <f ca="1">IF(OR(W401="",W401=0),0,IF(W401="X",MatchDay!$U$2+MatchDay!$U$2+1-COUNTIF(Distance!W392:W401,"X"),RANK(W401,$W392:$X407,0)))</f>
        <v>0</v>
      </c>
      <c r="Z401" s="19">
        <f ca="1">IFERROR(IF(Y401=0,0,IF(VLOOKUP(AG401,E392:Y399,21,FALSE)=0,"A",IF(Y401&gt;=VLOOKUP(AG401,E392:Y399,21,FALSE),"B","A"))),"")</f>
        <v>0</v>
      </c>
      <c r="AA401" s="19" t="str">
        <f ca="1">IFERROR(IF(Z401="B","",RANK(AD401,AD392:AD407,1)),"")</f>
        <v/>
      </c>
      <c r="AB401" s="19" t="str">
        <f ca="1">IFERROR(IF(Z401="A","",RANK(AE401,AE392:AE407,1)),"")</f>
        <v/>
      </c>
      <c r="AD401" s="9" t="str">
        <f t="shared" ca="1" si="126"/>
        <v/>
      </c>
      <c r="AE401" s="9" t="str">
        <f t="shared" ca="1" si="127"/>
        <v/>
      </c>
      <c r="AF401" s="9" t="s">
        <v>179</v>
      </c>
      <c r="AG401" s="4">
        <f>IFERROR(IF(A391=0,E401/11,LEFT(E401,1)),"")</f>
        <v>5</v>
      </c>
    </row>
    <row r="402" spans="1:33" s="4" customFormat="1" ht="15.95" customHeight="1" x14ac:dyDescent="0.35">
      <c r="A402" s="8">
        <f>IFERROR(IF(A391=0,A394*11,A394&amp;A394),"-")</f>
        <v>44</v>
      </c>
      <c r="B402" s="7">
        <f t="shared" ca="1" si="121"/>
        <v>3</v>
      </c>
      <c r="C402" s="7" t="str">
        <f t="shared" ca="1" si="122"/>
        <v/>
      </c>
      <c r="D402" s="55">
        <v>11</v>
      </c>
      <c r="E402" s="17">
        <f t="shared" si="123"/>
        <v>44</v>
      </c>
      <c r="F402" s="18" t="str">
        <f ca="1">IFERROR(IF(A391=0,HLOOKUP(E402,Declarations!$D$2:$S$102,B389,FALSE),HLOOKUP(VLOOKUP(E402,Teams!$V$2:$W$19,2,FALSE),Declarations!$D$2:$S$102,B389,FALSE)),"")</f>
        <v>CRAGGS George</v>
      </c>
      <c r="G402" s="18" t="str">
        <f t="shared" si="120"/>
        <v>M'bro</v>
      </c>
      <c r="H402" s="524">
        <f ca="1">IFERROR(INDIRECT(CONCATENATE("'Distance Input'!"&amp;B390&amp;C390+10)),"")</f>
        <v>3.82</v>
      </c>
      <c r="I402" s="525"/>
      <c r="J402" s="524">
        <v>0</v>
      </c>
      <c r="K402" s="525"/>
      <c r="L402" s="524">
        <v>0</v>
      </c>
      <c r="M402" s="525"/>
      <c r="N402" s="539">
        <f t="shared" ca="1" si="124"/>
        <v>3.82</v>
      </c>
      <c r="O402" s="540"/>
      <c r="P402" s="55">
        <v>0</v>
      </c>
      <c r="Q402" s="541">
        <v>0</v>
      </c>
      <c r="R402" s="541"/>
      <c r="S402" s="541">
        <v>0</v>
      </c>
      <c r="T402" s="541"/>
      <c r="U402" s="541">
        <v>0</v>
      </c>
      <c r="V402" s="541"/>
      <c r="W402" s="524">
        <f t="shared" ca="1" si="125"/>
        <v>3.82</v>
      </c>
      <c r="X402" s="525"/>
      <c r="Y402" s="55">
        <f ca="1">IF(OR(W402="",W402=0),0,IF(W402="X",MatchDay!$U$2+MatchDay!$U$2+1-COUNTIF(Distance!W392:W402,"X"),RANK(W402,$W392:$X407,0)))</f>
        <v>5</v>
      </c>
      <c r="Z402" s="19" t="str">
        <f ca="1">IFERROR(IF(Y402=0,0,IF(VLOOKUP(AG402,E392:Y399,21,FALSE)=0,"A",IF(Y402&gt;=VLOOKUP(AG402,E392:Y399,21,FALSE),"B","A"))),"")</f>
        <v>A</v>
      </c>
      <c r="AA402" s="19">
        <f ca="1">IFERROR(IF(Z402="B","",RANK(AD402,AD392:AD407,1)),"")</f>
        <v>3</v>
      </c>
      <c r="AB402" s="19" t="str">
        <f ca="1">IFERROR(IF(Z402="A","",RANK(AE402,AE392:AE407,1)),"")</f>
        <v/>
      </c>
      <c r="AD402" s="9">
        <f t="shared" ca="1" si="126"/>
        <v>5</v>
      </c>
      <c r="AE402" s="9" t="str">
        <f t="shared" ca="1" si="127"/>
        <v/>
      </c>
      <c r="AF402" s="9" t="s">
        <v>179</v>
      </c>
      <c r="AG402" s="4">
        <f>IFERROR(IF(A391=0,E402/11,LEFT(E402,1)),"")</f>
        <v>4</v>
      </c>
    </row>
    <row r="403" spans="1:33" s="4" customFormat="1" ht="15.95" customHeight="1" x14ac:dyDescent="0.35">
      <c r="A403" s="8">
        <f>IFERROR(IF(A391=0,A395*11,A395&amp;A395),"-")</f>
        <v>22</v>
      </c>
      <c r="B403" s="7">
        <f t="shared" ca="1" si="121"/>
        <v>2</v>
      </c>
      <c r="C403" s="7" t="str">
        <f t="shared" ca="1" si="122"/>
        <v/>
      </c>
      <c r="D403" s="55">
        <v>12</v>
      </c>
      <c r="E403" s="17">
        <f t="shared" si="123"/>
        <v>22</v>
      </c>
      <c r="F403" s="18" t="str">
        <f ca="1">IFERROR(IF(A391=0,HLOOKUP(E403,Declarations!$D$2:$S$102,B389,FALSE),HLOOKUP(VLOOKUP(E403,Teams!$V$2:$W$19,2,FALSE),Declarations!$D$2:$S$102,B389,FALSE)),"")</f>
        <v>REILLY Arthur</v>
      </c>
      <c r="G403" s="18" t="str">
        <f t="shared" si="120"/>
        <v>Sheff+D</v>
      </c>
      <c r="H403" s="524">
        <f ca="1">IFERROR(INDIRECT(CONCATENATE("'Distance Input'!"&amp;B390&amp;C390+11)),"")</f>
        <v>4.28</v>
      </c>
      <c r="I403" s="525"/>
      <c r="J403" s="524">
        <v>0</v>
      </c>
      <c r="K403" s="525"/>
      <c r="L403" s="524">
        <v>0</v>
      </c>
      <c r="M403" s="525"/>
      <c r="N403" s="539">
        <f t="shared" ca="1" si="124"/>
        <v>4.28</v>
      </c>
      <c r="O403" s="540"/>
      <c r="P403" s="55">
        <v>0</v>
      </c>
      <c r="Q403" s="541">
        <v>0</v>
      </c>
      <c r="R403" s="541"/>
      <c r="S403" s="541">
        <v>0</v>
      </c>
      <c r="T403" s="541"/>
      <c r="U403" s="541">
        <v>0</v>
      </c>
      <c r="V403" s="541"/>
      <c r="W403" s="524">
        <f t="shared" ca="1" si="125"/>
        <v>4.28</v>
      </c>
      <c r="X403" s="525"/>
      <c r="Y403" s="55">
        <f ca="1">IF(OR(W403="",W403=0),0,IF(W403="X",MatchDay!$U$2+MatchDay!$U$2+1-COUNTIF(Distance!W392:W403,"X"),RANK(W403,$W392:$X407,0)))</f>
        <v>2</v>
      </c>
      <c r="Z403" s="19" t="str">
        <f ca="1">IFERROR(IF(Y403=0,0,IF(VLOOKUP(AG403,E392:Y399,21,FALSE)=0,"A",IF(Y403&gt;=VLOOKUP(AG403,E392:Y399,21,FALSE),"B","A"))),"")</f>
        <v>A</v>
      </c>
      <c r="AA403" s="19">
        <f ca="1">IFERROR(IF(Z403="B","",RANK(AD403,AD392:AD407,1)),"")</f>
        <v>2</v>
      </c>
      <c r="AB403" s="19" t="str">
        <f ca="1">IFERROR(IF(Z403="A","",RANK(AE403,AE392:AE407,1)),"")</f>
        <v/>
      </c>
      <c r="AD403" s="9">
        <f t="shared" ca="1" si="126"/>
        <v>2</v>
      </c>
      <c r="AE403" s="9" t="str">
        <f t="shared" ca="1" si="127"/>
        <v/>
      </c>
      <c r="AF403" s="9" t="s">
        <v>179</v>
      </c>
      <c r="AG403" s="4">
        <f>IFERROR(IF(A391=0,E403/11,LEFT(E403,1)),"")</f>
        <v>2</v>
      </c>
    </row>
    <row r="404" spans="1:33" s="4" customFormat="1" ht="15.95" customHeight="1" x14ac:dyDescent="0.35">
      <c r="A404" s="8">
        <f>IFERROR(IF(A391=0,A396*11,A396&amp;A396),"-")</f>
        <v>33</v>
      </c>
      <c r="B404" s="7">
        <f t="shared" ca="1" si="121"/>
        <v>1</v>
      </c>
      <c r="C404" s="7" t="str">
        <f t="shared" ca="1" si="122"/>
        <v/>
      </c>
      <c r="D404" s="55">
        <v>13</v>
      </c>
      <c r="E404" s="17">
        <f t="shared" si="123"/>
        <v>33</v>
      </c>
      <c r="F404" s="18" t="str">
        <f ca="1">IFERROR(IF(A391=0,HLOOKUP(E404,Declarations!$D$2:$S$102,B389,FALSE),HLOOKUP(VLOOKUP(E404,Teams!$V$2:$W$19,2,FALSE),Declarations!$D$2:$S$102,B389,FALSE)),"")</f>
        <v>PEARSON Adam</v>
      </c>
      <c r="G404" s="18" t="str">
        <f t="shared" si="120"/>
        <v>York</v>
      </c>
      <c r="H404" s="524">
        <f ca="1">IFERROR(INDIRECT(CONCATENATE("'Distance Input'!"&amp;B390&amp;C390+12)),"")</f>
        <v>4.68</v>
      </c>
      <c r="I404" s="525"/>
      <c r="J404" s="524">
        <v>0</v>
      </c>
      <c r="K404" s="525"/>
      <c r="L404" s="524">
        <v>0</v>
      </c>
      <c r="M404" s="525"/>
      <c r="N404" s="539">
        <f t="shared" ca="1" si="124"/>
        <v>4.68</v>
      </c>
      <c r="O404" s="540"/>
      <c r="P404" s="55">
        <v>0</v>
      </c>
      <c r="Q404" s="541">
        <v>0</v>
      </c>
      <c r="R404" s="541"/>
      <c r="S404" s="541">
        <v>0</v>
      </c>
      <c r="T404" s="541"/>
      <c r="U404" s="541">
        <v>0</v>
      </c>
      <c r="V404" s="541"/>
      <c r="W404" s="524">
        <f t="shared" ca="1" si="125"/>
        <v>4.68</v>
      </c>
      <c r="X404" s="525"/>
      <c r="Y404" s="55">
        <f ca="1">IF(OR(W404="",W404=0),0,IF(W404="X",MatchDay!$U$2+MatchDay!$U$2+1-COUNTIF(Distance!W392:W404,"X"),RANK(W404,$W392:$X407,0)))</f>
        <v>1</v>
      </c>
      <c r="Z404" s="19" t="str">
        <f ca="1">IFERROR(IF(Y404=0,0,IF(VLOOKUP(AG404,E392:Y399,21,FALSE)=0,"A",IF(Y404&gt;=VLOOKUP(AG404,E392:Y399,21,FALSE),"B","A"))),"")</f>
        <v>A</v>
      </c>
      <c r="AA404" s="19">
        <f ca="1">IFERROR(IF(Z404="B","",RANK(AD404,AD392:AD407,1)),"")</f>
        <v>1</v>
      </c>
      <c r="AB404" s="19" t="str">
        <f ca="1">IFERROR(IF(Z404="A","",RANK(AE404,AE392:AE407,1)),"")</f>
        <v/>
      </c>
      <c r="AD404" s="9">
        <f t="shared" ca="1" si="126"/>
        <v>1</v>
      </c>
      <c r="AE404" s="9" t="str">
        <f t="shared" ca="1" si="127"/>
        <v/>
      </c>
      <c r="AF404" s="9" t="s">
        <v>179</v>
      </c>
      <c r="AG404" s="4">
        <f>IFERROR(IF(A391=0,E404/11,LEFT(E404,1)),"")</f>
        <v>3</v>
      </c>
    </row>
    <row r="405" spans="1:33" s="4" customFormat="1" ht="15.95" customHeight="1" x14ac:dyDescent="0.35">
      <c r="A405" s="8" t="str">
        <f>IFERROR(IF(A391=0,A397*11,A397&amp;A397),"-")</f>
        <v>-</v>
      </c>
      <c r="B405" s="7" t="str">
        <f t="shared" ca="1" si="121"/>
        <v/>
      </c>
      <c r="C405" s="7" t="str">
        <f t="shared" ca="1" si="122"/>
        <v/>
      </c>
      <c r="D405" s="55">
        <v>14</v>
      </c>
      <c r="E405" s="17" t="str">
        <f t="shared" si="123"/>
        <v>-</v>
      </c>
      <c r="F405" s="18" t="str">
        <f>IFERROR(IF(A391=0,HLOOKUP(E405,Declarations!$D$2:$S$102,B389,FALSE),HLOOKUP(VLOOKUP(E405,Teams!$V$2:$W$19,2,FALSE),Declarations!$D$2:$S$102,B389,FALSE)),"")</f>
        <v/>
      </c>
      <c r="G405" s="18" t="str">
        <f t="shared" si="120"/>
        <v/>
      </c>
      <c r="H405" s="524">
        <f ca="1">IFERROR(INDIRECT(CONCATENATE("'Distance Input'!"&amp;B390&amp;C390+13)),"")</f>
        <v>0</v>
      </c>
      <c r="I405" s="525"/>
      <c r="J405" s="524">
        <v>0</v>
      </c>
      <c r="K405" s="525"/>
      <c r="L405" s="524">
        <v>0</v>
      </c>
      <c r="M405" s="525"/>
      <c r="N405" s="539">
        <f t="shared" ca="1" si="124"/>
        <v>0</v>
      </c>
      <c r="O405" s="540"/>
      <c r="P405" s="55">
        <v>0</v>
      </c>
      <c r="Q405" s="541">
        <v>0</v>
      </c>
      <c r="R405" s="541"/>
      <c r="S405" s="541">
        <v>0</v>
      </c>
      <c r="T405" s="541"/>
      <c r="U405" s="541">
        <v>0</v>
      </c>
      <c r="V405" s="541"/>
      <c r="W405" s="524">
        <f t="shared" ca="1" si="125"/>
        <v>0</v>
      </c>
      <c r="X405" s="525"/>
      <c r="Y405" s="55">
        <f ca="1">IF(OR(W405="",W405=0),0,IF(W405="X",MatchDay!$U$2+MatchDay!$U$2+1-COUNTIF(Distance!W392:W405,"X"),RANK(W405,$W392:$X407,0)))</f>
        <v>0</v>
      </c>
      <c r="Z405" s="19">
        <f ca="1">IFERROR(IF(Y405=0,0,IF(VLOOKUP(AG405,E392:Y399,21,FALSE)=0,"A",IF(Y405&gt;=VLOOKUP(AG405,E392:Y399,21,FALSE),"B","A"))),"")</f>
        <v>0</v>
      </c>
      <c r="AA405" s="19" t="str">
        <f ca="1">IFERROR(IF(Z405="B","",RANK(AD405,AD392:AD407,1)),"")</f>
        <v/>
      </c>
      <c r="AB405" s="19" t="str">
        <f ca="1">IFERROR(IF(Z405="A","",RANK(AE405,AE392:AE407,1)),"")</f>
        <v/>
      </c>
      <c r="AD405" s="9" t="str">
        <f t="shared" ca="1" si="126"/>
        <v/>
      </c>
      <c r="AE405" s="9" t="str">
        <f t="shared" ca="1" si="127"/>
        <v/>
      </c>
      <c r="AF405" s="9" t="s">
        <v>179</v>
      </c>
      <c r="AG405" s="4" t="str">
        <f>IFERROR(IF(A391=0,E405/11,LEFT(E405,1)),"")</f>
        <v/>
      </c>
    </row>
    <row r="406" spans="1:33" s="4" customFormat="1" ht="15.95" customHeight="1" x14ac:dyDescent="0.35">
      <c r="A406" s="8" t="str">
        <f>IFERROR(IF(A391=0,A398*11,A398&amp;A398),"-")</f>
        <v>-</v>
      </c>
      <c r="B406" s="7" t="str">
        <f t="shared" ca="1" si="121"/>
        <v/>
      </c>
      <c r="C406" s="7" t="str">
        <f t="shared" ca="1" si="122"/>
        <v/>
      </c>
      <c r="D406" s="55">
        <v>15</v>
      </c>
      <c r="E406" s="17" t="str">
        <f t="shared" si="123"/>
        <v>-</v>
      </c>
      <c r="F406" s="18" t="str">
        <f>IFERROR(IF(A391=0,HLOOKUP(E406,Declarations!$D$2:$S$102,B389,FALSE),HLOOKUP(VLOOKUP(E406,Teams!$V$2:$W$19,2,FALSE),Declarations!$D$2:$S$102,B389,FALSE)),"")</f>
        <v/>
      </c>
      <c r="G406" s="18" t="str">
        <f t="shared" si="120"/>
        <v/>
      </c>
      <c r="H406" s="524">
        <f ca="1">IFERROR(INDIRECT(CONCATENATE("'Distance Input'!"&amp;B390&amp;C390+14)),"")</f>
        <v>0</v>
      </c>
      <c r="I406" s="525"/>
      <c r="J406" s="524">
        <v>0</v>
      </c>
      <c r="K406" s="525"/>
      <c r="L406" s="524">
        <v>0</v>
      </c>
      <c r="M406" s="525"/>
      <c r="N406" s="539">
        <f t="shared" ca="1" si="124"/>
        <v>0</v>
      </c>
      <c r="O406" s="540"/>
      <c r="P406" s="55">
        <v>0</v>
      </c>
      <c r="Q406" s="541">
        <v>0</v>
      </c>
      <c r="R406" s="541"/>
      <c r="S406" s="541">
        <v>0</v>
      </c>
      <c r="T406" s="541"/>
      <c r="U406" s="541">
        <v>0</v>
      </c>
      <c r="V406" s="541"/>
      <c r="W406" s="524">
        <f t="shared" ca="1" si="125"/>
        <v>0</v>
      </c>
      <c r="X406" s="525"/>
      <c r="Y406" s="55">
        <f ca="1">IF(OR(W406="",W406=0),0,IF(W406="X",MatchDay!$U$2+MatchDay!$U$2+1-COUNTIF(Distance!W392:W406,"X"),RANK(W406,$W392:$X407,0)))</f>
        <v>0</v>
      </c>
      <c r="Z406" s="19">
        <f ca="1">IFERROR(IF(Y406=0,0,IF(VLOOKUP(AG406,E392:Y399,21,FALSE)=0,"A",IF(Y406&gt;=VLOOKUP(AG406,E392:Y399,21,FALSE),"B","A"))),"")</f>
        <v>0</v>
      </c>
      <c r="AA406" s="19" t="str">
        <f ca="1">IFERROR(IF(Z406="B","",RANK(AD406,AD392:AD407,1)),"")</f>
        <v/>
      </c>
      <c r="AB406" s="19" t="str">
        <f ca="1">IFERROR(IF(Z406="A","",RANK(AE406,AE392:AE407,1)),"")</f>
        <v/>
      </c>
      <c r="AD406" s="9" t="str">
        <f t="shared" ca="1" si="126"/>
        <v/>
      </c>
      <c r="AE406" s="9" t="str">
        <f t="shared" ca="1" si="127"/>
        <v/>
      </c>
      <c r="AF406" s="9" t="s">
        <v>179</v>
      </c>
      <c r="AG406" s="4" t="str">
        <f>IFERROR(IF(A391=0,E406/11,LEFT(E406,1)),"")</f>
        <v/>
      </c>
    </row>
    <row r="407" spans="1:33" s="4" customFormat="1" ht="15.95" customHeight="1" x14ac:dyDescent="0.35">
      <c r="A407" s="8" t="str">
        <f>IFERROR(IF(A391=0,A399*11,A399&amp;A399),"-")</f>
        <v>-</v>
      </c>
      <c r="B407" s="7" t="str">
        <f t="shared" ca="1" si="121"/>
        <v/>
      </c>
      <c r="C407" s="7" t="str">
        <f t="shared" ca="1" si="122"/>
        <v/>
      </c>
      <c r="D407" s="55">
        <v>16</v>
      </c>
      <c r="E407" s="17" t="str">
        <f t="shared" si="123"/>
        <v>-</v>
      </c>
      <c r="F407" s="18" t="str">
        <f>IFERROR(IF(A391=0,HLOOKUP(E407,Declarations!$D$2:$S$102,B389,FALSE),HLOOKUP(VLOOKUP(E407,Teams!$V$2:$W$19,2,FALSE),Declarations!$D$2:$S$102,B389,FALSE)),"")</f>
        <v/>
      </c>
      <c r="G407" s="18" t="str">
        <f t="shared" si="120"/>
        <v/>
      </c>
      <c r="H407" s="524">
        <f ca="1">IFERROR(INDIRECT(CONCATENATE("'Distance Input'!"&amp;B390&amp;C390+15)),"")</f>
        <v>0</v>
      </c>
      <c r="I407" s="525"/>
      <c r="J407" s="524">
        <v>0</v>
      </c>
      <c r="K407" s="525"/>
      <c r="L407" s="524">
        <v>0</v>
      </c>
      <c r="M407" s="525"/>
      <c r="N407" s="539">
        <f t="shared" ca="1" si="124"/>
        <v>0</v>
      </c>
      <c r="O407" s="540"/>
      <c r="P407" s="55">
        <v>0</v>
      </c>
      <c r="Q407" s="541">
        <v>0</v>
      </c>
      <c r="R407" s="541"/>
      <c r="S407" s="541">
        <v>0</v>
      </c>
      <c r="T407" s="541"/>
      <c r="U407" s="541">
        <v>0</v>
      </c>
      <c r="V407" s="541"/>
      <c r="W407" s="524">
        <f t="shared" ca="1" si="125"/>
        <v>0</v>
      </c>
      <c r="X407" s="525"/>
      <c r="Y407" s="55">
        <f ca="1">IF(OR(W407="",W407=0),0,IF(W407="X",MatchDay!$U$2+MatchDay!$U$2+1-COUNTIF(Distance!W392:W407,"X"),RANK(W407,$W392:$X407,0)))</f>
        <v>0</v>
      </c>
      <c r="Z407" s="19">
        <f ca="1">IFERROR(IF(Y407=0,0,IF(VLOOKUP(AG407,E392:Y399,21,FALSE)=0,"A",IF(Y407&gt;=VLOOKUP(AG407,E392:Y399,21,FALSE),"B","A"))),"")</f>
        <v>0</v>
      </c>
      <c r="AA407" s="19" t="str">
        <f ca="1">IFERROR(IF(Z407="B","",RANK(AD407,AD392:AD407,1)),"")</f>
        <v/>
      </c>
      <c r="AB407" s="19" t="str">
        <f ca="1">IFERROR(IF(Z407="A","",RANK(AE407,AE392:AE407,1)),"")</f>
        <v/>
      </c>
      <c r="AD407" s="9" t="str">
        <f t="shared" ca="1" si="126"/>
        <v/>
      </c>
      <c r="AE407" s="9" t="str">
        <f t="shared" ca="1" si="127"/>
        <v/>
      </c>
      <c r="AF407" s="9" t="s">
        <v>179</v>
      </c>
      <c r="AG407" s="4" t="str">
        <f>IFERROR(IF(A391=0,E407/11,LEFT(E407,1)),"")</f>
        <v/>
      </c>
    </row>
    <row r="408" spans="1:33" s="4" customFormat="1" ht="11.65" x14ac:dyDescent="0.45">
      <c r="A408" s="8"/>
      <c r="B408" s="10"/>
      <c r="C408" s="3"/>
      <c r="D408" s="20"/>
      <c r="E408" s="20"/>
      <c r="F408" s="21"/>
      <c r="G408" s="21"/>
      <c r="H408" s="20"/>
      <c r="I408" s="20"/>
      <c r="J408" s="20"/>
      <c r="K408" s="20"/>
      <c r="L408" s="20"/>
      <c r="M408" s="20"/>
      <c r="N408" s="20"/>
      <c r="O408" s="20"/>
      <c r="P408" s="20"/>
      <c r="Q408" s="20"/>
      <c r="R408" s="20"/>
      <c r="S408" s="20"/>
      <c r="T408" s="20"/>
      <c r="U408" s="20"/>
      <c r="V408" s="20"/>
      <c r="W408" s="20"/>
      <c r="X408" s="20"/>
      <c r="Y408" s="20"/>
      <c r="Z408" s="20"/>
      <c r="AA408" s="20"/>
      <c r="AB408" s="22"/>
    </row>
    <row r="409" spans="1:33" s="4" customFormat="1" ht="11.65" x14ac:dyDescent="0.45">
      <c r="A409" s="8"/>
      <c r="B409" s="10"/>
      <c r="C409" s="3"/>
      <c r="D409" s="533" t="s">
        <v>180</v>
      </c>
      <c r="E409" s="547"/>
      <c r="F409" s="547"/>
      <c r="G409" s="547"/>
      <c r="H409" s="547"/>
      <c r="I409" s="547"/>
      <c r="J409" s="512" t="s">
        <v>181</v>
      </c>
      <c r="K409" s="548"/>
      <c r="L409" s="548"/>
      <c r="M409" s="548"/>
      <c r="N409" s="548"/>
      <c r="O409" s="548"/>
      <c r="P409" s="548"/>
      <c r="Q409" s="548"/>
      <c r="R409" s="548"/>
      <c r="S409" s="548"/>
      <c r="T409" s="548"/>
      <c r="U409" s="549"/>
      <c r="V409" s="512" t="s">
        <v>182</v>
      </c>
      <c r="W409" s="513"/>
      <c r="X409" s="513"/>
      <c r="Y409" s="513"/>
      <c r="Z409" s="513"/>
      <c r="AA409" s="513"/>
      <c r="AB409" s="514"/>
    </row>
    <row r="410" spans="1:33" s="4" customFormat="1" ht="11.65" x14ac:dyDescent="0.45">
      <c r="A410" s="8" t="s">
        <v>55</v>
      </c>
      <c r="B410" s="10"/>
      <c r="C410" s="3"/>
      <c r="D410" s="12"/>
      <c r="E410" s="55" t="s">
        <v>183</v>
      </c>
      <c r="F410" s="55" t="s">
        <v>165</v>
      </c>
      <c r="G410" s="55" t="s">
        <v>166</v>
      </c>
      <c r="H410" s="533" t="s">
        <v>184</v>
      </c>
      <c r="I410" s="533"/>
      <c r="J410" s="23"/>
      <c r="K410" s="54" t="s">
        <v>183</v>
      </c>
      <c r="L410" s="512" t="s">
        <v>165</v>
      </c>
      <c r="M410" s="513"/>
      <c r="N410" s="513"/>
      <c r="O410" s="514"/>
      <c r="P410" s="512" t="s">
        <v>166</v>
      </c>
      <c r="Q410" s="513"/>
      <c r="R410" s="513"/>
      <c r="S410" s="514"/>
      <c r="T410" s="512" t="s">
        <v>184</v>
      </c>
      <c r="U410" s="514"/>
      <c r="V410" s="24"/>
      <c r="W410" s="25"/>
      <c r="X410" s="25"/>
      <c r="Y410" s="25"/>
      <c r="Z410" s="25"/>
      <c r="AA410" s="25"/>
      <c r="AB410" s="26"/>
    </row>
    <row r="411" spans="1:33" s="4" customFormat="1" ht="15.95" customHeight="1" x14ac:dyDescent="0.45">
      <c r="A411" s="11">
        <f>IFERROR(VLOOKUP(A388,standards,3,FALSE),"-")</f>
        <v>4.75</v>
      </c>
      <c r="B411" s="10">
        <v>1</v>
      </c>
      <c r="C411" s="3"/>
      <c r="D411" s="55">
        <v>1</v>
      </c>
      <c r="E411" s="19">
        <f ca="1">IFERROR(IF(OR(H392=98,H392=99),H392,VLOOKUP(B411,B392:E407,4,FALSE)),0)</f>
        <v>33</v>
      </c>
      <c r="F411" s="27" t="str">
        <f ca="1">IFERROR(VLOOKUP(E411,$E392:$F407,2,FALSE),"")</f>
        <v>PEARSON Adam</v>
      </c>
      <c r="G411" s="18" t="str">
        <f t="shared" ref="G411:G418" ca="1" si="128">IFERROR(VLOOKUP(E411,teamlookup,5,FALSE),"-")</f>
        <v>York</v>
      </c>
      <c r="H411" s="542">
        <f ca="1">IFERROR(VLOOKUP(E411,E392:X407,19,FALSE),"")</f>
        <v>4.68</v>
      </c>
      <c r="I411" s="543"/>
      <c r="J411" s="55">
        <v>1</v>
      </c>
      <c r="K411" s="55">
        <f ca="1">IFERROR(VLOOKUP(B411,C392:X407,3,FALSE),"")</f>
        <v>2</v>
      </c>
      <c r="L411" s="544" t="str">
        <f ca="1">IFERROR(VLOOKUP(K411,$E392:$F407,2,FALSE),"")</f>
        <v>CONNELLY George</v>
      </c>
      <c r="M411" s="545"/>
      <c r="N411" s="545"/>
      <c r="O411" s="546"/>
      <c r="P411" s="544" t="str">
        <f t="shared" ref="P411:P418" ca="1" si="129">IFERROR(VLOOKUP(K411,teamlookup,5,FALSE),"-")</f>
        <v>Sheff+D</v>
      </c>
      <c r="Q411" s="545"/>
      <c r="R411" s="545"/>
      <c r="S411" s="546"/>
      <c r="T411" s="524">
        <f ca="1">IFERROR(VLOOKUP(K411,E392:X407,19,FALSE),"")</f>
        <v>4.22</v>
      </c>
      <c r="U411" s="525"/>
      <c r="V411" s="28"/>
      <c r="W411" s="29"/>
      <c r="X411" s="29"/>
      <c r="Y411" s="29"/>
      <c r="Z411" s="29"/>
      <c r="AA411" s="29"/>
      <c r="AB411" s="30"/>
    </row>
    <row r="412" spans="1:33" s="4" customFormat="1" ht="15.95" customHeight="1" x14ac:dyDescent="0.45">
      <c r="A412" s="11">
        <f>IFERROR(VLOOKUP(A388,standards,4,FALSE),"-")</f>
        <v>4.55</v>
      </c>
      <c r="B412" s="10">
        <v>2</v>
      </c>
      <c r="C412" s="3"/>
      <c r="D412" s="55">
        <v>2</v>
      </c>
      <c r="E412" s="19">
        <f ca="1">IFERROR(VLOOKUP(B412,B392:E407,4,FALSE),"")</f>
        <v>22</v>
      </c>
      <c r="F412" s="27" t="str">
        <f ca="1">IFERROR(VLOOKUP(E412,$E392:$F407,2,FALSE),"")</f>
        <v>REILLY Arthur</v>
      </c>
      <c r="G412" s="18" t="str">
        <f t="shared" ca="1" si="128"/>
        <v>Sheff+D</v>
      </c>
      <c r="H412" s="542">
        <f ca="1">IFERROR(VLOOKUP(E412,E392:X407,19,FALSE),"")</f>
        <v>4.28</v>
      </c>
      <c r="I412" s="543"/>
      <c r="J412" s="55">
        <v>2</v>
      </c>
      <c r="K412" s="55">
        <f ca="1">IFERROR(VLOOKUP(B412,C392:X407,3,FALSE),"")</f>
        <v>3</v>
      </c>
      <c r="L412" s="544" t="str">
        <f ca="1">IFERROR(VLOOKUP(K412,$E392:$F407,2,FALSE),"")</f>
        <v>MARSHALL Syd</v>
      </c>
      <c r="M412" s="545"/>
      <c r="N412" s="545"/>
      <c r="O412" s="546"/>
      <c r="P412" s="544" t="str">
        <f t="shared" ca="1" si="129"/>
        <v>York</v>
      </c>
      <c r="Q412" s="545"/>
      <c r="R412" s="545"/>
      <c r="S412" s="546"/>
      <c r="T412" s="524">
        <f ca="1">IFERROR(VLOOKUP(K412,E392:X407,19,FALSE),"")</f>
        <v>3.86</v>
      </c>
      <c r="U412" s="525"/>
      <c r="V412" s="24"/>
      <c r="W412" s="25"/>
      <c r="X412" s="25"/>
      <c r="Y412" s="25"/>
      <c r="Z412" s="25"/>
      <c r="AA412" s="25"/>
      <c r="AB412" s="26"/>
    </row>
    <row r="413" spans="1:33" s="4" customFormat="1" ht="15.95" customHeight="1" x14ac:dyDescent="0.45">
      <c r="A413" s="11">
        <f>IFERROR(VLOOKUP(A388,standards,5,FALSE),"-")</f>
        <v>4.4000000000000004</v>
      </c>
      <c r="B413" s="10">
        <v>3</v>
      </c>
      <c r="C413" s="3"/>
      <c r="D413" s="55">
        <v>3</v>
      </c>
      <c r="E413" s="19">
        <f ca="1">IFERROR(VLOOKUP(B413,B392:E407,4,FALSE),"")</f>
        <v>44</v>
      </c>
      <c r="F413" s="27" t="str">
        <f ca="1">IFERROR(VLOOKUP(E413,$E392:$F407,2,FALSE),"")</f>
        <v>CRAGGS George</v>
      </c>
      <c r="G413" s="18" t="str">
        <f t="shared" ca="1" si="128"/>
        <v>M'bro</v>
      </c>
      <c r="H413" s="542">
        <f ca="1">IFERROR(VLOOKUP(E413,E392:X407,19,FALSE),"")</f>
        <v>3.82</v>
      </c>
      <c r="I413" s="543"/>
      <c r="J413" s="55">
        <v>3</v>
      </c>
      <c r="K413" s="55">
        <f ca="1">IFERROR(VLOOKUP(B413,C392:X407,3,FALSE),"")</f>
        <v>4</v>
      </c>
      <c r="L413" s="544" t="str">
        <f ca="1">IFERROR(VLOOKUP(K413,$E392:$F407,2,FALSE),"")</f>
        <v>BAKER Edward</v>
      </c>
      <c r="M413" s="545"/>
      <c r="N413" s="545"/>
      <c r="O413" s="546"/>
      <c r="P413" s="544" t="str">
        <f t="shared" ca="1" si="129"/>
        <v>M'bro</v>
      </c>
      <c r="Q413" s="545"/>
      <c r="R413" s="545"/>
      <c r="S413" s="546"/>
      <c r="T413" s="524">
        <f ca="1">IFERROR(VLOOKUP(K413,E392:X407,19,FALSE),"")</f>
        <v>3.19</v>
      </c>
      <c r="U413" s="525"/>
      <c r="V413" s="28"/>
      <c r="W413" s="29"/>
      <c r="X413" s="29"/>
      <c r="Y413" s="29"/>
      <c r="Z413" s="29"/>
      <c r="AA413" s="29"/>
      <c r="AB413" s="30"/>
    </row>
    <row r="414" spans="1:33" s="4" customFormat="1" ht="15.95" customHeight="1" x14ac:dyDescent="0.45">
      <c r="A414" s="11">
        <f>IFERROR(VLOOKUP(A388,AAA!A:F,6,FALSE),"-")</f>
        <v>4.1500000000000004</v>
      </c>
      <c r="B414" s="10">
        <v>4</v>
      </c>
      <c r="C414" s="3"/>
      <c r="D414" s="55">
        <v>4</v>
      </c>
      <c r="E414" s="19">
        <f ca="1">IFERROR(VLOOKUP(B414,B392:E407,4,FALSE),"")</f>
        <v>1</v>
      </c>
      <c r="F414" s="27" t="str">
        <f ca="1">IFERROR(VLOOKUP(E414,$E392:$F407,2,FALSE),"")</f>
        <v>GASKIN Nathanael</v>
      </c>
      <c r="G414" s="18" t="str">
        <f t="shared" ca="1" si="128"/>
        <v>C'field</v>
      </c>
      <c r="H414" s="542">
        <f ca="1">IFERROR(VLOOKUP(E414,E392:X407,19,FALSE),"")</f>
        <v>3.81</v>
      </c>
      <c r="I414" s="543"/>
      <c r="J414" s="55">
        <v>4</v>
      </c>
      <c r="K414" s="55">
        <f ca="1">IFERROR(VLOOKUP(B414,C392:X407,3,FALSE),"")</f>
        <v>11</v>
      </c>
      <c r="L414" s="544" t="str">
        <f ca="1">IFERROR(VLOOKUP(K414,$E392:$F407,2,FALSE),"")</f>
        <v>DREW Matthew</v>
      </c>
      <c r="M414" s="545"/>
      <c r="N414" s="545"/>
      <c r="O414" s="546"/>
      <c r="P414" s="544" t="str">
        <f t="shared" ca="1" si="129"/>
        <v>C'field</v>
      </c>
      <c r="Q414" s="545"/>
      <c r="R414" s="545"/>
      <c r="S414" s="546"/>
      <c r="T414" s="524">
        <f ca="1">IFERROR(VLOOKUP(K414,E392:X407,19,FALSE),"")</f>
        <v>2.72</v>
      </c>
      <c r="U414" s="525"/>
      <c r="V414" s="24"/>
      <c r="W414" s="25"/>
      <c r="X414" s="25"/>
      <c r="Y414" s="25"/>
      <c r="Z414" s="25"/>
      <c r="AA414" s="25"/>
      <c r="AB414" s="26"/>
    </row>
    <row r="415" spans="1:33" s="4" customFormat="1" ht="15.95" customHeight="1" x14ac:dyDescent="0.45">
      <c r="A415" s="8"/>
      <c r="B415" s="10">
        <v>5</v>
      </c>
      <c r="C415" s="3"/>
      <c r="D415" s="55">
        <v>5</v>
      </c>
      <c r="E415" s="19">
        <f ca="1">IFERROR(VLOOKUP(B415,B392:E407,4,FALSE),"")</f>
        <v>5</v>
      </c>
      <c r="F415" s="27" t="str">
        <f ca="1">IFERROR(VLOOKUP(E415,$E392:$F407,2,FALSE),"")</f>
        <v>LANGTON Cody</v>
      </c>
      <c r="G415" s="18" t="str">
        <f t="shared" ca="1" si="128"/>
        <v>Scun</v>
      </c>
      <c r="H415" s="542">
        <f ca="1">IFERROR(VLOOKUP(E415,E392:X407,19,FALSE),"")</f>
        <v>3.27</v>
      </c>
      <c r="I415" s="543"/>
      <c r="J415" s="55">
        <v>5</v>
      </c>
      <c r="K415" s="55" t="str">
        <f ca="1">IFERROR(VLOOKUP(B415,C392:X407,3,FALSE),"")</f>
        <v/>
      </c>
      <c r="L415" s="544" t="str">
        <f ca="1">IFERROR(VLOOKUP(K415,$E392:$F407,2,FALSE),"")</f>
        <v/>
      </c>
      <c r="M415" s="545"/>
      <c r="N415" s="545"/>
      <c r="O415" s="546"/>
      <c r="P415" s="544" t="str">
        <f t="shared" ca="1" si="129"/>
        <v>-</v>
      </c>
      <c r="Q415" s="545"/>
      <c r="R415" s="545"/>
      <c r="S415" s="546"/>
      <c r="T415" s="524" t="str">
        <f ca="1">IFERROR(VLOOKUP(K415,E392:X407,19,FALSE),"")</f>
        <v/>
      </c>
      <c r="U415" s="525"/>
      <c r="V415" s="28"/>
      <c r="W415" s="29"/>
      <c r="X415" s="29"/>
      <c r="Y415" s="29"/>
      <c r="Z415" s="29"/>
      <c r="AA415" s="29"/>
      <c r="AB415" s="30"/>
    </row>
    <row r="416" spans="1:33" s="4" customFormat="1" ht="15.95" customHeight="1" x14ac:dyDescent="0.45">
      <c r="A416" s="8" t="s">
        <v>204</v>
      </c>
      <c r="B416" s="10">
        <v>6</v>
      </c>
      <c r="C416" s="3"/>
      <c r="D416" s="55">
        <v>6</v>
      </c>
      <c r="E416" s="19" t="str">
        <f ca="1">IFERROR(VLOOKUP(B416,B392:E407,4,FALSE),"")</f>
        <v/>
      </c>
      <c r="F416" s="27" t="str">
        <f ca="1">IFERROR(VLOOKUP(E416,$E392:$F407,2,FALSE),"")</f>
        <v/>
      </c>
      <c r="G416" s="18" t="str">
        <f t="shared" ca="1" si="128"/>
        <v>-</v>
      </c>
      <c r="H416" s="542" t="str">
        <f ca="1">IFERROR(VLOOKUP(E416,E392:X407,19,FALSE),"")</f>
        <v/>
      </c>
      <c r="I416" s="543"/>
      <c r="J416" s="55">
        <v>6</v>
      </c>
      <c r="K416" s="55" t="str">
        <f ca="1">IFERROR(VLOOKUP(B416,C392:X407,3,FALSE),"")</f>
        <v/>
      </c>
      <c r="L416" s="544" t="str">
        <f ca="1">IFERROR(VLOOKUP(K416,$E392:$F407,2,FALSE),"")</f>
        <v/>
      </c>
      <c r="M416" s="545"/>
      <c r="N416" s="545"/>
      <c r="O416" s="546"/>
      <c r="P416" s="544" t="str">
        <f t="shared" ca="1" si="129"/>
        <v>-</v>
      </c>
      <c r="Q416" s="545"/>
      <c r="R416" s="545"/>
      <c r="S416" s="546"/>
      <c r="T416" s="524" t="str">
        <f ca="1">IFERROR(VLOOKUP(K416,E392:X407,19,FALSE),"")</f>
        <v/>
      </c>
      <c r="U416" s="525"/>
      <c r="V416" s="512" t="s">
        <v>185</v>
      </c>
      <c r="W416" s="513"/>
      <c r="X416" s="513"/>
      <c r="Y416" s="513"/>
      <c r="Z416" s="513"/>
      <c r="AA416" s="513"/>
      <c r="AB416" s="514"/>
    </row>
    <row r="417" spans="1:33" s="4" customFormat="1" ht="15.95" customHeight="1" x14ac:dyDescent="0.45">
      <c r="A417" s="8">
        <f>IFERROR(VLOOKUP(A388,records,5,FALSE),"")</f>
        <v>5.45</v>
      </c>
      <c r="B417" s="10">
        <v>7</v>
      </c>
      <c r="C417" s="3"/>
      <c r="D417" s="55">
        <v>7</v>
      </c>
      <c r="E417" s="19" t="str">
        <f ca="1">IFERROR(VLOOKUP(B417,B392:E407,4,FALSE),"")</f>
        <v/>
      </c>
      <c r="F417" s="27" t="str">
        <f ca="1">IFERROR(VLOOKUP(E417,$E392:$F407,2,FALSE),"")</f>
        <v/>
      </c>
      <c r="G417" s="18" t="str">
        <f t="shared" ca="1" si="128"/>
        <v>-</v>
      </c>
      <c r="H417" s="542" t="str">
        <f ca="1">IFERROR(VLOOKUP(E417,E392:X407,19,FALSE),"")</f>
        <v/>
      </c>
      <c r="I417" s="543"/>
      <c r="J417" s="55">
        <v>7</v>
      </c>
      <c r="K417" s="55" t="str">
        <f ca="1">IFERROR(VLOOKUP(B417,C392:X407,3,FALSE),"")</f>
        <v/>
      </c>
      <c r="L417" s="544" t="str">
        <f ca="1">IFERROR(VLOOKUP(K417,$E392:$F407,2,FALSE),"")</f>
        <v/>
      </c>
      <c r="M417" s="545"/>
      <c r="N417" s="545"/>
      <c r="O417" s="546"/>
      <c r="P417" s="544" t="str">
        <f t="shared" ca="1" si="129"/>
        <v>-</v>
      </c>
      <c r="Q417" s="545"/>
      <c r="R417" s="545"/>
      <c r="S417" s="546"/>
      <c r="T417" s="524" t="str">
        <f ca="1">IFERROR(VLOOKUP(K417,E392:X407,19,FALSE),"")</f>
        <v/>
      </c>
      <c r="U417" s="525"/>
      <c r="V417" s="24"/>
      <c r="W417" s="25"/>
      <c r="X417" s="25"/>
      <c r="Y417" s="25"/>
      <c r="Z417" s="25"/>
      <c r="AA417" s="25"/>
      <c r="AB417" s="26"/>
    </row>
    <row r="418" spans="1:33" s="4" customFormat="1" ht="15.95" customHeight="1" x14ac:dyDescent="0.45">
      <c r="A418" s="8"/>
      <c r="B418" s="10">
        <v>8</v>
      </c>
      <c r="C418" s="3"/>
      <c r="D418" s="55">
        <v>8</v>
      </c>
      <c r="E418" s="19" t="str">
        <f ca="1">IFERROR(VLOOKUP(B418,B392:E407,4,FALSE),"")</f>
        <v/>
      </c>
      <c r="F418" s="27" t="str">
        <f ca="1">IFERROR(VLOOKUP(E418,$E392:$F407,2,FALSE),"")</f>
        <v/>
      </c>
      <c r="G418" s="18" t="str">
        <f t="shared" ca="1" si="128"/>
        <v>-</v>
      </c>
      <c r="H418" s="542" t="str">
        <f ca="1">IFERROR(VLOOKUP(E418,E392:X407,19,FALSE),"")</f>
        <v/>
      </c>
      <c r="I418" s="543"/>
      <c r="J418" s="55">
        <v>8</v>
      </c>
      <c r="K418" s="55" t="str">
        <f ca="1">IFERROR(VLOOKUP(B418,C392:X407,3,FALSE),"")</f>
        <v/>
      </c>
      <c r="L418" s="544" t="str">
        <f ca="1">IFERROR(VLOOKUP(K418,$E392:$F407,2,FALSE),"")</f>
        <v/>
      </c>
      <c r="M418" s="545"/>
      <c r="N418" s="545"/>
      <c r="O418" s="546"/>
      <c r="P418" s="544" t="str">
        <f t="shared" ca="1" si="129"/>
        <v>-</v>
      </c>
      <c r="Q418" s="545"/>
      <c r="R418" s="545"/>
      <c r="S418" s="546"/>
      <c r="T418" s="524" t="str">
        <f ca="1">IFERROR(VLOOKUP(K418,E392:X407,19,FALSE),"")</f>
        <v/>
      </c>
      <c r="U418" s="525"/>
      <c r="V418" s="28"/>
      <c r="W418" s="29"/>
      <c r="X418" s="29"/>
      <c r="Y418" s="29"/>
      <c r="Z418" s="29"/>
      <c r="AA418" s="29"/>
      <c r="AB418" s="30"/>
    </row>
    <row r="419" spans="1:33" s="4" customFormat="1" ht="21" x14ac:dyDescent="0.45">
      <c r="A419" s="2" t="str">
        <f>MatchDay!$U$6</f>
        <v>X</v>
      </c>
      <c r="B419" s="8"/>
      <c r="C419" s="3"/>
      <c r="D419" s="502" t="s">
        <v>186</v>
      </c>
      <c r="E419" s="503"/>
      <c r="F419" s="503"/>
      <c r="G419" s="503"/>
      <c r="H419" s="503"/>
      <c r="I419" s="503"/>
      <c r="J419" s="503"/>
      <c r="K419" s="515" t="s">
        <v>187</v>
      </c>
      <c r="L419" s="516"/>
      <c r="M419" s="516"/>
      <c r="N419" s="516"/>
      <c r="O419" s="518" t="str">
        <f>MatchDay!$C$2&amp;" "&amp;MatchDay!$C$3&amp;" "&amp;MatchDay!$C$4</f>
        <v>LOWER NORTH East 1</v>
      </c>
      <c r="P419" s="519"/>
      <c r="Q419" s="519"/>
      <c r="R419" s="519"/>
      <c r="S419" s="519"/>
      <c r="T419" s="519"/>
      <c r="U419" s="519"/>
      <c r="V419" s="519"/>
      <c r="W419" s="519"/>
      <c r="X419" s="519"/>
      <c r="Y419" s="519"/>
      <c r="Z419" s="519"/>
      <c r="AA419" s="519"/>
      <c r="AB419" s="520"/>
    </row>
    <row r="420" spans="1:33" s="4" customFormat="1" ht="15.75" customHeight="1" x14ac:dyDescent="0.45">
      <c r="A420" s="1" t="str">
        <f>IFERROR(IF(LEFT(MatchDay!$C$2,1)="L","L"&amp;A422,"U"&amp;A422),"")</f>
        <v>LFW02</v>
      </c>
      <c r="B420" s="10">
        <v>443</v>
      </c>
      <c r="C420" s="3"/>
      <c r="D420" s="512" t="s">
        <v>188</v>
      </c>
      <c r="E420" s="514"/>
      <c r="F420" s="513" t="str">
        <f>IFERROR(UPPER(VLOOKUP(A421,teamlookup,6,FALSE)),"")</f>
        <v/>
      </c>
      <c r="G420" s="514"/>
      <c r="H420" s="504" t="s">
        <v>201</v>
      </c>
      <c r="I420" s="510"/>
      <c r="J420" s="505"/>
      <c r="K420" s="512" t="str">
        <f>MatchDay!$C$8</f>
        <v>@ Doncaster</v>
      </c>
      <c r="L420" s="513"/>
      <c r="M420" s="513"/>
      <c r="N420" s="513"/>
      <c r="O420" s="513"/>
      <c r="P420" s="514"/>
      <c r="Q420" s="504" t="s">
        <v>160</v>
      </c>
      <c r="R420" s="505"/>
      <c r="S420" s="521">
        <f>MatchDay!$C$7</f>
        <v>43582</v>
      </c>
      <c r="T420" s="522"/>
      <c r="U420" s="522"/>
      <c r="V420" s="522"/>
      <c r="W420" s="522"/>
      <c r="X420" s="523"/>
      <c r="Y420" s="526" t="str">
        <f>IFERROR(IF(LEFT(A420,1)="L","",VLOOKUP(A420,AAA!$A:$I,8,FALSE)),"")</f>
        <v/>
      </c>
      <c r="Z420" s="527"/>
      <c r="AA420" s="524" t="str">
        <f>IFERROR(IF(LEFT(A420,1)="L","",VLOOKUP(A420,standards,9,FALSE)),"")</f>
        <v/>
      </c>
      <c r="AB420" s="525"/>
      <c r="AC420" s="6"/>
      <c r="AD420" s="6"/>
    </row>
    <row r="421" spans="1:33" s="4" customFormat="1" ht="15.75" customHeight="1" x14ac:dyDescent="0.45">
      <c r="A421" s="5">
        <f>IFERROR(IF(A419=1,VLOOKUP(A420,judges,VLOOKUP(MatchDay!$U$2*10+MatchDay!$C$5,judgesp,5,FALSE),FALSE),VLOOKUP(Distance!A420,judges,VLOOKUP(MatchDay!$U$2*10+MatchDay!$C$5,judges2,5,FALSE),FALSE)),"")</f>
        <v>0</v>
      </c>
      <c r="B421" s="181">
        <f>IFERROR(VLOOKUP(A420,Timetables!$A:$E,5,FALSE)-1,"")</f>
        <v>18</v>
      </c>
      <c r="C421" s="3"/>
      <c r="D421" s="504" t="s">
        <v>161</v>
      </c>
      <c r="E421" s="505"/>
      <c r="F421" s="508" t="str">
        <f>IFERROR(VLOOKUP(A420,timetables,2,FALSE)&amp;" "&amp;VLOOKUP(A420,timetables,3,FALSE),"")</f>
        <v>Long Jump U15 Girls</v>
      </c>
      <c r="G421" s="509"/>
      <c r="H421" s="504" t="s">
        <v>162</v>
      </c>
      <c r="I421" s="510"/>
      <c r="J421" s="505"/>
      <c r="K421" s="511">
        <f>IFERROR(IF(A419=1,VLOOKUP(A420,Timetables!$A:$G,6,FALSE),VLOOKUP(A420,Timetables!$A:$G,7,FALSE)),"")</f>
        <v>0.54166666666666663</v>
      </c>
      <c r="L421" s="511" t="e">
        <v>#N/A</v>
      </c>
      <c r="M421" s="504" t="s">
        <v>202</v>
      </c>
      <c r="N421" s="505"/>
      <c r="O421" s="506" t="str">
        <f>IFERROR(VLOOKUP(A420,records,3,FALSE)&amp;", "&amp;VLOOKUP(A420,records,4,FALSE)&amp;", "&amp;VLOOKUP(A420,records,5,FALSE)&amp;", "&amp;VLOOKUP(A420,records,6,FALSE)&amp;", "&amp;VLOOKUP(A420,records,7,FALSE)&amp;" "&amp;VLOOKUP(A420,records,8,FALSE),"")</f>
        <v>Molly Palmer, Charnwood AC, 5.63, Rugby, June 18th 2017</v>
      </c>
      <c r="P421" s="506"/>
      <c r="Q421" s="506"/>
      <c r="R421" s="506"/>
      <c r="S421" s="506"/>
      <c r="T421" s="506"/>
      <c r="U421" s="506"/>
      <c r="V421" s="506"/>
      <c r="W421" s="506"/>
      <c r="X421" s="506"/>
      <c r="Y421" s="506"/>
      <c r="Z421" s="506"/>
      <c r="AA421" s="506"/>
      <c r="AB421" s="507"/>
    </row>
    <row r="422" spans="1:33" s="4" customFormat="1" ht="32.1" customHeight="1" x14ac:dyDescent="0.45">
      <c r="A422" s="5" t="s">
        <v>302</v>
      </c>
      <c r="B422" s="10" t="str">
        <f>IFERROR(VLOOKUP($A422,fdistance,2,FALSE),"")</f>
        <v>T</v>
      </c>
      <c r="C422" s="10">
        <f>IFERROR(VLOOKUP($A422,fdistance,3,FALSE),"")</f>
        <v>23</v>
      </c>
      <c r="D422" s="31" t="s">
        <v>163</v>
      </c>
      <c r="E422" s="13" t="s">
        <v>164</v>
      </c>
      <c r="F422" s="13" t="s">
        <v>165</v>
      </c>
      <c r="G422" s="14" t="s">
        <v>166</v>
      </c>
      <c r="H422" s="532" t="s">
        <v>167</v>
      </c>
      <c r="I422" s="534"/>
      <c r="J422" s="534" t="s">
        <v>168</v>
      </c>
      <c r="K422" s="534"/>
      <c r="L422" s="534" t="s">
        <v>169</v>
      </c>
      <c r="M422" s="534"/>
      <c r="N422" s="534" t="s">
        <v>170</v>
      </c>
      <c r="O422" s="534"/>
      <c r="P422" s="535" t="s">
        <v>171</v>
      </c>
      <c r="Q422" s="534" t="s">
        <v>172</v>
      </c>
      <c r="R422" s="534"/>
      <c r="S422" s="534" t="s">
        <v>173</v>
      </c>
      <c r="T422" s="534"/>
      <c r="U422" s="534" t="s">
        <v>174</v>
      </c>
      <c r="V422" s="534"/>
      <c r="W422" s="537" t="s">
        <v>175</v>
      </c>
      <c r="X422" s="538"/>
      <c r="Y422" s="528" t="s">
        <v>176</v>
      </c>
      <c r="Z422" s="530" t="s">
        <v>177</v>
      </c>
      <c r="AA422" s="531"/>
      <c r="AB422" s="532"/>
    </row>
    <row r="423" spans="1:33" s="4" customFormat="1" ht="11.65" x14ac:dyDescent="0.35">
      <c r="A423" s="137">
        <f>IFERROR(SEARCH("U17",F421),0)</f>
        <v>0</v>
      </c>
      <c r="B423" s="7" t="s">
        <v>53</v>
      </c>
      <c r="C423" s="7" t="s">
        <v>54</v>
      </c>
      <c r="D423" s="56"/>
      <c r="E423" s="56"/>
      <c r="F423" s="15"/>
      <c r="G423" s="16"/>
      <c r="H423" s="514" t="s">
        <v>178</v>
      </c>
      <c r="I423" s="533"/>
      <c r="J423" s="533" t="s">
        <v>178</v>
      </c>
      <c r="K423" s="533"/>
      <c r="L423" s="533" t="s">
        <v>178</v>
      </c>
      <c r="M423" s="533"/>
      <c r="N423" s="533" t="s">
        <v>178</v>
      </c>
      <c r="O423" s="533"/>
      <c r="P423" s="536"/>
      <c r="Q423" s="533" t="s">
        <v>178</v>
      </c>
      <c r="R423" s="533"/>
      <c r="S423" s="533" t="s">
        <v>178</v>
      </c>
      <c r="T423" s="533"/>
      <c r="U423" s="533" t="s">
        <v>178</v>
      </c>
      <c r="V423" s="533"/>
      <c r="W423" s="533" t="s">
        <v>178</v>
      </c>
      <c r="X423" s="512"/>
      <c r="Y423" s="529"/>
      <c r="Z423" s="55"/>
      <c r="AA423" s="55" t="s">
        <v>53</v>
      </c>
      <c r="AB423" s="55" t="s">
        <v>54</v>
      </c>
    </row>
    <row r="424" spans="1:33" s="4" customFormat="1" ht="15.95" customHeight="1" x14ac:dyDescent="0.35">
      <c r="A424" s="8">
        <f>IFERROR(IF(D424&gt;MatchDay!$U$2,"-",VLOOKUP(A420,timetables,MatchDay!$U$4,FALSE)),0)</f>
        <v>1</v>
      </c>
      <c r="B424" s="7">
        <f ca="1">AA424</f>
        <v>4</v>
      </c>
      <c r="C424" s="7" t="str">
        <f ca="1">AB424</f>
        <v/>
      </c>
      <c r="D424" s="56">
        <v>1</v>
      </c>
      <c r="E424" s="17">
        <f>A424</f>
        <v>1</v>
      </c>
      <c r="F424" s="18" t="str">
        <f ca="1">IFERROR(IF(A423=0,HLOOKUP(E424,Declarations!$D$2:$S$102,B421,FALSE),HLOOKUP(VLOOKUP(E424,Teams!$V$2:$W$19,2,FALSE),Declarations!$D$2:$S$102,B421,FALSE)),"")</f>
        <v>BRIDDON Missy</v>
      </c>
      <c r="G424" s="18" t="str">
        <f t="shared" ref="G424:G439" si="130">IFERROR(VLOOKUP(E424,teamlookup,5,FALSE),"-")</f>
        <v>C'field</v>
      </c>
      <c r="H424" s="524">
        <f ca="1">IFERROR(INDIRECT(CONCATENATE("'Distance Input'!"&amp;B422&amp;C422)),"")</f>
        <v>3.82</v>
      </c>
      <c r="I424" s="525"/>
      <c r="J424" s="524">
        <v>0</v>
      </c>
      <c r="K424" s="525"/>
      <c r="L424" s="524">
        <v>0</v>
      </c>
      <c r="M424" s="525"/>
      <c r="N424" s="539">
        <f ca="1">H424</f>
        <v>3.82</v>
      </c>
      <c r="O424" s="540"/>
      <c r="P424" s="55">
        <v>0</v>
      </c>
      <c r="Q424" s="541">
        <v>0</v>
      </c>
      <c r="R424" s="541"/>
      <c r="S424" s="541">
        <v>0</v>
      </c>
      <c r="T424" s="541"/>
      <c r="U424" s="541">
        <v>0</v>
      </c>
      <c r="V424" s="541"/>
      <c r="W424" s="524">
        <f ca="1">N424</f>
        <v>3.82</v>
      </c>
      <c r="X424" s="525"/>
      <c r="Y424" s="55">
        <f ca="1">IF(OR(W424="",W424=0),0,IF(W424="X",MatchDay!$U$2+MatchDay!$U$2+1-COUNTIF(Distance!W424:W424,"X"),RANK(W424,$W424:$X439,0)))</f>
        <v>6</v>
      </c>
      <c r="Z424" s="19" t="str">
        <f ca="1">IFERROR(IF(Y424=0,0,IF(OR(VLOOKUP(AG424,E432:Y439,21,FALSE)=0,Y424&lt;=VLOOKUP(AG424,E432:Y439,21,FALSE)),"A","B")),"")</f>
        <v>A</v>
      </c>
      <c r="AA424" s="19">
        <f ca="1">IFERROR(IF(Z424="B","",RANK(AD424,AD424:AD439,1)),"")</f>
        <v>4</v>
      </c>
      <c r="AB424" s="19" t="str">
        <f ca="1">IFERROR(IF(Z424="A","",RANK(AE424,AE424:AE439,1)),"")</f>
        <v/>
      </c>
      <c r="AC424" s="8"/>
      <c r="AD424" s="9">
        <f ca="1">IF(OR(W424=0,Y424=0,Z424="B"),"",Y424)</f>
        <v>6</v>
      </c>
      <c r="AE424" s="9" t="str">
        <f ca="1">IF(OR(W424=0,Y424=0,Z424="A"),"",Y424)</f>
        <v/>
      </c>
      <c r="AF424" s="9" t="s">
        <v>179</v>
      </c>
      <c r="AG424" s="4">
        <f>IFERROR(IF(A423=0,E424*11,E424&amp;E424),"")</f>
        <v>11</v>
      </c>
    </row>
    <row r="425" spans="1:33" s="4" customFormat="1" ht="15.95" customHeight="1" x14ac:dyDescent="0.35">
      <c r="A425" s="8">
        <f>IFERROR(IF(D425&gt;MatchDay!$U$2,"-",VLOOKUP(A420,timetables,MatchDay!$U$4+1,FALSE)),0)</f>
        <v>5</v>
      </c>
      <c r="B425" s="7" t="str">
        <f t="shared" ref="B425:B439" ca="1" si="131">AA425</f>
        <v/>
      </c>
      <c r="C425" s="7">
        <f t="shared" ref="C425:C439" ca="1" si="132">AB425</f>
        <v>5</v>
      </c>
      <c r="D425" s="55">
        <v>2</v>
      </c>
      <c r="E425" s="17">
        <f t="shared" ref="E425:E439" si="133">A425</f>
        <v>5</v>
      </c>
      <c r="F425" s="18" t="str">
        <f ca="1">IFERROR(IF(A423=0,HLOOKUP(E425,Declarations!$D$2:$S$102,B421,FALSE),HLOOKUP(VLOOKUP(E425,Teams!$V$2:$W$19,2,FALSE),Declarations!$D$2:$S$102,B421,FALSE)),"")</f>
        <v>LINGARD Alice</v>
      </c>
      <c r="G425" s="18" t="str">
        <f t="shared" si="130"/>
        <v>Scun</v>
      </c>
      <c r="H425" s="524">
        <f ca="1">IFERROR(INDIRECT(CONCATENATE("'Distance Input'!"&amp;B422&amp;C422+1)),"")</f>
        <v>3.11</v>
      </c>
      <c r="I425" s="525"/>
      <c r="J425" s="524">
        <v>0</v>
      </c>
      <c r="K425" s="525"/>
      <c r="L425" s="524">
        <v>0</v>
      </c>
      <c r="M425" s="525"/>
      <c r="N425" s="539">
        <f t="shared" ref="N425:N439" ca="1" si="134">H425</f>
        <v>3.11</v>
      </c>
      <c r="O425" s="540"/>
      <c r="P425" s="55">
        <v>0</v>
      </c>
      <c r="Q425" s="541">
        <v>0</v>
      </c>
      <c r="R425" s="541"/>
      <c r="S425" s="541">
        <v>0</v>
      </c>
      <c r="T425" s="541"/>
      <c r="U425" s="541">
        <v>0</v>
      </c>
      <c r="V425" s="541"/>
      <c r="W425" s="524">
        <f t="shared" ref="W425:W439" ca="1" si="135">N425</f>
        <v>3.11</v>
      </c>
      <c r="X425" s="525"/>
      <c r="Y425" s="55">
        <f ca="1">IF(OR(W425="",W425=0),0,IF(W425="X",MatchDay!$U$2+MatchDay!$U$2+1-COUNTIF(Distance!W424:W425,"X"),RANK(W425,$W424:$X439,0)))</f>
        <v>10</v>
      </c>
      <c r="Z425" s="19" t="str">
        <f ca="1">IFERROR(IF(Y425=0,0,IF(OR(VLOOKUP(AG425,E432:Y439,21,FALSE)=0,Y425&lt;=VLOOKUP(AG425,E432:Y439,21,FALSE)),"A","B")),"")</f>
        <v>B</v>
      </c>
      <c r="AA425" s="19" t="str">
        <f ca="1">IFERROR(IF(Z425="B","",RANK(AD425,AD424:AD439,1)),"")</f>
        <v/>
      </c>
      <c r="AB425" s="19">
        <f ca="1">IFERROR(IF(Z425="A","",RANK(AE425,AE424:AE439,1)),"")</f>
        <v>5</v>
      </c>
      <c r="AC425" s="8"/>
      <c r="AD425" s="9" t="str">
        <f t="shared" ref="AD425:AD439" ca="1" si="136">IF(OR(W425=0,Y425=0,Z425="B"),"",Y425)</f>
        <v/>
      </c>
      <c r="AE425" s="9">
        <f t="shared" ref="AE425:AE439" ca="1" si="137">IF(OR(W425=0,Y425=0,Z425="A"),"",Y425)</f>
        <v>10</v>
      </c>
      <c r="AF425" s="9" t="s">
        <v>179</v>
      </c>
      <c r="AG425" s="4">
        <f>IFERROR(IF(A423=0,E425*11,E425&amp;E425),"")</f>
        <v>55</v>
      </c>
    </row>
    <row r="426" spans="1:33" s="4" customFormat="1" ht="15.95" customHeight="1" x14ac:dyDescent="0.35">
      <c r="A426" s="8">
        <f>IFERROR(IF(D426&gt;MatchDay!$U$2,"-",VLOOKUP(A420,timetables,MatchDay!$U$4+2,FALSE)),0)</f>
        <v>4</v>
      </c>
      <c r="B426" s="7" t="str">
        <f t="shared" ca="1" si="131"/>
        <v/>
      </c>
      <c r="C426" s="7">
        <f t="shared" ca="1" si="132"/>
        <v>3</v>
      </c>
      <c r="D426" s="55">
        <v>3</v>
      </c>
      <c r="E426" s="17">
        <f t="shared" si="133"/>
        <v>4</v>
      </c>
      <c r="F426" s="18" t="str">
        <f ca="1">IFERROR(IF(A423=0,HLOOKUP(E426,Declarations!$D$2:$S$102,B421,FALSE),HLOOKUP(VLOOKUP(E426,Teams!$V$2:$W$19,2,FALSE),Declarations!$D$2:$S$102,B421,FALSE)),"")</f>
        <v>PYE Naiomi</v>
      </c>
      <c r="G426" s="18" t="str">
        <f t="shared" si="130"/>
        <v>M'bro</v>
      </c>
      <c r="H426" s="524">
        <f ca="1">IFERROR(INDIRECT(CONCATENATE("'Distance Input'!"&amp;B422&amp;C422+2)),"")</f>
        <v>3.57</v>
      </c>
      <c r="I426" s="525"/>
      <c r="J426" s="524">
        <v>0</v>
      </c>
      <c r="K426" s="525"/>
      <c r="L426" s="524">
        <v>0</v>
      </c>
      <c r="M426" s="525"/>
      <c r="N426" s="539">
        <f t="shared" ca="1" si="134"/>
        <v>3.57</v>
      </c>
      <c r="O426" s="540"/>
      <c r="P426" s="55">
        <v>0</v>
      </c>
      <c r="Q426" s="541">
        <v>0</v>
      </c>
      <c r="R426" s="541"/>
      <c r="S426" s="541">
        <v>0</v>
      </c>
      <c r="T426" s="541"/>
      <c r="U426" s="541">
        <v>0</v>
      </c>
      <c r="V426" s="541"/>
      <c r="W426" s="524">
        <f t="shared" ca="1" si="135"/>
        <v>3.57</v>
      </c>
      <c r="X426" s="525"/>
      <c r="Y426" s="55">
        <f ca="1">IF(OR(W426="",W426=0),0,IF(W426="X",MatchDay!$U$2+MatchDay!$U$2+1-COUNTIF(Distance!W424:W426,"X"),RANK(W426,$W424:$X439,0)))</f>
        <v>7</v>
      </c>
      <c r="Z426" s="19" t="str">
        <f ca="1">IFERROR(IF(Y426=0,0,IF(OR(VLOOKUP(AG426,E432:Y439,21,FALSE)=0,Y426&lt;=VLOOKUP(AG426,E432:Y439,21,FALSE)),"A","B")),"")</f>
        <v>B</v>
      </c>
      <c r="AA426" s="19" t="str">
        <f ca="1">IFERROR(IF(Z426="B","",RANK(AD426,AD424:AD439,1)),"")</f>
        <v/>
      </c>
      <c r="AB426" s="19">
        <f ca="1">IFERROR(IF(Z426="A","",RANK(AE426,AE424:AE439,1)),"")</f>
        <v>3</v>
      </c>
      <c r="AD426" s="9" t="str">
        <f t="shared" ca="1" si="136"/>
        <v/>
      </c>
      <c r="AE426" s="9">
        <f t="shared" ca="1" si="137"/>
        <v>7</v>
      </c>
      <c r="AF426" s="9" t="s">
        <v>179</v>
      </c>
      <c r="AG426" s="4">
        <f>IFERROR(IF(A423=0,E426*11,E426&amp;E426),"")</f>
        <v>44</v>
      </c>
    </row>
    <row r="427" spans="1:33" s="4" customFormat="1" ht="15.95" customHeight="1" x14ac:dyDescent="0.35">
      <c r="A427" s="8">
        <f>IFERROR(IF(D427&gt;MatchDay!$U$2,"-",VLOOKUP(A420,timetables,MatchDay!$U$4+3,FALSE)),0)</f>
        <v>2</v>
      </c>
      <c r="B427" s="7">
        <f t="shared" ca="1" si="131"/>
        <v>1</v>
      </c>
      <c r="C427" s="7" t="str">
        <f t="shared" ca="1" si="132"/>
        <v/>
      </c>
      <c r="D427" s="55">
        <v>4</v>
      </c>
      <c r="E427" s="17">
        <f t="shared" si="133"/>
        <v>2</v>
      </c>
      <c r="F427" s="18" t="str">
        <f ca="1">IFERROR(IF(A423=0,HLOOKUP(E427,Declarations!$D$2:$S$102,B421,FALSE),HLOOKUP(VLOOKUP(E427,Teams!$V$2:$W$19,2,FALSE),Declarations!$D$2:$S$102,B421,FALSE)),"")</f>
        <v>MYCROFT Tilly</v>
      </c>
      <c r="G427" s="18" t="str">
        <f t="shared" si="130"/>
        <v>Sheff+D</v>
      </c>
      <c r="H427" s="524">
        <f ca="1">IFERROR(INDIRECT(CONCATENATE("'Distance Input'!"&amp;B422&amp;C422+3)),"")</f>
        <v>5.05</v>
      </c>
      <c r="I427" s="525"/>
      <c r="J427" s="524">
        <v>0</v>
      </c>
      <c r="K427" s="525"/>
      <c r="L427" s="524">
        <v>0</v>
      </c>
      <c r="M427" s="525"/>
      <c r="N427" s="539">
        <f t="shared" ca="1" si="134"/>
        <v>5.05</v>
      </c>
      <c r="O427" s="540"/>
      <c r="P427" s="55">
        <v>0</v>
      </c>
      <c r="Q427" s="541">
        <v>0</v>
      </c>
      <c r="R427" s="541"/>
      <c r="S427" s="541">
        <v>0</v>
      </c>
      <c r="T427" s="541"/>
      <c r="U427" s="541">
        <v>0</v>
      </c>
      <c r="V427" s="541"/>
      <c r="W427" s="524">
        <f t="shared" ca="1" si="135"/>
        <v>5.05</v>
      </c>
      <c r="X427" s="525"/>
      <c r="Y427" s="55">
        <f ca="1">IF(OR(W427="",W427=0),0,IF(W427="X",MatchDay!$U$2+MatchDay!$U$2+1-COUNTIF(Distance!W424:W427,"X"),RANK(W427,$W424:$X439,0)))</f>
        <v>1</v>
      </c>
      <c r="Z427" s="19" t="str">
        <f ca="1">IFERROR(IF(Y427=0,0,IF(OR(VLOOKUP(AG427,E432:Y439,21,FALSE)=0,Y427&lt;=VLOOKUP(AG427,E432:Y439,21,FALSE)),"A","B")),"")</f>
        <v>A</v>
      </c>
      <c r="AA427" s="19">
        <f ca="1">IFERROR(IF(Z427="B","",RANK(AD427,AD424:AD439,1)),"")</f>
        <v>1</v>
      </c>
      <c r="AB427" s="19" t="str">
        <f ca="1">IFERROR(IF(Z427="A","",RANK(AE427,AE424:AE439,1)),"")</f>
        <v/>
      </c>
      <c r="AD427" s="9">
        <f t="shared" ca="1" si="136"/>
        <v>1</v>
      </c>
      <c r="AE427" s="9" t="str">
        <f t="shared" ca="1" si="137"/>
        <v/>
      </c>
      <c r="AF427" s="9" t="s">
        <v>179</v>
      </c>
      <c r="AG427" s="4">
        <f>IFERROR(IF(A423=0,E427*11,E427&amp;E427),"")</f>
        <v>22</v>
      </c>
    </row>
    <row r="428" spans="1:33" s="4" customFormat="1" ht="15.95" customHeight="1" x14ac:dyDescent="0.35">
      <c r="A428" s="8">
        <f>IFERROR(IF(D428&gt;MatchDay!$U$2,"-",VLOOKUP(A420,timetables,MatchDay!$U$4+4,FALSE)),0)</f>
        <v>3</v>
      </c>
      <c r="B428" s="7">
        <f t="shared" ca="1" si="131"/>
        <v>2</v>
      </c>
      <c r="C428" s="7" t="str">
        <f t="shared" ca="1" si="132"/>
        <v/>
      </c>
      <c r="D428" s="55">
        <v>5</v>
      </c>
      <c r="E428" s="17">
        <f t="shared" si="133"/>
        <v>3</v>
      </c>
      <c r="F428" s="18" t="str">
        <f ca="1">IFERROR(IF(A423=0,HLOOKUP(E428,Declarations!$D$2:$S$102,B421,FALSE),HLOOKUP(VLOOKUP(E428,Teams!$V$2:$W$19,2,FALSE),Declarations!$D$2:$S$102,B421,FALSE)),"")</f>
        <v>HASTIE Eve</v>
      </c>
      <c r="G428" s="18" t="str">
        <f t="shared" si="130"/>
        <v>York</v>
      </c>
      <c r="H428" s="524">
        <f ca="1">IFERROR(INDIRECT(CONCATENATE("'Distance Input'!"&amp;B422&amp;C422+4)),"")</f>
        <v>4.7</v>
      </c>
      <c r="I428" s="525"/>
      <c r="J428" s="524">
        <v>0</v>
      </c>
      <c r="K428" s="525"/>
      <c r="L428" s="524">
        <v>0</v>
      </c>
      <c r="M428" s="525"/>
      <c r="N428" s="539">
        <f t="shared" ca="1" si="134"/>
        <v>4.7</v>
      </c>
      <c r="O428" s="540"/>
      <c r="P428" s="55">
        <v>0</v>
      </c>
      <c r="Q428" s="541">
        <v>0</v>
      </c>
      <c r="R428" s="541"/>
      <c r="S428" s="541">
        <v>0</v>
      </c>
      <c r="T428" s="541"/>
      <c r="U428" s="541">
        <v>0</v>
      </c>
      <c r="V428" s="541"/>
      <c r="W428" s="524">
        <f t="shared" ca="1" si="135"/>
        <v>4.7</v>
      </c>
      <c r="X428" s="525"/>
      <c r="Y428" s="55">
        <f ca="1">IF(OR(W428="",W428=0),0,IF(W428="X",MatchDay!$U$2+MatchDay!$U$2+1-COUNTIF(Distance!W424:W428,"X"),RANK(W428,$W424:$X439,0)))</f>
        <v>3</v>
      </c>
      <c r="Z428" s="19" t="str">
        <f ca="1">IFERROR(IF(Y428=0,0,IF(OR(VLOOKUP(AG428,E432:Y439,21,FALSE)=0,Y428&lt;=VLOOKUP(AG428,E432:Y439,21,FALSE)),"A","B")),"")</f>
        <v>A</v>
      </c>
      <c r="AA428" s="19">
        <f ca="1">IFERROR(IF(Z428="B","",RANK(AD428,AD424:AD439,1)),"")</f>
        <v>2</v>
      </c>
      <c r="AB428" s="19" t="str">
        <f ca="1">IFERROR(IF(Z428="A","",RANK(AE428,AE424:AE439,1)),"")</f>
        <v/>
      </c>
      <c r="AD428" s="9">
        <f t="shared" ca="1" si="136"/>
        <v>3</v>
      </c>
      <c r="AE428" s="9" t="str">
        <f t="shared" ca="1" si="137"/>
        <v/>
      </c>
      <c r="AF428" s="9" t="s">
        <v>179</v>
      </c>
      <c r="AG428" s="4">
        <f>IFERROR(IF(A423=0,E428*11,E428&amp;E428),"")</f>
        <v>33</v>
      </c>
    </row>
    <row r="429" spans="1:33" s="4" customFormat="1" ht="15.95" customHeight="1" x14ac:dyDescent="0.35">
      <c r="A429" s="8" t="str">
        <f>IFERROR(IF(D429&gt;MatchDay!$U$2,"-",VLOOKUP(A420,timetables,MatchDay!$U$4+5,FALSE)),0)</f>
        <v>-</v>
      </c>
      <c r="B429" s="7" t="str">
        <f t="shared" ca="1" si="131"/>
        <v/>
      </c>
      <c r="C429" s="7" t="str">
        <f t="shared" ca="1" si="132"/>
        <v/>
      </c>
      <c r="D429" s="55">
        <v>6</v>
      </c>
      <c r="E429" s="17" t="str">
        <f t="shared" si="133"/>
        <v>-</v>
      </c>
      <c r="F429" s="18" t="str">
        <f>IFERROR(IF(A423=0,HLOOKUP(E429,Declarations!$D$2:$S$102,B421,FALSE),HLOOKUP(VLOOKUP(E429,Teams!$V$2:$W$19,2,FALSE),Declarations!$D$2:$S$102,B421,FALSE)),"")</f>
        <v/>
      </c>
      <c r="G429" s="18" t="str">
        <f t="shared" si="130"/>
        <v/>
      </c>
      <c r="H429" s="524">
        <f ca="1">IFERROR(INDIRECT(CONCATENATE("'Distance Input'!"&amp;B422&amp;C422+5)),"")</f>
        <v>0</v>
      </c>
      <c r="I429" s="525"/>
      <c r="J429" s="524">
        <v>0</v>
      </c>
      <c r="K429" s="525"/>
      <c r="L429" s="524">
        <v>0</v>
      </c>
      <c r="M429" s="525"/>
      <c r="N429" s="539">
        <f t="shared" ca="1" si="134"/>
        <v>0</v>
      </c>
      <c r="O429" s="540"/>
      <c r="P429" s="55">
        <v>0</v>
      </c>
      <c r="Q429" s="541">
        <v>0</v>
      </c>
      <c r="R429" s="541"/>
      <c r="S429" s="541">
        <v>0</v>
      </c>
      <c r="T429" s="541"/>
      <c r="U429" s="541">
        <v>0</v>
      </c>
      <c r="V429" s="541"/>
      <c r="W429" s="524">
        <f t="shared" ca="1" si="135"/>
        <v>0</v>
      </c>
      <c r="X429" s="525"/>
      <c r="Y429" s="55">
        <f ca="1">IF(OR(W429="",W429=0),0,IF(W429="X",MatchDay!$U$2+MatchDay!$U$2+1-COUNTIF(Distance!W424:W429,"X"),RANK(W429,$W424:$X439,0)))</f>
        <v>0</v>
      </c>
      <c r="Z429" s="19">
        <f ca="1">IFERROR(IF(Y429=0,0,IF(OR(VLOOKUP(AG429,E432:Y439,21,FALSE)=0,Y429&lt;=VLOOKUP(AG429,E432:Y439,21,FALSE)),"A","B")),"")</f>
        <v>0</v>
      </c>
      <c r="AA429" s="19" t="str">
        <f ca="1">IFERROR(IF(Z429="B","",RANK(AD429,AD424:AD439,1)),"")</f>
        <v/>
      </c>
      <c r="AB429" s="19" t="str">
        <f ca="1">IFERROR(IF(Z429="A","",RANK(AE429,AE424:AE439,1)),"")</f>
        <v/>
      </c>
      <c r="AD429" s="9" t="str">
        <f t="shared" ca="1" si="136"/>
        <v/>
      </c>
      <c r="AE429" s="9" t="str">
        <f t="shared" ca="1" si="137"/>
        <v/>
      </c>
      <c r="AF429" s="9" t="s">
        <v>179</v>
      </c>
      <c r="AG429" s="4" t="str">
        <f>IFERROR(IF(A423=0,E429*11,E429&amp;E429),"")</f>
        <v/>
      </c>
    </row>
    <row r="430" spans="1:33" s="4" customFormat="1" ht="15.95" customHeight="1" x14ac:dyDescent="0.35">
      <c r="A430" s="8" t="str">
        <f>IFERROR(IF(D430&gt;MatchDay!$U$2,"-",VLOOKUP(A420,timetables,MatchDay!$U$4+6,FALSE)),0)</f>
        <v>-</v>
      </c>
      <c r="B430" s="7" t="str">
        <f t="shared" ca="1" si="131"/>
        <v/>
      </c>
      <c r="C430" s="7" t="str">
        <f t="shared" ca="1" si="132"/>
        <v/>
      </c>
      <c r="D430" s="55">
        <v>7</v>
      </c>
      <c r="E430" s="17" t="str">
        <f t="shared" si="133"/>
        <v>-</v>
      </c>
      <c r="F430" s="18" t="str">
        <f>IFERROR(IF(A423=0,HLOOKUP(E430,Declarations!$D$2:$S$102,B421,FALSE),HLOOKUP(VLOOKUP(E430,Teams!$V$2:$W$19,2,FALSE),Declarations!$D$2:$S$102,B421,FALSE)),"")</f>
        <v/>
      </c>
      <c r="G430" s="18" t="str">
        <f t="shared" si="130"/>
        <v/>
      </c>
      <c r="H430" s="524">
        <f ca="1">IFERROR(INDIRECT(CONCATENATE("'Distance Input'!"&amp;B422&amp;C422+6)),"")</f>
        <v>0</v>
      </c>
      <c r="I430" s="525"/>
      <c r="J430" s="524">
        <v>0</v>
      </c>
      <c r="K430" s="525"/>
      <c r="L430" s="524">
        <v>0</v>
      </c>
      <c r="M430" s="525"/>
      <c r="N430" s="539">
        <f t="shared" ca="1" si="134"/>
        <v>0</v>
      </c>
      <c r="O430" s="540"/>
      <c r="P430" s="55">
        <v>0</v>
      </c>
      <c r="Q430" s="541">
        <v>0</v>
      </c>
      <c r="R430" s="541"/>
      <c r="S430" s="541">
        <v>0</v>
      </c>
      <c r="T430" s="541"/>
      <c r="U430" s="541">
        <v>0</v>
      </c>
      <c r="V430" s="541"/>
      <c r="W430" s="524">
        <f t="shared" ca="1" si="135"/>
        <v>0</v>
      </c>
      <c r="X430" s="525"/>
      <c r="Y430" s="55">
        <f ca="1">IF(OR(W430="",W430=0),0,IF(W430="X",MatchDay!$U$2+MatchDay!$U$2+1-COUNTIF(Distance!W424:W430,"X"),RANK(W430,$W424:$X439,0)))</f>
        <v>0</v>
      </c>
      <c r="Z430" s="19">
        <f ca="1">IFERROR(IF(Y430=0,0,IF(OR(VLOOKUP(AG430,E432:Y439,21,FALSE)=0,Y430&lt;=VLOOKUP(AG430,E432:Y439,21,FALSE)),"A","B")),"")</f>
        <v>0</v>
      </c>
      <c r="AA430" s="19" t="str">
        <f ca="1">IFERROR(IF(Z430="B","",RANK(AD430,AD424:AD439,1)),"")</f>
        <v/>
      </c>
      <c r="AB430" s="19" t="str">
        <f ca="1">IFERROR(IF(Z430="A","",RANK(AE430,AE424:AE439,1)),"")</f>
        <v/>
      </c>
      <c r="AD430" s="9" t="str">
        <f t="shared" ca="1" si="136"/>
        <v/>
      </c>
      <c r="AE430" s="9" t="str">
        <f t="shared" ca="1" si="137"/>
        <v/>
      </c>
      <c r="AF430" s="9" t="s">
        <v>179</v>
      </c>
      <c r="AG430" s="4" t="str">
        <f>IFERROR(IF(A423=0,E430*11,E430&amp;E430),"")</f>
        <v/>
      </c>
    </row>
    <row r="431" spans="1:33" s="4" customFormat="1" ht="15.95" customHeight="1" x14ac:dyDescent="0.35">
      <c r="A431" s="8" t="str">
        <f>IFERROR(IF(D431&gt;MatchDay!$U$2,"-",VLOOKUP(A420,timetables,MatchDay!$U$4+7,FALSE)),0)</f>
        <v>-</v>
      </c>
      <c r="B431" s="7" t="str">
        <f t="shared" ca="1" si="131"/>
        <v/>
      </c>
      <c r="C431" s="7" t="str">
        <f t="shared" ca="1" si="132"/>
        <v/>
      </c>
      <c r="D431" s="55">
        <v>8</v>
      </c>
      <c r="E431" s="17" t="str">
        <f t="shared" si="133"/>
        <v>-</v>
      </c>
      <c r="F431" s="18" t="str">
        <f>IFERROR(IF(A423=0,HLOOKUP(E431,Declarations!$D$2:$S$102,B421,FALSE),HLOOKUP(VLOOKUP(E431,Teams!$V$2:$W$19,2,FALSE),Declarations!$D$2:$S$102,B421,FALSE)),"")</f>
        <v/>
      </c>
      <c r="G431" s="18" t="str">
        <f t="shared" si="130"/>
        <v/>
      </c>
      <c r="H431" s="524">
        <f ca="1">IFERROR(INDIRECT(CONCATENATE("'Distance Input'!"&amp;B422&amp;C422+7)),"")</f>
        <v>0</v>
      </c>
      <c r="I431" s="525"/>
      <c r="J431" s="524">
        <v>0</v>
      </c>
      <c r="K431" s="525"/>
      <c r="L431" s="524">
        <v>0</v>
      </c>
      <c r="M431" s="525"/>
      <c r="N431" s="539">
        <f t="shared" ca="1" si="134"/>
        <v>0</v>
      </c>
      <c r="O431" s="540"/>
      <c r="P431" s="55">
        <v>0</v>
      </c>
      <c r="Q431" s="541">
        <v>0</v>
      </c>
      <c r="R431" s="541"/>
      <c r="S431" s="541">
        <v>0</v>
      </c>
      <c r="T431" s="541"/>
      <c r="U431" s="541">
        <v>0</v>
      </c>
      <c r="V431" s="541"/>
      <c r="W431" s="524">
        <f t="shared" ca="1" si="135"/>
        <v>0</v>
      </c>
      <c r="X431" s="525"/>
      <c r="Y431" s="55">
        <f ca="1">IF(OR(W431="",W431=0),0,IF(W431="X",MatchDay!$U$2+MatchDay!$U$2+1-COUNTIF(Distance!W424:W431,"X"),RANK(W431,$W424:$X439,0)))</f>
        <v>0</v>
      </c>
      <c r="Z431" s="19">
        <f ca="1">IFERROR(IF(Y431=0,0,IF(OR(VLOOKUP(AG431,E432:Y439,21,FALSE)=0,Y431&lt;=VLOOKUP(AG431,E432:Y439,21,FALSE)),"A","B")),"")</f>
        <v>0</v>
      </c>
      <c r="AA431" s="19" t="str">
        <f ca="1">IFERROR(IF(Z431="B","",RANK(AD431,AD424:AD439,1)),"")</f>
        <v/>
      </c>
      <c r="AB431" s="19" t="str">
        <f ca="1">IFERROR(IF(Z431="A","",RANK(AE431,AE424:AE439,1)),"")</f>
        <v/>
      </c>
      <c r="AD431" s="9" t="str">
        <f t="shared" ca="1" si="136"/>
        <v/>
      </c>
      <c r="AE431" s="9" t="str">
        <f t="shared" ca="1" si="137"/>
        <v/>
      </c>
      <c r="AF431" s="9" t="s">
        <v>179</v>
      </c>
      <c r="AG431" s="4" t="str">
        <f>IFERROR(IF(A423=0,E431*11,E431&amp;E431),"")</f>
        <v/>
      </c>
    </row>
    <row r="432" spans="1:33" s="4" customFormat="1" ht="15.95" customHeight="1" x14ac:dyDescent="0.35">
      <c r="A432" s="8">
        <f>IFERROR(IF(A423=0,A424*11,A424&amp;A424),"-")</f>
        <v>11</v>
      </c>
      <c r="B432" s="7" t="str">
        <f t="shared" ca="1" si="131"/>
        <v/>
      </c>
      <c r="C432" s="7">
        <f t="shared" ca="1" si="132"/>
        <v>4</v>
      </c>
      <c r="D432" s="55">
        <v>9</v>
      </c>
      <c r="E432" s="17">
        <f t="shared" si="133"/>
        <v>11</v>
      </c>
      <c r="F432" s="18" t="str">
        <f ca="1">IFERROR(IF(A423=0,HLOOKUP(E432,Declarations!$D$2:$S$102,B421,FALSE),HLOOKUP(VLOOKUP(E432,Teams!$V$2:$W$19,2,FALSE),Declarations!$D$2:$S$102,B421,FALSE)),"")</f>
        <v>ROGERS Emily</v>
      </c>
      <c r="G432" s="18" t="str">
        <f t="shared" si="130"/>
        <v>C'field</v>
      </c>
      <c r="H432" s="524">
        <f ca="1">IFERROR(INDIRECT(CONCATENATE("'Distance Input'!"&amp;B422&amp;C422+8)),"")</f>
        <v>3.49</v>
      </c>
      <c r="I432" s="525"/>
      <c r="J432" s="524">
        <v>0</v>
      </c>
      <c r="K432" s="525"/>
      <c r="L432" s="524">
        <v>0</v>
      </c>
      <c r="M432" s="525"/>
      <c r="N432" s="539">
        <f t="shared" ca="1" si="134"/>
        <v>3.49</v>
      </c>
      <c r="O432" s="540"/>
      <c r="P432" s="55">
        <v>0</v>
      </c>
      <c r="Q432" s="541">
        <v>0</v>
      </c>
      <c r="R432" s="541"/>
      <c r="S432" s="541">
        <v>0</v>
      </c>
      <c r="T432" s="541"/>
      <c r="U432" s="541">
        <v>0</v>
      </c>
      <c r="V432" s="541"/>
      <c r="W432" s="524">
        <f t="shared" ca="1" si="135"/>
        <v>3.49</v>
      </c>
      <c r="X432" s="525"/>
      <c r="Y432" s="55">
        <f ca="1">IF(OR(W432="",W432=0),0,IF(W432="X",MatchDay!$U$2+MatchDay!$U$2+1-COUNTIF(Distance!W424:W432,"X"),RANK(W432,$W424:$X439,0)))</f>
        <v>8</v>
      </c>
      <c r="Z432" s="19" t="str">
        <f ca="1">IFERROR(IF(Y432=0,0,IF(VLOOKUP(AG432,E424:Y431,21,FALSE)=0,"A",IF(Y432&gt;=VLOOKUP(AG432,E424:Y431,21,FALSE),"B","A"))),"")</f>
        <v>B</v>
      </c>
      <c r="AA432" s="19" t="str">
        <f ca="1">IFERROR(IF(Z432="B","",RANK(AD432,AD424:AD439,1)),"")</f>
        <v/>
      </c>
      <c r="AB432" s="19">
        <f ca="1">IFERROR(IF(Z432="A","",RANK(AE432,AE424:AE439,1)),"")</f>
        <v>4</v>
      </c>
      <c r="AD432" s="9" t="str">
        <f t="shared" ca="1" si="136"/>
        <v/>
      </c>
      <c r="AE432" s="9">
        <f t="shared" ca="1" si="137"/>
        <v>8</v>
      </c>
      <c r="AF432" s="9" t="s">
        <v>179</v>
      </c>
      <c r="AG432" s="4">
        <f>IFERROR(IF(A423=0,E432/11,LEFT(E432,1)),"")</f>
        <v>1</v>
      </c>
    </row>
    <row r="433" spans="1:33" s="4" customFormat="1" ht="15.95" customHeight="1" x14ac:dyDescent="0.35">
      <c r="A433" s="8">
        <f>IFERROR(IF(A423=0,A425*11,A425&amp;A425),"-")</f>
        <v>55</v>
      </c>
      <c r="B433" s="7">
        <f t="shared" ca="1" si="131"/>
        <v>5</v>
      </c>
      <c r="C433" s="7" t="str">
        <f t="shared" ca="1" si="132"/>
        <v/>
      </c>
      <c r="D433" s="55">
        <v>10</v>
      </c>
      <c r="E433" s="17">
        <f t="shared" si="133"/>
        <v>55</v>
      </c>
      <c r="F433" s="18" t="str">
        <f ca="1">IFERROR(IF(A423=0,HLOOKUP(E433,Declarations!$D$2:$S$102,B421,FALSE),HLOOKUP(VLOOKUP(E433,Teams!$V$2:$W$19,2,FALSE),Declarations!$D$2:$S$102,B421,FALSE)),"")</f>
        <v>WHITTAKER Millie</v>
      </c>
      <c r="G433" s="18" t="str">
        <f t="shared" si="130"/>
        <v>Scun</v>
      </c>
      <c r="H433" s="524">
        <f ca="1">IFERROR(INDIRECT(CONCATENATE("'Distance Input'!"&amp;B422&amp;C422+9)),"")</f>
        <v>3.24</v>
      </c>
      <c r="I433" s="525"/>
      <c r="J433" s="524">
        <v>0</v>
      </c>
      <c r="K433" s="525"/>
      <c r="L433" s="524">
        <v>0</v>
      </c>
      <c r="M433" s="525"/>
      <c r="N433" s="539">
        <f t="shared" ca="1" si="134"/>
        <v>3.24</v>
      </c>
      <c r="O433" s="540"/>
      <c r="P433" s="55">
        <v>0</v>
      </c>
      <c r="Q433" s="541">
        <v>0</v>
      </c>
      <c r="R433" s="541"/>
      <c r="S433" s="541">
        <v>0</v>
      </c>
      <c r="T433" s="541"/>
      <c r="U433" s="541">
        <v>0</v>
      </c>
      <c r="V433" s="541"/>
      <c r="W433" s="524">
        <f t="shared" ca="1" si="135"/>
        <v>3.24</v>
      </c>
      <c r="X433" s="525"/>
      <c r="Y433" s="55">
        <f ca="1">IF(OR(W433="",W433=0),0,IF(W433="X",MatchDay!$U$2+MatchDay!$U$2+1-COUNTIF(Distance!W424:W433,"X"),RANK(W433,$W424:$X439,0)))</f>
        <v>9</v>
      </c>
      <c r="Z433" s="19" t="str">
        <f ca="1">IFERROR(IF(Y433=0,0,IF(VLOOKUP(AG433,E424:Y431,21,FALSE)=0,"A",IF(Y433&gt;=VLOOKUP(AG433,E424:Y431,21,FALSE),"B","A"))),"")</f>
        <v>A</v>
      </c>
      <c r="AA433" s="19">
        <f ca="1">IFERROR(IF(Z433="B","",RANK(AD433,AD424:AD439,1)),"")</f>
        <v>5</v>
      </c>
      <c r="AB433" s="19" t="str">
        <f ca="1">IFERROR(IF(Z433="A","",RANK(AE433,AE424:AE439,1)),"")</f>
        <v/>
      </c>
      <c r="AD433" s="9">
        <f t="shared" ca="1" si="136"/>
        <v>9</v>
      </c>
      <c r="AE433" s="9" t="str">
        <f t="shared" ca="1" si="137"/>
        <v/>
      </c>
      <c r="AF433" s="9" t="s">
        <v>179</v>
      </c>
      <c r="AG433" s="4">
        <f>IFERROR(IF(A423=0,E433/11,LEFT(E433,1)),"")</f>
        <v>5</v>
      </c>
    </row>
    <row r="434" spans="1:33" s="4" customFormat="1" ht="15.95" customHeight="1" x14ac:dyDescent="0.35">
      <c r="A434" s="8">
        <f>IFERROR(IF(A423=0,A426*11,A426&amp;A426),"-")</f>
        <v>44</v>
      </c>
      <c r="B434" s="7">
        <f t="shared" ca="1" si="131"/>
        <v>3</v>
      </c>
      <c r="C434" s="7" t="str">
        <f t="shared" ca="1" si="132"/>
        <v/>
      </c>
      <c r="D434" s="55">
        <v>11</v>
      </c>
      <c r="E434" s="17">
        <f t="shared" si="133"/>
        <v>44</v>
      </c>
      <c r="F434" s="18" t="str">
        <f ca="1">IFERROR(IF(A423=0,HLOOKUP(E434,Declarations!$D$2:$S$102,B421,FALSE),HLOOKUP(VLOOKUP(E434,Teams!$V$2:$W$19,2,FALSE),Declarations!$D$2:$S$102,B421,FALSE)),"")</f>
        <v>MANNION Grace</v>
      </c>
      <c r="G434" s="18" t="str">
        <f t="shared" si="130"/>
        <v>M'bro</v>
      </c>
      <c r="H434" s="524">
        <f ca="1">IFERROR(INDIRECT(CONCATENATE("'Distance Input'!"&amp;B422&amp;C422+10)),"")</f>
        <v>3.87</v>
      </c>
      <c r="I434" s="525"/>
      <c r="J434" s="524">
        <v>0</v>
      </c>
      <c r="K434" s="525"/>
      <c r="L434" s="524">
        <v>0</v>
      </c>
      <c r="M434" s="525"/>
      <c r="N434" s="539">
        <f t="shared" ca="1" si="134"/>
        <v>3.87</v>
      </c>
      <c r="O434" s="540"/>
      <c r="P434" s="55">
        <v>0</v>
      </c>
      <c r="Q434" s="541">
        <v>0</v>
      </c>
      <c r="R434" s="541"/>
      <c r="S434" s="541">
        <v>0</v>
      </c>
      <c r="T434" s="541"/>
      <c r="U434" s="541">
        <v>0</v>
      </c>
      <c r="V434" s="541"/>
      <c r="W434" s="524">
        <f t="shared" ca="1" si="135"/>
        <v>3.87</v>
      </c>
      <c r="X434" s="525"/>
      <c r="Y434" s="55">
        <f ca="1">IF(OR(W434="",W434=0),0,IF(W434="X",MatchDay!$U$2+MatchDay!$U$2+1-COUNTIF(Distance!W424:W434,"X"),RANK(W434,$W424:$X439,0)))</f>
        <v>5</v>
      </c>
      <c r="Z434" s="19" t="str">
        <f ca="1">IFERROR(IF(Y434=0,0,IF(VLOOKUP(AG434,E424:Y431,21,FALSE)=0,"A",IF(Y434&gt;=VLOOKUP(AG434,E424:Y431,21,FALSE),"B","A"))),"")</f>
        <v>A</v>
      </c>
      <c r="AA434" s="19">
        <f ca="1">IFERROR(IF(Z434="B","",RANK(AD434,AD424:AD439,1)),"")</f>
        <v>3</v>
      </c>
      <c r="AB434" s="19" t="str">
        <f ca="1">IFERROR(IF(Z434="A","",RANK(AE434,AE424:AE439,1)),"")</f>
        <v/>
      </c>
      <c r="AD434" s="9">
        <f t="shared" ca="1" si="136"/>
        <v>5</v>
      </c>
      <c r="AE434" s="9" t="str">
        <f t="shared" ca="1" si="137"/>
        <v/>
      </c>
      <c r="AF434" s="9" t="s">
        <v>179</v>
      </c>
      <c r="AG434" s="4">
        <f>IFERROR(IF(A423=0,E434/11,LEFT(E434,1)),"")</f>
        <v>4</v>
      </c>
    </row>
    <row r="435" spans="1:33" s="4" customFormat="1" ht="15.95" customHeight="1" x14ac:dyDescent="0.35">
      <c r="A435" s="8">
        <f>IFERROR(IF(A423=0,A427*11,A427&amp;A427),"-")</f>
        <v>22</v>
      </c>
      <c r="B435" s="7" t="str">
        <f t="shared" ca="1" si="131"/>
        <v/>
      </c>
      <c r="C435" s="7">
        <f t="shared" ca="1" si="132"/>
        <v>1</v>
      </c>
      <c r="D435" s="55">
        <v>12</v>
      </c>
      <c r="E435" s="17">
        <f t="shared" si="133"/>
        <v>22</v>
      </c>
      <c r="F435" s="18" t="str">
        <f ca="1">IFERROR(IF(A423=0,HLOOKUP(E435,Declarations!$D$2:$S$102,B421,FALSE),HLOOKUP(VLOOKUP(E435,Teams!$V$2:$W$19,2,FALSE),Declarations!$D$2:$S$102,B421,FALSE)),"")</f>
        <v>ADEBAYO Daphney</v>
      </c>
      <c r="G435" s="18" t="str">
        <f t="shared" si="130"/>
        <v>Sheff+D</v>
      </c>
      <c r="H435" s="524">
        <f ca="1">IFERROR(INDIRECT(CONCATENATE("'Distance Input'!"&amp;B422&amp;C422+11)),"")</f>
        <v>4.8099999999999996</v>
      </c>
      <c r="I435" s="525"/>
      <c r="J435" s="524">
        <v>0</v>
      </c>
      <c r="K435" s="525"/>
      <c r="L435" s="524">
        <v>0</v>
      </c>
      <c r="M435" s="525"/>
      <c r="N435" s="539">
        <f t="shared" ca="1" si="134"/>
        <v>4.8099999999999996</v>
      </c>
      <c r="O435" s="540"/>
      <c r="P435" s="55">
        <v>0</v>
      </c>
      <c r="Q435" s="541">
        <v>0</v>
      </c>
      <c r="R435" s="541"/>
      <c r="S435" s="541">
        <v>0</v>
      </c>
      <c r="T435" s="541"/>
      <c r="U435" s="541">
        <v>0</v>
      </c>
      <c r="V435" s="541"/>
      <c r="W435" s="524">
        <f t="shared" ca="1" si="135"/>
        <v>4.8099999999999996</v>
      </c>
      <c r="X435" s="525"/>
      <c r="Y435" s="55">
        <f ca="1">IF(OR(W435="",W435=0),0,IF(W435="X",MatchDay!$U$2+MatchDay!$U$2+1-COUNTIF(Distance!W424:W435,"X"),RANK(W435,$W424:$X439,0)))</f>
        <v>2</v>
      </c>
      <c r="Z435" s="19" t="str">
        <f ca="1">IFERROR(IF(Y435=0,0,IF(VLOOKUP(AG435,E424:Y431,21,FALSE)=0,"A",IF(Y435&gt;=VLOOKUP(AG435,E424:Y431,21,FALSE),"B","A"))),"")</f>
        <v>B</v>
      </c>
      <c r="AA435" s="19" t="str">
        <f ca="1">IFERROR(IF(Z435="B","",RANK(AD435,AD424:AD439,1)),"")</f>
        <v/>
      </c>
      <c r="AB435" s="19">
        <f ca="1">IFERROR(IF(Z435="A","",RANK(AE435,AE424:AE439,1)),"")</f>
        <v>1</v>
      </c>
      <c r="AD435" s="9" t="str">
        <f t="shared" ca="1" si="136"/>
        <v/>
      </c>
      <c r="AE435" s="9">
        <f t="shared" ca="1" si="137"/>
        <v>2</v>
      </c>
      <c r="AF435" s="9" t="s">
        <v>179</v>
      </c>
      <c r="AG435" s="4">
        <f>IFERROR(IF(A423=0,E435/11,LEFT(E435,1)),"")</f>
        <v>2</v>
      </c>
    </row>
    <row r="436" spans="1:33" s="4" customFormat="1" ht="15.95" customHeight="1" x14ac:dyDescent="0.35">
      <c r="A436" s="8">
        <f>IFERROR(IF(A423=0,A428*11,A428&amp;A428),"-")</f>
        <v>33</v>
      </c>
      <c r="B436" s="7" t="str">
        <f t="shared" ca="1" si="131"/>
        <v/>
      </c>
      <c r="C436" s="7">
        <f t="shared" ca="1" si="132"/>
        <v>2</v>
      </c>
      <c r="D436" s="55">
        <v>13</v>
      </c>
      <c r="E436" s="17">
        <f t="shared" si="133"/>
        <v>33</v>
      </c>
      <c r="F436" s="18" t="str">
        <f ca="1">IFERROR(IF(A423=0,HLOOKUP(E436,Declarations!$D$2:$S$102,B421,FALSE),HLOOKUP(VLOOKUP(E436,Teams!$V$2:$W$19,2,FALSE),Declarations!$D$2:$S$102,B421,FALSE)),"")</f>
        <v>MAUDE Charlotte</v>
      </c>
      <c r="G436" s="18" t="str">
        <f t="shared" si="130"/>
        <v>York</v>
      </c>
      <c r="H436" s="524">
        <f ca="1">IFERROR(INDIRECT(CONCATENATE("'Distance Input'!"&amp;B422&amp;C422+12)),"")</f>
        <v>4.24</v>
      </c>
      <c r="I436" s="525"/>
      <c r="J436" s="524">
        <v>0</v>
      </c>
      <c r="K436" s="525"/>
      <c r="L436" s="524">
        <v>0</v>
      </c>
      <c r="M436" s="525"/>
      <c r="N436" s="539">
        <f t="shared" ca="1" si="134"/>
        <v>4.24</v>
      </c>
      <c r="O436" s="540"/>
      <c r="P436" s="55">
        <v>0</v>
      </c>
      <c r="Q436" s="541">
        <v>0</v>
      </c>
      <c r="R436" s="541"/>
      <c r="S436" s="541">
        <v>0</v>
      </c>
      <c r="T436" s="541"/>
      <c r="U436" s="541">
        <v>0</v>
      </c>
      <c r="V436" s="541"/>
      <c r="W436" s="524">
        <f t="shared" ca="1" si="135"/>
        <v>4.24</v>
      </c>
      <c r="X436" s="525"/>
      <c r="Y436" s="55">
        <f ca="1">IF(OR(W436="",W436=0),0,IF(W436="X",MatchDay!$U$2+MatchDay!$U$2+1-COUNTIF(Distance!W424:W436,"X"),RANK(W436,$W424:$X439,0)))</f>
        <v>4</v>
      </c>
      <c r="Z436" s="19" t="str">
        <f ca="1">IFERROR(IF(Y436=0,0,IF(VLOOKUP(AG436,E424:Y431,21,FALSE)=0,"A",IF(Y436&gt;=VLOOKUP(AG436,E424:Y431,21,FALSE),"B","A"))),"")</f>
        <v>B</v>
      </c>
      <c r="AA436" s="19" t="str">
        <f ca="1">IFERROR(IF(Z436="B","",RANK(AD436,AD424:AD439,1)),"")</f>
        <v/>
      </c>
      <c r="AB436" s="19">
        <f ca="1">IFERROR(IF(Z436="A","",RANK(AE436,AE424:AE439,1)),"")</f>
        <v>2</v>
      </c>
      <c r="AD436" s="9" t="str">
        <f t="shared" ca="1" si="136"/>
        <v/>
      </c>
      <c r="AE436" s="9">
        <f t="shared" ca="1" si="137"/>
        <v>4</v>
      </c>
      <c r="AF436" s="9" t="s">
        <v>179</v>
      </c>
      <c r="AG436" s="4">
        <f>IFERROR(IF(A423=0,E436/11,LEFT(E436,1)),"")</f>
        <v>3</v>
      </c>
    </row>
    <row r="437" spans="1:33" s="4" customFormat="1" ht="15.95" customHeight="1" x14ac:dyDescent="0.35">
      <c r="A437" s="8" t="str">
        <f>IFERROR(IF(A423=0,A429*11,A429&amp;A429),"-")</f>
        <v>-</v>
      </c>
      <c r="B437" s="7" t="str">
        <f t="shared" ca="1" si="131"/>
        <v/>
      </c>
      <c r="C437" s="7" t="str">
        <f t="shared" ca="1" si="132"/>
        <v/>
      </c>
      <c r="D437" s="55">
        <v>14</v>
      </c>
      <c r="E437" s="17" t="str">
        <f t="shared" si="133"/>
        <v>-</v>
      </c>
      <c r="F437" s="18" t="str">
        <f>IFERROR(IF(A423=0,HLOOKUP(E437,Declarations!$D$2:$S$102,B421,FALSE),HLOOKUP(VLOOKUP(E437,Teams!$V$2:$W$19,2,FALSE),Declarations!$D$2:$S$102,B421,FALSE)),"")</f>
        <v/>
      </c>
      <c r="G437" s="18" t="str">
        <f t="shared" si="130"/>
        <v/>
      </c>
      <c r="H437" s="524">
        <f ca="1">IFERROR(INDIRECT(CONCATENATE("'Distance Input'!"&amp;B422&amp;C422+13)),"")</f>
        <v>0</v>
      </c>
      <c r="I437" s="525"/>
      <c r="J437" s="524">
        <v>0</v>
      </c>
      <c r="K437" s="525"/>
      <c r="L437" s="524">
        <v>0</v>
      </c>
      <c r="M437" s="525"/>
      <c r="N437" s="539">
        <f t="shared" ca="1" si="134"/>
        <v>0</v>
      </c>
      <c r="O437" s="540"/>
      <c r="P437" s="55">
        <v>0</v>
      </c>
      <c r="Q437" s="541">
        <v>0</v>
      </c>
      <c r="R437" s="541"/>
      <c r="S437" s="541">
        <v>0</v>
      </c>
      <c r="T437" s="541"/>
      <c r="U437" s="541">
        <v>0</v>
      </c>
      <c r="V437" s="541"/>
      <c r="W437" s="524">
        <f t="shared" ca="1" si="135"/>
        <v>0</v>
      </c>
      <c r="X437" s="525"/>
      <c r="Y437" s="55">
        <f ca="1">IF(OR(W437="",W437=0),0,IF(W437="X",MatchDay!$U$2+MatchDay!$U$2+1-COUNTIF(Distance!W424:W437,"X"),RANK(W437,$W424:$X439,0)))</f>
        <v>0</v>
      </c>
      <c r="Z437" s="19">
        <f ca="1">IFERROR(IF(Y437=0,0,IF(VLOOKUP(AG437,E424:Y431,21,FALSE)=0,"A",IF(Y437&gt;=VLOOKUP(AG437,E424:Y431,21,FALSE),"B","A"))),"")</f>
        <v>0</v>
      </c>
      <c r="AA437" s="19" t="str">
        <f ca="1">IFERROR(IF(Z437="B","",RANK(AD437,AD424:AD439,1)),"")</f>
        <v/>
      </c>
      <c r="AB437" s="19" t="str">
        <f ca="1">IFERROR(IF(Z437="A","",RANK(AE437,AE424:AE439,1)),"")</f>
        <v/>
      </c>
      <c r="AD437" s="9" t="str">
        <f t="shared" ca="1" si="136"/>
        <v/>
      </c>
      <c r="AE437" s="9" t="str">
        <f t="shared" ca="1" si="137"/>
        <v/>
      </c>
      <c r="AF437" s="9" t="s">
        <v>179</v>
      </c>
      <c r="AG437" s="4" t="str">
        <f>IFERROR(IF(A423=0,E437/11,LEFT(E437,1)),"")</f>
        <v/>
      </c>
    </row>
    <row r="438" spans="1:33" s="4" customFormat="1" ht="15.95" customHeight="1" x14ac:dyDescent="0.35">
      <c r="A438" s="8" t="str">
        <f>IFERROR(IF(A423=0,A430*11,A430&amp;A430),"-")</f>
        <v>-</v>
      </c>
      <c r="B438" s="7" t="str">
        <f t="shared" ca="1" si="131"/>
        <v/>
      </c>
      <c r="C438" s="7" t="str">
        <f t="shared" ca="1" si="132"/>
        <v/>
      </c>
      <c r="D438" s="55">
        <v>15</v>
      </c>
      <c r="E438" s="17" t="str">
        <f t="shared" si="133"/>
        <v>-</v>
      </c>
      <c r="F438" s="18" t="str">
        <f>IFERROR(IF(A423=0,HLOOKUP(E438,Declarations!$D$2:$S$102,B421,FALSE),HLOOKUP(VLOOKUP(E438,Teams!$V$2:$W$19,2,FALSE),Declarations!$D$2:$S$102,B421,FALSE)),"")</f>
        <v/>
      </c>
      <c r="G438" s="18" t="str">
        <f t="shared" si="130"/>
        <v/>
      </c>
      <c r="H438" s="524">
        <f ca="1">IFERROR(INDIRECT(CONCATENATE("'Distance Input'!"&amp;B422&amp;C422+14)),"")</f>
        <v>0</v>
      </c>
      <c r="I438" s="525"/>
      <c r="J438" s="524">
        <v>0</v>
      </c>
      <c r="K438" s="525"/>
      <c r="L438" s="524">
        <v>0</v>
      </c>
      <c r="M438" s="525"/>
      <c r="N438" s="539">
        <f t="shared" ca="1" si="134"/>
        <v>0</v>
      </c>
      <c r="O438" s="540"/>
      <c r="P438" s="55">
        <v>0</v>
      </c>
      <c r="Q438" s="541">
        <v>0</v>
      </c>
      <c r="R438" s="541"/>
      <c r="S438" s="541">
        <v>0</v>
      </c>
      <c r="T438" s="541"/>
      <c r="U438" s="541">
        <v>0</v>
      </c>
      <c r="V438" s="541"/>
      <c r="W438" s="524">
        <f t="shared" ca="1" si="135"/>
        <v>0</v>
      </c>
      <c r="X438" s="525"/>
      <c r="Y438" s="55">
        <f ca="1">IF(OR(W438="",W438=0),0,IF(W438="X",MatchDay!$U$2+MatchDay!$U$2+1-COUNTIF(Distance!W424:W438,"X"),RANK(W438,$W424:$X439,0)))</f>
        <v>0</v>
      </c>
      <c r="Z438" s="19">
        <f ca="1">IFERROR(IF(Y438=0,0,IF(VLOOKUP(AG438,E424:Y431,21,FALSE)=0,"A",IF(Y438&gt;=VLOOKUP(AG438,E424:Y431,21,FALSE),"B","A"))),"")</f>
        <v>0</v>
      </c>
      <c r="AA438" s="19" t="str">
        <f ca="1">IFERROR(IF(Z438="B","",RANK(AD438,AD424:AD439,1)),"")</f>
        <v/>
      </c>
      <c r="AB438" s="19" t="str">
        <f ca="1">IFERROR(IF(Z438="A","",RANK(AE438,AE424:AE439,1)),"")</f>
        <v/>
      </c>
      <c r="AD438" s="9" t="str">
        <f t="shared" ca="1" si="136"/>
        <v/>
      </c>
      <c r="AE438" s="9" t="str">
        <f t="shared" ca="1" si="137"/>
        <v/>
      </c>
      <c r="AF438" s="9" t="s">
        <v>179</v>
      </c>
      <c r="AG438" s="4" t="str">
        <f>IFERROR(IF(A423=0,E438/11,LEFT(E438,1)),"")</f>
        <v/>
      </c>
    </row>
    <row r="439" spans="1:33" s="4" customFormat="1" ht="15.95" customHeight="1" x14ac:dyDescent="0.35">
      <c r="A439" s="8" t="str">
        <f>IFERROR(IF(A423=0,A431*11,A431&amp;A431),"-")</f>
        <v>-</v>
      </c>
      <c r="B439" s="7" t="str">
        <f t="shared" ca="1" si="131"/>
        <v/>
      </c>
      <c r="C439" s="7" t="str">
        <f t="shared" ca="1" si="132"/>
        <v/>
      </c>
      <c r="D439" s="55">
        <v>16</v>
      </c>
      <c r="E439" s="17" t="str">
        <f t="shared" si="133"/>
        <v>-</v>
      </c>
      <c r="F439" s="18" t="str">
        <f>IFERROR(IF(A423=0,HLOOKUP(E439,Declarations!$D$2:$S$102,B421,FALSE),HLOOKUP(VLOOKUP(E439,Teams!$V$2:$W$19,2,FALSE),Declarations!$D$2:$S$102,B421,FALSE)),"")</f>
        <v/>
      </c>
      <c r="G439" s="18" t="str">
        <f t="shared" si="130"/>
        <v/>
      </c>
      <c r="H439" s="524">
        <f ca="1">IFERROR(INDIRECT(CONCATENATE("'Distance Input'!"&amp;B422&amp;C422+15)),"")</f>
        <v>0</v>
      </c>
      <c r="I439" s="525"/>
      <c r="J439" s="524">
        <v>0</v>
      </c>
      <c r="K439" s="525"/>
      <c r="L439" s="524">
        <v>0</v>
      </c>
      <c r="M439" s="525"/>
      <c r="N439" s="539">
        <f t="shared" ca="1" si="134"/>
        <v>0</v>
      </c>
      <c r="O439" s="540"/>
      <c r="P439" s="55">
        <v>0</v>
      </c>
      <c r="Q439" s="541">
        <v>0</v>
      </c>
      <c r="R439" s="541"/>
      <c r="S439" s="541">
        <v>0</v>
      </c>
      <c r="T439" s="541"/>
      <c r="U439" s="541">
        <v>0</v>
      </c>
      <c r="V439" s="541"/>
      <c r="W439" s="524">
        <f t="shared" ca="1" si="135"/>
        <v>0</v>
      </c>
      <c r="X439" s="525"/>
      <c r="Y439" s="55">
        <f ca="1">IF(OR(W439="",W439=0),0,IF(W439="X",MatchDay!$U$2+MatchDay!$U$2+1-COUNTIF(Distance!W424:W439,"X"),RANK(W439,$W424:$X439,0)))</f>
        <v>0</v>
      </c>
      <c r="Z439" s="19">
        <f ca="1">IFERROR(IF(Y439=0,0,IF(VLOOKUP(AG439,E424:Y431,21,FALSE)=0,"A",IF(Y439&gt;=VLOOKUP(AG439,E424:Y431,21,FALSE),"B","A"))),"")</f>
        <v>0</v>
      </c>
      <c r="AA439" s="19" t="str">
        <f ca="1">IFERROR(IF(Z439="B","",RANK(AD439,AD424:AD439,1)),"")</f>
        <v/>
      </c>
      <c r="AB439" s="19" t="str">
        <f ca="1">IFERROR(IF(Z439="A","",RANK(AE439,AE424:AE439,1)),"")</f>
        <v/>
      </c>
      <c r="AD439" s="9" t="str">
        <f t="shared" ca="1" si="136"/>
        <v/>
      </c>
      <c r="AE439" s="9" t="str">
        <f t="shared" ca="1" si="137"/>
        <v/>
      </c>
      <c r="AF439" s="9" t="s">
        <v>179</v>
      </c>
      <c r="AG439" s="4" t="str">
        <f>IFERROR(IF(A423=0,E439/11,LEFT(E439,1)),"")</f>
        <v/>
      </c>
    </row>
    <row r="440" spans="1:33" s="4" customFormat="1" ht="11.65" x14ac:dyDescent="0.45">
      <c r="A440" s="8"/>
      <c r="B440" s="10"/>
      <c r="C440" s="3"/>
      <c r="D440" s="20"/>
      <c r="E440" s="20"/>
      <c r="F440" s="21"/>
      <c r="G440" s="21"/>
      <c r="H440" s="20"/>
      <c r="I440" s="20"/>
      <c r="J440" s="20"/>
      <c r="K440" s="20"/>
      <c r="L440" s="20"/>
      <c r="M440" s="20"/>
      <c r="N440" s="20"/>
      <c r="O440" s="20"/>
      <c r="P440" s="20"/>
      <c r="Q440" s="20"/>
      <c r="R440" s="20"/>
      <c r="S440" s="20"/>
      <c r="T440" s="20"/>
      <c r="U440" s="20"/>
      <c r="V440" s="20"/>
      <c r="W440" s="20"/>
      <c r="X440" s="20"/>
      <c r="Y440" s="20"/>
      <c r="Z440" s="20"/>
      <c r="AA440" s="20"/>
      <c r="AB440" s="22"/>
    </row>
    <row r="441" spans="1:33" s="4" customFormat="1" ht="11.65" x14ac:dyDescent="0.45">
      <c r="A441" s="8"/>
      <c r="B441" s="10"/>
      <c r="C441" s="3"/>
      <c r="D441" s="533" t="s">
        <v>180</v>
      </c>
      <c r="E441" s="547"/>
      <c r="F441" s="547"/>
      <c r="G441" s="547"/>
      <c r="H441" s="547"/>
      <c r="I441" s="547"/>
      <c r="J441" s="512" t="s">
        <v>181</v>
      </c>
      <c r="K441" s="548"/>
      <c r="L441" s="548"/>
      <c r="M441" s="548"/>
      <c r="N441" s="548"/>
      <c r="O441" s="548"/>
      <c r="P441" s="548"/>
      <c r="Q441" s="548"/>
      <c r="R441" s="548"/>
      <c r="S441" s="548"/>
      <c r="T441" s="548"/>
      <c r="U441" s="549"/>
      <c r="V441" s="512" t="s">
        <v>182</v>
      </c>
      <c r="W441" s="513"/>
      <c r="X441" s="513"/>
      <c r="Y441" s="513"/>
      <c r="Z441" s="513"/>
      <c r="AA441" s="513"/>
      <c r="AB441" s="514"/>
    </row>
    <row r="442" spans="1:33" s="4" customFormat="1" ht="11.65" x14ac:dyDescent="0.45">
      <c r="A442" s="8" t="s">
        <v>55</v>
      </c>
      <c r="B442" s="10"/>
      <c r="C442" s="3"/>
      <c r="D442" s="12"/>
      <c r="E442" s="55" t="s">
        <v>183</v>
      </c>
      <c r="F442" s="55" t="s">
        <v>165</v>
      </c>
      <c r="G442" s="55" t="s">
        <v>166</v>
      </c>
      <c r="H442" s="533" t="s">
        <v>184</v>
      </c>
      <c r="I442" s="533"/>
      <c r="J442" s="23"/>
      <c r="K442" s="54" t="s">
        <v>183</v>
      </c>
      <c r="L442" s="512" t="s">
        <v>165</v>
      </c>
      <c r="M442" s="513"/>
      <c r="N442" s="513"/>
      <c r="O442" s="514"/>
      <c r="P442" s="512" t="s">
        <v>166</v>
      </c>
      <c r="Q442" s="513"/>
      <c r="R442" s="513"/>
      <c r="S442" s="514"/>
      <c r="T442" s="512" t="s">
        <v>184</v>
      </c>
      <c r="U442" s="514"/>
      <c r="V442" s="24"/>
      <c r="W442" s="25"/>
      <c r="X442" s="25"/>
      <c r="Y442" s="25"/>
      <c r="Z442" s="25"/>
      <c r="AA442" s="25"/>
      <c r="AB442" s="26"/>
    </row>
    <row r="443" spans="1:33" s="4" customFormat="1" ht="15.95" customHeight="1" x14ac:dyDescent="0.45">
      <c r="A443" s="11">
        <f>IFERROR(VLOOKUP(A420,standards,3,FALSE),"-")</f>
        <v>5.05</v>
      </c>
      <c r="B443" s="10">
        <v>1</v>
      </c>
      <c r="C443" s="3"/>
      <c r="D443" s="55">
        <v>1</v>
      </c>
      <c r="E443" s="19">
        <f ca="1">IFERROR(IF(OR(H424=98,H424=99),H424,VLOOKUP(B443,B424:E439,4,FALSE)),0)</f>
        <v>2</v>
      </c>
      <c r="F443" s="27" t="str">
        <f ca="1">IFERROR(VLOOKUP(E443,$E424:$F439,2,FALSE),"")</f>
        <v>MYCROFT Tilly</v>
      </c>
      <c r="G443" s="18" t="str">
        <f t="shared" ref="G443:G450" ca="1" si="138">IFERROR(VLOOKUP(E443,teamlookup,5,FALSE),"-")</f>
        <v>Sheff+D</v>
      </c>
      <c r="H443" s="542">
        <f ca="1">IFERROR(VLOOKUP(E443,E424:X439,19,FALSE),"")</f>
        <v>5.05</v>
      </c>
      <c r="I443" s="543"/>
      <c r="J443" s="55">
        <v>1</v>
      </c>
      <c r="K443" s="55">
        <f ca="1">IFERROR(VLOOKUP(B443,C424:X439,3,FALSE),"")</f>
        <v>22</v>
      </c>
      <c r="L443" s="544" t="str">
        <f ca="1">IFERROR(VLOOKUP(K443,$E424:$F439,2,FALSE),"")</f>
        <v>ADEBAYO Daphney</v>
      </c>
      <c r="M443" s="545"/>
      <c r="N443" s="545"/>
      <c r="O443" s="546"/>
      <c r="P443" s="544" t="str">
        <f t="shared" ref="P443:P450" ca="1" si="139">IFERROR(VLOOKUP(K443,teamlookup,5,FALSE),"-")</f>
        <v>Sheff+D</v>
      </c>
      <c r="Q443" s="545"/>
      <c r="R443" s="545"/>
      <c r="S443" s="546"/>
      <c r="T443" s="524">
        <f ca="1">IFERROR(VLOOKUP(K443,E424:X439,19,FALSE),"")</f>
        <v>4.8099999999999996</v>
      </c>
      <c r="U443" s="525"/>
      <c r="V443" s="28"/>
      <c r="W443" s="29"/>
      <c r="X443" s="29"/>
      <c r="Y443" s="29"/>
      <c r="Z443" s="29"/>
      <c r="AA443" s="29"/>
      <c r="AB443" s="30"/>
    </row>
    <row r="444" spans="1:33" s="4" customFormat="1" ht="15.95" customHeight="1" x14ac:dyDescent="0.45">
      <c r="A444" s="11">
        <f>IFERROR(VLOOKUP(A420,standards,4,FALSE),"-")</f>
        <v>4.9000000000000004</v>
      </c>
      <c r="B444" s="10">
        <v>2</v>
      </c>
      <c r="C444" s="3"/>
      <c r="D444" s="55">
        <v>2</v>
      </c>
      <c r="E444" s="19">
        <f ca="1">IFERROR(VLOOKUP(B444,B424:E439,4,FALSE),"")</f>
        <v>3</v>
      </c>
      <c r="F444" s="27" t="str">
        <f ca="1">IFERROR(VLOOKUP(E444,$E424:$F439,2,FALSE),"")</f>
        <v>HASTIE Eve</v>
      </c>
      <c r="G444" s="18" t="str">
        <f t="shared" ca="1" si="138"/>
        <v>York</v>
      </c>
      <c r="H444" s="542">
        <f ca="1">IFERROR(VLOOKUP(E444,E424:X439,19,FALSE),"")</f>
        <v>4.7</v>
      </c>
      <c r="I444" s="543"/>
      <c r="J444" s="55">
        <v>2</v>
      </c>
      <c r="K444" s="55">
        <f ca="1">IFERROR(VLOOKUP(B444,C424:X439,3,FALSE),"")</f>
        <v>33</v>
      </c>
      <c r="L444" s="544" t="str">
        <f ca="1">IFERROR(VLOOKUP(K444,$E424:$F439,2,FALSE),"")</f>
        <v>MAUDE Charlotte</v>
      </c>
      <c r="M444" s="545"/>
      <c r="N444" s="545"/>
      <c r="O444" s="546"/>
      <c r="P444" s="544" t="str">
        <f t="shared" ca="1" si="139"/>
        <v>York</v>
      </c>
      <c r="Q444" s="545"/>
      <c r="R444" s="545"/>
      <c r="S444" s="546"/>
      <c r="T444" s="524">
        <f ca="1">IFERROR(VLOOKUP(K444,E424:X439,19,FALSE),"")</f>
        <v>4.24</v>
      </c>
      <c r="U444" s="525"/>
      <c r="V444" s="24"/>
      <c r="W444" s="25"/>
      <c r="X444" s="25"/>
      <c r="Y444" s="25"/>
      <c r="Z444" s="25"/>
      <c r="AA444" s="25"/>
      <c r="AB444" s="26"/>
    </row>
    <row r="445" spans="1:33" s="4" customFormat="1" ht="15.95" customHeight="1" x14ac:dyDescent="0.45">
      <c r="A445" s="11">
        <f>IFERROR(VLOOKUP(A420,standards,5,FALSE),"-")</f>
        <v>4.7</v>
      </c>
      <c r="B445" s="10">
        <v>3</v>
      </c>
      <c r="C445" s="3"/>
      <c r="D445" s="55">
        <v>3</v>
      </c>
      <c r="E445" s="19">
        <f ca="1">IFERROR(VLOOKUP(B445,B424:E439,4,FALSE),"")</f>
        <v>44</v>
      </c>
      <c r="F445" s="27" t="str">
        <f ca="1">IFERROR(VLOOKUP(E445,$E424:$F439,2,FALSE),"")</f>
        <v>MANNION Grace</v>
      </c>
      <c r="G445" s="18" t="str">
        <f t="shared" ca="1" si="138"/>
        <v>M'bro</v>
      </c>
      <c r="H445" s="542">
        <f ca="1">IFERROR(VLOOKUP(E445,E424:X439,19,FALSE),"")</f>
        <v>3.87</v>
      </c>
      <c r="I445" s="543"/>
      <c r="J445" s="55">
        <v>3</v>
      </c>
      <c r="K445" s="55">
        <f ca="1">IFERROR(VLOOKUP(B445,C424:X439,3,FALSE),"")</f>
        <v>4</v>
      </c>
      <c r="L445" s="544" t="str">
        <f ca="1">IFERROR(VLOOKUP(K445,$E424:$F439,2,FALSE),"")</f>
        <v>PYE Naiomi</v>
      </c>
      <c r="M445" s="545"/>
      <c r="N445" s="545"/>
      <c r="O445" s="546"/>
      <c r="P445" s="544" t="str">
        <f t="shared" ca="1" si="139"/>
        <v>M'bro</v>
      </c>
      <c r="Q445" s="545"/>
      <c r="R445" s="545"/>
      <c r="S445" s="546"/>
      <c r="T445" s="524">
        <f ca="1">IFERROR(VLOOKUP(K445,E424:X439,19,FALSE),"")</f>
        <v>3.57</v>
      </c>
      <c r="U445" s="525"/>
      <c r="V445" s="28"/>
      <c r="W445" s="29"/>
      <c r="X445" s="29"/>
      <c r="Y445" s="29"/>
      <c r="Z445" s="29"/>
      <c r="AA445" s="29"/>
      <c r="AB445" s="30"/>
    </row>
    <row r="446" spans="1:33" s="4" customFormat="1" ht="15.95" customHeight="1" x14ac:dyDescent="0.45">
      <c r="A446" s="11">
        <f>IFERROR(VLOOKUP(A420,AAA!A:F,6,FALSE),"-")</f>
        <v>4.4800000000000004</v>
      </c>
      <c r="B446" s="10">
        <v>4</v>
      </c>
      <c r="C446" s="3"/>
      <c r="D446" s="55">
        <v>4</v>
      </c>
      <c r="E446" s="19">
        <f ca="1">IFERROR(VLOOKUP(B446,B424:E439,4,FALSE),"")</f>
        <v>1</v>
      </c>
      <c r="F446" s="27" t="str">
        <f ca="1">IFERROR(VLOOKUP(E446,$E424:$F439,2,FALSE),"")</f>
        <v>BRIDDON Missy</v>
      </c>
      <c r="G446" s="18" t="str">
        <f t="shared" ca="1" si="138"/>
        <v>C'field</v>
      </c>
      <c r="H446" s="542">
        <f ca="1">IFERROR(VLOOKUP(E446,E424:X439,19,FALSE),"")</f>
        <v>3.82</v>
      </c>
      <c r="I446" s="543"/>
      <c r="J446" s="55">
        <v>4</v>
      </c>
      <c r="K446" s="55">
        <f ca="1">IFERROR(VLOOKUP(B446,C424:X439,3,FALSE),"")</f>
        <v>11</v>
      </c>
      <c r="L446" s="544" t="str">
        <f ca="1">IFERROR(VLOOKUP(K446,$E424:$F439,2,FALSE),"")</f>
        <v>ROGERS Emily</v>
      </c>
      <c r="M446" s="545"/>
      <c r="N446" s="545"/>
      <c r="O446" s="546"/>
      <c r="P446" s="544" t="str">
        <f t="shared" ca="1" si="139"/>
        <v>C'field</v>
      </c>
      <c r="Q446" s="545"/>
      <c r="R446" s="545"/>
      <c r="S446" s="546"/>
      <c r="T446" s="524">
        <f ca="1">IFERROR(VLOOKUP(K446,E424:X439,19,FALSE),"")</f>
        <v>3.49</v>
      </c>
      <c r="U446" s="525"/>
      <c r="V446" s="24"/>
      <c r="W446" s="25"/>
      <c r="X446" s="25"/>
      <c r="Y446" s="25"/>
      <c r="Z446" s="25"/>
      <c r="AA446" s="25"/>
      <c r="AB446" s="26"/>
    </row>
    <row r="447" spans="1:33" s="4" customFormat="1" ht="15.95" customHeight="1" x14ac:dyDescent="0.45">
      <c r="A447" s="8"/>
      <c r="B447" s="10">
        <v>5</v>
      </c>
      <c r="C447" s="3"/>
      <c r="D447" s="55">
        <v>5</v>
      </c>
      <c r="E447" s="19">
        <f ca="1">IFERROR(VLOOKUP(B447,B424:E439,4,FALSE),"")</f>
        <v>55</v>
      </c>
      <c r="F447" s="27" t="str">
        <f ca="1">IFERROR(VLOOKUP(E447,$E424:$F439,2,FALSE),"")</f>
        <v>WHITTAKER Millie</v>
      </c>
      <c r="G447" s="18" t="str">
        <f t="shared" ca="1" si="138"/>
        <v>Scun</v>
      </c>
      <c r="H447" s="542">
        <f ca="1">IFERROR(VLOOKUP(E447,E424:X439,19,FALSE),"")</f>
        <v>3.24</v>
      </c>
      <c r="I447" s="543"/>
      <c r="J447" s="55">
        <v>5</v>
      </c>
      <c r="K447" s="55">
        <f ca="1">IFERROR(VLOOKUP(B447,C424:X439,3,FALSE),"")</f>
        <v>5</v>
      </c>
      <c r="L447" s="544" t="str">
        <f ca="1">IFERROR(VLOOKUP(K447,$E424:$F439,2,FALSE),"")</f>
        <v>LINGARD Alice</v>
      </c>
      <c r="M447" s="545"/>
      <c r="N447" s="545"/>
      <c r="O447" s="546"/>
      <c r="P447" s="544" t="str">
        <f t="shared" ca="1" si="139"/>
        <v>Scun</v>
      </c>
      <c r="Q447" s="545"/>
      <c r="R447" s="545"/>
      <c r="S447" s="546"/>
      <c r="T447" s="524">
        <f ca="1">IFERROR(VLOOKUP(K447,E424:X439,19,FALSE),"")</f>
        <v>3.11</v>
      </c>
      <c r="U447" s="525"/>
      <c r="V447" s="28"/>
      <c r="W447" s="29"/>
      <c r="X447" s="29"/>
      <c r="Y447" s="29"/>
      <c r="Z447" s="29"/>
      <c r="AA447" s="29"/>
      <c r="AB447" s="30"/>
    </row>
    <row r="448" spans="1:33" s="4" customFormat="1" ht="15.95" customHeight="1" x14ac:dyDescent="0.45">
      <c r="A448" s="8" t="s">
        <v>204</v>
      </c>
      <c r="B448" s="10">
        <v>6</v>
      </c>
      <c r="C448" s="3"/>
      <c r="D448" s="55">
        <v>6</v>
      </c>
      <c r="E448" s="19" t="str">
        <f ca="1">IFERROR(VLOOKUP(B448,B424:E439,4,FALSE),"")</f>
        <v/>
      </c>
      <c r="F448" s="27" t="str">
        <f ca="1">IFERROR(VLOOKUP(E448,$E424:$F439,2,FALSE),"")</f>
        <v/>
      </c>
      <c r="G448" s="18" t="str">
        <f t="shared" ca="1" si="138"/>
        <v>-</v>
      </c>
      <c r="H448" s="542" t="str">
        <f ca="1">IFERROR(VLOOKUP(E448,E424:X439,19,FALSE),"")</f>
        <v/>
      </c>
      <c r="I448" s="543"/>
      <c r="J448" s="55">
        <v>6</v>
      </c>
      <c r="K448" s="55" t="str">
        <f ca="1">IFERROR(VLOOKUP(B448,C424:X439,3,FALSE),"")</f>
        <v/>
      </c>
      <c r="L448" s="544" t="str">
        <f ca="1">IFERROR(VLOOKUP(K448,$E424:$F439,2,FALSE),"")</f>
        <v/>
      </c>
      <c r="M448" s="545"/>
      <c r="N448" s="545"/>
      <c r="O448" s="546"/>
      <c r="P448" s="544" t="str">
        <f t="shared" ca="1" si="139"/>
        <v>-</v>
      </c>
      <c r="Q448" s="545"/>
      <c r="R448" s="545"/>
      <c r="S448" s="546"/>
      <c r="T448" s="524" t="str">
        <f ca="1">IFERROR(VLOOKUP(K448,E424:X439,19,FALSE),"")</f>
        <v/>
      </c>
      <c r="U448" s="525"/>
      <c r="V448" s="512" t="s">
        <v>185</v>
      </c>
      <c r="W448" s="513"/>
      <c r="X448" s="513"/>
      <c r="Y448" s="513"/>
      <c r="Z448" s="513"/>
      <c r="AA448" s="513"/>
      <c r="AB448" s="514"/>
    </row>
    <row r="449" spans="1:33" s="4" customFormat="1" ht="15.95" customHeight="1" x14ac:dyDescent="0.45">
      <c r="A449" s="8">
        <f>IFERROR(VLOOKUP(A420,records,5,FALSE),"")</f>
        <v>5.63</v>
      </c>
      <c r="B449" s="10">
        <v>7</v>
      </c>
      <c r="C449" s="3"/>
      <c r="D449" s="55">
        <v>7</v>
      </c>
      <c r="E449" s="19" t="str">
        <f ca="1">IFERROR(VLOOKUP(B449,B424:E439,4,FALSE),"")</f>
        <v/>
      </c>
      <c r="F449" s="27" t="str">
        <f ca="1">IFERROR(VLOOKUP(E449,$E424:$F439,2,FALSE),"")</f>
        <v/>
      </c>
      <c r="G449" s="18" t="str">
        <f t="shared" ca="1" si="138"/>
        <v>-</v>
      </c>
      <c r="H449" s="542" t="str">
        <f ca="1">IFERROR(VLOOKUP(E449,E424:X439,19,FALSE),"")</f>
        <v/>
      </c>
      <c r="I449" s="543"/>
      <c r="J449" s="55">
        <v>7</v>
      </c>
      <c r="K449" s="55" t="str">
        <f ca="1">IFERROR(VLOOKUP(B449,C424:X439,3,FALSE),"")</f>
        <v/>
      </c>
      <c r="L449" s="544" t="str">
        <f ca="1">IFERROR(VLOOKUP(K449,$E424:$F439,2,FALSE),"")</f>
        <v/>
      </c>
      <c r="M449" s="545"/>
      <c r="N449" s="545"/>
      <c r="O449" s="546"/>
      <c r="P449" s="544" t="str">
        <f t="shared" ca="1" si="139"/>
        <v>-</v>
      </c>
      <c r="Q449" s="545"/>
      <c r="R449" s="545"/>
      <c r="S449" s="546"/>
      <c r="T449" s="524" t="str">
        <f ca="1">IFERROR(VLOOKUP(K449,E424:X439,19,FALSE),"")</f>
        <v/>
      </c>
      <c r="U449" s="525"/>
      <c r="V449" s="24"/>
      <c r="W449" s="25"/>
      <c r="X449" s="25"/>
      <c r="Y449" s="25"/>
      <c r="Z449" s="25"/>
      <c r="AA449" s="25"/>
      <c r="AB449" s="26"/>
    </row>
    <row r="450" spans="1:33" s="4" customFormat="1" ht="15.95" customHeight="1" x14ac:dyDescent="0.45">
      <c r="A450" s="8"/>
      <c r="B450" s="10">
        <v>8</v>
      </c>
      <c r="C450" s="3"/>
      <c r="D450" s="55">
        <v>8</v>
      </c>
      <c r="E450" s="19" t="str">
        <f ca="1">IFERROR(VLOOKUP(B450,B424:E439,4,FALSE),"")</f>
        <v/>
      </c>
      <c r="F450" s="27" t="str">
        <f ca="1">IFERROR(VLOOKUP(E450,$E424:$F439,2,FALSE),"")</f>
        <v/>
      </c>
      <c r="G450" s="18" t="str">
        <f t="shared" ca="1" si="138"/>
        <v>-</v>
      </c>
      <c r="H450" s="542" t="str">
        <f ca="1">IFERROR(VLOOKUP(E450,E424:X439,19,FALSE),"")</f>
        <v/>
      </c>
      <c r="I450" s="543"/>
      <c r="J450" s="55">
        <v>8</v>
      </c>
      <c r="K450" s="55" t="str">
        <f ca="1">IFERROR(VLOOKUP(B450,C424:X439,3,FALSE),"")</f>
        <v/>
      </c>
      <c r="L450" s="544" t="str">
        <f ca="1">IFERROR(VLOOKUP(K450,$E424:$F439,2,FALSE),"")</f>
        <v/>
      </c>
      <c r="M450" s="545"/>
      <c r="N450" s="545"/>
      <c r="O450" s="546"/>
      <c r="P450" s="544" t="str">
        <f t="shared" ca="1" si="139"/>
        <v>-</v>
      </c>
      <c r="Q450" s="545"/>
      <c r="R450" s="545"/>
      <c r="S450" s="546"/>
      <c r="T450" s="524" t="str">
        <f ca="1">IFERROR(VLOOKUP(K450,E424:X439,19,FALSE),"")</f>
        <v/>
      </c>
      <c r="U450" s="525"/>
      <c r="V450" s="28"/>
      <c r="W450" s="29"/>
      <c r="X450" s="29"/>
      <c r="Y450" s="29"/>
      <c r="Z450" s="29"/>
      <c r="AA450" s="29"/>
      <c r="AB450" s="30"/>
    </row>
    <row r="451" spans="1:33" s="4" customFormat="1" ht="21" x14ac:dyDescent="0.45">
      <c r="A451" s="2" t="str">
        <f>MatchDay!$U$6</f>
        <v>X</v>
      </c>
      <c r="B451" s="8"/>
      <c r="C451" s="3"/>
      <c r="D451" s="502" t="s">
        <v>186</v>
      </c>
      <c r="E451" s="503"/>
      <c r="F451" s="503"/>
      <c r="G451" s="503"/>
      <c r="H451" s="503"/>
      <c r="I451" s="503"/>
      <c r="J451" s="503"/>
      <c r="K451" s="515" t="s">
        <v>187</v>
      </c>
      <c r="L451" s="516"/>
      <c r="M451" s="516"/>
      <c r="N451" s="516"/>
      <c r="O451" s="518" t="str">
        <f>MatchDay!$C$2&amp;" "&amp;MatchDay!$C$3&amp;" "&amp;MatchDay!$C$4</f>
        <v>LOWER NORTH East 1</v>
      </c>
      <c r="P451" s="519"/>
      <c r="Q451" s="519"/>
      <c r="R451" s="519"/>
      <c r="S451" s="519"/>
      <c r="T451" s="519"/>
      <c r="U451" s="519"/>
      <c r="V451" s="519"/>
      <c r="W451" s="519"/>
      <c r="X451" s="519"/>
      <c r="Y451" s="519"/>
      <c r="Z451" s="519"/>
      <c r="AA451" s="519"/>
      <c r="AB451" s="520"/>
    </row>
    <row r="452" spans="1:33" s="4" customFormat="1" ht="15.75" customHeight="1" x14ac:dyDescent="0.45">
      <c r="A452" s="1" t="str">
        <f>IFERROR(IF(LEFT(MatchDay!$C$2,1)="L","L"&amp;A454,"U"&amp;A454),"")</f>
        <v>LFW03</v>
      </c>
      <c r="B452" s="10">
        <v>475</v>
      </c>
      <c r="C452" s="3"/>
      <c r="D452" s="512" t="s">
        <v>188</v>
      </c>
      <c r="E452" s="514"/>
      <c r="F452" s="513" t="str">
        <f>IFERROR(UPPER(VLOOKUP(A453,teamlookup,6,FALSE)),"")</f>
        <v/>
      </c>
      <c r="G452" s="514"/>
      <c r="H452" s="504" t="s">
        <v>201</v>
      </c>
      <c r="I452" s="510"/>
      <c r="J452" s="505"/>
      <c r="K452" s="512" t="str">
        <f>MatchDay!$C$8</f>
        <v>@ Doncaster</v>
      </c>
      <c r="L452" s="513"/>
      <c r="M452" s="513"/>
      <c r="N452" s="513"/>
      <c r="O452" s="513"/>
      <c r="P452" s="514"/>
      <c r="Q452" s="504" t="s">
        <v>160</v>
      </c>
      <c r="R452" s="505"/>
      <c r="S452" s="521">
        <f>MatchDay!$C$7</f>
        <v>43582</v>
      </c>
      <c r="T452" s="522"/>
      <c r="U452" s="522"/>
      <c r="V452" s="522"/>
      <c r="W452" s="522"/>
      <c r="X452" s="523"/>
      <c r="Y452" s="526" t="str">
        <f>IFERROR(IF(LEFT(A452,1)="L","",VLOOKUP(A452,AAA!$A:$I,8,FALSE)),"")</f>
        <v/>
      </c>
      <c r="Z452" s="527"/>
      <c r="AA452" s="524" t="str">
        <f>IFERROR(IF(LEFT(A452,1)="L","",VLOOKUP(A452,standards,9,FALSE)),"")</f>
        <v/>
      </c>
      <c r="AB452" s="525"/>
      <c r="AC452" s="6"/>
      <c r="AD452" s="6"/>
    </row>
    <row r="453" spans="1:33" s="4" customFormat="1" ht="15.75" customHeight="1" x14ac:dyDescent="0.45">
      <c r="A453" s="5">
        <f>IFERROR(IF(A451=1,VLOOKUP(A452,judges,VLOOKUP(MatchDay!$U$2*10+MatchDay!$C$5,judgesp,5,FALSE),FALSE),VLOOKUP(Distance!A452,judges,VLOOKUP(MatchDay!$U$2*10+MatchDay!$C$5,judges2,5,FALSE),FALSE)),"")</f>
        <v>0</v>
      </c>
      <c r="B453" s="181">
        <f>IFERROR(VLOOKUP(A452,Timetables!$A:$E,5,FALSE)-1,"")</f>
        <v>43</v>
      </c>
      <c r="C453" s="3"/>
      <c r="D453" s="504" t="s">
        <v>161</v>
      </c>
      <c r="E453" s="505"/>
      <c r="F453" s="508" t="str">
        <f>IFERROR(VLOOKUP(A452,timetables,2,FALSE)&amp;" "&amp;VLOOKUP(A452,timetables,3,FALSE),"")</f>
        <v>Long Jump U13 Girls</v>
      </c>
      <c r="G453" s="509"/>
      <c r="H453" s="504" t="s">
        <v>162</v>
      </c>
      <c r="I453" s="510"/>
      <c r="J453" s="505"/>
      <c r="K453" s="511">
        <f>IFERROR(IF(A451=1,VLOOKUP(A452,Timetables!$A:$G,6,FALSE),VLOOKUP(A452,Timetables!$A:$G,7,FALSE)),"")</f>
        <v>0.60416666666666663</v>
      </c>
      <c r="L453" s="511" t="e">
        <v>#N/A</v>
      </c>
      <c r="M453" s="504" t="s">
        <v>202</v>
      </c>
      <c r="N453" s="505"/>
      <c r="O453" s="506" t="str">
        <f>IFERROR(VLOOKUP(A452,records,3,FALSE)&amp;", "&amp;VLOOKUP(A452,records,4,FALSE)&amp;", "&amp;VLOOKUP(A452,records,5,FALSE)&amp;", "&amp;VLOOKUP(A452,records,6,FALSE)&amp;", "&amp;VLOOKUP(A452,records,7,FALSE)&amp;" "&amp;VLOOKUP(A452,records,8,FALSE),"")</f>
        <v>Ore Adamson, Herne Hill Harriers, 5.16, Reading, May 31st 2014</v>
      </c>
      <c r="P453" s="506"/>
      <c r="Q453" s="506"/>
      <c r="R453" s="506"/>
      <c r="S453" s="506"/>
      <c r="T453" s="506"/>
      <c r="U453" s="506"/>
      <c r="V453" s="506"/>
      <c r="W453" s="506"/>
      <c r="X453" s="506"/>
      <c r="Y453" s="506"/>
      <c r="Z453" s="506"/>
      <c r="AA453" s="506"/>
      <c r="AB453" s="507"/>
    </row>
    <row r="454" spans="1:33" s="4" customFormat="1" ht="32.1" customHeight="1" x14ac:dyDescent="0.45">
      <c r="A454" s="5" t="s">
        <v>303</v>
      </c>
      <c r="B454" s="10" t="str">
        <f>IFERROR(VLOOKUP($A454,fdistance,2,FALSE),"")</f>
        <v>T</v>
      </c>
      <c r="C454" s="10">
        <f>IFERROR(VLOOKUP($A454,fdistance,3,FALSE),"")</f>
        <v>42</v>
      </c>
      <c r="D454" s="31" t="s">
        <v>163</v>
      </c>
      <c r="E454" s="13" t="s">
        <v>164</v>
      </c>
      <c r="F454" s="13" t="s">
        <v>165</v>
      </c>
      <c r="G454" s="14" t="s">
        <v>166</v>
      </c>
      <c r="H454" s="532" t="s">
        <v>167</v>
      </c>
      <c r="I454" s="534"/>
      <c r="J454" s="534" t="s">
        <v>168</v>
      </c>
      <c r="K454" s="534"/>
      <c r="L454" s="534" t="s">
        <v>169</v>
      </c>
      <c r="M454" s="534"/>
      <c r="N454" s="534" t="s">
        <v>170</v>
      </c>
      <c r="O454" s="534"/>
      <c r="P454" s="535" t="s">
        <v>171</v>
      </c>
      <c r="Q454" s="534" t="s">
        <v>172</v>
      </c>
      <c r="R454" s="534"/>
      <c r="S454" s="534" t="s">
        <v>173</v>
      </c>
      <c r="T454" s="534"/>
      <c r="U454" s="534" t="s">
        <v>174</v>
      </c>
      <c r="V454" s="534"/>
      <c r="W454" s="537" t="s">
        <v>175</v>
      </c>
      <c r="X454" s="538"/>
      <c r="Y454" s="528" t="s">
        <v>176</v>
      </c>
      <c r="Z454" s="530" t="s">
        <v>177</v>
      </c>
      <c r="AA454" s="531"/>
      <c r="AB454" s="532"/>
    </row>
    <row r="455" spans="1:33" s="4" customFormat="1" ht="11.65" x14ac:dyDescent="0.35">
      <c r="A455" s="137">
        <f>IFERROR(SEARCH("U17",F453),0)</f>
        <v>0</v>
      </c>
      <c r="B455" s="7" t="s">
        <v>53</v>
      </c>
      <c r="C455" s="7" t="s">
        <v>54</v>
      </c>
      <c r="D455" s="56"/>
      <c r="E455" s="56"/>
      <c r="F455" s="15"/>
      <c r="G455" s="16"/>
      <c r="H455" s="514" t="s">
        <v>178</v>
      </c>
      <c r="I455" s="533"/>
      <c r="J455" s="533" t="s">
        <v>178</v>
      </c>
      <c r="K455" s="533"/>
      <c r="L455" s="533" t="s">
        <v>178</v>
      </c>
      <c r="M455" s="533"/>
      <c r="N455" s="533" t="s">
        <v>178</v>
      </c>
      <c r="O455" s="533"/>
      <c r="P455" s="536"/>
      <c r="Q455" s="533" t="s">
        <v>178</v>
      </c>
      <c r="R455" s="533"/>
      <c r="S455" s="533" t="s">
        <v>178</v>
      </c>
      <c r="T455" s="533"/>
      <c r="U455" s="533" t="s">
        <v>178</v>
      </c>
      <c r="V455" s="533"/>
      <c r="W455" s="533" t="s">
        <v>178</v>
      </c>
      <c r="X455" s="512"/>
      <c r="Y455" s="529"/>
      <c r="Z455" s="55"/>
      <c r="AA455" s="55" t="s">
        <v>53</v>
      </c>
      <c r="AB455" s="55" t="s">
        <v>54</v>
      </c>
    </row>
    <row r="456" spans="1:33" s="4" customFormat="1" ht="15.95" customHeight="1" x14ac:dyDescent="0.35">
      <c r="A456" s="8">
        <f>IFERROR(IF(D456&gt;MatchDay!$U$2,"-",VLOOKUP(A452,timetables,MatchDay!$U$4,FALSE)),0)</f>
        <v>1</v>
      </c>
      <c r="B456" s="7">
        <f ca="1">AA456</f>
        <v>2</v>
      </c>
      <c r="C456" s="7" t="str">
        <f ca="1">AB456</f>
        <v/>
      </c>
      <c r="D456" s="56">
        <v>1</v>
      </c>
      <c r="E456" s="17">
        <f>A456</f>
        <v>1</v>
      </c>
      <c r="F456" s="18" t="str">
        <f ca="1">IFERROR(IF(A455=0,HLOOKUP(E456,Declarations!$D$2:$S$102,B453,FALSE),HLOOKUP(VLOOKUP(E456,Teams!$V$2:$W$19,2,FALSE),Declarations!$D$2:$S$102,B453,FALSE)),"")</f>
        <v>FELLOWS Isabelle</v>
      </c>
      <c r="G456" s="18" t="str">
        <f t="shared" ref="G456:G471" si="140">IFERROR(VLOOKUP(E456,teamlookup,5,FALSE),"-")</f>
        <v>C'field</v>
      </c>
      <c r="H456" s="524">
        <f ca="1">IFERROR(INDIRECT(CONCATENATE("'Distance Input'!"&amp;B454&amp;C454)),"")</f>
        <v>3.9</v>
      </c>
      <c r="I456" s="525"/>
      <c r="J456" s="524">
        <v>0</v>
      </c>
      <c r="K456" s="525"/>
      <c r="L456" s="524">
        <v>0</v>
      </c>
      <c r="M456" s="525"/>
      <c r="N456" s="539">
        <f ca="1">H456</f>
        <v>3.9</v>
      </c>
      <c r="O456" s="540"/>
      <c r="P456" s="55">
        <v>0</v>
      </c>
      <c r="Q456" s="541">
        <v>0</v>
      </c>
      <c r="R456" s="541"/>
      <c r="S456" s="541">
        <v>0</v>
      </c>
      <c r="T456" s="541"/>
      <c r="U456" s="541">
        <v>0</v>
      </c>
      <c r="V456" s="541"/>
      <c r="W456" s="524">
        <f ca="1">N456</f>
        <v>3.9</v>
      </c>
      <c r="X456" s="525"/>
      <c r="Y456" s="55">
        <f ca="1">IF(OR(W456="",W456=0),0,IF(W456="X",MatchDay!$U$2+MatchDay!$U$2+1-COUNTIF(Distance!W456:W456,"X"),RANK(W456,$W456:$X471,0)))</f>
        <v>2</v>
      </c>
      <c r="Z456" s="19" t="str">
        <f ca="1">IFERROR(IF(Y456=0,0,IF(OR(VLOOKUP(AG456,E464:Y471,21,FALSE)=0,Y456&lt;=VLOOKUP(AG456,E464:Y471,21,FALSE)),"A","B")),"")</f>
        <v>A</v>
      </c>
      <c r="AA456" s="19">
        <f ca="1">IFERROR(IF(Z456="B","",RANK(AD456,AD456:AD471,1)),"")</f>
        <v>2</v>
      </c>
      <c r="AB456" s="19" t="str">
        <f ca="1">IFERROR(IF(Z456="A","",RANK(AE456,AE456:AE471,1)),"")</f>
        <v/>
      </c>
      <c r="AC456" s="8"/>
      <c r="AD456" s="9">
        <f ca="1">IF(OR(W456=0,Y456=0,Z456="B"),"",Y456)</f>
        <v>2</v>
      </c>
      <c r="AE456" s="9" t="str">
        <f ca="1">IF(OR(W456=0,Y456=0,Z456="A"),"",Y456)</f>
        <v/>
      </c>
      <c r="AF456" s="9" t="s">
        <v>179</v>
      </c>
      <c r="AG456" s="4">
        <f>IFERROR(IF(A455=0,E456*11,E456&amp;E456),"")</f>
        <v>11</v>
      </c>
    </row>
    <row r="457" spans="1:33" s="4" customFormat="1" ht="15.95" customHeight="1" x14ac:dyDescent="0.35">
      <c r="A457" s="8">
        <f>IFERROR(IF(D457&gt;MatchDay!$U$2,"-",VLOOKUP(A452,timetables,MatchDay!$U$4+1,FALSE)),0)</f>
        <v>5</v>
      </c>
      <c r="B457" s="7">
        <f t="shared" ref="B457:B471" ca="1" si="141">AA457</f>
        <v>4</v>
      </c>
      <c r="C457" s="7" t="str">
        <f t="shared" ref="C457:C471" ca="1" si="142">AB457</f>
        <v/>
      </c>
      <c r="D457" s="55">
        <v>2</v>
      </c>
      <c r="E457" s="17">
        <f t="shared" ref="E457:E471" si="143">A457</f>
        <v>5</v>
      </c>
      <c r="F457" s="18" t="str">
        <f ca="1">IFERROR(IF(A455=0,HLOOKUP(E457,Declarations!$D$2:$S$102,B453,FALSE),HLOOKUP(VLOOKUP(E457,Teams!$V$2:$W$19,2,FALSE),Declarations!$D$2:$S$102,B453,FALSE)),"")</f>
        <v>STOW Libby</v>
      </c>
      <c r="G457" s="18" t="str">
        <f t="shared" si="140"/>
        <v>Scun</v>
      </c>
      <c r="H457" s="524">
        <f ca="1">IFERROR(INDIRECT(CONCATENATE("'Distance Input'!"&amp;B454&amp;C454+1)),"")</f>
        <v>3.27</v>
      </c>
      <c r="I457" s="525"/>
      <c r="J457" s="524">
        <v>0</v>
      </c>
      <c r="K457" s="525"/>
      <c r="L457" s="524">
        <v>0</v>
      </c>
      <c r="M457" s="525"/>
      <c r="N457" s="539">
        <f t="shared" ref="N457:N471" ca="1" si="144">H457</f>
        <v>3.27</v>
      </c>
      <c r="O457" s="540"/>
      <c r="P457" s="55">
        <v>0</v>
      </c>
      <c r="Q457" s="541">
        <v>0</v>
      </c>
      <c r="R457" s="541"/>
      <c r="S457" s="541">
        <v>0</v>
      </c>
      <c r="T457" s="541"/>
      <c r="U457" s="541">
        <v>0</v>
      </c>
      <c r="V457" s="541"/>
      <c r="W457" s="524">
        <f t="shared" ref="W457:W471" ca="1" si="145">N457</f>
        <v>3.27</v>
      </c>
      <c r="X457" s="525"/>
      <c r="Y457" s="55">
        <f ca="1">IF(OR(W457="",W457=0),0,IF(W457="X",MatchDay!$U$2+MatchDay!$U$2+1-COUNTIF(Distance!W456:W457,"X"),RANK(W457,$W456:$X471,0)))</f>
        <v>7</v>
      </c>
      <c r="Z457" s="19" t="str">
        <f ca="1">IFERROR(IF(Y457=0,0,IF(OR(VLOOKUP(AG457,E464:Y471,21,FALSE)=0,Y457&lt;=VLOOKUP(AG457,E464:Y471,21,FALSE)),"A","B")),"")</f>
        <v>A</v>
      </c>
      <c r="AA457" s="19">
        <f ca="1">IFERROR(IF(Z457="B","",RANK(AD457,AD456:AD471,1)),"")</f>
        <v>4</v>
      </c>
      <c r="AB457" s="19" t="str">
        <f ca="1">IFERROR(IF(Z457="A","",RANK(AE457,AE456:AE471,1)),"")</f>
        <v/>
      </c>
      <c r="AC457" s="8"/>
      <c r="AD457" s="9">
        <f t="shared" ref="AD457:AD471" ca="1" si="146">IF(OR(W457=0,Y457=0,Z457="B"),"",Y457)</f>
        <v>7</v>
      </c>
      <c r="AE457" s="9" t="str">
        <f t="shared" ref="AE457:AE471" ca="1" si="147">IF(OR(W457=0,Y457=0,Z457="A"),"",Y457)</f>
        <v/>
      </c>
      <c r="AF457" s="9" t="s">
        <v>179</v>
      </c>
      <c r="AG457" s="4">
        <f>IFERROR(IF(A455=0,E457*11,E457&amp;E457),"")</f>
        <v>55</v>
      </c>
    </row>
    <row r="458" spans="1:33" s="4" customFormat="1" ht="15.95" customHeight="1" x14ac:dyDescent="0.35">
      <c r="A458" s="8">
        <f>IFERROR(IF(D458&gt;MatchDay!$U$2,"-",VLOOKUP(A452,timetables,MatchDay!$U$4+2,FALSE)),0)</f>
        <v>4</v>
      </c>
      <c r="B458" s="7">
        <f t="shared" ca="1" si="141"/>
        <v>3</v>
      </c>
      <c r="C458" s="7" t="str">
        <f t="shared" ca="1" si="142"/>
        <v/>
      </c>
      <c r="D458" s="55">
        <v>3</v>
      </c>
      <c r="E458" s="17">
        <f t="shared" si="143"/>
        <v>4</v>
      </c>
      <c r="F458" s="18" t="str">
        <f ca="1">IFERROR(IF(A455=0,HLOOKUP(E458,Declarations!$D$2:$S$102,B453,FALSE),HLOOKUP(VLOOKUP(E458,Teams!$V$2:$W$19,2,FALSE),Declarations!$D$2:$S$102,B453,FALSE)),"")</f>
        <v>WILMOT Amy</v>
      </c>
      <c r="G458" s="18" t="str">
        <f t="shared" si="140"/>
        <v>M'bro</v>
      </c>
      <c r="H458" s="524">
        <f ca="1">IFERROR(INDIRECT(CONCATENATE("'Distance Input'!"&amp;B454&amp;C454+2)),"")</f>
        <v>3.56</v>
      </c>
      <c r="I458" s="525"/>
      <c r="J458" s="524">
        <v>0</v>
      </c>
      <c r="K458" s="525"/>
      <c r="L458" s="524">
        <v>0</v>
      </c>
      <c r="M458" s="525"/>
      <c r="N458" s="539">
        <f t="shared" ca="1" si="144"/>
        <v>3.56</v>
      </c>
      <c r="O458" s="540"/>
      <c r="P458" s="55">
        <v>0</v>
      </c>
      <c r="Q458" s="541">
        <v>0</v>
      </c>
      <c r="R458" s="541"/>
      <c r="S458" s="541">
        <v>0</v>
      </c>
      <c r="T458" s="541"/>
      <c r="U458" s="541">
        <v>0</v>
      </c>
      <c r="V458" s="541"/>
      <c r="W458" s="524">
        <f t="shared" ca="1" si="145"/>
        <v>3.56</v>
      </c>
      <c r="X458" s="525"/>
      <c r="Y458" s="55">
        <f ca="1">IF(OR(W458="",W458=0),0,IF(W458="X",MatchDay!$U$2+MatchDay!$U$2+1-COUNTIF(Distance!W456:W458,"X"),RANK(W458,$W456:$X471,0)))</f>
        <v>5</v>
      </c>
      <c r="Z458" s="19" t="str">
        <f ca="1">IFERROR(IF(Y458=0,0,IF(OR(VLOOKUP(AG458,E464:Y471,21,FALSE)=0,Y458&lt;=VLOOKUP(AG458,E464:Y471,21,FALSE)),"A","B")),"")</f>
        <v>A</v>
      </c>
      <c r="AA458" s="19">
        <f ca="1">IFERROR(IF(Z458="B","",RANK(AD458,AD456:AD471,1)),"")</f>
        <v>3</v>
      </c>
      <c r="AB458" s="19" t="str">
        <f ca="1">IFERROR(IF(Z458="A","",RANK(AE458,AE456:AE471,1)),"")</f>
        <v/>
      </c>
      <c r="AD458" s="9">
        <f t="shared" ca="1" si="146"/>
        <v>5</v>
      </c>
      <c r="AE458" s="9" t="str">
        <f t="shared" ca="1" si="147"/>
        <v/>
      </c>
      <c r="AF458" s="9" t="s">
        <v>179</v>
      </c>
      <c r="AG458" s="4">
        <f>IFERROR(IF(A455=0,E458*11,E458&amp;E458),"")</f>
        <v>44</v>
      </c>
    </row>
    <row r="459" spans="1:33" s="4" customFormat="1" ht="15.95" customHeight="1" x14ac:dyDescent="0.35">
      <c r="A459" s="8">
        <f>IFERROR(IF(D459&gt;MatchDay!$U$2,"-",VLOOKUP(A452,timetables,MatchDay!$U$4+3,FALSE)),0)</f>
        <v>2</v>
      </c>
      <c r="B459" s="7" t="str">
        <f t="shared" ca="1" si="141"/>
        <v/>
      </c>
      <c r="C459" s="7">
        <f t="shared" ca="1" si="142"/>
        <v>4</v>
      </c>
      <c r="D459" s="55">
        <v>4</v>
      </c>
      <c r="E459" s="17">
        <f t="shared" si="143"/>
        <v>2</v>
      </c>
      <c r="F459" s="18" t="str">
        <f ca="1">IFERROR(IF(A455=0,HLOOKUP(E459,Declarations!$D$2:$S$102,B453,FALSE),HLOOKUP(VLOOKUP(E459,Teams!$V$2:$W$19,2,FALSE),Declarations!$D$2:$S$102,B453,FALSE)),"")</f>
        <v>COOPER Amy</v>
      </c>
      <c r="G459" s="18" t="str">
        <f t="shared" si="140"/>
        <v>Sheff+D</v>
      </c>
      <c r="H459" s="524">
        <f ca="1">IFERROR(INDIRECT(CONCATENATE("'Distance Input'!"&amp;B454&amp;C454+3)),"")</f>
        <v>3.01</v>
      </c>
      <c r="I459" s="525"/>
      <c r="J459" s="524">
        <v>0</v>
      </c>
      <c r="K459" s="525"/>
      <c r="L459" s="524">
        <v>0</v>
      </c>
      <c r="M459" s="525"/>
      <c r="N459" s="539">
        <f t="shared" ca="1" si="144"/>
        <v>3.01</v>
      </c>
      <c r="O459" s="540"/>
      <c r="P459" s="55">
        <v>0</v>
      </c>
      <c r="Q459" s="541">
        <v>0</v>
      </c>
      <c r="R459" s="541"/>
      <c r="S459" s="541">
        <v>0</v>
      </c>
      <c r="T459" s="541"/>
      <c r="U459" s="541">
        <v>0</v>
      </c>
      <c r="V459" s="541"/>
      <c r="W459" s="524">
        <f t="shared" ca="1" si="145"/>
        <v>3.01</v>
      </c>
      <c r="X459" s="525"/>
      <c r="Y459" s="55">
        <f ca="1">IF(OR(W459="",W459=0),0,IF(W459="X",MatchDay!$U$2+MatchDay!$U$2+1-COUNTIF(Distance!W456:W459,"X"),RANK(W459,$W456:$X471,0)))</f>
        <v>9</v>
      </c>
      <c r="Z459" s="19" t="str">
        <f ca="1">IFERROR(IF(Y459=0,0,IF(OR(VLOOKUP(AG459,E464:Y471,21,FALSE)=0,Y459&lt;=VLOOKUP(AG459,E464:Y471,21,FALSE)),"A","B")),"")</f>
        <v>B</v>
      </c>
      <c r="AA459" s="19" t="str">
        <f ca="1">IFERROR(IF(Z459="B","",RANK(AD459,AD456:AD471,1)),"")</f>
        <v/>
      </c>
      <c r="AB459" s="19">
        <f ca="1">IFERROR(IF(Z459="A","",RANK(AE459,AE456:AE471,1)),"")</f>
        <v>4</v>
      </c>
      <c r="AD459" s="9" t="str">
        <f t="shared" ca="1" si="146"/>
        <v/>
      </c>
      <c r="AE459" s="9">
        <f t="shared" ca="1" si="147"/>
        <v>9</v>
      </c>
      <c r="AF459" s="9" t="s">
        <v>179</v>
      </c>
      <c r="AG459" s="4">
        <f>IFERROR(IF(A455=0,E459*11,E459&amp;E459),"")</f>
        <v>22</v>
      </c>
    </row>
    <row r="460" spans="1:33" s="4" customFormat="1" ht="15.95" customHeight="1" x14ac:dyDescent="0.35">
      <c r="A460" s="8">
        <f>IFERROR(IF(D460&gt;MatchDay!$U$2,"-",VLOOKUP(A452,timetables,MatchDay!$U$4+4,FALSE)),0)</f>
        <v>3</v>
      </c>
      <c r="B460" s="7">
        <f t="shared" ca="1" si="141"/>
        <v>1</v>
      </c>
      <c r="C460" s="7" t="str">
        <f t="shared" ca="1" si="142"/>
        <v/>
      </c>
      <c r="D460" s="55">
        <v>5</v>
      </c>
      <c r="E460" s="17">
        <f t="shared" si="143"/>
        <v>3</v>
      </c>
      <c r="F460" s="18" t="str">
        <f ca="1">IFERROR(IF(A455=0,HLOOKUP(E460,Declarations!$D$2:$S$102,B453,FALSE),HLOOKUP(VLOOKUP(E460,Teams!$V$2:$W$19,2,FALSE),Declarations!$D$2:$S$102,B453,FALSE)),"")</f>
        <v>MAUDE Emily</v>
      </c>
      <c r="G460" s="18" t="str">
        <f t="shared" si="140"/>
        <v>York</v>
      </c>
      <c r="H460" s="524">
        <f ca="1">IFERROR(INDIRECT(CONCATENATE("'Distance Input'!"&amp;B454&amp;C454+4)),"")</f>
        <v>4.78</v>
      </c>
      <c r="I460" s="525"/>
      <c r="J460" s="524">
        <v>0</v>
      </c>
      <c r="K460" s="525"/>
      <c r="L460" s="524">
        <v>0</v>
      </c>
      <c r="M460" s="525"/>
      <c r="N460" s="539">
        <f t="shared" ca="1" si="144"/>
        <v>4.78</v>
      </c>
      <c r="O460" s="540"/>
      <c r="P460" s="55">
        <v>0</v>
      </c>
      <c r="Q460" s="541">
        <v>0</v>
      </c>
      <c r="R460" s="541"/>
      <c r="S460" s="541">
        <v>0</v>
      </c>
      <c r="T460" s="541"/>
      <c r="U460" s="541">
        <v>0</v>
      </c>
      <c r="V460" s="541"/>
      <c r="W460" s="524">
        <f t="shared" ca="1" si="145"/>
        <v>4.78</v>
      </c>
      <c r="X460" s="525"/>
      <c r="Y460" s="55">
        <f ca="1">IF(OR(W460="",W460=0),0,IF(W460="X",MatchDay!$U$2+MatchDay!$U$2+1-COUNTIF(Distance!W456:W460,"X"),RANK(W460,$W456:$X471,0)))</f>
        <v>1</v>
      </c>
      <c r="Z460" s="19" t="str">
        <f ca="1">IFERROR(IF(Y460=0,0,IF(OR(VLOOKUP(AG460,E464:Y471,21,FALSE)=0,Y460&lt;=VLOOKUP(AG460,E464:Y471,21,FALSE)),"A","B")),"")</f>
        <v>A</v>
      </c>
      <c r="AA460" s="19">
        <f ca="1">IFERROR(IF(Z460="B","",RANK(AD460,AD456:AD471,1)),"")</f>
        <v>1</v>
      </c>
      <c r="AB460" s="19" t="str">
        <f ca="1">IFERROR(IF(Z460="A","",RANK(AE460,AE456:AE471,1)),"")</f>
        <v/>
      </c>
      <c r="AD460" s="9">
        <f t="shared" ca="1" si="146"/>
        <v>1</v>
      </c>
      <c r="AE460" s="9" t="str">
        <f t="shared" ca="1" si="147"/>
        <v/>
      </c>
      <c r="AF460" s="9" t="s">
        <v>179</v>
      </c>
      <c r="AG460" s="4">
        <f>IFERROR(IF(A455=0,E460*11,E460&amp;E460),"")</f>
        <v>33</v>
      </c>
    </row>
    <row r="461" spans="1:33" s="4" customFormat="1" ht="15.95" customHeight="1" x14ac:dyDescent="0.35">
      <c r="A461" s="8" t="str">
        <f>IFERROR(IF(D461&gt;MatchDay!$U$2,"-",VLOOKUP(A452,timetables,MatchDay!$U$4+5,FALSE)),0)</f>
        <v>-</v>
      </c>
      <c r="B461" s="7" t="str">
        <f t="shared" ca="1" si="141"/>
        <v/>
      </c>
      <c r="C461" s="7" t="str">
        <f t="shared" ca="1" si="142"/>
        <v/>
      </c>
      <c r="D461" s="55">
        <v>6</v>
      </c>
      <c r="E461" s="17" t="str">
        <f t="shared" si="143"/>
        <v>-</v>
      </c>
      <c r="F461" s="18" t="str">
        <f>IFERROR(IF(A455=0,HLOOKUP(E461,Declarations!$D$2:$S$102,B453,FALSE),HLOOKUP(VLOOKUP(E461,Teams!$V$2:$W$19,2,FALSE),Declarations!$D$2:$S$102,B453,FALSE)),"")</f>
        <v/>
      </c>
      <c r="G461" s="18" t="str">
        <f t="shared" si="140"/>
        <v/>
      </c>
      <c r="H461" s="524">
        <f ca="1">IFERROR(INDIRECT(CONCATENATE("'Distance Input'!"&amp;B454&amp;C454+5)),"")</f>
        <v>0</v>
      </c>
      <c r="I461" s="525"/>
      <c r="J461" s="524">
        <v>0</v>
      </c>
      <c r="K461" s="525"/>
      <c r="L461" s="524">
        <v>0</v>
      </c>
      <c r="M461" s="525"/>
      <c r="N461" s="539">
        <f t="shared" ca="1" si="144"/>
        <v>0</v>
      </c>
      <c r="O461" s="540"/>
      <c r="P461" s="55">
        <v>0</v>
      </c>
      <c r="Q461" s="541">
        <v>0</v>
      </c>
      <c r="R461" s="541"/>
      <c r="S461" s="541">
        <v>0</v>
      </c>
      <c r="T461" s="541"/>
      <c r="U461" s="541">
        <v>0</v>
      </c>
      <c r="V461" s="541"/>
      <c r="W461" s="524">
        <f t="shared" ca="1" si="145"/>
        <v>0</v>
      </c>
      <c r="X461" s="525"/>
      <c r="Y461" s="55">
        <f ca="1">IF(OR(W461="",W461=0),0,IF(W461="X",MatchDay!$U$2+MatchDay!$U$2+1-COUNTIF(Distance!W456:W461,"X"),RANK(W461,$W456:$X471,0)))</f>
        <v>0</v>
      </c>
      <c r="Z461" s="19">
        <f ca="1">IFERROR(IF(Y461=0,0,IF(OR(VLOOKUP(AG461,E464:Y471,21,FALSE)=0,Y461&lt;=VLOOKUP(AG461,E464:Y471,21,FALSE)),"A","B")),"")</f>
        <v>0</v>
      </c>
      <c r="AA461" s="19" t="str">
        <f ca="1">IFERROR(IF(Z461="B","",RANK(AD461,AD456:AD471,1)),"")</f>
        <v/>
      </c>
      <c r="AB461" s="19" t="str">
        <f ca="1">IFERROR(IF(Z461="A","",RANK(AE461,AE456:AE471,1)),"")</f>
        <v/>
      </c>
      <c r="AD461" s="9" t="str">
        <f t="shared" ca="1" si="146"/>
        <v/>
      </c>
      <c r="AE461" s="9" t="str">
        <f t="shared" ca="1" si="147"/>
        <v/>
      </c>
      <c r="AF461" s="9" t="s">
        <v>179</v>
      </c>
      <c r="AG461" s="4" t="str">
        <f>IFERROR(IF(A455=0,E461*11,E461&amp;E461),"")</f>
        <v/>
      </c>
    </row>
    <row r="462" spans="1:33" s="4" customFormat="1" ht="15.95" customHeight="1" x14ac:dyDescent="0.35">
      <c r="A462" s="8" t="str">
        <f>IFERROR(IF(D462&gt;MatchDay!$U$2,"-",VLOOKUP(A452,timetables,MatchDay!$U$4+6,FALSE)),0)</f>
        <v>-</v>
      </c>
      <c r="B462" s="7" t="str">
        <f t="shared" ca="1" si="141"/>
        <v/>
      </c>
      <c r="C462" s="7" t="str">
        <f t="shared" ca="1" si="142"/>
        <v/>
      </c>
      <c r="D462" s="55">
        <v>7</v>
      </c>
      <c r="E462" s="17" t="str">
        <f t="shared" si="143"/>
        <v>-</v>
      </c>
      <c r="F462" s="18" t="str">
        <f>IFERROR(IF(A455=0,HLOOKUP(E462,Declarations!$D$2:$S$102,B453,FALSE),HLOOKUP(VLOOKUP(E462,Teams!$V$2:$W$19,2,FALSE),Declarations!$D$2:$S$102,B453,FALSE)),"")</f>
        <v/>
      </c>
      <c r="G462" s="18" t="str">
        <f t="shared" si="140"/>
        <v/>
      </c>
      <c r="H462" s="524">
        <f ca="1">IFERROR(INDIRECT(CONCATENATE("'Distance Input'!"&amp;B454&amp;C454+6)),"")</f>
        <v>0</v>
      </c>
      <c r="I462" s="525"/>
      <c r="J462" s="524">
        <v>0</v>
      </c>
      <c r="K462" s="525"/>
      <c r="L462" s="524">
        <v>0</v>
      </c>
      <c r="M462" s="525"/>
      <c r="N462" s="539">
        <f t="shared" ca="1" si="144"/>
        <v>0</v>
      </c>
      <c r="O462" s="540"/>
      <c r="P462" s="55">
        <v>0</v>
      </c>
      <c r="Q462" s="541">
        <v>0</v>
      </c>
      <c r="R462" s="541"/>
      <c r="S462" s="541">
        <v>0</v>
      </c>
      <c r="T462" s="541"/>
      <c r="U462" s="541">
        <v>0</v>
      </c>
      <c r="V462" s="541"/>
      <c r="W462" s="524">
        <f t="shared" ca="1" si="145"/>
        <v>0</v>
      </c>
      <c r="X462" s="525"/>
      <c r="Y462" s="55">
        <f ca="1">IF(OR(W462="",W462=0),0,IF(W462="X",MatchDay!$U$2+MatchDay!$U$2+1-COUNTIF(Distance!W456:W462,"X"),RANK(W462,$W456:$X471,0)))</f>
        <v>0</v>
      </c>
      <c r="Z462" s="19">
        <f ca="1">IFERROR(IF(Y462=0,0,IF(OR(VLOOKUP(AG462,E464:Y471,21,FALSE)=0,Y462&lt;=VLOOKUP(AG462,E464:Y471,21,FALSE)),"A","B")),"")</f>
        <v>0</v>
      </c>
      <c r="AA462" s="19" t="str">
        <f ca="1">IFERROR(IF(Z462="B","",RANK(AD462,AD456:AD471,1)),"")</f>
        <v/>
      </c>
      <c r="AB462" s="19" t="str">
        <f ca="1">IFERROR(IF(Z462="A","",RANK(AE462,AE456:AE471,1)),"")</f>
        <v/>
      </c>
      <c r="AD462" s="9" t="str">
        <f t="shared" ca="1" si="146"/>
        <v/>
      </c>
      <c r="AE462" s="9" t="str">
        <f t="shared" ca="1" si="147"/>
        <v/>
      </c>
      <c r="AF462" s="9" t="s">
        <v>179</v>
      </c>
      <c r="AG462" s="4" t="str">
        <f>IFERROR(IF(A455=0,E462*11,E462&amp;E462),"")</f>
        <v/>
      </c>
    </row>
    <row r="463" spans="1:33" s="4" customFormat="1" ht="15.95" customHeight="1" x14ac:dyDescent="0.35">
      <c r="A463" s="8" t="str">
        <f>IFERROR(IF(D463&gt;MatchDay!$U$2,"-",VLOOKUP(A452,timetables,MatchDay!$U$4+7,FALSE)),0)</f>
        <v>-</v>
      </c>
      <c r="B463" s="7" t="str">
        <f t="shared" ca="1" si="141"/>
        <v/>
      </c>
      <c r="C463" s="7" t="str">
        <f t="shared" ca="1" si="142"/>
        <v/>
      </c>
      <c r="D463" s="55">
        <v>8</v>
      </c>
      <c r="E463" s="17" t="str">
        <f t="shared" si="143"/>
        <v>-</v>
      </c>
      <c r="F463" s="18" t="str">
        <f>IFERROR(IF(A455=0,HLOOKUP(E463,Declarations!$D$2:$S$102,B453,FALSE),HLOOKUP(VLOOKUP(E463,Teams!$V$2:$W$19,2,FALSE),Declarations!$D$2:$S$102,B453,FALSE)),"")</f>
        <v/>
      </c>
      <c r="G463" s="18" t="str">
        <f t="shared" si="140"/>
        <v/>
      </c>
      <c r="H463" s="524">
        <f ca="1">IFERROR(INDIRECT(CONCATENATE("'Distance Input'!"&amp;B454&amp;C454+7)),"")</f>
        <v>0</v>
      </c>
      <c r="I463" s="525"/>
      <c r="J463" s="524">
        <v>0</v>
      </c>
      <c r="K463" s="525"/>
      <c r="L463" s="524">
        <v>0</v>
      </c>
      <c r="M463" s="525"/>
      <c r="N463" s="539">
        <f t="shared" ca="1" si="144"/>
        <v>0</v>
      </c>
      <c r="O463" s="540"/>
      <c r="P463" s="55">
        <v>0</v>
      </c>
      <c r="Q463" s="541">
        <v>0</v>
      </c>
      <c r="R463" s="541"/>
      <c r="S463" s="541">
        <v>0</v>
      </c>
      <c r="T463" s="541"/>
      <c r="U463" s="541">
        <v>0</v>
      </c>
      <c r="V463" s="541"/>
      <c r="W463" s="524">
        <f t="shared" ca="1" si="145"/>
        <v>0</v>
      </c>
      <c r="X463" s="525"/>
      <c r="Y463" s="55">
        <f ca="1">IF(OR(W463="",W463=0),0,IF(W463="X",MatchDay!$U$2+MatchDay!$U$2+1-COUNTIF(Distance!W456:W463,"X"),RANK(W463,$W456:$X471,0)))</f>
        <v>0</v>
      </c>
      <c r="Z463" s="19">
        <f ca="1">IFERROR(IF(Y463=0,0,IF(OR(VLOOKUP(AG463,E464:Y471,21,FALSE)=0,Y463&lt;=VLOOKUP(AG463,E464:Y471,21,FALSE)),"A","B")),"")</f>
        <v>0</v>
      </c>
      <c r="AA463" s="19" t="str">
        <f ca="1">IFERROR(IF(Z463="B","",RANK(AD463,AD456:AD471,1)),"")</f>
        <v/>
      </c>
      <c r="AB463" s="19" t="str">
        <f ca="1">IFERROR(IF(Z463="A","",RANK(AE463,AE456:AE471,1)),"")</f>
        <v/>
      </c>
      <c r="AD463" s="9" t="str">
        <f t="shared" ca="1" si="146"/>
        <v/>
      </c>
      <c r="AE463" s="9" t="str">
        <f t="shared" ca="1" si="147"/>
        <v/>
      </c>
      <c r="AF463" s="9" t="s">
        <v>179</v>
      </c>
      <c r="AG463" s="4" t="str">
        <f>IFERROR(IF(A455=0,E463*11,E463&amp;E463),"")</f>
        <v/>
      </c>
    </row>
    <row r="464" spans="1:33" s="4" customFormat="1" ht="15.95" customHeight="1" x14ac:dyDescent="0.35">
      <c r="A464" s="8">
        <f>IFERROR(IF(A455=0,A456*11,A456&amp;A456),"-")</f>
        <v>11</v>
      </c>
      <c r="B464" s="7" t="str">
        <f t="shared" ca="1" si="141"/>
        <v/>
      </c>
      <c r="C464" s="7">
        <f t="shared" ca="1" si="142"/>
        <v>2</v>
      </c>
      <c r="D464" s="55">
        <v>9</v>
      </c>
      <c r="E464" s="17">
        <f t="shared" si="143"/>
        <v>11</v>
      </c>
      <c r="F464" s="18" t="str">
        <f ca="1">IFERROR(IF(A455=0,HLOOKUP(E464,Declarations!$D$2:$S$102,B453,FALSE),HLOOKUP(VLOOKUP(E464,Teams!$V$2:$W$19,2,FALSE),Declarations!$D$2:$S$102,B453,FALSE)),"")</f>
        <v>HUMPHREYS Melissa</v>
      </c>
      <c r="G464" s="18" t="str">
        <f t="shared" si="140"/>
        <v>C'field</v>
      </c>
      <c r="H464" s="524">
        <f ca="1">IFERROR(INDIRECT(CONCATENATE("'Distance Input'!"&amp;B454&amp;C454+8)),"")</f>
        <v>3.67</v>
      </c>
      <c r="I464" s="525"/>
      <c r="J464" s="524">
        <v>0</v>
      </c>
      <c r="K464" s="525"/>
      <c r="L464" s="524">
        <v>0</v>
      </c>
      <c r="M464" s="525"/>
      <c r="N464" s="539">
        <f t="shared" ca="1" si="144"/>
        <v>3.67</v>
      </c>
      <c r="O464" s="540"/>
      <c r="P464" s="55">
        <v>0</v>
      </c>
      <c r="Q464" s="541">
        <v>0</v>
      </c>
      <c r="R464" s="541"/>
      <c r="S464" s="541">
        <v>0</v>
      </c>
      <c r="T464" s="541"/>
      <c r="U464" s="541">
        <v>0</v>
      </c>
      <c r="V464" s="541"/>
      <c r="W464" s="524">
        <f t="shared" ca="1" si="145"/>
        <v>3.67</v>
      </c>
      <c r="X464" s="525"/>
      <c r="Y464" s="55">
        <f ca="1">IF(OR(W464="",W464=0),0,IF(W464="X",MatchDay!$U$2+MatchDay!$U$2+1-COUNTIF(Distance!W456:W464,"X"),RANK(W464,$W456:$X471,0)))</f>
        <v>4</v>
      </c>
      <c r="Z464" s="19" t="str">
        <f ca="1">IFERROR(IF(Y464=0,0,IF(VLOOKUP(AG464,E456:Y463,21,FALSE)=0,"A",IF(Y464&gt;=VLOOKUP(AG464,E456:Y463,21,FALSE),"B","A"))),"")</f>
        <v>B</v>
      </c>
      <c r="AA464" s="19" t="str">
        <f ca="1">IFERROR(IF(Z464="B","",RANK(AD464,AD456:AD471,1)),"")</f>
        <v/>
      </c>
      <c r="AB464" s="19">
        <f ca="1">IFERROR(IF(Z464="A","",RANK(AE464,AE456:AE471,1)),"")</f>
        <v>2</v>
      </c>
      <c r="AD464" s="9" t="str">
        <f t="shared" ca="1" si="146"/>
        <v/>
      </c>
      <c r="AE464" s="9">
        <f t="shared" ca="1" si="147"/>
        <v>4</v>
      </c>
      <c r="AF464" s="9" t="s">
        <v>179</v>
      </c>
      <c r="AG464" s="4">
        <f>IFERROR(IF(A455=0,E464/11,LEFT(E464,1)),"")</f>
        <v>1</v>
      </c>
    </row>
    <row r="465" spans="1:33" s="4" customFormat="1" ht="15.95" customHeight="1" x14ac:dyDescent="0.35">
      <c r="A465" s="8">
        <f>IFERROR(IF(A455=0,A457*11,A457&amp;A457),"-")</f>
        <v>55</v>
      </c>
      <c r="B465" s="7" t="str">
        <f t="shared" ca="1" si="141"/>
        <v/>
      </c>
      <c r="C465" s="7">
        <f t="shared" ca="1" si="142"/>
        <v>5</v>
      </c>
      <c r="D465" s="55">
        <v>10</v>
      </c>
      <c r="E465" s="17">
        <f t="shared" si="143"/>
        <v>55</v>
      </c>
      <c r="F465" s="18" t="str">
        <f ca="1">IFERROR(IF(A455=0,HLOOKUP(E465,Declarations!$D$2:$S$102,B453,FALSE),HLOOKUP(VLOOKUP(E465,Teams!$V$2:$W$19,2,FALSE),Declarations!$D$2:$S$102,B453,FALSE)),"")</f>
        <v>HAYES Zara</v>
      </c>
      <c r="G465" s="18" t="str">
        <f t="shared" si="140"/>
        <v>Scun</v>
      </c>
      <c r="H465" s="524">
        <f ca="1">IFERROR(INDIRECT(CONCATENATE("'Distance Input'!"&amp;B454&amp;C454+9)),"")</f>
        <v>2.98</v>
      </c>
      <c r="I465" s="525"/>
      <c r="J465" s="524">
        <v>0</v>
      </c>
      <c r="K465" s="525"/>
      <c r="L465" s="524">
        <v>0</v>
      </c>
      <c r="M465" s="525"/>
      <c r="N465" s="539">
        <f t="shared" ca="1" si="144"/>
        <v>2.98</v>
      </c>
      <c r="O465" s="540"/>
      <c r="P465" s="55">
        <v>0</v>
      </c>
      <c r="Q465" s="541">
        <v>0</v>
      </c>
      <c r="R465" s="541"/>
      <c r="S465" s="541">
        <v>0</v>
      </c>
      <c r="T465" s="541"/>
      <c r="U465" s="541">
        <v>0</v>
      </c>
      <c r="V465" s="541"/>
      <c r="W465" s="524">
        <f t="shared" ca="1" si="145"/>
        <v>2.98</v>
      </c>
      <c r="X465" s="525"/>
      <c r="Y465" s="55">
        <f ca="1">IF(OR(W465="",W465=0),0,IF(W465="X",MatchDay!$U$2+MatchDay!$U$2+1-COUNTIF(Distance!W456:W465,"X"),RANK(W465,$W456:$X471,0)))</f>
        <v>10</v>
      </c>
      <c r="Z465" s="19" t="str">
        <f ca="1">IFERROR(IF(Y465=0,0,IF(VLOOKUP(AG465,E456:Y463,21,FALSE)=0,"A",IF(Y465&gt;=VLOOKUP(AG465,E456:Y463,21,FALSE),"B","A"))),"")</f>
        <v>B</v>
      </c>
      <c r="AA465" s="19" t="str">
        <f ca="1">IFERROR(IF(Z465="B","",RANK(AD465,AD456:AD471,1)),"")</f>
        <v/>
      </c>
      <c r="AB465" s="19">
        <f ca="1">IFERROR(IF(Z465="A","",RANK(AE465,AE456:AE471,1)),"")</f>
        <v>5</v>
      </c>
      <c r="AD465" s="9" t="str">
        <f t="shared" ca="1" si="146"/>
        <v/>
      </c>
      <c r="AE465" s="9">
        <f t="shared" ca="1" si="147"/>
        <v>10</v>
      </c>
      <c r="AF465" s="9" t="s">
        <v>179</v>
      </c>
      <c r="AG465" s="4">
        <f>IFERROR(IF(A455=0,E465/11,LEFT(E465,1)),"")</f>
        <v>5</v>
      </c>
    </row>
    <row r="466" spans="1:33" s="4" customFormat="1" ht="15.95" customHeight="1" x14ac:dyDescent="0.35">
      <c r="A466" s="8">
        <f>IFERROR(IF(A455=0,A458*11,A458&amp;A458),"-")</f>
        <v>44</v>
      </c>
      <c r="B466" s="7" t="str">
        <f t="shared" ca="1" si="141"/>
        <v/>
      </c>
      <c r="C466" s="7">
        <f t="shared" ca="1" si="142"/>
        <v>3</v>
      </c>
      <c r="D466" s="55">
        <v>11</v>
      </c>
      <c r="E466" s="17">
        <f t="shared" si="143"/>
        <v>44</v>
      </c>
      <c r="F466" s="18" t="str">
        <f ca="1">IFERROR(IF(A455=0,HLOOKUP(E466,Declarations!$D$2:$S$102,B453,FALSE),HLOOKUP(VLOOKUP(E466,Teams!$V$2:$W$19,2,FALSE),Declarations!$D$2:$S$102,B453,FALSE)),"")</f>
        <v>SULLOCK Beth</v>
      </c>
      <c r="G466" s="18" t="str">
        <f t="shared" si="140"/>
        <v>M'bro</v>
      </c>
      <c r="H466" s="524">
        <f ca="1">IFERROR(INDIRECT(CONCATENATE("'Distance Input'!"&amp;B454&amp;C454+10)),"")</f>
        <v>3.53</v>
      </c>
      <c r="I466" s="525"/>
      <c r="J466" s="524">
        <v>0</v>
      </c>
      <c r="K466" s="525"/>
      <c r="L466" s="524">
        <v>0</v>
      </c>
      <c r="M466" s="525"/>
      <c r="N466" s="539">
        <f t="shared" ca="1" si="144"/>
        <v>3.53</v>
      </c>
      <c r="O466" s="540"/>
      <c r="P466" s="55">
        <v>0</v>
      </c>
      <c r="Q466" s="541">
        <v>0</v>
      </c>
      <c r="R466" s="541"/>
      <c r="S466" s="541">
        <v>0</v>
      </c>
      <c r="T466" s="541"/>
      <c r="U466" s="541">
        <v>0</v>
      </c>
      <c r="V466" s="541"/>
      <c r="W466" s="524">
        <f t="shared" ca="1" si="145"/>
        <v>3.53</v>
      </c>
      <c r="X466" s="525"/>
      <c r="Y466" s="55">
        <f ca="1">IF(OR(W466="",W466=0),0,IF(W466="X",MatchDay!$U$2+MatchDay!$U$2+1-COUNTIF(Distance!W456:W466,"X"),RANK(W466,$W456:$X471,0)))</f>
        <v>6</v>
      </c>
      <c r="Z466" s="19" t="str">
        <f ca="1">IFERROR(IF(Y466=0,0,IF(VLOOKUP(AG466,E456:Y463,21,FALSE)=0,"A",IF(Y466&gt;=VLOOKUP(AG466,E456:Y463,21,FALSE),"B","A"))),"")</f>
        <v>B</v>
      </c>
      <c r="AA466" s="19" t="str">
        <f ca="1">IFERROR(IF(Z466="B","",RANK(AD466,AD456:AD471,1)),"")</f>
        <v/>
      </c>
      <c r="AB466" s="19">
        <f ca="1">IFERROR(IF(Z466="A","",RANK(AE466,AE456:AE471,1)),"")</f>
        <v>3</v>
      </c>
      <c r="AD466" s="9" t="str">
        <f t="shared" ca="1" si="146"/>
        <v/>
      </c>
      <c r="AE466" s="9">
        <f t="shared" ca="1" si="147"/>
        <v>6</v>
      </c>
      <c r="AF466" s="9" t="s">
        <v>179</v>
      </c>
      <c r="AG466" s="4">
        <f>IFERROR(IF(A455=0,E466/11,LEFT(E466,1)),"")</f>
        <v>4</v>
      </c>
    </row>
    <row r="467" spans="1:33" s="4" customFormat="1" ht="15.95" customHeight="1" x14ac:dyDescent="0.35">
      <c r="A467" s="8">
        <f>IFERROR(IF(A455=0,A459*11,A459&amp;A459),"-")</f>
        <v>22</v>
      </c>
      <c r="B467" s="7">
        <f t="shared" ca="1" si="141"/>
        <v>5</v>
      </c>
      <c r="C467" s="7" t="str">
        <f t="shared" ca="1" si="142"/>
        <v/>
      </c>
      <c r="D467" s="55">
        <v>12</v>
      </c>
      <c r="E467" s="17">
        <f t="shared" si="143"/>
        <v>22</v>
      </c>
      <c r="F467" s="18" t="str">
        <f ca="1">IFERROR(IF(A455=0,HLOOKUP(E467,Declarations!$D$2:$S$102,B453,FALSE),HLOOKUP(VLOOKUP(E467,Teams!$V$2:$W$19,2,FALSE),Declarations!$D$2:$S$102,B453,FALSE)),"")</f>
        <v>GROVE Abigail</v>
      </c>
      <c r="G467" s="18" t="str">
        <f t="shared" si="140"/>
        <v>Sheff+D</v>
      </c>
      <c r="H467" s="524">
        <f ca="1">IFERROR(INDIRECT(CONCATENATE("'Distance Input'!"&amp;B454&amp;C454+11)),"")</f>
        <v>3.05</v>
      </c>
      <c r="I467" s="525"/>
      <c r="J467" s="524">
        <v>0</v>
      </c>
      <c r="K467" s="525"/>
      <c r="L467" s="524">
        <v>0</v>
      </c>
      <c r="M467" s="525"/>
      <c r="N467" s="539">
        <f t="shared" ca="1" si="144"/>
        <v>3.05</v>
      </c>
      <c r="O467" s="540"/>
      <c r="P467" s="55">
        <v>0</v>
      </c>
      <c r="Q467" s="541">
        <v>0</v>
      </c>
      <c r="R467" s="541"/>
      <c r="S467" s="541">
        <v>0</v>
      </c>
      <c r="T467" s="541"/>
      <c r="U467" s="541">
        <v>0</v>
      </c>
      <c r="V467" s="541"/>
      <c r="W467" s="524">
        <f t="shared" ca="1" si="145"/>
        <v>3.05</v>
      </c>
      <c r="X467" s="525"/>
      <c r="Y467" s="55">
        <f ca="1">IF(OR(W467="",W467=0),0,IF(W467="X",MatchDay!$U$2+MatchDay!$U$2+1-COUNTIF(Distance!W456:W467,"X"),RANK(W467,$W456:$X471,0)))</f>
        <v>8</v>
      </c>
      <c r="Z467" s="19" t="str">
        <f ca="1">IFERROR(IF(Y467=0,0,IF(VLOOKUP(AG467,E456:Y463,21,FALSE)=0,"A",IF(Y467&gt;=VLOOKUP(AG467,E456:Y463,21,FALSE),"B","A"))),"")</f>
        <v>A</v>
      </c>
      <c r="AA467" s="19">
        <f ca="1">IFERROR(IF(Z467="B","",RANK(AD467,AD456:AD471,1)),"")</f>
        <v>5</v>
      </c>
      <c r="AB467" s="19" t="str">
        <f ca="1">IFERROR(IF(Z467="A","",RANK(AE467,AE456:AE471,1)),"")</f>
        <v/>
      </c>
      <c r="AD467" s="9">
        <f t="shared" ca="1" si="146"/>
        <v>8</v>
      </c>
      <c r="AE467" s="9" t="str">
        <f t="shared" ca="1" si="147"/>
        <v/>
      </c>
      <c r="AF467" s="9" t="s">
        <v>179</v>
      </c>
      <c r="AG467" s="4">
        <f>IFERROR(IF(A455=0,E467/11,LEFT(E467,1)),"")</f>
        <v>2</v>
      </c>
    </row>
    <row r="468" spans="1:33" s="4" customFormat="1" ht="15.95" customHeight="1" x14ac:dyDescent="0.35">
      <c r="A468" s="8">
        <f>IFERROR(IF(A455=0,A460*11,A460&amp;A460),"-")</f>
        <v>33</v>
      </c>
      <c r="B468" s="7" t="str">
        <f t="shared" ca="1" si="141"/>
        <v/>
      </c>
      <c r="C468" s="7">
        <f t="shared" ca="1" si="142"/>
        <v>1</v>
      </c>
      <c r="D468" s="55">
        <v>13</v>
      </c>
      <c r="E468" s="17">
        <f t="shared" si="143"/>
        <v>33</v>
      </c>
      <c r="F468" s="18" t="str">
        <f ca="1">IFERROR(IF(A455=0,HLOOKUP(E468,Declarations!$D$2:$S$102,B453,FALSE),HLOOKUP(VLOOKUP(E468,Teams!$V$2:$W$19,2,FALSE),Declarations!$D$2:$S$102,B453,FALSE)),"")</f>
        <v>WRIGHT Ella</v>
      </c>
      <c r="G468" s="18" t="str">
        <f t="shared" si="140"/>
        <v>York</v>
      </c>
      <c r="H468" s="524">
        <f ca="1">IFERROR(INDIRECT(CONCATENATE("'Distance Input'!"&amp;B454&amp;C454+12)),"")</f>
        <v>3.79</v>
      </c>
      <c r="I468" s="525"/>
      <c r="J468" s="524">
        <v>0</v>
      </c>
      <c r="K468" s="525"/>
      <c r="L468" s="524">
        <v>0</v>
      </c>
      <c r="M468" s="525"/>
      <c r="N468" s="539">
        <f t="shared" ca="1" si="144"/>
        <v>3.79</v>
      </c>
      <c r="O468" s="540"/>
      <c r="P468" s="55">
        <v>0</v>
      </c>
      <c r="Q468" s="541">
        <v>0</v>
      </c>
      <c r="R468" s="541"/>
      <c r="S468" s="541">
        <v>0</v>
      </c>
      <c r="T468" s="541"/>
      <c r="U468" s="541">
        <v>0</v>
      </c>
      <c r="V468" s="541"/>
      <c r="W468" s="524">
        <f t="shared" ca="1" si="145"/>
        <v>3.79</v>
      </c>
      <c r="X468" s="525"/>
      <c r="Y468" s="55">
        <f ca="1">IF(OR(W468="",W468=0),0,IF(W468="X",MatchDay!$U$2+MatchDay!$U$2+1-COUNTIF(Distance!W456:W468,"X"),RANK(W468,$W456:$X471,0)))</f>
        <v>3</v>
      </c>
      <c r="Z468" s="19" t="str">
        <f ca="1">IFERROR(IF(Y468=0,0,IF(VLOOKUP(AG468,E456:Y463,21,FALSE)=0,"A",IF(Y468&gt;=VLOOKUP(AG468,E456:Y463,21,FALSE),"B","A"))),"")</f>
        <v>B</v>
      </c>
      <c r="AA468" s="19" t="str">
        <f ca="1">IFERROR(IF(Z468="B","",RANK(AD468,AD456:AD471,1)),"")</f>
        <v/>
      </c>
      <c r="AB468" s="19">
        <f ca="1">IFERROR(IF(Z468="A","",RANK(AE468,AE456:AE471,1)),"")</f>
        <v>1</v>
      </c>
      <c r="AD468" s="9" t="str">
        <f t="shared" ca="1" si="146"/>
        <v/>
      </c>
      <c r="AE468" s="9">
        <f t="shared" ca="1" si="147"/>
        <v>3</v>
      </c>
      <c r="AF468" s="9" t="s">
        <v>179</v>
      </c>
      <c r="AG468" s="4">
        <f>IFERROR(IF(A455=0,E468/11,LEFT(E468,1)),"")</f>
        <v>3</v>
      </c>
    </row>
    <row r="469" spans="1:33" s="4" customFormat="1" ht="15.95" customHeight="1" x14ac:dyDescent="0.35">
      <c r="A469" s="8" t="str">
        <f>IFERROR(IF(A455=0,A461*11,A461&amp;A461),"-")</f>
        <v>-</v>
      </c>
      <c r="B469" s="7" t="str">
        <f t="shared" ca="1" si="141"/>
        <v/>
      </c>
      <c r="C469" s="7" t="str">
        <f t="shared" ca="1" si="142"/>
        <v/>
      </c>
      <c r="D469" s="55">
        <v>14</v>
      </c>
      <c r="E469" s="17" t="str">
        <f t="shared" si="143"/>
        <v>-</v>
      </c>
      <c r="F469" s="18" t="str">
        <f>IFERROR(IF(A455=0,HLOOKUP(E469,Declarations!$D$2:$S$102,B453,FALSE),HLOOKUP(VLOOKUP(E469,Teams!$V$2:$W$19,2,FALSE),Declarations!$D$2:$S$102,B453,FALSE)),"")</f>
        <v/>
      </c>
      <c r="G469" s="18" t="str">
        <f t="shared" si="140"/>
        <v/>
      </c>
      <c r="H469" s="524">
        <f ca="1">IFERROR(INDIRECT(CONCATENATE("'Distance Input'!"&amp;B454&amp;C454+13)),"")</f>
        <v>0</v>
      </c>
      <c r="I469" s="525"/>
      <c r="J469" s="524">
        <v>0</v>
      </c>
      <c r="K469" s="525"/>
      <c r="L469" s="524">
        <v>0</v>
      </c>
      <c r="M469" s="525"/>
      <c r="N469" s="539">
        <f t="shared" ca="1" si="144"/>
        <v>0</v>
      </c>
      <c r="O469" s="540"/>
      <c r="P469" s="55">
        <v>0</v>
      </c>
      <c r="Q469" s="541">
        <v>0</v>
      </c>
      <c r="R469" s="541"/>
      <c r="S469" s="541">
        <v>0</v>
      </c>
      <c r="T469" s="541"/>
      <c r="U469" s="541">
        <v>0</v>
      </c>
      <c r="V469" s="541"/>
      <c r="W469" s="524">
        <f t="shared" ca="1" si="145"/>
        <v>0</v>
      </c>
      <c r="X469" s="525"/>
      <c r="Y469" s="55">
        <f ca="1">IF(OR(W469="",W469=0),0,IF(W469="X",MatchDay!$U$2+MatchDay!$U$2+1-COUNTIF(Distance!W456:W469,"X"),RANK(W469,$W456:$X471,0)))</f>
        <v>0</v>
      </c>
      <c r="Z469" s="19">
        <f ca="1">IFERROR(IF(Y469=0,0,IF(VLOOKUP(AG469,E456:Y463,21,FALSE)=0,"A",IF(Y469&gt;=VLOOKUP(AG469,E456:Y463,21,FALSE),"B","A"))),"")</f>
        <v>0</v>
      </c>
      <c r="AA469" s="19" t="str">
        <f ca="1">IFERROR(IF(Z469="B","",RANK(AD469,AD456:AD471,1)),"")</f>
        <v/>
      </c>
      <c r="AB469" s="19" t="str">
        <f ca="1">IFERROR(IF(Z469="A","",RANK(AE469,AE456:AE471,1)),"")</f>
        <v/>
      </c>
      <c r="AD469" s="9" t="str">
        <f t="shared" ca="1" si="146"/>
        <v/>
      </c>
      <c r="AE469" s="9" t="str">
        <f t="shared" ca="1" si="147"/>
        <v/>
      </c>
      <c r="AF469" s="9" t="s">
        <v>179</v>
      </c>
      <c r="AG469" s="4" t="str">
        <f>IFERROR(IF(A455=0,E469/11,LEFT(E469,1)),"")</f>
        <v/>
      </c>
    </row>
    <row r="470" spans="1:33" s="4" customFormat="1" ht="15.95" customHeight="1" x14ac:dyDescent="0.35">
      <c r="A470" s="8" t="str">
        <f>IFERROR(IF(A455=0,A462*11,A462&amp;A462),"-")</f>
        <v>-</v>
      </c>
      <c r="B470" s="7" t="str">
        <f t="shared" ca="1" si="141"/>
        <v/>
      </c>
      <c r="C470" s="7" t="str">
        <f t="shared" ca="1" si="142"/>
        <v/>
      </c>
      <c r="D470" s="55">
        <v>15</v>
      </c>
      <c r="E470" s="17" t="str">
        <f t="shared" si="143"/>
        <v>-</v>
      </c>
      <c r="F470" s="18" t="str">
        <f>IFERROR(IF(A455=0,HLOOKUP(E470,Declarations!$D$2:$S$102,B453,FALSE),HLOOKUP(VLOOKUP(E470,Teams!$V$2:$W$19,2,FALSE),Declarations!$D$2:$S$102,B453,FALSE)),"")</f>
        <v/>
      </c>
      <c r="G470" s="18" t="str">
        <f t="shared" si="140"/>
        <v/>
      </c>
      <c r="H470" s="524">
        <f ca="1">IFERROR(INDIRECT(CONCATENATE("'Distance Input'!"&amp;B454&amp;C454+14)),"")</f>
        <v>0</v>
      </c>
      <c r="I470" s="525"/>
      <c r="J470" s="524">
        <v>0</v>
      </c>
      <c r="K470" s="525"/>
      <c r="L470" s="524">
        <v>0</v>
      </c>
      <c r="M470" s="525"/>
      <c r="N470" s="539">
        <f t="shared" ca="1" si="144"/>
        <v>0</v>
      </c>
      <c r="O470" s="540"/>
      <c r="P470" s="55">
        <v>0</v>
      </c>
      <c r="Q470" s="541">
        <v>0</v>
      </c>
      <c r="R470" s="541"/>
      <c r="S470" s="541">
        <v>0</v>
      </c>
      <c r="T470" s="541"/>
      <c r="U470" s="541">
        <v>0</v>
      </c>
      <c r="V470" s="541"/>
      <c r="W470" s="524">
        <f t="shared" ca="1" si="145"/>
        <v>0</v>
      </c>
      <c r="X470" s="525"/>
      <c r="Y470" s="55">
        <f ca="1">IF(OR(W470="",W470=0),0,IF(W470="X",MatchDay!$U$2+MatchDay!$U$2+1-COUNTIF(Distance!W456:W470,"X"),RANK(W470,$W456:$X471,0)))</f>
        <v>0</v>
      </c>
      <c r="Z470" s="19">
        <f ca="1">IFERROR(IF(Y470=0,0,IF(VLOOKUP(AG470,E456:Y463,21,FALSE)=0,"A",IF(Y470&gt;=VLOOKUP(AG470,E456:Y463,21,FALSE),"B","A"))),"")</f>
        <v>0</v>
      </c>
      <c r="AA470" s="19" t="str">
        <f ca="1">IFERROR(IF(Z470="B","",RANK(AD470,AD456:AD471,1)),"")</f>
        <v/>
      </c>
      <c r="AB470" s="19" t="str">
        <f ca="1">IFERROR(IF(Z470="A","",RANK(AE470,AE456:AE471,1)),"")</f>
        <v/>
      </c>
      <c r="AD470" s="9" t="str">
        <f t="shared" ca="1" si="146"/>
        <v/>
      </c>
      <c r="AE470" s="9" t="str">
        <f t="shared" ca="1" si="147"/>
        <v/>
      </c>
      <c r="AF470" s="9" t="s">
        <v>179</v>
      </c>
      <c r="AG470" s="4" t="str">
        <f>IFERROR(IF(A455=0,E470/11,LEFT(E470,1)),"")</f>
        <v/>
      </c>
    </row>
    <row r="471" spans="1:33" s="4" customFormat="1" ht="15.95" customHeight="1" x14ac:dyDescent="0.35">
      <c r="A471" s="8" t="str">
        <f>IFERROR(IF(A455=0,A463*11,A463&amp;A463),"-")</f>
        <v>-</v>
      </c>
      <c r="B471" s="7" t="str">
        <f t="shared" ca="1" si="141"/>
        <v/>
      </c>
      <c r="C471" s="7" t="str">
        <f t="shared" ca="1" si="142"/>
        <v/>
      </c>
      <c r="D471" s="55">
        <v>16</v>
      </c>
      <c r="E471" s="17" t="str">
        <f t="shared" si="143"/>
        <v>-</v>
      </c>
      <c r="F471" s="18" t="str">
        <f>IFERROR(IF(A455=0,HLOOKUP(E471,Declarations!$D$2:$S$102,B453,FALSE),HLOOKUP(VLOOKUP(E471,Teams!$V$2:$W$19,2,FALSE),Declarations!$D$2:$S$102,B453,FALSE)),"")</f>
        <v/>
      </c>
      <c r="G471" s="18" t="str">
        <f t="shared" si="140"/>
        <v/>
      </c>
      <c r="H471" s="524">
        <f ca="1">IFERROR(INDIRECT(CONCATENATE("'Distance Input'!"&amp;B454&amp;C454+15)),"")</f>
        <v>0</v>
      </c>
      <c r="I471" s="525"/>
      <c r="J471" s="524">
        <v>0</v>
      </c>
      <c r="K471" s="525"/>
      <c r="L471" s="524">
        <v>0</v>
      </c>
      <c r="M471" s="525"/>
      <c r="N471" s="539">
        <f t="shared" ca="1" si="144"/>
        <v>0</v>
      </c>
      <c r="O471" s="540"/>
      <c r="P471" s="55">
        <v>0</v>
      </c>
      <c r="Q471" s="541">
        <v>0</v>
      </c>
      <c r="R471" s="541"/>
      <c r="S471" s="541">
        <v>0</v>
      </c>
      <c r="T471" s="541"/>
      <c r="U471" s="541">
        <v>0</v>
      </c>
      <c r="V471" s="541"/>
      <c r="W471" s="524">
        <f t="shared" ca="1" si="145"/>
        <v>0</v>
      </c>
      <c r="X471" s="525"/>
      <c r="Y471" s="55">
        <f ca="1">IF(OR(W471="",W471=0),0,IF(W471="X",MatchDay!$U$2+MatchDay!$U$2+1-COUNTIF(Distance!W456:W471,"X"),RANK(W471,$W456:$X471,0)))</f>
        <v>0</v>
      </c>
      <c r="Z471" s="19">
        <f ca="1">IFERROR(IF(Y471=0,0,IF(VLOOKUP(AG471,E456:Y463,21,FALSE)=0,"A",IF(Y471&gt;=VLOOKUP(AG471,E456:Y463,21,FALSE),"B","A"))),"")</f>
        <v>0</v>
      </c>
      <c r="AA471" s="19" t="str">
        <f ca="1">IFERROR(IF(Z471="B","",RANK(AD471,AD456:AD471,1)),"")</f>
        <v/>
      </c>
      <c r="AB471" s="19" t="str">
        <f ca="1">IFERROR(IF(Z471="A","",RANK(AE471,AE456:AE471,1)),"")</f>
        <v/>
      </c>
      <c r="AD471" s="9" t="str">
        <f t="shared" ca="1" si="146"/>
        <v/>
      </c>
      <c r="AE471" s="9" t="str">
        <f t="shared" ca="1" si="147"/>
        <v/>
      </c>
      <c r="AF471" s="9" t="s">
        <v>179</v>
      </c>
      <c r="AG471" s="4" t="str">
        <f>IFERROR(IF(A455=0,E471/11,LEFT(E471,1)),"")</f>
        <v/>
      </c>
    </row>
    <row r="472" spans="1:33" s="4" customFormat="1" ht="11.65" x14ac:dyDescent="0.45">
      <c r="A472" s="8"/>
      <c r="B472" s="10"/>
      <c r="C472" s="3"/>
      <c r="D472" s="20"/>
      <c r="E472" s="20"/>
      <c r="F472" s="21"/>
      <c r="G472" s="21"/>
      <c r="H472" s="20"/>
      <c r="I472" s="20"/>
      <c r="J472" s="20"/>
      <c r="K472" s="20"/>
      <c r="L472" s="20"/>
      <c r="M472" s="20"/>
      <c r="N472" s="20"/>
      <c r="O472" s="20"/>
      <c r="P472" s="20"/>
      <c r="Q472" s="20"/>
      <c r="R472" s="20"/>
      <c r="S472" s="20"/>
      <c r="T472" s="20"/>
      <c r="U472" s="20"/>
      <c r="V472" s="20"/>
      <c r="W472" s="20"/>
      <c r="X472" s="20"/>
      <c r="Y472" s="20"/>
      <c r="Z472" s="20"/>
      <c r="AA472" s="20"/>
      <c r="AB472" s="22"/>
    </row>
    <row r="473" spans="1:33" s="4" customFormat="1" ht="11.65" x14ac:dyDescent="0.45">
      <c r="A473" s="8"/>
      <c r="B473" s="10"/>
      <c r="C473" s="3"/>
      <c r="D473" s="533" t="s">
        <v>180</v>
      </c>
      <c r="E473" s="547"/>
      <c r="F473" s="547"/>
      <c r="G473" s="547"/>
      <c r="H473" s="547"/>
      <c r="I473" s="547"/>
      <c r="J473" s="512" t="s">
        <v>181</v>
      </c>
      <c r="K473" s="548"/>
      <c r="L473" s="548"/>
      <c r="M473" s="548"/>
      <c r="N473" s="548"/>
      <c r="O473" s="548"/>
      <c r="P473" s="548"/>
      <c r="Q473" s="548"/>
      <c r="R473" s="548"/>
      <c r="S473" s="548"/>
      <c r="T473" s="548"/>
      <c r="U473" s="549"/>
      <c r="V473" s="512" t="s">
        <v>182</v>
      </c>
      <c r="W473" s="513"/>
      <c r="X473" s="513"/>
      <c r="Y473" s="513"/>
      <c r="Z473" s="513"/>
      <c r="AA473" s="513"/>
      <c r="AB473" s="514"/>
    </row>
    <row r="474" spans="1:33" s="4" customFormat="1" ht="11.65" x14ac:dyDescent="0.45">
      <c r="A474" s="8" t="s">
        <v>55</v>
      </c>
      <c r="B474" s="10"/>
      <c r="C474" s="3"/>
      <c r="D474" s="12"/>
      <c r="E474" s="55" t="s">
        <v>183</v>
      </c>
      <c r="F474" s="55" t="s">
        <v>165</v>
      </c>
      <c r="G474" s="55" t="s">
        <v>166</v>
      </c>
      <c r="H474" s="533" t="s">
        <v>184</v>
      </c>
      <c r="I474" s="533"/>
      <c r="J474" s="23"/>
      <c r="K474" s="54" t="s">
        <v>183</v>
      </c>
      <c r="L474" s="512" t="s">
        <v>165</v>
      </c>
      <c r="M474" s="513"/>
      <c r="N474" s="513"/>
      <c r="O474" s="514"/>
      <c r="P474" s="512" t="s">
        <v>166</v>
      </c>
      <c r="Q474" s="513"/>
      <c r="R474" s="513"/>
      <c r="S474" s="514"/>
      <c r="T474" s="512" t="s">
        <v>184</v>
      </c>
      <c r="U474" s="514"/>
      <c r="V474" s="24"/>
      <c r="W474" s="25"/>
      <c r="X474" s="25"/>
      <c r="Y474" s="25"/>
      <c r="Z474" s="25"/>
      <c r="AA474" s="25"/>
      <c r="AB474" s="26"/>
    </row>
    <row r="475" spans="1:33" s="4" customFormat="1" ht="15.95" customHeight="1" x14ac:dyDescent="0.45">
      <c r="A475" s="11">
        <f>IFERROR(VLOOKUP(A452,standards,3,FALSE),"-")</f>
        <v>4.5</v>
      </c>
      <c r="B475" s="10">
        <v>1</v>
      </c>
      <c r="C475" s="3"/>
      <c r="D475" s="55">
        <v>1</v>
      </c>
      <c r="E475" s="19">
        <f ca="1">IFERROR(IF(OR(H456=98,H456=99),H456,VLOOKUP(B475,B456:E471,4,FALSE)),0)</f>
        <v>3</v>
      </c>
      <c r="F475" s="27" t="str">
        <f ca="1">IFERROR(VLOOKUP(E475,$E456:$F471,2,FALSE),"")</f>
        <v>MAUDE Emily</v>
      </c>
      <c r="G475" s="18" t="str">
        <f t="shared" ref="G475:G482" ca="1" si="148">IFERROR(VLOOKUP(E475,teamlookup,5,FALSE),"-")</f>
        <v>York</v>
      </c>
      <c r="H475" s="542">
        <f ca="1">IFERROR(VLOOKUP(E475,E456:X471,19,FALSE),"")</f>
        <v>4.78</v>
      </c>
      <c r="I475" s="543"/>
      <c r="J475" s="55">
        <v>1</v>
      </c>
      <c r="K475" s="55">
        <f ca="1">IFERROR(VLOOKUP(B475,C456:X471,3,FALSE),"")</f>
        <v>33</v>
      </c>
      <c r="L475" s="544" t="str">
        <f ca="1">IFERROR(VLOOKUP(K475,$E456:$F471,2,FALSE),"")</f>
        <v>WRIGHT Ella</v>
      </c>
      <c r="M475" s="545"/>
      <c r="N475" s="545"/>
      <c r="O475" s="546"/>
      <c r="P475" s="544" t="str">
        <f t="shared" ref="P475:P482" ca="1" si="149">IFERROR(VLOOKUP(K475,teamlookup,5,FALSE),"-")</f>
        <v>York</v>
      </c>
      <c r="Q475" s="545"/>
      <c r="R475" s="545"/>
      <c r="S475" s="546"/>
      <c r="T475" s="524">
        <f ca="1">IFERROR(VLOOKUP(K475,E456:X471,19,FALSE),"")</f>
        <v>3.79</v>
      </c>
      <c r="U475" s="525"/>
      <c r="V475" s="28"/>
      <c r="W475" s="29"/>
      <c r="X475" s="29"/>
      <c r="Y475" s="29"/>
      <c r="Z475" s="29"/>
      <c r="AA475" s="29"/>
      <c r="AB475" s="30"/>
    </row>
    <row r="476" spans="1:33" s="4" customFormat="1" ht="15.95" customHeight="1" x14ac:dyDescent="0.45">
      <c r="A476" s="11">
        <f>IFERROR(VLOOKUP(A452,standards,4,FALSE),"-")</f>
        <v>4.3499999999999996</v>
      </c>
      <c r="B476" s="10">
        <v>2</v>
      </c>
      <c r="C476" s="3"/>
      <c r="D476" s="55">
        <v>2</v>
      </c>
      <c r="E476" s="19">
        <f ca="1">IFERROR(VLOOKUP(B476,B456:E471,4,FALSE),"")</f>
        <v>1</v>
      </c>
      <c r="F476" s="27" t="str">
        <f ca="1">IFERROR(VLOOKUP(E476,$E456:$F471,2,FALSE),"")</f>
        <v>FELLOWS Isabelle</v>
      </c>
      <c r="G476" s="18" t="str">
        <f t="shared" ca="1" si="148"/>
        <v>C'field</v>
      </c>
      <c r="H476" s="542">
        <f ca="1">IFERROR(VLOOKUP(E476,E456:X471,19,FALSE),"")</f>
        <v>3.9</v>
      </c>
      <c r="I476" s="543"/>
      <c r="J476" s="55">
        <v>2</v>
      </c>
      <c r="K476" s="55">
        <f ca="1">IFERROR(VLOOKUP(B476,C456:X471,3,FALSE),"")</f>
        <v>11</v>
      </c>
      <c r="L476" s="544" t="str">
        <f ca="1">IFERROR(VLOOKUP(K476,$E456:$F471,2,FALSE),"")</f>
        <v>HUMPHREYS Melissa</v>
      </c>
      <c r="M476" s="545"/>
      <c r="N476" s="545"/>
      <c r="O476" s="546"/>
      <c r="P476" s="544" t="str">
        <f t="shared" ca="1" si="149"/>
        <v>C'field</v>
      </c>
      <c r="Q476" s="545"/>
      <c r="R476" s="545"/>
      <c r="S476" s="546"/>
      <c r="T476" s="524">
        <f ca="1">IFERROR(VLOOKUP(K476,E456:X471,19,FALSE),"")</f>
        <v>3.67</v>
      </c>
      <c r="U476" s="525"/>
      <c r="V476" s="24"/>
      <c r="W476" s="25"/>
      <c r="X476" s="25"/>
      <c r="Y476" s="25"/>
      <c r="Z476" s="25"/>
      <c r="AA476" s="25"/>
      <c r="AB476" s="26"/>
    </row>
    <row r="477" spans="1:33" s="4" customFormat="1" ht="15.95" customHeight="1" x14ac:dyDescent="0.45">
      <c r="A477" s="11">
        <f>IFERROR(VLOOKUP(A452,standards,5,FALSE),"-")</f>
        <v>4.2</v>
      </c>
      <c r="B477" s="10">
        <v>3</v>
      </c>
      <c r="C477" s="3"/>
      <c r="D477" s="55">
        <v>3</v>
      </c>
      <c r="E477" s="19">
        <f ca="1">IFERROR(VLOOKUP(B477,B456:E471,4,FALSE),"")</f>
        <v>4</v>
      </c>
      <c r="F477" s="27" t="str">
        <f ca="1">IFERROR(VLOOKUP(E477,$E456:$F471,2,FALSE),"")</f>
        <v>WILMOT Amy</v>
      </c>
      <c r="G477" s="18" t="str">
        <f t="shared" ca="1" si="148"/>
        <v>M'bro</v>
      </c>
      <c r="H477" s="542">
        <f ca="1">IFERROR(VLOOKUP(E477,E456:X471,19,FALSE),"")</f>
        <v>3.56</v>
      </c>
      <c r="I477" s="543"/>
      <c r="J477" s="55">
        <v>3</v>
      </c>
      <c r="K477" s="55">
        <f ca="1">IFERROR(VLOOKUP(B477,C456:X471,3,FALSE),"")</f>
        <v>44</v>
      </c>
      <c r="L477" s="544" t="str">
        <f ca="1">IFERROR(VLOOKUP(K477,$E456:$F471,2,FALSE),"")</f>
        <v>SULLOCK Beth</v>
      </c>
      <c r="M477" s="545"/>
      <c r="N477" s="545"/>
      <c r="O477" s="546"/>
      <c r="P477" s="544" t="str">
        <f t="shared" ca="1" si="149"/>
        <v>M'bro</v>
      </c>
      <c r="Q477" s="545"/>
      <c r="R477" s="545"/>
      <c r="S477" s="546"/>
      <c r="T477" s="524">
        <f ca="1">IFERROR(VLOOKUP(K477,E456:X471,19,FALSE),"")</f>
        <v>3.53</v>
      </c>
      <c r="U477" s="525"/>
      <c r="V477" s="28"/>
      <c r="W477" s="29"/>
      <c r="X477" s="29"/>
      <c r="Y477" s="29"/>
      <c r="Z477" s="29"/>
      <c r="AA477" s="29"/>
      <c r="AB477" s="30"/>
    </row>
    <row r="478" spans="1:33" s="4" customFormat="1" ht="15.95" customHeight="1" x14ac:dyDescent="0.45">
      <c r="A478" s="11">
        <f>IFERROR(VLOOKUP(A452,AAA!A:F,6,FALSE),"-")</f>
        <v>3.95</v>
      </c>
      <c r="B478" s="10">
        <v>4</v>
      </c>
      <c r="C478" s="3"/>
      <c r="D478" s="55">
        <v>4</v>
      </c>
      <c r="E478" s="19">
        <f ca="1">IFERROR(VLOOKUP(B478,B456:E471,4,FALSE),"")</f>
        <v>5</v>
      </c>
      <c r="F478" s="27" t="str">
        <f ca="1">IFERROR(VLOOKUP(E478,$E456:$F471,2,FALSE),"")</f>
        <v>STOW Libby</v>
      </c>
      <c r="G478" s="18" t="str">
        <f t="shared" ca="1" si="148"/>
        <v>Scun</v>
      </c>
      <c r="H478" s="542">
        <f ca="1">IFERROR(VLOOKUP(E478,E456:X471,19,FALSE),"")</f>
        <v>3.27</v>
      </c>
      <c r="I478" s="543"/>
      <c r="J478" s="55">
        <v>4</v>
      </c>
      <c r="K478" s="55">
        <f ca="1">IFERROR(VLOOKUP(B478,C456:X471,3,FALSE),"")</f>
        <v>2</v>
      </c>
      <c r="L478" s="544" t="str">
        <f ca="1">IFERROR(VLOOKUP(K478,$E456:$F471,2,FALSE),"")</f>
        <v>COOPER Amy</v>
      </c>
      <c r="M478" s="545"/>
      <c r="N478" s="545"/>
      <c r="O478" s="546"/>
      <c r="P478" s="544" t="str">
        <f t="shared" ca="1" si="149"/>
        <v>Sheff+D</v>
      </c>
      <c r="Q478" s="545"/>
      <c r="R478" s="545"/>
      <c r="S478" s="546"/>
      <c r="T478" s="524">
        <f ca="1">IFERROR(VLOOKUP(K478,E456:X471,19,FALSE),"")</f>
        <v>3.01</v>
      </c>
      <c r="U478" s="525"/>
      <c r="V478" s="24"/>
      <c r="W478" s="25"/>
      <c r="X478" s="25"/>
      <c r="Y478" s="25"/>
      <c r="Z478" s="25"/>
      <c r="AA478" s="25"/>
      <c r="AB478" s="26"/>
    </row>
    <row r="479" spans="1:33" s="4" customFormat="1" ht="15.95" customHeight="1" x14ac:dyDescent="0.45">
      <c r="A479" s="8"/>
      <c r="B479" s="10">
        <v>5</v>
      </c>
      <c r="C479" s="3"/>
      <c r="D479" s="55">
        <v>5</v>
      </c>
      <c r="E479" s="19">
        <f ca="1">IFERROR(VLOOKUP(B479,B456:E471,4,FALSE),"")</f>
        <v>22</v>
      </c>
      <c r="F479" s="27" t="str">
        <f ca="1">IFERROR(VLOOKUP(E479,$E456:$F471,2,FALSE),"")</f>
        <v>GROVE Abigail</v>
      </c>
      <c r="G479" s="18" t="str">
        <f t="shared" ca="1" si="148"/>
        <v>Sheff+D</v>
      </c>
      <c r="H479" s="542">
        <f ca="1">IFERROR(VLOOKUP(E479,E456:X471,19,FALSE),"")</f>
        <v>3.05</v>
      </c>
      <c r="I479" s="543"/>
      <c r="J479" s="55">
        <v>5</v>
      </c>
      <c r="K479" s="55">
        <f ca="1">IFERROR(VLOOKUP(B479,C456:X471,3,FALSE),"")</f>
        <v>55</v>
      </c>
      <c r="L479" s="544" t="str">
        <f ca="1">IFERROR(VLOOKUP(K479,$E456:$F471,2,FALSE),"")</f>
        <v>HAYES Zara</v>
      </c>
      <c r="M479" s="545"/>
      <c r="N479" s="545"/>
      <c r="O479" s="546"/>
      <c r="P479" s="544" t="str">
        <f t="shared" ca="1" si="149"/>
        <v>Scun</v>
      </c>
      <c r="Q479" s="545"/>
      <c r="R479" s="545"/>
      <c r="S479" s="546"/>
      <c r="T479" s="524">
        <f ca="1">IFERROR(VLOOKUP(K479,E456:X471,19,FALSE),"")</f>
        <v>2.98</v>
      </c>
      <c r="U479" s="525"/>
      <c r="V479" s="28"/>
      <c r="W479" s="29"/>
      <c r="X479" s="29"/>
      <c r="Y479" s="29"/>
      <c r="Z479" s="29"/>
      <c r="AA479" s="29"/>
      <c r="AB479" s="30"/>
    </row>
    <row r="480" spans="1:33" s="4" customFormat="1" ht="15.95" customHeight="1" x14ac:dyDescent="0.45">
      <c r="A480" s="8" t="s">
        <v>204</v>
      </c>
      <c r="B480" s="10">
        <v>6</v>
      </c>
      <c r="C480" s="3"/>
      <c r="D480" s="55">
        <v>6</v>
      </c>
      <c r="E480" s="19" t="str">
        <f ca="1">IFERROR(VLOOKUP(B480,B456:E471,4,FALSE),"")</f>
        <v/>
      </c>
      <c r="F480" s="27" t="str">
        <f ca="1">IFERROR(VLOOKUP(E480,$E456:$F471,2,FALSE),"")</f>
        <v/>
      </c>
      <c r="G480" s="18" t="str">
        <f t="shared" ca="1" si="148"/>
        <v>-</v>
      </c>
      <c r="H480" s="542" t="str">
        <f ca="1">IFERROR(VLOOKUP(E480,E456:X471,19,FALSE),"")</f>
        <v/>
      </c>
      <c r="I480" s="543"/>
      <c r="J480" s="55">
        <v>6</v>
      </c>
      <c r="K480" s="55" t="str">
        <f ca="1">IFERROR(VLOOKUP(B480,C456:X471,3,FALSE),"")</f>
        <v/>
      </c>
      <c r="L480" s="544" t="str">
        <f ca="1">IFERROR(VLOOKUP(K480,$E456:$F471,2,FALSE),"")</f>
        <v/>
      </c>
      <c r="M480" s="545"/>
      <c r="N480" s="545"/>
      <c r="O480" s="546"/>
      <c r="P480" s="544" t="str">
        <f t="shared" ca="1" si="149"/>
        <v>-</v>
      </c>
      <c r="Q480" s="545"/>
      <c r="R480" s="545"/>
      <c r="S480" s="546"/>
      <c r="T480" s="524" t="str">
        <f ca="1">IFERROR(VLOOKUP(K480,E456:X471,19,FALSE),"")</f>
        <v/>
      </c>
      <c r="U480" s="525"/>
      <c r="V480" s="512" t="s">
        <v>185</v>
      </c>
      <c r="W480" s="513"/>
      <c r="X480" s="513"/>
      <c r="Y480" s="513"/>
      <c r="Z480" s="513"/>
      <c r="AA480" s="513"/>
      <c r="AB480" s="514"/>
    </row>
    <row r="481" spans="1:33" s="4" customFormat="1" ht="15.95" customHeight="1" x14ac:dyDescent="0.45">
      <c r="A481" s="8">
        <f>IFERROR(VLOOKUP(A452,records,5,FALSE),"")</f>
        <v>5.16</v>
      </c>
      <c r="B481" s="10">
        <v>7</v>
      </c>
      <c r="C481" s="3"/>
      <c r="D481" s="55">
        <v>7</v>
      </c>
      <c r="E481" s="19" t="str">
        <f ca="1">IFERROR(VLOOKUP(B481,B456:E471,4,FALSE),"")</f>
        <v/>
      </c>
      <c r="F481" s="27" t="str">
        <f ca="1">IFERROR(VLOOKUP(E481,$E456:$F471,2,FALSE),"")</f>
        <v/>
      </c>
      <c r="G481" s="18" t="str">
        <f t="shared" ca="1" si="148"/>
        <v>-</v>
      </c>
      <c r="H481" s="542" t="str">
        <f ca="1">IFERROR(VLOOKUP(E481,E456:X471,19,FALSE),"")</f>
        <v/>
      </c>
      <c r="I481" s="543"/>
      <c r="J481" s="55">
        <v>7</v>
      </c>
      <c r="K481" s="55" t="str">
        <f ca="1">IFERROR(VLOOKUP(B481,C456:X471,3,FALSE),"")</f>
        <v/>
      </c>
      <c r="L481" s="544" t="str">
        <f ca="1">IFERROR(VLOOKUP(K481,$E456:$F471,2,FALSE),"")</f>
        <v/>
      </c>
      <c r="M481" s="545"/>
      <c r="N481" s="545"/>
      <c r="O481" s="546"/>
      <c r="P481" s="544" t="str">
        <f t="shared" ca="1" si="149"/>
        <v>-</v>
      </c>
      <c r="Q481" s="545"/>
      <c r="R481" s="545"/>
      <c r="S481" s="546"/>
      <c r="T481" s="524" t="str">
        <f ca="1">IFERROR(VLOOKUP(K481,E456:X471,19,FALSE),"")</f>
        <v/>
      </c>
      <c r="U481" s="525"/>
      <c r="V481" s="24"/>
      <c r="W481" s="25"/>
      <c r="X481" s="25"/>
      <c r="Y481" s="25"/>
      <c r="Z481" s="25"/>
      <c r="AA481" s="25"/>
      <c r="AB481" s="26"/>
    </row>
    <row r="482" spans="1:33" s="4" customFormat="1" ht="15.95" customHeight="1" x14ac:dyDescent="0.45">
      <c r="A482" s="8"/>
      <c r="B482" s="10">
        <v>8</v>
      </c>
      <c r="C482" s="3"/>
      <c r="D482" s="55">
        <v>8</v>
      </c>
      <c r="E482" s="19" t="str">
        <f ca="1">IFERROR(VLOOKUP(B482,B456:E471,4,FALSE),"")</f>
        <v/>
      </c>
      <c r="F482" s="27" t="str">
        <f ca="1">IFERROR(VLOOKUP(E482,$E456:$F471,2,FALSE),"")</f>
        <v/>
      </c>
      <c r="G482" s="18" t="str">
        <f t="shared" ca="1" si="148"/>
        <v>-</v>
      </c>
      <c r="H482" s="542" t="str">
        <f ca="1">IFERROR(VLOOKUP(E482,E456:X471,19,FALSE),"")</f>
        <v/>
      </c>
      <c r="I482" s="543"/>
      <c r="J482" s="55">
        <v>8</v>
      </c>
      <c r="K482" s="55" t="str">
        <f ca="1">IFERROR(VLOOKUP(B482,C456:X471,3,FALSE),"")</f>
        <v/>
      </c>
      <c r="L482" s="544" t="str">
        <f ca="1">IFERROR(VLOOKUP(K482,$E456:$F471,2,FALSE),"")</f>
        <v/>
      </c>
      <c r="M482" s="545"/>
      <c r="N482" s="545"/>
      <c r="O482" s="546"/>
      <c r="P482" s="544" t="str">
        <f t="shared" ca="1" si="149"/>
        <v>-</v>
      </c>
      <c r="Q482" s="545"/>
      <c r="R482" s="545"/>
      <c r="S482" s="546"/>
      <c r="T482" s="524" t="str">
        <f ca="1">IFERROR(VLOOKUP(K482,E456:X471,19,FALSE),"")</f>
        <v/>
      </c>
      <c r="U482" s="525"/>
      <c r="V482" s="28"/>
      <c r="W482" s="29"/>
      <c r="X482" s="29"/>
      <c r="Y482" s="29"/>
      <c r="Z482" s="29"/>
      <c r="AA482" s="29"/>
      <c r="AB482" s="30"/>
    </row>
    <row r="483" spans="1:33" s="4" customFormat="1" ht="21" x14ac:dyDescent="0.45">
      <c r="A483" s="2" t="str">
        <f>MatchDay!$U$6</f>
        <v>X</v>
      </c>
      <c r="B483" s="8"/>
      <c r="C483" s="3"/>
      <c r="D483" s="502" t="s">
        <v>186</v>
      </c>
      <c r="E483" s="503"/>
      <c r="F483" s="503"/>
      <c r="G483" s="503"/>
      <c r="H483" s="503"/>
      <c r="I483" s="503"/>
      <c r="J483" s="503"/>
      <c r="K483" s="515" t="s">
        <v>187</v>
      </c>
      <c r="L483" s="516"/>
      <c r="M483" s="516"/>
      <c r="N483" s="516"/>
      <c r="O483" s="518" t="str">
        <f>MatchDay!$C$2&amp;" "&amp;MatchDay!$C$3&amp;" "&amp;MatchDay!$C$4</f>
        <v>LOWER NORTH East 1</v>
      </c>
      <c r="P483" s="519"/>
      <c r="Q483" s="519"/>
      <c r="R483" s="519"/>
      <c r="S483" s="519"/>
      <c r="T483" s="519"/>
      <c r="U483" s="519"/>
      <c r="V483" s="519"/>
      <c r="W483" s="519"/>
      <c r="X483" s="519"/>
      <c r="Y483" s="519"/>
      <c r="Z483" s="519"/>
      <c r="AA483" s="519"/>
      <c r="AB483" s="520"/>
    </row>
    <row r="484" spans="1:33" s="4" customFormat="1" ht="15.75" customHeight="1" x14ac:dyDescent="0.45">
      <c r="A484" s="1" t="str">
        <f>IFERROR(IF(LEFT(MatchDay!$C$2,1)="L","L"&amp;A486,"U"&amp;A486),"")</f>
        <v>LFW04</v>
      </c>
      <c r="B484" s="10">
        <v>507</v>
      </c>
      <c r="C484" s="3"/>
      <c r="D484" s="512" t="s">
        <v>188</v>
      </c>
      <c r="E484" s="514"/>
      <c r="F484" s="513" t="str">
        <f>IFERROR(UPPER(VLOOKUP(A485,teamlookup,6,FALSE)),"")</f>
        <v/>
      </c>
      <c r="G484" s="514"/>
      <c r="H484" s="504" t="s">
        <v>201</v>
      </c>
      <c r="I484" s="510"/>
      <c r="J484" s="505"/>
      <c r="K484" s="512" t="str">
        <f>MatchDay!$C$8</f>
        <v>@ Doncaster</v>
      </c>
      <c r="L484" s="513"/>
      <c r="M484" s="513"/>
      <c r="N484" s="513"/>
      <c r="O484" s="513"/>
      <c r="P484" s="514"/>
      <c r="Q484" s="504" t="s">
        <v>160</v>
      </c>
      <c r="R484" s="505"/>
      <c r="S484" s="521">
        <f>MatchDay!$C$7</f>
        <v>43582</v>
      </c>
      <c r="T484" s="522"/>
      <c r="U484" s="522"/>
      <c r="V484" s="522"/>
      <c r="W484" s="522"/>
      <c r="X484" s="523"/>
      <c r="Y484" s="526" t="str">
        <f>IFERROR(IF(LEFT(A484,1)="L","",VLOOKUP(A484,AAA!$A:$I,8,FALSE)),"")</f>
        <v/>
      </c>
      <c r="Z484" s="527"/>
      <c r="AA484" s="524" t="str">
        <f>IFERROR(IF(LEFT(A484,1)="L","",VLOOKUP(A484,standards,9,FALSE)),"")</f>
        <v/>
      </c>
      <c r="AB484" s="525"/>
      <c r="AC484" s="6"/>
      <c r="AD484" s="6"/>
    </row>
    <row r="485" spans="1:33" s="4" customFormat="1" ht="15.75" customHeight="1" x14ac:dyDescent="0.45">
      <c r="A485" s="5">
        <f>IFERROR(IF(A483=1,VLOOKUP(A484,judges,VLOOKUP(MatchDay!$U$2*10+MatchDay!$C$5,judgesp,5,FALSE),FALSE),VLOOKUP(Distance!A484,judges,VLOOKUP(MatchDay!$U$2*10+MatchDay!$C$5,judges2,5,FALSE),FALSE)),"")</f>
        <v>0</v>
      </c>
      <c r="B485" s="181">
        <f>IFERROR(VLOOKUP(A484,Timetables!$A:$E,5,FALSE)-1,"")</f>
        <v>68</v>
      </c>
      <c r="C485" s="3"/>
      <c r="D485" s="504" t="s">
        <v>161</v>
      </c>
      <c r="E485" s="505"/>
      <c r="F485" s="508" t="str">
        <f>IFERROR(VLOOKUP(A484,timetables,2,FALSE)&amp;" "&amp;VLOOKUP(A484,timetables,3,FALSE),"")</f>
        <v>Long Jump U15 Boys</v>
      </c>
      <c r="G485" s="509"/>
      <c r="H485" s="504" t="s">
        <v>162</v>
      </c>
      <c r="I485" s="510"/>
      <c r="J485" s="505"/>
      <c r="K485" s="511">
        <f>IFERROR(IF(A483=1,VLOOKUP(A484,Timetables!$A:$G,6,FALSE),VLOOKUP(A484,Timetables!$A:$G,7,FALSE)),"")</f>
        <v>0.64583333333333337</v>
      </c>
      <c r="L485" s="511" t="e">
        <v>#N/A</v>
      </c>
      <c r="M485" s="504" t="s">
        <v>202</v>
      </c>
      <c r="N485" s="505"/>
      <c r="O485" s="506" t="str">
        <f>IFERROR(VLOOKUP(A484,records,3,FALSE)&amp;", "&amp;VLOOKUP(A484,records,4,FALSE)&amp;", "&amp;VLOOKUP(A484,records,5,FALSE)&amp;", "&amp;VLOOKUP(A484,records,6,FALSE)&amp;", "&amp;VLOOKUP(A484,records,7,FALSE)&amp;" "&amp;VLOOKUP(A484,records,8,FALSE),"")</f>
        <v>Patrick Sylla, Bournemouth A.C., 6.82, Kingston, May 4th 2013</v>
      </c>
      <c r="P485" s="506"/>
      <c r="Q485" s="506"/>
      <c r="R485" s="506"/>
      <c r="S485" s="506"/>
      <c r="T485" s="506"/>
      <c r="U485" s="506"/>
      <c r="V485" s="506"/>
      <c r="W485" s="506"/>
      <c r="X485" s="506"/>
      <c r="Y485" s="506"/>
      <c r="Z485" s="506"/>
      <c r="AA485" s="506"/>
      <c r="AB485" s="507"/>
    </row>
    <row r="486" spans="1:33" s="4" customFormat="1" ht="32.1" customHeight="1" x14ac:dyDescent="0.45">
      <c r="A486" s="5" t="s">
        <v>304</v>
      </c>
      <c r="B486" s="10" t="str">
        <f>IFERROR(VLOOKUP($A486,fdistance,2,FALSE),"")</f>
        <v>T</v>
      </c>
      <c r="C486" s="10">
        <f>IFERROR(VLOOKUP($A486,fdistance,3,FALSE),"")</f>
        <v>61</v>
      </c>
      <c r="D486" s="31" t="s">
        <v>163</v>
      </c>
      <c r="E486" s="13" t="s">
        <v>164</v>
      </c>
      <c r="F486" s="13" t="s">
        <v>165</v>
      </c>
      <c r="G486" s="14" t="s">
        <v>166</v>
      </c>
      <c r="H486" s="532" t="s">
        <v>167</v>
      </c>
      <c r="I486" s="534"/>
      <c r="J486" s="534" t="s">
        <v>168</v>
      </c>
      <c r="K486" s="534"/>
      <c r="L486" s="534" t="s">
        <v>169</v>
      </c>
      <c r="M486" s="534"/>
      <c r="N486" s="534" t="s">
        <v>170</v>
      </c>
      <c r="O486" s="534"/>
      <c r="P486" s="535" t="s">
        <v>171</v>
      </c>
      <c r="Q486" s="534" t="s">
        <v>172</v>
      </c>
      <c r="R486" s="534"/>
      <c r="S486" s="534" t="s">
        <v>173</v>
      </c>
      <c r="T486" s="534"/>
      <c r="U486" s="534" t="s">
        <v>174</v>
      </c>
      <c r="V486" s="534"/>
      <c r="W486" s="537" t="s">
        <v>175</v>
      </c>
      <c r="X486" s="538"/>
      <c r="Y486" s="528" t="s">
        <v>176</v>
      </c>
      <c r="Z486" s="530" t="s">
        <v>177</v>
      </c>
      <c r="AA486" s="531"/>
      <c r="AB486" s="532"/>
    </row>
    <row r="487" spans="1:33" s="4" customFormat="1" ht="11.65" x14ac:dyDescent="0.35">
      <c r="A487" s="137">
        <f>IFERROR(SEARCH("U17",F485),0)</f>
        <v>0</v>
      </c>
      <c r="B487" s="7" t="s">
        <v>53</v>
      </c>
      <c r="C487" s="7" t="s">
        <v>54</v>
      </c>
      <c r="D487" s="56"/>
      <c r="E487" s="56"/>
      <c r="F487" s="15"/>
      <c r="G487" s="16"/>
      <c r="H487" s="514" t="s">
        <v>178</v>
      </c>
      <c r="I487" s="533"/>
      <c r="J487" s="533" t="s">
        <v>178</v>
      </c>
      <c r="K487" s="533"/>
      <c r="L487" s="533" t="s">
        <v>178</v>
      </c>
      <c r="M487" s="533"/>
      <c r="N487" s="533" t="s">
        <v>178</v>
      </c>
      <c r="O487" s="533"/>
      <c r="P487" s="536"/>
      <c r="Q487" s="533" t="s">
        <v>178</v>
      </c>
      <c r="R487" s="533"/>
      <c r="S487" s="533" t="s">
        <v>178</v>
      </c>
      <c r="T487" s="533"/>
      <c r="U487" s="533" t="s">
        <v>178</v>
      </c>
      <c r="V487" s="533"/>
      <c r="W487" s="533" t="s">
        <v>178</v>
      </c>
      <c r="X487" s="512"/>
      <c r="Y487" s="529"/>
      <c r="Z487" s="55"/>
      <c r="AA487" s="55" t="s">
        <v>53</v>
      </c>
      <c r="AB487" s="55" t="s">
        <v>54</v>
      </c>
    </row>
    <row r="488" spans="1:33" s="4" customFormat="1" ht="15.95" customHeight="1" x14ac:dyDescent="0.35">
      <c r="A488" s="8">
        <f>IFERROR(IF(D488&gt;MatchDay!$U$2,"-",VLOOKUP(A484,timetables,MatchDay!$U$4,FALSE)),0)</f>
        <v>1</v>
      </c>
      <c r="B488" s="7">
        <f ca="1">AA488</f>
        <v>2</v>
      </c>
      <c r="C488" s="7" t="str">
        <f ca="1">AB488</f>
        <v/>
      </c>
      <c r="D488" s="56">
        <v>1</v>
      </c>
      <c r="E488" s="17">
        <f>A488</f>
        <v>1</v>
      </c>
      <c r="F488" s="18" t="str">
        <f ca="1">IFERROR(IF(A487=0,HLOOKUP(E488,Declarations!$D$2:$S$102,B485,FALSE),HLOOKUP(VLOOKUP(E488,Teams!$V$2:$W$19,2,FALSE),Declarations!$D$2:$S$102,B485,FALSE)),"")</f>
        <v>FOGDEN Ben</v>
      </c>
      <c r="G488" s="18" t="str">
        <f t="shared" ref="G488:G503" si="150">IFERROR(VLOOKUP(E488,teamlookup,5,FALSE),"-")</f>
        <v>C'field</v>
      </c>
      <c r="H488" s="524">
        <f ca="1">IFERROR(INDIRECT(CONCATENATE("'Distance Input'!"&amp;B486&amp;C486)),"")</f>
        <v>4.83</v>
      </c>
      <c r="I488" s="525"/>
      <c r="J488" s="524">
        <v>0</v>
      </c>
      <c r="K488" s="525"/>
      <c r="L488" s="524">
        <v>0</v>
      </c>
      <c r="M488" s="525"/>
      <c r="N488" s="539">
        <f ca="1">H488</f>
        <v>4.83</v>
      </c>
      <c r="O488" s="540"/>
      <c r="P488" s="55">
        <v>0</v>
      </c>
      <c r="Q488" s="541">
        <v>0</v>
      </c>
      <c r="R488" s="541"/>
      <c r="S488" s="541">
        <v>0</v>
      </c>
      <c r="T488" s="541"/>
      <c r="U488" s="541">
        <v>0</v>
      </c>
      <c r="V488" s="541"/>
      <c r="W488" s="524">
        <f ca="1">N488</f>
        <v>4.83</v>
      </c>
      <c r="X488" s="525"/>
      <c r="Y488" s="55">
        <f ca="1">IF(OR(W488="",W488=0),0,IF(W488="X",MatchDay!$U$2+MatchDay!$U$2+1-COUNTIF(Distance!W488:W488,"X"),RANK(W488,$W488:$X503,0)))</f>
        <v>2</v>
      </c>
      <c r="Z488" s="19" t="str">
        <f ca="1">IFERROR(IF(Y488=0,0,IF(OR(VLOOKUP(AG488,E496:Y503,21,FALSE)=0,Y488&lt;=VLOOKUP(AG488,E496:Y503,21,FALSE)),"A","B")),"")</f>
        <v>A</v>
      </c>
      <c r="AA488" s="19">
        <f ca="1">IFERROR(IF(Z488="B","",RANK(AD488,AD488:AD503,1)),"")</f>
        <v>2</v>
      </c>
      <c r="AB488" s="19" t="str">
        <f ca="1">IFERROR(IF(Z488="A","",RANK(AE488,AE488:AE503,1)),"")</f>
        <v/>
      </c>
      <c r="AC488" s="8"/>
      <c r="AD488" s="9">
        <f ca="1">IF(OR(W488=0,Y488=0,Z488="B"),"",Y488)</f>
        <v>2</v>
      </c>
      <c r="AE488" s="9" t="str">
        <f ca="1">IF(OR(W488=0,Y488=0,Z488="A"),"",Y488)</f>
        <v/>
      </c>
      <c r="AF488" s="9" t="s">
        <v>179</v>
      </c>
      <c r="AG488" s="4">
        <f>IFERROR(IF(A487=0,E488*11,E488&amp;E488),"")</f>
        <v>11</v>
      </c>
    </row>
    <row r="489" spans="1:33" s="4" customFormat="1" ht="15.95" customHeight="1" x14ac:dyDescent="0.35">
      <c r="A489" s="8">
        <f>IFERROR(IF(D489&gt;MatchDay!$U$2,"-",VLOOKUP(A484,timetables,MatchDay!$U$4+1,FALSE)),0)</f>
        <v>5</v>
      </c>
      <c r="B489" s="7" t="str">
        <f t="shared" ref="B489:B503" ca="1" si="151">AA489</f>
        <v/>
      </c>
      <c r="C489" s="7" t="str">
        <f t="shared" ref="C489:C503" ca="1" si="152">AB489</f>
        <v/>
      </c>
      <c r="D489" s="55">
        <v>2</v>
      </c>
      <c r="E489" s="17">
        <f t="shared" ref="E489:E503" si="153">A489</f>
        <v>5</v>
      </c>
      <c r="F489" s="18">
        <f ca="1">IFERROR(IF(A487=0,HLOOKUP(E489,Declarations!$D$2:$S$102,B485,FALSE),HLOOKUP(VLOOKUP(E489,Teams!$V$2:$W$19,2,FALSE),Declarations!$D$2:$S$102,B485,FALSE)),"")</f>
        <v>0</v>
      </c>
      <c r="G489" s="18" t="str">
        <f t="shared" si="150"/>
        <v>Scun</v>
      </c>
      <c r="H489" s="524">
        <f ca="1">IFERROR(INDIRECT(CONCATENATE("'Distance Input'!"&amp;B486&amp;C486+1)),"")</f>
        <v>0</v>
      </c>
      <c r="I489" s="525"/>
      <c r="J489" s="524">
        <v>0</v>
      </c>
      <c r="K489" s="525"/>
      <c r="L489" s="524">
        <v>0</v>
      </c>
      <c r="M489" s="525"/>
      <c r="N489" s="539">
        <f t="shared" ref="N489:N503" ca="1" si="154">H489</f>
        <v>0</v>
      </c>
      <c r="O489" s="540"/>
      <c r="P489" s="55">
        <v>0</v>
      </c>
      <c r="Q489" s="541">
        <v>0</v>
      </c>
      <c r="R489" s="541"/>
      <c r="S489" s="541">
        <v>0</v>
      </c>
      <c r="T489" s="541"/>
      <c r="U489" s="541">
        <v>0</v>
      </c>
      <c r="V489" s="541"/>
      <c r="W489" s="524">
        <f t="shared" ref="W489:W503" ca="1" si="155">N489</f>
        <v>0</v>
      </c>
      <c r="X489" s="525"/>
      <c r="Y489" s="55">
        <f ca="1">IF(OR(W489="",W489=0),0,IF(W489="X",MatchDay!$U$2+MatchDay!$U$2+1-COUNTIF(Distance!W488:W489,"X"),RANK(W489,$W488:$X503,0)))</f>
        <v>0</v>
      </c>
      <c r="Z489" s="19">
        <f ca="1">IFERROR(IF(Y489=0,0,IF(OR(VLOOKUP(AG489,E496:Y503,21,FALSE)=0,Y489&lt;=VLOOKUP(AG489,E496:Y503,21,FALSE)),"A","B")),"")</f>
        <v>0</v>
      </c>
      <c r="AA489" s="19" t="str">
        <f ca="1">IFERROR(IF(Z489="B","",RANK(AD489,AD488:AD503,1)),"")</f>
        <v/>
      </c>
      <c r="AB489" s="19" t="str">
        <f ca="1">IFERROR(IF(Z489="A","",RANK(AE489,AE488:AE503,1)),"")</f>
        <v/>
      </c>
      <c r="AC489" s="8"/>
      <c r="AD489" s="9" t="str">
        <f t="shared" ref="AD489:AD503" ca="1" si="156">IF(OR(W489=0,Y489=0,Z489="B"),"",Y489)</f>
        <v/>
      </c>
      <c r="AE489" s="9" t="str">
        <f t="shared" ref="AE489:AE503" ca="1" si="157">IF(OR(W489=0,Y489=0,Z489="A"),"",Y489)</f>
        <v/>
      </c>
      <c r="AF489" s="9" t="s">
        <v>179</v>
      </c>
      <c r="AG489" s="4">
        <f>IFERROR(IF(A487=0,E489*11,E489&amp;E489),"")</f>
        <v>55</v>
      </c>
    </row>
    <row r="490" spans="1:33" s="4" customFormat="1" ht="15.95" customHeight="1" x14ac:dyDescent="0.35">
      <c r="A490" s="8">
        <f>IFERROR(IF(D490&gt;MatchDay!$U$2,"-",VLOOKUP(A484,timetables,MatchDay!$U$4+2,FALSE)),0)</f>
        <v>4</v>
      </c>
      <c r="B490" s="7">
        <f t="shared" ca="1" si="151"/>
        <v>3</v>
      </c>
      <c r="C490" s="7" t="str">
        <f t="shared" ca="1" si="152"/>
        <v/>
      </c>
      <c r="D490" s="55">
        <v>3</v>
      </c>
      <c r="E490" s="17">
        <f t="shared" si="153"/>
        <v>4</v>
      </c>
      <c r="F490" s="18" t="str">
        <f ca="1">IFERROR(IF(A487=0,HLOOKUP(E490,Declarations!$D$2:$S$102,B485,FALSE),HLOOKUP(VLOOKUP(E490,Teams!$V$2:$W$19,2,FALSE),Declarations!$D$2:$S$102,B485,FALSE)),"")</f>
        <v>CHINNERY Norton</v>
      </c>
      <c r="G490" s="18" t="str">
        <f t="shared" si="150"/>
        <v>M'bro</v>
      </c>
      <c r="H490" s="524">
        <f ca="1">IFERROR(INDIRECT(CONCATENATE("'Distance Input'!"&amp;B486&amp;C486+2)),"")</f>
        <v>4.6100000000000003</v>
      </c>
      <c r="I490" s="525"/>
      <c r="J490" s="524">
        <v>0</v>
      </c>
      <c r="K490" s="525"/>
      <c r="L490" s="524">
        <v>0</v>
      </c>
      <c r="M490" s="525"/>
      <c r="N490" s="539">
        <f t="shared" ca="1" si="154"/>
        <v>4.6100000000000003</v>
      </c>
      <c r="O490" s="540"/>
      <c r="P490" s="55">
        <v>0</v>
      </c>
      <c r="Q490" s="541">
        <v>0</v>
      </c>
      <c r="R490" s="541"/>
      <c r="S490" s="541">
        <v>0</v>
      </c>
      <c r="T490" s="541"/>
      <c r="U490" s="541">
        <v>0</v>
      </c>
      <c r="V490" s="541"/>
      <c r="W490" s="524">
        <f t="shared" ca="1" si="155"/>
        <v>4.6100000000000003</v>
      </c>
      <c r="X490" s="525"/>
      <c r="Y490" s="55">
        <f ca="1">IF(OR(W490="",W490=0),0,IF(W490="X",MatchDay!$U$2+MatchDay!$U$2+1-COUNTIF(Distance!W488:W490,"X"),RANK(W490,$W488:$X503,0)))</f>
        <v>3</v>
      </c>
      <c r="Z490" s="19" t="str">
        <f ca="1">IFERROR(IF(Y490=0,0,IF(OR(VLOOKUP(AG490,E496:Y503,21,FALSE)=0,Y490&lt;=VLOOKUP(AG490,E496:Y503,21,FALSE)),"A","B")),"")</f>
        <v>A</v>
      </c>
      <c r="AA490" s="19">
        <f ca="1">IFERROR(IF(Z490="B","",RANK(AD490,AD488:AD503,1)),"")</f>
        <v>3</v>
      </c>
      <c r="AB490" s="19" t="str">
        <f ca="1">IFERROR(IF(Z490="A","",RANK(AE490,AE488:AE503,1)),"")</f>
        <v/>
      </c>
      <c r="AD490" s="9">
        <f t="shared" ca="1" si="156"/>
        <v>3</v>
      </c>
      <c r="AE490" s="9" t="str">
        <f t="shared" ca="1" si="157"/>
        <v/>
      </c>
      <c r="AF490" s="9" t="s">
        <v>179</v>
      </c>
      <c r="AG490" s="4">
        <f>IFERROR(IF(A487=0,E490*11,E490&amp;E490),"")</f>
        <v>44</v>
      </c>
    </row>
    <row r="491" spans="1:33" s="4" customFormat="1" ht="15.95" customHeight="1" x14ac:dyDescent="0.35">
      <c r="A491" s="8">
        <f>IFERROR(IF(D491&gt;MatchDay!$U$2,"-",VLOOKUP(A484,timetables,MatchDay!$U$4+3,FALSE)),0)</f>
        <v>2</v>
      </c>
      <c r="B491" s="7">
        <f t="shared" ca="1" si="151"/>
        <v>1</v>
      </c>
      <c r="C491" s="7" t="str">
        <f t="shared" ca="1" si="152"/>
        <v/>
      </c>
      <c r="D491" s="55">
        <v>4</v>
      </c>
      <c r="E491" s="17">
        <f t="shared" si="153"/>
        <v>2</v>
      </c>
      <c r="F491" s="18" t="str">
        <f ca="1">IFERROR(IF(A487=0,HLOOKUP(E491,Declarations!$D$2:$S$102,B485,FALSE),HLOOKUP(VLOOKUP(E491,Teams!$V$2:$W$19,2,FALSE),Declarations!$D$2:$S$102,B485,FALSE)),"")</f>
        <v>BENTLEY Tom</v>
      </c>
      <c r="G491" s="18" t="str">
        <f t="shared" si="150"/>
        <v>Sheff+D</v>
      </c>
      <c r="H491" s="524">
        <f ca="1">IFERROR(INDIRECT(CONCATENATE("'Distance Input'!"&amp;B486&amp;C486+3)),"")</f>
        <v>4.92</v>
      </c>
      <c r="I491" s="525"/>
      <c r="J491" s="524">
        <v>0</v>
      </c>
      <c r="K491" s="525"/>
      <c r="L491" s="524">
        <v>0</v>
      </c>
      <c r="M491" s="525"/>
      <c r="N491" s="539">
        <f t="shared" ca="1" si="154"/>
        <v>4.92</v>
      </c>
      <c r="O491" s="540"/>
      <c r="P491" s="55">
        <v>0</v>
      </c>
      <c r="Q491" s="541">
        <v>0</v>
      </c>
      <c r="R491" s="541"/>
      <c r="S491" s="541">
        <v>0</v>
      </c>
      <c r="T491" s="541"/>
      <c r="U491" s="541">
        <v>0</v>
      </c>
      <c r="V491" s="541"/>
      <c r="W491" s="524">
        <f t="shared" ca="1" si="155"/>
        <v>4.92</v>
      </c>
      <c r="X491" s="525"/>
      <c r="Y491" s="55">
        <f ca="1">IF(OR(W491="",W491=0),0,IF(W491="X",MatchDay!$U$2+MatchDay!$U$2+1-COUNTIF(Distance!W488:W491,"X"),RANK(W491,$W488:$X503,0)))</f>
        <v>1</v>
      </c>
      <c r="Z491" s="19" t="str">
        <f ca="1">IFERROR(IF(Y491=0,0,IF(OR(VLOOKUP(AG491,E496:Y503,21,FALSE)=0,Y491&lt;=VLOOKUP(AG491,E496:Y503,21,FALSE)),"A","B")),"")</f>
        <v>A</v>
      </c>
      <c r="AA491" s="19">
        <f ca="1">IFERROR(IF(Z491="B","",RANK(AD491,AD488:AD503,1)),"")</f>
        <v>1</v>
      </c>
      <c r="AB491" s="19" t="str">
        <f ca="1">IFERROR(IF(Z491="A","",RANK(AE491,AE488:AE503,1)),"")</f>
        <v/>
      </c>
      <c r="AD491" s="9">
        <f t="shared" ca="1" si="156"/>
        <v>1</v>
      </c>
      <c r="AE491" s="9" t="str">
        <f t="shared" ca="1" si="157"/>
        <v/>
      </c>
      <c r="AF491" s="9" t="s">
        <v>179</v>
      </c>
      <c r="AG491" s="4">
        <f>IFERROR(IF(A487=0,E491*11,E491&amp;E491),"")</f>
        <v>22</v>
      </c>
    </row>
    <row r="492" spans="1:33" s="4" customFormat="1" ht="15.95" customHeight="1" x14ac:dyDescent="0.35">
      <c r="A492" s="8">
        <f>IFERROR(IF(D492&gt;MatchDay!$U$2,"-",VLOOKUP(A484,timetables,MatchDay!$U$4+4,FALSE)),0)</f>
        <v>3</v>
      </c>
      <c r="B492" s="7">
        <f t="shared" ca="1" si="151"/>
        <v>4</v>
      </c>
      <c r="C492" s="7" t="str">
        <f t="shared" ca="1" si="152"/>
        <v/>
      </c>
      <c r="D492" s="55">
        <v>5</v>
      </c>
      <c r="E492" s="17">
        <f t="shared" si="153"/>
        <v>3</v>
      </c>
      <c r="F492" s="18" t="str">
        <f ca="1">IFERROR(IF(A487=0,HLOOKUP(E492,Declarations!$D$2:$S$102,B485,FALSE),HLOOKUP(VLOOKUP(E492,Teams!$V$2:$W$19,2,FALSE),Declarations!$D$2:$S$102,B485,FALSE)),"")</f>
        <v>COOK Harry</v>
      </c>
      <c r="G492" s="18" t="str">
        <f t="shared" si="150"/>
        <v>York</v>
      </c>
      <c r="H492" s="524">
        <f ca="1">IFERROR(INDIRECT(CONCATENATE("'Distance Input'!"&amp;B486&amp;C486+4)),"")</f>
        <v>4.41</v>
      </c>
      <c r="I492" s="525"/>
      <c r="J492" s="524">
        <v>0</v>
      </c>
      <c r="K492" s="525"/>
      <c r="L492" s="524">
        <v>0</v>
      </c>
      <c r="M492" s="525"/>
      <c r="N492" s="539">
        <f t="shared" ca="1" si="154"/>
        <v>4.41</v>
      </c>
      <c r="O492" s="540"/>
      <c r="P492" s="55">
        <v>0</v>
      </c>
      <c r="Q492" s="541">
        <v>0</v>
      </c>
      <c r="R492" s="541"/>
      <c r="S492" s="541">
        <v>0</v>
      </c>
      <c r="T492" s="541"/>
      <c r="U492" s="541">
        <v>0</v>
      </c>
      <c r="V492" s="541"/>
      <c r="W492" s="524">
        <f t="shared" ca="1" si="155"/>
        <v>4.41</v>
      </c>
      <c r="X492" s="525"/>
      <c r="Y492" s="55">
        <f ca="1">IF(OR(W492="",W492=0),0,IF(W492="X",MatchDay!$U$2+MatchDay!$U$2+1-COUNTIF(Distance!W488:W492,"X"),RANK(W492,$W488:$X503,0)))</f>
        <v>4</v>
      </c>
      <c r="Z492" s="19" t="str">
        <f ca="1">IFERROR(IF(Y492=0,0,IF(OR(VLOOKUP(AG492,E496:Y503,21,FALSE)=0,Y492&lt;=VLOOKUP(AG492,E496:Y503,21,FALSE)),"A","B")),"")</f>
        <v>A</v>
      </c>
      <c r="AA492" s="19">
        <f ca="1">IFERROR(IF(Z492="B","",RANK(AD492,AD488:AD503,1)),"")</f>
        <v>4</v>
      </c>
      <c r="AB492" s="19" t="str">
        <f ca="1">IFERROR(IF(Z492="A","",RANK(AE492,AE488:AE503,1)),"")</f>
        <v/>
      </c>
      <c r="AD492" s="9">
        <f t="shared" ca="1" si="156"/>
        <v>4</v>
      </c>
      <c r="AE492" s="9" t="str">
        <f t="shared" ca="1" si="157"/>
        <v/>
      </c>
      <c r="AF492" s="9" t="s">
        <v>179</v>
      </c>
      <c r="AG492" s="4">
        <f>IFERROR(IF(A487=0,E492*11,E492&amp;E492),"")</f>
        <v>33</v>
      </c>
    </row>
    <row r="493" spans="1:33" s="4" customFormat="1" ht="15.95" customHeight="1" x14ac:dyDescent="0.35">
      <c r="A493" s="8" t="str">
        <f>IFERROR(IF(D493&gt;MatchDay!$U$2,"-",VLOOKUP(A484,timetables,MatchDay!$U$4+5,FALSE)),0)</f>
        <v>-</v>
      </c>
      <c r="B493" s="7" t="str">
        <f t="shared" ca="1" si="151"/>
        <v/>
      </c>
      <c r="C493" s="7" t="str">
        <f t="shared" ca="1" si="152"/>
        <v/>
      </c>
      <c r="D493" s="55">
        <v>6</v>
      </c>
      <c r="E493" s="17" t="str">
        <f t="shared" si="153"/>
        <v>-</v>
      </c>
      <c r="F493" s="18" t="str">
        <f>IFERROR(IF(A487=0,HLOOKUP(E493,Declarations!$D$2:$S$102,B485,FALSE),HLOOKUP(VLOOKUP(E493,Teams!$V$2:$W$19,2,FALSE),Declarations!$D$2:$S$102,B485,FALSE)),"")</f>
        <v/>
      </c>
      <c r="G493" s="18" t="str">
        <f t="shared" si="150"/>
        <v/>
      </c>
      <c r="H493" s="524">
        <f ca="1">IFERROR(INDIRECT(CONCATENATE("'Distance Input'!"&amp;B486&amp;C486+5)),"")</f>
        <v>0</v>
      </c>
      <c r="I493" s="525"/>
      <c r="J493" s="524">
        <v>0</v>
      </c>
      <c r="K493" s="525"/>
      <c r="L493" s="524">
        <v>0</v>
      </c>
      <c r="M493" s="525"/>
      <c r="N493" s="539">
        <f t="shared" ca="1" si="154"/>
        <v>0</v>
      </c>
      <c r="O493" s="540"/>
      <c r="P493" s="55">
        <v>0</v>
      </c>
      <c r="Q493" s="541">
        <v>0</v>
      </c>
      <c r="R493" s="541"/>
      <c r="S493" s="541">
        <v>0</v>
      </c>
      <c r="T493" s="541"/>
      <c r="U493" s="541">
        <v>0</v>
      </c>
      <c r="V493" s="541"/>
      <c r="W493" s="524">
        <f t="shared" ca="1" si="155"/>
        <v>0</v>
      </c>
      <c r="X493" s="525"/>
      <c r="Y493" s="55">
        <f ca="1">IF(OR(W493="",W493=0),0,IF(W493="X",MatchDay!$U$2+MatchDay!$U$2+1-COUNTIF(Distance!W488:W493,"X"),RANK(W493,$W488:$X503,0)))</f>
        <v>0</v>
      </c>
      <c r="Z493" s="19">
        <f ca="1">IFERROR(IF(Y493=0,0,IF(OR(VLOOKUP(AG493,E496:Y503,21,FALSE)=0,Y493&lt;=VLOOKUP(AG493,E496:Y503,21,FALSE)),"A","B")),"")</f>
        <v>0</v>
      </c>
      <c r="AA493" s="19" t="str">
        <f ca="1">IFERROR(IF(Z493="B","",RANK(AD493,AD488:AD503,1)),"")</f>
        <v/>
      </c>
      <c r="AB493" s="19" t="str">
        <f ca="1">IFERROR(IF(Z493="A","",RANK(AE493,AE488:AE503,1)),"")</f>
        <v/>
      </c>
      <c r="AD493" s="9" t="str">
        <f t="shared" ca="1" si="156"/>
        <v/>
      </c>
      <c r="AE493" s="9" t="str">
        <f t="shared" ca="1" si="157"/>
        <v/>
      </c>
      <c r="AF493" s="9" t="s">
        <v>179</v>
      </c>
      <c r="AG493" s="4" t="str">
        <f>IFERROR(IF(A487=0,E493*11,E493&amp;E493),"")</f>
        <v/>
      </c>
    </row>
    <row r="494" spans="1:33" s="4" customFormat="1" ht="15.95" customHeight="1" x14ac:dyDescent="0.35">
      <c r="A494" s="8" t="str">
        <f>IFERROR(IF(D494&gt;MatchDay!$U$2,"-",VLOOKUP(A484,timetables,MatchDay!$U$4+6,FALSE)),0)</f>
        <v>-</v>
      </c>
      <c r="B494" s="7" t="str">
        <f t="shared" ca="1" si="151"/>
        <v/>
      </c>
      <c r="C494" s="7" t="str">
        <f t="shared" ca="1" si="152"/>
        <v/>
      </c>
      <c r="D494" s="55">
        <v>7</v>
      </c>
      <c r="E494" s="17" t="str">
        <f t="shared" si="153"/>
        <v>-</v>
      </c>
      <c r="F494" s="18" t="str">
        <f>IFERROR(IF(A487=0,HLOOKUP(E494,Declarations!$D$2:$S$102,B485,FALSE),HLOOKUP(VLOOKUP(E494,Teams!$V$2:$W$19,2,FALSE),Declarations!$D$2:$S$102,B485,FALSE)),"")</f>
        <v/>
      </c>
      <c r="G494" s="18" t="str">
        <f t="shared" si="150"/>
        <v/>
      </c>
      <c r="H494" s="524">
        <f ca="1">IFERROR(INDIRECT(CONCATENATE("'Distance Input'!"&amp;B486&amp;C486+6)),"")</f>
        <v>0</v>
      </c>
      <c r="I494" s="525"/>
      <c r="J494" s="524">
        <v>0</v>
      </c>
      <c r="K494" s="525"/>
      <c r="L494" s="524">
        <v>0</v>
      </c>
      <c r="M494" s="525"/>
      <c r="N494" s="539">
        <f t="shared" ca="1" si="154"/>
        <v>0</v>
      </c>
      <c r="O494" s="540"/>
      <c r="P494" s="55">
        <v>0</v>
      </c>
      <c r="Q494" s="541">
        <v>0</v>
      </c>
      <c r="R494" s="541"/>
      <c r="S494" s="541">
        <v>0</v>
      </c>
      <c r="T494" s="541"/>
      <c r="U494" s="541">
        <v>0</v>
      </c>
      <c r="V494" s="541"/>
      <c r="W494" s="524">
        <f t="shared" ca="1" si="155"/>
        <v>0</v>
      </c>
      <c r="X494" s="525"/>
      <c r="Y494" s="55">
        <f ca="1">IF(OR(W494="",W494=0),0,IF(W494="X",MatchDay!$U$2+MatchDay!$U$2+1-COUNTIF(Distance!W488:W494,"X"),RANK(W494,$W488:$X503,0)))</f>
        <v>0</v>
      </c>
      <c r="Z494" s="19">
        <f ca="1">IFERROR(IF(Y494=0,0,IF(OR(VLOOKUP(AG494,E496:Y503,21,FALSE)=0,Y494&lt;=VLOOKUP(AG494,E496:Y503,21,FALSE)),"A","B")),"")</f>
        <v>0</v>
      </c>
      <c r="AA494" s="19" t="str">
        <f ca="1">IFERROR(IF(Z494="B","",RANK(AD494,AD488:AD503,1)),"")</f>
        <v/>
      </c>
      <c r="AB494" s="19" t="str">
        <f ca="1">IFERROR(IF(Z494="A","",RANK(AE494,AE488:AE503,1)),"")</f>
        <v/>
      </c>
      <c r="AD494" s="9" t="str">
        <f t="shared" ca="1" si="156"/>
        <v/>
      </c>
      <c r="AE494" s="9" t="str">
        <f t="shared" ca="1" si="157"/>
        <v/>
      </c>
      <c r="AF494" s="9" t="s">
        <v>179</v>
      </c>
      <c r="AG494" s="4" t="str">
        <f>IFERROR(IF(A487=0,E494*11,E494&amp;E494),"")</f>
        <v/>
      </c>
    </row>
    <row r="495" spans="1:33" s="4" customFormat="1" ht="15.95" customHeight="1" x14ac:dyDescent="0.35">
      <c r="A495" s="8" t="str">
        <f>IFERROR(IF(D495&gt;MatchDay!$U$2,"-",VLOOKUP(A484,timetables,MatchDay!$U$4+7,FALSE)),0)</f>
        <v>-</v>
      </c>
      <c r="B495" s="7" t="str">
        <f t="shared" ca="1" si="151"/>
        <v/>
      </c>
      <c r="C495" s="7" t="str">
        <f t="shared" ca="1" si="152"/>
        <v/>
      </c>
      <c r="D495" s="55">
        <v>8</v>
      </c>
      <c r="E495" s="17" t="str">
        <f t="shared" si="153"/>
        <v>-</v>
      </c>
      <c r="F495" s="18" t="str">
        <f>IFERROR(IF(A487=0,HLOOKUP(E495,Declarations!$D$2:$S$102,B485,FALSE),HLOOKUP(VLOOKUP(E495,Teams!$V$2:$W$19,2,FALSE),Declarations!$D$2:$S$102,B485,FALSE)),"")</f>
        <v/>
      </c>
      <c r="G495" s="18" t="str">
        <f t="shared" si="150"/>
        <v/>
      </c>
      <c r="H495" s="524">
        <f ca="1">IFERROR(INDIRECT(CONCATENATE("'Distance Input'!"&amp;B486&amp;C486+7)),"")</f>
        <v>0</v>
      </c>
      <c r="I495" s="525"/>
      <c r="J495" s="524">
        <v>0</v>
      </c>
      <c r="K495" s="525"/>
      <c r="L495" s="524">
        <v>0</v>
      </c>
      <c r="M495" s="525"/>
      <c r="N495" s="539">
        <f t="shared" ca="1" si="154"/>
        <v>0</v>
      </c>
      <c r="O495" s="540"/>
      <c r="P495" s="55">
        <v>0</v>
      </c>
      <c r="Q495" s="541">
        <v>0</v>
      </c>
      <c r="R495" s="541"/>
      <c r="S495" s="541">
        <v>0</v>
      </c>
      <c r="T495" s="541"/>
      <c r="U495" s="541">
        <v>0</v>
      </c>
      <c r="V495" s="541"/>
      <c r="W495" s="524">
        <f t="shared" ca="1" si="155"/>
        <v>0</v>
      </c>
      <c r="X495" s="525"/>
      <c r="Y495" s="55">
        <f ca="1">IF(OR(W495="",W495=0),0,IF(W495="X",MatchDay!$U$2+MatchDay!$U$2+1-COUNTIF(Distance!W488:W495,"X"),RANK(W495,$W488:$X503,0)))</f>
        <v>0</v>
      </c>
      <c r="Z495" s="19">
        <f ca="1">IFERROR(IF(Y495=0,0,IF(OR(VLOOKUP(AG495,E496:Y503,21,FALSE)=0,Y495&lt;=VLOOKUP(AG495,E496:Y503,21,FALSE)),"A","B")),"")</f>
        <v>0</v>
      </c>
      <c r="AA495" s="19" t="str">
        <f ca="1">IFERROR(IF(Z495="B","",RANK(AD495,AD488:AD503,1)),"")</f>
        <v/>
      </c>
      <c r="AB495" s="19" t="str">
        <f ca="1">IFERROR(IF(Z495="A","",RANK(AE495,AE488:AE503,1)),"")</f>
        <v/>
      </c>
      <c r="AD495" s="9" t="str">
        <f t="shared" ca="1" si="156"/>
        <v/>
      </c>
      <c r="AE495" s="9" t="str">
        <f t="shared" ca="1" si="157"/>
        <v/>
      </c>
      <c r="AF495" s="9" t="s">
        <v>179</v>
      </c>
      <c r="AG495" s="4" t="str">
        <f>IFERROR(IF(A487=0,E495*11,E495&amp;E495),"")</f>
        <v/>
      </c>
    </row>
    <row r="496" spans="1:33" s="4" customFormat="1" ht="15.95" customHeight="1" x14ac:dyDescent="0.35">
      <c r="A496" s="8">
        <f>IFERROR(IF(A487=0,A488*11,A488&amp;A488),"-")</f>
        <v>11</v>
      </c>
      <c r="B496" s="7" t="str">
        <f t="shared" ca="1" si="151"/>
        <v/>
      </c>
      <c r="C496" s="7">
        <f t="shared" ca="1" si="152"/>
        <v>1</v>
      </c>
      <c r="D496" s="55">
        <v>9</v>
      </c>
      <c r="E496" s="17">
        <f t="shared" si="153"/>
        <v>11</v>
      </c>
      <c r="F496" s="18" t="str">
        <f ca="1">IFERROR(IF(A487=0,HLOOKUP(E496,Declarations!$D$2:$S$102,B485,FALSE),HLOOKUP(VLOOKUP(E496,Teams!$V$2:$W$19,2,FALSE),Declarations!$D$2:$S$102,B485,FALSE)),"")</f>
        <v>FOOT James</v>
      </c>
      <c r="G496" s="18" t="str">
        <f t="shared" si="150"/>
        <v>C'field</v>
      </c>
      <c r="H496" s="524">
        <f ca="1">IFERROR(INDIRECT(CONCATENATE("'Distance Input'!"&amp;B486&amp;C486+8)),"")</f>
        <v>4.1710000000000003</v>
      </c>
      <c r="I496" s="525"/>
      <c r="J496" s="524">
        <v>0</v>
      </c>
      <c r="K496" s="525"/>
      <c r="L496" s="524">
        <v>0</v>
      </c>
      <c r="M496" s="525"/>
      <c r="N496" s="539">
        <f t="shared" ca="1" si="154"/>
        <v>4.1710000000000003</v>
      </c>
      <c r="O496" s="540"/>
      <c r="P496" s="55">
        <v>0</v>
      </c>
      <c r="Q496" s="541">
        <v>0</v>
      </c>
      <c r="R496" s="541"/>
      <c r="S496" s="541">
        <v>0</v>
      </c>
      <c r="T496" s="541"/>
      <c r="U496" s="541">
        <v>0</v>
      </c>
      <c r="V496" s="541"/>
      <c r="W496" s="524">
        <f t="shared" ca="1" si="155"/>
        <v>4.1710000000000003</v>
      </c>
      <c r="X496" s="525"/>
      <c r="Y496" s="55">
        <f ca="1">IF(OR(W496="",W496=0),0,IF(W496="X",MatchDay!$U$2+MatchDay!$U$2+1-COUNTIF(Distance!W488:W496,"X"),RANK(W496,$W488:$X503,0)))</f>
        <v>5</v>
      </c>
      <c r="Z496" s="19" t="str">
        <f ca="1">IFERROR(IF(Y496=0,0,IF(VLOOKUP(AG496,E488:Y495,21,FALSE)=0,"A",IF(Y496&gt;=VLOOKUP(AG496,E488:Y495,21,FALSE),"B","A"))),"")</f>
        <v>B</v>
      </c>
      <c r="AA496" s="19" t="str">
        <f ca="1">IFERROR(IF(Z496="B","",RANK(AD496,AD488:AD503,1)),"")</f>
        <v/>
      </c>
      <c r="AB496" s="19">
        <f ca="1">IFERROR(IF(Z496="A","",RANK(AE496,AE488:AE503,1)),"")</f>
        <v>1</v>
      </c>
      <c r="AD496" s="9" t="str">
        <f t="shared" ca="1" si="156"/>
        <v/>
      </c>
      <c r="AE496" s="9">
        <f t="shared" ca="1" si="157"/>
        <v>5</v>
      </c>
      <c r="AF496" s="9" t="s">
        <v>179</v>
      </c>
      <c r="AG496" s="4">
        <f>IFERROR(IF(A487=0,E496/11,LEFT(E496,1)),"")</f>
        <v>1</v>
      </c>
    </row>
    <row r="497" spans="1:33" s="4" customFormat="1" ht="15.95" customHeight="1" x14ac:dyDescent="0.35">
      <c r="A497" s="8">
        <f>IFERROR(IF(A487=0,A489*11,A489&amp;A489),"-")</f>
        <v>55</v>
      </c>
      <c r="B497" s="7" t="str">
        <f t="shared" ca="1" si="151"/>
        <v/>
      </c>
      <c r="C497" s="7" t="str">
        <f t="shared" ca="1" si="152"/>
        <v/>
      </c>
      <c r="D497" s="55">
        <v>10</v>
      </c>
      <c r="E497" s="17">
        <f t="shared" si="153"/>
        <v>55</v>
      </c>
      <c r="F497" s="18">
        <f ca="1">IFERROR(IF(A487=0,HLOOKUP(E497,Declarations!$D$2:$S$102,B485,FALSE),HLOOKUP(VLOOKUP(E497,Teams!$V$2:$W$19,2,FALSE),Declarations!$D$2:$S$102,B485,FALSE)),"")</f>
        <v>0</v>
      </c>
      <c r="G497" s="18" t="str">
        <f t="shared" si="150"/>
        <v>Scun</v>
      </c>
      <c r="H497" s="524">
        <f ca="1">IFERROR(INDIRECT(CONCATENATE("'Distance Input'!"&amp;B486&amp;C486+9)),"")</f>
        <v>0</v>
      </c>
      <c r="I497" s="525"/>
      <c r="J497" s="524">
        <v>0</v>
      </c>
      <c r="K497" s="525"/>
      <c r="L497" s="524">
        <v>0</v>
      </c>
      <c r="M497" s="525"/>
      <c r="N497" s="539">
        <f t="shared" ca="1" si="154"/>
        <v>0</v>
      </c>
      <c r="O497" s="540"/>
      <c r="P497" s="55">
        <v>0</v>
      </c>
      <c r="Q497" s="541">
        <v>0</v>
      </c>
      <c r="R497" s="541"/>
      <c r="S497" s="541">
        <v>0</v>
      </c>
      <c r="T497" s="541"/>
      <c r="U497" s="541">
        <v>0</v>
      </c>
      <c r="V497" s="541"/>
      <c r="W497" s="524">
        <f t="shared" ca="1" si="155"/>
        <v>0</v>
      </c>
      <c r="X497" s="525"/>
      <c r="Y497" s="55">
        <f ca="1">IF(OR(W497="",W497=0),0,IF(W497="X",MatchDay!$U$2+MatchDay!$U$2+1-COUNTIF(Distance!W488:W497,"X"),RANK(W497,$W488:$X503,0)))</f>
        <v>0</v>
      </c>
      <c r="Z497" s="19">
        <f ca="1">IFERROR(IF(Y497=0,0,IF(VLOOKUP(AG497,E488:Y495,21,FALSE)=0,"A",IF(Y497&gt;=VLOOKUP(AG497,E488:Y495,21,FALSE),"B","A"))),"")</f>
        <v>0</v>
      </c>
      <c r="AA497" s="19" t="str">
        <f ca="1">IFERROR(IF(Z497="B","",RANK(AD497,AD488:AD503,1)),"")</f>
        <v/>
      </c>
      <c r="AB497" s="19" t="str">
        <f ca="1">IFERROR(IF(Z497="A","",RANK(AE497,AE488:AE503,1)),"")</f>
        <v/>
      </c>
      <c r="AD497" s="9" t="str">
        <f t="shared" ca="1" si="156"/>
        <v/>
      </c>
      <c r="AE497" s="9" t="str">
        <f t="shared" ca="1" si="157"/>
        <v/>
      </c>
      <c r="AF497" s="9" t="s">
        <v>179</v>
      </c>
      <c r="AG497" s="4">
        <f>IFERROR(IF(A487=0,E497/11,LEFT(E497,1)),"")</f>
        <v>5</v>
      </c>
    </row>
    <row r="498" spans="1:33" s="4" customFormat="1" ht="15.95" customHeight="1" x14ac:dyDescent="0.35">
      <c r="A498" s="8">
        <f>IFERROR(IF(A487=0,A490*11,A490&amp;A490),"-")</f>
        <v>44</v>
      </c>
      <c r="B498" s="7" t="str">
        <f t="shared" ca="1" si="151"/>
        <v/>
      </c>
      <c r="C498" s="7">
        <f t="shared" ca="1" si="152"/>
        <v>4</v>
      </c>
      <c r="D498" s="55">
        <v>11</v>
      </c>
      <c r="E498" s="17">
        <f t="shared" si="153"/>
        <v>44</v>
      </c>
      <c r="F498" s="18" t="str">
        <f ca="1">IFERROR(IF(A487=0,HLOOKUP(E498,Declarations!$D$2:$S$102,B485,FALSE),HLOOKUP(VLOOKUP(E498,Teams!$V$2:$W$19,2,FALSE),Declarations!$D$2:$S$102,B485,FALSE)),"")</f>
        <v>IBEH Terrell</v>
      </c>
      <c r="G498" s="18" t="str">
        <f t="shared" si="150"/>
        <v>M'bro</v>
      </c>
      <c r="H498" s="524">
        <f ca="1">IFERROR(INDIRECT(CONCATENATE("'Distance Input'!"&amp;B486&amp;C486+10)),"")</f>
        <v>3.75</v>
      </c>
      <c r="I498" s="525"/>
      <c r="J498" s="524">
        <v>0</v>
      </c>
      <c r="K498" s="525"/>
      <c r="L498" s="524">
        <v>0</v>
      </c>
      <c r="M498" s="525"/>
      <c r="N498" s="539">
        <f t="shared" ca="1" si="154"/>
        <v>3.75</v>
      </c>
      <c r="O498" s="540"/>
      <c r="P498" s="55">
        <v>0</v>
      </c>
      <c r="Q498" s="541">
        <v>0</v>
      </c>
      <c r="R498" s="541"/>
      <c r="S498" s="541">
        <v>0</v>
      </c>
      <c r="T498" s="541"/>
      <c r="U498" s="541">
        <v>0</v>
      </c>
      <c r="V498" s="541"/>
      <c r="W498" s="524">
        <f t="shared" ca="1" si="155"/>
        <v>3.75</v>
      </c>
      <c r="X498" s="525"/>
      <c r="Y498" s="55">
        <f ca="1">IF(OR(W498="",W498=0),0,IF(W498="X",MatchDay!$U$2+MatchDay!$U$2+1-COUNTIF(Distance!W488:W498,"X"),RANK(W498,$W488:$X503,0)))</f>
        <v>8</v>
      </c>
      <c r="Z498" s="19" t="str">
        <f ca="1">IFERROR(IF(Y498=0,0,IF(VLOOKUP(AG498,E488:Y495,21,FALSE)=0,"A",IF(Y498&gt;=VLOOKUP(AG498,E488:Y495,21,FALSE),"B","A"))),"")</f>
        <v>B</v>
      </c>
      <c r="AA498" s="19" t="str">
        <f ca="1">IFERROR(IF(Z498="B","",RANK(AD498,AD488:AD503,1)),"")</f>
        <v/>
      </c>
      <c r="AB498" s="19">
        <f ca="1">IFERROR(IF(Z498="A","",RANK(AE498,AE488:AE503,1)),"")</f>
        <v>4</v>
      </c>
      <c r="AD498" s="9" t="str">
        <f t="shared" ca="1" si="156"/>
        <v/>
      </c>
      <c r="AE498" s="9">
        <f t="shared" ca="1" si="157"/>
        <v>8</v>
      </c>
      <c r="AF498" s="9" t="s">
        <v>179</v>
      </c>
      <c r="AG498" s="4">
        <f>IFERROR(IF(A487=0,E498/11,LEFT(E498,1)),"")</f>
        <v>4</v>
      </c>
    </row>
    <row r="499" spans="1:33" s="4" customFormat="1" ht="15.95" customHeight="1" x14ac:dyDescent="0.35">
      <c r="A499" s="8">
        <f>IFERROR(IF(A487=0,A491*11,A491&amp;A491),"-")</f>
        <v>22</v>
      </c>
      <c r="B499" s="7" t="str">
        <f t="shared" ca="1" si="151"/>
        <v/>
      </c>
      <c r="C499" s="7">
        <f t="shared" ca="1" si="152"/>
        <v>3</v>
      </c>
      <c r="D499" s="55">
        <v>12</v>
      </c>
      <c r="E499" s="17">
        <f t="shared" si="153"/>
        <v>22</v>
      </c>
      <c r="F499" s="18" t="str">
        <f ca="1">IFERROR(IF(A487=0,HLOOKUP(E499,Declarations!$D$2:$S$102,B485,FALSE),HLOOKUP(VLOOKUP(E499,Teams!$V$2:$W$19,2,FALSE),Declarations!$D$2:$S$102,B485,FALSE)),"")</f>
        <v>SCOTT Leni</v>
      </c>
      <c r="G499" s="18" t="str">
        <f t="shared" si="150"/>
        <v>Sheff+D</v>
      </c>
      <c r="H499" s="524">
        <f ca="1">IFERROR(INDIRECT(CONCATENATE("'Distance Input'!"&amp;B486&amp;C486+11)),"")</f>
        <v>4.1100000000000003</v>
      </c>
      <c r="I499" s="525"/>
      <c r="J499" s="524">
        <v>0</v>
      </c>
      <c r="K499" s="525"/>
      <c r="L499" s="524">
        <v>0</v>
      </c>
      <c r="M499" s="525"/>
      <c r="N499" s="539">
        <f t="shared" ca="1" si="154"/>
        <v>4.1100000000000003</v>
      </c>
      <c r="O499" s="540"/>
      <c r="P499" s="55">
        <v>0</v>
      </c>
      <c r="Q499" s="541">
        <v>0</v>
      </c>
      <c r="R499" s="541"/>
      <c r="S499" s="541">
        <v>0</v>
      </c>
      <c r="T499" s="541"/>
      <c r="U499" s="541">
        <v>0</v>
      </c>
      <c r="V499" s="541"/>
      <c r="W499" s="524">
        <f t="shared" ca="1" si="155"/>
        <v>4.1100000000000003</v>
      </c>
      <c r="X499" s="525"/>
      <c r="Y499" s="55">
        <f ca="1">IF(OR(W499="",W499=0),0,IF(W499="X",MatchDay!$U$2+MatchDay!$U$2+1-COUNTIF(Distance!W488:W499,"X"),RANK(W499,$W488:$X503,0)))</f>
        <v>7</v>
      </c>
      <c r="Z499" s="19" t="str">
        <f ca="1">IFERROR(IF(Y499=0,0,IF(VLOOKUP(AG499,E488:Y495,21,FALSE)=0,"A",IF(Y499&gt;=VLOOKUP(AG499,E488:Y495,21,FALSE),"B","A"))),"")</f>
        <v>B</v>
      </c>
      <c r="AA499" s="19" t="str">
        <f ca="1">IFERROR(IF(Z499="B","",RANK(AD499,AD488:AD503,1)),"")</f>
        <v/>
      </c>
      <c r="AB499" s="19">
        <f ca="1">IFERROR(IF(Z499="A","",RANK(AE499,AE488:AE503,1)),"")</f>
        <v>3</v>
      </c>
      <c r="AD499" s="9" t="str">
        <f t="shared" ca="1" si="156"/>
        <v/>
      </c>
      <c r="AE499" s="9">
        <f t="shared" ca="1" si="157"/>
        <v>7</v>
      </c>
      <c r="AF499" s="9" t="s">
        <v>179</v>
      </c>
      <c r="AG499" s="4">
        <f>IFERROR(IF(A487=0,E499/11,LEFT(E499,1)),"")</f>
        <v>2</v>
      </c>
    </row>
    <row r="500" spans="1:33" s="4" customFormat="1" ht="15.95" customHeight="1" x14ac:dyDescent="0.35">
      <c r="A500" s="8">
        <f>IFERROR(IF(A487=0,A492*11,A492&amp;A492),"-")</f>
        <v>33</v>
      </c>
      <c r="B500" s="7" t="str">
        <f t="shared" ca="1" si="151"/>
        <v/>
      </c>
      <c r="C500" s="7">
        <f t="shared" ca="1" si="152"/>
        <v>2</v>
      </c>
      <c r="D500" s="55">
        <v>13</v>
      </c>
      <c r="E500" s="17">
        <f t="shared" si="153"/>
        <v>33</v>
      </c>
      <c r="F500" s="18" t="str">
        <f ca="1">IFERROR(IF(A487=0,HLOOKUP(E500,Declarations!$D$2:$S$102,B485,FALSE),HLOOKUP(VLOOKUP(E500,Teams!$V$2:$W$19,2,FALSE),Declarations!$D$2:$S$102,B485,FALSE)),"")</f>
        <v>LANSFORD Hollis</v>
      </c>
      <c r="G500" s="18" t="str">
        <f t="shared" si="150"/>
        <v>York</v>
      </c>
      <c r="H500" s="524">
        <f ca="1">IFERROR(INDIRECT(CONCATENATE("'Distance Input'!"&amp;B486&amp;C486+12)),"")</f>
        <v>4.17</v>
      </c>
      <c r="I500" s="525"/>
      <c r="J500" s="524">
        <v>0</v>
      </c>
      <c r="K500" s="525"/>
      <c r="L500" s="524">
        <v>0</v>
      </c>
      <c r="M500" s="525"/>
      <c r="N500" s="539">
        <f t="shared" ca="1" si="154"/>
        <v>4.17</v>
      </c>
      <c r="O500" s="540"/>
      <c r="P500" s="55">
        <v>0</v>
      </c>
      <c r="Q500" s="541">
        <v>0</v>
      </c>
      <c r="R500" s="541"/>
      <c r="S500" s="541">
        <v>0</v>
      </c>
      <c r="T500" s="541"/>
      <c r="U500" s="541">
        <v>0</v>
      </c>
      <c r="V500" s="541"/>
      <c r="W500" s="524">
        <f t="shared" ca="1" si="155"/>
        <v>4.17</v>
      </c>
      <c r="X500" s="525"/>
      <c r="Y500" s="55">
        <f ca="1">IF(OR(W500="",W500=0),0,IF(W500="X",MatchDay!$U$2+MatchDay!$U$2+1-COUNTIF(Distance!W488:W500,"X"),RANK(W500,$W488:$X503,0)))</f>
        <v>6</v>
      </c>
      <c r="Z500" s="19" t="str">
        <f ca="1">IFERROR(IF(Y500=0,0,IF(VLOOKUP(AG500,E488:Y495,21,FALSE)=0,"A",IF(Y500&gt;=VLOOKUP(AG500,E488:Y495,21,FALSE),"B","A"))),"")</f>
        <v>B</v>
      </c>
      <c r="AA500" s="19" t="str">
        <f ca="1">IFERROR(IF(Z500="B","",RANK(AD500,AD488:AD503,1)),"")</f>
        <v/>
      </c>
      <c r="AB500" s="19">
        <f ca="1">IFERROR(IF(Z500="A","",RANK(AE500,AE488:AE503,1)),"")</f>
        <v>2</v>
      </c>
      <c r="AD500" s="9" t="str">
        <f t="shared" ca="1" si="156"/>
        <v/>
      </c>
      <c r="AE500" s="9">
        <f t="shared" ca="1" si="157"/>
        <v>6</v>
      </c>
      <c r="AF500" s="9" t="s">
        <v>179</v>
      </c>
      <c r="AG500" s="4">
        <f>IFERROR(IF(A487=0,E500/11,LEFT(E500,1)),"")</f>
        <v>3</v>
      </c>
    </row>
    <row r="501" spans="1:33" s="4" customFormat="1" ht="15.95" customHeight="1" x14ac:dyDescent="0.35">
      <c r="A501" s="8" t="str">
        <f>IFERROR(IF(A487=0,A493*11,A493&amp;A493),"-")</f>
        <v>-</v>
      </c>
      <c r="B501" s="7" t="str">
        <f t="shared" ca="1" si="151"/>
        <v/>
      </c>
      <c r="C501" s="7" t="str">
        <f t="shared" ca="1" si="152"/>
        <v/>
      </c>
      <c r="D501" s="55">
        <v>14</v>
      </c>
      <c r="E501" s="17" t="str">
        <f t="shared" si="153"/>
        <v>-</v>
      </c>
      <c r="F501" s="18" t="str">
        <f>IFERROR(IF(A487=0,HLOOKUP(E501,Declarations!$D$2:$S$102,B485,FALSE),HLOOKUP(VLOOKUP(E501,Teams!$V$2:$W$19,2,FALSE),Declarations!$D$2:$S$102,B485,FALSE)),"")</f>
        <v/>
      </c>
      <c r="G501" s="18" t="str">
        <f t="shared" si="150"/>
        <v/>
      </c>
      <c r="H501" s="524">
        <f ca="1">IFERROR(INDIRECT(CONCATENATE("'Distance Input'!"&amp;B486&amp;C486+13)),"")</f>
        <v>0</v>
      </c>
      <c r="I501" s="525"/>
      <c r="J501" s="524">
        <v>0</v>
      </c>
      <c r="K501" s="525"/>
      <c r="L501" s="524">
        <v>0</v>
      </c>
      <c r="M501" s="525"/>
      <c r="N501" s="539">
        <f t="shared" ca="1" si="154"/>
        <v>0</v>
      </c>
      <c r="O501" s="540"/>
      <c r="P501" s="55">
        <v>0</v>
      </c>
      <c r="Q501" s="541">
        <v>0</v>
      </c>
      <c r="R501" s="541"/>
      <c r="S501" s="541">
        <v>0</v>
      </c>
      <c r="T501" s="541"/>
      <c r="U501" s="541">
        <v>0</v>
      </c>
      <c r="V501" s="541"/>
      <c r="W501" s="524">
        <f t="shared" ca="1" si="155"/>
        <v>0</v>
      </c>
      <c r="X501" s="525"/>
      <c r="Y501" s="55">
        <f ca="1">IF(OR(W501="",W501=0),0,IF(W501="X",MatchDay!$U$2+MatchDay!$U$2+1-COUNTIF(Distance!W488:W501,"X"),RANK(W501,$W488:$X503,0)))</f>
        <v>0</v>
      </c>
      <c r="Z501" s="19">
        <f ca="1">IFERROR(IF(Y501=0,0,IF(VLOOKUP(AG501,E488:Y495,21,FALSE)=0,"A",IF(Y501&gt;=VLOOKUP(AG501,E488:Y495,21,FALSE),"B","A"))),"")</f>
        <v>0</v>
      </c>
      <c r="AA501" s="19" t="str">
        <f ca="1">IFERROR(IF(Z501="B","",RANK(AD501,AD488:AD503,1)),"")</f>
        <v/>
      </c>
      <c r="AB501" s="19" t="str">
        <f ca="1">IFERROR(IF(Z501="A","",RANK(AE501,AE488:AE503,1)),"")</f>
        <v/>
      </c>
      <c r="AD501" s="9" t="str">
        <f t="shared" ca="1" si="156"/>
        <v/>
      </c>
      <c r="AE501" s="9" t="str">
        <f t="shared" ca="1" si="157"/>
        <v/>
      </c>
      <c r="AF501" s="9" t="s">
        <v>179</v>
      </c>
      <c r="AG501" s="4" t="str">
        <f>IFERROR(IF(A487=0,E501/11,LEFT(E501,1)),"")</f>
        <v/>
      </c>
    </row>
    <row r="502" spans="1:33" s="4" customFormat="1" ht="15.95" customHeight="1" x14ac:dyDescent="0.35">
      <c r="A502" s="8" t="str">
        <f>IFERROR(IF(A487=0,A494*11,A494&amp;A494),"-")</f>
        <v>-</v>
      </c>
      <c r="B502" s="7" t="str">
        <f t="shared" ca="1" si="151"/>
        <v/>
      </c>
      <c r="C502" s="7" t="str">
        <f t="shared" ca="1" si="152"/>
        <v/>
      </c>
      <c r="D502" s="55">
        <v>15</v>
      </c>
      <c r="E502" s="17" t="str">
        <f t="shared" si="153"/>
        <v>-</v>
      </c>
      <c r="F502" s="18" t="str">
        <f>IFERROR(IF(A487=0,HLOOKUP(E502,Declarations!$D$2:$S$102,B485,FALSE),HLOOKUP(VLOOKUP(E502,Teams!$V$2:$W$19,2,FALSE),Declarations!$D$2:$S$102,B485,FALSE)),"")</f>
        <v/>
      </c>
      <c r="G502" s="18" t="str">
        <f t="shared" si="150"/>
        <v/>
      </c>
      <c r="H502" s="524">
        <f ca="1">IFERROR(INDIRECT(CONCATENATE("'Distance Input'!"&amp;B486&amp;C486+14)),"")</f>
        <v>0</v>
      </c>
      <c r="I502" s="525"/>
      <c r="J502" s="524">
        <v>0</v>
      </c>
      <c r="K502" s="525"/>
      <c r="L502" s="524">
        <v>0</v>
      </c>
      <c r="M502" s="525"/>
      <c r="N502" s="539">
        <f t="shared" ca="1" si="154"/>
        <v>0</v>
      </c>
      <c r="O502" s="540"/>
      <c r="P502" s="55">
        <v>0</v>
      </c>
      <c r="Q502" s="541">
        <v>0</v>
      </c>
      <c r="R502" s="541"/>
      <c r="S502" s="541">
        <v>0</v>
      </c>
      <c r="T502" s="541"/>
      <c r="U502" s="541">
        <v>0</v>
      </c>
      <c r="V502" s="541"/>
      <c r="W502" s="524">
        <f t="shared" ca="1" si="155"/>
        <v>0</v>
      </c>
      <c r="X502" s="525"/>
      <c r="Y502" s="55">
        <f ca="1">IF(OR(W502="",W502=0),0,IF(W502="X",MatchDay!$U$2+MatchDay!$U$2+1-COUNTIF(Distance!W488:W502,"X"),RANK(W502,$W488:$X503,0)))</f>
        <v>0</v>
      </c>
      <c r="Z502" s="19">
        <f ca="1">IFERROR(IF(Y502=0,0,IF(VLOOKUP(AG502,E488:Y495,21,FALSE)=0,"A",IF(Y502&gt;=VLOOKUP(AG502,E488:Y495,21,FALSE),"B","A"))),"")</f>
        <v>0</v>
      </c>
      <c r="AA502" s="19" t="str">
        <f ca="1">IFERROR(IF(Z502="B","",RANK(AD502,AD488:AD503,1)),"")</f>
        <v/>
      </c>
      <c r="AB502" s="19" t="str">
        <f ca="1">IFERROR(IF(Z502="A","",RANK(AE502,AE488:AE503,1)),"")</f>
        <v/>
      </c>
      <c r="AD502" s="9" t="str">
        <f t="shared" ca="1" si="156"/>
        <v/>
      </c>
      <c r="AE502" s="9" t="str">
        <f t="shared" ca="1" si="157"/>
        <v/>
      </c>
      <c r="AF502" s="9" t="s">
        <v>179</v>
      </c>
      <c r="AG502" s="4" t="str">
        <f>IFERROR(IF(A487=0,E502/11,LEFT(E502,1)),"")</f>
        <v/>
      </c>
    </row>
    <row r="503" spans="1:33" s="4" customFormat="1" ht="15.95" customHeight="1" x14ac:dyDescent="0.35">
      <c r="A503" s="8" t="str">
        <f>IFERROR(IF(A487=0,A495*11,A495&amp;A495),"-")</f>
        <v>-</v>
      </c>
      <c r="B503" s="7" t="str">
        <f t="shared" ca="1" si="151"/>
        <v/>
      </c>
      <c r="C503" s="7" t="str">
        <f t="shared" ca="1" si="152"/>
        <v/>
      </c>
      <c r="D503" s="55">
        <v>16</v>
      </c>
      <c r="E503" s="17" t="str">
        <f t="shared" si="153"/>
        <v>-</v>
      </c>
      <c r="F503" s="18" t="str">
        <f>IFERROR(IF(A487=0,HLOOKUP(E503,Declarations!$D$2:$S$102,B485,FALSE),HLOOKUP(VLOOKUP(E503,Teams!$V$2:$W$19,2,FALSE),Declarations!$D$2:$S$102,B485,FALSE)),"")</f>
        <v/>
      </c>
      <c r="G503" s="18" t="str">
        <f t="shared" si="150"/>
        <v/>
      </c>
      <c r="H503" s="524">
        <f ca="1">IFERROR(INDIRECT(CONCATENATE("'Distance Input'!"&amp;B486&amp;C486+15)),"")</f>
        <v>0</v>
      </c>
      <c r="I503" s="525"/>
      <c r="J503" s="524">
        <v>0</v>
      </c>
      <c r="K503" s="525"/>
      <c r="L503" s="524">
        <v>0</v>
      </c>
      <c r="M503" s="525"/>
      <c r="N503" s="539">
        <f t="shared" ca="1" si="154"/>
        <v>0</v>
      </c>
      <c r="O503" s="540"/>
      <c r="P503" s="55">
        <v>0</v>
      </c>
      <c r="Q503" s="541">
        <v>0</v>
      </c>
      <c r="R503" s="541"/>
      <c r="S503" s="541">
        <v>0</v>
      </c>
      <c r="T503" s="541"/>
      <c r="U503" s="541">
        <v>0</v>
      </c>
      <c r="V503" s="541"/>
      <c r="W503" s="524">
        <f t="shared" ca="1" si="155"/>
        <v>0</v>
      </c>
      <c r="X503" s="525"/>
      <c r="Y503" s="55">
        <f ca="1">IF(OR(W503="",W503=0),0,IF(W503="X",MatchDay!$U$2+MatchDay!$U$2+1-COUNTIF(Distance!W488:W503,"X"),RANK(W503,$W488:$X503,0)))</f>
        <v>0</v>
      </c>
      <c r="Z503" s="19">
        <f ca="1">IFERROR(IF(Y503=0,0,IF(VLOOKUP(AG503,E488:Y495,21,FALSE)=0,"A",IF(Y503&gt;=VLOOKUP(AG503,E488:Y495,21,FALSE),"B","A"))),"")</f>
        <v>0</v>
      </c>
      <c r="AA503" s="19" t="str">
        <f ca="1">IFERROR(IF(Z503="B","",RANK(AD503,AD488:AD503,1)),"")</f>
        <v/>
      </c>
      <c r="AB503" s="19" t="str">
        <f ca="1">IFERROR(IF(Z503="A","",RANK(AE503,AE488:AE503,1)),"")</f>
        <v/>
      </c>
      <c r="AD503" s="9" t="str">
        <f t="shared" ca="1" si="156"/>
        <v/>
      </c>
      <c r="AE503" s="9" t="str">
        <f t="shared" ca="1" si="157"/>
        <v/>
      </c>
      <c r="AF503" s="9" t="s">
        <v>179</v>
      </c>
      <c r="AG503" s="4" t="str">
        <f>IFERROR(IF(A487=0,E503/11,LEFT(E503,1)),"")</f>
        <v/>
      </c>
    </row>
    <row r="504" spans="1:33" s="4" customFormat="1" ht="11.65" x14ac:dyDescent="0.45">
      <c r="A504" s="8"/>
      <c r="B504" s="10"/>
      <c r="C504" s="3"/>
      <c r="D504" s="20"/>
      <c r="E504" s="20"/>
      <c r="F504" s="21"/>
      <c r="G504" s="21"/>
      <c r="H504" s="20"/>
      <c r="I504" s="20"/>
      <c r="J504" s="20"/>
      <c r="K504" s="20"/>
      <c r="L504" s="20"/>
      <c r="M504" s="20"/>
      <c r="N504" s="20"/>
      <c r="O504" s="20"/>
      <c r="P504" s="20"/>
      <c r="Q504" s="20"/>
      <c r="R504" s="20"/>
      <c r="S504" s="20"/>
      <c r="T504" s="20"/>
      <c r="U504" s="20"/>
      <c r="V504" s="20"/>
      <c r="W504" s="20"/>
      <c r="X504" s="20"/>
      <c r="Y504" s="20"/>
      <c r="Z504" s="20"/>
      <c r="AA504" s="20"/>
      <c r="AB504" s="22"/>
    </row>
    <row r="505" spans="1:33" s="4" customFormat="1" ht="11.65" x14ac:dyDescent="0.45">
      <c r="A505" s="8"/>
      <c r="B505" s="10"/>
      <c r="C505" s="3"/>
      <c r="D505" s="533" t="s">
        <v>180</v>
      </c>
      <c r="E505" s="547"/>
      <c r="F505" s="547"/>
      <c r="G505" s="547"/>
      <c r="H505" s="547"/>
      <c r="I505" s="547"/>
      <c r="J505" s="512" t="s">
        <v>181</v>
      </c>
      <c r="K505" s="548"/>
      <c r="L505" s="548"/>
      <c r="M505" s="548"/>
      <c r="N505" s="548"/>
      <c r="O505" s="548"/>
      <c r="P505" s="548"/>
      <c r="Q505" s="548"/>
      <c r="R505" s="548"/>
      <c r="S505" s="548"/>
      <c r="T505" s="548"/>
      <c r="U505" s="549"/>
      <c r="V505" s="512" t="s">
        <v>182</v>
      </c>
      <c r="W505" s="513"/>
      <c r="X505" s="513"/>
      <c r="Y505" s="513"/>
      <c r="Z505" s="513"/>
      <c r="AA505" s="513"/>
      <c r="AB505" s="514"/>
    </row>
    <row r="506" spans="1:33" s="4" customFormat="1" ht="11.65" x14ac:dyDescent="0.45">
      <c r="A506" s="8" t="s">
        <v>55</v>
      </c>
      <c r="B506" s="10"/>
      <c r="C506" s="3"/>
      <c r="D506" s="12"/>
      <c r="E506" s="55" t="s">
        <v>183</v>
      </c>
      <c r="F506" s="55" t="s">
        <v>165</v>
      </c>
      <c r="G506" s="55" t="s">
        <v>166</v>
      </c>
      <c r="H506" s="533" t="s">
        <v>184</v>
      </c>
      <c r="I506" s="533"/>
      <c r="J506" s="23"/>
      <c r="K506" s="54" t="s">
        <v>183</v>
      </c>
      <c r="L506" s="512" t="s">
        <v>165</v>
      </c>
      <c r="M506" s="513"/>
      <c r="N506" s="513"/>
      <c r="O506" s="514"/>
      <c r="P506" s="512" t="s">
        <v>166</v>
      </c>
      <c r="Q506" s="513"/>
      <c r="R506" s="513"/>
      <c r="S506" s="514"/>
      <c r="T506" s="512" t="s">
        <v>184</v>
      </c>
      <c r="U506" s="514"/>
      <c r="V506" s="24"/>
      <c r="W506" s="25"/>
      <c r="X506" s="25"/>
      <c r="Y506" s="25"/>
      <c r="Z506" s="25"/>
      <c r="AA506" s="25"/>
      <c r="AB506" s="26"/>
    </row>
    <row r="507" spans="1:33" s="4" customFormat="1" ht="15.95" customHeight="1" x14ac:dyDescent="0.45">
      <c r="A507" s="11">
        <f>IFERROR(VLOOKUP(A484,standards,3,FALSE),"-")</f>
        <v>5.75</v>
      </c>
      <c r="B507" s="10">
        <v>1</v>
      </c>
      <c r="C507" s="3"/>
      <c r="D507" s="55">
        <v>1</v>
      </c>
      <c r="E507" s="19">
        <f ca="1">IFERROR(IF(OR(H488=98,H488=99),H488,VLOOKUP(B507,B488:E503,4,FALSE)),0)</f>
        <v>2</v>
      </c>
      <c r="F507" s="27" t="str">
        <f ca="1">IFERROR(VLOOKUP(E507,$E488:$F503,2,FALSE),"")</f>
        <v>BENTLEY Tom</v>
      </c>
      <c r="G507" s="18" t="str">
        <f t="shared" ref="G507:G514" ca="1" si="158">IFERROR(VLOOKUP(E507,teamlookup,5,FALSE),"-")</f>
        <v>Sheff+D</v>
      </c>
      <c r="H507" s="542">
        <f ca="1">IFERROR(VLOOKUP(E507,E488:X503,19,FALSE),"")</f>
        <v>4.92</v>
      </c>
      <c r="I507" s="543"/>
      <c r="J507" s="55">
        <v>1</v>
      </c>
      <c r="K507" s="55">
        <f ca="1">IFERROR(VLOOKUP(B507,C488:X503,3,FALSE),"")</f>
        <v>11</v>
      </c>
      <c r="L507" s="544" t="str">
        <f ca="1">IFERROR(VLOOKUP(K507,$E488:$F503,2,FALSE),"")</f>
        <v>FOOT James</v>
      </c>
      <c r="M507" s="545"/>
      <c r="N507" s="545"/>
      <c r="O507" s="546"/>
      <c r="P507" s="544" t="str">
        <f t="shared" ref="P507:P514" ca="1" si="159">IFERROR(VLOOKUP(K507,teamlookup,5,FALSE),"-")</f>
        <v>C'field</v>
      </c>
      <c r="Q507" s="545"/>
      <c r="R507" s="545"/>
      <c r="S507" s="546"/>
      <c r="T507" s="524">
        <f ca="1">IFERROR(VLOOKUP(K507,E488:X503,19,FALSE),"")</f>
        <v>4.1710000000000003</v>
      </c>
      <c r="U507" s="525"/>
      <c r="V507" s="28"/>
      <c r="W507" s="29"/>
      <c r="X507" s="29"/>
      <c r="Y507" s="29"/>
      <c r="Z507" s="29"/>
      <c r="AA507" s="29"/>
      <c r="AB507" s="30"/>
    </row>
    <row r="508" spans="1:33" s="4" customFormat="1" ht="15.95" customHeight="1" x14ac:dyDescent="0.45">
      <c r="A508" s="11">
        <f>IFERROR(VLOOKUP(A484,standards,4,FALSE),"-")</f>
        <v>5.55</v>
      </c>
      <c r="B508" s="10">
        <v>2</v>
      </c>
      <c r="C508" s="3"/>
      <c r="D508" s="55">
        <v>2</v>
      </c>
      <c r="E508" s="19">
        <f ca="1">IFERROR(VLOOKUP(B508,B488:E503,4,FALSE),"")</f>
        <v>1</v>
      </c>
      <c r="F508" s="27" t="str">
        <f ca="1">IFERROR(VLOOKUP(E508,$E488:$F503,2,FALSE),"")</f>
        <v>FOGDEN Ben</v>
      </c>
      <c r="G508" s="18" t="str">
        <f t="shared" ca="1" si="158"/>
        <v>C'field</v>
      </c>
      <c r="H508" s="542">
        <f ca="1">IFERROR(VLOOKUP(E508,E488:X503,19,FALSE),"")</f>
        <v>4.83</v>
      </c>
      <c r="I508" s="543"/>
      <c r="J508" s="55">
        <v>2</v>
      </c>
      <c r="K508" s="55">
        <f ca="1">IFERROR(VLOOKUP(B508,C488:X503,3,FALSE),"")</f>
        <v>33</v>
      </c>
      <c r="L508" s="544" t="str">
        <f ca="1">IFERROR(VLOOKUP(K508,$E488:$F503,2,FALSE),"")</f>
        <v>LANSFORD Hollis</v>
      </c>
      <c r="M508" s="545"/>
      <c r="N508" s="545"/>
      <c r="O508" s="546"/>
      <c r="P508" s="544" t="str">
        <f t="shared" ca="1" si="159"/>
        <v>York</v>
      </c>
      <c r="Q508" s="545"/>
      <c r="R508" s="545"/>
      <c r="S508" s="546"/>
      <c r="T508" s="524">
        <f ca="1">IFERROR(VLOOKUP(K508,E488:X503,19,FALSE),"")</f>
        <v>4.17</v>
      </c>
      <c r="U508" s="525"/>
      <c r="V508" s="24"/>
      <c r="W508" s="25"/>
      <c r="X508" s="25"/>
      <c r="Y508" s="25"/>
      <c r="Z508" s="25"/>
      <c r="AA508" s="25"/>
      <c r="AB508" s="26"/>
    </row>
    <row r="509" spans="1:33" s="4" customFormat="1" ht="15.95" customHeight="1" x14ac:dyDescent="0.45">
      <c r="A509" s="11">
        <f>IFERROR(VLOOKUP(A484,standards,5,FALSE),"-")</f>
        <v>5.3</v>
      </c>
      <c r="B509" s="10">
        <v>3</v>
      </c>
      <c r="C509" s="3"/>
      <c r="D509" s="55">
        <v>3</v>
      </c>
      <c r="E509" s="19">
        <f ca="1">IFERROR(VLOOKUP(B509,B488:E503,4,FALSE),"")</f>
        <v>4</v>
      </c>
      <c r="F509" s="27" t="str">
        <f ca="1">IFERROR(VLOOKUP(E509,$E488:$F503,2,FALSE),"")</f>
        <v>CHINNERY Norton</v>
      </c>
      <c r="G509" s="18" t="str">
        <f t="shared" ca="1" si="158"/>
        <v>M'bro</v>
      </c>
      <c r="H509" s="542">
        <f ca="1">IFERROR(VLOOKUP(E509,E488:X503,19,FALSE),"")</f>
        <v>4.6100000000000003</v>
      </c>
      <c r="I509" s="543"/>
      <c r="J509" s="55">
        <v>3</v>
      </c>
      <c r="K509" s="55">
        <f ca="1">IFERROR(VLOOKUP(B509,C488:X503,3,FALSE),"")</f>
        <v>22</v>
      </c>
      <c r="L509" s="544" t="str">
        <f ca="1">IFERROR(VLOOKUP(K509,$E488:$F503,2,FALSE),"")</f>
        <v>SCOTT Leni</v>
      </c>
      <c r="M509" s="545"/>
      <c r="N509" s="545"/>
      <c r="O509" s="546"/>
      <c r="P509" s="544" t="str">
        <f t="shared" ca="1" si="159"/>
        <v>Sheff+D</v>
      </c>
      <c r="Q509" s="545"/>
      <c r="R509" s="545"/>
      <c r="S509" s="546"/>
      <c r="T509" s="524">
        <f ca="1">IFERROR(VLOOKUP(K509,E488:X503,19,FALSE),"")</f>
        <v>4.1100000000000003</v>
      </c>
      <c r="U509" s="525"/>
      <c r="V509" s="28"/>
      <c r="W509" s="29"/>
      <c r="X509" s="29"/>
      <c r="Y509" s="29"/>
      <c r="Z509" s="29"/>
      <c r="AA509" s="29"/>
      <c r="AB509" s="30"/>
    </row>
    <row r="510" spans="1:33" s="4" customFormat="1" ht="15.95" customHeight="1" x14ac:dyDescent="0.45">
      <c r="A510" s="11">
        <f>IFERROR(VLOOKUP(A484,AAA!A:F,6,FALSE),"-")</f>
        <v>5</v>
      </c>
      <c r="B510" s="10">
        <v>4</v>
      </c>
      <c r="C510" s="3"/>
      <c r="D510" s="55">
        <v>4</v>
      </c>
      <c r="E510" s="19">
        <f ca="1">IFERROR(VLOOKUP(B510,B488:E503,4,FALSE),"")</f>
        <v>3</v>
      </c>
      <c r="F510" s="27" t="str">
        <f ca="1">IFERROR(VLOOKUP(E510,$E488:$F503,2,FALSE),"")</f>
        <v>COOK Harry</v>
      </c>
      <c r="G510" s="18" t="str">
        <f t="shared" ca="1" si="158"/>
        <v>York</v>
      </c>
      <c r="H510" s="542">
        <f ca="1">IFERROR(VLOOKUP(E510,E488:X503,19,FALSE),"")</f>
        <v>4.41</v>
      </c>
      <c r="I510" s="543"/>
      <c r="J510" s="55">
        <v>4</v>
      </c>
      <c r="K510" s="55">
        <f ca="1">IFERROR(VLOOKUP(B510,C488:X503,3,FALSE),"")</f>
        <v>44</v>
      </c>
      <c r="L510" s="544" t="str">
        <f ca="1">IFERROR(VLOOKUP(K510,$E488:$F503,2,FALSE),"")</f>
        <v>IBEH Terrell</v>
      </c>
      <c r="M510" s="545"/>
      <c r="N510" s="545"/>
      <c r="O510" s="546"/>
      <c r="P510" s="544" t="str">
        <f t="shared" ca="1" si="159"/>
        <v>M'bro</v>
      </c>
      <c r="Q510" s="545"/>
      <c r="R510" s="545"/>
      <c r="S510" s="546"/>
      <c r="T510" s="524">
        <f ca="1">IFERROR(VLOOKUP(K510,E488:X503,19,FALSE),"")</f>
        <v>3.75</v>
      </c>
      <c r="U510" s="525"/>
      <c r="V510" s="24"/>
      <c r="W510" s="25"/>
      <c r="X510" s="25"/>
      <c r="Y510" s="25"/>
      <c r="Z510" s="25"/>
      <c r="AA510" s="25"/>
      <c r="AB510" s="26"/>
    </row>
    <row r="511" spans="1:33" s="4" customFormat="1" ht="15.95" customHeight="1" x14ac:dyDescent="0.45">
      <c r="A511" s="8"/>
      <c r="B511" s="10">
        <v>5</v>
      </c>
      <c r="C511" s="3"/>
      <c r="D511" s="55">
        <v>5</v>
      </c>
      <c r="E511" s="19" t="str">
        <f ca="1">IFERROR(VLOOKUP(B511,B488:E503,4,FALSE),"")</f>
        <v/>
      </c>
      <c r="F511" s="27" t="str">
        <f ca="1">IFERROR(VLOOKUP(E511,$E488:$F503,2,FALSE),"")</f>
        <v/>
      </c>
      <c r="G511" s="18" t="str">
        <f t="shared" ca="1" si="158"/>
        <v>-</v>
      </c>
      <c r="H511" s="542" t="str">
        <f ca="1">IFERROR(VLOOKUP(E511,E488:X503,19,FALSE),"")</f>
        <v/>
      </c>
      <c r="I511" s="543"/>
      <c r="J511" s="55">
        <v>5</v>
      </c>
      <c r="K511" s="55" t="str">
        <f ca="1">IFERROR(VLOOKUP(B511,C488:X503,3,FALSE),"")</f>
        <v/>
      </c>
      <c r="L511" s="544" t="str">
        <f ca="1">IFERROR(VLOOKUP(K511,$E488:$F503,2,FALSE),"")</f>
        <v/>
      </c>
      <c r="M511" s="545"/>
      <c r="N511" s="545"/>
      <c r="O511" s="546"/>
      <c r="P511" s="544" t="str">
        <f t="shared" ca="1" si="159"/>
        <v>-</v>
      </c>
      <c r="Q511" s="545"/>
      <c r="R511" s="545"/>
      <c r="S511" s="546"/>
      <c r="T511" s="524" t="str">
        <f ca="1">IFERROR(VLOOKUP(K511,E488:X503,19,FALSE),"")</f>
        <v/>
      </c>
      <c r="U511" s="525"/>
      <c r="V511" s="28"/>
      <c r="W511" s="29"/>
      <c r="X511" s="29"/>
      <c r="Y511" s="29"/>
      <c r="Z511" s="29"/>
      <c r="AA511" s="29"/>
      <c r="AB511" s="30"/>
    </row>
    <row r="512" spans="1:33" s="4" customFormat="1" ht="15.95" customHeight="1" x14ac:dyDescent="0.45">
      <c r="A512" s="8" t="s">
        <v>204</v>
      </c>
      <c r="B512" s="10">
        <v>6</v>
      </c>
      <c r="C512" s="3"/>
      <c r="D512" s="55">
        <v>6</v>
      </c>
      <c r="E512" s="19" t="str">
        <f ca="1">IFERROR(VLOOKUP(B512,B488:E503,4,FALSE),"")</f>
        <v/>
      </c>
      <c r="F512" s="27" t="str">
        <f ca="1">IFERROR(VLOOKUP(E512,$E488:$F503,2,FALSE),"")</f>
        <v/>
      </c>
      <c r="G512" s="18" t="str">
        <f t="shared" ca="1" si="158"/>
        <v>-</v>
      </c>
      <c r="H512" s="542" t="str">
        <f ca="1">IFERROR(VLOOKUP(E512,E488:X503,19,FALSE),"")</f>
        <v/>
      </c>
      <c r="I512" s="543"/>
      <c r="J512" s="55">
        <v>6</v>
      </c>
      <c r="K512" s="55" t="str">
        <f ca="1">IFERROR(VLOOKUP(B512,C488:X503,3,FALSE),"")</f>
        <v/>
      </c>
      <c r="L512" s="544" t="str">
        <f ca="1">IFERROR(VLOOKUP(K512,$E488:$F503,2,FALSE),"")</f>
        <v/>
      </c>
      <c r="M512" s="545"/>
      <c r="N512" s="545"/>
      <c r="O512" s="546"/>
      <c r="P512" s="544" t="str">
        <f t="shared" ca="1" si="159"/>
        <v>-</v>
      </c>
      <c r="Q512" s="545"/>
      <c r="R512" s="545"/>
      <c r="S512" s="546"/>
      <c r="T512" s="524" t="str">
        <f ca="1">IFERROR(VLOOKUP(K512,E488:X503,19,FALSE),"")</f>
        <v/>
      </c>
      <c r="U512" s="525"/>
      <c r="V512" s="512" t="s">
        <v>185</v>
      </c>
      <c r="W512" s="513"/>
      <c r="X512" s="513"/>
      <c r="Y512" s="513"/>
      <c r="Z512" s="513"/>
      <c r="AA512" s="513"/>
      <c r="AB512" s="514"/>
    </row>
    <row r="513" spans="1:28" s="4" customFormat="1" ht="15.95" customHeight="1" x14ac:dyDescent="0.45">
      <c r="A513" s="8">
        <f>IFERROR(VLOOKUP(A484,records,5,FALSE),"")</f>
        <v>6.82</v>
      </c>
      <c r="B513" s="10">
        <v>7</v>
      </c>
      <c r="C513" s="3"/>
      <c r="D513" s="55">
        <v>7</v>
      </c>
      <c r="E513" s="19" t="str">
        <f ca="1">IFERROR(VLOOKUP(B513,B488:E503,4,FALSE),"")</f>
        <v/>
      </c>
      <c r="F513" s="27" t="str">
        <f ca="1">IFERROR(VLOOKUP(E513,$E488:$F503,2,FALSE),"")</f>
        <v/>
      </c>
      <c r="G513" s="18" t="str">
        <f t="shared" ca="1" si="158"/>
        <v>-</v>
      </c>
      <c r="H513" s="542" t="str">
        <f ca="1">IFERROR(VLOOKUP(E513,E488:X503,19,FALSE),"")</f>
        <v/>
      </c>
      <c r="I513" s="543"/>
      <c r="J513" s="55">
        <v>7</v>
      </c>
      <c r="K513" s="55" t="str">
        <f ca="1">IFERROR(VLOOKUP(B513,C488:X503,3,FALSE),"")</f>
        <v/>
      </c>
      <c r="L513" s="544" t="str">
        <f ca="1">IFERROR(VLOOKUP(K513,$E488:$F503,2,FALSE),"")</f>
        <v/>
      </c>
      <c r="M513" s="545"/>
      <c r="N513" s="545"/>
      <c r="O513" s="546"/>
      <c r="P513" s="544" t="str">
        <f t="shared" ca="1" si="159"/>
        <v>-</v>
      </c>
      <c r="Q513" s="545"/>
      <c r="R513" s="545"/>
      <c r="S513" s="546"/>
      <c r="T513" s="524" t="str">
        <f ca="1">IFERROR(VLOOKUP(K513,E488:X503,19,FALSE),"")</f>
        <v/>
      </c>
      <c r="U513" s="525"/>
      <c r="V513" s="24"/>
      <c r="W513" s="25"/>
      <c r="X513" s="25"/>
      <c r="Y513" s="25"/>
      <c r="Z513" s="25"/>
      <c r="AA513" s="25"/>
      <c r="AB513" s="26"/>
    </row>
    <row r="514" spans="1:28" s="4" customFormat="1" ht="15.95" customHeight="1" x14ac:dyDescent="0.45">
      <c r="A514" s="8"/>
      <c r="B514" s="10">
        <v>8</v>
      </c>
      <c r="C514" s="3"/>
      <c r="D514" s="55">
        <v>8</v>
      </c>
      <c r="E514" s="19" t="str">
        <f ca="1">IFERROR(VLOOKUP(B514,B488:E503,4,FALSE),"")</f>
        <v/>
      </c>
      <c r="F514" s="27" t="str">
        <f ca="1">IFERROR(VLOOKUP(E514,$E488:$F503,2,FALSE),"")</f>
        <v/>
      </c>
      <c r="G514" s="18" t="str">
        <f t="shared" ca="1" si="158"/>
        <v>-</v>
      </c>
      <c r="H514" s="542" t="str">
        <f ca="1">IFERROR(VLOOKUP(E514,E488:X503,19,FALSE),"")</f>
        <v/>
      </c>
      <c r="I514" s="543"/>
      <c r="J514" s="55">
        <v>8</v>
      </c>
      <c r="K514" s="55" t="str">
        <f ca="1">IFERROR(VLOOKUP(B514,C488:X503,3,FALSE),"")</f>
        <v/>
      </c>
      <c r="L514" s="544" t="str">
        <f ca="1">IFERROR(VLOOKUP(K514,$E488:$F503,2,FALSE),"")</f>
        <v/>
      </c>
      <c r="M514" s="545"/>
      <c r="N514" s="545"/>
      <c r="O514" s="546"/>
      <c r="P514" s="544" t="str">
        <f t="shared" ca="1" si="159"/>
        <v>-</v>
      </c>
      <c r="Q514" s="545"/>
      <c r="R514" s="545"/>
      <c r="S514" s="546"/>
      <c r="T514" s="524" t="str">
        <f ca="1">IFERROR(VLOOKUP(K514,E488:X503,19,FALSE),"")</f>
        <v/>
      </c>
      <c r="U514" s="525"/>
      <c r="V514" s="28"/>
      <c r="W514" s="29"/>
      <c r="X514" s="29"/>
      <c r="Y514" s="29"/>
      <c r="Z514" s="29"/>
      <c r="AA514" s="29"/>
      <c r="AB514" s="30"/>
    </row>
  </sheetData>
  <sheetProtection algorithmName="SHA-512" hashValue="+4oCV7HA+OMnKyO6T/WgQmfEyq84IM9fO/nRkmeKWtUs2446TfczWIx81u09/NgjUV0xMuu3gKEQuvwTalQLQA==" saltValue="z5V5S/swx7Gmrw6cWPU+YA==" spinCount="100000" sheet="1" objects="1" scenarios="1" formatCells="0" formatColumns="0" formatRows="0" sort="0" autoFilter="0"/>
  <mergeCells count="3264">
    <mergeCell ref="H514:I514"/>
    <mergeCell ref="L514:O514"/>
    <mergeCell ref="P514:S514"/>
    <mergeCell ref="T514:U514"/>
    <mergeCell ref="H512:I512"/>
    <mergeCell ref="L512:O512"/>
    <mergeCell ref="P512:S512"/>
    <mergeCell ref="T512:U512"/>
    <mergeCell ref="V512:AB512"/>
    <mergeCell ref="H513:I513"/>
    <mergeCell ref="L513:O513"/>
    <mergeCell ref="P513:S513"/>
    <mergeCell ref="T513:U513"/>
    <mergeCell ref="H509:I509"/>
    <mergeCell ref="L509:O509"/>
    <mergeCell ref="P509:S509"/>
    <mergeCell ref="T509:U509"/>
    <mergeCell ref="H510:I510"/>
    <mergeCell ref="L510:O510"/>
    <mergeCell ref="P510:S510"/>
    <mergeCell ref="T510:U510"/>
    <mergeCell ref="H511:I511"/>
    <mergeCell ref="L511:O511"/>
    <mergeCell ref="P511:S511"/>
    <mergeCell ref="T511:U511"/>
    <mergeCell ref="H506:I506"/>
    <mergeCell ref="L506:O506"/>
    <mergeCell ref="P506:S506"/>
    <mergeCell ref="T506:U506"/>
    <mergeCell ref="H507:I507"/>
    <mergeCell ref="L507:O507"/>
    <mergeCell ref="P507:S507"/>
    <mergeCell ref="T507:U507"/>
    <mergeCell ref="H508:I508"/>
    <mergeCell ref="L508:O508"/>
    <mergeCell ref="P508:S508"/>
    <mergeCell ref="T508:U508"/>
    <mergeCell ref="H503:I503"/>
    <mergeCell ref="J503:K503"/>
    <mergeCell ref="L503:M503"/>
    <mergeCell ref="N503:O503"/>
    <mergeCell ref="Q503:R503"/>
    <mergeCell ref="S503:T503"/>
    <mergeCell ref="U503:V503"/>
    <mergeCell ref="W503:X503"/>
    <mergeCell ref="D505:I505"/>
    <mergeCell ref="J505:U505"/>
    <mergeCell ref="V505:AB505"/>
    <mergeCell ref="H501:I501"/>
    <mergeCell ref="J501:K501"/>
    <mergeCell ref="L501:M501"/>
    <mergeCell ref="N501:O501"/>
    <mergeCell ref="Q501:R501"/>
    <mergeCell ref="S501:T501"/>
    <mergeCell ref="U501:V501"/>
    <mergeCell ref="W501:X501"/>
    <mergeCell ref="H502:I502"/>
    <mergeCell ref="J502:K502"/>
    <mergeCell ref="L502:M502"/>
    <mergeCell ref="N502:O502"/>
    <mergeCell ref="Q502:R502"/>
    <mergeCell ref="S502:T502"/>
    <mergeCell ref="U502:V502"/>
    <mergeCell ref="W502:X502"/>
    <mergeCell ref="H499:I499"/>
    <mergeCell ref="J499:K499"/>
    <mergeCell ref="L499:M499"/>
    <mergeCell ref="N499:O499"/>
    <mergeCell ref="Q499:R499"/>
    <mergeCell ref="S499:T499"/>
    <mergeCell ref="U499:V499"/>
    <mergeCell ref="W499:X499"/>
    <mergeCell ref="H500:I500"/>
    <mergeCell ref="J500:K500"/>
    <mergeCell ref="L500:M500"/>
    <mergeCell ref="N500:O500"/>
    <mergeCell ref="Q500:R500"/>
    <mergeCell ref="S500:T500"/>
    <mergeCell ref="U500:V500"/>
    <mergeCell ref="W500:X500"/>
    <mergeCell ref="H497:I497"/>
    <mergeCell ref="J497:K497"/>
    <mergeCell ref="L497:M497"/>
    <mergeCell ref="N497:O497"/>
    <mergeCell ref="Q497:R497"/>
    <mergeCell ref="S497:T497"/>
    <mergeCell ref="U497:V497"/>
    <mergeCell ref="W497:X497"/>
    <mergeCell ref="H498:I498"/>
    <mergeCell ref="J498:K498"/>
    <mergeCell ref="L498:M498"/>
    <mergeCell ref="N498:O498"/>
    <mergeCell ref="Q498:R498"/>
    <mergeCell ref="S498:T498"/>
    <mergeCell ref="U498:V498"/>
    <mergeCell ref="W498:X498"/>
    <mergeCell ref="H495:I495"/>
    <mergeCell ref="J495:K495"/>
    <mergeCell ref="L495:M495"/>
    <mergeCell ref="N495:O495"/>
    <mergeCell ref="Q495:R495"/>
    <mergeCell ref="S495:T495"/>
    <mergeCell ref="U495:V495"/>
    <mergeCell ref="W495:X495"/>
    <mergeCell ref="H496:I496"/>
    <mergeCell ref="J496:K496"/>
    <mergeCell ref="L496:M496"/>
    <mergeCell ref="N496:O496"/>
    <mergeCell ref="Q496:R496"/>
    <mergeCell ref="S496:T496"/>
    <mergeCell ref="U496:V496"/>
    <mergeCell ref="W496:X496"/>
    <mergeCell ref="H493:I493"/>
    <mergeCell ref="J493:K493"/>
    <mergeCell ref="L493:M493"/>
    <mergeCell ref="N493:O493"/>
    <mergeCell ref="Q493:R493"/>
    <mergeCell ref="S493:T493"/>
    <mergeCell ref="U493:V493"/>
    <mergeCell ref="W493:X493"/>
    <mergeCell ref="H494:I494"/>
    <mergeCell ref="J494:K494"/>
    <mergeCell ref="L494:M494"/>
    <mergeCell ref="N494:O494"/>
    <mergeCell ref="Q494:R494"/>
    <mergeCell ref="S494:T494"/>
    <mergeCell ref="U494:V494"/>
    <mergeCell ref="W494:X494"/>
    <mergeCell ref="H491:I491"/>
    <mergeCell ref="J491:K491"/>
    <mergeCell ref="L491:M491"/>
    <mergeCell ref="N491:O491"/>
    <mergeCell ref="Q491:R491"/>
    <mergeCell ref="S491:T491"/>
    <mergeCell ref="U491:V491"/>
    <mergeCell ref="W491:X491"/>
    <mergeCell ref="H492:I492"/>
    <mergeCell ref="J492:K492"/>
    <mergeCell ref="L492:M492"/>
    <mergeCell ref="N492:O492"/>
    <mergeCell ref="Q492:R492"/>
    <mergeCell ref="S492:T492"/>
    <mergeCell ref="U492:V492"/>
    <mergeCell ref="W492:X492"/>
    <mergeCell ref="H489:I489"/>
    <mergeCell ref="J489:K489"/>
    <mergeCell ref="L489:M489"/>
    <mergeCell ref="N489:O489"/>
    <mergeCell ref="Q489:R489"/>
    <mergeCell ref="S489:T489"/>
    <mergeCell ref="U489:V489"/>
    <mergeCell ref="W489:X489"/>
    <mergeCell ref="H490:I490"/>
    <mergeCell ref="J490:K490"/>
    <mergeCell ref="L490:M490"/>
    <mergeCell ref="N490:O490"/>
    <mergeCell ref="Q490:R490"/>
    <mergeCell ref="S490:T490"/>
    <mergeCell ref="U490:V490"/>
    <mergeCell ref="W490:X490"/>
    <mergeCell ref="H488:I488"/>
    <mergeCell ref="J488:K488"/>
    <mergeCell ref="L488:M488"/>
    <mergeCell ref="N488:O488"/>
    <mergeCell ref="Q488:R488"/>
    <mergeCell ref="S488:T488"/>
    <mergeCell ref="U488:V488"/>
    <mergeCell ref="W488:X488"/>
    <mergeCell ref="D485:E485"/>
    <mergeCell ref="F485:G485"/>
    <mergeCell ref="H485:J485"/>
    <mergeCell ref="K485:L485"/>
    <mergeCell ref="M485:N485"/>
    <mergeCell ref="O485:AB485"/>
    <mergeCell ref="H486:I486"/>
    <mergeCell ref="J486:K486"/>
    <mergeCell ref="L486:M486"/>
    <mergeCell ref="N486:O486"/>
    <mergeCell ref="P486:P487"/>
    <mergeCell ref="Q486:R486"/>
    <mergeCell ref="S486:T486"/>
    <mergeCell ref="U486:V486"/>
    <mergeCell ref="W486:X486"/>
    <mergeCell ref="Y486:Y487"/>
    <mergeCell ref="Z486:AB486"/>
    <mergeCell ref="H487:I487"/>
    <mergeCell ref="J487:K487"/>
    <mergeCell ref="L487:M487"/>
    <mergeCell ref="N487:O487"/>
    <mergeCell ref="Q487:R487"/>
    <mergeCell ref="S487:T487"/>
    <mergeCell ref="U487:V487"/>
    <mergeCell ref="D484:E484"/>
    <mergeCell ref="F484:G484"/>
    <mergeCell ref="H484:J484"/>
    <mergeCell ref="K484:P484"/>
    <mergeCell ref="Q484:R484"/>
    <mergeCell ref="S484:X484"/>
    <mergeCell ref="Y484:Z484"/>
    <mergeCell ref="AA484:AB484"/>
    <mergeCell ref="H480:I480"/>
    <mergeCell ref="L480:O480"/>
    <mergeCell ref="P480:S480"/>
    <mergeCell ref="T480:U480"/>
    <mergeCell ref="V480:AB480"/>
    <mergeCell ref="H481:I481"/>
    <mergeCell ref="L481:O481"/>
    <mergeCell ref="P481:S481"/>
    <mergeCell ref="T481:U481"/>
    <mergeCell ref="W487:X487"/>
    <mergeCell ref="H477:I477"/>
    <mergeCell ref="L477:O477"/>
    <mergeCell ref="P477:S477"/>
    <mergeCell ref="T477:U477"/>
    <mergeCell ref="H478:I478"/>
    <mergeCell ref="L478:O478"/>
    <mergeCell ref="P478:S478"/>
    <mergeCell ref="T478:U478"/>
    <mergeCell ref="H479:I479"/>
    <mergeCell ref="L479:O479"/>
    <mergeCell ref="P479:S479"/>
    <mergeCell ref="T479:U479"/>
    <mergeCell ref="H474:I474"/>
    <mergeCell ref="L474:O474"/>
    <mergeCell ref="P474:S474"/>
    <mergeCell ref="T474:U474"/>
    <mergeCell ref="H475:I475"/>
    <mergeCell ref="L475:O475"/>
    <mergeCell ref="P475:S475"/>
    <mergeCell ref="T475:U475"/>
    <mergeCell ref="H476:I476"/>
    <mergeCell ref="L476:O476"/>
    <mergeCell ref="P476:S476"/>
    <mergeCell ref="T476:U476"/>
    <mergeCell ref="H482:I482"/>
    <mergeCell ref="L482:O482"/>
    <mergeCell ref="P482:S482"/>
    <mergeCell ref="T482:U482"/>
    <mergeCell ref="D483:J483"/>
    <mergeCell ref="K483:N483"/>
    <mergeCell ref="O483:AB483"/>
    <mergeCell ref="H471:I471"/>
    <mergeCell ref="J471:K471"/>
    <mergeCell ref="L471:M471"/>
    <mergeCell ref="N471:O471"/>
    <mergeCell ref="Q471:R471"/>
    <mergeCell ref="S471:T471"/>
    <mergeCell ref="U471:V471"/>
    <mergeCell ref="W471:X471"/>
    <mergeCell ref="D473:I473"/>
    <mergeCell ref="J473:U473"/>
    <mergeCell ref="V473:AB473"/>
    <mergeCell ref="H469:I469"/>
    <mergeCell ref="J469:K469"/>
    <mergeCell ref="L469:M469"/>
    <mergeCell ref="N469:O469"/>
    <mergeCell ref="Q469:R469"/>
    <mergeCell ref="S469:T469"/>
    <mergeCell ref="U469:V469"/>
    <mergeCell ref="W469:X469"/>
    <mergeCell ref="H470:I470"/>
    <mergeCell ref="J470:K470"/>
    <mergeCell ref="L470:M470"/>
    <mergeCell ref="N470:O470"/>
    <mergeCell ref="Q470:R470"/>
    <mergeCell ref="S470:T470"/>
    <mergeCell ref="U470:V470"/>
    <mergeCell ref="W470:X470"/>
    <mergeCell ref="H467:I467"/>
    <mergeCell ref="J467:K467"/>
    <mergeCell ref="L467:M467"/>
    <mergeCell ref="N467:O467"/>
    <mergeCell ref="Q467:R467"/>
    <mergeCell ref="S467:T467"/>
    <mergeCell ref="U467:V467"/>
    <mergeCell ref="W467:X467"/>
    <mergeCell ref="H468:I468"/>
    <mergeCell ref="J468:K468"/>
    <mergeCell ref="L468:M468"/>
    <mergeCell ref="N468:O468"/>
    <mergeCell ref="Q468:R468"/>
    <mergeCell ref="S468:T468"/>
    <mergeCell ref="U468:V468"/>
    <mergeCell ref="W468:X468"/>
    <mergeCell ref="H465:I465"/>
    <mergeCell ref="J465:K465"/>
    <mergeCell ref="L465:M465"/>
    <mergeCell ref="N465:O465"/>
    <mergeCell ref="Q465:R465"/>
    <mergeCell ref="S465:T465"/>
    <mergeCell ref="U465:V465"/>
    <mergeCell ref="W465:X465"/>
    <mergeCell ref="H466:I466"/>
    <mergeCell ref="J466:K466"/>
    <mergeCell ref="L466:M466"/>
    <mergeCell ref="N466:O466"/>
    <mergeCell ref="Q466:R466"/>
    <mergeCell ref="S466:T466"/>
    <mergeCell ref="U466:V466"/>
    <mergeCell ref="W466:X466"/>
    <mergeCell ref="H463:I463"/>
    <mergeCell ref="J463:K463"/>
    <mergeCell ref="L463:M463"/>
    <mergeCell ref="N463:O463"/>
    <mergeCell ref="Q463:R463"/>
    <mergeCell ref="S463:T463"/>
    <mergeCell ref="U463:V463"/>
    <mergeCell ref="W463:X463"/>
    <mergeCell ref="H464:I464"/>
    <mergeCell ref="J464:K464"/>
    <mergeCell ref="L464:M464"/>
    <mergeCell ref="N464:O464"/>
    <mergeCell ref="Q464:R464"/>
    <mergeCell ref="S464:T464"/>
    <mergeCell ref="U464:V464"/>
    <mergeCell ref="W464:X464"/>
    <mergeCell ref="H461:I461"/>
    <mergeCell ref="J461:K461"/>
    <mergeCell ref="L461:M461"/>
    <mergeCell ref="N461:O461"/>
    <mergeCell ref="Q461:R461"/>
    <mergeCell ref="S461:T461"/>
    <mergeCell ref="U461:V461"/>
    <mergeCell ref="W461:X461"/>
    <mergeCell ref="H462:I462"/>
    <mergeCell ref="J462:K462"/>
    <mergeCell ref="L462:M462"/>
    <mergeCell ref="N462:O462"/>
    <mergeCell ref="Q462:R462"/>
    <mergeCell ref="S462:T462"/>
    <mergeCell ref="U462:V462"/>
    <mergeCell ref="W462:X462"/>
    <mergeCell ref="H459:I459"/>
    <mergeCell ref="J459:K459"/>
    <mergeCell ref="L459:M459"/>
    <mergeCell ref="N459:O459"/>
    <mergeCell ref="Q459:R459"/>
    <mergeCell ref="S459:T459"/>
    <mergeCell ref="U459:V459"/>
    <mergeCell ref="W459:X459"/>
    <mergeCell ref="H460:I460"/>
    <mergeCell ref="J460:K460"/>
    <mergeCell ref="L460:M460"/>
    <mergeCell ref="N460:O460"/>
    <mergeCell ref="Q460:R460"/>
    <mergeCell ref="S460:T460"/>
    <mergeCell ref="U460:V460"/>
    <mergeCell ref="W460:X460"/>
    <mergeCell ref="H457:I457"/>
    <mergeCell ref="J457:K457"/>
    <mergeCell ref="L457:M457"/>
    <mergeCell ref="N457:O457"/>
    <mergeCell ref="Q457:R457"/>
    <mergeCell ref="S457:T457"/>
    <mergeCell ref="U457:V457"/>
    <mergeCell ref="W457:X457"/>
    <mergeCell ref="H458:I458"/>
    <mergeCell ref="J458:K458"/>
    <mergeCell ref="L458:M458"/>
    <mergeCell ref="N458:O458"/>
    <mergeCell ref="Q458:R458"/>
    <mergeCell ref="S458:T458"/>
    <mergeCell ref="U458:V458"/>
    <mergeCell ref="W458:X458"/>
    <mergeCell ref="H456:I456"/>
    <mergeCell ref="J456:K456"/>
    <mergeCell ref="L456:M456"/>
    <mergeCell ref="N456:O456"/>
    <mergeCell ref="Q456:R456"/>
    <mergeCell ref="S456:T456"/>
    <mergeCell ref="U456:V456"/>
    <mergeCell ref="W456:X456"/>
    <mergeCell ref="D453:E453"/>
    <mergeCell ref="F453:G453"/>
    <mergeCell ref="H453:J453"/>
    <mergeCell ref="K453:L453"/>
    <mergeCell ref="M453:N453"/>
    <mergeCell ref="O453:AB453"/>
    <mergeCell ref="H454:I454"/>
    <mergeCell ref="J454:K454"/>
    <mergeCell ref="L454:M454"/>
    <mergeCell ref="N454:O454"/>
    <mergeCell ref="P454:P455"/>
    <mergeCell ref="Q454:R454"/>
    <mergeCell ref="S454:T454"/>
    <mergeCell ref="U454:V454"/>
    <mergeCell ref="W454:X454"/>
    <mergeCell ref="Y454:Y455"/>
    <mergeCell ref="Z454:AB454"/>
    <mergeCell ref="H455:I455"/>
    <mergeCell ref="J455:K455"/>
    <mergeCell ref="L455:M455"/>
    <mergeCell ref="N455:O455"/>
    <mergeCell ref="Q455:R455"/>
    <mergeCell ref="S455:T455"/>
    <mergeCell ref="U455:V455"/>
    <mergeCell ref="D452:E452"/>
    <mergeCell ref="F452:G452"/>
    <mergeCell ref="H452:J452"/>
    <mergeCell ref="K452:P452"/>
    <mergeCell ref="Q452:R452"/>
    <mergeCell ref="S452:X452"/>
    <mergeCell ref="Y452:Z452"/>
    <mergeCell ref="AA452:AB452"/>
    <mergeCell ref="H448:I448"/>
    <mergeCell ref="L448:O448"/>
    <mergeCell ref="P448:S448"/>
    <mergeCell ref="T448:U448"/>
    <mergeCell ref="V448:AB448"/>
    <mergeCell ref="H449:I449"/>
    <mergeCell ref="L449:O449"/>
    <mergeCell ref="P449:S449"/>
    <mergeCell ref="T449:U449"/>
    <mergeCell ref="W455:X455"/>
    <mergeCell ref="H445:I445"/>
    <mergeCell ref="L445:O445"/>
    <mergeCell ref="P445:S445"/>
    <mergeCell ref="T445:U445"/>
    <mergeCell ref="H446:I446"/>
    <mergeCell ref="L446:O446"/>
    <mergeCell ref="P446:S446"/>
    <mergeCell ref="T446:U446"/>
    <mergeCell ref="H447:I447"/>
    <mergeCell ref="L447:O447"/>
    <mergeCell ref="P447:S447"/>
    <mergeCell ref="T447:U447"/>
    <mergeCell ref="H442:I442"/>
    <mergeCell ref="L442:O442"/>
    <mergeCell ref="P442:S442"/>
    <mergeCell ref="T442:U442"/>
    <mergeCell ref="H443:I443"/>
    <mergeCell ref="L443:O443"/>
    <mergeCell ref="P443:S443"/>
    <mergeCell ref="T443:U443"/>
    <mergeCell ref="H444:I444"/>
    <mergeCell ref="L444:O444"/>
    <mergeCell ref="P444:S444"/>
    <mergeCell ref="T444:U444"/>
    <mergeCell ref="H450:I450"/>
    <mergeCell ref="L450:O450"/>
    <mergeCell ref="P450:S450"/>
    <mergeCell ref="T450:U450"/>
    <mergeCell ref="D451:J451"/>
    <mergeCell ref="K451:N451"/>
    <mergeCell ref="O451:AB451"/>
    <mergeCell ref="H439:I439"/>
    <mergeCell ref="J439:K439"/>
    <mergeCell ref="L439:M439"/>
    <mergeCell ref="N439:O439"/>
    <mergeCell ref="Q439:R439"/>
    <mergeCell ref="S439:T439"/>
    <mergeCell ref="U439:V439"/>
    <mergeCell ref="W439:X439"/>
    <mergeCell ref="D441:I441"/>
    <mergeCell ref="J441:U441"/>
    <mergeCell ref="V441:AB441"/>
    <mergeCell ref="H437:I437"/>
    <mergeCell ref="J437:K437"/>
    <mergeCell ref="L437:M437"/>
    <mergeCell ref="N437:O437"/>
    <mergeCell ref="Q437:R437"/>
    <mergeCell ref="S437:T437"/>
    <mergeCell ref="U437:V437"/>
    <mergeCell ref="W437:X437"/>
    <mergeCell ref="H438:I438"/>
    <mergeCell ref="J438:K438"/>
    <mergeCell ref="L438:M438"/>
    <mergeCell ref="N438:O438"/>
    <mergeCell ref="Q438:R438"/>
    <mergeCell ref="S438:T438"/>
    <mergeCell ref="U438:V438"/>
    <mergeCell ref="W438:X438"/>
    <mergeCell ref="H435:I435"/>
    <mergeCell ref="J435:K435"/>
    <mergeCell ref="L435:M435"/>
    <mergeCell ref="N435:O435"/>
    <mergeCell ref="Q435:R435"/>
    <mergeCell ref="S435:T435"/>
    <mergeCell ref="U435:V435"/>
    <mergeCell ref="W435:X435"/>
    <mergeCell ref="H436:I436"/>
    <mergeCell ref="J436:K436"/>
    <mergeCell ref="L436:M436"/>
    <mergeCell ref="N436:O436"/>
    <mergeCell ref="Q436:R436"/>
    <mergeCell ref="S436:T436"/>
    <mergeCell ref="U436:V436"/>
    <mergeCell ref="W436:X436"/>
    <mergeCell ref="H433:I433"/>
    <mergeCell ref="J433:K433"/>
    <mergeCell ref="L433:M433"/>
    <mergeCell ref="N433:O433"/>
    <mergeCell ref="Q433:R433"/>
    <mergeCell ref="S433:T433"/>
    <mergeCell ref="U433:V433"/>
    <mergeCell ref="W433:X433"/>
    <mergeCell ref="H434:I434"/>
    <mergeCell ref="J434:K434"/>
    <mergeCell ref="L434:M434"/>
    <mergeCell ref="N434:O434"/>
    <mergeCell ref="Q434:R434"/>
    <mergeCell ref="S434:T434"/>
    <mergeCell ref="U434:V434"/>
    <mergeCell ref="W434:X434"/>
    <mergeCell ref="H431:I431"/>
    <mergeCell ref="J431:K431"/>
    <mergeCell ref="L431:M431"/>
    <mergeCell ref="N431:O431"/>
    <mergeCell ref="Q431:R431"/>
    <mergeCell ref="S431:T431"/>
    <mergeCell ref="U431:V431"/>
    <mergeCell ref="W431:X431"/>
    <mergeCell ref="H432:I432"/>
    <mergeCell ref="J432:K432"/>
    <mergeCell ref="L432:M432"/>
    <mergeCell ref="N432:O432"/>
    <mergeCell ref="Q432:R432"/>
    <mergeCell ref="S432:T432"/>
    <mergeCell ref="U432:V432"/>
    <mergeCell ref="W432:X432"/>
    <mergeCell ref="H429:I429"/>
    <mergeCell ref="J429:K429"/>
    <mergeCell ref="L429:M429"/>
    <mergeCell ref="N429:O429"/>
    <mergeCell ref="Q429:R429"/>
    <mergeCell ref="S429:T429"/>
    <mergeCell ref="U429:V429"/>
    <mergeCell ref="W429:X429"/>
    <mergeCell ref="H430:I430"/>
    <mergeCell ref="J430:K430"/>
    <mergeCell ref="L430:M430"/>
    <mergeCell ref="N430:O430"/>
    <mergeCell ref="Q430:R430"/>
    <mergeCell ref="S430:T430"/>
    <mergeCell ref="U430:V430"/>
    <mergeCell ref="W430:X430"/>
    <mergeCell ref="H427:I427"/>
    <mergeCell ref="J427:K427"/>
    <mergeCell ref="L427:M427"/>
    <mergeCell ref="N427:O427"/>
    <mergeCell ref="Q427:R427"/>
    <mergeCell ref="S427:T427"/>
    <mergeCell ref="U427:V427"/>
    <mergeCell ref="W427:X427"/>
    <mergeCell ref="H428:I428"/>
    <mergeCell ref="J428:K428"/>
    <mergeCell ref="L428:M428"/>
    <mergeCell ref="N428:O428"/>
    <mergeCell ref="Q428:R428"/>
    <mergeCell ref="S428:T428"/>
    <mergeCell ref="U428:V428"/>
    <mergeCell ref="W428:X428"/>
    <mergeCell ref="H425:I425"/>
    <mergeCell ref="J425:K425"/>
    <mergeCell ref="L425:M425"/>
    <mergeCell ref="N425:O425"/>
    <mergeCell ref="Q425:R425"/>
    <mergeCell ref="S425:T425"/>
    <mergeCell ref="U425:V425"/>
    <mergeCell ref="W425:X425"/>
    <mergeCell ref="H426:I426"/>
    <mergeCell ref="J426:K426"/>
    <mergeCell ref="L426:M426"/>
    <mergeCell ref="N426:O426"/>
    <mergeCell ref="Q426:R426"/>
    <mergeCell ref="S426:T426"/>
    <mergeCell ref="U426:V426"/>
    <mergeCell ref="W426:X426"/>
    <mergeCell ref="H424:I424"/>
    <mergeCell ref="J424:K424"/>
    <mergeCell ref="L424:M424"/>
    <mergeCell ref="N424:O424"/>
    <mergeCell ref="Q424:R424"/>
    <mergeCell ref="S424:T424"/>
    <mergeCell ref="U424:V424"/>
    <mergeCell ref="W424:X424"/>
    <mergeCell ref="D421:E421"/>
    <mergeCell ref="F421:G421"/>
    <mergeCell ref="H421:J421"/>
    <mergeCell ref="K421:L421"/>
    <mergeCell ref="M421:N421"/>
    <mergeCell ref="O421:AB421"/>
    <mergeCell ref="H422:I422"/>
    <mergeCell ref="J422:K422"/>
    <mergeCell ref="L422:M422"/>
    <mergeCell ref="N422:O422"/>
    <mergeCell ref="P422:P423"/>
    <mergeCell ref="Q422:R422"/>
    <mergeCell ref="S422:T422"/>
    <mergeCell ref="U422:V422"/>
    <mergeCell ref="W422:X422"/>
    <mergeCell ref="Y422:Y423"/>
    <mergeCell ref="Z422:AB422"/>
    <mergeCell ref="H423:I423"/>
    <mergeCell ref="J423:K423"/>
    <mergeCell ref="L423:M423"/>
    <mergeCell ref="N423:O423"/>
    <mergeCell ref="Q423:R423"/>
    <mergeCell ref="S423:T423"/>
    <mergeCell ref="U423:V423"/>
    <mergeCell ref="D420:E420"/>
    <mergeCell ref="F420:G420"/>
    <mergeCell ref="H420:J420"/>
    <mergeCell ref="K420:P420"/>
    <mergeCell ref="Q420:R420"/>
    <mergeCell ref="S420:X420"/>
    <mergeCell ref="Y420:Z420"/>
    <mergeCell ref="AA420:AB420"/>
    <mergeCell ref="H416:I416"/>
    <mergeCell ref="L416:O416"/>
    <mergeCell ref="P416:S416"/>
    <mergeCell ref="T416:U416"/>
    <mergeCell ref="V416:AB416"/>
    <mergeCell ref="H417:I417"/>
    <mergeCell ref="L417:O417"/>
    <mergeCell ref="P417:S417"/>
    <mergeCell ref="T417:U417"/>
    <mergeCell ref="W423:X423"/>
    <mergeCell ref="H413:I413"/>
    <mergeCell ref="L413:O413"/>
    <mergeCell ref="P413:S413"/>
    <mergeCell ref="T413:U413"/>
    <mergeCell ref="H414:I414"/>
    <mergeCell ref="L414:O414"/>
    <mergeCell ref="P414:S414"/>
    <mergeCell ref="T414:U414"/>
    <mergeCell ref="H415:I415"/>
    <mergeCell ref="L415:O415"/>
    <mergeCell ref="P415:S415"/>
    <mergeCell ref="T415:U415"/>
    <mergeCell ref="H410:I410"/>
    <mergeCell ref="L410:O410"/>
    <mergeCell ref="P410:S410"/>
    <mergeCell ref="T410:U410"/>
    <mergeCell ref="H411:I411"/>
    <mergeCell ref="L411:O411"/>
    <mergeCell ref="P411:S411"/>
    <mergeCell ref="T411:U411"/>
    <mergeCell ref="H412:I412"/>
    <mergeCell ref="L412:O412"/>
    <mergeCell ref="P412:S412"/>
    <mergeCell ref="T412:U412"/>
    <mergeCell ref="H418:I418"/>
    <mergeCell ref="L418:O418"/>
    <mergeCell ref="P418:S418"/>
    <mergeCell ref="T418:U418"/>
    <mergeCell ref="D419:J419"/>
    <mergeCell ref="K419:N419"/>
    <mergeCell ref="O419:AB419"/>
    <mergeCell ref="H407:I407"/>
    <mergeCell ref="J407:K407"/>
    <mergeCell ref="L407:M407"/>
    <mergeCell ref="N407:O407"/>
    <mergeCell ref="Q407:R407"/>
    <mergeCell ref="S407:T407"/>
    <mergeCell ref="U407:V407"/>
    <mergeCell ref="W407:X407"/>
    <mergeCell ref="D409:I409"/>
    <mergeCell ref="J409:U409"/>
    <mergeCell ref="V409:AB409"/>
    <mergeCell ref="H405:I405"/>
    <mergeCell ref="J405:K405"/>
    <mergeCell ref="L405:M405"/>
    <mergeCell ref="N405:O405"/>
    <mergeCell ref="Q405:R405"/>
    <mergeCell ref="S405:T405"/>
    <mergeCell ref="U405:V405"/>
    <mergeCell ref="W405:X405"/>
    <mergeCell ref="H406:I406"/>
    <mergeCell ref="J406:K406"/>
    <mergeCell ref="L406:M406"/>
    <mergeCell ref="N406:O406"/>
    <mergeCell ref="Q406:R406"/>
    <mergeCell ref="S406:T406"/>
    <mergeCell ref="U406:V406"/>
    <mergeCell ref="W406:X406"/>
    <mergeCell ref="H403:I403"/>
    <mergeCell ref="J403:K403"/>
    <mergeCell ref="L403:M403"/>
    <mergeCell ref="N403:O403"/>
    <mergeCell ref="Q403:R403"/>
    <mergeCell ref="S403:T403"/>
    <mergeCell ref="U403:V403"/>
    <mergeCell ref="W403:X403"/>
    <mergeCell ref="H404:I404"/>
    <mergeCell ref="J404:K404"/>
    <mergeCell ref="L404:M404"/>
    <mergeCell ref="N404:O404"/>
    <mergeCell ref="Q404:R404"/>
    <mergeCell ref="S404:T404"/>
    <mergeCell ref="U404:V404"/>
    <mergeCell ref="W404:X404"/>
    <mergeCell ref="H401:I401"/>
    <mergeCell ref="J401:K401"/>
    <mergeCell ref="L401:M401"/>
    <mergeCell ref="N401:O401"/>
    <mergeCell ref="Q401:R401"/>
    <mergeCell ref="S401:T401"/>
    <mergeCell ref="U401:V401"/>
    <mergeCell ref="W401:X401"/>
    <mergeCell ref="H402:I402"/>
    <mergeCell ref="J402:K402"/>
    <mergeCell ref="L402:M402"/>
    <mergeCell ref="N402:O402"/>
    <mergeCell ref="Q402:R402"/>
    <mergeCell ref="S402:T402"/>
    <mergeCell ref="U402:V402"/>
    <mergeCell ref="W402:X402"/>
    <mergeCell ref="H399:I399"/>
    <mergeCell ref="J399:K399"/>
    <mergeCell ref="L399:M399"/>
    <mergeCell ref="N399:O399"/>
    <mergeCell ref="Q399:R399"/>
    <mergeCell ref="S399:T399"/>
    <mergeCell ref="U399:V399"/>
    <mergeCell ref="W399:X399"/>
    <mergeCell ref="H400:I400"/>
    <mergeCell ref="J400:K400"/>
    <mergeCell ref="L400:M400"/>
    <mergeCell ref="N400:O400"/>
    <mergeCell ref="Q400:R400"/>
    <mergeCell ref="S400:T400"/>
    <mergeCell ref="U400:V400"/>
    <mergeCell ref="W400:X400"/>
    <mergeCell ref="H397:I397"/>
    <mergeCell ref="J397:K397"/>
    <mergeCell ref="L397:M397"/>
    <mergeCell ref="N397:O397"/>
    <mergeCell ref="Q397:R397"/>
    <mergeCell ref="S397:T397"/>
    <mergeCell ref="U397:V397"/>
    <mergeCell ref="W397:X397"/>
    <mergeCell ref="H398:I398"/>
    <mergeCell ref="J398:K398"/>
    <mergeCell ref="L398:M398"/>
    <mergeCell ref="N398:O398"/>
    <mergeCell ref="Q398:R398"/>
    <mergeCell ref="S398:T398"/>
    <mergeCell ref="U398:V398"/>
    <mergeCell ref="W398:X398"/>
    <mergeCell ref="H395:I395"/>
    <mergeCell ref="J395:K395"/>
    <mergeCell ref="L395:M395"/>
    <mergeCell ref="N395:O395"/>
    <mergeCell ref="Q395:R395"/>
    <mergeCell ref="S395:T395"/>
    <mergeCell ref="U395:V395"/>
    <mergeCell ref="W395:X395"/>
    <mergeCell ref="H396:I396"/>
    <mergeCell ref="J396:K396"/>
    <mergeCell ref="L396:M396"/>
    <mergeCell ref="N396:O396"/>
    <mergeCell ref="Q396:R396"/>
    <mergeCell ref="S396:T396"/>
    <mergeCell ref="U396:V396"/>
    <mergeCell ref="W396:X396"/>
    <mergeCell ref="H393:I393"/>
    <mergeCell ref="J393:K393"/>
    <mergeCell ref="L393:M393"/>
    <mergeCell ref="N393:O393"/>
    <mergeCell ref="Q393:R393"/>
    <mergeCell ref="S393:T393"/>
    <mergeCell ref="U393:V393"/>
    <mergeCell ref="W393:X393"/>
    <mergeCell ref="H394:I394"/>
    <mergeCell ref="J394:K394"/>
    <mergeCell ref="L394:M394"/>
    <mergeCell ref="N394:O394"/>
    <mergeCell ref="Q394:R394"/>
    <mergeCell ref="S394:T394"/>
    <mergeCell ref="U394:V394"/>
    <mergeCell ref="W394:X394"/>
    <mergeCell ref="H392:I392"/>
    <mergeCell ref="J392:K392"/>
    <mergeCell ref="L392:M392"/>
    <mergeCell ref="N392:O392"/>
    <mergeCell ref="Q392:R392"/>
    <mergeCell ref="S392:T392"/>
    <mergeCell ref="U392:V392"/>
    <mergeCell ref="W392:X392"/>
    <mergeCell ref="D389:E389"/>
    <mergeCell ref="F389:G389"/>
    <mergeCell ref="H389:J389"/>
    <mergeCell ref="K389:L389"/>
    <mergeCell ref="M389:N389"/>
    <mergeCell ref="O389:AB389"/>
    <mergeCell ref="H390:I390"/>
    <mergeCell ref="J390:K390"/>
    <mergeCell ref="L390:M390"/>
    <mergeCell ref="N390:O390"/>
    <mergeCell ref="P390:P391"/>
    <mergeCell ref="Q390:R390"/>
    <mergeCell ref="S390:T390"/>
    <mergeCell ref="U390:V390"/>
    <mergeCell ref="W390:X390"/>
    <mergeCell ref="Y390:Y391"/>
    <mergeCell ref="Z390:AB390"/>
    <mergeCell ref="H391:I391"/>
    <mergeCell ref="J391:K391"/>
    <mergeCell ref="L391:M391"/>
    <mergeCell ref="N391:O391"/>
    <mergeCell ref="Q391:R391"/>
    <mergeCell ref="S391:T391"/>
    <mergeCell ref="U391:V391"/>
    <mergeCell ref="H386:I386"/>
    <mergeCell ref="L386:O386"/>
    <mergeCell ref="P386:S386"/>
    <mergeCell ref="T386:U386"/>
    <mergeCell ref="H384:I384"/>
    <mergeCell ref="L384:O384"/>
    <mergeCell ref="P384:S384"/>
    <mergeCell ref="T384:U384"/>
    <mergeCell ref="V384:AB384"/>
    <mergeCell ref="H385:I385"/>
    <mergeCell ref="L385:O385"/>
    <mergeCell ref="P385:S385"/>
    <mergeCell ref="T385:U385"/>
    <mergeCell ref="W391:X391"/>
    <mergeCell ref="D387:J387"/>
    <mergeCell ref="K387:N387"/>
    <mergeCell ref="O387:AB387"/>
    <mergeCell ref="D388:E388"/>
    <mergeCell ref="F388:G388"/>
    <mergeCell ref="H388:J388"/>
    <mergeCell ref="K388:P388"/>
    <mergeCell ref="Q388:R388"/>
    <mergeCell ref="S388:X388"/>
    <mergeCell ref="Y388:Z388"/>
    <mergeCell ref="AA388:AB388"/>
    <mergeCell ref="H381:I381"/>
    <mergeCell ref="L381:O381"/>
    <mergeCell ref="P381:S381"/>
    <mergeCell ref="T381:U381"/>
    <mergeCell ref="H382:I382"/>
    <mergeCell ref="L382:O382"/>
    <mergeCell ref="P382:S382"/>
    <mergeCell ref="T382:U382"/>
    <mergeCell ref="H383:I383"/>
    <mergeCell ref="L383:O383"/>
    <mergeCell ref="P383:S383"/>
    <mergeCell ref="T383:U383"/>
    <mergeCell ref="H378:I378"/>
    <mergeCell ref="L378:O378"/>
    <mergeCell ref="P378:S378"/>
    <mergeCell ref="T378:U378"/>
    <mergeCell ref="H379:I379"/>
    <mergeCell ref="L379:O379"/>
    <mergeCell ref="P379:S379"/>
    <mergeCell ref="T379:U379"/>
    <mergeCell ref="H380:I380"/>
    <mergeCell ref="L380:O380"/>
    <mergeCell ref="P380:S380"/>
    <mergeCell ref="T380:U380"/>
    <mergeCell ref="H375:I375"/>
    <mergeCell ref="J375:K375"/>
    <mergeCell ref="L375:M375"/>
    <mergeCell ref="N375:O375"/>
    <mergeCell ref="Q375:R375"/>
    <mergeCell ref="S375:T375"/>
    <mergeCell ref="U375:V375"/>
    <mergeCell ref="W375:X375"/>
    <mergeCell ref="D377:I377"/>
    <mergeCell ref="J377:U377"/>
    <mergeCell ref="V377:AB377"/>
    <mergeCell ref="H373:I373"/>
    <mergeCell ref="J373:K373"/>
    <mergeCell ref="L373:M373"/>
    <mergeCell ref="N373:O373"/>
    <mergeCell ref="Q373:R373"/>
    <mergeCell ref="S373:T373"/>
    <mergeCell ref="U373:V373"/>
    <mergeCell ref="W373:X373"/>
    <mergeCell ref="H374:I374"/>
    <mergeCell ref="J374:K374"/>
    <mergeCell ref="L374:M374"/>
    <mergeCell ref="N374:O374"/>
    <mergeCell ref="Q374:R374"/>
    <mergeCell ref="S374:T374"/>
    <mergeCell ref="U374:V374"/>
    <mergeCell ref="W374:X374"/>
    <mergeCell ref="H371:I371"/>
    <mergeCell ref="J371:K371"/>
    <mergeCell ref="L371:M371"/>
    <mergeCell ref="N371:O371"/>
    <mergeCell ref="Q371:R371"/>
    <mergeCell ref="S371:T371"/>
    <mergeCell ref="U371:V371"/>
    <mergeCell ref="W371:X371"/>
    <mergeCell ref="H372:I372"/>
    <mergeCell ref="J372:K372"/>
    <mergeCell ref="L372:M372"/>
    <mergeCell ref="N372:O372"/>
    <mergeCell ref="Q372:R372"/>
    <mergeCell ref="S372:T372"/>
    <mergeCell ref="U372:V372"/>
    <mergeCell ref="W372:X372"/>
    <mergeCell ref="H369:I369"/>
    <mergeCell ref="J369:K369"/>
    <mergeCell ref="L369:M369"/>
    <mergeCell ref="N369:O369"/>
    <mergeCell ref="Q369:R369"/>
    <mergeCell ref="S369:T369"/>
    <mergeCell ref="U369:V369"/>
    <mergeCell ref="W369:X369"/>
    <mergeCell ref="H370:I370"/>
    <mergeCell ref="J370:K370"/>
    <mergeCell ref="L370:M370"/>
    <mergeCell ref="N370:O370"/>
    <mergeCell ref="Q370:R370"/>
    <mergeCell ref="S370:T370"/>
    <mergeCell ref="U370:V370"/>
    <mergeCell ref="W370:X370"/>
    <mergeCell ref="H367:I367"/>
    <mergeCell ref="J367:K367"/>
    <mergeCell ref="L367:M367"/>
    <mergeCell ref="N367:O367"/>
    <mergeCell ref="Q367:R367"/>
    <mergeCell ref="S367:T367"/>
    <mergeCell ref="U367:V367"/>
    <mergeCell ref="W367:X367"/>
    <mergeCell ref="H368:I368"/>
    <mergeCell ref="J368:K368"/>
    <mergeCell ref="L368:M368"/>
    <mergeCell ref="N368:O368"/>
    <mergeCell ref="Q368:R368"/>
    <mergeCell ref="S368:T368"/>
    <mergeCell ref="U368:V368"/>
    <mergeCell ref="W368:X368"/>
    <mergeCell ref="H365:I365"/>
    <mergeCell ref="J365:K365"/>
    <mergeCell ref="L365:M365"/>
    <mergeCell ref="N365:O365"/>
    <mergeCell ref="Q365:R365"/>
    <mergeCell ref="S365:T365"/>
    <mergeCell ref="U365:V365"/>
    <mergeCell ref="W365:X365"/>
    <mergeCell ref="H366:I366"/>
    <mergeCell ref="J366:K366"/>
    <mergeCell ref="L366:M366"/>
    <mergeCell ref="N366:O366"/>
    <mergeCell ref="Q366:R366"/>
    <mergeCell ref="S366:T366"/>
    <mergeCell ref="U366:V366"/>
    <mergeCell ref="W366:X366"/>
    <mergeCell ref="H363:I363"/>
    <mergeCell ref="J363:K363"/>
    <mergeCell ref="L363:M363"/>
    <mergeCell ref="N363:O363"/>
    <mergeCell ref="Q363:R363"/>
    <mergeCell ref="S363:T363"/>
    <mergeCell ref="U363:V363"/>
    <mergeCell ref="W363:X363"/>
    <mergeCell ref="H364:I364"/>
    <mergeCell ref="J364:K364"/>
    <mergeCell ref="L364:M364"/>
    <mergeCell ref="N364:O364"/>
    <mergeCell ref="Q364:R364"/>
    <mergeCell ref="S364:T364"/>
    <mergeCell ref="U364:V364"/>
    <mergeCell ref="W364:X364"/>
    <mergeCell ref="H361:I361"/>
    <mergeCell ref="J361:K361"/>
    <mergeCell ref="L361:M361"/>
    <mergeCell ref="N361:O361"/>
    <mergeCell ref="Q361:R361"/>
    <mergeCell ref="S361:T361"/>
    <mergeCell ref="U361:V361"/>
    <mergeCell ref="W361:X361"/>
    <mergeCell ref="H362:I362"/>
    <mergeCell ref="J362:K362"/>
    <mergeCell ref="L362:M362"/>
    <mergeCell ref="N362:O362"/>
    <mergeCell ref="Q362:R362"/>
    <mergeCell ref="S362:T362"/>
    <mergeCell ref="U362:V362"/>
    <mergeCell ref="W362:X362"/>
    <mergeCell ref="H360:I360"/>
    <mergeCell ref="J360:K360"/>
    <mergeCell ref="L360:M360"/>
    <mergeCell ref="N360:O360"/>
    <mergeCell ref="Q360:R360"/>
    <mergeCell ref="S360:T360"/>
    <mergeCell ref="U360:V360"/>
    <mergeCell ref="W360:X360"/>
    <mergeCell ref="D357:E357"/>
    <mergeCell ref="F357:G357"/>
    <mergeCell ref="H357:J357"/>
    <mergeCell ref="K357:L357"/>
    <mergeCell ref="M357:N357"/>
    <mergeCell ref="O357:AB357"/>
    <mergeCell ref="H358:I358"/>
    <mergeCell ref="J358:K358"/>
    <mergeCell ref="L358:M358"/>
    <mergeCell ref="N358:O358"/>
    <mergeCell ref="P358:P359"/>
    <mergeCell ref="Q358:R358"/>
    <mergeCell ref="S358:T358"/>
    <mergeCell ref="U358:V358"/>
    <mergeCell ref="W358:X358"/>
    <mergeCell ref="Y358:Y359"/>
    <mergeCell ref="Z358:AB358"/>
    <mergeCell ref="H359:I359"/>
    <mergeCell ref="J359:K359"/>
    <mergeCell ref="L359:M359"/>
    <mergeCell ref="N359:O359"/>
    <mergeCell ref="Q359:R359"/>
    <mergeCell ref="S359:T359"/>
    <mergeCell ref="U359:V359"/>
    <mergeCell ref="D356:E356"/>
    <mergeCell ref="F356:G356"/>
    <mergeCell ref="H356:J356"/>
    <mergeCell ref="K356:P356"/>
    <mergeCell ref="Q356:R356"/>
    <mergeCell ref="S356:X356"/>
    <mergeCell ref="Y356:Z356"/>
    <mergeCell ref="AA356:AB356"/>
    <mergeCell ref="H352:I352"/>
    <mergeCell ref="L352:O352"/>
    <mergeCell ref="P352:S352"/>
    <mergeCell ref="T352:U352"/>
    <mergeCell ref="V352:AB352"/>
    <mergeCell ref="H353:I353"/>
    <mergeCell ref="L353:O353"/>
    <mergeCell ref="P353:S353"/>
    <mergeCell ref="T353:U353"/>
    <mergeCell ref="W359:X359"/>
    <mergeCell ref="H349:I349"/>
    <mergeCell ref="L349:O349"/>
    <mergeCell ref="P349:S349"/>
    <mergeCell ref="T349:U349"/>
    <mergeCell ref="H350:I350"/>
    <mergeCell ref="L350:O350"/>
    <mergeCell ref="P350:S350"/>
    <mergeCell ref="T350:U350"/>
    <mergeCell ref="H351:I351"/>
    <mergeCell ref="L351:O351"/>
    <mergeCell ref="P351:S351"/>
    <mergeCell ref="T351:U351"/>
    <mergeCell ref="H346:I346"/>
    <mergeCell ref="L346:O346"/>
    <mergeCell ref="P346:S346"/>
    <mergeCell ref="T346:U346"/>
    <mergeCell ref="H347:I347"/>
    <mergeCell ref="L347:O347"/>
    <mergeCell ref="P347:S347"/>
    <mergeCell ref="T347:U347"/>
    <mergeCell ref="H348:I348"/>
    <mergeCell ref="L348:O348"/>
    <mergeCell ref="P348:S348"/>
    <mergeCell ref="T348:U348"/>
    <mergeCell ref="H354:I354"/>
    <mergeCell ref="L354:O354"/>
    <mergeCell ref="P354:S354"/>
    <mergeCell ref="T354:U354"/>
    <mergeCell ref="D355:J355"/>
    <mergeCell ref="K355:N355"/>
    <mergeCell ref="O355:AB355"/>
    <mergeCell ref="H343:I343"/>
    <mergeCell ref="J343:K343"/>
    <mergeCell ref="L343:M343"/>
    <mergeCell ref="N343:O343"/>
    <mergeCell ref="Q343:R343"/>
    <mergeCell ref="S343:T343"/>
    <mergeCell ref="U343:V343"/>
    <mergeCell ref="W343:X343"/>
    <mergeCell ref="D345:I345"/>
    <mergeCell ref="J345:U345"/>
    <mergeCell ref="V345:AB345"/>
    <mergeCell ref="H341:I341"/>
    <mergeCell ref="J341:K341"/>
    <mergeCell ref="L341:M341"/>
    <mergeCell ref="N341:O341"/>
    <mergeCell ref="Q341:R341"/>
    <mergeCell ref="S341:T341"/>
    <mergeCell ref="U341:V341"/>
    <mergeCell ref="W341:X341"/>
    <mergeCell ref="H342:I342"/>
    <mergeCell ref="J342:K342"/>
    <mergeCell ref="L342:M342"/>
    <mergeCell ref="N342:O342"/>
    <mergeCell ref="Q342:R342"/>
    <mergeCell ref="S342:T342"/>
    <mergeCell ref="U342:V342"/>
    <mergeCell ref="W342:X342"/>
    <mergeCell ref="H339:I339"/>
    <mergeCell ref="J339:K339"/>
    <mergeCell ref="L339:M339"/>
    <mergeCell ref="N339:O339"/>
    <mergeCell ref="Q339:R339"/>
    <mergeCell ref="S339:T339"/>
    <mergeCell ref="U339:V339"/>
    <mergeCell ref="W339:X339"/>
    <mergeCell ref="H340:I340"/>
    <mergeCell ref="J340:K340"/>
    <mergeCell ref="L340:M340"/>
    <mergeCell ref="N340:O340"/>
    <mergeCell ref="Q340:R340"/>
    <mergeCell ref="S340:T340"/>
    <mergeCell ref="U340:V340"/>
    <mergeCell ref="W340:X340"/>
    <mergeCell ref="H337:I337"/>
    <mergeCell ref="J337:K337"/>
    <mergeCell ref="L337:M337"/>
    <mergeCell ref="N337:O337"/>
    <mergeCell ref="Q337:R337"/>
    <mergeCell ref="S337:T337"/>
    <mergeCell ref="U337:V337"/>
    <mergeCell ref="W337:X337"/>
    <mergeCell ref="H338:I338"/>
    <mergeCell ref="J338:K338"/>
    <mergeCell ref="L338:M338"/>
    <mergeCell ref="N338:O338"/>
    <mergeCell ref="Q338:R338"/>
    <mergeCell ref="S338:T338"/>
    <mergeCell ref="U338:V338"/>
    <mergeCell ref="W338:X338"/>
    <mergeCell ref="H335:I335"/>
    <mergeCell ref="J335:K335"/>
    <mergeCell ref="L335:M335"/>
    <mergeCell ref="N335:O335"/>
    <mergeCell ref="Q335:R335"/>
    <mergeCell ref="S335:T335"/>
    <mergeCell ref="U335:V335"/>
    <mergeCell ref="W335:X335"/>
    <mergeCell ref="H336:I336"/>
    <mergeCell ref="J336:K336"/>
    <mergeCell ref="L336:M336"/>
    <mergeCell ref="N336:O336"/>
    <mergeCell ref="Q336:R336"/>
    <mergeCell ref="S336:T336"/>
    <mergeCell ref="U336:V336"/>
    <mergeCell ref="W336:X336"/>
    <mergeCell ref="H333:I333"/>
    <mergeCell ref="J333:K333"/>
    <mergeCell ref="L333:M333"/>
    <mergeCell ref="N333:O333"/>
    <mergeCell ref="Q333:R333"/>
    <mergeCell ref="S333:T333"/>
    <mergeCell ref="U333:V333"/>
    <mergeCell ref="W333:X333"/>
    <mergeCell ref="H334:I334"/>
    <mergeCell ref="J334:K334"/>
    <mergeCell ref="L334:M334"/>
    <mergeCell ref="N334:O334"/>
    <mergeCell ref="Q334:R334"/>
    <mergeCell ref="S334:T334"/>
    <mergeCell ref="U334:V334"/>
    <mergeCell ref="W334:X334"/>
    <mergeCell ref="H331:I331"/>
    <mergeCell ref="J331:K331"/>
    <mergeCell ref="L331:M331"/>
    <mergeCell ref="N331:O331"/>
    <mergeCell ref="Q331:R331"/>
    <mergeCell ref="S331:T331"/>
    <mergeCell ref="U331:V331"/>
    <mergeCell ref="W331:X331"/>
    <mergeCell ref="H332:I332"/>
    <mergeCell ref="J332:K332"/>
    <mergeCell ref="L332:M332"/>
    <mergeCell ref="N332:O332"/>
    <mergeCell ref="Q332:R332"/>
    <mergeCell ref="S332:T332"/>
    <mergeCell ref="U332:V332"/>
    <mergeCell ref="W332:X332"/>
    <mergeCell ref="H329:I329"/>
    <mergeCell ref="J329:K329"/>
    <mergeCell ref="L329:M329"/>
    <mergeCell ref="N329:O329"/>
    <mergeCell ref="Q329:R329"/>
    <mergeCell ref="S329:T329"/>
    <mergeCell ref="U329:V329"/>
    <mergeCell ref="W329:X329"/>
    <mergeCell ref="H330:I330"/>
    <mergeCell ref="J330:K330"/>
    <mergeCell ref="L330:M330"/>
    <mergeCell ref="N330:O330"/>
    <mergeCell ref="Q330:R330"/>
    <mergeCell ref="S330:T330"/>
    <mergeCell ref="U330:V330"/>
    <mergeCell ref="W330:X330"/>
    <mergeCell ref="H328:I328"/>
    <mergeCell ref="J328:K328"/>
    <mergeCell ref="L328:M328"/>
    <mergeCell ref="N328:O328"/>
    <mergeCell ref="Q328:R328"/>
    <mergeCell ref="S328:T328"/>
    <mergeCell ref="U328:V328"/>
    <mergeCell ref="W328:X328"/>
    <mergeCell ref="D325:E325"/>
    <mergeCell ref="F325:G325"/>
    <mergeCell ref="H325:J325"/>
    <mergeCell ref="K325:L325"/>
    <mergeCell ref="M325:N325"/>
    <mergeCell ref="O325:AB325"/>
    <mergeCell ref="H326:I326"/>
    <mergeCell ref="J326:K326"/>
    <mergeCell ref="L326:M326"/>
    <mergeCell ref="N326:O326"/>
    <mergeCell ref="P326:P327"/>
    <mergeCell ref="Q326:R326"/>
    <mergeCell ref="S326:T326"/>
    <mergeCell ref="U326:V326"/>
    <mergeCell ref="W326:X326"/>
    <mergeCell ref="Y326:Y327"/>
    <mergeCell ref="Z326:AB326"/>
    <mergeCell ref="H327:I327"/>
    <mergeCell ref="J327:K327"/>
    <mergeCell ref="L327:M327"/>
    <mergeCell ref="N327:O327"/>
    <mergeCell ref="Q327:R327"/>
    <mergeCell ref="S327:T327"/>
    <mergeCell ref="U327:V327"/>
    <mergeCell ref="D324:E324"/>
    <mergeCell ref="F324:G324"/>
    <mergeCell ref="H324:J324"/>
    <mergeCell ref="K324:P324"/>
    <mergeCell ref="Q324:R324"/>
    <mergeCell ref="S324:X324"/>
    <mergeCell ref="Y324:Z324"/>
    <mergeCell ref="AA324:AB324"/>
    <mergeCell ref="H320:I320"/>
    <mergeCell ref="L320:O320"/>
    <mergeCell ref="P320:S320"/>
    <mergeCell ref="T320:U320"/>
    <mergeCell ref="V320:AB320"/>
    <mergeCell ref="H321:I321"/>
    <mergeCell ref="L321:O321"/>
    <mergeCell ref="P321:S321"/>
    <mergeCell ref="T321:U321"/>
    <mergeCell ref="W327:X327"/>
    <mergeCell ref="H317:I317"/>
    <mergeCell ref="L317:O317"/>
    <mergeCell ref="P317:S317"/>
    <mergeCell ref="T317:U317"/>
    <mergeCell ref="H318:I318"/>
    <mergeCell ref="L318:O318"/>
    <mergeCell ref="P318:S318"/>
    <mergeCell ref="T318:U318"/>
    <mergeCell ref="H319:I319"/>
    <mergeCell ref="L319:O319"/>
    <mergeCell ref="P319:S319"/>
    <mergeCell ref="T319:U319"/>
    <mergeCell ref="H314:I314"/>
    <mergeCell ref="L314:O314"/>
    <mergeCell ref="P314:S314"/>
    <mergeCell ref="T314:U314"/>
    <mergeCell ref="H315:I315"/>
    <mergeCell ref="L315:O315"/>
    <mergeCell ref="P315:S315"/>
    <mergeCell ref="T315:U315"/>
    <mergeCell ref="H316:I316"/>
    <mergeCell ref="L316:O316"/>
    <mergeCell ref="P316:S316"/>
    <mergeCell ref="T316:U316"/>
    <mergeCell ref="H322:I322"/>
    <mergeCell ref="L322:O322"/>
    <mergeCell ref="P322:S322"/>
    <mergeCell ref="T322:U322"/>
    <mergeCell ref="D323:J323"/>
    <mergeCell ref="K323:N323"/>
    <mergeCell ref="O323:AB323"/>
    <mergeCell ref="H311:I311"/>
    <mergeCell ref="J311:K311"/>
    <mergeCell ref="L311:M311"/>
    <mergeCell ref="N311:O311"/>
    <mergeCell ref="Q311:R311"/>
    <mergeCell ref="S311:T311"/>
    <mergeCell ref="U311:V311"/>
    <mergeCell ref="W311:X311"/>
    <mergeCell ref="D313:I313"/>
    <mergeCell ref="J313:U313"/>
    <mergeCell ref="V313:AB313"/>
    <mergeCell ref="H309:I309"/>
    <mergeCell ref="J309:K309"/>
    <mergeCell ref="L309:M309"/>
    <mergeCell ref="N309:O309"/>
    <mergeCell ref="Q309:R309"/>
    <mergeCell ref="S309:T309"/>
    <mergeCell ref="U309:V309"/>
    <mergeCell ref="W309:X309"/>
    <mergeCell ref="H310:I310"/>
    <mergeCell ref="J310:K310"/>
    <mergeCell ref="L310:M310"/>
    <mergeCell ref="N310:O310"/>
    <mergeCell ref="Q310:R310"/>
    <mergeCell ref="S310:T310"/>
    <mergeCell ref="U310:V310"/>
    <mergeCell ref="W310:X310"/>
    <mergeCell ref="H307:I307"/>
    <mergeCell ref="J307:K307"/>
    <mergeCell ref="L307:M307"/>
    <mergeCell ref="N307:O307"/>
    <mergeCell ref="Q307:R307"/>
    <mergeCell ref="S307:T307"/>
    <mergeCell ref="U307:V307"/>
    <mergeCell ref="W307:X307"/>
    <mergeCell ref="H308:I308"/>
    <mergeCell ref="J308:K308"/>
    <mergeCell ref="L308:M308"/>
    <mergeCell ref="N308:O308"/>
    <mergeCell ref="Q308:R308"/>
    <mergeCell ref="S308:T308"/>
    <mergeCell ref="U308:V308"/>
    <mergeCell ref="W308:X308"/>
    <mergeCell ref="H305:I305"/>
    <mergeCell ref="J305:K305"/>
    <mergeCell ref="L305:M305"/>
    <mergeCell ref="N305:O305"/>
    <mergeCell ref="Q305:R305"/>
    <mergeCell ref="S305:T305"/>
    <mergeCell ref="U305:V305"/>
    <mergeCell ref="W305:X305"/>
    <mergeCell ref="H306:I306"/>
    <mergeCell ref="J306:K306"/>
    <mergeCell ref="L306:M306"/>
    <mergeCell ref="N306:O306"/>
    <mergeCell ref="Q306:R306"/>
    <mergeCell ref="S306:T306"/>
    <mergeCell ref="U306:V306"/>
    <mergeCell ref="W306:X306"/>
    <mergeCell ref="H303:I303"/>
    <mergeCell ref="J303:K303"/>
    <mergeCell ref="L303:M303"/>
    <mergeCell ref="N303:O303"/>
    <mergeCell ref="Q303:R303"/>
    <mergeCell ref="S303:T303"/>
    <mergeCell ref="U303:V303"/>
    <mergeCell ref="W303:X303"/>
    <mergeCell ref="H304:I304"/>
    <mergeCell ref="J304:K304"/>
    <mergeCell ref="L304:M304"/>
    <mergeCell ref="N304:O304"/>
    <mergeCell ref="Q304:R304"/>
    <mergeCell ref="S304:T304"/>
    <mergeCell ref="U304:V304"/>
    <mergeCell ref="W304:X304"/>
    <mergeCell ref="H301:I301"/>
    <mergeCell ref="J301:K301"/>
    <mergeCell ref="L301:M301"/>
    <mergeCell ref="N301:O301"/>
    <mergeCell ref="Q301:R301"/>
    <mergeCell ref="S301:T301"/>
    <mergeCell ref="U301:V301"/>
    <mergeCell ref="W301:X301"/>
    <mergeCell ref="H302:I302"/>
    <mergeCell ref="J302:K302"/>
    <mergeCell ref="L302:M302"/>
    <mergeCell ref="N302:O302"/>
    <mergeCell ref="Q302:R302"/>
    <mergeCell ref="S302:T302"/>
    <mergeCell ref="U302:V302"/>
    <mergeCell ref="W302:X302"/>
    <mergeCell ref="H299:I299"/>
    <mergeCell ref="J299:K299"/>
    <mergeCell ref="L299:M299"/>
    <mergeCell ref="N299:O299"/>
    <mergeCell ref="Q299:R299"/>
    <mergeCell ref="S299:T299"/>
    <mergeCell ref="U299:V299"/>
    <mergeCell ref="W299:X299"/>
    <mergeCell ref="H300:I300"/>
    <mergeCell ref="J300:K300"/>
    <mergeCell ref="L300:M300"/>
    <mergeCell ref="N300:O300"/>
    <mergeCell ref="Q300:R300"/>
    <mergeCell ref="S300:T300"/>
    <mergeCell ref="U300:V300"/>
    <mergeCell ref="W300:X300"/>
    <mergeCell ref="H297:I297"/>
    <mergeCell ref="J297:K297"/>
    <mergeCell ref="L297:M297"/>
    <mergeCell ref="N297:O297"/>
    <mergeCell ref="Q297:R297"/>
    <mergeCell ref="S297:T297"/>
    <mergeCell ref="U297:V297"/>
    <mergeCell ref="W297:X297"/>
    <mergeCell ref="H298:I298"/>
    <mergeCell ref="J298:K298"/>
    <mergeCell ref="L298:M298"/>
    <mergeCell ref="N298:O298"/>
    <mergeCell ref="Q298:R298"/>
    <mergeCell ref="S298:T298"/>
    <mergeCell ref="U298:V298"/>
    <mergeCell ref="W298:X298"/>
    <mergeCell ref="H296:I296"/>
    <mergeCell ref="J296:K296"/>
    <mergeCell ref="L296:M296"/>
    <mergeCell ref="N296:O296"/>
    <mergeCell ref="Q296:R296"/>
    <mergeCell ref="S296:T296"/>
    <mergeCell ref="U296:V296"/>
    <mergeCell ref="W296:X296"/>
    <mergeCell ref="D293:E293"/>
    <mergeCell ref="F293:G293"/>
    <mergeCell ref="H293:J293"/>
    <mergeCell ref="K293:L293"/>
    <mergeCell ref="M293:N293"/>
    <mergeCell ref="O293:AB293"/>
    <mergeCell ref="H294:I294"/>
    <mergeCell ref="J294:K294"/>
    <mergeCell ref="L294:M294"/>
    <mergeCell ref="N294:O294"/>
    <mergeCell ref="P294:P295"/>
    <mergeCell ref="Q294:R294"/>
    <mergeCell ref="S294:T294"/>
    <mergeCell ref="U294:V294"/>
    <mergeCell ref="W294:X294"/>
    <mergeCell ref="Y294:Y295"/>
    <mergeCell ref="Z294:AB294"/>
    <mergeCell ref="H295:I295"/>
    <mergeCell ref="J295:K295"/>
    <mergeCell ref="L295:M295"/>
    <mergeCell ref="N295:O295"/>
    <mergeCell ref="Q295:R295"/>
    <mergeCell ref="S295:T295"/>
    <mergeCell ref="U295:V295"/>
    <mergeCell ref="D292:E292"/>
    <mergeCell ref="F292:G292"/>
    <mergeCell ref="H292:J292"/>
    <mergeCell ref="K292:P292"/>
    <mergeCell ref="Q292:R292"/>
    <mergeCell ref="S292:X292"/>
    <mergeCell ref="Y292:Z292"/>
    <mergeCell ref="AA292:AB292"/>
    <mergeCell ref="H288:I288"/>
    <mergeCell ref="L288:O288"/>
    <mergeCell ref="P288:S288"/>
    <mergeCell ref="T288:U288"/>
    <mergeCell ref="V288:AB288"/>
    <mergeCell ref="H289:I289"/>
    <mergeCell ref="L289:O289"/>
    <mergeCell ref="P289:S289"/>
    <mergeCell ref="T289:U289"/>
    <mergeCell ref="W295:X295"/>
    <mergeCell ref="H285:I285"/>
    <mergeCell ref="L285:O285"/>
    <mergeCell ref="P285:S285"/>
    <mergeCell ref="T285:U285"/>
    <mergeCell ref="H286:I286"/>
    <mergeCell ref="L286:O286"/>
    <mergeCell ref="P286:S286"/>
    <mergeCell ref="T286:U286"/>
    <mergeCell ref="H287:I287"/>
    <mergeCell ref="L287:O287"/>
    <mergeCell ref="P287:S287"/>
    <mergeCell ref="T287:U287"/>
    <mergeCell ref="H282:I282"/>
    <mergeCell ref="L282:O282"/>
    <mergeCell ref="P282:S282"/>
    <mergeCell ref="T282:U282"/>
    <mergeCell ref="H283:I283"/>
    <mergeCell ref="L283:O283"/>
    <mergeCell ref="P283:S283"/>
    <mergeCell ref="T283:U283"/>
    <mergeCell ref="H284:I284"/>
    <mergeCell ref="L284:O284"/>
    <mergeCell ref="P284:S284"/>
    <mergeCell ref="T284:U284"/>
    <mergeCell ref="H290:I290"/>
    <mergeCell ref="L290:O290"/>
    <mergeCell ref="P290:S290"/>
    <mergeCell ref="T290:U290"/>
    <mergeCell ref="D291:J291"/>
    <mergeCell ref="K291:N291"/>
    <mergeCell ref="O291:AB291"/>
    <mergeCell ref="H279:I279"/>
    <mergeCell ref="J279:K279"/>
    <mergeCell ref="L279:M279"/>
    <mergeCell ref="N279:O279"/>
    <mergeCell ref="Q279:R279"/>
    <mergeCell ref="S279:T279"/>
    <mergeCell ref="U279:V279"/>
    <mergeCell ref="W279:X279"/>
    <mergeCell ref="D281:I281"/>
    <mergeCell ref="J281:U281"/>
    <mergeCell ref="V281:AB281"/>
    <mergeCell ref="H277:I277"/>
    <mergeCell ref="J277:K277"/>
    <mergeCell ref="L277:M277"/>
    <mergeCell ref="N277:O277"/>
    <mergeCell ref="Q277:R277"/>
    <mergeCell ref="S277:T277"/>
    <mergeCell ref="U277:V277"/>
    <mergeCell ref="W277:X277"/>
    <mergeCell ref="H278:I278"/>
    <mergeCell ref="J278:K278"/>
    <mergeCell ref="L278:M278"/>
    <mergeCell ref="N278:O278"/>
    <mergeCell ref="Q278:R278"/>
    <mergeCell ref="S278:T278"/>
    <mergeCell ref="U278:V278"/>
    <mergeCell ref="W278:X278"/>
    <mergeCell ref="H275:I275"/>
    <mergeCell ref="J275:K275"/>
    <mergeCell ref="L275:M275"/>
    <mergeCell ref="N275:O275"/>
    <mergeCell ref="Q275:R275"/>
    <mergeCell ref="S275:T275"/>
    <mergeCell ref="U275:V275"/>
    <mergeCell ref="W275:X275"/>
    <mergeCell ref="H276:I276"/>
    <mergeCell ref="J276:K276"/>
    <mergeCell ref="L276:M276"/>
    <mergeCell ref="N276:O276"/>
    <mergeCell ref="Q276:R276"/>
    <mergeCell ref="S276:T276"/>
    <mergeCell ref="U276:V276"/>
    <mergeCell ref="W276:X276"/>
    <mergeCell ref="H273:I273"/>
    <mergeCell ref="J273:K273"/>
    <mergeCell ref="L273:M273"/>
    <mergeCell ref="N273:O273"/>
    <mergeCell ref="Q273:R273"/>
    <mergeCell ref="S273:T273"/>
    <mergeCell ref="U273:V273"/>
    <mergeCell ref="W273:X273"/>
    <mergeCell ref="H274:I274"/>
    <mergeCell ref="J274:K274"/>
    <mergeCell ref="L274:M274"/>
    <mergeCell ref="N274:O274"/>
    <mergeCell ref="Q274:R274"/>
    <mergeCell ref="S274:T274"/>
    <mergeCell ref="U274:V274"/>
    <mergeCell ref="W274:X274"/>
    <mergeCell ref="H271:I271"/>
    <mergeCell ref="J271:K271"/>
    <mergeCell ref="L271:M271"/>
    <mergeCell ref="N271:O271"/>
    <mergeCell ref="Q271:R271"/>
    <mergeCell ref="S271:T271"/>
    <mergeCell ref="U271:V271"/>
    <mergeCell ref="W271:X271"/>
    <mergeCell ref="H272:I272"/>
    <mergeCell ref="J272:K272"/>
    <mergeCell ref="L272:M272"/>
    <mergeCell ref="N272:O272"/>
    <mergeCell ref="Q272:R272"/>
    <mergeCell ref="S272:T272"/>
    <mergeCell ref="U272:V272"/>
    <mergeCell ref="W272:X272"/>
    <mergeCell ref="H269:I269"/>
    <mergeCell ref="J269:K269"/>
    <mergeCell ref="L269:M269"/>
    <mergeCell ref="N269:O269"/>
    <mergeCell ref="Q269:R269"/>
    <mergeCell ref="S269:T269"/>
    <mergeCell ref="U269:V269"/>
    <mergeCell ref="W269:X269"/>
    <mergeCell ref="H270:I270"/>
    <mergeCell ref="J270:K270"/>
    <mergeCell ref="L270:M270"/>
    <mergeCell ref="N270:O270"/>
    <mergeCell ref="Q270:R270"/>
    <mergeCell ref="S270:T270"/>
    <mergeCell ref="U270:V270"/>
    <mergeCell ref="W270:X270"/>
    <mergeCell ref="H267:I267"/>
    <mergeCell ref="J267:K267"/>
    <mergeCell ref="L267:M267"/>
    <mergeCell ref="N267:O267"/>
    <mergeCell ref="Q267:R267"/>
    <mergeCell ref="S267:T267"/>
    <mergeCell ref="U267:V267"/>
    <mergeCell ref="W267:X267"/>
    <mergeCell ref="H268:I268"/>
    <mergeCell ref="J268:K268"/>
    <mergeCell ref="L268:M268"/>
    <mergeCell ref="N268:O268"/>
    <mergeCell ref="Q268:R268"/>
    <mergeCell ref="S268:T268"/>
    <mergeCell ref="U268:V268"/>
    <mergeCell ref="W268:X268"/>
    <mergeCell ref="H265:I265"/>
    <mergeCell ref="J265:K265"/>
    <mergeCell ref="L265:M265"/>
    <mergeCell ref="N265:O265"/>
    <mergeCell ref="Q265:R265"/>
    <mergeCell ref="S265:T265"/>
    <mergeCell ref="U265:V265"/>
    <mergeCell ref="W265:X265"/>
    <mergeCell ref="H266:I266"/>
    <mergeCell ref="J266:K266"/>
    <mergeCell ref="L266:M266"/>
    <mergeCell ref="N266:O266"/>
    <mergeCell ref="Q266:R266"/>
    <mergeCell ref="S266:T266"/>
    <mergeCell ref="U266:V266"/>
    <mergeCell ref="W266:X266"/>
    <mergeCell ref="H264:I264"/>
    <mergeCell ref="J264:K264"/>
    <mergeCell ref="L264:M264"/>
    <mergeCell ref="N264:O264"/>
    <mergeCell ref="Q264:R264"/>
    <mergeCell ref="S264:T264"/>
    <mergeCell ref="U264:V264"/>
    <mergeCell ref="W264:X264"/>
    <mergeCell ref="D261:E261"/>
    <mergeCell ref="F261:G261"/>
    <mergeCell ref="H261:J261"/>
    <mergeCell ref="K261:L261"/>
    <mergeCell ref="M261:N261"/>
    <mergeCell ref="O261:AB261"/>
    <mergeCell ref="H262:I262"/>
    <mergeCell ref="J262:K262"/>
    <mergeCell ref="L262:M262"/>
    <mergeCell ref="N262:O262"/>
    <mergeCell ref="P262:P263"/>
    <mergeCell ref="Q262:R262"/>
    <mergeCell ref="S262:T262"/>
    <mergeCell ref="U262:V262"/>
    <mergeCell ref="W262:X262"/>
    <mergeCell ref="Y262:Y263"/>
    <mergeCell ref="Z262:AB262"/>
    <mergeCell ref="H263:I263"/>
    <mergeCell ref="J263:K263"/>
    <mergeCell ref="L263:M263"/>
    <mergeCell ref="N263:O263"/>
    <mergeCell ref="Q263:R263"/>
    <mergeCell ref="S263:T263"/>
    <mergeCell ref="U263:V263"/>
    <mergeCell ref="D260:E260"/>
    <mergeCell ref="F260:G260"/>
    <mergeCell ref="H260:J260"/>
    <mergeCell ref="K260:P260"/>
    <mergeCell ref="Q260:R260"/>
    <mergeCell ref="S260:X260"/>
    <mergeCell ref="Y260:Z260"/>
    <mergeCell ref="AA260:AB260"/>
    <mergeCell ref="H256:I256"/>
    <mergeCell ref="L256:O256"/>
    <mergeCell ref="P256:S256"/>
    <mergeCell ref="T256:U256"/>
    <mergeCell ref="V256:AB256"/>
    <mergeCell ref="H257:I257"/>
    <mergeCell ref="L257:O257"/>
    <mergeCell ref="P257:S257"/>
    <mergeCell ref="T257:U257"/>
    <mergeCell ref="W263:X263"/>
    <mergeCell ref="H253:I253"/>
    <mergeCell ref="L253:O253"/>
    <mergeCell ref="P253:S253"/>
    <mergeCell ref="T253:U253"/>
    <mergeCell ref="H254:I254"/>
    <mergeCell ref="L254:O254"/>
    <mergeCell ref="P254:S254"/>
    <mergeCell ref="T254:U254"/>
    <mergeCell ref="H255:I255"/>
    <mergeCell ref="L255:O255"/>
    <mergeCell ref="P255:S255"/>
    <mergeCell ref="T255:U255"/>
    <mergeCell ref="H250:I250"/>
    <mergeCell ref="L250:O250"/>
    <mergeCell ref="P250:S250"/>
    <mergeCell ref="T250:U250"/>
    <mergeCell ref="H251:I251"/>
    <mergeCell ref="L251:O251"/>
    <mergeCell ref="P251:S251"/>
    <mergeCell ref="T251:U251"/>
    <mergeCell ref="H252:I252"/>
    <mergeCell ref="L252:O252"/>
    <mergeCell ref="P252:S252"/>
    <mergeCell ref="T252:U252"/>
    <mergeCell ref="H258:I258"/>
    <mergeCell ref="L258:O258"/>
    <mergeCell ref="P258:S258"/>
    <mergeCell ref="T258:U258"/>
    <mergeCell ref="D259:J259"/>
    <mergeCell ref="K259:N259"/>
    <mergeCell ref="O259:AB259"/>
    <mergeCell ref="H247:I247"/>
    <mergeCell ref="J247:K247"/>
    <mergeCell ref="L247:M247"/>
    <mergeCell ref="N247:O247"/>
    <mergeCell ref="Q247:R247"/>
    <mergeCell ref="S247:T247"/>
    <mergeCell ref="U247:V247"/>
    <mergeCell ref="W247:X247"/>
    <mergeCell ref="D249:I249"/>
    <mergeCell ref="J249:U249"/>
    <mergeCell ref="V249:AB249"/>
    <mergeCell ref="H245:I245"/>
    <mergeCell ref="J245:K245"/>
    <mergeCell ref="L245:M245"/>
    <mergeCell ref="N245:O245"/>
    <mergeCell ref="Q245:R245"/>
    <mergeCell ref="S245:T245"/>
    <mergeCell ref="U245:V245"/>
    <mergeCell ref="W245:X245"/>
    <mergeCell ref="H246:I246"/>
    <mergeCell ref="J246:K246"/>
    <mergeCell ref="L246:M246"/>
    <mergeCell ref="N246:O246"/>
    <mergeCell ref="Q246:R246"/>
    <mergeCell ref="S246:T246"/>
    <mergeCell ref="U246:V246"/>
    <mergeCell ref="W246:X246"/>
    <mergeCell ref="H243:I243"/>
    <mergeCell ref="J243:K243"/>
    <mergeCell ref="L243:M243"/>
    <mergeCell ref="N243:O243"/>
    <mergeCell ref="Q243:R243"/>
    <mergeCell ref="S243:T243"/>
    <mergeCell ref="U243:V243"/>
    <mergeCell ref="W243:X243"/>
    <mergeCell ref="H244:I244"/>
    <mergeCell ref="J244:K244"/>
    <mergeCell ref="L244:M244"/>
    <mergeCell ref="N244:O244"/>
    <mergeCell ref="Q244:R244"/>
    <mergeCell ref="S244:T244"/>
    <mergeCell ref="U244:V244"/>
    <mergeCell ref="W244:X244"/>
    <mergeCell ref="H241:I241"/>
    <mergeCell ref="J241:K241"/>
    <mergeCell ref="L241:M241"/>
    <mergeCell ref="N241:O241"/>
    <mergeCell ref="Q241:R241"/>
    <mergeCell ref="S241:T241"/>
    <mergeCell ref="U241:V241"/>
    <mergeCell ref="W241:X241"/>
    <mergeCell ref="H242:I242"/>
    <mergeCell ref="J242:K242"/>
    <mergeCell ref="L242:M242"/>
    <mergeCell ref="N242:O242"/>
    <mergeCell ref="Q242:R242"/>
    <mergeCell ref="S242:T242"/>
    <mergeCell ref="U242:V242"/>
    <mergeCell ref="W242:X242"/>
    <mergeCell ref="H239:I239"/>
    <mergeCell ref="J239:K239"/>
    <mergeCell ref="L239:M239"/>
    <mergeCell ref="N239:O239"/>
    <mergeCell ref="Q239:R239"/>
    <mergeCell ref="S239:T239"/>
    <mergeCell ref="U239:V239"/>
    <mergeCell ref="W239:X239"/>
    <mergeCell ref="H240:I240"/>
    <mergeCell ref="J240:K240"/>
    <mergeCell ref="L240:M240"/>
    <mergeCell ref="N240:O240"/>
    <mergeCell ref="Q240:R240"/>
    <mergeCell ref="S240:T240"/>
    <mergeCell ref="U240:V240"/>
    <mergeCell ref="W240:X240"/>
    <mergeCell ref="H237:I237"/>
    <mergeCell ref="J237:K237"/>
    <mergeCell ref="L237:M237"/>
    <mergeCell ref="N237:O237"/>
    <mergeCell ref="Q237:R237"/>
    <mergeCell ref="S237:T237"/>
    <mergeCell ref="U237:V237"/>
    <mergeCell ref="W237:X237"/>
    <mergeCell ref="H238:I238"/>
    <mergeCell ref="J238:K238"/>
    <mergeCell ref="L238:M238"/>
    <mergeCell ref="N238:O238"/>
    <mergeCell ref="Q238:R238"/>
    <mergeCell ref="S238:T238"/>
    <mergeCell ref="U238:V238"/>
    <mergeCell ref="W238:X238"/>
    <mergeCell ref="H235:I235"/>
    <mergeCell ref="J235:K235"/>
    <mergeCell ref="L235:M235"/>
    <mergeCell ref="N235:O235"/>
    <mergeCell ref="Q235:R235"/>
    <mergeCell ref="S235:T235"/>
    <mergeCell ref="U235:V235"/>
    <mergeCell ref="W235:X235"/>
    <mergeCell ref="H236:I236"/>
    <mergeCell ref="J236:K236"/>
    <mergeCell ref="L236:M236"/>
    <mergeCell ref="N236:O236"/>
    <mergeCell ref="Q236:R236"/>
    <mergeCell ref="S236:T236"/>
    <mergeCell ref="U236:V236"/>
    <mergeCell ref="W236:X236"/>
    <mergeCell ref="H233:I233"/>
    <mergeCell ref="J233:K233"/>
    <mergeCell ref="L233:M233"/>
    <mergeCell ref="N233:O233"/>
    <mergeCell ref="Q233:R233"/>
    <mergeCell ref="S233:T233"/>
    <mergeCell ref="U233:V233"/>
    <mergeCell ref="W233:X233"/>
    <mergeCell ref="H234:I234"/>
    <mergeCell ref="J234:K234"/>
    <mergeCell ref="L234:M234"/>
    <mergeCell ref="N234:O234"/>
    <mergeCell ref="Q234:R234"/>
    <mergeCell ref="S234:T234"/>
    <mergeCell ref="U234:V234"/>
    <mergeCell ref="W234:X234"/>
    <mergeCell ref="H232:I232"/>
    <mergeCell ref="J232:K232"/>
    <mergeCell ref="L232:M232"/>
    <mergeCell ref="N232:O232"/>
    <mergeCell ref="Q232:R232"/>
    <mergeCell ref="S232:T232"/>
    <mergeCell ref="U232:V232"/>
    <mergeCell ref="W232:X232"/>
    <mergeCell ref="D229:E229"/>
    <mergeCell ref="F229:G229"/>
    <mergeCell ref="H229:J229"/>
    <mergeCell ref="K229:L229"/>
    <mergeCell ref="M229:N229"/>
    <mergeCell ref="O229:AB229"/>
    <mergeCell ref="H230:I230"/>
    <mergeCell ref="J230:K230"/>
    <mergeCell ref="L230:M230"/>
    <mergeCell ref="N230:O230"/>
    <mergeCell ref="P230:P231"/>
    <mergeCell ref="Q230:R230"/>
    <mergeCell ref="S230:T230"/>
    <mergeCell ref="U230:V230"/>
    <mergeCell ref="W230:X230"/>
    <mergeCell ref="Y230:Y231"/>
    <mergeCell ref="Z230:AB230"/>
    <mergeCell ref="H231:I231"/>
    <mergeCell ref="J231:K231"/>
    <mergeCell ref="L231:M231"/>
    <mergeCell ref="N231:O231"/>
    <mergeCell ref="Q231:R231"/>
    <mergeCell ref="S231:T231"/>
    <mergeCell ref="U231:V231"/>
    <mergeCell ref="D228:E228"/>
    <mergeCell ref="F228:G228"/>
    <mergeCell ref="H228:J228"/>
    <mergeCell ref="K228:P228"/>
    <mergeCell ref="Q228:R228"/>
    <mergeCell ref="S228:X228"/>
    <mergeCell ref="Y228:Z228"/>
    <mergeCell ref="AA228:AB228"/>
    <mergeCell ref="H224:I224"/>
    <mergeCell ref="L224:O224"/>
    <mergeCell ref="P224:S224"/>
    <mergeCell ref="T224:U224"/>
    <mergeCell ref="V224:AB224"/>
    <mergeCell ref="H225:I225"/>
    <mergeCell ref="L225:O225"/>
    <mergeCell ref="P225:S225"/>
    <mergeCell ref="T225:U225"/>
    <mergeCell ref="W231:X231"/>
    <mergeCell ref="H221:I221"/>
    <mergeCell ref="L221:O221"/>
    <mergeCell ref="P221:S221"/>
    <mergeCell ref="T221:U221"/>
    <mergeCell ref="H222:I222"/>
    <mergeCell ref="L222:O222"/>
    <mergeCell ref="P222:S222"/>
    <mergeCell ref="T222:U222"/>
    <mergeCell ref="H223:I223"/>
    <mergeCell ref="L223:O223"/>
    <mergeCell ref="P223:S223"/>
    <mergeCell ref="T223:U223"/>
    <mergeCell ref="H218:I218"/>
    <mergeCell ref="L218:O218"/>
    <mergeCell ref="P218:S218"/>
    <mergeCell ref="T218:U218"/>
    <mergeCell ref="H219:I219"/>
    <mergeCell ref="L219:O219"/>
    <mergeCell ref="P219:S219"/>
    <mergeCell ref="T219:U219"/>
    <mergeCell ref="H220:I220"/>
    <mergeCell ref="L220:O220"/>
    <mergeCell ref="P220:S220"/>
    <mergeCell ref="T220:U220"/>
    <mergeCell ref="H226:I226"/>
    <mergeCell ref="L226:O226"/>
    <mergeCell ref="P226:S226"/>
    <mergeCell ref="T226:U226"/>
    <mergeCell ref="D227:J227"/>
    <mergeCell ref="K227:N227"/>
    <mergeCell ref="O227:AB227"/>
    <mergeCell ref="H215:I215"/>
    <mergeCell ref="J215:K215"/>
    <mergeCell ref="L215:M215"/>
    <mergeCell ref="N215:O215"/>
    <mergeCell ref="Q215:R215"/>
    <mergeCell ref="S215:T215"/>
    <mergeCell ref="U215:V215"/>
    <mergeCell ref="W215:X215"/>
    <mergeCell ref="D217:I217"/>
    <mergeCell ref="J217:U217"/>
    <mergeCell ref="V217:AB217"/>
    <mergeCell ref="H213:I213"/>
    <mergeCell ref="J213:K213"/>
    <mergeCell ref="L213:M213"/>
    <mergeCell ref="N213:O213"/>
    <mergeCell ref="Q213:R213"/>
    <mergeCell ref="S213:T213"/>
    <mergeCell ref="U213:V213"/>
    <mergeCell ref="W213:X213"/>
    <mergeCell ref="H214:I214"/>
    <mergeCell ref="J214:K214"/>
    <mergeCell ref="L214:M214"/>
    <mergeCell ref="N214:O214"/>
    <mergeCell ref="Q214:R214"/>
    <mergeCell ref="S214:T214"/>
    <mergeCell ref="U214:V214"/>
    <mergeCell ref="W214:X214"/>
    <mergeCell ref="H211:I211"/>
    <mergeCell ref="J211:K211"/>
    <mergeCell ref="L211:M211"/>
    <mergeCell ref="N211:O211"/>
    <mergeCell ref="Q211:R211"/>
    <mergeCell ref="S211:T211"/>
    <mergeCell ref="U211:V211"/>
    <mergeCell ref="W211:X211"/>
    <mergeCell ref="H212:I212"/>
    <mergeCell ref="J212:K212"/>
    <mergeCell ref="L212:M212"/>
    <mergeCell ref="N212:O212"/>
    <mergeCell ref="Q212:R212"/>
    <mergeCell ref="S212:T212"/>
    <mergeCell ref="U212:V212"/>
    <mergeCell ref="W212:X212"/>
    <mergeCell ref="H209:I209"/>
    <mergeCell ref="J209:K209"/>
    <mergeCell ref="L209:M209"/>
    <mergeCell ref="N209:O209"/>
    <mergeCell ref="Q209:R209"/>
    <mergeCell ref="S209:T209"/>
    <mergeCell ref="U209:V209"/>
    <mergeCell ref="W209:X209"/>
    <mergeCell ref="H210:I210"/>
    <mergeCell ref="J210:K210"/>
    <mergeCell ref="L210:M210"/>
    <mergeCell ref="N210:O210"/>
    <mergeCell ref="Q210:R210"/>
    <mergeCell ref="S210:T210"/>
    <mergeCell ref="U210:V210"/>
    <mergeCell ref="W210:X210"/>
    <mergeCell ref="H207:I207"/>
    <mergeCell ref="J207:K207"/>
    <mergeCell ref="L207:M207"/>
    <mergeCell ref="N207:O207"/>
    <mergeCell ref="Q207:R207"/>
    <mergeCell ref="S207:T207"/>
    <mergeCell ref="U207:V207"/>
    <mergeCell ref="W207:X207"/>
    <mergeCell ref="H208:I208"/>
    <mergeCell ref="J208:K208"/>
    <mergeCell ref="L208:M208"/>
    <mergeCell ref="N208:O208"/>
    <mergeCell ref="Q208:R208"/>
    <mergeCell ref="S208:T208"/>
    <mergeCell ref="U208:V208"/>
    <mergeCell ref="W208:X208"/>
    <mergeCell ref="H205:I205"/>
    <mergeCell ref="J205:K205"/>
    <mergeCell ref="L205:M205"/>
    <mergeCell ref="N205:O205"/>
    <mergeCell ref="Q205:R205"/>
    <mergeCell ref="S205:T205"/>
    <mergeCell ref="U205:V205"/>
    <mergeCell ref="W205:X205"/>
    <mergeCell ref="H206:I206"/>
    <mergeCell ref="J206:K206"/>
    <mergeCell ref="L206:M206"/>
    <mergeCell ref="N206:O206"/>
    <mergeCell ref="Q206:R206"/>
    <mergeCell ref="S206:T206"/>
    <mergeCell ref="U206:V206"/>
    <mergeCell ref="W206:X206"/>
    <mergeCell ref="H203:I203"/>
    <mergeCell ref="J203:K203"/>
    <mergeCell ref="L203:M203"/>
    <mergeCell ref="N203:O203"/>
    <mergeCell ref="Q203:R203"/>
    <mergeCell ref="S203:T203"/>
    <mergeCell ref="U203:V203"/>
    <mergeCell ref="W203:X203"/>
    <mergeCell ref="H204:I204"/>
    <mergeCell ref="J204:K204"/>
    <mergeCell ref="L204:M204"/>
    <mergeCell ref="N204:O204"/>
    <mergeCell ref="Q204:R204"/>
    <mergeCell ref="S204:T204"/>
    <mergeCell ref="U204:V204"/>
    <mergeCell ref="W204:X204"/>
    <mergeCell ref="H201:I201"/>
    <mergeCell ref="J201:K201"/>
    <mergeCell ref="L201:M201"/>
    <mergeCell ref="N201:O201"/>
    <mergeCell ref="Q201:R201"/>
    <mergeCell ref="S201:T201"/>
    <mergeCell ref="U201:V201"/>
    <mergeCell ref="W201:X201"/>
    <mergeCell ref="H202:I202"/>
    <mergeCell ref="J202:K202"/>
    <mergeCell ref="L202:M202"/>
    <mergeCell ref="N202:O202"/>
    <mergeCell ref="Q202:R202"/>
    <mergeCell ref="S202:T202"/>
    <mergeCell ref="U202:V202"/>
    <mergeCell ref="W202:X202"/>
    <mergeCell ref="H200:I200"/>
    <mergeCell ref="J200:K200"/>
    <mergeCell ref="L200:M200"/>
    <mergeCell ref="N200:O200"/>
    <mergeCell ref="Q200:R200"/>
    <mergeCell ref="S200:T200"/>
    <mergeCell ref="U200:V200"/>
    <mergeCell ref="W200:X200"/>
    <mergeCell ref="D197:E197"/>
    <mergeCell ref="F197:G197"/>
    <mergeCell ref="H197:J197"/>
    <mergeCell ref="K197:L197"/>
    <mergeCell ref="M197:N197"/>
    <mergeCell ref="O197:AB197"/>
    <mergeCell ref="H198:I198"/>
    <mergeCell ref="J198:K198"/>
    <mergeCell ref="L198:M198"/>
    <mergeCell ref="N198:O198"/>
    <mergeCell ref="P198:P199"/>
    <mergeCell ref="Q198:R198"/>
    <mergeCell ref="S198:T198"/>
    <mergeCell ref="U198:V198"/>
    <mergeCell ref="W198:X198"/>
    <mergeCell ref="Y198:Y199"/>
    <mergeCell ref="Z198:AB198"/>
    <mergeCell ref="H199:I199"/>
    <mergeCell ref="J199:K199"/>
    <mergeCell ref="L199:M199"/>
    <mergeCell ref="N199:O199"/>
    <mergeCell ref="Q199:R199"/>
    <mergeCell ref="S199:T199"/>
    <mergeCell ref="U199:V199"/>
    <mergeCell ref="D196:E196"/>
    <mergeCell ref="F196:G196"/>
    <mergeCell ref="H196:J196"/>
    <mergeCell ref="K196:P196"/>
    <mergeCell ref="Q196:R196"/>
    <mergeCell ref="S196:X196"/>
    <mergeCell ref="Y196:Z196"/>
    <mergeCell ref="AA196:AB196"/>
    <mergeCell ref="H192:I192"/>
    <mergeCell ref="L192:O192"/>
    <mergeCell ref="P192:S192"/>
    <mergeCell ref="T192:U192"/>
    <mergeCell ref="V192:AB192"/>
    <mergeCell ref="H193:I193"/>
    <mergeCell ref="L193:O193"/>
    <mergeCell ref="P193:S193"/>
    <mergeCell ref="T193:U193"/>
    <mergeCell ref="W199:X199"/>
    <mergeCell ref="H189:I189"/>
    <mergeCell ref="L189:O189"/>
    <mergeCell ref="P189:S189"/>
    <mergeCell ref="T189:U189"/>
    <mergeCell ref="H190:I190"/>
    <mergeCell ref="L190:O190"/>
    <mergeCell ref="P190:S190"/>
    <mergeCell ref="T190:U190"/>
    <mergeCell ref="H191:I191"/>
    <mergeCell ref="L191:O191"/>
    <mergeCell ref="P191:S191"/>
    <mergeCell ref="T191:U191"/>
    <mergeCell ref="H186:I186"/>
    <mergeCell ref="L186:O186"/>
    <mergeCell ref="P186:S186"/>
    <mergeCell ref="T186:U186"/>
    <mergeCell ref="H187:I187"/>
    <mergeCell ref="L187:O187"/>
    <mergeCell ref="P187:S187"/>
    <mergeCell ref="T187:U187"/>
    <mergeCell ref="H188:I188"/>
    <mergeCell ref="L188:O188"/>
    <mergeCell ref="P188:S188"/>
    <mergeCell ref="T188:U188"/>
    <mergeCell ref="H194:I194"/>
    <mergeCell ref="L194:O194"/>
    <mergeCell ref="P194:S194"/>
    <mergeCell ref="T194:U194"/>
    <mergeCell ref="D195:J195"/>
    <mergeCell ref="K195:N195"/>
    <mergeCell ref="O195:AB195"/>
    <mergeCell ref="H183:I183"/>
    <mergeCell ref="J183:K183"/>
    <mergeCell ref="L183:M183"/>
    <mergeCell ref="N183:O183"/>
    <mergeCell ref="Q183:R183"/>
    <mergeCell ref="S183:T183"/>
    <mergeCell ref="U183:V183"/>
    <mergeCell ref="W183:X183"/>
    <mergeCell ref="D185:I185"/>
    <mergeCell ref="J185:U185"/>
    <mergeCell ref="V185:AB185"/>
    <mergeCell ref="H181:I181"/>
    <mergeCell ref="J181:K181"/>
    <mergeCell ref="L181:M181"/>
    <mergeCell ref="N181:O181"/>
    <mergeCell ref="Q181:R181"/>
    <mergeCell ref="S181:T181"/>
    <mergeCell ref="U181:V181"/>
    <mergeCell ref="W181:X181"/>
    <mergeCell ref="H182:I182"/>
    <mergeCell ref="J182:K182"/>
    <mergeCell ref="L182:M182"/>
    <mergeCell ref="N182:O182"/>
    <mergeCell ref="Q182:R182"/>
    <mergeCell ref="S182:T182"/>
    <mergeCell ref="U182:V182"/>
    <mergeCell ref="W182:X182"/>
    <mergeCell ref="H179:I179"/>
    <mergeCell ref="J179:K179"/>
    <mergeCell ref="L179:M179"/>
    <mergeCell ref="N179:O179"/>
    <mergeCell ref="Q179:R179"/>
    <mergeCell ref="S179:T179"/>
    <mergeCell ref="U179:V179"/>
    <mergeCell ref="W179:X179"/>
    <mergeCell ref="H180:I180"/>
    <mergeCell ref="J180:K180"/>
    <mergeCell ref="L180:M180"/>
    <mergeCell ref="N180:O180"/>
    <mergeCell ref="Q180:R180"/>
    <mergeCell ref="S180:T180"/>
    <mergeCell ref="U180:V180"/>
    <mergeCell ref="W180:X180"/>
    <mergeCell ref="H177:I177"/>
    <mergeCell ref="J177:K177"/>
    <mergeCell ref="L177:M177"/>
    <mergeCell ref="N177:O177"/>
    <mergeCell ref="Q177:R177"/>
    <mergeCell ref="S177:T177"/>
    <mergeCell ref="U177:V177"/>
    <mergeCell ref="W177:X177"/>
    <mergeCell ref="H178:I178"/>
    <mergeCell ref="J178:K178"/>
    <mergeCell ref="L178:M178"/>
    <mergeCell ref="N178:O178"/>
    <mergeCell ref="Q178:R178"/>
    <mergeCell ref="S178:T178"/>
    <mergeCell ref="U178:V178"/>
    <mergeCell ref="W178:X178"/>
    <mergeCell ref="H175:I175"/>
    <mergeCell ref="J175:K175"/>
    <mergeCell ref="L175:M175"/>
    <mergeCell ref="N175:O175"/>
    <mergeCell ref="Q175:R175"/>
    <mergeCell ref="S175:T175"/>
    <mergeCell ref="U175:V175"/>
    <mergeCell ref="W175:X175"/>
    <mergeCell ref="H176:I176"/>
    <mergeCell ref="J176:K176"/>
    <mergeCell ref="L176:M176"/>
    <mergeCell ref="N176:O176"/>
    <mergeCell ref="Q176:R176"/>
    <mergeCell ref="S176:T176"/>
    <mergeCell ref="U176:V176"/>
    <mergeCell ref="W176:X176"/>
    <mergeCell ref="H173:I173"/>
    <mergeCell ref="J173:K173"/>
    <mergeCell ref="L173:M173"/>
    <mergeCell ref="N173:O173"/>
    <mergeCell ref="Q173:R173"/>
    <mergeCell ref="S173:T173"/>
    <mergeCell ref="U173:V173"/>
    <mergeCell ref="W173:X173"/>
    <mergeCell ref="H174:I174"/>
    <mergeCell ref="J174:K174"/>
    <mergeCell ref="L174:M174"/>
    <mergeCell ref="N174:O174"/>
    <mergeCell ref="Q174:R174"/>
    <mergeCell ref="S174:T174"/>
    <mergeCell ref="U174:V174"/>
    <mergeCell ref="W174:X174"/>
    <mergeCell ref="H171:I171"/>
    <mergeCell ref="J171:K171"/>
    <mergeCell ref="L171:M171"/>
    <mergeCell ref="N171:O171"/>
    <mergeCell ref="Q171:R171"/>
    <mergeCell ref="S171:T171"/>
    <mergeCell ref="U171:V171"/>
    <mergeCell ref="W171:X171"/>
    <mergeCell ref="H172:I172"/>
    <mergeCell ref="J172:K172"/>
    <mergeCell ref="L172:M172"/>
    <mergeCell ref="N172:O172"/>
    <mergeCell ref="Q172:R172"/>
    <mergeCell ref="S172:T172"/>
    <mergeCell ref="U172:V172"/>
    <mergeCell ref="W172:X172"/>
    <mergeCell ref="H169:I169"/>
    <mergeCell ref="J169:K169"/>
    <mergeCell ref="L169:M169"/>
    <mergeCell ref="N169:O169"/>
    <mergeCell ref="Q169:R169"/>
    <mergeCell ref="S169:T169"/>
    <mergeCell ref="U169:V169"/>
    <mergeCell ref="W169:X169"/>
    <mergeCell ref="H170:I170"/>
    <mergeCell ref="J170:K170"/>
    <mergeCell ref="L170:M170"/>
    <mergeCell ref="N170:O170"/>
    <mergeCell ref="Q170:R170"/>
    <mergeCell ref="S170:T170"/>
    <mergeCell ref="U170:V170"/>
    <mergeCell ref="W170:X170"/>
    <mergeCell ref="H168:I168"/>
    <mergeCell ref="J168:K168"/>
    <mergeCell ref="L168:M168"/>
    <mergeCell ref="N168:O168"/>
    <mergeCell ref="Q168:R168"/>
    <mergeCell ref="S168:T168"/>
    <mergeCell ref="U168:V168"/>
    <mergeCell ref="W168:X168"/>
    <mergeCell ref="D165:E165"/>
    <mergeCell ref="F165:G165"/>
    <mergeCell ref="H165:J165"/>
    <mergeCell ref="K165:L165"/>
    <mergeCell ref="M165:N165"/>
    <mergeCell ref="O165:AB165"/>
    <mergeCell ref="H166:I166"/>
    <mergeCell ref="J166:K166"/>
    <mergeCell ref="L166:M166"/>
    <mergeCell ref="N166:O166"/>
    <mergeCell ref="P166:P167"/>
    <mergeCell ref="Q166:R166"/>
    <mergeCell ref="S166:T166"/>
    <mergeCell ref="U166:V166"/>
    <mergeCell ref="W166:X166"/>
    <mergeCell ref="Y166:Y167"/>
    <mergeCell ref="Z166:AB166"/>
    <mergeCell ref="H167:I167"/>
    <mergeCell ref="J167:K167"/>
    <mergeCell ref="L167:M167"/>
    <mergeCell ref="N167:O167"/>
    <mergeCell ref="Q167:R167"/>
    <mergeCell ref="S167:T167"/>
    <mergeCell ref="U167:V167"/>
    <mergeCell ref="D164:E164"/>
    <mergeCell ref="F164:G164"/>
    <mergeCell ref="H164:J164"/>
    <mergeCell ref="K164:P164"/>
    <mergeCell ref="Q164:R164"/>
    <mergeCell ref="S164:X164"/>
    <mergeCell ref="Y164:Z164"/>
    <mergeCell ref="AA164:AB164"/>
    <mergeCell ref="H160:I160"/>
    <mergeCell ref="L160:O160"/>
    <mergeCell ref="P160:S160"/>
    <mergeCell ref="T160:U160"/>
    <mergeCell ref="V160:AB160"/>
    <mergeCell ref="H161:I161"/>
    <mergeCell ref="L161:O161"/>
    <mergeCell ref="P161:S161"/>
    <mergeCell ref="T161:U161"/>
    <mergeCell ref="W167:X167"/>
    <mergeCell ref="H157:I157"/>
    <mergeCell ref="L157:O157"/>
    <mergeCell ref="P157:S157"/>
    <mergeCell ref="T157:U157"/>
    <mergeCell ref="H158:I158"/>
    <mergeCell ref="L158:O158"/>
    <mergeCell ref="P158:S158"/>
    <mergeCell ref="T158:U158"/>
    <mergeCell ref="H159:I159"/>
    <mergeCell ref="L159:O159"/>
    <mergeCell ref="P159:S159"/>
    <mergeCell ref="T159:U159"/>
    <mergeCell ref="H154:I154"/>
    <mergeCell ref="L154:O154"/>
    <mergeCell ref="P154:S154"/>
    <mergeCell ref="T154:U154"/>
    <mergeCell ref="H155:I155"/>
    <mergeCell ref="L155:O155"/>
    <mergeCell ref="P155:S155"/>
    <mergeCell ref="T155:U155"/>
    <mergeCell ref="H156:I156"/>
    <mergeCell ref="L156:O156"/>
    <mergeCell ref="P156:S156"/>
    <mergeCell ref="T156:U156"/>
    <mergeCell ref="H162:I162"/>
    <mergeCell ref="L162:O162"/>
    <mergeCell ref="P162:S162"/>
    <mergeCell ref="T162:U162"/>
    <mergeCell ref="D163:J163"/>
    <mergeCell ref="K163:N163"/>
    <mergeCell ref="O163:AB163"/>
    <mergeCell ref="H151:I151"/>
    <mergeCell ref="J151:K151"/>
    <mergeCell ref="L151:M151"/>
    <mergeCell ref="N151:O151"/>
    <mergeCell ref="Q151:R151"/>
    <mergeCell ref="S151:T151"/>
    <mergeCell ref="U151:V151"/>
    <mergeCell ref="W151:X151"/>
    <mergeCell ref="D153:I153"/>
    <mergeCell ref="J153:U153"/>
    <mergeCell ref="V153:AB153"/>
    <mergeCell ref="H149:I149"/>
    <mergeCell ref="J149:K149"/>
    <mergeCell ref="L149:M149"/>
    <mergeCell ref="N149:O149"/>
    <mergeCell ref="Q149:R149"/>
    <mergeCell ref="S149:T149"/>
    <mergeCell ref="U149:V149"/>
    <mergeCell ref="W149:X149"/>
    <mergeCell ref="H150:I150"/>
    <mergeCell ref="J150:K150"/>
    <mergeCell ref="L150:M150"/>
    <mergeCell ref="N150:O150"/>
    <mergeCell ref="Q150:R150"/>
    <mergeCell ref="S150:T150"/>
    <mergeCell ref="U150:V150"/>
    <mergeCell ref="W150:X150"/>
    <mergeCell ref="H147:I147"/>
    <mergeCell ref="J147:K147"/>
    <mergeCell ref="L147:M147"/>
    <mergeCell ref="N147:O147"/>
    <mergeCell ref="Q147:R147"/>
    <mergeCell ref="S147:T147"/>
    <mergeCell ref="U147:V147"/>
    <mergeCell ref="W147:X147"/>
    <mergeCell ref="H148:I148"/>
    <mergeCell ref="J148:K148"/>
    <mergeCell ref="L148:M148"/>
    <mergeCell ref="N148:O148"/>
    <mergeCell ref="Q148:R148"/>
    <mergeCell ref="S148:T148"/>
    <mergeCell ref="U148:V148"/>
    <mergeCell ref="W148:X148"/>
    <mergeCell ref="H145:I145"/>
    <mergeCell ref="J145:K145"/>
    <mergeCell ref="L145:M145"/>
    <mergeCell ref="N145:O145"/>
    <mergeCell ref="Q145:R145"/>
    <mergeCell ref="S145:T145"/>
    <mergeCell ref="U145:V145"/>
    <mergeCell ref="W145:X145"/>
    <mergeCell ref="H146:I146"/>
    <mergeCell ref="J146:K146"/>
    <mergeCell ref="L146:M146"/>
    <mergeCell ref="N146:O146"/>
    <mergeCell ref="Q146:R146"/>
    <mergeCell ref="S146:T146"/>
    <mergeCell ref="U146:V146"/>
    <mergeCell ref="W146:X146"/>
    <mergeCell ref="H143:I143"/>
    <mergeCell ref="J143:K143"/>
    <mergeCell ref="L143:M143"/>
    <mergeCell ref="N143:O143"/>
    <mergeCell ref="Q143:R143"/>
    <mergeCell ref="S143:T143"/>
    <mergeCell ref="U143:V143"/>
    <mergeCell ref="W143:X143"/>
    <mergeCell ref="H144:I144"/>
    <mergeCell ref="J144:K144"/>
    <mergeCell ref="L144:M144"/>
    <mergeCell ref="N144:O144"/>
    <mergeCell ref="Q144:R144"/>
    <mergeCell ref="S144:T144"/>
    <mergeCell ref="U144:V144"/>
    <mergeCell ref="W144:X144"/>
    <mergeCell ref="H141:I141"/>
    <mergeCell ref="J141:K141"/>
    <mergeCell ref="L141:M141"/>
    <mergeCell ref="N141:O141"/>
    <mergeCell ref="Q141:R141"/>
    <mergeCell ref="S141:T141"/>
    <mergeCell ref="U141:V141"/>
    <mergeCell ref="W141:X141"/>
    <mergeCell ref="H142:I142"/>
    <mergeCell ref="J142:K142"/>
    <mergeCell ref="L142:M142"/>
    <mergeCell ref="N142:O142"/>
    <mergeCell ref="Q142:R142"/>
    <mergeCell ref="S142:T142"/>
    <mergeCell ref="U142:V142"/>
    <mergeCell ref="W142:X142"/>
    <mergeCell ref="H139:I139"/>
    <mergeCell ref="J139:K139"/>
    <mergeCell ref="L139:M139"/>
    <mergeCell ref="N139:O139"/>
    <mergeCell ref="Q139:R139"/>
    <mergeCell ref="S139:T139"/>
    <mergeCell ref="U139:V139"/>
    <mergeCell ref="W139:X139"/>
    <mergeCell ref="H140:I140"/>
    <mergeCell ref="J140:K140"/>
    <mergeCell ref="L140:M140"/>
    <mergeCell ref="N140:O140"/>
    <mergeCell ref="Q140:R140"/>
    <mergeCell ref="S140:T140"/>
    <mergeCell ref="U140:V140"/>
    <mergeCell ref="W140:X140"/>
    <mergeCell ref="H137:I137"/>
    <mergeCell ref="J137:K137"/>
    <mergeCell ref="L137:M137"/>
    <mergeCell ref="N137:O137"/>
    <mergeCell ref="Q137:R137"/>
    <mergeCell ref="S137:T137"/>
    <mergeCell ref="U137:V137"/>
    <mergeCell ref="W137:X137"/>
    <mergeCell ref="H138:I138"/>
    <mergeCell ref="J138:K138"/>
    <mergeCell ref="L138:M138"/>
    <mergeCell ref="N138:O138"/>
    <mergeCell ref="Q138:R138"/>
    <mergeCell ref="S138:T138"/>
    <mergeCell ref="U138:V138"/>
    <mergeCell ref="W138:X138"/>
    <mergeCell ref="H136:I136"/>
    <mergeCell ref="J136:K136"/>
    <mergeCell ref="L136:M136"/>
    <mergeCell ref="N136:O136"/>
    <mergeCell ref="Q136:R136"/>
    <mergeCell ref="S136:T136"/>
    <mergeCell ref="U136:V136"/>
    <mergeCell ref="W136:X136"/>
    <mergeCell ref="D133:E133"/>
    <mergeCell ref="F133:G133"/>
    <mergeCell ref="H133:J133"/>
    <mergeCell ref="K133:L133"/>
    <mergeCell ref="M133:N133"/>
    <mergeCell ref="O133:AB133"/>
    <mergeCell ref="H134:I134"/>
    <mergeCell ref="J134:K134"/>
    <mergeCell ref="L134:M134"/>
    <mergeCell ref="N134:O134"/>
    <mergeCell ref="P134:P135"/>
    <mergeCell ref="Q134:R134"/>
    <mergeCell ref="S134:T134"/>
    <mergeCell ref="U134:V134"/>
    <mergeCell ref="W134:X134"/>
    <mergeCell ref="Y134:Y135"/>
    <mergeCell ref="Z134:AB134"/>
    <mergeCell ref="H135:I135"/>
    <mergeCell ref="J135:K135"/>
    <mergeCell ref="L135:M135"/>
    <mergeCell ref="N135:O135"/>
    <mergeCell ref="Q135:R135"/>
    <mergeCell ref="S135:T135"/>
    <mergeCell ref="U135:V135"/>
    <mergeCell ref="D132:E132"/>
    <mergeCell ref="F132:G132"/>
    <mergeCell ref="H132:J132"/>
    <mergeCell ref="K132:P132"/>
    <mergeCell ref="Q132:R132"/>
    <mergeCell ref="S132:X132"/>
    <mergeCell ref="Y132:Z132"/>
    <mergeCell ref="AA132:AB132"/>
    <mergeCell ref="H128:I128"/>
    <mergeCell ref="L128:O128"/>
    <mergeCell ref="P128:S128"/>
    <mergeCell ref="T128:U128"/>
    <mergeCell ref="V128:AB128"/>
    <mergeCell ref="H129:I129"/>
    <mergeCell ref="L129:O129"/>
    <mergeCell ref="P129:S129"/>
    <mergeCell ref="T129:U129"/>
    <mergeCell ref="W135:X135"/>
    <mergeCell ref="H125:I125"/>
    <mergeCell ref="L125:O125"/>
    <mergeCell ref="P125:S125"/>
    <mergeCell ref="T125:U125"/>
    <mergeCell ref="H126:I126"/>
    <mergeCell ref="L126:O126"/>
    <mergeCell ref="P126:S126"/>
    <mergeCell ref="T126:U126"/>
    <mergeCell ref="H127:I127"/>
    <mergeCell ref="L127:O127"/>
    <mergeCell ref="P127:S127"/>
    <mergeCell ref="T127:U127"/>
    <mergeCell ref="H122:I122"/>
    <mergeCell ref="L122:O122"/>
    <mergeCell ref="P122:S122"/>
    <mergeCell ref="T122:U122"/>
    <mergeCell ref="H123:I123"/>
    <mergeCell ref="L123:O123"/>
    <mergeCell ref="P123:S123"/>
    <mergeCell ref="T123:U123"/>
    <mergeCell ref="H124:I124"/>
    <mergeCell ref="L124:O124"/>
    <mergeCell ref="P124:S124"/>
    <mergeCell ref="T124:U124"/>
    <mergeCell ref="H130:I130"/>
    <mergeCell ref="L130:O130"/>
    <mergeCell ref="P130:S130"/>
    <mergeCell ref="T130:U130"/>
    <mergeCell ref="D131:J131"/>
    <mergeCell ref="K131:N131"/>
    <mergeCell ref="O131:AB131"/>
    <mergeCell ref="H119:I119"/>
    <mergeCell ref="J119:K119"/>
    <mergeCell ref="L119:M119"/>
    <mergeCell ref="N119:O119"/>
    <mergeCell ref="Q119:R119"/>
    <mergeCell ref="S119:T119"/>
    <mergeCell ref="U119:V119"/>
    <mergeCell ref="W119:X119"/>
    <mergeCell ref="D121:I121"/>
    <mergeCell ref="J121:U121"/>
    <mergeCell ref="V121:AB121"/>
    <mergeCell ref="H117:I117"/>
    <mergeCell ref="J117:K117"/>
    <mergeCell ref="L117:M117"/>
    <mergeCell ref="N117:O117"/>
    <mergeCell ref="Q117:R117"/>
    <mergeCell ref="S117:T117"/>
    <mergeCell ref="U117:V117"/>
    <mergeCell ref="W117:X117"/>
    <mergeCell ref="H118:I118"/>
    <mergeCell ref="J118:K118"/>
    <mergeCell ref="L118:M118"/>
    <mergeCell ref="N118:O118"/>
    <mergeCell ref="Q118:R118"/>
    <mergeCell ref="S118:T118"/>
    <mergeCell ref="U118:V118"/>
    <mergeCell ref="W118:X118"/>
    <mergeCell ref="H115:I115"/>
    <mergeCell ref="J115:K115"/>
    <mergeCell ref="L115:M115"/>
    <mergeCell ref="N115:O115"/>
    <mergeCell ref="Q115:R115"/>
    <mergeCell ref="S115:T115"/>
    <mergeCell ref="U115:V115"/>
    <mergeCell ref="W115:X115"/>
    <mergeCell ref="H116:I116"/>
    <mergeCell ref="J116:K116"/>
    <mergeCell ref="L116:M116"/>
    <mergeCell ref="N116:O116"/>
    <mergeCell ref="Q116:R116"/>
    <mergeCell ref="S116:T116"/>
    <mergeCell ref="U116:V116"/>
    <mergeCell ref="W116:X116"/>
    <mergeCell ref="H113:I113"/>
    <mergeCell ref="J113:K113"/>
    <mergeCell ref="L113:M113"/>
    <mergeCell ref="N113:O113"/>
    <mergeCell ref="Q113:R113"/>
    <mergeCell ref="S113:T113"/>
    <mergeCell ref="U113:V113"/>
    <mergeCell ref="W113:X113"/>
    <mergeCell ref="H114:I114"/>
    <mergeCell ref="J114:K114"/>
    <mergeCell ref="L114:M114"/>
    <mergeCell ref="N114:O114"/>
    <mergeCell ref="Q114:R114"/>
    <mergeCell ref="S114:T114"/>
    <mergeCell ref="U114:V114"/>
    <mergeCell ref="W114:X114"/>
    <mergeCell ref="H111:I111"/>
    <mergeCell ref="J111:K111"/>
    <mergeCell ref="L111:M111"/>
    <mergeCell ref="N111:O111"/>
    <mergeCell ref="Q111:R111"/>
    <mergeCell ref="S111:T111"/>
    <mergeCell ref="U111:V111"/>
    <mergeCell ref="W111:X111"/>
    <mergeCell ref="H112:I112"/>
    <mergeCell ref="J112:K112"/>
    <mergeCell ref="L112:M112"/>
    <mergeCell ref="N112:O112"/>
    <mergeCell ref="Q112:R112"/>
    <mergeCell ref="S112:T112"/>
    <mergeCell ref="U112:V112"/>
    <mergeCell ref="W112:X112"/>
    <mergeCell ref="H109:I109"/>
    <mergeCell ref="J109:K109"/>
    <mergeCell ref="L109:M109"/>
    <mergeCell ref="N109:O109"/>
    <mergeCell ref="Q109:R109"/>
    <mergeCell ref="S109:T109"/>
    <mergeCell ref="U109:V109"/>
    <mergeCell ref="W109:X109"/>
    <mergeCell ref="H110:I110"/>
    <mergeCell ref="J110:K110"/>
    <mergeCell ref="L110:M110"/>
    <mergeCell ref="N110:O110"/>
    <mergeCell ref="Q110:R110"/>
    <mergeCell ref="S110:T110"/>
    <mergeCell ref="U110:V110"/>
    <mergeCell ref="W110:X110"/>
    <mergeCell ref="H107:I107"/>
    <mergeCell ref="J107:K107"/>
    <mergeCell ref="L107:M107"/>
    <mergeCell ref="N107:O107"/>
    <mergeCell ref="Q107:R107"/>
    <mergeCell ref="S107:T107"/>
    <mergeCell ref="U107:V107"/>
    <mergeCell ref="W107:X107"/>
    <mergeCell ref="H108:I108"/>
    <mergeCell ref="J108:K108"/>
    <mergeCell ref="L108:M108"/>
    <mergeCell ref="N108:O108"/>
    <mergeCell ref="Q108:R108"/>
    <mergeCell ref="S108:T108"/>
    <mergeCell ref="U108:V108"/>
    <mergeCell ref="W108:X108"/>
    <mergeCell ref="H105:I105"/>
    <mergeCell ref="J105:K105"/>
    <mergeCell ref="L105:M105"/>
    <mergeCell ref="N105:O105"/>
    <mergeCell ref="Q105:R105"/>
    <mergeCell ref="S105:T105"/>
    <mergeCell ref="U105:V105"/>
    <mergeCell ref="W105:X105"/>
    <mergeCell ref="H106:I106"/>
    <mergeCell ref="J106:K106"/>
    <mergeCell ref="L106:M106"/>
    <mergeCell ref="N106:O106"/>
    <mergeCell ref="Q106:R106"/>
    <mergeCell ref="S106:T106"/>
    <mergeCell ref="U106:V106"/>
    <mergeCell ref="W106:X106"/>
    <mergeCell ref="H104:I104"/>
    <mergeCell ref="J104:K104"/>
    <mergeCell ref="L104:M104"/>
    <mergeCell ref="N104:O104"/>
    <mergeCell ref="Q104:R104"/>
    <mergeCell ref="S104:T104"/>
    <mergeCell ref="U104:V104"/>
    <mergeCell ref="W104:X104"/>
    <mergeCell ref="D101:E101"/>
    <mergeCell ref="F101:G101"/>
    <mergeCell ref="H101:J101"/>
    <mergeCell ref="K101:L101"/>
    <mergeCell ref="M101:N101"/>
    <mergeCell ref="O101:AB101"/>
    <mergeCell ref="H102:I102"/>
    <mergeCell ref="J102:K102"/>
    <mergeCell ref="L102:M102"/>
    <mergeCell ref="N102:O102"/>
    <mergeCell ref="P102:P103"/>
    <mergeCell ref="Q102:R102"/>
    <mergeCell ref="S102:T102"/>
    <mergeCell ref="U102:V102"/>
    <mergeCell ref="W102:X102"/>
    <mergeCell ref="Y102:Y103"/>
    <mergeCell ref="Z102:AB102"/>
    <mergeCell ref="H103:I103"/>
    <mergeCell ref="J103:K103"/>
    <mergeCell ref="L103:M103"/>
    <mergeCell ref="N103:O103"/>
    <mergeCell ref="Q103:R103"/>
    <mergeCell ref="S103:T103"/>
    <mergeCell ref="U103:V103"/>
    <mergeCell ref="D100:E100"/>
    <mergeCell ref="F100:G100"/>
    <mergeCell ref="H100:J100"/>
    <mergeCell ref="K100:P100"/>
    <mergeCell ref="Q100:R100"/>
    <mergeCell ref="S100:X100"/>
    <mergeCell ref="Y100:Z100"/>
    <mergeCell ref="AA100:AB100"/>
    <mergeCell ref="H96:I96"/>
    <mergeCell ref="L96:O96"/>
    <mergeCell ref="P96:S96"/>
    <mergeCell ref="T96:U96"/>
    <mergeCell ref="V96:AB96"/>
    <mergeCell ref="H97:I97"/>
    <mergeCell ref="L97:O97"/>
    <mergeCell ref="P97:S97"/>
    <mergeCell ref="T97:U97"/>
    <mergeCell ref="W103:X103"/>
    <mergeCell ref="H93:I93"/>
    <mergeCell ref="L93:O93"/>
    <mergeCell ref="P93:S93"/>
    <mergeCell ref="T93:U93"/>
    <mergeCell ref="H94:I94"/>
    <mergeCell ref="L94:O94"/>
    <mergeCell ref="P94:S94"/>
    <mergeCell ref="T94:U94"/>
    <mergeCell ref="H95:I95"/>
    <mergeCell ref="L95:O95"/>
    <mergeCell ref="P95:S95"/>
    <mergeCell ref="T95:U95"/>
    <mergeCell ref="H90:I90"/>
    <mergeCell ref="L90:O90"/>
    <mergeCell ref="P90:S90"/>
    <mergeCell ref="T90:U90"/>
    <mergeCell ref="H91:I91"/>
    <mergeCell ref="L91:O91"/>
    <mergeCell ref="P91:S91"/>
    <mergeCell ref="T91:U91"/>
    <mergeCell ref="H92:I92"/>
    <mergeCell ref="L92:O92"/>
    <mergeCell ref="P92:S92"/>
    <mergeCell ref="T92:U92"/>
    <mergeCell ref="H98:I98"/>
    <mergeCell ref="L98:O98"/>
    <mergeCell ref="P98:S98"/>
    <mergeCell ref="T98:U98"/>
    <mergeCell ref="D99:J99"/>
    <mergeCell ref="K99:N99"/>
    <mergeCell ref="O99:AB99"/>
    <mergeCell ref="H87:I87"/>
    <mergeCell ref="J87:K87"/>
    <mergeCell ref="L87:M87"/>
    <mergeCell ref="N87:O87"/>
    <mergeCell ref="Q87:R87"/>
    <mergeCell ref="S87:T87"/>
    <mergeCell ref="U87:V87"/>
    <mergeCell ref="W87:X87"/>
    <mergeCell ref="D89:I89"/>
    <mergeCell ref="J89:U89"/>
    <mergeCell ref="V89:AB89"/>
    <mergeCell ref="H85:I85"/>
    <mergeCell ref="J85:K85"/>
    <mergeCell ref="L85:M85"/>
    <mergeCell ref="N85:O85"/>
    <mergeCell ref="Q85:R85"/>
    <mergeCell ref="S85:T85"/>
    <mergeCell ref="U85:V85"/>
    <mergeCell ref="W85:X85"/>
    <mergeCell ref="H86:I86"/>
    <mergeCell ref="J86:K86"/>
    <mergeCell ref="L86:M86"/>
    <mergeCell ref="N86:O86"/>
    <mergeCell ref="Q86:R86"/>
    <mergeCell ref="S86:T86"/>
    <mergeCell ref="U86:V86"/>
    <mergeCell ref="W86:X86"/>
    <mergeCell ref="H83:I83"/>
    <mergeCell ref="J83:K83"/>
    <mergeCell ref="L83:M83"/>
    <mergeCell ref="N83:O83"/>
    <mergeCell ref="Q83:R83"/>
    <mergeCell ref="S83:T83"/>
    <mergeCell ref="U83:V83"/>
    <mergeCell ref="W83:X83"/>
    <mergeCell ref="H84:I84"/>
    <mergeCell ref="J84:K84"/>
    <mergeCell ref="L84:M84"/>
    <mergeCell ref="N84:O84"/>
    <mergeCell ref="Q84:R84"/>
    <mergeCell ref="S84:T84"/>
    <mergeCell ref="U84:V84"/>
    <mergeCell ref="W84:X84"/>
    <mergeCell ref="H81:I81"/>
    <mergeCell ref="J81:K81"/>
    <mergeCell ref="L81:M81"/>
    <mergeCell ref="N81:O81"/>
    <mergeCell ref="Q81:R81"/>
    <mergeCell ref="S81:T81"/>
    <mergeCell ref="U81:V81"/>
    <mergeCell ref="W81:X81"/>
    <mergeCell ref="H82:I82"/>
    <mergeCell ref="J82:K82"/>
    <mergeCell ref="L82:M82"/>
    <mergeCell ref="N82:O82"/>
    <mergeCell ref="Q82:R82"/>
    <mergeCell ref="S82:T82"/>
    <mergeCell ref="U82:V82"/>
    <mergeCell ref="W82:X82"/>
    <mergeCell ref="H79:I79"/>
    <mergeCell ref="J79:K79"/>
    <mergeCell ref="L79:M79"/>
    <mergeCell ref="N79:O79"/>
    <mergeCell ref="Q79:R79"/>
    <mergeCell ref="S79:T79"/>
    <mergeCell ref="U79:V79"/>
    <mergeCell ref="W79:X79"/>
    <mergeCell ref="H80:I80"/>
    <mergeCell ref="J80:K80"/>
    <mergeCell ref="L80:M80"/>
    <mergeCell ref="N80:O80"/>
    <mergeCell ref="Q80:R80"/>
    <mergeCell ref="S80:T80"/>
    <mergeCell ref="U80:V80"/>
    <mergeCell ref="W80:X80"/>
    <mergeCell ref="H77:I77"/>
    <mergeCell ref="J77:K77"/>
    <mergeCell ref="L77:M77"/>
    <mergeCell ref="N77:O77"/>
    <mergeCell ref="Q77:R77"/>
    <mergeCell ref="S77:T77"/>
    <mergeCell ref="U77:V77"/>
    <mergeCell ref="W77:X77"/>
    <mergeCell ref="H78:I78"/>
    <mergeCell ref="J78:K78"/>
    <mergeCell ref="L78:M78"/>
    <mergeCell ref="N78:O78"/>
    <mergeCell ref="Q78:R78"/>
    <mergeCell ref="S78:T78"/>
    <mergeCell ref="U78:V78"/>
    <mergeCell ref="W78:X78"/>
    <mergeCell ref="H75:I75"/>
    <mergeCell ref="J75:K75"/>
    <mergeCell ref="L75:M75"/>
    <mergeCell ref="N75:O75"/>
    <mergeCell ref="Q75:R75"/>
    <mergeCell ref="S75:T75"/>
    <mergeCell ref="U75:V75"/>
    <mergeCell ref="W75:X75"/>
    <mergeCell ref="H76:I76"/>
    <mergeCell ref="J76:K76"/>
    <mergeCell ref="L76:M76"/>
    <mergeCell ref="N76:O76"/>
    <mergeCell ref="Q76:R76"/>
    <mergeCell ref="S76:T76"/>
    <mergeCell ref="U76:V76"/>
    <mergeCell ref="W76:X76"/>
    <mergeCell ref="H73:I73"/>
    <mergeCell ref="J73:K73"/>
    <mergeCell ref="L73:M73"/>
    <mergeCell ref="N73:O73"/>
    <mergeCell ref="Q73:R73"/>
    <mergeCell ref="S73:T73"/>
    <mergeCell ref="U73:V73"/>
    <mergeCell ref="W73:X73"/>
    <mergeCell ref="H74:I74"/>
    <mergeCell ref="J74:K74"/>
    <mergeCell ref="L74:M74"/>
    <mergeCell ref="N74:O74"/>
    <mergeCell ref="Q74:R74"/>
    <mergeCell ref="S74:T74"/>
    <mergeCell ref="U74:V74"/>
    <mergeCell ref="W74:X74"/>
    <mergeCell ref="H72:I72"/>
    <mergeCell ref="J72:K72"/>
    <mergeCell ref="L72:M72"/>
    <mergeCell ref="N72:O72"/>
    <mergeCell ref="Q72:R72"/>
    <mergeCell ref="S72:T72"/>
    <mergeCell ref="U72:V72"/>
    <mergeCell ref="W72:X72"/>
    <mergeCell ref="D69:E69"/>
    <mergeCell ref="F69:G69"/>
    <mergeCell ref="H69:J69"/>
    <mergeCell ref="K69:L69"/>
    <mergeCell ref="M69:N69"/>
    <mergeCell ref="O69:AB69"/>
    <mergeCell ref="H70:I70"/>
    <mergeCell ref="J70:K70"/>
    <mergeCell ref="L70:M70"/>
    <mergeCell ref="N70:O70"/>
    <mergeCell ref="P70:P71"/>
    <mergeCell ref="Q70:R70"/>
    <mergeCell ref="S70:T70"/>
    <mergeCell ref="U70:V70"/>
    <mergeCell ref="W70:X70"/>
    <mergeCell ref="Y70:Y71"/>
    <mergeCell ref="Z70:AB70"/>
    <mergeCell ref="H71:I71"/>
    <mergeCell ref="J71:K71"/>
    <mergeCell ref="L71:M71"/>
    <mergeCell ref="N71:O71"/>
    <mergeCell ref="Q71:R71"/>
    <mergeCell ref="S71:T71"/>
    <mergeCell ref="U71:V71"/>
    <mergeCell ref="Q68:R68"/>
    <mergeCell ref="S68:X68"/>
    <mergeCell ref="Y68:Z68"/>
    <mergeCell ref="AA68:AB68"/>
    <mergeCell ref="H66:I66"/>
    <mergeCell ref="L66:O66"/>
    <mergeCell ref="P66:S66"/>
    <mergeCell ref="T66:U66"/>
    <mergeCell ref="H64:I64"/>
    <mergeCell ref="L64:O64"/>
    <mergeCell ref="P64:S64"/>
    <mergeCell ref="T64:U64"/>
    <mergeCell ref="V64:AB64"/>
    <mergeCell ref="H65:I65"/>
    <mergeCell ref="L65:O65"/>
    <mergeCell ref="P65:S65"/>
    <mergeCell ref="T65:U65"/>
    <mergeCell ref="W71:X71"/>
    <mergeCell ref="H61:I61"/>
    <mergeCell ref="L61:O61"/>
    <mergeCell ref="P61:S61"/>
    <mergeCell ref="T61:U61"/>
    <mergeCell ref="H62:I62"/>
    <mergeCell ref="L62:O62"/>
    <mergeCell ref="P62:S62"/>
    <mergeCell ref="T62:U62"/>
    <mergeCell ref="H63:I63"/>
    <mergeCell ref="L63:O63"/>
    <mergeCell ref="P63:S63"/>
    <mergeCell ref="T63:U63"/>
    <mergeCell ref="H58:I58"/>
    <mergeCell ref="L58:O58"/>
    <mergeCell ref="P58:S58"/>
    <mergeCell ref="T58:U58"/>
    <mergeCell ref="H59:I59"/>
    <mergeCell ref="L59:O59"/>
    <mergeCell ref="P59:S59"/>
    <mergeCell ref="T59:U59"/>
    <mergeCell ref="H60:I60"/>
    <mergeCell ref="L60:O60"/>
    <mergeCell ref="P60:S60"/>
    <mergeCell ref="T60:U60"/>
    <mergeCell ref="D67:J67"/>
    <mergeCell ref="K67:N67"/>
    <mergeCell ref="O67:AB67"/>
    <mergeCell ref="D68:E68"/>
    <mergeCell ref="F68:G68"/>
    <mergeCell ref="H68:J68"/>
    <mergeCell ref="K68:P68"/>
    <mergeCell ref="H55:I55"/>
    <mergeCell ref="J55:K55"/>
    <mergeCell ref="L55:M55"/>
    <mergeCell ref="N55:O55"/>
    <mergeCell ref="Q55:R55"/>
    <mergeCell ref="S55:T55"/>
    <mergeCell ref="U55:V55"/>
    <mergeCell ref="W55:X55"/>
    <mergeCell ref="D57:I57"/>
    <mergeCell ref="J57:U57"/>
    <mergeCell ref="V57:AB57"/>
    <mergeCell ref="H53:I53"/>
    <mergeCell ref="J53:K53"/>
    <mergeCell ref="L53:M53"/>
    <mergeCell ref="N53:O53"/>
    <mergeCell ref="Q53:R53"/>
    <mergeCell ref="S53:T53"/>
    <mergeCell ref="U53:V53"/>
    <mergeCell ref="W53:X53"/>
    <mergeCell ref="H54:I54"/>
    <mergeCell ref="J54:K54"/>
    <mergeCell ref="L54:M54"/>
    <mergeCell ref="N54:O54"/>
    <mergeCell ref="Q54:R54"/>
    <mergeCell ref="S54:T54"/>
    <mergeCell ref="U54:V54"/>
    <mergeCell ref="W54:X54"/>
    <mergeCell ref="H51:I51"/>
    <mergeCell ref="J51:K51"/>
    <mergeCell ref="L51:M51"/>
    <mergeCell ref="N51:O51"/>
    <mergeCell ref="Q51:R51"/>
    <mergeCell ref="S51:T51"/>
    <mergeCell ref="U51:V51"/>
    <mergeCell ref="W51:X51"/>
    <mergeCell ref="H52:I52"/>
    <mergeCell ref="J52:K52"/>
    <mergeCell ref="L52:M52"/>
    <mergeCell ref="N52:O52"/>
    <mergeCell ref="Q52:R52"/>
    <mergeCell ref="S52:T52"/>
    <mergeCell ref="U52:V52"/>
    <mergeCell ref="W52:X52"/>
    <mergeCell ref="H49:I49"/>
    <mergeCell ref="J49:K49"/>
    <mergeCell ref="L49:M49"/>
    <mergeCell ref="N49:O49"/>
    <mergeCell ref="Q49:R49"/>
    <mergeCell ref="S49:T49"/>
    <mergeCell ref="U49:V49"/>
    <mergeCell ref="W49:X49"/>
    <mergeCell ref="H50:I50"/>
    <mergeCell ref="J50:K50"/>
    <mergeCell ref="L50:M50"/>
    <mergeCell ref="N50:O50"/>
    <mergeCell ref="Q50:R50"/>
    <mergeCell ref="S50:T50"/>
    <mergeCell ref="U50:V50"/>
    <mergeCell ref="W50:X50"/>
    <mergeCell ref="H47:I47"/>
    <mergeCell ref="J47:K47"/>
    <mergeCell ref="L47:M47"/>
    <mergeCell ref="N47:O47"/>
    <mergeCell ref="Q47:R47"/>
    <mergeCell ref="S47:T47"/>
    <mergeCell ref="U47:V47"/>
    <mergeCell ref="W47:X47"/>
    <mergeCell ref="H48:I48"/>
    <mergeCell ref="J48:K48"/>
    <mergeCell ref="L48:M48"/>
    <mergeCell ref="N48:O48"/>
    <mergeCell ref="Q48:R48"/>
    <mergeCell ref="S48:T48"/>
    <mergeCell ref="U48:V48"/>
    <mergeCell ref="W48:X48"/>
    <mergeCell ref="H45:I45"/>
    <mergeCell ref="J45:K45"/>
    <mergeCell ref="L45:M45"/>
    <mergeCell ref="N45:O45"/>
    <mergeCell ref="Q45:R45"/>
    <mergeCell ref="S45:T45"/>
    <mergeCell ref="U45:V45"/>
    <mergeCell ref="W45:X45"/>
    <mergeCell ref="H46:I46"/>
    <mergeCell ref="J46:K46"/>
    <mergeCell ref="L46:M46"/>
    <mergeCell ref="N46:O46"/>
    <mergeCell ref="Q46:R46"/>
    <mergeCell ref="S46:T46"/>
    <mergeCell ref="U46:V46"/>
    <mergeCell ref="W46:X46"/>
    <mergeCell ref="H43:I43"/>
    <mergeCell ref="J43:K43"/>
    <mergeCell ref="L43:M43"/>
    <mergeCell ref="N43:O43"/>
    <mergeCell ref="Q43:R43"/>
    <mergeCell ref="S43:T43"/>
    <mergeCell ref="U43:V43"/>
    <mergeCell ref="W43:X43"/>
    <mergeCell ref="H44:I44"/>
    <mergeCell ref="J44:K44"/>
    <mergeCell ref="L44:M44"/>
    <mergeCell ref="N44:O44"/>
    <mergeCell ref="Q44:R44"/>
    <mergeCell ref="S44:T44"/>
    <mergeCell ref="U44:V44"/>
    <mergeCell ref="W44:X44"/>
    <mergeCell ref="H41:I41"/>
    <mergeCell ref="J41:K41"/>
    <mergeCell ref="L41:M41"/>
    <mergeCell ref="N41:O41"/>
    <mergeCell ref="Q41:R41"/>
    <mergeCell ref="S41:T41"/>
    <mergeCell ref="U41:V41"/>
    <mergeCell ref="W41:X41"/>
    <mergeCell ref="H42:I42"/>
    <mergeCell ref="J42:K42"/>
    <mergeCell ref="L42:M42"/>
    <mergeCell ref="N42:O42"/>
    <mergeCell ref="Q42:R42"/>
    <mergeCell ref="S42:T42"/>
    <mergeCell ref="U42:V42"/>
    <mergeCell ref="W42:X42"/>
    <mergeCell ref="W39:X39"/>
    <mergeCell ref="H40:I40"/>
    <mergeCell ref="J40:K40"/>
    <mergeCell ref="L40:M40"/>
    <mergeCell ref="N40:O40"/>
    <mergeCell ref="Q40:R40"/>
    <mergeCell ref="S40:T40"/>
    <mergeCell ref="U40:V40"/>
    <mergeCell ref="W40:X40"/>
    <mergeCell ref="D37:E37"/>
    <mergeCell ref="F37:G37"/>
    <mergeCell ref="H37:J37"/>
    <mergeCell ref="M37:N37"/>
    <mergeCell ref="O37:AB37"/>
    <mergeCell ref="H38:I38"/>
    <mergeCell ref="J38:K38"/>
    <mergeCell ref="L38:M38"/>
    <mergeCell ref="N38:O38"/>
    <mergeCell ref="P38:P39"/>
    <mergeCell ref="Q38:R38"/>
    <mergeCell ref="S38:T38"/>
    <mergeCell ref="U38:V38"/>
    <mergeCell ref="W38:X38"/>
    <mergeCell ref="Y38:Y39"/>
    <mergeCell ref="Z38:AB38"/>
    <mergeCell ref="H39:I39"/>
    <mergeCell ref="J39:K39"/>
    <mergeCell ref="L39:M39"/>
    <mergeCell ref="N39:O39"/>
    <mergeCell ref="Q39:R39"/>
    <mergeCell ref="S39:T39"/>
    <mergeCell ref="U39:V39"/>
    <mergeCell ref="K37:L37"/>
    <mergeCell ref="D35:J35"/>
    <mergeCell ref="K35:N35"/>
    <mergeCell ref="O35:AB35"/>
    <mergeCell ref="D36:E36"/>
    <mergeCell ref="F36:G36"/>
    <mergeCell ref="H36:J36"/>
    <mergeCell ref="K36:P36"/>
    <mergeCell ref="Q36:R36"/>
    <mergeCell ref="S36:X36"/>
    <mergeCell ref="Y36:Z36"/>
    <mergeCell ref="AA36:AB36"/>
    <mergeCell ref="H31:I31"/>
    <mergeCell ref="L31:O31"/>
    <mergeCell ref="P31:S31"/>
    <mergeCell ref="T31:U31"/>
    <mergeCell ref="H32:I32"/>
    <mergeCell ref="L32:O32"/>
    <mergeCell ref="P32:S32"/>
    <mergeCell ref="T32:U32"/>
    <mergeCell ref="H29:I29"/>
    <mergeCell ref="L29:O29"/>
    <mergeCell ref="P29:S29"/>
    <mergeCell ref="T29:U29"/>
    <mergeCell ref="H30:I30"/>
    <mergeCell ref="L30:O30"/>
    <mergeCell ref="P30:S30"/>
    <mergeCell ref="T30:U30"/>
    <mergeCell ref="V32:AB32"/>
    <mergeCell ref="H33:I33"/>
    <mergeCell ref="L33:O33"/>
    <mergeCell ref="P33:S33"/>
    <mergeCell ref="T33:U33"/>
    <mergeCell ref="H34:I34"/>
    <mergeCell ref="L34:O34"/>
    <mergeCell ref="P34:S34"/>
    <mergeCell ref="T34:U34"/>
    <mergeCell ref="H27:I27"/>
    <mergeCell ref="L27:O27"/>
    <mergeCell ref="P27:S27"/>
    <mergeCell ref="T27:U27"/>
    <mergeCell ref="H28:I28"/>
    <mergeCell ref="L28:O28"/>
    <mergeCell ref="P28:S28"/>
    <mergeCell ref="T28:U28"/>
    <mergeCell ref="U23:V23"/>
    <mergeCell ref="W23:X23"/>
    <mergeCell ref="D25:I25"/>
    <mergeCell ref="J25:U25"/>
    <mergeCell ref="V25:AB25"/>
    <mergeCell ref="H26:I26"/>
    <mergeCell ref="L26:O26"/>
    <mergeCell ref="P26:S26"/>
    <mergeCell ref="T26:U26"/>
    <mergeCell ref="H23:I23"/>
    <mergeCell ref="J23:K23"/>
    <mergeCell ref="L23:M23"/>
    <mergeCell ref="N23:O23"/>
    <mergeCell ref="Q23:R23"/>
    <mergeCell ref="S23:T23"/>
    <mergeCell ref="U21:V21"/>
    <mergeCell ref="W21:X21"/>
    <mergeCell ref="H22:I22"/>
    <mergeCell ref="J22:K22"/>
    <mergeCell ref="L22:M22"/>
    <mergeCell ref="N22:O22"/>
    <mergeCell ref="Q22:R22"/>
    <mergeCell ref="S22:T22"/>
    <mergeCell ref="U22:V22"/>
    <mergeCell ref="W22:X22"/>
    <mergeCell ref="H21:I21"/>
    <mergeCell ref="J21:K21"/>
    <mergeCell ref="L21:M21"/>
    <mergeCell ref="N21:O21"/>
    <mergeCell ref="Q21:R21"/>
    <mergeCell ref="S21:T21"/>
    <mergeCell ref="U19:V19"/>
    <mergeCell ref="W19:X19"/>
    <mergeCell ref="H20:I20"/>
    <mergeCell ref="J20:K20"/>
    <mergeCell ref="L20:M20"/>
    <mergeCell ref="N20:O20"/>
    <mergeCell ref="Q20:R20"/>
    <mergeCell ref="S20:T20"/>
    <mergeCell ref="U20:V20"/>
    <mergeCell ref="W20:X20"/>
    <mergeCell ref="H19:I19"/>
    <mergeCell ref="J19:K19"/>
    <mergeCell ref="L19:M19"/>
    <mergeCell ref="N19:O19"/>
    <mergeCell ref="Q19:R19"/>
    <mergeCell ref="S19:T19"/>
    <mergeCell ref="U17:V17"/>
    <mergeCell ref="W17:X17"/>
    <mergeCell ref="H18:I18"/>
    <mergeCell ref="J18:K18"/>
    <mergeCell ref="L18:M18"/>
    <mergeCell ref="N18:O18"/>
    <mergeCell ref="Q18:R18"/>
    <mergeCell ref="S18:T18"/>
    <mergeCell ref="U18:V18"/>
    <mergeCell ref="W18:X18"/>
    <mergeCell ref="H17:I17"/>
    <mergeCell ref="J17:K17"/>
    <mergeCell ref="L17:M17"/>
    <mergeCell ref="N17:O17"/>
    <mergeCell ref="Q17:R17"/>
    <mergeCell ref="S17:T17"/>
    <mergeCell ref="U15:V15"/>
    <mergeCell ref="W15:X15"/>
    <mergeCell ref="H16:I16"/>
    <mergeCell ref="J16:K16"/>
    <mergeCell ref="L16:M16"/>
    <mergeCell ref="N16:O16"/>
    <mergeCell ref="Q16:R16"/>
    <mergeCell ref="S16:T16"/>
    <mergeCell ref="U16:V16"/>
    <mergeCell ref="W16:X16"/>
    <mergeCell ref="H15:I15"/>
    <mergeCell ref="J15:K15"/>
    <mergeCell ref="L15:M15"/>
    <mergeCell ref="N15:O15"/>
    <mergeCell ref="Q15:R15"/>
    <mergeCell ref="S15:T15"/>
    <mergeCell ref="U13:V13"/>
    <mergeCell ref="W13:X13"/>
    <mergeCell ref="H14:I14"/>
    <mergeCell ref="J14:K14"/>
    <mergeCell ref="L14:M14"/>
    <mergeCell ref="N14:O14"/>
    <mergeCell ref="Q14:R14"/>
    <mergeCell ref="S14:T14"/>
    <mergeCell ref="U14:V14"/>
    <mergeCell ref="W14:X14"/>
    <mergeCell ref="H13:I13"/>
    <mergeCell ref="J13:K13"/>
    <mergeCell ref="L13:M13"/>
    <mergeCell ref="N13:O13"/>
    <mergeCell ref="Q13:R13"/>
    <mergeCell ref="S13:T13"/>
    <mergeCell ref="U11:V11"/>
    <mergeCell ref="W11:X11"/>
    <mergeCell ref="H12:I12"/>
    <mergeCell ref="J12:K12"/>
    <mergeCell ref="L12:M12"/>
    <mergeCell ref="N12:O12"/>
    <mergeCell ref="Q12:R12"/>
    <mergeCell ref="S12:T12"/>
    <mergeCell ref="U12:V12"/>
    <mergeCell ref="W12:X12"/>
    <mergeCell ref="H11:I11"/>
    <mergeCell ref="J11:K11"/>
    <mergeCell ref="L11:M11"/>
    <mergeCell ref="N11:O11"/>
    <mergeCell ref="Q11:R11"/>
    <mergeCell ref="S11:T11"/>
    <mergeCell ref="H10:I10"/>
    <mergeCell ref="J10:K10"/>
    <mergeCell ref="L10:M10"/>
    <mergeCell ref="N10:O10"/>
    <mergeCell ref="Q10:R10"/>
    <mergeCell ref="S10:T10"/>
    <mergeCell ref="U10:V10"/>
    <mergeCell ref="W10:X10"/>
    <mergeCell ref="H9:I9"/>
    <mergeCell ref="J9:K9"/>
    <mergeCell ref="L9:M9"/>
    <mergeCell ref="N9:O9"/>
    <mergeCell ref="Q9:R9"/>
    <mergeCell ref="S9:T9"/>
    <mergeCell ref="H8:I8"/>
    <mergeCell ref="J8:K8"/>
    <mergeCell ref="L8:M8"/>
    <mergeCell ref="N8:O8"/>
    <mergeCell ref="Q8:R8"/>
    <mergeCell ref="S8:T8"/>
    <mergeCell ref="U8:V8"/>
    <mergeCell ref="W8:X8"/>
    <mergeCell ref="U9:V9"/>
    <mergeCell ref="W9:X9"/>
    <mergeCell ref="Y6:Y7"/>
    <mergeCell ref="Z6:AB6"/>
    <mergeCell ref="H7:I7"/>
    <mergeCell ref="J7:K7"/>
    <mergeCell ref="L7:M7"/>
    <mergeCell ref="N7:O7"/>
    <mergeCell ref="Q7:R7"/>
    <mergeCell ref="S7:T7"/>
    <mergeCell ref="U7:V7"/>
    <mergeCell ref="W7:X7"/>
    <mergeCell ref="H6:I6"/>
    <mergeCell ref="J6:K6"/>
    <mergeCell ref="L6:M6"/>
    <mergeCell ref="N6:O6"/>
    <mergeCell ref="P6:P7"/>
    <mergeCell ref="Q6:R6"/>
    <mergeCell ref="S6:T6"/>
    <mergeCell ref="U6:V6"/>
    <mergeCell ref="W6:X6"/>
    <mergeCell ref="D3:J3"/>
    <mergeCell ref="M5:N5"/>
    <mergeCell ref="O5:AB5"/>
    <mergeCell ref="D5:E5"/>
    <mergeCell ref="F5:G5"/>
    <mergeCell ref="H5:J5"/>
    <mergeCell ref="K5:L5"/>
    <mergeCell ref="H4:J4"/>
    <mergeCell ref="K4:P4"/>
    <mergeCell ref="Q4:R4"/>
    <mergeCell ref="K3:N3"/>
    <mergeCell ref="O3:AB3"/>
    <mergeCell ref="D4:E4"/>
    <mergeCell ref="F4:G4"/>
    <mergeCell ref="S4:X4"/>
    <mergeCell ref="AA4:AB4"/>
    <mergeCell ref="Y4:Z4"/>
  </mergeCells>
  <phoneticPr fontId="66" type="noConversion"/>
  <printOptions horizontalCentered="1"/>
  <pageMargins left="0.31496062992125984" right="0.31496062992125984" top="0.55118110236220474" bottom="0.55118110236220474" header="0.31496062992125984" footer="0.31496062992125984"/>
  <pageSetup paperSize="9" scale="98" orientation="landscape" blackAndWhite="1" r:id="rId1"/>
  <headerFooter>
    <oddHeader xml:space="preserve">&amp;C
 </oddHeader>
    <oddFooter>&amp;L&amp;"+,Regular"&amp;9&amp;D &amp;T&amp;C&amp;G&amp;R&amp;"+,Regular"&amp;9&amp;F/&amp;A/Page &amp;P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theme="9" tint="-0.249977111117893"/>
  </sheetPr>
  <dimension ref="A1:BU194"/>
  <sheetViews>
    <sheetView showZeros="0" view="pageBreakPreview" topLeftCell="D1" zoomScaleNormal="100" zoomScaleSheetLayoutView="100" workbookViewId="0">
      <selection activeCell="BW11" sqref="BW11"/>
    </sheetView>
  </sheetViews>
  <sheetFormatPr defaultColWidth="8.86328125" defaultRowHeight="14.25" x14ac:dyDescent="0.45"/>
  <cols>
    <col min="1" max="1" width="5.86328125" style="105" hidden="1" customWidth="1"/>
    <col min="2" max="2" width="4.86328125" style="106" hidden="1" customWidth="1"/>
    <col min="3" max="3" width="4.86328125" style="105" hidden="1" customWidth="1"/>
    <col min="4" max="5" width="4.73046875" style="105" customWidth="1"/>
    <col min="6" max="6" width="22.73046875" style="105" customWidth="1"/>
    <col min="7" max="7" width="12.73046875" style="105" customWidth="1"/>
    <col min="8" max="33" width="2.86328125" style="105" customWidth="1"/>
    <col min="34" max="36" width="4.86328125" style="105" customWidth="1"/>
    <col min="37" max="37" width="2.86328125" style="105" customWidth="1"/>
    <col min="38" max="39" width="2.86328125" style="147" customWidth="1"/>
    <col min="40" max="41" width="3.86328125" style="105" hidden="1" customWidth="1"/>
    <col min="42" max="43" width="4.3984375" style="105" hidden="1" customWidth="1"/>
    <col min="44" max="45" width="3.86328125" style="105" hidden="1" customWidth="1"/>
    <col min="46" max="47" width="4.3984375" style="105" hidden="1" customWidth="1"/>
    <col min="48" max="51" width="3.86328125" style="105" hidden="1" customWidth="1"/>
    <col min="52" max="53" width="5" style="138" hidden="1" customWidth="1"/>
    <col min="54" max="70" width="3.86328125" style="105" hidden="1" customWidth="1"/>
    <col min="71" max="73" width="8.86328125" style="105" hidden="1" customWidth="1"/>
    <col min="74" max="74" width="8.86328125" style="105" customWidth="1"/>
    <col min="75" max="16384" width="8.86328125" style="105"/>
  </cols>
  <sheetData>
    <row r="1" spans="1:72" x14ac:dyDescent="0.45">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row>
    <row r="3" spans="1:72" s="4" customFormat="1" ht="21" x14ac:dyDescent="0.45">
      <c r="A3" s="2" t="str">
        <f>MatchDay!$U$6</f>
        <v>X</v>
      </c>
      <c r="B3" s="10" t="str">
        <f>IFERROR(VLOOKUP($A4,fh,2,FALSE),"")</f>
        <v/>
      </c>
      <c r="C3" s="10" t="str">
        <f>IFERROR(VLOOKUP($A4,fdistance,3,FALSE),"")</f>
        <v/>
      </c>
      <c r="D3" s="502" t="s">
        <v>324</v>
      </c>
      <c r="E3" s="503"/>
      <c r="F3" s="503"/>
      <c r="G3" s="566"/>
      <c r="H3" s="515" t="s">
        <v>187</v>
      </c>
      <c r="I3" s="516"/>
      <c r="J3" s="516"/>
      <c r="K3" s="516"/>
      <c r="L3" s="516"/>
      <c r="M3" s="517"/>
      <c r="N3" s="518" t="str">
        <f>MatchDay!$C$2&amp;" "&amp;MatchDay!$C$3&amp;" "&amp;MatchDay!$C$4</f>
        <v>LOWER NORTH East 1</v>
      </c>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20"/>
      <c r="AP3" s="8"/>
      <c r="AT3" s="8"/>
      <c r="AU3" s="8"/>
      <c r="AV3" s="8"/>
      <c r="AW3" s="8"/>
      <c r="AX3" s="8"/>
      <c r="AY3" s="8"/>
      <c r="AZ3" s="152"/>
      <c r="BA3" s="152"/>
      <c r="BB3" s="8"/>
      <c r="BC3" s="8"/>
      <c r="BD3" s="8"/>
      <c r="BE3" s="8"/>
    </row>
    <row r="4" spans="1:72" s="4" customFormat="1" ht="15.75" customHeight="1" x14ac:dyDescent="0.45">
      <c r="A4" s="1" t="str">
        <f>IFERROR(IF(LEFT(MatchDay!$C$2,1)="L","L"&amp;A6,"U"&amp;A6),"")</f>
        <v>LFH01</v>
      </c>
      <c r="B4" s="8">
        <v>27</v>
      </c>
      <c r="D4" s="504" t="s">
        <v>188</v>
      </c>
      <c r="E4" s="505"/>
      <c r="F4" s="512" t="str">
        <f>IFERROR(UPPER(VLOOKUP(A5,teamlookup,6,FALSE)),"")</f>
        <v/>
      </c>
      <c r="G4" s="514"/>
      <c r="H4" s="504" t="s">
        <v>201</v>
      </c>
      <c r="I4" s="510"/>
      <c r="J4" s="505"/>
      <c r="K4" s="512" t="str">
        <f>MatchDay!$C$8</f>
        <v>@ Doncaster</v>
      </c>
      <c r="L4" s="513"/>
      <c r="M4" s="513"/>
      <c r="N4" s="513"/>
      <c r="O4" s="513"/>
      <c r="P4" s="513"/>
      <c r="Q4" s="513"/>
      <c r="R4" s="513"/>
      <c r="S4" s="513"/>
      <c r="T4" s="513"/>
      <c r="U4" s="513"/>
      <c r="V4" s="513"/>
      <c r="W4" s="513"/>
      <c r="X4" s="513"/>
      <c r="Y4" s="514"/>
      <c r="Z4" s="504" t="s">
        <v>160</v>
      </c>
      <c r="AA4" s="510"/>
      <c r="AB4" s="505"/>
      <c r="AC4" s="521">
        <f>MatchDay!$C$7</f>
        <v>43582</v>
      </c>
      <c r="AD4" s="522"/>
      <c r="AE4" s="522"/>
      <c r="AF4" s="522"/>
      <c r="AG4" s="522"/>
      <c r="AH4" s="522"/>
      <c r="AI4" s="522"/>
      <c r="AJ4" s="522"/>
      <c r="AK4" s="522"/>
      <c r="AL4" s="522"/>
      <c r="AM4" s="523"/>
      <c r="AN4" s="37"/>
      <c r="AP4" s="8"/>
      <c r="AT4" s="8"/>
      <c r="AU4" s="8"/>
      <c r="AV4" s="8"/>
      <c r="AW4" s="8"/>
      <c r="AX4" s="8"/>
      <c r="AY4" s="8"/>
      <c r="AZ4" s="152"/>
      <c r="BA4" s="152"/>
      <c r="BB4" s="8"/>
      <c r="BC4" s="8"/>
      <c r="BD4" s="8"/>
      <c r="BE4" s="8"/>
    </row>
    <row r="5" spans="1:72" s="4" customFormat="1" ht="15.75" customHeight="1" x14ac:dyDescent="0.45">
      <c r="A5" s="5">
        <f>IFERROR(IF(A3=1,VLOOKUP(A4,judges,VLOOKUP(MatchDay!$U$2*10+MatchDay!$C$5,judgesp,5,FALSE),FALSE),VLOOKUP(Distance!A4,judges,VLOOKUP(MatchDay!$U$2*10+MatchDay!$C$5,judges2,5,FALSE),FALSE)),"")</f>
        <v>0</v>
      </c>
      <c r="B5" s="38" t="str">
        <f>IFERROR(VLOOKUP($A6,fheight,2,FALSE),"")</f>
        <v>C</v>
      </c>
      <c r="C5" s="181">
        <f>IFERROR(VLOOKUP(A4,Timetables!$A:$E,5,FALSE)-1,"")</f>
        <v>20</v>
      </c>
      <c r="D5" s="504" t="s">
        <v>161</v>
      </c>
      <c r="E5" s="505"/>
      <c r="F5" s="508" t="str">
        <f>IFERROR(VLOOKUP(A4,timetables,2,FALSE)&amp;" "&amp;VLOOKUP(A4,timetables,3,FALSE),"")</f>
        <v>High Jump U15 Girls</v>
      </c>
      <c r="G5" s="509"/>
      <c r="H5" s="504" t="s">
        <v>162</v>
      </c>
      <c r="I5" s="510"/>
      <c r="J5" s="505"/>
      <c r="K5" s="559">
        <f>IFERROR(IF(A3=1,VLOOKUP(A4,Timetables!$A:$G,6,FALSE),VLOOKUP(A4,Timetables!$A:$G,7,FALSE)),"")</f>
        <v>0.48958333333333331</v>
      </c>
      <c r="L5" s="570"/>
      <c r="M5" s="560"/>
      <c r="N5" s="567" t="s">
        <v>202</v>
      </c>
      <c r="O5" s="568"/>
      <c r="P5" s="568"/>
      <c r="Q5" s="569"/>
      <c r="R5" s="567" t="str">
        <f>IFERROR(VLOOKUP(A4,records,3,FALSE)&amp;", "&amp;VLOOKUP(A4,records,4,FALSE)&amp;", "&amp;VLOOKUP(A4,records,5,FALSE)&amp;", "&amp;VLOOKUP(A4,records,6,FALSE)&amp;", "&amp;VLOOKUP(A4,records,7,FALSE)&amp;" "&amp;VLOOKUP(A4,records,8,FALSE),"")</f>
        <v>Phoebe Harland, Birchfield Harriers, 1.73, Loughborough, June 21st 2015</v>
      </c>
      <c r="S5" s="568"/>
      <c r="T5" s="568"/>
      <c r="U5" s="568"/>
      <c r="V5" s="568"/>
      <c r="W5" s="568"/>
      <c r="X5" s="568"/>
      <c r="Y5" s="568"/>
      <c r="Z5" s="568"/>
      <c r="AA5" s="568"/>
      <c r="AB5" s="568"/>
      <c r="AC5" s="568"/>
      <c r="AD5" s="568"/>
      <c r="AE5" s="568"/>
      <c r="AF5" s="568"/>
      <c r="AG5" s="568"/>
      <c r="AH5" s="568"/>
      <c r="AI5" s="568"/>
      <c r="AJ5" s="568"/>
      <c r="AK5" s="568"/>
      <c r="AL5" s="568"/>
      <c r="AM5" s="569"/>
      <c r="AN5" s="8"/>
      <c r="AP5" s="8"/>
      <c r="AT5" s="8"/>
      <c r="AU5" s="8"/>
      <c r="AV5" s="8"/>
      <c r="AW5" s="8"/>
      <c r="AX5" s="8"/>
      <c r="AY5" s="8"/>
      <c r="AZ5" s="152"/>
      <c r="BA5" s="152"/>
      <c r="BB5" s="8"/>
      <c r="BC5" s="8"/>
      <c r="BD5" s="8"/>
      <c r="BE5" s="8"/>
    </row>
    <row r="6" spans="1:72" s="4" customFormat="1" ht="38.25" customHeight="1" x14ac:dyDescent="0.45">
      <c r="A6" s="5" t="s">
        <v>325</v>
      </c>
      <c r="B6" s="10" t="str">
        <f>IFERROR(VLOOKUP($A6,fheight,3,FALSE),"")</f>
        <v>G</v>
      </c>
      <c r="C6" s="10">
        <f>IFERROR(VLOOKUP($A6,fheight,4,FALSE),"")</f>
        <v>4</v>
      </c>
      <c r="D6" s="39" t="s">
        <v>163</v>
      </c>
      <c r="E6" s="39" t="s">
        <v>164</v>
      </c>
      <c r="F6" s="39" t="s">
        <v>165</v>
      </c>
      <c r="G6" s="40" t="s">
        <v>166</v>
      </c>
      <c r="H6" s="559">
        <v>1.1499999999999999</v>
      </c>
      <c r="I6" s="560"/>
      <c r="J6" s="559">
        <v>1.2</v>
      </c>
      <c r="K6" s="560"/>
      <c r="L6" s="559">
        <v>1.25</v>
      </c>
      <c r="M6" s="560"/>
      <c r="N6" s="559">
        <v>1.3</v>
      </c>
      <c r="O6" s="560"/>
      <c r="P6" s="559">
        <v>1.35</v>
      </c>
      <c r="Q6" s="560"/>
      <c r="R6" s="559">
        <v>1.4</v>
      </c>
      <c r="S6" s="560"/>
      <c r="T6" s="559"/>
      <c r="U6" s="560"/>
      <c r="V6" s="559"/>
      <c r="W6" s="560"/>
      <c r="X6" s="559"/>
      <c r="Y6" s="560"/>
      <c r="Z6" s="559"/>
      <c r="AA6" s="560"/>
      <c r="AB6" s="559"/>
      <c r="AC6" s="560"/>
      <c r="AD6" s="559"/>
      <c r="AE6" s="560"/>
      <c r="AF6" s="561" t="s">
        <v>319</v>
      </c>
      <c r="AG6" s="562"/>
      <c r="AH6" s="563" t="s">
        <v>320</v>
      </c>
      <c r="AI6" s="563" t="s">
        <v>321</v>
      </c>
      <c r="AJ6" s="563" t="s">
        <v>522</v>
      </c>
      <c r="AK6" s="41"/>
      <c r="AL6" s="571" t="s">
        <v>177</v>
      </c>
      <c r="AM6" s="572"/>
      <c r="AN6" s="42" t="s">
        <v>322</v>
      </c>
      <c r="AP6" s="8"/>
      <c r="AT6" s="8"/>
      <c r="AU6" s="8"/>
      <c r="AV6" s="8"/>
      <c r="AW6" s="8"/>
      <c r="AX6" s="8"/>
      <c r="AY6" s="8"/>
      <c r="AZ6" s="152"/>
      <c r="BA6" s="152"/>
      <c r="BB6" s="8"/>
      <c r="BC6" s="8"/>
      <c r="BD6" s="8"/>
      <c r="BE6" s="8"/>
    </row>
    <row r="7" spans="1:72" s="4" customFormat="1" ht="10.5" x14ac:dyDescent="0.35">
      <c r="A7" s="137">
        <f>IFERROR(SEARCH("U17",F5),0)</f>
        <v>0</v>
      </c>
      <c r="B7" s="1"/>
      <c r="C7" s="1"/>
      <c r="D7" s="43"/>
      <c r="E7" s="43"/>
      <c r="F7" s="58"/>
      <c r="G7" s="57"/>
      <c r="H7" s="554" t="s">
        <v>178</v>
      </c>
      <c r="I7" s="565"/>
      <c r="J7" s="554" t="s">
        <v>178</v>
      </c>
      <c r="K7" s="565"/>
      <c r="L7" s="554" t="s">
        <v>178</v>
      </c>
      <c r="M7" s="565"/>
      <c r="N7" s="554" t="s">
        <v>178</v>
      </c>
      <c r="O7" s="565"/>
      <c r="P7" s="554" t="s">
        <v>178</v>
      </c>
      <c r="Q7" s="565"/>
      <c r="R7" s="554" t="s">
        <v>178</v>
      </c>
      <c r="S7" s="565"/>
      <c r="T7" s="554" t="s">
        <v>178</v>
      </c>
      <c r="U7" s="565"/>
      <c r="V7" s="554" t="s">
        <v>178</v>
      </c>
      <c r="W7" s="565"/>
      <c r="X7" s="554" t="s">
        <v>178</v>
      </c>
      <c r="Y7" s="565"/>
      <c r="Z7" s="554" t="s">
        <v>178</v>
      </c>
      <c r="AA7" s="565"/>
      <c r="AB7" s="554" t="s">
        <v>178</v>
      </c>
      <c r="AC7" s="565"/>
      <c r="AD7" s="554" t="s">
        <v>178</v>
      </c>
      <c r="AE7" s="565"/>
      <c r="AF7" s="554" t="s">
        <v>178</v>
      </c>
      <c r="AG7" s="565"/>
      <c r="AH7" s="564"/>
      <c r="AI7" s="564"/>
      <c r="AJ7" s="564"/>
      <c r="AK7" s="44"/>
      <c r="AL7" s="573"/>
      <c r="AM7" s="574"/>
      <c r="AN7" s="42"/>
      <c r="AP7" s="9"/>
      <c r="AQ7" s="9"/>
      <c r="AR7" s="45"/>
      <c r="AS7" s="45"/>
      <c r="AT7" s="45"/>
      <c r="AU7" s="46"/>
      <c r="AV7" s="45"/>
      <c r="AW7" s="9"/>
      <c r="AX7" s="9"/>
      <c r="AY7" s="47"/>
      <c r="AZ7" s="151"/>
      <c r="BA7" s="151"/>
      <c r="BB7" s="9"/>
      <c r="BC7" s="9">
        <v>1</v>
      </c>
      <c r="BD7" s="9">
        <v>2</v>
      </c>
      <c r="BE7" s="9">
        <v>3</v>
      </c>
      <c r="BF7" s="9">
        <v>4</v>
      </c>
      <c r="BG7" s="9">
        <v>5</v>
      </c>
      <c r="BH7" s="9">
        <v>6</v>
      </c>
      <c r="BI7" s="9">
        <v>7</v>
      </c>
      <c r="BJ7" s="9">
        <v>8</v>
      </c>
      <c r="BK7" s="9">
        <v>1</v>
      </c>
      <c r="BL7" s="9">
        <v>2</v>
      </c>
      <c r="BM7" s="9">
        <v>3</v>
      </c>
      <c r="BN7" s="9">
        <v>4</v>
      </c>
      <c r="BO7" s="9">
        <v>5</v>
      </c>
      <c r="BP7" s="9">
        <v>6</v>
      </c>
      <c r="BQ7" s="9">
        <v>7</v>
      </c>
      <c r="BR7" s="9">
        <v>8</v>
      </c>
      <c r="BS7" s="46"/>
    </row>
    <row r="8" spans="1:72" s="4" customFormat="1" ht="15.95" customHeight="1" x14ac:dyDescent="0.35">
      <c r="A8" s="8">
        <f>IFERROR(IF(D8&gt;MatchDay!$U$2,"-",VLOOKUP(A4,timetables,MatchDay!$U$4,FALSE)),0)</f>
        <v>4</v>
      </c>
      <c r="B8" s="10" t="str">
        <f ca="1">IFERROR(IF(OR(AK8=0,AK8="B"),"",RANK(AZ8,AZ8:AZ23,1)),"")</f>
        <v/>
      </c>
      <c r="C8" s="10" t="str">
        <f ca="1">IFERROR(IF(OR(AK8=0,AK8="A"),"",RANK(BA8,BA8:BA23,1)),"")</f>
        <v/>
      </c>
      <c r="D8" s="56">
        <v>1</v>
      </c>
      <c r="E8" s="17">
        <f>A8</f>
        <v>4</v>
      </c>
      <c r="F8" s="18" t="str">
        <f ca="1">IFERROR(IF(A7=0,HLOOKUP(E8,Declarations!$D$2:$S$102,C5,FALSE),HLOOKUP(VLOOKUP(E8,Teams!$V$2:$W$19,2,FALSE),Declarations!$D$2:$S$102,C5,FALSE)),"")</f>
        <v>MANNION Grace</v>
      </c>
      <c r="G8" s="18" t="str">
        <f t="shared" ref="G8:G23" si="0">IFERROR(VLOOKUP(E8,teamlookup,5,FALSE),"-")</f>
        <v>M'bro</v>
      </c>
      <c r="H8" s="526"/>
      <c r="I8" s="527"/>
      <c r="J8" s="526"/>
      <c r="K8" s="527"/>
      <c r="L8" s="526"/>
      <c r="M8" s="527"/>
      <c r="N8" s="526"/>
      <c r="O8" s="527"/>
      <c r="P8" s="526"/>
      <c r="Q8" s="527"/>
      <c r="R8" s="526"/>
      <c r="S8" s="527"/>
      <c r="T8" s="526"/>
      <c r="U8" s="527"/>
      <c r="V8" s="526"/>
      <c r="W8" s="527"/>
      <c r="X8" s="526"/>
      <c r="Y8" s="527"/>
      <c r="Z8" s="526"/>
      <c r="AA8" s="527"/>
      <c r="AB8" s="526"/>
      <c r="AC8" s="527"/>
      <c r="AD8" s="526"/>
      <c r="AE8" s="527"/>
      <c r="AF8" s="557">
        <f ca="1">IFERROR(INDIRECT(CONCATENATE("'Height Input'!"&amp;B6&amp;C6)),"")</f>
        <v>0</v>
      </c>
      <c r="AG8" s="558"/>
      <c r="AH8" s="48"/>
      <c r="AI8" s="48"/>
      <c r="AJ8" s="49">
        <f ca="1">IFERROR(IF(AF8="X",MatchDay!$U$2+MatchDay!$U$2+1-COUNTIF($AF8:AF8,"X"),IF(AF8&gt;=97,1,INT(INDIRECT(CONCATENATE("'Height Input'!"&amp;$B5&amp;$C6))))),"")</f>
        <v>0</v>
      </c>
      <c r="AK8" s="50">
        <f ca="1">IFERROR(IF(OR(AJ8=0,AJ8=""),0,IF(OR(AJ8&lt;=VLOOKUP(BT8,$E16:$AJ23,32,FALSE),VLOOKUP(BT8,$E16:$AJ23,32,FALSE)=0),"A","B")),0)</f>
        <v>0</v>
      </c>
      <c r="AL8" s="139" t="str">
        <f ca="1">IFERROR(IF(OR(AK8=0,AK8="B"),"",RANK(AW8,AW8:AW23,1)),"")</f>
        <v/>
      </c>
      <c r="AM8" s="139" t="str">
        <f ca="1">IFERROR(IF(OR(AK8=0,AK8="A"),"",RANK(AX8,AX8:AX23,1)),"")</f>
        <v/>
      </c>
      <c r="AN8" s="51">
        <f ca="1">IFERROR(IF(AF8="X",0,(INDIRECT(CONCATENATE("'Height Input'!"&amp;$B5&amp;$C6))-AJ8)*10),"")</f>
        <v>0</v>
      </c>
      <c r="AO8" s="8"/>
      <c r="AP8" s="9" t="str">
        <f ca="1">IF(AQ8="","",IF(AQ8=1,AR8,REPT(AR8,AQ8-1)))</f>
        <v/>
      </c>
      <c r="AQ8" s="9" t="str">
        <f ca="1">IF(AR8="","",HLOOKUP(AL8,BC7:BJ24,18,FALSE))</f>
        <v/>
      </c>
      <c r="AR8" s="45" t="str">
        <f ca="1">IF(OR(AL8=0,AL8=""),"",IF(COUNTIFS(AL8:AL23,AL8)&gt;1,"=",""))</f>
        <v/>
      </c>
      <c r="AS8" s="45"/>
      <c r="AT8" s="9" t="str">
        <f ca="1">IF(AU8="","",IF(AU8=1,AV8,REPT(AV8,AU8-1)))</f>
        <v/>
      </c>
      <c r="AU8" s="9" t="str">
        <f ca="1">IF(AV8="","",HLOOKUP(AM8,BK7:BR24,18,FALSE))</f>
        <v/>
      </c>
      <c r="AV8" s="45" t="str">
        <f ca="1">IF(OR(AM8=0,AM8=""),"",IF(COUNTIFS(AM8:AM23,AM8)&gt;1,"=",""))</f>
        <v/>
      </c>
      <c r="AW8" s="9" t="str">
        <f ca="1">IF(OR(AJ8=0,AF8=0,AK8="B"),"",AJ8)</f>
        <v/>
      </c>
      <c r="AX8" s="9" t="str">
        <f t="shared" ref="AX8:AX23" ca="1" si="1">IF(OR(AJ8=0,AF8=0,AK8="A"),"",AJ8)</f>
        <v/>
      </c>
      <c r="AY8" s="47"/>
      <c r="AZ8" s="151" t="str">
        <f ca="1">IF(AW8="","",AW8+(AN8/10))</f>
        <v/>
      </c>
      <c r="BA8" s="151" t="str">
        <f ca="1">IF(AX8="","",AX8+(AN8/10))</f>
        <v/>
      </c>
      <c r="BB8" s="9"/>
      <c r="BC8" s="52" t="str">
        <f ca="1">IF(AL8="","",IF(AL8=BC7,AL8,""))</f>
        <v/>
      </c>
      <c r="BD8" s="52" t="str">
        <f ca="1">IF(AL8="","",IF(AL8=BD7,AL8,""))</f>
        <v/>
      </c>
      <c r="BE8" s="52" t="str">
        <f ca="1">IF(AL8="","",IF(AL8=BE7,AL8,""))</f>
        <v/>
      </c>
      <c r="BF8" s="52" t="str">
        <f ca="1">IF(AL8="","",IF(AL8=BF7,AL8,""))</f>
        <v/>
      </c>
      <c r="BG8" s="52" t="str">
        <f ca="1">IF(AL8="","",IF(AL8=BG7,AL8,""))</f>
        <v/>
      </c>
      <c r="BH8" s="52" t="str">
        <f ca="1">IF(AL8="","",IF(AL8=BH7,AL8,""))</f>
        <v/>
      </c>
      <c r="BI8" s="52" t="str">
        <f ca="1">IF(AL8="","",IF(AL8=BI7,AL8,""))</f>
        <v/>
      </c>
      <c r="BJ8" s="52" t="str">
        <f ca="1">IF(AL8="","",IF(AL8=BJ7,AL8,""))</f>
        <v/>
      </c>
      <c r="BK8" s="52" t="str">
        <f ca="1">IF(AM8="","",IF(AM8=BK7,AM8,""))</f>
        <v/>
      </c>
      <c r="BL8" s="52" t="str">
        <f ca="1">IF(AM8="","",IF(AM8=BL7,AM8,""))</f>
        <v/>
      </c>
      <c r="BM8" s="52" t="str">
        <f ca="1">IF(AM8="","",IF(AM8=BM7,AM8,""))</f>
        <v/>
      </c>
      <c r="BN8" s="52" t="str">
        <f ca="1">IF(AM8="","",IF(AM8=BN7,AM8,""))</f>
        <v/>
      </c>
      <c r="BO8" s="52" t="str">
        <f ca="1">IF(AM8="","",IF(AM8=BO7,AM8,""))</f>
        <v/>
      </c>
      <c r="BP8" s="52" t="str">
        <f ca="1">IF(AM8="","",IF(AM8=BP7,AM8,""))</f>
        <v/>
      </c>
      <c r="BQ8" s="52" t="str">
        <f ca="1">IF(AM8="","",IF(AM8=BQ7,AM8,""))</f>
        <v/>
      </c>
      <c r="BR8" s="52" t="str">
        <f ca="1">IF(AM8="","",IF(AM8=BR7,AM8,""))</f>
        <v/>
      </c>
      <c r="BS8" s="46"/>
      <c r="BT8" s="4">
        <f>IFERROR(IF(A7=0,A8*11,A8&amp;A8),"")</f>
        <v>44</v>
      </c>
    </row>
    <row r="9" spans="1:72" s="4" customFormat="1" ht="15.95" customHeight="1" x14ac:dyDescent="0.35">
      <c r="A9" s="8">
        <f>IFERROR(IF(D9&gt;MatchDay!$U$2,"-",VLOOKUP(A4,timetables,MatchDay!$U$4+1,FALSE)),0)</f>
        <v>2</v>
      </c>
      <c r="B9" s="10">
        <f ca="1">IFERROR(IF(OR(AK9=0,AK9="B"),"",RANK(AZ9,AZ8:AZ23,1)),"")</f>
        <v>3</v>
      </c>
      <c r="C9" s="10" t="str">
        <f ca="1">IFERROR(IF(OR(AK9=0,AK9="A"),"",RANK(BA9,BA8:BA23,1)),"")</f>
        <v/>
      </c>
      <c r="D9" s="55">
        <v>2</v>
      </c>
      <c r="E9" s="17">
        <f t="shared" ref="E9:E23" si="2">A9</f>
        <v>2</v>
      </c>
      <c r="F9" s="18" t="str">
        <f ca="1">IFERROR(IF(A7=0,HLOOKUP(E9,Declarations!$D$2:$S$102,C5,FALSE),HLOOKUP(VLOOKUP(E9,Teams!$V$2:$W$19,2,FALSE),Declarations!$D$2:$S$102,C5,FALSE)),"")</f>
        <v>WOODHOUSE Polly</v>
      </c>
      <c r="G9" s="18" t="str">
        <f t="shared" si="0"/>
        <v>Sheff+D</v>
      </c>
      <c r="H9" s="526"/>
      <c r="I9" s="527"/>
      <c r="J9" s="526"/>
      <c r="K9" s="527"/>
      <c r="L9" s="526"/>
      <c r="M9" s="527"/>
      <c r="N9" s="526"/>
      <c r="O9" s="527"/>
      <c r="P9" s="526"/>
      <c r="Q9" s="527"/>
      <c r="R9" s="526"/>
      <c r="S9" s="527"/>
      <c r="T9" s="526"/>
      <c r="U9" s="527"/>
      <c r="V9" s="526"/>
      <c r="W9" s="527"/>
      <c r="X9" s="526"/>
      <c r="Y9" s="527"/>
      <c r="Z9" s="526"/>
      <c r="AA9" s="527"/>
      <c r="AB9" s="526"/>
      <c r="AC9" s="527"/>
      <c r="AD9" s="526"/>
      <c r="AE9" s="527"/>
      <c r="AF9" s="557">
        <f ca="1">IFERROR(INDIRECT(CONCATENATE("'Height Input'!"&amp;B6&amp;C6+1)),"")</f>
        <v>1.5</v>
      </c>
      <c r="AG9" s="558"/>
      <c r="AH9" s="48"/>
      <c r="AI9" s="48"/>
      <c r="AJ9" s="49">
        <f ca="1">IFERROR(IF(AF9="X",MatchDay!$U$2+MatchDay!$U$2+1-COUNTIF($AF8:AF9,"X"),IF(AF9&gt;=97,1,INT(INDIRECT(CONCATENATE("'Height Input'!"&amp;$B5&amp;$C6+1))))),"")</f>
        <v>3</v>
      </c>
      <c r="AK9" s="50" t="str">
        <f ca="1">IFERROR(IF(OR(AJ9=0,AJ9=""),0,IF(OR(AJ9&lt;=VLOOKUP(BT9,$E16:$AJ23,32,FALSE),VLOOKUP(BT9,$E16:$AJ23,32,FALSE)=0),"A","B")),0)</f>
        <v>A</v>
      </c>
      <c r="AL9" s="139">
        <f ca="1">IFERROR(IF(OR(AK9=0,AK9="B"),"",RANK(AW9,AW8:AW23,1)),"")</f>
        <v>3</v>
      </c>
      <c r="AM9" s="139" t="str">
        <f ca="1">IFERROR(IF(OR(AK9=0,AK9="A"),"",RANK(AX9,AX8:AX23,1)),"")</f>
        <v/>
      </c>
      <c r="AN9" s="51">
        <f ca="1">IFERROR(IF(AF9="X",0,(INDIRECT(CONCATENATE("'Height Input'!"&amp;$B5&amp;$C6+1))-AJ9)*10),"")</f>
        <v>0</v>
      </c>
      <c r="AO9" s="8"/>
      <c r="AP9" s="9" t="str">
        <f t="shared" ref="AP9:AP23" ca="1" si="3">IF(AQ9="","",IF(AQ9=1,AR9,REPT(AR9,AQ9-1)))</f>
        <v/>
      </c>
      <c r="AQ9" s="9" t="str">
        <f ca="1">IF(AR9="","",HLOOKUP(AL9,BC7:BJ24,18,FALSE))</f>
        <v/>
      </c>
      <c r="AR9" s="45" t="str">
        <f ca="1">IF(OR(AL9=0,AL9=""),"",IF(COUNTIFS(AL8:AL23,AL9)&gt;1,"=",""))</f>
        <v/>
      </c>
      <c r="AS9" s="45"/>
      <c r="AT9" s="9" t="str">
        <f t="shared" ref="AT9:AT23" ca="1" si="4">IF(AU9="","",IF(AU9=1,AV9,REPT(AV9,AU9-1)))</f>
        <v/>
      </c>
      <c r="AU9" s="9" t="str">
        <f ca="1">IF(AV9="","",HLOOKUP(AM9,BK7:BR24,18,FALSE))</f>
        <v/>
      </c>
      <c r="AV9" s="45" t="str">
        <f ca="1">IF(OR(AM9=0,AM9=""),"",IF(COUNTIFS(AM8:AM23,AM9)&gt;1,"=",""))</f>
        <v/>
      </c>
      <c r="AW9" s="9">
        <f t="shared" ref="AW9:AW23" ca="1" si="5">IF(OR(AJ9=0,AF9=0,AK9="B"),"",AJ9)</f>
        <v>3</v>
      </c>
      <c r="AX9" s="9" t="str">
        <f t="shared" ca="1" si="1"/>
        <v/>
      </c>
      <c r="AY9" s="47"/>
      <c r="AZ9" s="151">
        <f ca="1">IF(AW9="","",AW9+(AN9/10))</f>
        <v>3</v>
      </c>
      <c r="BA9" s="151" t="str">
        <f t="shared" ref="BA9:BA23" ca="1" si="6">IF(AX9="","",AX9+(AN9/10))</f>
        <v/>
      </c>
      <c r="BB9" s="9"/>
      <c r="BC9" s="52" t="str">
        <f ca="1">IF(AL9="","",IF(AL9=BC7,AL9,""))</f>
        <v/>
      </c>
      <c r="BD9" s="52" t="str">
        <f ca="1">IF(AL9="","",IF(AL9=BD7,AL9,""))</f>
        <v/>
      </c>
      <c r="BE9" s="52">
        <f ca="1">IF(AL9="","",IF(AL9=BE7,AL9,""))</f>
        <v>3</v>
      </c>
      <c r="BF9" s="52" t="str">
        <f ca="1">IF(AL9="","",IF(AL9=BF7,AL9,""))</f>
        <v/>
      </c>
      <c r="BG9" s="52" t="str">
        <f ca="1">IF(AL9="","",IF(AL9=BG7,AL9,""))</f>
        <v/>
      </c>
      <c r="BH9" s="52" t="str">
        <f ca="1">IF(AL9="","",IF(AL9=BH7,AL9,""))</f>
        <v/>
      </c>
      <c r="BI9" s="52" t="str">
        <f ca="1">IF(AL9="","",IF(AL9=BI7,AL9,""))</f>
        <v/>
      </c>
      <c r="BJ9" s="52" t="str">
        <f ca="1">IF(AL9="","",IF(AL9=BJ7,AL9,""))</f>
        <v/>
      </c>
      <c r="BK9" s="52" t="str">
        <f ca="1">IF(AM9="","",IF(AM9=BK7,AM9,""))</f>
        <v/>
      </c>
      <c r="BL9" s="52" t="str">
        <f ca="1">IF(AM9="","",IF(AM9=BL7,AM9,""))</f>
        <v/>
      </c>
      <c r="BM9" s="52" t="str">
        <f ca="1">IF(AM9="","",IF(AM9=BM7,AM9,""))</f>
        <v/>
      </c>
      <c r="BN9" s="52" t="str">
        <f ca="1">IF(AM9="","",IF(AM9=BN7,AM9,""))</f>
        <v/>
      </c>
      <c r="BO9" s="52" t="str">
        <f ca="1">IF(AM9="","",IF(AM9=BO7,AM9,""))</f>
        <v/>
      </c>
      <c r="BP9" s="52" t="str">
        <f ca="1">IF(AM9="","",IF(AM9=BP7,AM9,""))</f>
        <v/>
      </c>
      <c r="BQ9" s="52" t="str">
        <f ca="1">IF(AM9="","",IF(AM9=BQ7,AM9,""))</f>
        <v/>
      </c>
      <c r="BR9" s="52" t="str">
        <f ca="1">IF(AM9="","",IF(AM9=BR7,AM9,""))</f>
        <v/>
      </c>
      <c r="BS9" s="46"/>
      <c r="BT9" s="4">
        <f>IFERROR(IF(A7=0,A9*11,A9&amp;A9),"")</f>
        <v>22</v>
      </c>
    </row>
    <row r="10" spans="1:72" s="4" customFormat="1" ht="15.95" customHeight="1" x14ac:dyDescent="0.35">
      <c r="A10" s="8">
        <f>IFERROR(IF(D10&gt;MatchDay!$U$2,"-",VLOOKUP(A4,timetables,MatchDay!$U$4+2,FALSE)),0)</f>
        <v>5</v>
      </c>
      <c r="B10" s="10" t="str">
        <f ca="1">IFERROR(IF(OR(AK10=0,AK10="B"),"",RANK(AZ10,AZ8:AZ23,1)),"")</f>
        <v/>
      </c>
      <c r="C10" s="10" t="str">
        <f ca="1">IFERROR(IF(OR(AK10=0,AK10="A"),"",RANK(BA10,BA8:BA23,1)),"")</f>
        <v/>
      </c>
      <c r="D10" s="55">
        <v>3</v>
      </c>
      <c r="E10" s="17">
        <f t="shared" si="2"/>
        <v>5</v>
      </c>
      <c r="F10" s="18">
        <f ca="1">IFERROR(IF(A7=0,HLOOKUP(E10,Declarations!$D$2:$S$102,C5,FALSE),HLOOKUP(VLOOKUP(E10,Teams!$V$2:$W$19,2,FALSE),Declarations!$D$2:$S$102,C5,FALSE)),"")</f>
        <v>0</v>
      </c>
      <c r="G10" s="18" t="str">
        <f t="shared" si="0"/>
        <v>Scun</v>
      </c>
      <c r="H10" s="526"/>
      <c r="I10" s="527"/>
      <c r="J10" s="526"/>
      <c r="K10" s="527"/>
      <c r="L10" s="526"/>
      <c r="M10" s="527"/>
      <c r="N10" s="526"/>
      <c r="O10" s="527"/>
      <c r="P10" s="526"/>
      <c r="Q10" s="527"/>
      <c r="R10" s="526"/>
      <c r="S10" s="527"/>
      <c r="T10" s="526"/>
      <c r="U10" s="527"/>
      <c r="V10" s="526"/>
      <c r="W10" s="527"/>
      <c r="X10" s="526"/>
      <c r="Y10" s="527"/>
      <c r="Z10" s="526"/>
      <c r="AA10" s="527"/>
      <c r="AB10" s="526"/>
      <c r="AC10" s="527"/>
      <c r="AD10" s="526"/>
      <c r="AE10" s="527"/>
      <c r="AF10" s="557">
        <f ca="1">IFERROR(INDIRECT(CONCATENATE("'Height Input'!"&amp;B6&amp;C6+2)),"")</f>
        <v>0</v>
      </c>
      <c r="AG10" s="558"/>
      <c r="AH10" s="48"/>
      <c r="AI10" s="48"/>
      <c r="AJ10" s="49">
        <f ca="1">IFERROR(IF(AF10="X",MatchDay!$U$2+MatchDay!$U$2+1-COUNTIF($AF8:AF10,"X"),IF(AF10&gt;=97,1,INT(INDIRECT(CONCATENATE("'Height Input'!"&amp;$B5&amp;$C6+2))))),"")</f>
        <v>0</v>
      </c>
      <c r="AK10" s="50">
        <f ca="1">IFERROR(IF(OR(AJ10=0,AJ10=""),0,IF(OR(AJ10&lt;=VLOOKUP(BT10,$E16:$AJ23,32,FALSE),VLOOKUP(BT10,$E16:$AJ23,32,FALSE)=0),"A","B")),0)</f>
        <v>0</v>
      </c>
      <c r="AL10" s="139" t="str">
        <f ca="1">IFERROR(IF(OR(AK10=0,AK10="B"),"",RANK(AW10,AW8:AW23,1)),"")</f>
        <v/>
      </c>
      <c r="AM10" s="139" t="str">
        <f ca="1">IFERROR(IF(OR(AK10=0,AK10="A"),"",RANK(AX10,AX8:AX23,1)),"")</f>
        <v/>
      </c>
      <c r="AN10" s="51">
        <f ca="1">IFERROR(IF(AF10="X",0,(INDIRECT(CONCATENATE("'Height Input'!"&amp;$B5&amp;$C6+2))-AJ10)*10),"")</f>
        <v>0</v>
      </c>
      <c r="AO10" s="8"/>
      <c r="AP10" s="9" t="str">
        <f t="shared" ca="1" si="3"/>
        <v/>
      </c>
      <c r="AQ10" s="9" t="str">
        <f ca="1">IF(AR10="","",HLOOKUP(AL10,BC7:BJ24,18,FALSE))</f>
        <v/>
      </c>
      <c r="AR10" s="45" t="str">
        <f ca="1">IF(OR(AL10=0,AL10=""),"",IF(COUNTIFS(AL8:AL23,AL10)&gt;1,"=",""))</f>
        <v/>
      </c>
      <c r="AS10" s="45"/>
      <c r="AT10" s="9" t="str">
        <f t="shared" ca="1" si="4"/>
        <v/>
      </c>
      <c r="AU10" s="9" t="str">
        <f ca="1">IF(AV10="","",HLOOKUP(AM10,BK7:BR24,18,FALSE))</f>
        <v/>
      </c>
      <c r="AV10" s="45" t="str">
        <f ca="1">IF(OR(AM10=0,AM10=""),"",IF(COUNTIFS(AM8:AM23,AM10)&gt;1,"=",""))</f>
        <v/>
      </c>
      <c r="AW10" s="9" t="str">
        <f t="shared" ca="1" si="5"/>
        <v/>
      </c>
      <c r="AX10" s="9" t="str">
        <f t="shared" ca="1" si="1"/>
        <v/>
      </c>
      <c r="AY10" s="47"/>
      <c r="AZ10" s="151" t="str">
        <f ca="1">IF(AW10="","",AW10+(AN10/10))</f>
        <v/>
      </c>
      <c r="BA10" s="151" t="str">
        <f t="shared" ca="1" si="6"/>
        <v/>
      </c>
      <c r="BB10" s="9"/>
      <c r="BC10" s="52" t="str">
        <f ca="1">IF(AL10="","",IF(AL10=BC7,AL10,""))</f>
        <v/>
      </c>
      <c r="BD10" s="52" t="str">
        <f ca="1">IF(AL10="","",IF(AL10=BD7,AL10,""))</f>
        <v/>
      </c>
      <c r="BE10" s="52" t="str">
        <f ca="1">IF(AL10="","",IF(AL10=BE7,AL10,""))</f>
        <v/>
      </c>
      <c r="BF10" s="52" t="str">
        <f ca="1">IF(AL10="","",IF(AL10=BF7,AL10,""))</f>
        <v/>
      </c>
      <c r="BG10" s="52" t="str">
        <f ca="1">IF(AL10="","",IF(AL10=BG7,AL10,""))</f>
        <v/>
      </c>
      <c r="BH10" s="52" t="str">
        <f ca="1">IF(AL10="","",IF(AL10=BH7,AL10,""))</f>
        <v/>
      </c>
      <c r="BI10" s="52" t="str">
        <f ca="1">IF(AL10="","",IF(AL10=BI7,AL10,""))</f>
        <v/>
      </c>
      <c r="BJ10" s="52" t="str">
        <f ca="1">IF(AL10="","",IF(AL10=BJ7,AL10,""))</f>
        <v/>
      </c>
      <c r="BK10" s="52" t="str">
        <f ca="1">IF(AM10="","",IF(AM10=BK7,AM10,""))</f>
        <v/>
      </c>
      <c r="BL10" s="52" t="str">
        <f ca="1">IF(AM10="","",IF(AM10=BL7,AM10,""))</f>
        <v/>
      </c>
      <c r="BM10" s="52" t="str">
        <f ca="1">IF(AM10="","",IF(AM10=BM7,AM10,""))</f>
        <v/>
      </c>
      <c r="BN10" s="52" t="str">
        <f ca="1">IF(AM10="","",IF(AM10=BN7,AM10,""))</f>
        <v/>
      </c>
      <c r="BO10" s="52" t="str">
        <f ca="1">IF(AM10="","",IF(AM10=BO7,AM10,""))</f>
        <v/>
      </c>
      <c r="BP10" s="52" t="str">
        <f ca="1">IF(AM10="","",IF(AM10=BP7,AM10,""))</f>
        <v/>
      </c>
      <c r="BQ10" s="52" t="str">
        <f ca="1">IF(AM10="","",IF(AM10=BQ7,AM10,""))</f>
        <v/>
      </c>
      <c r="BR10" s="52" t="str">
        <f ca="1">IF(AM10="","",IF(AM10=BR7,AM10,""))</f>
        <v/>
      </c>
      <c r="BS10" s="46"/>
      <c r="BT10" s="4">
        <f>IFERROR(IF(A7=0,A10*11,A10&amp;A10),"")</f>
        <v>55</v>
      </c>
    </row>
    <row r="11" spans="1:72" s="4" customFormat="1" ht="15.95" customHeight="1" x14ac:dyDescent="0.35">
      <c r="A11" s="8">
        <f>IFERROR(IF(D11&gt;MatchDay!$U$2,"-",VLOOKUP(A4,timetables,MatchDay!$U$4+3,FALSE)),0)</f>
        <v>1</v>
      </c>
      <c r="B11" s="10">
        <f ca="1">IFERROR(IF(OR(AK11=0,AK11="B"),"",RANK(AZ11,AZ8:AZ23,1)),"")</f>
        <v>1</v>
      </c>
      <c r="C11" s="10" t="str">
        <f ca="1">IFERROR(IF(OR(AK11=0,AK11="A"),"",RANK(BA11,BA8:BA23,1)),"")</f>
        <v/>
      </c>
      <c r="D11" s="55">
        <v>4</v>
      </c>
      <c r="E11" s="17">
        <f t="shared" si="2"/>
        <v>1</v>
      </c>
      <c r="F11" s="18" t="str">
        <f ca="1">IFERROR(IF(A7=0,HLOOKUP(E11,Declarations!$D$2:$S$102,C5,FALSE),HLOOKUP(VLOOKUP(E11,Teams!$V$2:$W$19,2,FALSE),Declarations!$D$2:$S$102,C5,FALSE)),"")</f>
        <v>MOODY Hannah</v>
      </c>
      <c r="G11" s="18" t="str">
        <f t="shared" si="0"/>
        <v>C'field</v>
      </c>
      <c r="H11" s="526"/>
      <c r="I11" s="527"/>
      <c r="J11" s="526"/>
      <c r="K11" s="527"/>
      <c r="L11" s="526"/>
      <c r="M11" s="527"/>
      <c r="N11" s="526"/>
      <c r="O11" s="527"/>
      <c r="P11" s="526"/>
      <c r="Q11" s="527"/>
      <c r="R11" s="526"/>
      <c r="S11" s="527"/>
      <c r="T11" s="526"/>
      <c r="U11" s="527"/>
      <c r="V11" s="526"/>
      <c r="W11" s="527"/>
      <c r="X11" s="526"/>
      <c r="Y11" s="527"/>
      <c r="Z11" s="526"/>
      <c r="AA11" s="527"/>
      <c r="AB11" s="526"/>
      <c r="AC11" s="527"/>
      <c r="AD11" s="526"/>
      <c r="AE11" s="527"/>
      <c r="AF11" s="557">
        <f ca="1">IFERROR(INDIRECT(CONCATENATE("'Height Input'!"&amp;B6&amp;C6+3)),"")</f>
        <v>1.55</v>
      </c>
      <c r="AG11" s="558"/>
      <c r="AH11" s="48"/>
      <c r="AI11" s="48"/>
      <c r="AJ11" s="49">
        <f ca="1">IFERROR(IF(AF11="X",MatchDay!$U$2+MatchDay!$U$2+1-COUNTIF($AF8:AF11,"X"),IF(AF11&gt;=97,1,INT(INDIRECT(CONCATENATE("'Height Input'!"&amp;$B5&amp;$C6+3))))),"")</f>
        <v>1</v>
      </c>
      <c r="AK11" s="50" t="str">
        <f ca="1">IFERROR(IF(OR(AJ11=0,AJ11=""),0,IF(OR(AJ11&lt;=VLOOKUP(BT11,$E16:$AJ23,32,FALSE),VLOOKUP(BT11,$E16:$AJ23,32,FALSE)=0),"A","B")),0)</f>
        <v>A</v>
      </c>
      <c r="AL11" s="139">
        <f ca="1">IFERROR(IF(OR(AK11=0,AK11="B"),"",RANK(AW11,AW8:AW23,1)),"")</f>
        <v>1</v>
      </c>
      <c r="AM11" s="139" t="str">
        <f ca="1">IFERROR(IF(OR(AK11=0,AK11="A"),"",RANK(AX11,AX8:AX23,1)),"")</f>
        <v/>
      </c>
      <c r="AN11" s="51">
        <f ca="1">IFERROR(IF(AF11="X",0,(INDIRECT(CONCATENATE("'Height Input'!"&amp;$B5&amp;$C6+3))-AJ11)*10),"")</f>
        <v>0</v>
      </c>
      <c r="AO11" s="8"/>
      <c r="AP11" s="9" t="str">
        <f t="shared" ca="1" si="3"/>
        <v/>
      </c>
      <c r="AQ11" s="9" t="str">
        <f ca="1">IF(AR11="","",HLOOKUP(AL11,BC7:BJ24,18,FALSE))</f>
        <v/>
      </c>
      <c r="AR11" s="45" t="str">
        <f ca="1">IF(OR(AL11=0,AL11=""),"",IF(COUNTIFS(AL8:AL23,AL11)&gt;1,"=",""))</f>
        <v/>
      </c>
      <c r="AS11" s="45"/>
      <c r="AT11" s="9" t="str">
        <f t="shared" ca="1" si="4"/>
        <v/>
      </c>
      <c r="AU11" s="9" t="str">
        <f ca="1">IF(AV11="","",HLOOKUP(AM11,BK7:BR24,18,FALSE))</f>
        <v/>
      </c>
      <c r="AV11" s="45" t="str">
        <f ca="1">IF(OR(AM11=0,AM11=""),"",IF(COUNTIFS(AM8:AM23,AM11)&gt;1,"=",""))</f>
        <v/>
      </c>
      <c r="AW11" s="9">
        <f t="shared" ca="1" si="5"/>
        <v>1</v>
      </c>
      <c r="AX11" s="9" t="str">
        <f t="shared" ca="1" si="1"/>
        <v/>
      </c>
      <c r="AY11" s="47"/>
      <c r="AZ11" s="151">
        <f t="shared" ref="AZ11:AZ23" ca="1" si="7">IF(AW11="","",AW11+(AN11/10))</f>
        <v>1</v>
      </c>
      <c r="BA11" s="151" t="str">
        <f t="shared" ca="1" si="6"/>
        <v/>
      </c>
      <c r="BB11" s="9"/>
      <c r="BC11" s="52">
        <f ca="1">IF(AL11="","",IF(AL11=BC7,AL11,""))</f>
        <v>1</v>
      </c>
      <c r="BD11" s="52" t="str">
        <f ca="1">IF(AL11="","",IF(AL11=BD7,AL11,""))</f>
        <v/>
      </c>
      <c r="BE11" s="52" t="str">
        <f ca="1">IF(AL11="","",IF(AL11=BE7,AL11,""))</f>
        <v/>
      </c>
      <c r="BF11" s="52" t="str">
        <f ca="1">IF(AL11="","",IF(AL11=BF7,AL11,""))</f>
        <v/>
      </c>
      <c r="BG11" s="52" t="str">
        <f ca="1">IF(AL11="","",IF(AL11=BG7,AL11,""))</f>
        <v/>
      </c>
      <c r="BH11" s="52" t="str">
        <f ca="1">IF(AL11="","",IF(AL11=BH7,AL11,""))</f>
        <v/>
      </c>
      <c r="BI11" s="52" t="str">
        <f ca="1">IF(AL11="","",IF(AL11=BI7,AL11,""))</f>
        <v/>
      </c>
      <c r="BJ11" s="52" t="str">
        <f ca="1">IF(AL11="","",IF(AL11=BJ7,AL11,""))</f>
        <v/>
      </c>
      <c r="BK11" s="52" t="str">
        <f ca="1">IF(AM11="","",IF(AM11=BK7,AM11,""))</f>
        <v/>
      </c>
      <c r="BL11" s="52" t="str">
        <f ca="1">IF(AM11="","",IF(AM11=BL7,AM11,""))</f>
        <v/>
      </c>
      <c r="BM11" s="52" t="str">
        <f ca="1">IF(AM11="","",IF(AM11=BM7,AM11,""))</f>
        <v/>
      </c>
      <c r="BN11" s="52" t="str">
        <f ca="1">IF(AM11="","",IF(AM11=BN7,AM11,""))</f>
        <v/>
      </c>
      <c r="BO11" s="52" t="str">
        <f ca="1">IF(AM11="","",IF(AM11=BO7,AM11,""))</f>
        <v/>
      </c>
      <c r="BP11" s="52" t="str">
        <f ca="1">IF(AM11="","",IF(AM11=BP7,AM11,""))</f>
        <v/>
      </c>
      <c r="BQ11" s="52" t="str">
        <f ca="1">IF(AM11="","",IF(AM11=BQ7,AM11,""))</f>
        <v/>
      </c>
      <c r="BR11" s="52" t="str">
        <f ca="1">IF(AM11="","",IF(AM11=BR7,AM11,""))</f>
        <v/>
      </c>
      <c r="BS11" s="46"/>
      <c r="BT11" s="4">
        <f>IFERROR(IF(A7=0,A11*11,A11&amp;A11),"")</f>
        <v>11</v>
      </c>
    </row>
    <row r="12" spans="1:72" s="4" customFormat="1" ht="15.95" customHeight="1" x14ac:dyDescent="0.35">
      <c r="A12" s="8">
        <f>IFERROR(IF(D12&gt;MatchDay!$U$2,"-",VLOOKUP(A4,timetables,MatchDay!$U$4+4,FALSE)),0)</f>
        <v>3</v>
      </c>
      <c r="B12" s="10">
        <f ca="1">IFERROR(IF(OR(AK12=0,AK12="B"),"",RANK(AZ12,AZ8:AZ23,1)),"")</f>
        <v>2</v>
      </c>
      <c r="C12" s="10" t="str">
        <f ca="1">IFERROR(IF(OR(AK12=0,AK12="A"),"",RANK(BA12,BA8:BA23,1)),"")</f>
        <v/>
      </c>
      <c r="D12" s="55">
        <v>5</v>
      </c>
      <c r="E12" s="17">
        <f t="shared" si="2"/>
        <v>3</v>
      </c>
      <c r="F12" s="18" t="str">
        <f ca="1">IFERROR(IF(A7=0,HLOOKUP(E12,Declarations!$D$2:$S$102,C5,FALSE),HLOOKUP(VLOOKUP(E12,Teams!$V$2:$W$19,2,FALSE),Declarations!$D$2:$S$102,C5,FALSE)),"")</f>
        <v>HOGG Frances</v>
      </c>
      <c r="G12" s="18" t="str">
        <f t="shared" si="0"/>
        <v>York</v>
      </c>
      <c r="H12" s="526"/>
      <c r="I12" s="527"/>
      <c r="J12" s="526"/>
      <c r="K12" s="527"/>
      <c r="L12" s="526"/>
      <c r="M12" s="527"/>
      <c r="N12" s="526"/>
      <c r="O12" s="527"/>
      <c r="P12" s="526"/>
      <c r="Q12" s="527"/>
      <c r="R12" s="526"/>
      <c r="S12" s="527"/>
      <c r="T12" s="526"/>
      <c r="U12" s="527"/>
      <c r="V12" s="526"/>
      <c r="W12" s="527"/>
      <c r="X12" s="526"/>
      <c r="Y12" s="527"/>
      <c r="Z12" s="526"/>
      <c r="AA12" s="527"/>
      <c r="AB12" s="526"/>
      <c r="AC12" s="527"/>
      <c r="AD12" s="526"/>
      <c r="AE12" s="527"/>
      <c r="AF12" s="557">
        <f ca="1">IFERROR(INDIRECT(CONCATENATE("'Height Input'!"&amp;B6&amp;C6+4)),"")</f>
        <v>1.5</v>
      </c>
      <c r="AG12" s="558"/>
      <c r="AH12" s="48"/>
      <c r="AI12" s="48"/>
      <c r="AJ12" s="49">
        <f ca="1">IFERROR(IF(AF12="X",MatchDay!$U$2+MatchDay!$U$2+1-COUNTIF($AF8:AF12,"X"),IF(AF12&gt;=97,1,INT(INDIRECT(CONCATENATE("'Height Input'!"&amp;$B5&amp;$C6+4))))),"")</f>
        <v>2</v>
      </c>
      <c r="AK12" s="50" t="str">
        <f ca="1">IFERROR(IF(OR(AJ12=0,AJ12=""),0,IF(OR(AJ12&lt;=VLOOKUP(BT12,$E16:$AJ23,32,FALSE),VLOOKUP(BT12,$E16:$AJ23,32,FALSE)=0),"A","B")),0)</f>
        <v>A</v>
      </c>
      <c r="AL12" s="139">
        <f ca="1">IFERROR(IF(OR(AK12=0,AK12="B"),"",RANK(AW12,AW8:AW23,1)),"")</f>
        <v>2</v>
      </c>
      <c r="AM12" s="139" t="str">
        <f ca="1">IFERROR(IF(OR(AK12=0,AK12="A"),"",RANK(AX12,AX8:AX23,1)),"")</f>
        <v/>
      </c>
      <c r="AN12" s="51">
        <f ca="1">IFERROR(IF(AF12="X",0,(INDIRECT(CONCATENATE("'Height Input'!"&amp;$B5&amp;$C6+4))-AJ12)*10),"")</f>
        <v>0</v>
      </c>
      <c r="AO12" s="8"/>
      <c r="AP12" s="9" t="str">
        <f t="shared" ca="1" si="3"/>
        <v/>
      </c>
      <c r="AQ12" s="9" t="str">
        <f ca="1">IF(AR12="","",HLOOKUP(AL12,BC7:BJ24,18,FALSE))</f>
        <v/>
      </c>
      <c r="AR12" s="45" t="str">
        <f ca="1">IF(OR(AL12=0,AL12=""),"",IF(COUNTIFS(AL8:AL23,AL12)&gt;1,"=",""))</f>
        <v/>
      </c>
      <c r="AS12" s="45"/>
      <c r="AT12" s="9" t="str">
        <f t="shared" ca="1" si="4"/>
        <v/>
      </c>
      <c r="AU12" s="9" t="str">
        <f ca="1">IF(AV12="","",HLOOKUP(AM12,BK7:BR24,18,FALSE))</f>
        <v/>
      </c>
      <c r="AV12" s="45" t="str">
        <f ca="1">IF(OR(AM12=0,AM12=""),"",IF(COUNTIFS(AM8:AM23,AM12)&gt;1,"=",""))</f>
        <v/>
      </c>
      <c r="AW12" s="9">
        <f t="shared" ca="1" si="5"/>
        <v>2</v>
      </c>
      <c r="AX12" s="9" t="str">
        <f t="shared" ca="1" si="1"/>
        <v/>
      </c>
      <c r="AY12" s="47"/>
      <c r="AZ12" s="151">
        <f t="shared" ca="1" si="7"/>
        <v>2</v>
      </c>
      <c r="BA12" s="151" t="str">
        <f t="shared" ca="1" si="6"/>
        <v/>
      </c>
      <c r="BB12" s="9"/>
      <c r="BC12" s="52" t="str">
        <f ca="1">IF(AL12="","",IF(AL12=BC7,AL12,""))</f>
        <v/>
      </c>
      <c r="BD12" s="52">
        <f ca="1">IF(AL12="","",IF(AL12=BD7,AL12,""))</f>
        <v>2</v>
      </c>
      <c r="BE12" s="52" t="str">
        <f ca="1">IF(AL12="","",IF(AL12=BE7,AL12,""))</f>
        <v/>
      </c>
      <c r="BF12" s="52" t="str">
        <f ca="1">IF(AL12="","",IF(AL12=BF7,AL12,""))</f>
        <v/>
      </c>
      <c r="BG12" s="52" t="str">
        <f ca="1">IF(AL12="","",IF(AL12=BG7,AL12,""))</f>
        <v/>
      </c>
      <c r="BH12" s="52" t="str">
        <f ca="1">IF(AL12="","",IF(AL12=BH7,AL12,""))</f>
        <v/>
      </c>
      <c r="BI12" s="52" t="str">
        <f ca="1">IF(AL12="","",IF(AL12=BI7,AL12,""))</f>
        <v/>
      </c>
      <c r="BJ12" s="52" t="str">
        <f ca="1">IF(AL12="","",IF(AL12=BJ7,AL12,""))</f>
        <v/>
      </c>
      <c r="BK12" s="52" t="str">
        <f ca="1">IF(AM12="","",IF(AM12=BK7,AM12,""))</f>
        <v/>
      </c>
      <c r="BL12" s="52" t="str">
        <f ca="1">IF(AM12="","",IF(AM12=BL7,AM12,""))</f>
        <v/>
      </c>
      <c r="BM12" s="52" t="str">
        <f ca="1">IF(AM12="","",IF(AM12=BM7,AM12,""))</f>
        <v/>
      </c>
      <c r="BN12" s="52" t="str">
        <f ca="1">IF(AM12="","",IF(AM12=BN7,AM12,""))</f>
        <v/>
      </c>
      <c r="BO12" s="52" t="str">
        <f ca="1">IF(AM12="","",IF(AM12=BO7,AM12,""))</f>
        <v/>
      </c>
      <c r="BP12" s="52" t="str">
        <f ca="1">IF(AM12="","",IF(AM12=BP7,AM12,""))</f>
        <v/>
      </c>
      <c r="BQ12" s="52" t="str">
        <f ca="1">IF(AM12="","",IF(AM12=BQ7,AM12,""))</f>
        <v/>
      </c>
      <c r="BR12" s="52" t="str">
        <f ca="1">IF(AM12="","",IF(AM12=BR7,AM12,""))</f>
        <v/>
      </c>
      <c r="BS12" s="46"/>
      <c r="BT12" s="4">
        <f>IFERROR(IF(A7=0,A12*11,A12&amp;A12),"")</f>
        <v>33</v>
      </c>
    </row>
    <row r="13" spans="1:72" s="4" customFormat="1" ht="15.95" customHeight="1" x14ac:dyDescent="0.35">
      <c r="A13" s="8" t="str">
        <f>IFERROR(IF(D13&gt;MatchDay!$U$2,"-",VLOOKUP(A4,timetables,MatchDay!$U$4+5,FALSE)),0)</f>
        <v>-</v>
      </c>
      <c r="B13" s="10" t="str">
        <f ca="1">IFERROR(IF(OR(AK13=0,AK13="B"),"",RANK(AZ13,AZ8:AZ23,1)),"")</f>
        <v/>
      </c>
      <c r="C13" s="10" t="str">
        <f ca="1">IFERROR(IF(OR(AK13=0,AK13="A"),"",RANK(BA13,BA8:BA23,1)),"")</f>
        <v/>
      </c>
      <c r="D13" s="55">
        <v>6</v>
      </c>
      <c r="E13" s="17" t="str">
        <f t="shared" si="2"/>
        <v>-</v>
      </c>
      <c r="F13" s="18" t="str">
        <f>IFERROR(IF(A7=0,HLOOKUP(E13,Declarations!$D$2:$S$102,C5,FALSE),HLOOKUP(VLOOKUP(E13,Teams!$V$2:$W$19,2,FALSE),Declarations!$D$2:$S$102,C5,FALSE)),"")</f>
        <v/>
      </c>
      <c r="G13" s="18" t="str">
        <f t="shared" si="0"/>
        <v/>
      </c>
      <c r="H13" s="526"/>
      <c r="I13" s="527"/>
      <c r="J13" s="526"/>
      <c r="K13" s="527"/>
      <c r="L13" s="526"/>
      <c r="M13" s="527"/>
      <c r="N13" s="526"/>
      <c r="O13" s="527"/>
      <c r="P13" s="526"/>
      <c r="Q13" s="527"/>
      <c r="R13" s="526"/>
      <c r="S13" s="527"/>
      <c r="T13" s="526"/>
      <c r="U13" s="527"/>
      <c r="V13" s="526"/>
      <c r="W13" s="527"/>
      <c r="X13" s="526"/>
      <c r="Y13" s="527"/>
      <c r="Z13" s="526"/>
      <c r="AA13" s="527"/>
      <c r="AB13" s="526"/>
      <c r="AC13" s="527"/>
      <c r="AD13" s="526"/>
      <c r="AE13" s="527"/>
      <c r="AF13" s="557">
        <f ca="1">IFERROR(INDIRECT(CONCATENATE("'Height Input'!"&amp;B6&amp;C6+5)),"")</f>
        <v>0</v>
      </c>
      <c r="AG13" s="558"/>
      <c r="AH13" s="48"/>
      <c r="AI13" s="48"/>
      <c r="AJ13" s="49">
        <f ca="1">IFERROR(IF(AF13="X",MatchDay!$U$2+MatchDay!$U$2+1-COUNTIF($AF8:AF13,"X"),IF(AF13&gt;=97,1,INT(INDIRECT(CONCATENATE("'Height Input'!"&amp;$B5&amp;$C6+5))))),"")</f>
        <v>0</v>
      </c>
      <c r="AK13" s="50">
        <f ca="1">IFERROR(IF(OR(AJ13=0,AJ13=""),0,IF(OR(AJ13&lt;=VLOOKUP(BT13,$E16:$AJ23,32,FALSE),VLOOKUP(BT13,$E16:$AJ23,32,FALSE)=0),"A","B")),0)</f>
        <v>0</v>
      </c>
      <c r="AL13" s="139" t="str">
        <f ca="1">IFERROR(IF(OR(AK13=0,AK13="B"),"",RANK(AW13,AW8:AW23,1)),"")</f>
        <v/>
      </c>
      <c r="AM13" s="139" t="str">
        <f ca="1">IFERROR(IF(OR(AK13=0,AK13="A"),"",RANK(AX13,AX8:AX23,1)),"")</f>
        <v/>
      </c>
      <c r="AN13" s="51">
        <f ca="1">IFERROR(IF(AF13="X",0,(INDIRECT(CONCATENATE("'Height Input'!"&amp;$B5&amp;$C6+5))-AJ13)*10),"")</f>
        <v>0</v>
      </c>
      <c r="AO13" s="8"/>
      <c r="AP13" s="9" t="str">
        <f t="shared" ca="1" si="3"/>
        <v/>
      </c>
      <c r="AQ13" s="9" t="str">
        <f ca="1">IF(AR13="","",HLOOKUP(AL13,BC7:BJ24,18,FALSE))</f>
        <v/>
      </c>
      <c r="AR13" s="45" t="str">
        <f ca="1">IF(OR(AL13=0,AL13=""),"",IF(COUNTIFS(AL8:AL23,AL13)&gt;1,"=",""))</f>
        <v/>
      </c>
      <c r="AS13" s="45"/>
      <c r="AT13" s="9" t="str">
        <f t="shared" ca="1" si="4"/>
        <v/>
      </c>
      <c r="AU13" s="9" t="str">
        <f ca="1">IF(AV13="","",HLOOKUP(AM13,BK7:BR24,18,FALSE))</f>
        <v/>
      </c>
      <c r="AV13" s="45" t="str">
        <f ca="1">IF(OR(AM13=0,AM13=""),"",IF(COUNTIFS(AM8:AM23,AM13)&gt;1,"=",""))</f>
        <v/>
      </c>
      <c r="AW13" s="9" t="str">
        <f t="shared" ca="1" si="5"/>
        <v/>
      </c>
      <c r="AX13" s="9" t="str">
        <f t="shared" ca="1" si="1"/>
        <v/>
      </c>
      <c r="AY13" s="47"/>
      <c r="AZ13" s="151" t="str">
        <f t="shared" ca="1" si="7"/>
        <v/>
      </c>
      <c r="BA13" s="151" t="str">
        <f t="shared" ca="1" si="6"/>
        <v/>
      </c>
      <c r="BB13" s="9"/>
      <c r="BC13" s="52" t="str">
        <f ca="1">IF(AL13="","",IF(AL13=BC7,AL13,""))</f>
        <v/>
      </c>
      <c r="BD13" s="52" t="str">
        <f ca="1">IF(AL13="","",IF(AL13=BD7,AL13,""))</f>
        <v/>
      </c>
      <c r="BE13" s="52" t="str">
        <f ca="1">IF(AL13="","",IF(AL13=BE7,AL13,""))</f>
        <v/>
      </c>
      <c r="BF13" s="52" t="str">
        <f ca="1">IF(AL13="","",IF(AL13=BF7,AL13,""))</f>
        <v/>
      </c>
      <c r="BG13" s="52" t="str">
        <f ca="1">IF(AL13="","",IF(AL13=BG7,AL13,""))</f>
        <v/>
      </c>
      <c r="BH13" s="52" t="str">
        <f ca="1">IF(AL13="","",IF(AL13=BH7,AL13,""))</f>
        <v/>
      </c>
      <c r="BI13" s="52" t="str">
        <f ca="1">IF(AL13="","",IF(AL13=BI7,AL13,""))</f>
        <v/>
      </c>
      <c r="BJ13" s="52" t="str">
        <f ca="1">IF(AL13="","",IF(AL13=BJ7,AL13,""))</f>
        <v/>
      </c>
      <c r="BK13" s="52" t="str">
        <f ca="1">IF(AM13="","",IF(AM13=BK7,AM13,""))</f>
        <v/>
      </c>
      <c r="BL13" s="52" t="str">
        <f ca="1">IF(AM13="","",IF(AM13=BL7,AM13,""))</f>
        <v/>
      </c>
      <c r="BM13" s="52" t="str">
        <f ca="1">IF(AM13="","",IF(AM13=BM7,AM13,""))</f>
        <v/>
      </c>
      <c r="BN13" s="52" t="str">
        <f ca="1">IF(AM13="","",IF(AM13=BN7,AM13,""))</f>
        <v/>
      </c>
      <c r="BO13" s="52" t="str">
        <f ca="1">IF(AM13="","",IF(AM13=BO7,AM13,""))</f>
        <v/>
      </c>
      <c r="BP13" s="52" t="str">
        <f ca="1">IF(AM13="","",IF(AM13=BP7,AM13,""))</f>
        <v/>
      </c>
      <c r="BQ13" s="52" t="str">
        <f ca="1">IF(AM13="","",IF(AM13=BQ7,AM13,""))</f>
        <v/>
      </c>
      <c r="BR13" s="52" t="str">
        <f ca="1">IF(AM13="","",IF(AM13=BR7,AM13,""))</f>
        <v/>
      </c>
      <c r="BS13" s="46"/>
      <c r="BT13" s="4" t="str">
        <f>IFERROR(IF(A7=0,A13*11,A13&amp;A13),"")</f>
        <v/>
      </c>
    </row>
    <row r="14" spans="1:72" s="4" customFormat="1" ht="15.95" customHeight="1" x14ac:dyDescent="0.35">
      <c r="A14" s="8" t="str">
        <f>IFERROR(IF(D14&gt;MatchDay!$U$2,"-",VLOOKUP(A4,timetables,MatchDay!$U$4+6,FALSE)),0)</f>
        <v>-</v>
      </c>
      <c r="B14" s="10" t="str">
        <f ca="1">IFERROR(IF(OR(AK14=0,AK14="B"),"",RANK(AZ14,AZ8:AZ23,1)),"")</f>
        <v/>
      </c>
      <c r="C14" s="10" t="str">
        <f ca="1">IFERROR(IF(OR(AK14=0,AK14="A"),"",RANK(BA14,BA8:BA23,1)),"")</f>
        <v/>
      </c>
      <c r="D14" s="55">
        <v>7</v>
      </c>
      <c r="E14" s="17" t="str">
        <f t="shared" si="2"/>
        <v>-</v>
      </c>
      <c r="F14" s="18" t="str">
        <f>IFERROR(IF(A7=0,HLOOKUP(E14,Declarations!$D$2:$S$102,C5,FALSE),HLOOKUP(VLOOKUP(E14,Teams!$V$2:$W$19,2,FALSE),Declarations!$D$2:$S$102,C5,FALSE)),"")</f>
        <v/>
      </c>
      <c r="G14" s="18" t="str">
        <f t="shared" si="0"/>
        <v/>
      </c>
      <c r="H14" s="526"/>
      <c r="I14" s="527"/>
      <c r="J14" s="526"/>
      <c r="K14" s="527"/>
      <c r="L14" s="526"/>
      <c r="M14" s="527"/>
      <c r="N14" s="526"/>
      <c r="O14" s="527"/>
      <c r="P14" s="526"/>
      <c r="Q14" s="527"/>
      <c r="R14" s="526"/>
      <c r="S14" s="527"/>
      <c r="T14" s="526"/>
      <c r="U14" s="527"/>
      <c r="V14" s="526"/>
      <c r="W14" s="527"/>
      <c r="X14" s="526"/>
      <c r="Y14" s="527"/>
      <c r="Z14" s="526"/>
      <c r="AA14" s="527"/>
      <c r="AB14" s="526"/>
      <c r="AC14" s="527"/>
      <c r="AD14" s="526"/>
      <c r="AE14" s="527"/>
      <c r="AF14" s="557">
        <f ca="1">IFERROR(INDIRECT(CONCATENATE("'Height Input'!"&amp;B6&amp;C6+6)),"")</f>
        <v>0</v>
      </c>
      <c r="AG14" s="558"/>
      <c r="AH14" s="48"/>
      <c r="AI14" s="48"/>
      <c r="AJ14" s="49">
        <f ca="1">IFERROR(IF(AF14="X",MatchDay!$U$2+MatchDay!$U$2+1-COUNTIF($AF8:AF14,"X"),IF(AF14&gt;=97,1,INT(INDIRECT(CONCATENATE("'Height Input'!"&amp;$B5&amp;$C6+6))))),"")</f>
        <v>0</v>
      </c>
      <c r="AK14" s="50">
        <f ca="1">IFERROR(IF(OR(AJ14=0,AJ14=""),0,IF(OR(AJ14&lt;=VLOOKUP(BT14,$E16:$AJ23,32,FALSE),VLOOKUP(BT14,$E16:$AJ23,32,FALSE)=0),"A","B")),0)</f>
        <v>0</v>
      </c>
      <c r="AL14" s="139" t="str">
        <f ca="1">IFERROR(IF(OR(AK14=0,AK14="B"),"",RANK(AW14,AW8:AW23,1)),"")</f>
        <v/>
      </c>
      <c r="AM14" s="139" t="str">
        <f ca="1">IFERROR(IF(OR(AK14=0,AK14="A"),"",RANK(AX14,AX8:AX23,1)),"")</f>
        <v/>
      </c>
      <c r="AN14" s="51">
        <f ca="1">IFERROR(IF(AF14="X",0,(INDIRECT(CONCATENATE("'Height Input'!"&amp;$B5&amp;$C6+6))-AJ14)*10),"")</f>
        <v>0</v>
      </c>
      <c r="AO14" s="8"/>
      <c r="AP14" s="9" t="str">
        <f t="shared" ca="1" si="3"/>
        <v/>
      </c>
      <c r="AQ14" s="9" t="str">
        <f ca="1">IF(AR14="","",HLOOKUP(AL14,BC7:BJ24,18,FALSE))</f>
        <v/>
      </c>
      <c r="AR14" s="45" t="str">
        <f ca="1">IF(OR(AL14=0,AL14=""),"",IF(COUNTIFS(AL8:AL23,AL14)&gt;1,"=",""))</f>
        <v/>
      </c>
      <c r="AS14" s="45"/>
      <c r="AT14" s="9" t="str">
        <f t="shared" ca="1" si="4"/>
        <v/>
      </c>
      <c r="AU14" s="9" t="str">
        <f ca="1">IF(AV14="","",HLOOKUP(AM14,BK7:BR24,18,FALSE))</f>
        <v/>
      </c>
      <c r="AV14" s="45" t="str">
        <f ca="1">IF(OR(AM14=0,AM14=""),"",IF(COUNTIFS(AM8:AM23,AM14)&gt;1,"=",""))</f>
        <v/>
      </c>
      <c r="AW14" s="9" t="str">
        <f t="shared" ca="1" si="5"/>
        <v/>
      </c>
      <c r="AX14" s="9" t="str">
        <f t="shared" ca="1" si="1"/>
        <v/>
      </c>
      <c r="AY14" s="47"/>
      <c r="AZ14" s="151" t="str">
        <f t="shared" ca="1" si="7"/>
        <v/>
      </c>
      <c r="BA14" s="151" t="str">
        <f t="shared" ca="1" si="6"/>
        <v/>
      </c>
      <c r="BB14" s="9"/>
      <c r="BC14" s="52" t="str">
        <f ca="1">IF(AL14="","",IF(AL14=BC7,AL14,""))</f>
        <v/>
      </c>
      <c r="BD14" s="52" t="str">
        <f ca="1">IF(AL14="","",IF(AL14=BD7,AL14,""))</f>
        <v/>
      </c>
      <c r="BE14" s="52" t="str">
        <f ca="1">IF(AL14="","",IF(AL14=BE7,AL14,""))</f>
        <v/>
      </c>
      <c r="BF14" s="52" t="str">
        <f ca="1">IF(AL14="","",IF(AL14=BF7,AL14,""))</f>
        <v/>
      </c>
      <c r="BG14" s="52" t="str">
        <f ca="1">IF(AL14="","",IF(AL14=BG7,AL14,""))</f>
        <v/>
      </c>
      <c r="BH14" s="52" t="str">
        <f ca="1">IF(AL14="","",IF(AL14=BH7,AL14,""))</f>
        <v/>
      </c>
      <c r="BI14" s="52" t="str">
        <f ca="1">IF(AL14="","",IF(AL14=BI7,AL14,""))</f>
        <v/>
      </c>
      <c r="BJ14" s="52" t="str">
        <f ca="1">IF(AL14="","",IF(AL14=BJ7,AL14,""))</f>
        <v/>
      </c>
      <c r="BK14" s="52" t="str">
        <f ca="1">IF(AM14="","",IF(AM14=BK7,AM14,""))</f>
        <v/>
      </c>
      <c r="BL14" s="52" t="str">
        <f ca="1">IF(AM14="","",IF(AM14=BL7,AM14,""))</f>
        <v/>
      </c>
      <c r="BM14" s="52" t="str">
        <f ca="1">IF(AM14="","",IF(AM14=BM7,AM14,""))</f>
        <v/>
      </c>
      <c r="BN14" s="52" t="str">
        <f ca="1">IF(AM14="","",IF(AM14=BN7,AM14,""))</f>
        <v/>
      </c>
      <c r="BO14" s="52" t="str">
        <f ca="1">IF(AM14="","",IF(AM14=BO7,AM14,""))</f>
        <v/>
      </c>
      <c r="BP14" s="52" t="str">
        <f ca="1">IF(AM14="","",IF(AM14=BP7,AM14,""))</f>
        <v/>
      </c>
      <c r="BQ14" s="52" t="str">
        <f ca="1">IF(AM14="","",IF(AM14=BQ7,AM14,""))</f>
        <v/>
      </c>
      <c r="BR14" s="52" t="str">
        <f ca="1">IF(AM14="","",IF(AM14=BR7,AM14,""))</f>
        <v/>
      </c>
      <c r="BS14" s="46"/>
      <c r="BT14" s="4" t="str">
        <f>IFERROR(IF(A7=0,A14*11,A14&amp;A14),"")</f>
        <v/>
      </c>
    </row>
    <row r="15" spans="1:72" s="4" customFormat="1" ht="15.95" customHeight="1" x14ac:dyDescent="0.35">
      <c r="A15" s="8" t="str">
        <f>IFERROR(IF(D15&gt;MatchDay!$U$2,"-",VLOOKUP(A4,timetables,MatchDay!$U$4+7,FALSE)),0)</f>
        <v>-</v>
      </c>
      <c r="B15" s="10" t="str">
        <f ca="1">IFERROR(IF(OR(AK15=0,AK15="B"),"",RANK(AZ15,AZ8:AZ23,1)),"")</f>
        <v/>
      </c>
      <c r="C15" s="10" t="str">
        <f ca="1">IFERROR(IF(OR(AK15=0,AK15="A"),"",RANK(BA15,BA8:BA23,1)),"")</f>
        <v/>
      </c>
      <c r="D15" s="55">
        <v>8</v>
      </c>
      <c r="E15" s="17" t="str">
        <f t="shared" si="2"/>
        <v>-</v>
      </c>
      <c r="F15" s="18" t="str">
        <f>IFERROR(IF(A7=0,HLOOKUP(E15,Declarations!$D$2:$S$102,C5,FALSE),HLOOKUP(VLOOKUP(E15,Teams!$V$2:$W$19,2,FALSE),Declarations!$D$2:$S$102,C5,FALSE)),"")</f>
        <v/>
      </c>
      <c r="G15" s="18" t="str">
        <f t="shared" si="0"/>
        <v/>
      </c>
      <c r="H15" s="526"/>
      <c r="I15" s="527"/>
      <c r="J15" s="526"/>
      <c r="K15" s="527"/>
      <c r="L15" s="526"/>
      <c r="M15" s="527"/>
      <c r="N15" s="526"/>
      <c r="O15" s="527"/>
      <c r="P15" s="526"/>
      <c r="Q15" s="527"/>
      <c r="R15" s="526"/>
      <c r="S15" s="527"/>
      <c r="T15" s="526"/>
      <c r="U15" s="527"/>
      <c r="V15" s="526"/>
      <c r="W15" s="527"/>
      <c r="X15" s="526"/>
      <c r="Y15" s="527"/>
      <c r="Z15" s="526"/>
      <c r="AA15" s="527"/>
      <c r="AB15" s="526"/>
      <c r="AC15" s="527"/>
      <c r="AD15" s="526"/>
      <c r="AE15" s="527"/>
      <c r="AF15" s="557">
        <f ca="1">IFERROR(INDIRECT(CONCATENATE("'Height Input'!"&amp;B6&amp;C6+7)),"")</f>
        <v>0</v>
      </c>
      <c r="AG15" s="558"/>
      <c r="AH15" s="48"/>
      <c r="AI15" s="48"/>
      <c r="AJ15" s="49">
        <f ca="1">IFERROR(IF(AF15="X",MatchDay!$U$2+MatchDay!$U$2+1-COUNTIF($AF8:AF15,"X"),IF(AF15&gt;=97,1,INT(INDIRECT(CONCATENATE("'Height Input'!"&amp;$B5&amp;$C6+7))))),"")</f>
        <v>0</v>
      </c>
      <c r="AK15" s="50">
        <f ca="1">IFERROR(IF(OR(AJ15=0,AJ15=""),0,IF(OR(AJ15&lt;=VLOOKUP(BT15,$E16:$AJ23,32,FALSE),VLOOKUP(BT15,$E16:$AJ23,32,FALSE)=0),"A","B")),0)</f>
        <v>0</v>
      </c>
      <c r="AL15" s="139" t="str">
        <f ca="1">IFERROR(IF(OR(AK15=0,AK15="B"),"",RANK(AW15,AW8:AW23,1)),"")</f>
        <v/>
      </c>
      <c r="AM15" s="139" t="str">
        <f ca="1">IFERROR(IF(OR(AK15=0,AK15="A"),"",RANK(AX15,AX8:AX23,1)),"")</f>
        <v/>
      </c>
      <c r="AN15" s="51">
        <f ca="1">IFERROR(IF(AF15="X",0,(INDIRECT(CONCATENATE("'Height Input'!"&amp;$B5&amp;$C6+7))-AJ15)*10),"")</f>
        <v>0</v>
      </c>
      <c r="AO15" s="8"/>
      <c r="AP15" s="9" t="str">
        <f t="shared" ca="1" si="3"/>
        <v/>
      </c>
      <c r="AQ15" s="9" t="str">
        <f ca="1">IF(AR15="","",HLOOKUP(AL15,BC7:BJ24,18,FALSE))</f>
        <v/>
      </c>
      <c r="AR15" s="45" t="str">
        <f ca="1">IF(OR(AL15=0,AL15=""),"",IF(COUNTIFS(AL8:AL23,AL15)&gt;1,"=",""))</f>
        <v/>
      </c>
      <c r="AS15" s="45"/>
      <c r="AT15" s="9" t="str">
        <f t="shared" ca="1" si="4"/>
        <v/>
      </c>
      <c r="AU15" s="9" t="str">
        <f ca="1">IF(AV15="","",HLOOKUP(AM15,BK7:BR24,18,FALSE))</f>
        <v/>
      </c>
      <c r="AV15" s="45" t="str">
        <f ca="1">IF(OR(AM15=0,AM15=""),"",IF(COUNTIFS(AM8:AM23,AM15)&gt;1,"=",""))</f>
        <v/>
      </c>
      <c r="AW15" s="9" t="str">
        <f t="shared" ca="1" si="5"/>
        <v/>
      </c>
      <c r="AX15" s="9" t="str">
        <f t="shared" ca="1" si="1"/>
        <v/>
      </c>
      <c r="AY15" s="47"/>
      <c r="AZ15" s="151" t="str">
        <f t="shared" ca="1" si="7"/>
        <v/>
      </c>
      <c r="BA15" s="151" t="str">
        <f t="shared" ca="1" si="6"/>
        <v/>
      </c>
      <c r="BB15" s="9"/>
      <c r="BC15" s="52" t="str">
        <f ca="1">IF(AL15="","",IF(AL15=BC7,AL15,""))</f>
        <v/>
      </c>
      <c r="BD15" s="52" t="str">
        <f ca="1">IF(AL15="","",IF(AL15=BD7,AL15,""))</f>
        <v/>
      </c>
      <c r="BE15" s="52" t="str">
        <f ca="1">IF(AL15="","",IF(AL15=BE7,AL15,""))</f>
        <v/>
      </c>
      <c r="BF15" s="52" t="str">
        <f ca="1">IF(AL15="","",IF(AL15=BF7,AL15,""))</f>
        <v/>
      </c>
      <c r="BG15" s="52" t="str">
        <f ca="1">IF(AL15="","",IF(AL15=BG7,AL15,""))</f>
        <v/>
      </c>
      <c r="BH15" s="52" t="str">
        <f ca="1">IF(AL15="","",IF(AL15=BH7,AL15,""))</f>
        <v/>
      </c>
      <c r="BI15" s="52" t="str">
        <f ca="1">IF(AL15="","",IF(AL15=BI7,AL15,""))</f>
        <v/>
      </c>
      <c r="BJ15" s="52" t="str">
        <f ca="1">IF(AL15="","",IF(AL15=BJ7,AL15,""))</f>
        <v/>
      </c>
      <c r="BK15" s="52" t="str">
        <f ca="1">IF(AM15="","",IF(AM15=BK7,AM15,""))</f>
        <v/>
      </c>
      <c r="BL15" s="52" t="str">
        <f ca="1">IF(AM15="","",IF(AM15=BL7,AM15,""))</f>
        <v/>
      </c>
      <c r="BM15" s="52" t="str">
        <f ca="1">IF(AM15="","",IF(AM15=BM7,AM15,""))</f>
        <v/>
      </c>
      <c r="BN15" s="52" t="str">
        <f ca="1">IF(AM15="","",IF(AM15=BN7,AM15,""))</f>
        <v/>
      </c>
      <c r="BO15" s="52" t="str">
        <f ca="1">IF(AM15="","",IF(AM15=BO7,AM15,""))</f>
        <v/>
      </c>
      <c r="BP15" s="52" t="str">
        <f ca="1">IF(AM15="","",IF(AM15=BP7,AM15,""))</f>
        <v/>
      </c>
      <c r="BQ15" s="52" t="str">
        <f ca="1">IF(AM15="","",IF(AM15=BQ7,AM15,""))</f>
        <v/>
      </c>
      <c r="BR15" s="52" t="str">
        <f ca="1">IF(AM15="","",IF(AM15=BR7,AM15,""))</f>
        <v/>
      </c>
      <c r="BS15" s="46"/>
      <c r="BT15" s="4" t="str">
        <f>IFERROR(IF(A7=0,A15*11,A15&amp;A15),"")</f>
        <v/>
      </c>
    </row>
    <row r="16" spans="1:72" s="4" customFormat="1" ht="15.95" customHeight="1" x14ac:dyDescent="0.35">
      <c r="A16" s="8">
        <f>IFERROR(IF(A7=0,A8*11,A8&amp;A8),"-")</f>
        <v>44</v>
      </c>
      <c r="B16" s="10" t="str">
        <f ca="1">IFERROR(IF(OR(AK16=0,AK16="B"),"",RANK(AZ16,AZ8:AZ23,1)),"")</f>
        <v/>
      </c>
      <c r="C16" s="10" t="str">
        <f ca="1">IFERROR(IF(OR(AK16=0,AK16="A"),"",RANK(BA16,BA8:BA23,1)),"")</f>
        <v/>
      </c>
      <c r="D16" s="55">
        <v>9</v>
      </c>
      <c r="E16" s="17">
        <f t="shared" si="2"/>
        <v>44</v>
      </c>
      <c r="F16" s="18" t="str">
        <f ca="1">IFERROR(IF(A7=0,HLOOKUP(E16,Declarations!$D$2:$S$102,C5,FALSE),HLOOKUP(VLOOKUP(E16,Teams!$V$2:$W$19,2,FALSE),Declarations!$D$2:$S$102,C5,FALSE)),"")</f>
        <v>-</v>
      </c>
      <c r="G16" s="18" t="str">
        <f t="shared" si="0"/>
        <v>M'bro</v>
      </c>
      <c r="H16" s="526"/>
      <c r="I16" s="527"/>
      <c r="J16" s="526"/>
      <c r="K16" s="527"/>
      <c r="L16" s="526"/>
      <c r="M16" s="527"/>
      <c r="N16" s="526"/>
      <c r="O16" s="527"/>
      <c r="P16" s="526"/>
      <c r="Q16" s="527"/>
      <c r="R16" s="526"/>
      <c r="S16" s="527"/>
      <c r="T16" s="526"/>
      <c r="U16" s="527"/>
      <c r="V16" s="526"/>
      <c r="W16" s="527"/>
      <c r="X16" s="526"/>
      <c r="Y16" s="527"/>
      <c r="Z16" s="526"/>
      <c r="AA16" s="527"/>
      <c r="AB16" s="526"/>
      <c r="AC16" s="527"/>
      <c r="AD16" s="526"/>
      <c r="AE16" s="527"/>
      <c r="AF16" s="557">
        <f ca="1">IFERROR(INDIRECT(CONCATENATE("'Height Input'!"&amp;B6&amp;C6+8)),"")</f>
        <v>0</v>
      </c>
      <c r="AG16" s="558"/>
      <c r="AH16" s="48"/>
      <c r="AI16" s="48"/>
      <c r="AJ16" s="49">
        <f ca="1">IFERROR(IF(AF16="X",MatchDay!$U$2+MatchDay!$U$2+1-COUNTIF($AF8:AF16,"X"),IF(AF16&gt;=97,1,INT(INDIRECT(CONCATENATE("'Height Input'!"&amp;$B5&amp;$C6+8))))),"")</f>
        <v>0</v>
      </c>
      <c r="AK16" s="50">
        <f ca="1">IFERROR(IF(OR(AJ16=0,AJ16=""),0,IF(OR(AJ16&lt;VLOOKUP(BT16,$E8:$AJ15,32,FALSE),VLOOKUP(BT16,$E8:$AJ15,32,FALSE)=0),"A","B")),0)</f>
        <v>0</v>
      </c>
      <c r="AL16" s="139" t="str">
        <f ca="1">IFERROR(IF(OR(AK16=0,AK16="B"),"",RANK(AW16,AW8:AW23,1)),"")</f>
        <v/>
      </c>
      <c r="AM16" s="139" t="str">
        <f ca="1">IFERROR(IF(OR(AK16=0,AK16="A"),"",RANK(AX16,AX8:AX23,1)),"")</f>
        <v/>
      </c>
      <c r="AN16" s="51">
        <f ca="1">IFERROR(IF(AF16="X",0,(INDIRECT(CONCATENATE("'Height Input'!"&amp;$B5&amp;$C6+8))-AJ16)*10),"")</f>
        <v>0</v>
      </c>
      <c r="AO16" s="8"/>
      <c r="AP16" s="9" t="str">
        <f t="shared" ca="1" si="3"/>
        <v/>
      </c>
      <c r="AQ16" s="9" t="str">
        <f ca="1">IF(AR16="","",HLOOKUP(AL16,BC7:BJ24,18,FALSE))</f>
        <v/>
      </c>
      <c r="AR16" s="45" t="str">
        <f ca="1">IF(OR(AL16=0,AL16=""),"",IF(COUNTIFS(AL8:AL23,AL16)&gt;1,"=",""))</f>
        <v/>
      </c>
      <c r="AS16" s="45"/>
      <c r="AT16" s="9" t="str">
        <f t="shared" ca="1" si="4"/>
        <v/>
      </c>
      <c r="AU16" s="9" t="str">
        <f ca="1">IF(AV16="","",HLOOKUP(AM16,BK7:BR24,18,FALSE))</f>
        <v/>
      </c>
      <c r="AV16" s="45" t="str">
        <f ca="1">IF(OR(AM16=0,AM16=""),"",IF(COUNTIFS(AM8:AM23,AM16)&gt;1,"=",""))</f>
        <v/>
      </c>
      <c r="AW16" s="9" t="str">
        <f t="shared" ca="1" si="5"/>
        <v/>
      </c>
      <c r="AX16" s="9" t="str">
        <f t="shared" ca="1" si="1"/>
        <v/>
      </c>
      <c r="AY16" s="47"/>
      <c r="AZ16" s="151" t="str">
        <f t="shared" ca="1" si="7"/>
        <v/>
      </c>
      <c r="BA16" s="151" t="str">
        <f t="shared" ca="1" si="6"/>
        <v/>
      </c>
      <c r="BB16" s="9"/>
      <c r="BC16" s="52" t="str">
        <f ca="1">IF(AL16="","",IF(AL16=BC7,AL16,""))</f>
        <v/>
      </c>
      <c r="BD16" s="52" t="str">
        <f ca="1">IF(AL16="","",IF(AL16=BD7,AL16,""))</f>
        <v/>
      </c>
      <c r="BE16" s="52" t="str">
        <f ca="1">IF(AL16="","",IF(AL16=BE7,AL16,""))</f>
        <v/>
      </c>
      <c r="BF16" s="52" t="str">
        <f ca="1">IF(AL16="","",IF(AL16=BF7,AL16,""))</f>
        <v/>
      </c>
      <c r="BG16" s="52" t="str">
        <f ca="1">IF(AL16="","",IF(AL16=BG7,AL16,""))</f>
        <v/>
      </c>
      <c r="BH16" s="52" t="str">
        <f ca="1">IF(AL16="","",IF(AL16=BH7,AL16,""))</f>
        <v/>
      </c>
      <c r="BI16" s="52" t="str">
        <f ca="1">IF(AL16="","",IF(AL16=BI7,AL16,""))</f>
        <v/>
      </c>
      <c r="BJ16" s="52" t="str">
        <f ca="1">IF(AL16="","",IF(AL16=BJ7,AL16,""))</f>
        <v/>
      </c>
      <c r="BK16" s="52" t="str">
        <f ca="1">IF(AM16="","",IF(AM16=BK7,AM16,""))</f>
        <v/>
      </c>
      <c r="BL16" s="52" t="str">
        <f ca="1">IF(AM16="","",IF(AM16=BL7,AM16,""))</f>
        <v/>
      </c>
      <c r="BM16" s="52" t="str">
        <f ca="1">IF(AM16="","",IF(AM16=BM7,AM16,""))</f>
        <v/>
      </c>
      <c r="BN16" s="52" t="str">
        <f ca="1">IF(AM16="","",IF(AM16=BN7,AM16,""))</f>
        <v/>
      </c>
      <c r="BO16" s="52" t="str">
        <f ca="1">IF(AM16="","",IF(AM16=BO7,AM16,""))</f>
        <v/>
      </c>
      <c r="BP16" s="52" t="str">
        <f ca="1">IF(AM16="","",IF(AM16=BP7,AM16,""))</f>
        <v/>
      </c>
      <c r="BQ16" s="52" t="str">
        <f ca="1">IF(AM16="","",IF(AM16=BQ7,AM16,""))</f>
        <v/>
      </c>
      <c r="BR16" s="52" t="str">
        <f ca="1">IF(AM16="","",IF(AM16=BR7,AM16,""))</f>
        <v/>
      </c>
      <c r="BS16" s="46"/>
      <c r="BT16" s="4">
        <f>IFERROR(IF(A7=0,A16/11,LEFT(A16,1)),"")</f>
        <v>4</v>
      </c>
    </row>
    <row r="17" spans="1:72" s="4" customFormat="1" ht="15.95" customHeight="1" x14ac:dyDescent="0.35">
      <c r="A17" s="8">
        <f>IFERROR(IF(A7=0,A9*11,A9&amp;A9),"-")</f>
        <v>22</v>
      </c>
      <c r="B17" s="10" t="str">
        <f ca="1">IFERROR(IF(OR(AK17=0,AK17="B"),"",RANK(AZ17,AZ8:AZ23,1)),"")</f>
        <v/>
      </c>
      <c r="C17" s="10">
        <f ca="1">IFERROR(IF(OR(AK17=0,AK17="A"),"",RANK(BA17,BA8:BA23,1)),"")</f>
        <v>1</v>
      </c>
      <c r="D17" s="55">
        <v>10</v>
      </c>
      <c r="E17" s="17">
        <f t="shared" si="2"/>
        <v>22</v>
      </c>
      <c r="F17" s="18" t="str">
        <f ca="1">IFERROR(IF(A7=0,HLOOKUP(E17,Declarations!$D$2:$S$102,C5,FALSE),HLOOKUP(VLOOKUP(E17,Teams!$V$2:$W$19,2,FALSE),Declarations!$D$2:$S$102,C5,FALSE)),"")</f>
        <v>MYCROFT Tilly</v>
      </c>
      <c r="G17" s="18" t="str">
        <f t="shared" si="0"/>
        <v>Sheff+D</v>
      </c>
      <c r="H17" s="526"/>
      <c r="I17" s="527"/>
      <c r="J17" s="526"/>
      <c r="K17" s="527"/>
      <c r="L17" s="526"/>
      <c r="M17" s="527"/>
      <c r="N17" s="526"/>
      <c r="O17" s="527"/>
      <c r="P17" s="526"/>
      <c r="Q17" s="527"/>
      <c r="R17" s="526"/>
      <c r="S17" s="527"/>
      <c r="T17" s="526"/>
      <c r="U17" s="527"/>
      <c r="V17" s="526"/>
      <c r="W17" s="527"/>
      <c r="X17" s="526"/>
      <c r="Y17" s="527"/>
      <c r="Z17" s="526"/>
      <c r="AA17" s="527"/>
      <c r="AB17" s="526"/>
      <c r="AC17" s="527"/>
      <c r="AD17" s="526"/>
      <c r="AE17" s="527"/>
      <c r="AF17" s="557">
        <f ca="1">IFERROR(INDIRECT(CONCATENATE("'Height Input'!"&amp;B6&amp;C6+9)),"")</f>
        <v>1.45</v>
      </c>
      <c r="AG17" s="558"/>
      <c r="AH17" s="48"/>
      <c r="AI17" s="48"/>
      <c r="AJ17" s="49">
        <f ca="1">IFERROR(IF(AF17="X",MatchDay!$U$2+MatchDay!$U$2+1-COUNTIF($AF8:AF17,"X"),IF(AF17&gt;=97,1,INT(INDIRECT(CONCATENATE("'Height Input'!"&amp;$B5&amp;$C6+9))))),"")</f>
        <v>4</v>
      </c>
      <c r="AK17" s="50" t="str">
        <f ca="1">IFERROR(IF(OR(AJ17=0,AJ17=""),0,IF(OR(AJ17&lt;VLOOKUP(BT17,$E8:$AJ15,32,FALSE),VLOOKUP(BT17,$E8:$AJ15,32,FALSE)=0),"A","B")),0)</f>
        <v>B</v>
      </c>
      <c r="AL17" s="139" t="str">
        <f ca="1">IFERROR(IF(OR(AK17=0,AK17="B"),"",RANK(AW17,AW8:AW23,1)),"")</f>
        <v/>
      </c>
      <c r="AM17" s="139">
        <f ca="1">IFERROR(IF(OR(AK17=0,AK17="A"),"",RANK(AX17,AX8:AX23,1)),"")</f>
        <v>1</v>
      </c>
      <c r="AN17" s="51">
        <f ca="1">IFERROR(IF(AF17="X",0,(INDIRECT(CONCATENATE("'Height Input'!"&amp;$B5&amp;$C6+9))-AJ17)*10),"")</f>
        <v>0</v>
      </c>
      <c r="AO17" s="8"/>
      <c r="AP17" s="9" t="str">
        <f t="shared" ca="1" si="3"/>
        <v/>
      </c>
      <c r="AQ17" s="9" t="str">
        <f ca="1">IF(AR17="","",HLOOKUP(AL17,BC7:BJ24,18,FALSE))</f>
        <v/>
      </c>
      <c r="AR17" s="45" t="str">
        <f ca="1">IF(OR(AL17=0,AL17=""),"",IF(COUNTIFS(AL8:AL23,AL17)&gt;1,"=",""))</f>
        <v/>
      </c>
      <c r="AS17" s="45"/>
      <c r="AT17" s="9" t="str">
        <f t="shared" ca="1" si="4"/>
        <v/>
      </c>
      <c r="AU17" s="9" t="str">
        <f ca="1">IF(AV17="","",HLOOKUP(AM17,BK7:BR24,18,FALSE))</f>
        <v/>
      </c>
      <c r="AV17" s="45" t="str">
        <f ca="1">IF(OR(AM17=0,AM17=""),"",IF(COUNTIFS(AM8:AM23,AM17)&gt;1,"=",""))</f>
        <v/>
      </c>
      <c r="AW17" s="9" t="str">
        <f t="shared" ca="1" si="5"/>
        <v/>
      </c>
      <c r="AX17" s="9">
        <f t="shared" ca="1" si="1"/>
        <v>4</v>
      </c>
      <c r="AY17" s="47"/>
      <c r="AZ17" s="151" t="str">
        <f t="shared" ca="1" si="7"/>
        <v/>
      </c>
      <c r="BA17" s="151">
        <f t="shared" ca="1" si="6"/>
        <v>4</v>
      </c>
      <c r="BB17" s="9"/>
      <c r="BC17" s="52" t="str">
        <f ca="1">IF(AL17="","",IF(AL17=BC7,AL17,""))</f>
        <v/>
      </c>
      <c r="BD17" s="52" t="str">
        <f ca="1">IF(AL17="","",IF(AL17=BD7,AL17,""))</f>
        <v/>
      </c>
      <c r="BE17" s="52" t="str">
        <f ca="1">IF(AL17="","",IF(AL17=BE7,AL17,""))</f>
        <v/>
      </c>
      <c r="BF17" s="52" t="str">
        <f ca="1">IF(AL17="","",IF(AL17=BF7,AL17,""))</f>
        <v/>
      </c>
      <c r="BG17" s="52" t="str">
        <f ca="1">IF(AL17="","",IF(AL17=BG7,AL17,""))</f>
        <v/>
      </c>
      <c r="BH17" s="52" t="str">
        <f ca="1">IF(AL17="","",IF(AL17=BH7,AL17,""))</f>
        <v/>
      </c>
      <c r="BI17" s="52" t="str">
        <f ca="1">IF(AL17="","",IF(AL17=BI7,AL17,""))</f>
        <v/>
      </c>
      <c r="BJ17" s="52" t="str">
        <f ca="1">IF(AL17="","",IF(AL17=BJ7,AL17,""))</f>
        <v/>
      </c>
      <c r="BK17" s="52">
        <f ca="1">IF(AM17="","",IF(AM17=BK7,AM17,""))</f>
        <v>1</v>
      </c>
      <c r="BL17" s="52" t="str">
        <f ca="1">IF(AM17="","",IF(AM17=BL7,AM17,""))</f>
        <v/>
      </c>
      <c r="BM17" s="52" t="str">
        <f ca="1">IF(AM17="","",IF(AM17=BM7,AM17,""))</f>
        <v/>
      </c>
      <c r="BN17" s="52" t="str">
        <f ca="1">IF(AM17="","",IF(AM17=BN7,AM17,""))</f>
        <v/>
      </c>
      <c r="BO17" s="52" t="str">
        <f ca="1">IF(AM17="","",IF(AM17=BO7,AM17,""))</f>
        <v/>
      </c>
      <c r="BP17" s="52" t="str">
        <f ca="1">IF(AM17="","",IF(AM17=BP7,AM17,""))</f>
        <v/>
      </c>
      <c r="BQ17" s="52" t="str">
        <f ca="1">IF(AM17="","",IF(AM17=BQ7,AM17,""))</f>
        <v/>
      </c>
      <c r="BR17" s="52" t="str">
        <f ca="1">IF(AM17="","",IF(AM17=BR7,AM17,""))</f>
        <v/>
      </c>
      <c r="BS17" s="46"/>
      <c r="BT17" s="4">
        <f>IFERROR(IF(A7=0,A17/11,LEFT(A17,1)),"")</f>
        <v>2</v>
      </c>
    </row>
    <row r="18" spans="1:72" s="4" customFormat="1" ht="15.95" customHeight="1" x14ac:dyDescent="0.35">
      <c r="A18" s="8">
        <f>IFERROR(IF(A7=0,A10*11,A10&amp;A10),"-")</f>
        <v>55</v>
      </c>
      <c r="B18" s="10" t="str">
        <f ca="1">IFERROR(IF(OR(AK18=0,AK18="B"),"",RANK(AZ18,AZ8:AZ23,1)),"")</f>
        <v/>
      </c>
      <c r="C18" s="10" t="str">
        <f ca="1">IFERROR(IF(OR(AK18=0,AK18="A"),"",RANK(BA18,BA8:BA23,1)),"")</f>
        <v/>
      </c>
      <c r="D18" s="55">
        <v>11</v>
      </c>
      <c r="E18" s="17">
        <f t="shared" si="2"/>
        <v>55</v>
      </c>
      <c r="F18" s="18">
        <f ca="1">IFERROR(IF(A7=0,HLOOKUP(E18,Declarations!$D$2:$S$102,C5,FALSE),HLOOKUP(VLOOKUP(E18,Teams!$V$2:$W$19,2,FALSE),Declarations!$D$2:$S$102,C5,FALSE)),"")</f>
        <v>0</v>
      </c>
      <c r="G18" s="18" t="str">
        <f t="shared" si="0"/>
        <v>Scun</v>
      </c>
      <c r="H18" s="526"/>
      <c r="I18" s="527"/>
      <c r="J18" s="526"/>
      <c r="K18" s="527"/>
      <c r="L18" s="526"/>
      <c r="M18" s="527"/>
      <c r="N18" s="526"/>
      <c r="O18" s="527"/>
      <c r="P18" s="526"/>
      <c r="Q18" s="527"/>
      <c r="R18" s="526"/>
      <c r="S18" s="527"/>
      <c r="T18" s="526"/>
      <c r="U18" s="527"/>
      <c r="V18" s="526"/>
      <c r="W18" s="527"/>
      <c r="X18" s="526"/>
      <c r="Y18" s="527"/>
      <c r="Z18" s="526"/>
      <c r="AA18" s="527"/>
      <c r="AB18" s="526"/>
      <c r="AC18" s="527"/>
      <c r="AD18" s="526"/>
      <c r="AE18" s="527"/>
      <c r="AF18" s="557">
        <f ca="1">IFERROR(INDIRECT(CONCATENATE("'Height Input'!"&amp;B6&amp;C6+10)),"")</f>
        <v>0</v>
      </c>
      <c r="AG18" s="558"/>
      <c r="AH18" s="48"/>
      <c r="AI18" s="48"/>
      <c r="AJ18" s="49">
        <f ca="1">IFERROR(IF(AF18="X",MatchDay!$U$2+MatchDay!$U$2+1-COUNTIF($AF8:AF18,"X"),IF(AF18&gt;=97,1,INT(INDIRECT(CONCATENATE("'Height Input'!"&amp;$B5&amp;$C6+10))))),"")</f>
        <v>0</v>
      </c>
      <c r="AK18" s="50">
        <f ca="1">IFERROR(IF(OR(AJ18=0,AJ18=""),0,IF(OR(AJ18&lt;VLOOKUP(BT18,$E8:$AJ15,32,FALSE),VLOOKUP(BT18,$E8:$AJ15,32,FALSE)=0),"A","B")),0)</f>
        <v>0</v>
      </c>
      <c r="AL18" s="139" t="str">
        <f ca="1">IFERROR(IF(OR(AK18=0,AK18="B"),"",RANK(AW18,AW8:AW23,1)),"")</f>
        <v/>
      </c>
      <c r="AM18" s="139" t="str">
        <f ca="1">IFERROR(IF(OR(AK18=0,AK18="A"),"",RANK(AX18,AX8:AX23,1)),"")</f>
        <v/>
      </c>
      <c r="AN18" s="51">
        <f ca="1">IFERROR(IF(AF18="X",0,(INDIRECT(CONCATENATE("'Height Input'!"&amp;$B5&amp;$C6+10))-AJ18)*10),"")</f>
        <v>0</v>
      </c>
      <c r="AO18" s="8"/>
      <c r="AP18" s="9" t="str">
        <f t="shared" ca="1" si="3"/>
        <v/>
      </c>
      <c r="AQ18" s="9" t="str">
        <f ca="1">IF(AR18="","",HLOOKUP(AL18,BC7:BJ24,18,FALSE))</f>
        <v/>
      </c>
      <c r="AR18" s="45" t="str">
        <f ca="1">IF(OR(AL18=0,AL18=""),"",IF(COUNTIFS(AL8:AL23,AL18)&gt;1,"=",""))</f>
        <v/>
      </c>
      <c r="AS18" s="45"/>
      <c r="AT18" s="9" t="str">
        <f t="shared" ca="1" si="4"/>
        <v/>
      </c>
      <c r="AU18" s="9" t="str">
        <f ca="1">IF(AV18="","",HLOOKUP(AM18,BK7:BR24,18,FALSE))</f>
        <v/>
      </c>
      <c r="AV18" s="45" t="str">
        <f ca="1">IF(OR(AM18=0,AM18=""),"",IF(COUNTIFS(AM8:AM23,AM18)&gt;1,"=",""))</f>
        <v/>
      </c>
      <c r="AW18" s="9" t="str">
        <f t="shared" ca="1" si="5"/>
        <v/>
      </c>
      <c r="AX18" s="9" t="str">
        <f t="shared" ca="1" si="1"/>
        <v/>
      </c>
      <c r="AY18" s="47"/>
      <c r="AZ18" s="151" t="str">
        <f t="shared" ca="1" si="7"/>
        <v/>
      </c>
      <c r="BA18" s="151" t="str">
        <f t="shared" ca="1" si="6"/>
        <v/>
      </c>
      <c r="BB18" s="9"/>
      <c r="BC18" s="52" t="str">
        <f ca="1">IF(AL18="","",IF(AL18=BC7,AL18,""))</f>
        <v/>
      </c>
      <c r="BD18" s="52" t="str">
        <f ca="1">IF(AL18="","",IF(AL18=BD7,AL18,""))</f>
        <v/>
      </c>
      <c r="BE18" s="52" t="str">
        <f ca="1">IF(AL18="","",IF(AL18=BE7,AL18,""))</f>
        <v/>
      </c>
      <c r="BF18" s="52" t="str">
        <f ca="1">IF(AL18="","",IF(AL18=BF7,AL18,""))</f>
        <v/>
      </c>
      <c r="BG18" s="52" t="str">
        <f ca="1">IF(AL18="","",IF(AL18=BG7,AL18,""))</f>
        <v/>
      </c>
      <c r="BH18" s="52" t="str">
        <f ca="1">IF(AL18="","",IF(AL18=BH7,AL18,""))</f>
        <v/>
      </c>
      <c r="BI18" s="52" t="str">
        <f ca="1">IF(AL18="","",IF(AL18=BI7,AL18,""))</f>
        <v/>
      </c>
      <c r="BJ18" s="52" t="str">
        <f ca="1">IF(AL18="","",IF(AL18=BJ7,AL18,""))</f>
        <v/>
      </c>
      <c r="BK18" s="52" t="str">
        <f ca="1">IF(AM18="","",IF(AM18=BK7,AM18,""))</f>
        <v/>
      </c>
      <c r="BL18" s="52" t="str">
        <f ca="1">IF(AM18="","",IF(AM18=BL7,AM18,""))</f>
        <v/>
      </c>
      <c r="BM18" s="52" t="str">
        <f ca="1">IF(AM18="","",IF(AM18=BM7,AM18,""))</f>
        <v/>
      </c>
      <c r="BN18" s="52" t="str">
        <f ca="1">IF(AM18="","",IF(AM18=BN7,AM18,""))</f>
        <v/>
      </c>
      <c r="BO18" s="52" t="str">
        <f ca="1">IF(AM18="","",IF(AM18=BO7,AM18,""))</f>
        <v/>
      </c>
      <c r="BP18" s="52" t="str">
        <f ca="1">IF(AM18="","",IF(AM18=BP7,AM18,""))</f>
        <v/>
      </c>
      <c r="BQ18" s="52" t="str">
        <f ca="1">IF(AM18="","",IF(AM18=BQ7,AM18,""))</f>
        <v/>
      </c>
      <c r="BR18" s="52" t="str">
        <f ca="1">IF(AM18="","",IF(AM18=BR7,AM18,""))</f>
        <v/>
      </c>
      <c r="BS18" s="46"/>
      <c r="BT18" s="4">
        <f>IFERROR(IF(A7=0,A18/11,LEFT(A18,1)),"")</f>
        <v>5</v>
      </c>
    </row>
    <row r="19" spans="1:72" s="4" customFormat="1" ht="15.95" customHeight="1" x14ac:dyDescent="0.35">
      <c r="A19" s="8">
        <f>IFERROR(IF(A7=0,A11*11,A11&amp;A11),"-")</f>
        <v>11</v>
      </c>
      <c r="B19" s="10" t="str">
        <f ca="1">IFERROR(IF(OR(AK19=0,AK19="B"),"",RANK(AZ19,AZ8:AZ23,1)),"")</f>
        <v/>
      </c>
      <c r="C19" s="10" t="str">
        <f ca="1">IFERROR(IF(OR(AK19=0,AK19="A"),"",RANK(BA19,BA8:BA23,1)),"")</f>
        <v/>
      </c>
      <c r="D19" s="55">
        <v>12</v>
      </c>
      <c r="E19" s="17">
        <f t="shared" si="2"/>
        <v>11</v>
      </c>
      <c r="F19" s="18" t="str">
        <f ca="1">IFERROR(IF(A7=0,HLOOKUP(E19,Declarations!$D$2:$S$102,C5,FALSE),HLOOKUP(VLOOKUP(E19,Teams!$V$2:$W$19,2,FALSE),Declarations!$D$2:$S$102,C5,FALSE)),"")</f>
        <v>KIRKWOOD Eva</v>
      </c>
      <c r="G19" s="18" t="str">
        <f t="shared" si="0"/>
        <v>C'field</v>
      </c>
      <c r="H19" s="526"/>
      <c r="I19" s="527"/>
      <c r="J19" s="526"/>
      <c r="K19" s="527"/>
      <c r="L19" s="526"/>
      <c r="M19" s="527"/>
      <c r="N19" s="526"/>
      <c r="O19" s="527"/>
      <c r="P19" s="526"/>
      <c r="Q19" s="527"/>
      <c r="R19" s="526"/>
      <c r="S19" s="527"/>
      <c r="T19" s="526"/>
      <c r="U19" s="527"/>
      <c r="V19" s="526"/>
      <c r="W19" s="527"/>
      <c r="X19" s="526"/>
      <c r="Y19" s="527"/>
      <c r="Z19" s="526"/>
      <c r="AA19" s="527"/>
      <c r="AB19" s="526"/>
      <c r="AC19" s="527"/>
      <c r="AD19" s="526"/>
      <c r="AE19" s="527"/>
      <c r="AF19" s="557">
        <f ca="1">IFERROR(INDIRECT(CONCATENATE("'Height Input'!"&amp;B6&amp;C6+11)),"")</f>
        <v>0</v>
      </c>
      <c r="AG19" s="558"/>
      <c r="AH19" s="48"/>
      <c r="AI19" s="48"/>
      <c r="AJ19" s="49">
        <f ca="1">IFERROR(IF(AF19="X",MatchDay!$U$2+MatchDay!$U$2+1-COUNTIF($AF8:AF19,"X"),IF(AF19&gt;=97,1,INT(INDIRECT(CONCATENATE("'Height Input'!"&amp;$B5&amp;$C6+11))))),"")</f>
        <v>0</v>
      </c>
      <c r="AK19" s="50">
        <f ca="1">IFERROR(IF(OR(AJ19=0,AJ19=""),0,IF(OR(AJ19&lt;VLOOKUP(BT19,$E8:$AJ15,32,FALSE),VLOOKUP(BT19,$E8:$AJ15,32,FALSE)=0),"A","B")),0)</f>
        <v>0</v>
      </c>
      <c r="AL19" s="139" t="str">
        <f ca="1">IFERROR(IF(OR(AK19=0,AK19="B"),"",RANK(AW19,AW8:AW23,1)),"")</f>
        <v/>
      </c>
      <c r="AM19" s="139" t="str">
        <f ca="1">IFERROR(IF(OR(AK19=0,AK19="A"),"",RANK(AX19,AX8:AX23,1)),"")</f>
        <v/>
      </c>
      <c r="AN19" s="51">
        <f ca="1">IFERROR(IF(AF19="X",0,(INDIRECT(CONCATENATE("'Height Input'!"&amp;$B5&amp;$C6+11))-AJ19)*10),"")</f>
        <v>0</v>
      </c>
      <c r="AO19" s="8"/>
      <c r="AP19" s="9" t="str">
        <f t="shared" ca="1" si="3"/>
        <v/>
      </c>
      <c r="AQ19" s="9" t="str">
        <f ca="1">IF(AR19="","",HLOOKUP(AL19,BC7:BJ24,18,FALSE))</f>
        <v/>
      </c>
      <c r="AR19" s="45" t="str">
        <f ca="1">IF(OR(AL19=0,AL19=""),"",IF(COUNTIFS(AL8:AL23,AL19)&gt;1,"=",""))</f>
        <v/>
      </c>
      <c r="AS19" s="45"/>
      <c r="AT19" s="9" t="str">
        <f t="shared" ca="1" si="4"/>
        <v/>
      </c>
      <c r="AU19" s="9" t="str">
        <f ca="1">IF(AV19="","",HLOOKUP(AM19,BK7:BR24,18,FALSE))</f>
        <v/>
      </c>
      <c r="AV19" s="45" t="str">
        <f ca="1">IF(OR(AM19=0,AM19=""),"",IF(COUNTIFS(AM8:AM23,AM19)&gt;1,"=",""))</f>
        <v/>
      </c>
      <c r="AW19" s="9" t="str">
        <f t="shared" ca="1" si="5"/>
        <v/>
      </c>
      <c r="AX19" s="9" t="str">
        <f t="shared" ca="1" si="1"/>
        <v/>
      </c>
      <c r="AY19" s="47"/>
      <c r="AZ19" s="151" t="str">
        <f t="shared" ca="1" si="7"/>
        <v/>
      </c>
      <c r="BA19" s="151" t="str">
        <f t="shared" ca="1" si="6"/>
        <v/>
      </c>
      <c r="BB19" s="9"/>
      <c r="BC19" s="52" t="str">
        <f ca="1">IF(AL19="","",IF(AL19=BC7,AL19,""))</f>
        <v/>
      </c>
      <c r="BD19" s="52" t="str">
        <f ca="1">IF(AL19="","",IF(AL19=BD7,AL19,""))</f>
        <v/>
      </c>
      <c r="BE19" s="52" t="str">
        <f ca="1">IF(AL19="","",IF(AL19=BE7,AL19,""))</f>
        <v/>
      </c>
      <c r="BF19" s="52" t="str">
        <f ca="1">IF(AL19="","",IF(AL19=BF7,AL19,""))</f>
        <v/>
      </c>
      <c r="BG19" s="52" t="str">
        <f ca="1">IF(AL19="","",IF(AL19=BG7,AL19,""))</f>
        <v/>
      </c>
      <c r="BH19" s="52" t="str">
        <f ca="1">IF(AL19="","",IF(AL19=BH7,AL19,""))</f>
        <v/>
      </c>
      <c r="BI19" s="52" t="str">
        <f ca="1">IF(AL19="","",IF(AL19=BI7,AL19,""))</f>
        <v/>
      </c>
      <c r="BJ19" s="52" t="str">
        <f ca="1">IF(AL19="","",IF(AL19=BJ7,AL19,""))</f>
        <v/>
      </c>
      <c r="BK19" s="52" t="str">
        <f ca="1">IF(AM19="","",IF(AM19=BK7,AM19,""))</f>
        <v/>
      </c>
      <c r="BL19" s="52" t="str">
        <f ca="1">IF(AM19="","",IF(AM19=BL7,AM19,""))</f>
        <v/>
      </c>
      <c r="BM19" s="52" t="str">
        <f ca="1">IF(AM19="","",IF(AM19=BM7,AM19,""))</f>
        <v/>
      </c>
      <c r="BN19" s="52" t="str">
        <f ca="1">IF(AM19="","",IF(AM19=BN7,AM19,""))</f>
        <v/>
      </c>
      <c r="BO19" s="52" t="str">
        <f ca="1">IF(AM19="","",IF(AM19=BO7,AM19,""))</f>
        <v/>
      </c>
      <c r="BP19" s="52" t="str">
        <f ca="1">IF(AM19="","",IF(AM19=BP7,AM19,""))</f>
        <v/>
      </c>
      <c r="BQ19" s="52" t="str">
        <f ca="1">IF(AM19="","",IF(AM19=BQ7,AM19,""))</f>
        <v/>
      </c>
      <c r="BR19" s="52" t="str">
        <f ca="1">IF(AM19="","",IF(AM19=BR7,AM19,""))</f>
        <v/>
      </c>
      <c r="BS19" s="46"/>
      <c r="BT19" s="4">
        <f>IFERROR(IF(A7=0,A19/11,LEFT(A19,1)),"")</f>
        <v>1</v>
      </c>
    </row>
    <row r="20" spans="1:72" s="4" customFormat="1" ht="15.95" customHeight="1" x14ac:dyDescent="0.35">
      <c r="A20" s="8">
        <f>IFERROR(IF(A7=0,A12*11,A12&amp;A12),"-")</f>
        <v>33</v>
      </c>
      <c r="B20" s="10" t="str">
        <f ca="1">IFERROR(IF(OR(AK20=0,AK20="B"),"",RANK(AZ20,AZ8:AZ23,1)),"")</f>
        <v/>
      </c>
      <c r="C20" s="10">
        <f ca="1">IFERROR(IF(OR(AK20=0,AK20="A"),"",RANK(BA20,BA8:BA23,1)),"")</f>
        <v>2</v>
      </c>
      <c r="D20" s="55">
        <v>13</v>
      </c>
      <c r="E20" s="17">
        <f t="shared" si="2"/>
        <v>33</v>
      </c>
      <c r="F20" s="18" t="str">
        <f ca="1">IFERROR(IF(A7=0,HLOOKUP(E20,Declarations!$D$2:$S$102,C5,FALSE),HLOOKUP(VLOOKUP(E20,Teams!$V$2:$W$19,2,FALSE),Declarations!$D$2:$S$102,C5,FALSE)),"")</f>
        <v>TWEDDLE Bella</v>
      </c>
      <c r="G20" s="18" t="str">
        <f t="shared" si="0"/>
        <v>York</v>
      </c>
      <c r="H20" s="526"/>
      <c r="I20" s="527"/>
      <c r="J20" s="526"/>
      <c r="K20" s="527"/>
      <c r="L20" s="526"/>
      <c r="M20" s="527"/>
      <c r="N20" s="526"/>
      <c r="O20" s="527"/>
      <c r="P20" s="526"/>
      <c r="Q20" s="527"/>
      <c r="R20" s="526"/>
      <c r="S20" s="527"/>
      <c r="T20" s="526"/>
      <c r="U20" s="527"/>
      <c r="V20" s="526"/>
      <c r="W20" s="527"/>
      <c r="X20" s="526"/>
      <c r="Y20" s="527"/>
      <c r="Z20" s="526"/>
      <c r="AA20" s="527"/>
      <c r="AB20" s="526"/>
      <c r="AC20" s="527"/>
      <c r="AD20" s="526"/>
      <c r="AE20" s="527"/>
      <c r="AF20" s="557">
        <f ca="1">IFERROR(INDIRECT(CONCATENATE("'Height Input'!"&amp;B6&amp;C6+12)),"")</f>
        <v>1.4</v>
      </c>
      <c r="AG20" s="558"/>
      <c r="AH20" s="48"/>
      <c r="AI20" s="48"/>
      <c r="AJ20" s="49">
        <f ca="1">IFERROR(IF(AF20="X",MatchDay!$U$2+MatchDay!$U$2+1-COUNTIF($AF8:AF20,"X"),IF(AF20&gt;=97,1,INT(INDIRECT(CONCATENATE("'Height Input'!"&amp;$B5&amp;$C6+12))))),"")</f>
        <v>5</v>
      </c>
      <c r="AK20" s="50" t="str">
        <f ca="1">IFERROR(IF(OR(AJ20=0,AJ20=""),0,IF(OR(AJ20&lt;VLOOKUP(BT20,$E8:$AJ15,32,FALSE),VLOOKUP(BT20,$E8:$AJ15,32,FALSE)=0),"A","B")),0)</f>
        <v>B</v>
      </c>
      <c r="AL20" s="139" t="str">
        <f ca="1">IFERROR(IF(OR(AK20=0,AK20="B"),"",RANK(AW20,AW8:AW23,1)),"")</f>
        <v/>
      </c>
      <c r="AM20" s="139">
        <f ca="1">IFERROR(IF(OR(AK20=0,AK20="A"),"",RANK(AX20,AX8:AX23,1)),"")</f>
        <v>2</v>
      </c>
      <c r="AN20" s="51">
        <f ca="1">IFERROR(IF(AF20="X",0,(INDIRECT(CONCATENATE("'Height Input'!"&amp;$B5&amp;$C6+12))-AJ20)*10),"")</f>
        <v>0</v>
      </c>
      <c r="AO20" s="8"/>
      <c r="AP20" s="9" t="str">
        <f t="shared" ca="1" si="3"/>
        <v/>
      </c>
      <c r="AQ20" s="9" t="str">
        <f ca="1">IF(AR20="","",HLOOKUP(AL20,BC7:BJ24,18,FALSE))</f>
        <v/>
      </c>
      <c r="AR20" s="45" t="str">
        <f ca="1">IF(OR(AL20=0,AL20=""),"",IF(COUNTIFS(AL8:AL23,AL20)&gt;1,"=",""))</f>
        <v/>
      </c>
      <c r="AS20" s="45"/>
      <c r="AT20" s="9" t="str">
        <f t="shared" ca="1" si="4"/>
        <v/>
      </c>
      <c r="AU20" s="9" t="str">
        <f ca="1">IF(AV20="","",HLOOKUP(AM20,BK7:BR24,18,FALSE))</f>
        <v/>
      </c>
      <c r="AV20" s="45" t="str">
        <f ca="1">IF(OR(AM20=0,AM20=""),"",IF(COUNTIFS(AM8:AM23,AM20)&gt;1,"=",""))</f>
        <v/>
      </c>
      <c r="AW20" s="9" t="str">
        <f t="shared" ca="1" si="5"/>
        <v/>
      </c>
      <c r="AX20" s="9">
        <f t="shared" ca="1" si="1"/>
        <v>5</v>
      </c>
      <c r="AY20" s="47"/>
      <c r="AZ20" s="151" t="str">
        <f t="shared" ca="1" si="7"/>
        <v/>
      </c>
      <c r="BA20" s="151">
        <f t="shared" ca="1" si="6"/>
        <v>5</v>
      </c>
      <c r="BB20" s="9"/>
      <c r="BC20" s="52" t="str">
        <f ca="1">IF(AL20="","",IF(AL20=BC7,AL20,""))</f>
        <v/>
      </c>
      <c r="BD20" s="52" t="str">
        <f ca="1">IF(AL20="","",IF(AL20=BD7,AL20,""))</f>
        <v/>
      </c>
      <c r="BE20" s="52" t="str">
        <f ca="1">IF(AL20="","",IF(AL20=BE7,AL20,""))</f>
        <v/>
      </c>
      <c r="BF20" s="52" t="str">
        <f ca="1">IF(AL20="","",IF(AL20=BF7,AL20,""))</f>
        <v/>
      </c>
      <c r="BG20" s="52" t="str">
        <f ca="1">IF(AL20="","",IF(AL20=BG7,AL20,""))</f>
        <v/>
      </c>
      <c r="BH20" s="52" t="str">
        <f ca="1">IF(AL20="","",IF(AL20=BH7,AL20,""))</f>
        <v/>
      </c>
      <c r="BI20" s="52" t="str">
        <f ca="1">IF(AL20="","",IF(AL20=BI7,AL20,""))</f>
        <v/>
      </c>
      <c r="BJ20" s="52" t="str">
        <f ca="1">IF(AL20="","",IF(AL20=BJ7,AL20,""))</f>
        <v/>
      </c>
      <c r="BK20" s="52" t="str">
        <f ca="1">IF(AM20="","",IF(AM20=BK7,AM20,""))</f>
        <v/>
      </c>
      <c r="BL20" s="52">
        <f ca="1">IF(AM20="","",IF(AM20=BL7,AM20,""))</f>
        <v>2</v>
      </c>
      <c r="BM20" s="52" t="str">
        <f ca="1">IF(AM20="","",IF(AM20=BM7,AM20,""))</f>
        <v/>
      </c>
      <c r="BN20" s="52" t="str">
        <f ca="1">IF(AM20="","",IF(AM20=BN7,AM20,""))</f>
        <v/>
      </c>
      <c r="BO20" s="52" t="str">
        <f ca="1">IF(AM20="","",IF(AM20=BO7,AM20,""))</f>
        <v/>
      </c>
      <c r="BP20" s="52" t="str">
        <f ca="1">IF(AM20="","",IF(AM20=BP7,AM20,""))</f>
        <v/>
      </c>
      <c r="BQ20" s="52" t="str">
        <f ca="1">IF(AM20="","",IF(AM20=BQ7,AM20,""))</f>
        <v/>
      </c>
      <c r="BR20" s="52" t="str">
        <f ca="1">IF(AM20="","",IF(AM20=BR7,AM20,""))</f>
        <v/>
      </c>
      <c r="BS20" s="46"/>
      <c r="BT20" s="4">
        <f>IFERROR(IF(A7=0,A20/11,LEFT(A20,1)),"")</f>
        <v>3</v>
      </c>
    </row>
    <row r="21" spans="1:72" s="4" customFormat="1" ht="15.95" customHeight="1" x14ac:dyDescent="0.35">
      <c r="A21" s="8" t="str">
        <f>IFERROR(IF(A7=0,A13*11,A13&amp;A13),"-")</f>
        <v>-</v>
      </c>
      <c r="B21" s="10" t="str">
        <f ca="1">IFERROR(IF(OR(AK21=0,AK21="B"),"",RANK(AZ21,AZ8:AZ23,1)),"")</f>
        <v/>
      </c>
      <c r="C21" s="10" t="str">
        <f ca="1">IFERROR(IF(OR(AK21=0,AK21="A"),"",RANK(BA21,BA8:BA23,1)),"")</f>
        <v/>
      </c>
      <c r="D21" s="55">
        <v>14</v>
      </c>
      <c r="E21" s="17" t="str">
        <f t="shared" si="2"/>
        <v>-</v>
      </c>
      <c r="F21" s="18" t="str">
        <f>IFERROR(IF(A7=0,HLOOKUP(E21,Declarations!$D$2:$S$102,C5,FALSE),HLOOKUP(VLOOKUP(E21,Teams!$V$2:$W$19,2,FALSE),Declarations!$D$2:$S$102,C5,FALSE)),"")</f>
        <v/>
      </c>
      <c r="G21" s="18" t="str">
        <f t="shared" si="0"/>
        <v/>
      </c>
      <c r="H21" s="526"/>
      <c r="I21" s="527"/>
      <c r="J21" s="526"/>
      <c r="K21" s="527"/>
      <c r="L21" s="526"/>
      <c r="M21" s="527"/>
      <c r="N21" s="526"/>
      <c r="O21" s="527"/>
      <c r="P21" s="526"/>
      <c r="Q21" s="527"/>
      <c r="R21" s="526"/>
      <c r="S21" s="527"/>
      <c r="T21" s="526"/>
      <c r="U21" s="527"/>
      <c r="V21" s="526"/>
      <c r="W21" s="527"/>
      <c r="X21" s="526"/>
      <c r="Y21" s="527"/>
      <c r="Z21" s="526"/>
      <c r="AA21" s="527"/>
      <c r="AB21" s="526"/>
      <c r="AC21" s="527"/>
      <c r="AD21" s="526"/>
      <c r="AE21" s="527"/>
      <c r="AF21" s="557">
        <f ca="1">IFERROR(INDIRECT(CONCATENATE("'Height Input'!"&amp;B6&amp;C6+13)),"")</f>
        <v>0</v>
      </c>
      <c r="AG21" s="558"/>
      <c r="AH21" s="48"/>
      <c r="AI21" s="48"/>
      <c r="AJ21" s="49">
        <f ca="1">IFERROR(IF(AF21="X",MatchDay!$U$2+MatchDay!$U$2+1-COUNTIF($AF8:AF21,"X"),IF(AF21&gt;=97,1,INT(INDIRECT(CONCATENATE("'Height Input'!"&amp;$B5&amp;$C6+13))))),"")</f>
        <v>0</v>
      </c>
      <c r="AK21" s="50">
        <f ca="1">IFERROR(IF(OR(AJ21=0,AJ21=""),0,IF(OR(AJ21&lt;VLOOKUP(BT21,$E8:$AJ15,32,FALSE),VLOOKUP(BT21,$E8:$AJ15,32,FALSE)=0),"A","B")),0)</f>
        <v>0</v>
      </c>
      <c r="AL21" s="139" t="str">
        <f ca="1">IFERROR(IF(OR(AK21=0,AK21="B"),"",RANK(AW21,AW8:AW23,1)),"")</f>
        <v/>
      </c>
      <c r="AM21" s="139" t="str">
        <f ca="1">IFERROR(IF(OR(AK21=0,AK21="A"),"",RANK(AX21,AX8:AX23,1)),"")</f>
        <v/>
      </c>
      <c r="AN21" s="51">
        <f ca="1">IFERROR(IF(AF21="X",0,(INDIRECT(CONCATENATE("'Height Input'!"&amp;$B5&amp;$C6+13))-AJ21)*10),"")</f>
        <v>0</v>
      </c>
      <c r="AO21" s="8"/>
      <c r="AP21" s="9" t="str">
        <f t="shared" ca="1" si="3"/>
        <v/>
      </c>
      <c r="AQ21" s="9" t="str">
        <f ca="1">IF(AR21="","",HLOOKUP(AL21,BC7:BJ24,18,FALSE))</f>
        <v/>
      </c>
      <c r="AR21" s="45" t="str">
        <f ca="1">IF(OR(AL21=0,AL21=""),"",IF(COUNTIFS(AL8:AL23,AL21)&gt;1,"=",""))</f>
        <v/>
      </c>
      <c r="AS21" s="45"/>
      <c r="AT21" s="9" t="str">
        <f t="shared" ca="1" si="4"/>
        <v/>
      </c>
      <c r="AU21" s="9" t="str">
        <f ca="1">IF(AV21="","",HLOOKUP(AM21,BK7:BR24,18,FALSE))</f>
        <v/>
      </c>
      <c r="AV21" s="45" t="str">
        <f ca="1">IF(OR(AM21=0,AM21=""),"",IF(COUNTIFS(AM8:AM23,AM21)&gt;1,"=",""))</f>
        <v/>
      </c>
      <c r="AW21" s="9" t="str">
        <f t="shared" ca="1" si="5"/>
        <v/>
      </c>
      <c r="AX21" s="9" t="str">
        <f t="shared" ca="1" si="1"/>
        <v/>
      </c>
      <c r="AY21" s="47"/>
      <c r="AZ21" s="151" t="str">
        <f t="shared" ca="1" si="7"/>
        <v/>
      </c>
      <c r="BA21" s="151" t="str">
        <f t="shared" ca="1" si="6"/>
        <v/>
      </c>
      <c r="BB21" s="9"/>
      <c r="BC21" s="52" t="str">
        <f ca="1">IF(AL21="","",IF(AL21=BC7,AL21,""))</f>
        <v/>
      </c>
      <c r="BD21" s="52" t="str">
        <f ca="1">IF(AL21="","",IF(AL21=BD7,AL21,""))</f>
        <v/>
      </c>
      <c r="BE21" s="52" t="str">
        <f ca="1">IF(AL21="","",IF(AL21=BE7,AL21,""))</f>
        <v/>
      </c>
      <c r="BF21" s="52" t="str">
        <f ca="1">IF(AL21="","",IF(AL21=BF7,AL21,""))</f>
        <v/>
      </c>
      <c r="BG21" s="52" t="str">
        <f ca="1">IF(AL21="","",IF(AL21=BG7,AL21,""))</f>
        <v/>
      </c>
      <c r="BH21" s="52" t="str">
        <f ca="1">IF(AL21="","",IF(AL21=BH7,AL21,""))</f>
        <v/>
      </c>
      <c r="BI21" s="52" t="str">
        <f ca="1">IF(AL21="","",IF(AL21=BI7,AL21,""))</f>
        <v/>
      </c>
      <c r="BJ21" s="52" t="str">
        <f ca="1">IF(AL21="","",IF(AL21=BJ7,AL21,""))</f>
        <v/>
      </c>
      <c r="BK21" s="52" t="str">
        <f ca="1">IF(AM21="","",IF(AM21=BK7,AM21,""))</f>
        <v/>
      </c>
      <c r="BL21" s="52" t="str">
        <f ca="1">IF(AM21="","",IF(AM21=BL7,AM21,""))</f>
        <v/>
      </c>
      <c r="BM21" s="52" t="str">
        <f ca="1">IF(AM21="","",IF(AM21=BM7,AM21,""))</f>
        <v/>
      </c>
      <c r="BN21" s="52" t="str">
        <f ca="1">IF(AM21="","",IF(AM21=BN7,AM21,""))</f>
        <v/>
      </c>
      <c r="BO21" s="52" t="str">
        <f ca="1">IF(AM21="","",IF(AM21=BO7,AM21,""))</f>
        <v/>
      </c>
      <c r="BP21" s="52" t="str">
        <f ca="1">IF(AM21="","",IF(AM21=BP7,AM21,""))</f>
        <v/>
      </c>
      <c r="BQ21" s="52" t="str">
        <f ca="1">IF(AM21="","",IF(AM21=BQ7,AM21,""))</f>
        <v/>
      </c>
      <c r="BR21" s="52" t="str">
        <f ca="1">IF(AM21="","",IF(AM21=BR7,AM21,""))</f>
        <v/>
      </c>
      <c r="BS21" s="46"/>
      <c r="BT21" s="4" t="str">
        <f>IFERROR(IF(A7=0,A21/11,LEFT(A21,1)),"")</f>
        <v/>
      </c>
    </row>
    <row r="22" spans="1:72" s="4" customFormat="1" ht="15.95" customHeight="1" x14ac:dyDescent="0.35">
      <c r="A22" s="8" t="str">
        <f>IFERROR(IF(A7=0,A14*11,A14&amp;A14),"-")</f>
        <v>-</v>
      </c>
      <c r="B22" s="10" t="str">
        <f ca="1">IFERROR(IF(OR(AK22=0,AK22="B"),"",RANK(AZ22,AZ8:AZ23,1)),"")</f>
        <v/>
      </c>
      <c r="C22" s="10" t="str">
        <f ca="1">IFERROR(IF(OR(AK22=0,AK22="A"),"",RANK(BA22,BA8:BA23,1)),"")</f>
        <v/>
      </c>
      <c r="D22" s="55">
        <v>15</v>
      </c>
      <c r="E22" s="17" t="str">
        <f t="shared" si="2"/>
        <v>-</v>
      </c>
      <c r="F22" s="18" t="str">
        <f>IFERROR(IF(A7=0,HLOOKUP(E22,Declarations!$D$2:$S$102,C5,FALSE),HLOOKUP(VLOOKUP(E22,Teams!$V$2:$W$19,2,FALSE),Declarations!$D$2:$S$102,C5,FALSE)),"")</f>
        <v/>
      </c>
      <c r="G22" s="18" t="str">
        <f t="shared" si="0"/>
        <v/>
      </c>
      <c r="H22" s="526"/>
      <c r="I22" s="527"/>
      <c r="J22" s="526"/>
      <c r="K22" s="527"/>
      <c r="L22" s="526"/>
      <c r="M22" s="527"/>
      <c r="N22" s="526"/>
      <c r="O22" s="527"/>
      <c r="P22" s="526"/>
      <c r="Q22" s="527"/>
      <c r="R22" s="526"/>
      <c r="S22" s="527"/>
      <c r="T22" s="526"/>
      <c r="U22" s="527"/>
      <c r="V22" s="526"/>
      <c r="W22" s="527"/>
      <c r="X22" s="526"/>
      <c r="Y22" s="527"/>
      <c r="Z22" s="526"/>
      <c r="AA22" s="527"/>
      <c r="AB22" s="526"/>
      <c r="AC22" s="527"/>
      <c r="AD22" s="526"/>
      <c r="AE22" s="527"/>
      <c r="AF22" s="557">
        <f ca="1">IFERROR(INDIRECT(CONCATENATE("'Height Input'!"&amp;B6&amp;C6+14)),"")</f>
        <v>0</v>
      </c>
      <c r="AG22" s="558"/>
      <c r="AH22" s="48"/>
      <c r="AI22" s="48"/>
      <c r="AJ22" s="49">
        <f ca="1">IFERROR(IF(AF22="X",MatchDay!$U$2+MatchDay!$U$2+1-COUNTIF($AF8:AF22,"X"),IF(AF22&gt;=97,1,INT(INDIRECT(CONCATENATE("'Height Input'!"&amp;$B5&amp;$C6+14))))),"")</f>
        <v>0</v>
      </c>
      <c r="AK22" s="50">
        <f ca="1">IFERROR(IF(OR(AJ22=0,AJ22=""),0,IF(OR(AJ22&lt;VLOOKUP(BT22,$E8:$AJ15,32,FALSE),VLOOKUP(BT22,$E8:$AJ15,32,FALSE)=0),"A","B")),0)</f>
        <v>0</v>
      </c>
      <c r="AL22" s="139" t="str">
        <f ca="1">IFERROR(IF(OR(AK22=0,AK22="B"),"",RANK(AW22,AW8:AW23,1)),"")</f>
        <v/>
      </c>
      <c r="AM22" s="139" t="str">
        <f ca="1">IFERROR(IF(OR(AK22=0,AK22="A"),"",RANK(AX22,AX8:AX23,1)),"")</f>
        <v/>
      </c>
      <c r="AN22" s="51">
        <f ca="1">IFERROR(IF(AF22="X",0,(INDIRECT(CONCATENATE("'Height Input'!"&amp;$B5&amp;$C6+14))-AJ22)*10),"")</f>
        <v>0</v>
      </c>
      <c r="AO22" s="8"/>
      <c r="AP22" s="9" t="str">
        <f t="shared" ca="1" si="3"/>
        <v/>
      </c>
      <c r="AQ22" s="9" t="str">
        <f ca="1">IF(AR22="","",HLOOKUP(AL22,BC7:BJ24,18,FALSE))</f>
        <v/>
      </c>
      <c r="AR22" s="45" t="str">
        <f ca="1">IF(OR(AL22=0,AL22=""),"",IF(COUNTIFS(AL8:AL23,AL22)&gt;1,"=",""))</f>
        <v/>
      </c>
      <c r="AS22" s="45"/>
      <c r="AT22" s="9" t="str">
        <f t="shared" ca="1" si="4"/>
        <v/>
      </c>
      <c r="AU22" s="9" t="str">
        <f ca="1">IF(AV22="","",HLOOKUP(AM22,BK7:BR24,18,FALSE))</f>
        <v/>
      </c>
      <c r="AV22" s="45" t="str">
        <f ca="1">IF(OR(AM22=0,AM22=""),"",IF(COUNTIFS(AM8:AM23,AM22)&gt;1,"=",""))</f>
        <v/>
      </c>
      <c r="AW22" s="9" t="str">
        <f t="shared" ca="1" si="5"/>
        <v/>
      </c>
      <c r="AX22" s="9" t="str">
        <f t="shared" ca="1" si="1"/>
        <v/>
      </c>
      <c r="AY22" s="47"/>
      <c r="AZ22" s="151" t="str">
        <f t="shared" ca="1" si="7"/>
        <v/>
      </c>
      <c r="BA22" s="151" t="str">
        <f t="shared" ca="1" si="6"/>
        <v/>
      </c>
      <c r="BB22" s="9"/>
      <c r="BC22" s="52" t="str">
        <f ca="1">IF(AL22="","",IF(AL22=BC7,AL22,""))</f>
        <v/>
      </c>
      <c r="BD22" s="52" t="str">
        <f ca="1">IF(AL22="","",IF(AL22=BD7,AL22,""))</f>
        <v/>
      </c>
      <c r="BE22" s="52" t="str">
        <f ca="1">IF(AL22="","",IF(AL22=BE7,AL22,""))</f>
        <v/>
      </c>
      <c r="BF22" s="52" t="str">
        <f ca="1">IF(AL22="","",IF(AL22=BF7,AL22,""))</f>
        <v/>
      </c>
      <c r="BG22" s="52" t="str">
        <f ca="1">IF(AL22="","",IF(AL22=BG7,AL22,""))</f>
        <v/>
      </c>
      <c r="BH22" s="52" t="str">
        <f ca="1">IF(AL22="","",IF(AL22=BH7,AL22,""))</f>
        <v/>
      </c>
      <c r="BI22" s="52" t="str">
        <f ca="1">IF(AL22="","",IF(AL22=BI7,AL22,""))</f>
        <v/>
      </c>
      <c r="BJ22" s="52" t="str">
        <f ca="1">IF(AL22="","",IF(AL22=BJ7,AL22,""))</f>
        <v/>
      </c>
      <c r="BK22" s="52" t="str">
        <f ca="1">IF(AM22="","",IF(AM22=BK7,AM22,""))</f>
        <v/>
      </c>
      <c r="BL22" s="52" t="str">
        <f ca="1">IF(AM22="","",IF(AM22=BL7,AM22,""))</f>
        <v/>
      </c>
      <c r="BM22" s="52" t="str">
        <f ca="1">IF(AM22="","",IF(AM22=BM7,AM22,""))</f>
        <v/>
      </c>
      <c r="BN22" s="52" t="str">
        <f ca="1">IF(AM22="","",IF(AM22=BN7,AM22,""))</f>
        <v/>
      </c>
      <c r="BO22" s="52" t="str">
        <f ca="1">IF(AM22="","",IF(AM22=BO7,AM22,""))</f>
        <v/>
      </c>
      <c r="BP22" s="52" t="str">
        <f ca="1">IF(AM22="","",IF(AM22=BP7,AM22,""))</f>
        <v/>
      </c>
      <c r="BQ22" s="52" t="str">
        <f ca="1">IF(AM22="","",IF(AM22=BQ7,AM22,""))</f>
        <v/>
      </c>
      <c r="BR22" s="52" t="str">
        <f ca="1">IF(AM22="","",IF(AM22=BR7,AM22,""))</f>
        <v/>
      </c>
      <c r="BS22" s="46"/>
      <c r="BT22" s="4" t="str">
        <f>IFERROR(IF(A7=0,A22/11,LEFT(A22,1)),"")</f>
        <v/>
      </c>
    </row>
    <row r="23" spans="1:72" s="4" customFormat="1" ht="15.95" customHeight="1" x14ac:dyDescent="0.35">
      <c r="A23" s="8" t="str">
        <f>IFERROR(IF(A7=0,A15*11,A15&amp;A15),"-")</f>
        <v>-</v>
      </c>
      <c r="B23" s="10" t="str">
        <f ca="1">IFERROR(IF(OR(AK23=0,AK23="B"),"",RANK(AZ23,AZ8:AZ23,1)),"")</f>
        <v/>
      </c>
      <c r="C23" s="10" t="str">
        <f ca="1">IFERROR(IF(OR(AK23=0,AK23="A"),"",RANK(BA23,BA8:BA23,1)),"")</f>
        <v/>
      </c>
      <c r="D23" s="55">
        <v>16</v>
      </c>
      <c r="E23" s="17" t="str">
        <f t="shared" si="2"/>
        <v>-</v>
      </c>
      <c r="F23" s="18" t="str">
        <f>IFERROR(IF(A7=0,HLOOKUP(E23,Declarations!$D$2:$S$102,C5,FALSE),HLOOKUP(VLOOKUP(E23,Teams!$V$2:$W$19,2,FALSE),Declarations!$D$2:$S$102,C5,FALSE)),"")</f>
        <v/>
      </c>
      <c r="G23" s="18" t="str">
        <f t="shared" si="0"/>
        <v/>
      </c>
      <c r="H23" s="526"/>
      <c r="I23" s="527"/>
      <c r="J23" s="526"/>
      <c r="K23" s="527"/>
      <c r="L23" s="526"/>
      <c r="M23" s="527"/>
      <c r="N23" s="526"/>
      <c r="O23" s="527"/>
      <c r="P23" s="526"/>
      <c r="Q23" s="527"/>
      <c r="R23" s="526"/>
      <c r="S23" s="527"/>
      <c r="T23" s="526"/>
      <c r="U23" s="527"/>
      <c r="V23" s="526"/>
      <c r="W23" s="527"/>
      <c r="X23" s="526"/>
      <c r="Y23" s="527"/>
      <c r="Z23" s="526"/>
      <c r="AA23" s="527"/>
      <c r="AB23" s="526"/>
      <c r="AC23" s="527"/>
      <c r="AD23" s="526"/>
      <c r="AE23" s="527"/>
      <c r="AF23" s="557">
        <f ca="1">IFERROR(INDIRECT(CONCATENATE("'Height Input'!"&amp;B6&amp;C6+15)),"")</f>
        <v>0</v>
      </c>
      <c r="AG23" s="558"/>
      <c r="AH23" s="48"/>
      <c r="AI23" s="48"/>
      <c r="AJ23" s="49">
        <f ca="1">IFERROR(IF(AF23="X",MatchDay!$U$2+MatchDay!$U$2+1-COUNTIF($AF8:AF23,"X"),IF(AF23&gt;=97,1,INT(INDIRECT(CONCATENATE("'Height Input'!"&amp;$B5&amp;$C6+15))))),"")</f>
        <v>0</v>
      </c>
      <c r="AK23" s="50">
        <f ca="1">IFERROR(IF(OR(AJ23=0,AJ23=""),0,IF(OR(AJ23&lt;VLOOKUP(BT23,$E8:$AJ15,32,FALSE),VLOOKUP(BT23,$E8:$AJ15,32,FALSE)=0),"A","B")),0)</f>
        <v>0</v>
      </c>
      <c r="AL23" s="139" t="str">
        <f ca="1">IFERROR(IF(OR(AK23=0,AK23="B"),"",RANK(AW23,AW8:AW23,1)),"")</f>
        <v/>
      </c>
      <c r="AM23" s="139" t="str">
        <f ca="1">IFERROR(IF(OR(AK23=0,AK23="A"),"",RANK(AX23,AX8:AX23,1)),"")</f>
        <v/>
      </c>
      <c r="AN23" s="51">
        <f ca="1">IFERROR(IF(AF23="X",0,(INDIRECT(CONCATENATE("'Height Input'!"&amp;$B5&amp;$C6+15))-AJ23)*10),"")</f>
        <v>0</v>
      </c>
      <c r="AO23" s="8"/>
      <c r="AP23" s="9" t="str">
        <f t="shared" ca="1" si="3"/>
        <v/>
      </c>
      <c r="AQ23" s="9" t="str">
        <f ca="1">IF(AR23="","",HLOOKUP(AL23,BC7:BJ24,18,FALSE))</f>
        <v/>
      </c>
      <c r="AR23" s="45" t="str">
        <f ca="1">IF(OR(AL23=0,AL23=""),"",IF(COUNTIFS(AL8:AL23,AL23)&gt;1,"=",""))</f>
        <v/>
      </c>
      <c r="AS23" s="45"/>
      <c r="AT23" s="9" t="str">
        <f t="shared" ca="1" si="4"/>
        <v/>
      </c>
      <c r="AU23" s="9" t="str">
        <f ca="1">IF(AV23="","",HLOOKUP(AM23,BK7:BR24,18,FALSE))</f>
        <v/>
      </c>
      <c r="AV23" s="45" t="str">
        <f ca="1">IF(OR(AM23=0,AM23=""),"",IF(COUNTIFS(AM8:AM23,AM23)&gt;1,"=",""))</f>
        <v/>
      </c>
      <c r="AW23" s="9" t="str">
        <f t="shared" ca="1" si="5"/>
        <v/>
      </c>
      <c r="AX23" s="9" t="str">
        <f t="shared" ca="1" si="1"/>
        <v/>
      </c>
      <c r="AY23" s="47"/>
      <c r="AZ23" s="151" t="str">
        <f t="shared" ca="1" si="7"/>
        <v/>
      </c>
      <c r="BA23" s="151" t="str">
        <f t="shared" ca="1" si="6"/>
        <v/>
      </c>
      <c r="BB23" s="9"/>
      <c r="BC23" s="52" t="str">
        <f ca="1">IF(AL23="","",IF(AL23=BC7,AL23,""))</f>
        <v/>
      </c>
      <c r="BD23" s="52" t="str">
        <f ca="1">IF(AL23="","",IF(AL23=BD7,AL23,""))</f>
        <v/>
      </c>
      <c r="BE23" s="52" t="str">
        <f ca="1">IF(AL23="","",IF(AL23=BE7,AL23,""))</f>
        <v/>
      </c>
      <c r="BF23" s="52" t="str">
        <f ca="1">IF(AL23="","",IF(AL23=BF7,AL23,""))</f>
        <v/>
      </c>
      <c r="BG23" s="52" t="str">
        <f ca="1">IF(AL23="","",IF(AL23=BG7,AL23,""))</f>
        <v/>
      </c>
      <c r="BH23" s="52" t="str">
        <f ca="1">IF(AL23="","",IF(AL23=BH7,AL23,""))</f>
        <v/>
      </c>
      <c r="BI23" s="52" t="str">
        <f ca="1">IF(AL23="","",IF(AL23=BI7,AL23,""))</f>
        <v/>
      </c>
      <c r="BJ23" s="52" t="str">
        <f ca="1">IF(AL23="","",IF(AL23=BJ7,AL23,""))</f>
        <v/>
      </c>
      <c r="BK23" s="52" t="str">
        <f ca="1">IF(AM23="","",IF(AM23=BK7,AM23,""))</f>
        <v/>
      </c>
      <c r="BL23" s="52" t="str">
        <f ca="1">IF(AM23="","",IF(AM23=BL7,AM23,""))</f>
        <v/>
      </c>
      <c r="BM23" s="52" t="str">
        <f ca="1">IF(AM23="","",IF(AM23=BM7,AM23,""))</f>
        <v/>
      </c>
      <c r="BN23" s="52" t="str">
        <f ca="1">IF(AM23="","",IF(AM23=BN7,AM23,""))</f>
        <v/>
      </c>
      <c r="BO23" s="52" t="str">
        <f ca="1">IF(AM23="","",IF(AM23=BO7,AM23,""))</f>
        <v/>
      </c>
      <c r="BP23" s="52" t="str">
        <f ca="1">IF(AM23="","",IF(AM23=BP7,AM23,""))</f>
        <v/>
      </c>
      <c r="BQ23" s="52" t="str">
        <f ca="1">IF(AM23="","",IF(AM23=BQ7,AM23,""))</f>
        <v/>
      </c>
      <c r="BR23" s="52" t="str">
        <f ca="1">IF(AM23="","",IF(AM23=BR7,AM23,""))</f>
        <v/>
      </c>
      <c r="BS23" s="46"/>
      <c r="BT23" s="4" t="str">
        <f>IFERROR(IF(A7=0,A23/11,LEFT(A23,1)),"")</f>
        <v/>
      </c>
    </row>
    <row r="24" spans="1:72" s="4" customFormat="1" ht="10.5" x14ac:dyDescent="0.35">
      <c r="A24" s="8"/>
      <c r="B24" s="1"/>
      <c r="C24" s="1"/>
      <c r="AL24" s="140"/>
      <c r="AM24" s="140"/>
      <c r="AP24" s="47"/>
      <c r="AQ24" s="47"/>
      <c r="AR24" s="47"/>
      <c r="AS24" s="47"/>
      <c r="AT24" s="47"/>
      <c r="AU24" s="47"/>
      <c r="AV24" s="47"/>
      <c r="AW24" s="47"/>
      <c r="AX24" s="47"/>
      <c r="AY24" s="47"/>
      <c r="AZ24" s="153"/>
      <c r="BA24" s="153"/>
      <c r="BB24" s="47"/>
      <c r="BC24" s="9">
        <f ca="1">COUNTIF(BC8:BC23,BC7)</f>
        <v>1</v>
      </c>
      <c r="BD24" s="9">
        <f t="shared" ref="BD24:BR24" ca="1" si="8">COUNTIF(BD8:BD23,BD7)</f>
        <v>1</v>
      </c>
      <c r="BE24" s="9">
        <f t="shared" ca="1" si="8"/>
        <v>1</v>
      </c>
      <c r="BF24" s="9">
        <f t="shared" ca="1" si="8"/>
        <v>0</v>
      </c>
      <c r="BG24" s="9">
        <f t="shared" ca="1" si="8"/>
        <v>0</v>
      </c>
      <c r="BH24" s="9">
        <f t="shared" ca="1" si="8"/>
        <v>0</v>
      </c>
      <c r="BI24" s="9">
        <f t="shared" ca="1" si="8"/>
        <v>0</v>
      </c>
      <c r="BJ24" s="9">
        <f t="shared" ca="1" si="8"/>
        <v>0</v>
      </c>
      <c r="BK24" s="9">
        <f t="shared" ca="1" si="8"/>
        <v>1</v>
      </c>
      <c r="BL24" s="9">
        <f t="shared" ca="1" si="8"/>
        <v>1</v>
      </c>
      <c r="BM24" s="9">
        <f t="shared" ca="1" si="8"/>
        <v>0</v>
      </c>
      <c r="BN24" s="9">
        <f t="shared" ca="1" si="8"/>
        <v>0</v>
      </c>
      <c r="BO24" s="9">
        <f t="shared" ca="1" si="8"/>
        <v>0</v>
      </c>
      <c r="BP24" s="9">
        <f t="shared" ca="1" si="8"/>
        <v>0</v>
      </c>
      <c r="BQ24" s="9">
        <f t="shared" ca="1" si="8"/>
        <v>0</v>
      </c>
      <c r="BR24" s="9">
        <f t="shared" ca="1" si="8"/>
        <v>0</v>
      </c>
    </row>
    <row r="25" spans="1:72" s="4" customFormat="1" ht="11.65" x14ac:dyDescent="0.45">
      <c r="A25" s="8"/>
      <c r="B25" s="1"/>
      <c r="C25" s="1"/>
      <c r="D25" s="512" t="s">
        <v>180</v>
      </c>
      <c r="E25" s="552"/>
      <c r="F25" s="552"/>
      <c r="G25" s="552"/>
      <c r="H25" s="552"/>
      <c r="I25" s="553"/>
      <c r="J25" s="512" t="s">
        <v>181</v>
      </c>
      <c r="K25" s="552"/>
      <c r="L25" s="552"/>
      <c r="M25" s="552"/>
      <c r="N25" s="552"/>
      <c r="O25" s="552"/>
      <c r="P25" s="552"/>
      <c r="Q25" s="552"/>
      <c r="R25" s="552"/>
      <c r="S25" s="552"/>
      <c r="T25" s="552"/>
      <c r="U25" s="552"/>
      <c r="V25" s="552"/>
      <c r="W25" s="552"/>
      <c r="X25" s="552"/>
      <c r="Y25" s="552"/>
      <c r="Z25" s="552"/>
      <c r="AA25" s="553"/>
      <c r="AB25" s="512" t="s">
        <v>182</v>
      </c>
      <c r="AC25" s="552"/>
      <c r="AD25" s="552"/>
      <c r="AE25" s="552"/>
      <c r="AF25" s="552"/>
      <c r="AG25" s="552"/>
      <c r="AH25" s="552"/>
      <c r="AI25" s="552"/>
      <c r="AJ25" s="552"/>
      <c r="AK25" s="552"/>
      <c r="AL25" s="552"/>
      <c r="AM25" s="553"/>
      <c r="AP25" s="8"/>
      <c r="AQ25" s="8"/>
      <c r="AR25" s="8"/>
      <c r="AS25" s="8"/>
      <c r="AT25" s="8"/>
      <c r="AU25" s="8"/>
      <c r="AV25" s="8"/>
      <c r="AW25" s="8"/>
      <c r="AX25" s="8"/>
      <c r="AY25" s="8"/>
      <c r="AZ25" s="152"/>
      <c r="BA25" s="152"/>
      <c r="BB25" s="8"/>
      <c r="BC25" s="8"/>
      <c r="BD25" s="8"/>
      <c r="BE25" s="8"/>
    </row>
    <row r="26" spans="1:72" s="4" customFormat="1" ht="11.65" x14ac:dyDescent="0.45">
      <c r="A26" s="8" t="s">
        <v>55</v>
      </c>
      <c r="B26" s="1"/>
      <c r="C26" s="1"/>
      <c r="D26" s="12" t="s">
        <v>230</v>
      </c>
      <c r="E26" s="55" t="s">
        <v>183</v>
      </c>
      <c r="F26" s="55" t="s">
        <v>165</v>
      </c>
      <c r="G26" s="55" t="s">
        <v>166</v>
      </c>
      <c r="H26" s="554" t="s">
        <v>323</v>
      </c>
      <c r="I26" s="555"/>
      <c r="J26" s="512" t="s">
        <v>230</v>
      </c>
      <c r="K26" s="514"/>
      <c r="L26" s="512" t="s">
        <v>183</v>
      </c>
      <c r="M26" s="553"/>
      <c r="N26" s="533" t="s">
        <v>165</v>
      </c>
      <c r="O26" s="556"/>
      <c r="P26" s="556"/>
      <c r="Q26" s="556"/>
      <c r="R26" s="556"/>
      <c r="S26" s="556"/>
      <c r="T26" s="533" t="s">
        <v>166</v>
      </c>
      <c r="U26" s="556"/>
      <c r="V26" s="556"/>
      <c r="W26" s="556"/>
      <c r="X26" s="556"/>
      <c r="Y26" s="556"/>
      <c r="Z26" s="554" t="s">
        <v>323</v>
      </c>
      <c r="AA26" s="555"/>
      <c r="AB26" s="132"/>
      <c r="AC26" s="133"/>
      <c r="AD26" s="133"/>
      <c r="AE26" s="133"/>
      <c r="AF26" s="133"/>
      <c r="AG26" s="133"/>
      <c r="AH26" s="25"/>
      <c r="AI26" s="25"/>
      <c r="AJ26" s="25"/>
      <c r="AK26" s="25"/>
      <c r="AL26" s="141"/>
      <c r="AM26" s="142"/>
      <c r="AP26" s="8"/>
      <c r="AQ26" s="8"/>
      <c r="AR26" s="8"/>
      <c r="AS26" s="8"/>
      <c r="AT26" s="8"/>
      <c r="AU26" s="8"/>
      <c r="AV26" s="8"/>
      <c r="AW26" s="8"/>
      <c r="AX26" s="8"/>
      <c r="AY26" s="8"/>
      <c r="AZ26" s="152"/>
      <c r="BA26" s="152"/>
      <c r="BB26" s="8"/>
      <c r="BC26" s="8"/>
      <c r="BD26" s="8"/>
      <c r="BE26" s="8"/>
    </row>
    <row r="27" spans="1:72" s="4" customFormat="1" ht="15.95" customHeight="1" x14ac:dyDescent="0.45">
      <c r="A27" s="11">
        <f>IFERROR(VLOOKUP(A4,standards,3,FALSE),"-")</f>
        <v>1.57</v>
      </c>
      <c r="B27" s="1"/>
      <c r="C27" s="10">
        <v>1</v>
      </c>
      <c r="D27" s="19">
        <f ca="1">IFERROR(IF(VLOOKUP(C27,B8:AP23,41,FALSE)="",VLOOKUP(C27,B8:AP23,37,FALSE),VLOOKUP(C27,B8:AP23,37,FALSE)&amp;VLOOKUP(C27,B8:AP23,41,FALSE)),"")</f>
        <v>1</v>
      </c>
      <c r="E27" s="19">
        <f ca="1">IFERROR(IF(OR(AF8=98,AF8=99),AF8,IF(VLOOKUP(C27,B8:AG23,31,FALSE)=0,0,VLOOKUP(C27,B8:AG23,4,FALSE))),0)</f>
        <v>1</v>
      </c>
      <c r="F27" s="27" t="str">
        <f ca="1">IFERROR(VLOOKUP(E27,$E8:$F23,2,FALSE),"")</f>
        <v>MOODY Hannah</v>
      </c>
      <c r="G27" s="27" t="str">
        <f t="shared" ref="G27:G34" ca="1" si="9">IFERROR(VLOOKUP(E27,teamlookup,5,FALSE),"")</f>
        <v>C'field</v>
      </c>
      <c r="H27" s="542">
        <f ca="1">IFERROR(VLOOKUP(E27,E8:AG23,28,FALSE),0)</f>
        <v>1.55</v>
      </c>
      <c r="I27" s="543"/>
      <c r="J27" s="550">
        <f ca="1">IFERROR(IF(VLOOKUP(C27,C8:AT23,44,FALSE)="",VLOOKUP(C27,C8:AT23,37,FALSE),VLOOKUP(C27,C8:AT23,37,FALSE)&amp;VLOOKUP(C27,C8:AT23,44,FALSE)),"")</f>
        <v>1</v>
      </c>
      <c r="K27" s="551"/>
      <c r="L27" s="550">
        <f ca="1">IFERROR(IF(VLOOKUP(C27,C8:AG23,30,FALSE)=0,"",VLOOKUP(C27,C8:AG23,3,FALSE)),"")</f>
        <v>22</v>
      </c>
      <c r="M27" s="551"/>
      <c r="N27" s="544" t="str">
        <f ca="1">IFERROR(VLOOKUP(L27,E8:F23,2,FALSE),"")</f>
        <v>MYCROFT Tilly</v>
      </c>
      <c r="O27" s="545"/>
      <c r="P27" s="545"/>
      <c r="Q27" s="545"/>
      <c r="R27" s="545"/>
      <c r="S27" s="546"/>
      <c r="T27" s="544" t="str">
        <f t="shared" ref="T27:T34" ca="1" si="10">IFERROR(VLOOKUP(L27,teamlookup,5,FALSE),"")</f>
        <v>Sheff+D</v>
      </c>
      <c r="U27" s="545"/>
      <c r="V27" s="545"/>
      <c r="W27" s="545"/>
      <c r="X27" s="545"/>
      <c r="Y27" s="546"/>
      <c r="Z27" s="542">
        <f ca="1">IFERROR(VLOOKUP(L27,E8:AG23,28,FALSE),0)</f>
        <v>1.45</v>
      </c>
      <c r="AA27" s="543"/>
      <c r="AB27" s="28"/>
      <c r="AC27" s="29"/>
      <c r="AD27" s="29"/>
      <c r="AE27" s="29"/>
      <c r="AF27" s="29"/>
      <c r="AG27" s="29"/>
      <c r="AH27" s="29"/>
      <c r="AI27" s="29"/>
      <c r="AJ27" s="29"/>
      <c r="AK27" s="29"/>
      <c r="AL27" s="143"/>
      <c r="AM27" s="144"/>
      <c r="AP27" s="8"/>
      <c r="AQ27" s="8"/>
      <c r="AR27" s="53"/>
      <c r="AS27" s="8"/>
      <c r="AT27" s="8"/>
      <c r="AU27" s="8"/>
      <c r="AV27" s="8"/>
      <c r="AW27" s="8"/>
      <c r="AX27" s="8"/>
      <c r="AY27" s="8"/>
      <c r="AZ27" s="152"/>
      <c r="BA27" s="152"/>
      <c r="BB27" s="8"/>
      <c r="BC27" s="8"/>
      <c r="BD27" s="8"/>
      <c r="BE27" s="8"/>
    </row>
    <row r="28" spans="1:72" s="4" customFormat="1" ht="15.95" customHeight="1" x14ac:dyDescent="0.45">
      <c r="A28" s="11">
        <f>IFERROR(VLOOKUP(A4,standards,4,FALSE),"-")</f>
        <v>1.54</v>
      </c>
      <c r="B28" s="1"/>
      <c r="C28" s="10">
        <v>2</v>
      </c>
      <c r="D28" s="19">
        <f ca="1">IFERROR(IF(VLOOKUP(C28,B8:AP23,41,FALSE)="",VLOOKUP(C28,B8:AP23,37,FALSE),VLOOKUP(C28,B8:AP23,37,FALSE)&amp;VLOOKUP(C28,B8:AP23,41,FALSE)),"")</f>
        <v>2</v>
      </c>
      <c r="E28" s="19">
        <f ca="1">IFERROR(IF(VLOOKUP(C28,B8:AG23,31,FALSE)=0,0,VLOOKUP(C28,B8:AG23,4,FALSE)),"")</f>
        <v>3</v>
      </c>
      <c r="F28" s="27" t="str">
        <f ca="1">IFERROR(VLOOKUP(E28,$E8:$F23,2,FALSE),"")</f>
        <v>HOGG Frances</v>
      </c>
      <c r="G28" s="27" t="str">
        <f t="shared" ca="1" si="9"/>
        <v>York</v>
      </c>
      <c r="H28" s="542">
        <f ca="1">IFERROR(VLOOKUP(E28,E8:AG23,28,FALSE),0)</f>
        <v>1.5</v>
      </c>
      <c r="I28" s="543"/>
      <c r="J28" s="550">
        <f ca="1">IFERROR(IF(VLOOKUP(C28,C8:AT23,44,FALSE)="",VLOOKUP(C28,C8:AT23,37,FALSE),VLOOKUP(C28,C8:AT23,37,FALSE)&amp;VLOOKUP(C28,C8:AT23,44,FALSE)),"")</f>
        <v>2</v>
      </c>
      <c r="K28" s="551"/>
      <c r="L28" s="550">
        <f ca="1">IFERROR(IF(VLOOKUP(C28,C8:AG23,30,FALSE)=0,"",VLOOKUP(C28,C8:AG23,3,FALSE)),"")</f>
        <v>33</v>
      </c>
      <c r="M28" s="551"/>
      <c r="N28" s="544" t="str">
        <f ca="1">IFERROR(VLOOKUP(L28,E8:F23,2,FALSE),"")</f>
        <v>TWEDDLE Bella</v>
      </c>
      <c r="O28" s="545"/>
      <c r="P28" s="545"/>
      <c r="Q28" s="545"/>
      <c r="R28" s="545"/>
      <c r="S28" s="546"/>
      <c r="T28" s="544" t="str">
        <f t="shared" ca="1" si="10"/>
        <v>York</v>
      </c>
      <c r="U28" s="545"/>
      <c r="V28" s="545"/>
      <c r="W28" s="545"/>
      <c r="X28" s="545"/>
      <c r="Y28" s="546"/>
      <c r="Z28" s="542">
        <f ca="1">IFERROR(VLOOKUP(L28,E8:AG23,28,FALSE),0)</f>
        <v>1.4</v>
      </c>
      <c r="AA28" s="543"/>
      <c r="AB28" s="134"/>
      <c r="AC28" s="20"/>
      <c r="AD28" s="20"/>
      <c r="AE28" s="20"/>
      <c r="AF28" s="20"/>
      <c r="AG28" s="20"/>
      <c r="AH28" s="20"/>
      <c r="AI28" s="20"/>
      <c r="AJ28" s="20"/>
      <c r="AK28" s="20"/>
      <c r="AL28" s="145"/>
      <c r="AM28" s="146"/>
      <c r="AP28" s="8"/>
      <c r="AQ28" s="8"/>
      <c r="AR28" s="8"/>
      <c r="AS28" s="8"/>
      <c r="AT28" s="8"/>
      <c r="AU28" s="8"/>
      <c r="AV28" s="8"/>
      <c r="AW28" s="8"/>
      <c r="AX28" s="8"/>
      <c r="AY28" s="8"/>
      <c r="AZ28" s="152"/>
      <c r="BA28" s="152"/>
      <c r="BB28" s="8"/>
      <c r="BC28" s="8"/>
      <c r="BD28" s="8"/>
      <c r="BE28" s="8"/>
    </row>
    <row r="29" spans="1:72" s="4" customFormat="1" ht="15.95" customHeight="1" x14ac:dyDescent="0.45">
      <c r="A29" s="11">
        <f>IFERROR(VLOOKUP(A4,standards,5,FALSE),"-")</f>
        <v>1.49</v>
      </c>
      <c r="B29" s="1"/>
      <c r="C29" s="10">
        <v>3</v>
      </c>
      <c r="D29" s="19">
        <f ca="1">IFERROR(IF(VLOOKUP(C29,B8:AP23,41,FALSE)="",VLOOKUP(C29,B8:AP23,37,FALSE),VLOOKUP(C29,B8:AP23,37,FALSE)&amp;VLOOKUP(C29,B8:AP23,41,FALSE)),"")</f>
        <v>3</v>
      </c>
      <c r="E29" s="19">
        <f ca="1">IFERROR(IF(VLOOKUP(C29,B8:AG23,31,FALSE)=0,0,VLOOKUP(C29,B8:AG23,4,FALSE)),"")</f>
        <v>2</v>
      </c>
      <c r="F29" s="27" t="str">
        <f ca="1">IFERROR(VLOOKUP(E29,$E8:$F23,2,FALSE),"")</f>
        <v>WOODHOUSE Polly</v>
      </c>
      <c r="G29" s="27" t="str">
        <f t="shared" ca="1" si="9"/>
        <v>Sheff+D</v>
      </c>
      <c r="H29" s="542">
        <f ca="1">IFERROR(VLOOKUP(E29,E8:AG23,28,FALSE),0)</f>
        <v>1.5</v>
      </c>
      <c r="I29" s="543"/>
      <c r="J29" s="550" t="str">
        <f ca="1">IFERROR(IF(VLOOKUP(C29,C8:AT23,44,FALSE)="",VLOOKUP(C29,C8:AT23,37,FALSE),VLOOKUP(C29,C8:AT23,37,FALSE)&amp;VLOOKUP(C29,C8:AT23,44,FALSE)),"")</f>
        <v/>
      </c>
      <c r="K29" s="551"/>
      <c r="L29" s="550" t="str">
        <f ca="1">IFERROR(IF(VLOOKUP(C29,C8:AG23,30,FALSE)=0,"",VLOOKUP(C29,C8:AG23,3,FALSE)),"")</f>
        <v/>
      </c>
      <c r="M29" s="551"/>
      <c r="N29" s="544" t="str">
        <f ca="1">IFERROR(VLOOKUP(L29,E8:F23,2,FALSE),"")</f>
        <v/>
      </c>
      <c r="O29" s="545"/>
      <c r="P29" s="545"/>
      <c r="Q29" s="545"/>
      <c r="R29" s="545"/>
      <c r="S29" s="546"/>
      <c r="T29" s="544" t="str">
        <f t="shared" ca="1" si="10"/>
        <v/>
      </c>
      <c r="U29" s="545"/>
      <c r="V29" s="545"/>
      <c r="W29" s="545"/>
      <c r="X29" s="545"/>
      <c r="Y29" s="546"/>
      <c r="Z29" s="542">
        <f ca="1">IFERROR(VLOOKUP(L29,E8:AG23,28,FALSE),0)</f>
        <v>0</v>
      </c>
      <c r="AA29" s="543"/>
      <c r="AB29" s="134"/>
      <c r="AC29" s="20"/>
      <c r="AD29" s="20"/>
      <c r="AE29" s="20"/>
      <c r="AF29" s="20"/>
      <c r="AG29" s="20"/>
      <c r="AH29" s="20"/>
      <c r="AI29" s="20"/>
      <c r="AJ29" s="20"/>
      <c r="AK29" s="20"/>
      <c r="AL29" s="145"/>
      <c r="AM29" s="146"/>
      <c r="AP29" s="8"/>
      <c r="AQ29" s="8"/>
      <c r="AR29" s="8"/>
      <c r="AS29" s="8"/>
      <c r="AT29" s="8"/>
      <c r="AU29" s="8"/>
      <c r="AV29" s="8"/>
      <c r="AW29" s="8"/>
      <c r="AX29" s="8"/>
      <c r="AY29" s="8"/>
      <c r="AZ29" s="152"/>
      <c r="BA29" s="152"/>
      <c r="BB29" s="8"/>
      <c r="BC29" s="8"/>
      <c r="BD29" s="8"/>
      <c r="BE29" s="8"/>
    </row>
    <row r="30" spans="1:72" s="4" customFormat="1" ht="15.95" customHeight="1" x14ac:dyDescent="0.45">
      <c r="A30" s="11">
        <f>IFERROR(VLOOKUP(A4,AAA!A:F,6,FALSE),"-")</f>
        <v>1.41</v>
      </c>
      <c r="B30" s="1"/>
      <c r="C30" s="10">
        <v>4</v>
      </c>
      <c r="D30" s="19" t="str">
        <f ca="1">IFERROR(IF(VLOOKUP(C30,B8:AP23,41,FALSE)="",VLOOKUP(C30,B8:AP23,37,FALSE),VLOOKUP(C30,B8:AP23,37,FALSE)&amp;VLOOKUP(C30,B8:AP23,41,FALSE)),"")</f>
        <v/>
      </c>
      <c r="E30" s="19" t="str">
        <f ca="1">IFERROR(IF(VLOOKUP(C30,B8:AG23,31,FALSE)=0,0,VLOOKUP(C30,B8:AG23,4,FALSE)),"")</f>
        <v/>
      </c>
      <c r="F30" s="27" t="str">
        <f ca="1">IFERROR(VLOOKUP(E30,$E8:$F23,2,FALSE),"")</f>
        <v/>
      </c>
      <c r="G30" s="27" t="str">
        <f t="shared" ca="1" si="9"/>
        <v/>
      </c>
      <c r="H30" s="542">
        <f ca="1">IFERROR(VLOOKUP(E30,E8:AG23,28,FALSE),0)</f>
        <v>0</v>
      </c>
      <c r="I30" s="543"/>
      <c r="J30" s="550" t="str">
        <f ca="1">IFERROR(IF(VLOOKUP(C30,C8:AT23,44,FALSE)="",VLOOKUP(C30,C8:AT23,37,FALSE),VLOOKUP(C30,C8:AT23,37,FALSE)&amp;VLOOKUP(C30,C8:AT23,44,FALSE)),"")</f>
        <v/>
      </c>
      <c r="K30" s="551"/>
      <c r="L30" s="550" t="str">
        <f ca="1">IFERROR(IF(VLOOKUP(C30,C8:AG23,30,FALSE)=0,"",VLOOKUP(C30,C8:AG23,3,FALSE)),"")</f>
        <v/>
      </c>
      <c r="M30" s="551"/>
      <c r="N30" s="544" t="str">
        <f ca="1">IFERROR(VLOOKUP(L30,E8:F23,2,FALSE),"")</f>
        <v/>
      </c>
      <c r="O30" s="545"/>
      <c r="P30" s="545"/>
      <c r="Q30" s="545"/>
      <c r="R30" s="545"/>
      <c r="S30" s="546"/>
      <c r="T30" s="544" t="str">
        <f t="shared" ca="1" si="10"/>
        <v/>
      </c>
      <c r="U30" s="545"/>
      <c r="V30" s="545"/>
      <c r="W30" s="545"/>
      <c r="X30" s="545"/>
      <c r="Y30" s="546"/>
      <c r="Z30" s="542">
        <f ca="1">IFERROR(VLOOKUP(L30,E8:AG23,28,FALSE),0)</f>
        <v>0</v>
      </c>
      <c r="AA30" s="543"/>
      <c r="AB30" s="24"/>
      <c r="AC30" s="25"/>
      <c r="AD30" s="25"/>
      <c r="AE30" s="25"/>
      <c r="AF30" s="25"/>
      <c r="AG30" s="25"/>
      <c r="AH30" s="25"/>
      <c r="AI30" s="25"/>
      <c r="AJ30" s="25"/>
      <c r="AK30" s="25"/>
      <c r="AL30" s="141"/>
      <c r="AM30" s="142"/>
      <c r="AP30" s="8"/>
      <c r="AQ30" s="8"/>
      <c r="AR30" s="8"/>
      <c r="AS30" s="8"/>
      <c r="AT30" s="8"/>
      <c r="AU30" s="8"/>
      <c r="AV30" s="8"/>
      <c r="AW30" s="8"/>
      <c r="AX30" s="8"/>
      <c r="AY30" s="8"/>
      <c r="AZ30" s="152"/>
      <c r="BA30" s="152"/>
      <c r="BB30" s="8"/>
      <c r="BC30" s="8"/>
      <c r="BD30" s="8"/>
      <c r="BE30" s="8"/>
    </row>
    <row r="31" spans="1:72" s="4" customFormat="1" ht="15.95" customHeight="1" x14ac:dyDescent="0.45">
      <c r="A31" s="8"/>
      <c r="B31" s="1"/>
      <c r="C31" s="10">
        <v>5</v>
      </c>
      <c r="D31" s="19" t="str">
        <f ca="1">IFERROR(IF(VLOOKUP(C31,B8:AP23,41,FALSE)="",VLOOKUP(C31,B8:AP23,37,FALSE),VLOOKUP(C31,B8:AP23,37,FALSE)&amp;VLOOKUP(C31,B8:AP23,41,FALSE)),"")</f>
        <v/>
      </c>
      <c r="E31" s="19" t="str">
        <f ca="1">IFERROR(IF(VLOOKUP(C31,B8:AG23,31,FALSE)=0,0,VLOOKUP(C31,B8:AG23,4,FALSE)),"")</f>
        <v/>
      </c>
      <c r="F31" s="27" t="str">
        <f ca="1">IFERROR(VLOOKUP(E31,$E8:$F23,2,FALSE),"")</f>
        <v/>
      </c>
      <c r="G31" s="27" t="str">
        <f t="shared" ca="1" si="9"/>
        <v/>
      </c>
      <c r="H31" s="542">
        <f ca="1">IFERROR(VLOOKUP(E31,E8:AG23,28,FALSE),0)</f>
        <v>0</v>
      </c>
      <c r="I31" s="543"/>
      <c r="J31" s="550" t="str">
        <f ca="1">IFERROR(IF(VLOOKUP(C31,C8:AT23,44,FALSE)="",VLOOKUP(C31,C8:AT23,37,FALSE),VLOOKUP(C31,C8:AT23,37,FALSE)&amp;VLOOKUP(C31,C8:AT23,44,FALSE)),"")</f>
        <v/>
      </c>
      <c r="K31" s="551"/>
      <c r="L31" s="550" t="str">
        <f ca="1">IFERROR(IF(VLOOKUP(C31,C8:AG23,30,FALSE)=0,"",VLOOKUP(C31,C8:AG23,3,FALSE)),"")</f>
        <v/>
      </c>
      <c r="M31" s="551"/>
      <c r="N31" s="544" t="str">
        <f ca="1">IFERROR(VLOOKUP(L31,E8:F23,2,FALSE),"")</f>
        <v/>
      </c>
      <c r="O31" s="545"/>
      <c r="P31" s="545"/>
      <c r="Q31" s="545"/>
      <c r="R31" s="545"/>
      <c r="S31" s="546"/>
      <c r="T31" s="544" t="str">
        <f t="shared" ca="1" si="10"/>
        <v/>
      </c>
      <c r="U31" s="545"/>
      <c r="V31" s="545"/>
      <c r="W31" s="545"/>
      <c r="X31" s="545"/>
      <c r="Y31" s="546"/>
      <c r="Z31" s="542">
        <f ca="1">IFERROR(VLOOKUP(L31,E8:AG23,28,FALSE),0)</f>
        <v>0</v>
      </c>
      <c r="AA31" s="543"/>
      <c r="AB31" s="28"/>
      <c r="AC31" s="29"/>
      <c r="AD31" s="29"/>
      <c r="AE31" s="29"/>
      <c r="AF31" s="29"/>
      <c r="AG31" s="29"/>
      <c r="AH31" s="29"/>
      <c r="AI31" s="29"/>
      <c r="AJ31" s="29"/>
      <c r="AK31" s="29"/>
      <c r="AL31" s="143"/>
      <c r="AM31" s="144"/>
      <c r="AP31" s="8"/>
      <c r="AQ31" s="8"/>
      <c r="AR31" s="8"/>
      <c r="AS31" s="8"/>
      <c r="AT31" s="8"/>
      <c r="AU31" s="8"/>
      <c r="AV31" s="8"/>
      <c r="AW31" s="8"/>
      <c r="AX31" s="8"/>
      <c r="AY31" s="8"/>
      <c r="AZ31" s="152"/>
      <c r="BA31" s="152"/>
      <c r="BB31" s="8"/>
      <c r="BC31" s="8"/>
      <c r="BD31" s="8"/>
      <c r="BE31" s="8"/>
    </row>
    <row r="32" spans="1:72" s="4" customFormat="1" ht="15.95" customHeight="1" x14ac:dyDescent="0.45">
      <c r="A32" s="8" t="s">
        <v>204</v>
      </c>
      <c r="B32" s="1"/>
      <c r="C32" s="10">
        <v>6</v>
      </c>
      <c r="D32" s="19" t="str">
        <f ca="1">IFERROR(IF(VLOOKUP(C32,B8:AP23,41,FALSE)="",VLOOKUP(C32,B8:AP23,37,FALSE),VLOOKUP(C32,B8:AP23,37,FALSE)&amp;VLOOKUP(C32,B8:AP23,41,FALSE)),"")</f>
        <v/>
      </c>
      <c r="E32" s="19" t="str">
        <f ca="1">IFERROR(IF(VLOOKUP(C32,B8:AG23,31,FALSE)=0,0,VLOOKUP(C32,B8:AG23,4,FALSE)),"")</f>
        <v/>
      </c>
      <c r="F32" s="27" t="str">
        <f ca="1">IFERROR(VLOOKUP(E32,$E8:$F23,2,FALSE),"")</f>
        <v/>
      </c>
      <c r="G32" s="27" t="str">
        <f t="shared" ca="1" si="9"/>
        <v/>
      </c>
      <c r="H32" s="542">
        <f ca="1">IFERROR(VLOOKUP(E32,E8:AG23,28,FALSE),0)</f>
        <v>0</v>
      </c>
      <c r="I32" s="543"/>
      <c r="J32" s="550" t="str">
        <f ca="1">IFERROR(IF(VLOOKUP(C32,C8:AT23,44,FALSE)="",VLOOKUP(C32,C8:AT23,37,FALSE),VLOOKUP(C32,C8:AT23,37,FALSE)&amp;VLOOKUP(C32,C8:AT23,44,FALSE)),"")</f>
        <v/>
      </c>
      <c r="K32" s="551"/>
      <c r="L32" s="550" t="str">
        <f ca="1">IFERROR(IF(VLOOKUP(C32,C8:AG23,30,FALSE)=0,"",VLOOKUP(C32,C8:AG23,3,FALSE)),"")</f>
        <v/>
      </c>
      <c r="M32" s="551"/>
      <c r="N32" s="544" t="str">
        <f ca="1">IFERROR(VLOOKUP(L32,E8:F23,2,FALSE),"")</f>
        <v/>
      </c>
      <c r="O32" s="545"/>
      <c r="P32" s="545"/>
      <c r="Q32" s="545"/>
      <c r="R32" s="545"/>
      <c r="S32" s="546"/>
      <c r="T32" s="544" t="str">
        <f t="shared" ca="1" si="10"/>
        <v/>
      </c>
      <c r="U32" s="545"/>
      <c r="V32" s="545"/>
      <c r="W32" s="545"/>
      <c r="X32" s="545"/>
      <c r="Y32" s="546"/>
      <c r="Z32" s="542">
        <f ca="1">IFERROR(VLOOKUP(L32,E8:AG23,28,FALSE),0)</f>
        <v>0</v>
      </c>
      <c r="AA32" s="543"/>
      <c r="AB32" s="512" t="s">
        <v>185</v>
      </c>
      <c r="AC32" s="552"/>
      <c r="AD32" s="552"/>
      <c r="AE32" s="552"/>
      <c r="AF32" s="552"/>
      <c r="AG32" s="552"/>
      <c r="AH32" s="552"/>
      <c r="AI32" s="552"/>
      <c r="AJ32" s="552"/>
      <c r="AK32" s="552"/>
      <c r="AL32" s="552"/>
      <c r="AM32" s="553"/>
      <c r="AP32" s="8"/>
      <c r="AQ32" s="8"/>
      <c r="AR32" s="8"/>
      <c r="AS32" s="8"/>
      <c r="AT32" s="8"/>
      <c r="AU32" s="8"/>
      <c r="AV32" s="8"/>
      <c r="AW32" s="8"/>
      <c r="AX32" s="8"/>
      <c r="AY32" s="8"/>
      <c r="AZ32" s="152"/>
      <c r="BA32" s="152"/>
      <c r="BB32" s="8"/>
      <c r="BC32" s="8"/>
      <c r="BD32" s="8"/>
      <c r="BE32" s="8"/>
    </row>
    <row r="33" spans="1:72" s="4" customFormat="1" ht="15.95" customHeight="1" x14ac:dyDescent="0.45">
      <c r="A33" s="8">
        <f>IFERROR(VLOOKUP(A4,records,5,FALSE),"")</f>
        <v>1.73</v>
      </c>
      <c r="B33" s="1"/>
      <c r="C33" s="10">
        <v>7</v>
      </c>
      <c r="D33" s="19" t="str">
        <f ca="1">IFERROR(IF(VLOOKUP(C33,B8:AP23,41,FALSE)="",VLOOKUP(C33,B8:AP23,37,FALSE),VLOOKUP(C33,B8:AP23,37,FALSE)&amp;VLOOKUP(C33,B8:AP23,41,FALSE)),"")</f>
        <v/>
      </c>
      <c r="E33" s="19" t="str">
        <f ca="1">IFERROR(IF(VLOOKUP(C33,B8:AG23,31,FALSE)=0,0,VLOOKUP(C33,B8:AG23,4,FALSE)),"")</f>
        <v/>
      </c>
      <c r="F33" s="27" t="str">
        <f ca="1">IFERROR(VLOOKUP(E33,$E8:$F23,2,FALSE),"")</f>
        <v/>
      </c>
      <c r="G33" s="27" t="str">
        <f t="shared" ca="1" si="9"/>
        <v/>
      </c>
      <c r="H33" s="542">
        <f ca="1">IFERROR(VLOOKUP(E33,E8:AG23,28,FALSE),0)</f>
        <v>0</v>
      </c>
      <c r="I33" s="543"/>
      <c r="J33" s="550" t="str">
        <f ca="1">IFERROR(IF(VLOOKUP(C33,C8:AT23,44,FALSE)="",VLOOKUP(C33,C8:AT23,37,FALSE),VLOOKUP(C33,C8:AT23,37,FALSE)&amp;VLOOKUP(C33,C8:AT23,44,FALSE)),"")</f>
        <v/>
      </c>
      <c r="K33" s="551"/>
      <c r="L33" s="550" t="str">
        <f ca="1">IFERROR(IF(VLOOKUP(C33,C8:AG23,30,FALSE)=0,"",VLOOKUP(C33,C8:AG23,3,FALSE)),"")</f>
        <v/>
      </c>
      <c r="M33" s="551"/>
      <c r="N33" s="544" t="str">
        <f ca="1">IFERROR(VLOOKUP(L33,E8:F23,2,FALSE),"")</f>
        <v/>
      </c>
      <c r="O33" s="545"/>
      <c r="P33" s="545"/>
      <c r="Q33" s="545"/>
      <c r="R33" s="545"/>
      <c r="S33" s="546"/>
      <c r="T33" s="544" t="str">
        <f t="shared" ca="1" si="10"/>
        <v/>
      </c>
      <c r="U33" s="545"/>
      <c r="V33" s="545"/>
      <c r="W33" s="545"/>
      <c r="X33" s="545"/>
      <c r="Y33" s="546"/>
      <c r="Z33" s="542">
        <f ca="1">IFERROR(VLOOKUP(L33,E8:AG23,28,FALSE),0)</f>
        <v>0</v>
      </c>
      <c r="AA33" s="543"/>
      <c r="AB33" s="24"/>
      <c r="AC33" s="25"/>
      <c r="AD33" s="25"/>
      <c r="AE33" s="25"/>
      <c r="AF33" s="25"/>
      <c r="AG33" s="25"/>
      <c r="AH33" s="25"/>
      <c r="AI33" s="25"/>
      <c r="AJ33" s="25"/>
      <c r="AK33" s="25"/>
      <c r="AL33" s="141"/>
      <c r="AM33" s="142"/>
      <c r="AP33" s="8"/>
      <c r="AQ33" s="8"/>
      <c r="AR33" s="8"/>
      <c r="AS33" s="8"/>
      <c r="AT33" s="8"/>
      <c r="AU33" s="8"/>
      <c r="AV33" s="8"/>
      <c r="AW33" s="8"/>
      <c r="AX33" s="8"/>
      <c r="AY33" s="8"/>
      <c r="AZ33" s="152"/>
      <c r="BA33" s="152"/>
      <c r="BB33" s="8"/>
      <c r="BC33" s="8"/>
      <c r="BD33" s="8"/>
      <c r="BE33" s="8"/>
    </row>
    <row r="34" spans="1:72" s="4" customFormat="1" ht="15.95" customHeight="1" x14ac:dyDescent="0.45">
      <c r="A34" s="8"/>
      <c r="B34" s="1"/>
      <c r="C34" s="10">
        <v>8</v>
      </c>
      <c r="D34" s="19" t="str">
        <f ca="1">IFERROR(IF(VLOOKUP(C34,B8:AP23,41,FALSE)="",VLOOKUP(C34,B8:AP23,37,FALSE),VLOOKUP(C34,B8:AP23,37,FALSE)&amp;VLOOKUP(C34,B8:AP23,41,FALSE)),"")</f>
        <v/>
      </c>
      <c r="E34" s="19" t="str">
        <f ca="1">IFERROR(IF(VLOOKUP(C34,B8:AG23,31,FALSE)=0,0,VLOOKUP(C34,B8:AG23,4,FALSE)),"")</f>
        <v/>
      </c>
      <c r="F34" s="27" t="str">
        <f ca="1">IFERROR(VLOOKUP(E34,$E8:$F23,2,FALSE),"")</f>
        <v/>
      </c>
      <c r="G34" s="27" t="str">
        <f t="shared" ca="1" si="9"/>
        <v/>
      </c>
      <c r="H34" s="542">
        <f ca="1">IFERROR(VLOOKUP(E34,E8:AG23,28,FALSE),0)</f>
        <v>0</v>
      </c>
      <c r="I34" s="543"/>
      <c r="J34" s="550" t="str">
        <f ca="1">IFERROR(IF(VLOOKUP(C34,C8:AT23,44,FALSE)="",VLOOKUP(C34,C8:AT23,37,FALSE),VLOOKUP(C34,C8:AT23,37,FALSE)&amp;VLOOKUP(C34,C8:AT23,44,FALSE)),"")</f>
        <v/>
      </c>
      <c r="K34" s="551"/>
      <c r="L34" s="550" t="str">
        <f ca="1">IFERROR(IF(VLOOKUP(C34,C8:AG23,30,FALSE)=0,"",VLOOKUP(C34,C8:AG23,3,FALSE)),"")</f>
        <v/>
      </c>
      <c r="M34" s="551"/>
      <c r="N34" s="544" t="str">
        <f ca="1">IFERROR(VLOOKUP(L34,E8:F23,2,FALSE),"")</f>
        <v/>
      </c>
      <c r="O34" s="545"/>
      <c r="P34" s="545"/>
      <c r="Q34" s="545"/>
      <c r="R34" s="545"/>
      <c r="S34" s="546"/>
      <c r="T34" s="544" t="str">
        <f t="shared" ca="1" si="10"/>
        <v/>
      </c>
      <c r="U34" s="545"/>
      <c r="V34" s="545"/>
      <c r="W34" s="545"/>
      <c r="X34" s="545"/>
      <c r="Y34" s="546"/>
      <c r="Z34" s="542">
        <f ca="1">IFERROR(VLOOKUP(L34,E8:AG23,28,FALSE),0)</f>
        <v>0</v>
      </c>
      <c r="AA34" s="543"/>
      <c r="AB34" s="28"/>
      <c r="AC34" s="29"/>
      <c r="AD34" s="29"/>
      <c r="AE34" s="29"/>
      <c r="AF34" s="29"/>
      <c r="AG34" s="29"/>
      <c r="AH34" s="29"/>
      <c r="AI34" s="29"/>
      <c r="AJ34" s="29"/>
      <c r="AK34" s="29"/>
      <c r="AL34" s="143"/>
      <c r="AM34" s="144"/>
      <c r="AP34" s="8"/>
      <c r="AQ34" s="8"/>
      <c r="AR34" s="8"/>
      <c r="AS34" s="8"/>
      <c r="AT34" s="8"/>
      <c r="AU34" s="8"/>
      <c r="AV34" s="8"/>
      <c r="AW34" s="8"/>
      <c r="AX34" s="8"/>
      <c r="AY34" s="8"/>
      <c r="AZ34" s="152"/>
      <c r="BA34" s="152"/>
      <c r="BB34" s="8"/>
      <c r="BC34" s="8"/>
      <c r="BD34" s="8"/>
      <c r="BE34" s="8"/>
    </row>
    <row r="35" spans="1:72" s="4" customFormat="1" ht="21" x14ac:dyDescent="0.45">
      <c r="A35" s="2" t="str">
        <f>MatchDay!$U$6</f>
        <v>X</v>
      </c>
      <c r="B35" s="10" t="str">
        <f>IFERROR(VLOOKUP($A36,fh,2,FALSE),"")</f>
        <v/>
      </c>
      <c r="C35" s="10" t="str">
        <f>IFERROR(VLOOKUP($A36,fdistance,3,FALSE),"")</f>
        <v/>
      </c>
      <c r="D35" s="502" t="s">
        <v>324</v>
      </c>
      <c r="E35" s="503"/>
      <c r="F35" s="503"/>
      <c r="G35" s="503"/>
      <c r="H35" s="515" t="s">
        <v>187</v>
      </c>
      <c r="I35" s="516"/>
      <c r="J35" s="516"/>
      <c r="K35" s="516"/>
      <c r="L35" s="516"/>
      <c r="M35" s="517"/>
      <c r="N35" s="518" t="str">
        <f>MatchDay!$C$2&amp;" "&amp;MatchDay!$C$3&amp;" "&amp;MatchDay!$C$4</f>
        <v>LOWER NORTH East 1</v>
      </c>
      <c r="O35" s="519"/>
      <c r="P35" s="519"/>
      <c r="Q35" s="519"/>
      <c r="R35" s="519"/>
      <c r="S35" s="519"/>
      <c r="T35" s="519"/>
      <c r="U35" s="519"/>
      <c r="V35" s="519"/>
      <c r="W35" s="519"/>
      <c r="X35" s="519"/>
      <c r="Y35" s="519"/>
      <c r="Z35" s="519"/>
      <c r="AA35" s="519"/>
      <c r="AB35" s="519"/>
      <c r="AC35" s="519"/>
      <c r="AD35" s="519"/>
      <c r="AE35" s="519"/>
      <c r="AF35" s="519"/>
      <c r="AG35" s="519"/>
      <c r="AH35" s="519"/>
      <c r="AI35" s="519"/>
      <c r="AJ35" s="519"/>
      <c r="AK35" s="519"/>
      <c r="AL35" s="519"/>
      <c r="AM35" s="520"/>
      <c r="AP35" s="8"/>
      <c r="AT35" s="8"/>
      <c r="AU35" s="8"/>
      <c r="AV35" s="8"/>
      <c r="AW35" s="8"/>
      <c r="AX35" s="8"/>
      <c r="AY35" s="8"/>
      <c r="AZ35" s="152"/>
      <c r="BA35" s="152"/>
      <c r="BB35" s="8"/>
      <c r="BC35" s="8"/>
      <c r="BD35" s="8"/>
      <c r="BE35" s="8"/>
    </row>
    <row r="36" spans="1:72" s="4" customFormat="1" ht="15.75" customHeight="1" x14ac:dyDescent="0.45">
      <c r="A36" s="1" t="str">
        <f>IFERROR(IF(LEFT(MatchDay!$C$2,1)="L","L"&amp;A38,"U"&amp;A38),"")</f>
        <v>LFH02</v>
      </c>
      <c r="B36" s="8">
        <v>59</v>
      </c>
      <c r="D36" s="504" t="s">
        <v>188</v>
      </c>
      <c r="E36" s="505"/>
      <c r="F36" s="513" t="str">
        <f>IFERROR(UPPER(VLOOKUP(A37,teamlookup,6,FALSE)),"")</f>
        <v/>
      </c>
      <c r="G36" s="514"/>
      <c r="H36" s="504" t="s">
        <v>201</v>
      </c>
      <c r="I36" s="510"/>
      <c r="J36" s="505"/>
      <c r="K36" s="512" t="str">
        <f>MatchDay!$C$8</f>
        <v>@ Doncaster</v>
      </c>
      <c r="L36" s="513"/>
      <c r="M36" s="513"/>
      <c r="N36" s="513"/>
      <c r="O36" s="513"/>
      <c r="P36" s="513"/>
      <c r="Q36" s="513"/>
      <c r="R36" s="513"/>
      <c r="S36" s="513"/>
      <c r="T36" s="513"/>
      <c r="U36" s="513"/>
      <c r="V36" s="513"/>
      <c r="W36" s="513"/>
      <c r="X36" s="513"/>
      <c r="Y36" s="514"/>
      <c r="Z36" s="504" t="s">
        <v>160</v>
      </c>
      <c r="AA36" s="510"/>
      <c r="AB36" s="505"/>
      <c r="AC36" s="521">
        <f>MatchDay!$C$7</f>
        <v>43582</v>
      </c>
      <c r="AD36" s="522"/>
      <c r="AE36" s="522"/>
      <c r="AF36" s="522"/>
      <c r="AG36" s="522"/>
      <c r="AH36" s="522"/>
      <c r="AI36" s="522"/>
      <c r="AJ36" s="522"/>
      <c r="AK36" s="522"/>
      <c r="AL36" s="522"/>
      <c r="AM36" s="523"/>
      <c r="AN36" s="37"/>
      <c r="AP36" s="8"/>
      <c r="AT36" s="8"/>
      <c r="AU36" s="8"/>
      <c r="AV36" s="8"/>
      <c r="AW36" s="8"/>
      <c r="AX36" s="8"/>
      <c r="AY36" s="8"/>
      <c r="AZ36" s="152"/>
      <c r="BA36" s="152"/>
      <c r="BB36" s="8"/>
      <c r="BC36" s="8"/>
      <c r="BD36" s="8"/>
      <c r="BE36" s="8"/>
    </row>
    <row r="37" spans="1:72" s="4" customFormat="1" ht="15.75" customHeight="1" x14ac:dyDescent="0.45">
      <c r="A37" s="5">
        <f>IFERROR(IF(A35=1,VLOOKUP(A36,judges,VLOOKUP(MatchDay!$U$2*10+MatchDay!$C$5,judgesp,5,FALSE),FALSE),VLOOKUP(Distance!A36,judges,VLOOKUP(MatchDay!$U$2*10+MatchDay!$C$5,judges2,5,FALSE),FALSE)),"")</f>
        <v>0</v>
      </c>
      <c r="B37" s="38" t="str">
        <f>IFERROR(VLOOKUP($A38,fheight,2,FALSE),"")</f>
        <v>K</v>
      </c>
      <c r="C37" s="181">
        <f>IFERROR(VLOOKUP(A36,Timetables!$A:$E,5,FALSE)-1,"")</f>
        <v>95</v>
      </c>
      <c r="D37" s="504" t="s">
        <v>161</v>
      </c>
      <c r="E37" s="505"/>
      <c r="F37" s="508" t="str">
        <f>IFERROR(VLOOKUP(A36,timetables,2,FALSE)&amp;" "&amp;VLOOKUP(A36,timetables,3,FALSE),"")</f>
        <v>High Jump U13 Boys</v>
      </c>
      <c r="G37" s="509"/>
      <c r="H37" s="504" t="s">
        <v>162</v>
      </c>
      <c r="I37" s="510"/>
      <c r="J37" s="505"/>
      <c r="K37" s="559" t="str">
        <f>IFERROR(IF(A35=1,VLOOKUP(A36,Timetables!$A:$G,6,FALSE),VLOOKUP(A36,Timetables!$A:$G,7,FALSE)),"")</f>
        <v>13:00</v>
      </c>
      <c r="L37" s="570"/>
      <c r="M37" s="560"/>
      <c r="N37" s="567" t="s">
        <v>202</v>
      </c>
      <c r="O37" s="568"/>
      <c r="P37" s="568"/>
      <c r="Q37" s="569"/>
      <c r="R37" s="567" t="str">
        <f>IFERROR(VLOOKUP(A36,records,3,FALSE)&amp;", "&amp;VLOOKUP(A36,records,4,FALSE)&amp;", "&amp;VLOOKUP(A36,records,5,FALSE)&amp;", "&amp;VLOOKUP(A36,records,6,FALSE)&amp;", "&amp;VLOOKUP(A36,records,7,FALSE)&amp;" "&amp;VLOOKUP(A36,records,8,FALSE),"")</f>
        <v>Luke Ball, Yate, 1.64, Yate, May 20th 2017</v>
      </c>
      <c r="S37" s="568"/>
      <c r="T37" s="568"/>
      <c r="U37" s="568"/>
      <c r="V37" s="568"/>
      <c r="W37" s="568"/>
      <c r="X37" s="568"/>
      <c r="Y37" s="568"/>
      <c r="Z37" s="568"/>
      <c r="AA37" s="568"/>
      <c r="AB37" s="568"/>
      <c r="AC37" s="568"/>
      <c r="AD37" s="568"/>
      <c r="AE37" s="568"/>
      <c r="AF37" s="568"/>
      <c r="AG37" s="568"/>
      <c r="AH37" s="568"/>
      <c r="AI37" s="568"/>
      <c r="AJ37" s="568"/>
      <c r="AK37" s="568"/>
      <c r="AL37" s="568"/>
      <c r="AM37" s="569"/>
      <c r="AN37" s="8"/>
      <c r="AP37" s="8"/>
      <c r="AT37" s="8"/>
      <c r="AU37" s="8"/>
      <c r="AV37" s="8"/>
      <c r="AW37" s="8"/>
      <c r="AX37" s="8"/>
      <c r="AY37" s="8"/>
      <c r="AZ37" s="152"/>
      <c r="BA37" s="152"/>
      <c r="BB37" s="8"/>
      <c r="BC37" s="8"/>
      <c r="BD37" s="8"/>
      <c r="BE37" s="8"/>
    </row>
    <row r="38" spans="1:72" s="4" customFormat="1" ht="38.25" customHeight="1" x14ac:dyDescent="0.45">
      <c r="A38" s="5" t="s">
        <v>326</v>
      </c>
      <c r="B38" s="10" t="str">
        <f>IFERROR(VLOOKUP($A38,fheight,3,FALSE),"")</f>
        <v>O</v>
      </c>
      <c r="C38" s="10">
        <f>IFERROR(VLOOKUP($A38,fheight,4,FALSE),"")</f>
        <v>4</v>
      </c>
      <c r="D38" s="39" t="s">
        <v>163</v>
      </c>
      <c r="E38" s="39" t="s">
        <v>164</v>
      </c>
      <c r="F38" s="39" t="s">
        <v>165</v>
      </c>
      <c r="G38" s="40" t="s">
        <v>166</v>
      </c>
      <c r="H38" s="559">
        <v>1.05</v>
      </c>
      <c r="I38" s="570"/>
      <c r="J38" s="559">
        <v>1.1000000000000001</v>
      </c>
      <c r="K38" s="570"/>
      <c r="L38" s="559">
        <v>1.1499999999999999</v>
      </c>
      <c r="M38" s="570"/>
      <c r="N38" s="559">
        <v>1.2</v>
      </c>
      <c r="O38" s="570"/>
      <c r="P38" s="559">
        <v>1.25</v>
      </c>
      <c r="Q38" s="570"/>
      <c r="R38" s="559">
        <v>1.3</v>
      </c>
      <c r="S38" s="570"/>
      <c r="T38" s="559"/>
      <c r="U38" s="570"/>
      <c r="V38" s="559"/>
      <c r="W38" s="570"/>
      <c r="X38" s="559"/>
      <c r="Y38" s="570"/>
      <c r="Z38" s="559"/>
      <c r="AA38" s="570"/>
      <c r="AB38" s="559"/>
      <c r="AC38" s="570"/>
      <c r="AD38" s="559"/>
      <c r="AE38" s="570"/>
      <c r="AF38" s="575" t="s">
        <v>319</v>
      </c>
      <c r="AG38" s="576"/>
      <c r="AH38" s="577" t="s">
        <v>320</v>
      </c>
      <c r="AI38" s="577" t="s">
        <v>321</v>
      </c>
      <c r="AJ38" s="563" t="s">
        <v>522</v>
      </c>
      <c r="AK38" s="41"/>
      <c r="AL38" s="571" t="s">
        <v>177</v>
      </c>
      <c r="AM38" s="572"/>
      <c r="AN38" s="42" t="s">
        <v>322</v>
      </c>
      <c r="AP38" s="8"/>
      <c r="AT38" s="8"/>
      <c r="AU38" s="8"/>
      <c r="AV38" s="8"/>
      <c r="AW38" s="8"/>
      <c r="AX38" s="8"/>
      <c r="AY38" s="8"/>
      <c r="AZ38" s="152"/>
      <c r="BA38" s="152"/>
      <c r="BB38" s="8"/>
      <c r="BC38" s="8"/>
      <c r="BD38" s="8"/>
      <c r="BE38" s="8"/>
    </row>
    <row r="39" spans="1:72" s="4" customFormat="1" ht="10.5" x14ac:dyDescent="0.35">
      <c r="A39" s="137">
        <f>IFERROR(SEARCH("U17",F37),0)</f>
        <v>0</v>
      </c>
      <c r="B39" s="1"/>
      <c r="C39" s="1"/>
      <c r="D39" s="43"/>
      <c r="E39" s="43"/>
      <c r="F39" s="58"/>
      <c r="G39" s="57"/>
      <c r="H39" s="554" t="s">
        <v>178</v>
      </c>
      <c r="I39" s="579"/>
      <c r="J39" s="554" t="s">
        <v>178</v>
      </c>
      <c r="K39" s="579"/>
      <c r="L39" s="554" t="s">
        <v>178</v>
      </c>
      <c r="M39" s="579"/>
      <c r="N39" s="554" t="s">
        <v>178</v>
      </c>
      <c r="O39" s="579"/>
      <c r="P39" s="554" t="s">
        <v>178</v>
      </c>
      <c r="Q39" s="579"/>
      <c r="R39" s="554" t="s">
        <v>178</v>
      </c>
      <c r="S39" s="579"/>
      <c r="T39" s="554" t="s">
        <v>178</v>
      </c>
      <c r="U39" s="579"/>
      <c r="V39" s="554" t="s">
        <v>178</v>
      </c>
      <c r="W39" s="579"/>
      <c r="X39" s="554" t="s">
        <v>178</v>
      </c>
      <c r="Y39" s="579"/>
      <c r="Z39" s="554" t="s">
        <v>178</v>
      </c>
      <c r="AA39" s="579"/>
      <c r="AB39" s="554" t="s">
        <v>178</v>
      </c>
      <c r="AC39" s="579"/>
      <c r="AD39" s="554" t="s">
        <v>178</v>
      </c>
      <c r="AE39" s="579"/>
      <c r="AF39" s="554" t="s">
        <v>178</v>
      </c>
      <c r="AG39" s="555"/>
      <c r="AH39" s="578"/>
      <c r="AI39" s="578"/>
      <c r="AJ39" s="564"/>
      <c r="AK39" s="44"/>
      <c r="AL39" s="573"/>
      <c r="AM39" s="574"/>
      <c r="AN39" s="42"/>
      <c r="AP39" s="9"/>
      <c r="AQ39" s="9"/>
      <c r="AR39" s="45"/>
      <c r="AS39" s="45"/>
      <c r="AT39" s="45"/>
      <c r="AU39" s="46"/>
      <c r="AV39" s="45"/>
      <c r="AW39" s="9"/>
      <c r="AX39" s="9"/>
      <c r="AY39" s="47"/>
      <c r="AZ39" s="151"/>
      <c r="BA39" s="151"/>
      <c r="BB39" s="9"/>
      <c r="BC39" s="9">
        <v>1</v>
      </c>
      <c r="BD39" s="9">
        <v>2</v>
      </c>
      <c r="BE39" s="9">
        <v>3</v>
      </c>
      <c r="BF39" s="9">
        <v>4</v>
      </c>
      <c r="BG39" s="9">
        <v>5</v>
      </c>
      <c r="BH39" s="9">
        <v>6</v>
      </c>
      <c r="BI39" s="9">
        <v>7</v>
      </c>
      <c r="BJ39" s="9">
        <v>8</v>
      </c>
      <c r="BK39" s="9">
        <v>1</v>
      </c>
      <c r="BL39" s="9">
        <v>2</v>
      </c>
      <c r="BM39" s="9">
        <v>3</v>
      </c>
      <c r="BN39" s="9">
        <v>4</v>
      </c>
      <c r="BO39" s="9">
        <v>5</v>
      </c>
      <c r="BP39" s="9">
        <v>6</v>
      </c>
      <c r="BQ39" s="9">
        <v>7</v>
      </c>
      <c r="BR39" s="9">
        <v>8</v>
      </c>
      <c r="BS39" s="46"/>
    </row>
    <row r="40" spans="1:72" s="4" customFormat="1" ht="15.95" customHeight="1" x14ac:dyDescent="0.35">
      <c r="A40" s="8">
        <f>IFERROR(IF(D40&gt;MatchDay!$U$2,"-",VLOOKUP(A36,timetables,MatchDay!$U$4,FALSE)),0)</f>
        <v>4</v>
      </c>
      <c r="B40" s="10" t="str">
        <f ca="1">IFERROR(IF(OR(AK40=0,AK40="B"),"",RANK(AZ40,AZ40:AZ55,1)),"")</f>
        <v/>
      </c>
      <c r="C40" s="10" t="str">
        <f ca="1">IFERROR(IF(OR(AK40=0,AK40="A"),"",RANK(BA40,BA40:BA55,1)),"")</f>
        <v/>
      </c>
      <c r="D40" s="56">
        <v>1</v>
      </c>
      <c r="E40" s="17">
        <f>A40</f>
        <v>4</v>
      </c>
      <c r="F40" s="18" t="str">
        <f ca="1">IFERROR(IF(A39=0,HLOOKUP(E40,Declarations!$D$2:$S$102,C37,FALSE),HLOOKUP(VLOOKUP(E40,Teams!$V$2:$W$19,2,FALSE),Declarations!$D$2:$S$102,C37,FALSE)),"")</f>
        <v>-</v>
      </c>
      <c r="G40" s="18" t="str">
        <f t="shared" ref="G40:G55" si="11">IFERROR(VLOOKUP(E40,teamlookup,5,FALSE),"-")</f>
        <v>M'bro</v>
      </c>
      <c r="H40" s="526"/>
      <c r="I40" s="527"/>
      <c r="J40" s="526"/>
      <c r="K40" s="527"/>
      <c r="L40" s="526"/>
      <c r="M40" s="527"/>
      <c r="N40" s="526"/>
      <c r="O40" s="527"/>
      <c r="P40" s="526"/>
      <c r="Q40" s="527"/>
      <c r="R40" s="526"/>
      <c r="S40" s="527"/>
      <c r="T40" s="526"/>
      <c r="U40" s="527"/>
      <c r="V40" s="526"/>
      <c r="W40" s="527"/>
      <c r="X40" s="526"/>
      <c r="Y40" s="527"/>
      <c r="Z40" s="526"/>
      <c r="AA40" s="527"/>
      <c r="AB40" s="526"/>
      <c r="AC40" s="527"/>
      <c r="AD40" s="526"/>
      <c r="AE40" s="527"/>
      <c r="AF40" s="557">
        <f ca="1">IFERROR(INDIRECT(CONCATENATE("'Height Input'!"&amp;B38&amp;C38)),"")</f>
        <v>0</v>
      </c>
      <c r="AG40" s="558"/>
      <c r="AH40" s="48"/>
      <c r="AI40" s="48"/>
      <c r="AJ40" s="49">
        <f ca="1">IFERROR(IF(AF40="X",MatchDay!$U$2+MatchDay!$U$2+1-COUNTIF($AF40:AF40,"X"),IF(AF40&gt;=97,1,INT(INDIRECT(CONCATENATE("'Height Input'!"&amp;$B37&amp;$C38))))),"")</f>
        <v>0</v>
      </c>
      <c r="AK40" s="50">
        <f ca="1">IFERROR(IF(OR(AJ40=0,AJ40=""),0,IF(OR(AJ40&lt;=VLOOKUP(BT40,$E48:$AJ55,32,FALSE),VLOOKUP(BT40,$E48:$AJ55,32,FALSE)=0),"A","B")),0)</f>
        <v>0</v>
      </c>
      <c r="AL40" s="139" t="str">
        <f ca="1">IFERROR(IF(OR(AK40=0,AK40="B"),"",RANK(AW40,AW40:AW55,1)),"")</f>
        <v/>
      </c>
      <c r="AM40" s="139" t="str">
        <f ca="1">IFERROR(IF(OR(AK40=0,AK40="A"),"",RANK(AX40,AX40:AX55,1)),"")</f>
        <v/>
      </c>
      <c r="AN40" s="51">
        <f ca="1">IFERROR(IF(AF40="X",0,(INDIRECT(CONCATENATE("'Height Input'!"&amp;$B37&amp;$C38))-AJ40)*10),"")</f>
        <v>0</v>
      </c>
      <c r="AO40" s="8"/>
      <c r="AP40" s="9" t="str">
        <f ca="1">IF(AQ40="","",IF(AQ40=1,AR40,REPT(AR40,AQ40-1)))</f>
        <v/>
      </c>
      <c r="AQ40" s="9" t="str">
        <f ca="1">IF(AR40="","",HLOOKUP(AL40,BC39:BJ56,18,FALSE))</f>
        <v/>
      </c>
      <c r="AR40" s="45" t="str">
        <f ca="1">IF(OR(AL40=0,AL40=""),"",IF(COUNTIFS(AL40:AL55,AL40)&gt;1,"=",""))</f>
        <v/>
      </c>
      <c r="AS40" s="45"/>
      <c r="AT40" s="9" t="str">
        <f ca="1">IF(AU40="","",IF(AU40=1,AV40,REPT(AV40,AU40-1)))</f>
        <v/>
      </c>
      <c r="AU40" s="9" t="str">
        <f ca="1">IF(AV40="","",HLOOKUP(AM40,BK39:BR56,18,FALSE))</f>
        <v/>
      </c>
      <c r="AV40" s="45" t="str">
        <f ca="1">IF(OR(AM40=0,AM40=""),"",IF(COUNTIFS(AM40:AM55,AM40)&gt;1,"=",""))</f>
        <v/>
      </c>
      <c r="AW40" s="9" t="str">
        <f t="shared" ref="AW40:AW55" ca="1" si="12">IF(OR(AJ40=0,AF40=0,AK40="B"),"",AJ40)</f>
        <v/>
      </c>
      <c r="AX40" s="9" t="str">
        <f t="shared" ref="AX40:AX55" ca="1" si="13">IF(OR(AJ40=0,AF40=0,AK40="A"),"",AJ40)</f>
        <v/>
      </c>
      <c r="AY40" s="47"/>
      <c r="AZ40" s="151" t="str">
        <f t="shared" ref="AZ40:AZ55" ca="1" si="14">IF(AW40="","",AW40+(AN40/10))</f>
        <v/>
      </c>
      <c r="BA40" s="151" t="str">
        <f t="shared" ref="BA40:BA55" ca="1" si="15">IF(AX40="","",AX40+(AN40/10))</f>
        <v/>
      </c>
      <c r="BB40" s="9"/>
      <c r="BC40" s="52" t="str">
        <f ca="1">IF(AL40="","",IF(AL40=BC39,AL40,""))</f>
        <v/>
      </c>
      <c r="BD40" s="52" t="str">
        <f ca="1">IF(AL40="","",IF(AL40=BD39,AL40,""))</f>
        <v/>
      </c>
      <c r="BE40" s="52" t="str">
        <f ca="1">IF(AL40="","",IF(AL40=BE39,AL40,""))</f>
        <v/>
      </c>
      <c r="BF40" s="52" t="str">
        <f ca="1">IF(AL40="","",IF(AL40=BF39,AL40,""))</f>
        <v/>
      </c>
      <c r="BG40" s="52" t="str">
        <f ca="1">IF(AL40="","",IF(AL40=BG39,AL40,""))</f>
        <v/>
      </c>
      <c r="BH40" s="52" t="str">
        <f ca="1">IF(AL40="","",IF(AL40=BH39,AL40,""))</f>
        <v/>
      </c>
      <c r="BI40" s="52" t="str">
        <f ca="1">IF(AL40="","",IF(AL40=BI39,AL40,""))</f>
        <v/>
      </c>
      <c r="BJ40" s="52" t="str">
        <f ca="1">IF(AL40="","",IF(AL40=BJ39,AL40,""))</f>
        <v/>
      </c>
      <c r="BK40" s="52" t="str">
        <f ca="1">IF(AM40="","",IF(AM40=BK39,AM40,""))</f>
        <v/>
      </c>
      <c r="BL40" s="52" t="str">
        <f ca="1">IF(AM40="","",IF(AM40=BL39,AM40,""))</f>
        <v/>
      </c>
      <c r="BM40" s="52" t="str">
        <f ca="1">IF(AM40="","",IF(AM40=BM39,AM40,""))</f>
        <v/>
      </c>
      <c r="BN40" s="52" t="str">
        <f ca="1">IF(AM40="","",IF(AM40=BN39,AM40,""))</f>
        <v/>
      </c>
      <c r="BO40" s="52" t="str">
        <f ca="1">IF(AM40="","",IF(AM40=BO39,AM40,""))</f>
        <v/>
      </c>
      <c r="BP40" s="52" t="str">
        <f ca="1">IF(AM40="","",IF(AM40=BP39,AM40,""))</f>
        <v/>
      </c>
      <c r="BQ40" s="52" t="str">
        <f ca="1">IF(AM40="","",IF(AM40=BQ39,AM40,""))</f>
        <v/>
      </c>
      <c r="BR40" s="52" t="str">
        <f ca="1">IF(AM40="","",IF(AM40=BR39,AM40,""))</f>
        <v/>
      </c>
      <c r="BS40" s="46"/>
      <c r="BT40" s="4">
        <f>IFERROR(IF(A39=0,A40*11,A40&amp;A40),"")</f>
        <v>44</v>
      </c>
    </row>
    <row r="41" spans="1:72" s="4" customFormat="1" ht="15.95" customHeight="1" x14ac:dyDescent="0.35">
      <c r="A41" s="8">
        <f>IFERROR(IF(D41&gt;MatchDay!$U$2,"-",VLOOKUP(A36,timetables,MatchDay!$U$4+1,FALSE)),0)</f>
        <v>2</v>
      </c>
      <c r="B41" s="10">
        <f ca="1">IFERROR(IF(OR(AK41=0,AK41="B"),"",RANK(AZ41,AZ40:AZ55,1)),"")</f>
        <v>1</v>
      </c>
      <c r="C41" s="10" t="str">
        <f ca="1">IFERROR(IF(OR(AK41=0,AK41="A"),"",RANK(BA41,BA40:BA55,1)),"")</f>
        <v/>
      </c>
      <c r="D41" s="55">
        <v>2</v>
      </c>
      <c r="E41" s="17">
        <f t="shared" ref="E41:E55" si="16">A41</f>
        <v>2</v>
      </c>
      <c r="F41" s="18" t="str">
        <f ca="1">IFERROR(IF(A39=0,HLOOKUP(E41,Declarations!$D$2:$S$102,C37,FALSE),HLOOKUP(VLOOKUP(E41,Teams!$V$2:$W$19,2,FALSE),Declarations!$D$2:$S$102,C37,FALSE)),"")</f>
        <v>MAY Rudi</v>
      </c>
      <c r="G41" s="18" t="str">
        <f t="shared" si="11"/>
        <v>Sheff+D</v>
      </c>
      <c r="H41" s="526"/>
      <c r="I41" s="527"/>
      <c r="J41" s="526"/>
      <c r="K41" s="527"/>
      <c r="L41" s="526"/>
      <c r="M41" s="527"/>
      <c r="N41" s="526"/>
      <c r="O41" s="527"/>
      <c r="P41" s="526"/>
      <c r="Q41" s="527"/>
      <c r="R41" s="526"/>
      <c r="S41" s="527"/>
      <c r="T41" s="526"/>
      <c r="U41" s="527"/>
      <c r="V41" s="526"/>
      <c r="W41" s="527"/>
      <c r="X41" s="526"/>
      <c r="Y41" s="527"/>
      <c r="Z41" s="526"/>
      <c r="AA41" s="527"/>
      <c r="AB41" s="526"/>
      <c r="AC41" s="527"/>
      <c r="AD41" s="526"/>
      <c r="AE41" s="527"/>
      <c r="AF41" s="557">
        <f ca="1">IFERROR(INDIRECT(CONCATENATE("'Height Input'!"&amp;B38&amp;C38+1)),"")</f>
        <v>1.2</v>
      </c>
      <c r="AG41" s="558"/>
      <c r="AH41" s="48"/>
      <c r="AI41" s="48"/>
      <c r="AJ41" s="49">
        <f ca="1">IFERROR(IF(AF41="X",MatchDay!$U$2+MatchDay!$U$2+1-COUNTIF($AF40:AF41,"X"),IF(AF41&gt;=97,1,INT(INDIRECT(CONCATENATE("'Height Input'!"&amp;$B37&amp;$C38+1))))),"")</f>
        <v>1</v>
      </c>
      <c r="AK41" s="50" t="str">
        <f ca="1">IFERROR(IF(OR(AJ41=0,AJ41=""),0,IF(OR(AJ41&lt;=VLOOKUP(BT41,$E48:$AJ55,32,FALSE),VLOOKUP(BT41,$E48:$AJ55,32,FALSE)=0),"A","B")),0)</f>
        <v>A</v>
      </c>
      <c r="AL41" s="139">
        <f ca="1">IFERROR(IF(OR(AK41=0,AK41="B"),"",RANK(AW41,AW40:AW55,1)),"")</f>
        <v>1</v>
      </c>
      <c r="AM41" s="139" t="str">
        <f ca="1">IFERROR(IF(OR(AK41=0,AK41="A"),"",RANK(AX41,AX40:AX55,1)),"")</f>
        <v/>
      </c>
      <c r="AN41" s="51">
        <f ca="1">IFERROR(IF(AF41="X",0,(INDIRECT(CONCATENATE("'Height Input'!"&amp;$B37&amp;$C38+1))-AJ41)*10),"")</f>
        <v>1.0000000000000009</v>
      </c>
      <c r="AO41" s="8"/>
      <c r="AP41" s="9" t="str">
        <f t="shared" ref="AP41:AP55" ca="1" si="17">IF(AQ41="","",IF(AQ41=1,AR41,REPT(AR41,AQ41-1)))</f>
        <v>=</v>
      </c>
      <c r="AQ41" s="9">
        <f ca="1">IF(AR41="","",HLOOKUP(AL41,BC39:BJ56,18,FALSE))</f>
        <v>2</v>
      </c>
      <c r="AR41" s="45" t="str">
        <f ca="1">IF(OR(AL41=0,AL41=""),"",IF(COUNTIFS(AL40:AL55,AL41)&gt;1,"=",""))</f>
        <v>=</v>
      </c>
      <c r="AS41" s="45"/>
      <c r="AT41" s="9" t="str">
        <f t="shared" ref="AT41:AT55" ca="1" si="18">IF(AU41="","",IF(AU41=1,AV41,REPT(AV41,AU41-1)))</f>
        <v/>
      </c>
      <c r="AU41" s="9" t="str">
        <f ca="1">IF(AV41="","",HLOOKUP(AM41,BK39:BR56,18,FALSE))</f>
        <v/>
      </c>
      <c r="AV41" s="45" t="str">
        <f ca="1">IF(OR(AM41=0,AM41=""),"",IF(COUNTIFS(AM40:AM55,AM41)&gt;1,"=",""))</f>
        <v/>
      </c>
      <c r="AW41" s="9">
        <f t="shared" ca="1" si="12"/>
        <v>1</v>
      </c>
      <c r="AX41" s="9" t="str">
        <f t="shared" ca="1" si="13"/>
        <v/>
      </c>
      <c r="AY41" s="47"/>
      <c r="AZ41" s="151">
        <f t="shared" ca="1" si="14"/>
        <v>1.1000000000000001</v>
      </c>
      <c r="BA41" s="151" t="str">
        <f t="shared" ca="1" si="15"/>
        <v/>
      </c>
      <c r="BB41" s="9"/>
      <c r="BC41" s="52">
        <f ca="1">IF(AL41="","",IF(AL41=BC39,AL41,""))</f>
        <v>1</v>
      </c>
      <c r="BD41" s="52" t="str">
        <f ca="1">IF(AL41="","",IF(AL41=BD39,AL41,""))</f>
        <v/>
      </c>
      <c r="BE41" s="52" t="str">
        <f ca="1">IF(AL41="","",IF(AL41=BE39,AL41,""))</f>
        <v/>
      </c>
      <c r="BF41" s="52" t="str">
        <f ca="1">IF(AL41="","",IF(AL41=BF39,AL41,""))</f>
        <v/>
      </c>
      <c r="BG41" s="52" t="str">
        <f ca="1">IF(AL41="","",IF(AL41=BG39,AL41,""))</f>
        <v/>
      </c>
      <c r="BH41" s="52" t="str">
        <f ca="1">IF(AL41="","",IF(AL41=BH39,AL41,""))</f>
        <v/>
      </c>
      <c r="BI41" s="52" t="str">
        <f ca="1">IF(AL41="","",IF(AL41=BI39,AL41,""))</f>
        <v/>
      </c>
      <c r="BJ41" s="52" t="str">
        <f ca="1">IF(AL41="","",IF(AL41=BJ39,AL41,""))</f>
        <v/>
      </c>
      <c r="BK41" s="52" t="str">
        <f ca="1">IF(AM41="","",IF(AM41=BK39,AM41,""))</f>
        <v/>
      </c>
      <c r="BL41" s="52" t="str">
        <f ca="1">IF(AM41="","",IF(AM41=BL39,AM41,""))</f>
        <v/>
      </c>
      <c r="BM41" s="52" t="str">
        <f ca="1">IF(AM41="","",IF(AM41=BM39,AM41,""))</f>
        <v/>
      </c>
      <c r="BN41" s="52" t="str">
        <f ca="1">IF(AM41="","",IF(AM41=BN39,AM41,""))</f>
        <v/>
      </c>
      <c r="BO41" s="52" t="str">
        <f ca="1">IF(AM41="","",IF(AM41=BO39,AM41,""))</f>
        <v/>
      </c>
      <c r="BP41" s="52" t="str">
        <f ca="1">IF(AM41="","",IF(AM41=BP39,AM41,""))</f>
        <v/>
      </c>
      <c r="BQ41" s="52" t="str">
        <f ca="1">IF(AM41="","",IF(AM41=BQ39,AM41,""))</f>
        <v/>
      </c>
      <c r="BR41" s="52" t="str">
        <f ca="1">IF(AM41="","",IF(AM41=BR39,AM41,""))</f>
        <v/>
      </c>
      <c r="BS41" s="46"/>
      <c r="BT41" s="4">
        <f>IFERROR(IF(A39=0,A41*11,A41&amp;A41),"")</f>
        <v>22</v>
      </c>
    </row>
    <row r="42" spans="1:72" s="4" customFormat="1" ht="15.95" customHeight="1" x14ac:dyDescent="0.35">
      <c r="A42" s="8">
        <f>IFERROR(IF(D42&gt;MatchDay!$U$2,"-",VLOOKUP(A36,timetables,MatchDay!$U$4+2,FALSE)),0)</f>
        <v>5</v>
      </c>
      <c r="B42" s="10">
        <f ca="1">IFERROR(IF(OR(AK42=0,AK42="B"),"",RANK(AZ42,AZ40:AZ55,1)),"")</f>
        <v>4</v>
      </c>
      <c r="C42" s="10" t="str">
        <f ca="1">IFERROR(IF(OR(AK42=0,AK42="A"),"",RANK(BA42,BA40:BA55,1)),"")</f>
        <v/>
      </c>
      <c r="D42" s="55">
        <v>3</v>
      </c>
      <c r="E42" s="17">
        <f t="shared" si="16"/>
        <v>5</v>
      </c>
      <c r="F42" s="18" t="str">
        <f ca="1">IFERROR(IF(A39=0,HLOOKUP(E42,Declarations!$D$2:$S$102,C37,FALSE),HLOOKUP(VLOOKUP(E42,Teams!$V$2:$W$19,2,FALSE),Declarations!$D$2:$S$102,C37,FALSE)),"")</f>
        <v>OADES James</v>
      </c>
      <c r="G42" s="18" t="str">
        <f t="shared" si="11"/>
        <v>Scun</v>
      </c>
      <c r="H42" s="526"/>
      <c r="I42" s="527"/>
      <c r="J42" s="526"/>
      <c r="K42" s="527"/>
      <c r="L42" s="526"/>
      <c r="M42" s="527"/>
      <c r="N42" s="526"/>
      <c r="O42" s="527"/>
      <c r="P42" s="526"/>
      <c r="Q42" s="527"/>
      <c r="R42" s="526"/>
      <c r="S42" s="527"/>
      <c r="T42" s="526"/>
      <c r="U42" s="527"/>
      <c r="V42" s="526"/>
      <c r="W42" s="527"/>
      <c r="X42" s="526"/>
      <c r="Y42" s="527"/>
      <c r="Z42" s="526"/>
      <c r="AA42" s="527"/>
      <c r="AB42" s="526"/>
      <c r="AC42" s="527"/>
      <c r="AD42" s="526"/>
      <c r="AE42" s="527"/>
      <c r="AF42" s="557" t="str">
        <f ca="1">IFERROR(INDIRECT(CONCATENATE("'Height Input'!"&amp;B38&amp;C38+2)),"")</f>
        <v>X</v>
      </c>
      <c r="AG42" s="558"/>
      <c r="AH42" s="48"/>
      <c r="AI42" s="48"/>
      <c r="AJ42" s="49">
        <f ca="1">IFERROR(IF(AF42="X",MatchDay!$U$2+MatchDay!$U$2+1-COUNTIF($AF40:AF42,"X"),IF(AF42&gt;=97,1,INT(INDIRECT(CONCATENATE("'Height Input'!"&amp;$B37&amp;$C38+2))))),"")</f>
        <v>10</v>
      </c>
      <c r="AK42" s="50" t="str">
        <f ca="1">IFERROR(IF(OR(AJ42=0,AJ42=""),0,IF(OR(AJ42&lt;=VLOOKUP(BT42,$E48:$AJ55,32,FALSE),VLOOKUP(BT42,$E48:$AJ55,32,FALSE)=0),"A","B")),0)</f>
        <v>A</v>
      </c>
      <c r="AL42" s="139">
        <f ca="1">IFERROR(IF(OR(AK42=0,AK42="B"),"",RANK(AW42,AW40:AW55,1)),"")</f>
        <v>4</v>
      </c>
      <c r="AM42" s="139" t="str">
        <f ca="1">IFERROR(IF(OR(AK42=0,AK42="A"),"",RANK(AX42,AX40:AX55,1)),"")</f>
        <v/>
      </c>
      <c r="AN42" s="51">
        <f ca="1">IFERROR(IF(AF42="X",0,(INDIRECT(CONCATENATE("'Height Input'!"&amp;$B37&amp;$C38+2))-AJ42)*10),"")</f>
        <v>0</v>
      </c>
      <c r="AO42" s="8"/>
      <c r="AP42" s="9" t="str">
        <f t="shared" ca="1" si="17"/>
        <v/>
      </c>
      <c r="AQ42" s="9" t="str">
        <f ca="1">IF(AR42="","",HLOOKUP(AL42,BC39:BJ56,18,FALSE))</f>
        <v/>
      </c>
      <c r="AR42" s="45" t="str">
        <f ca="1">IF(OR(AL42=0,AL42=""),"",IF(COUNTIFS(AL40:AL55,AL42)&gt;1,"=",""))</f>
        <v/>
      </c>
      <c r="AS42" s="45"/>
      <c r="AT42" s="9" t="str">
        <f t="shared" ca="1" si="18"/>
        <v/>
      </c>
      <c r="AU42" s="9" t="str">
        <f ca="1">IF(AV42="","",HLOOKUP(AM42,BK39:BR56,18,FALSE))</f>
        <v/>
      </c>
      <c r="AV42" s="45" t="str">
        <f ca="1">IF(OR(AM42=0,AM42=""),"",IF(COUNTIFS(AM40:AM55,AM42)&gt;1,"=",""))</f>
        <v/>
      </c>
      <c r="AW42" s="9">
        <f t="shared" ca="1" si="12"/>
        <v>10</v>
      </c>
      <c r="AX42" s="9" t="str">
        <f t="shared" ca="1" si="13"/>
        <v/>
      </c>
      <c r="AY42" s="47"/>
      <c r="AZ42" s="151">
        <f t="shared" ca="1" si="14"/>
        <v>10</v>
      </c>
      <c r="BA42" s="151" t="str">
        <f t="shared" ca="1" si="15"/>
        <v/>
      </c>
      <c r="BB42" s="9"/>
      <c r="BC42" s="52" t="str">
        <f ca="1">IF(AL42="","",IF(AL42=BC39,AL42,""))</f>
        <v/>
      </c>
      <c r="BD42" s="52" t="str">
        <f ca="1">IF(AL42="","",IF(AL42=BD39,AL42,""))</f>
        <v/>
      </c>
      <c r="BE42" s="52" t="str">
        <f ca="1">IF(AL42="","",IF(AL42=BE39,AL42,""))</f>
        <v/>
      </c>
      <c r="BF42" s="52">
        <f ca="1">IF(AL42="","",IF(AL42=BF39,AL42,""))</f>
        <v>4</v>
      </c>
      <c r="BG42" s="52" t="str">
        <f ca="1">IF(AL42="","",IF(AL42=BG39,AL42,""))</f>
        <v/>
      </c>
      <c r="BH42" s="52" t="str">
        <f ca="1">IF(AL42="","",IF(AL42=BH39,AL42,""))</f>
        <v/>
      </c>
      <c r="BI42" s="52" t="str">
        <f ca="1">IF(AL42="","",IF(AL42=BI39,AL42,""))</f>
        <v/>
      </c>
      <c r="BJ42" s="52" t="str">
        <f ca="1">IF(AL42="","",IF(AL42=BJ39,AL42,""))</f>
        <v/>
      </c>
      <c r="BK42" s="52" t="str">
        <f ca="1">IF(AM42="","",IF(AM42=BK39,AM42,""))</f>
        <v/>
      </c>
      <c r="BL42" s="52" t="str">
        <f ca="1">IF(AM42="","",IF(AM42=BL39,AM42,""))</f>
        <v/>
      </c>
      <c r="BM42" s="52" t="str">
        <f ca="1">IF(AM42="","",IF(AM42=BM39,AM42,""))</f>
        <v/>
      </c>
      <c r="BN42" s="52" t="str">
        <f ca="1">IF(AM42="","",IF(AM42=BN39,AM42,""))</f>
        <v/>
      </c>
      <c r="BO42" s="52" t="str">
        <f ca="1">IF(AM42="","",IF(AM42=BO39,AM42,""))</f>
        <v/>
      </c>
      <c r="BP42" s="52" t="str">
        <f ca="1">IF(AM42="","",IF(AM42=BP39,AM42,""))</f>
        <v/>
      </c>
      <c r="BQ42" s="52" t="str">
        <f ca="1">IF(AM42="","",IF(AM42=BQ39,AM42,""))</f>
        <v/>
      </c>
      <c r="BR42" s="52" t="str">
        <f ca="1">IF(AM42="","",IF(AM42=BR39,AM42,""))</f>
        <v/>
      </c>
      <c r="BS42" s="46"/>
      <c r="BT42" s="4">
        <f>IFERROR(IF(A39=0,A42*11,A42&amp;A42),"")</f>
        <v>55</v>
      </c>
    </row>
    <row r="43" spans="1:72" s="4" customFormat="1" ht="15.95" customHeight="1" x14ac:dyDescent="0.35">
      <c r="A43" s="8">
        <f>IFERROR(IF(D43&gt;MatchDay!$U$2,"-",VLOOKUP(A36,timetables,MatchDay!$U$4+3,FALSE)),0)</f>
        <v>1</v>
      </c>
      <c r="B43" s="10">
        <f ca="1">IFERROR(IF(OR(AK43=0,AK43="B"),"",RANK(AZ43,AZ40:AZ55,1)),"")</f>
        <v>3</v>
      </c>
      <c r="C43" s="10" t="str">
        <f ca="1">IFERROR(IF(OR(AK43=0,AK43="A"),"",RANK(BA43,BA40:BA55,1)),"")</f>
        <v/>
      </c>
      <c r="D43" s="55">
        <v>4</v>
      </c>
      <c r="E43" s="17">
        <f t="shared" si="16"/>
        <v>1</v>
      </c>
      <c r="F43" s="18" t="str">
        <f ca="1">IFERROR(IF(A39=0,HLOOKUP(E43,Declarations!$D$2:$S$102,C37,FALSE),HLOOKUP(VLOOKUP(E43,Teams!$V$2:$W$19,2,FALSE),Declarations!$D$2:$S$102,C37,FALSE)),"")</f>
        <v>LOWE Seth</v>
      </c>
      <c r="G43" s="18" t="str">
        <f t="shared" si="11"/>
        <v>C'field</v>
      </c>
      <c r="H43" s="526"/>
      <c r="I43" s="527"/>
      <c r="J43" s="526"/>
      <c r="K43" s="527"/>
      <c r="L43" s="526"/>
      <c r="M43" s="527"/>
      <c r="N43" s="526"/>
      <c r="O43" s="527"/>
      <c r="P43" s="526"/>
      <c r="Q43" s="527"/>
      <c r="R43" s="526"/>
      <c r="S43" s="527"/>
      <c r="T43" s="526"/>
      <c r="U43" s="527"/>
      <c r="V43" s="526"/>
      <c r="W43" s="527"/>
      <c r="X43" s="526"/>
      <c r="Y43" s="527"/>
      <c r="Z43" s="526"/>
      <c r="AA43" s="527"/>
      <c r="AB43" s="526"/>
      <c r="AC43" s="527"/>
      <c r="AD43" s="526"/>
      <c r="AE43" s="527"/>
      <c r="AF43" s="557">
        <f ca="1">IFERROR(INDIRECT(CONCATENATE("'Height Input'!"&amp;B38&amp;C38+3)),"")</f>
        <v>1.05</v>
      </c>
      <c r="AG43" s="558"/>
      <c r="AH43" s="48"/>
      <c r="AI43" s="48"/>
      <c r="AJ43" s="49">
        <f ca="1">IFERROR(IF(AF43="X",MatchDay!$U$2+MatchDay!$U$2+1-COUNTIF($AF40:AF43,"X"),IF(AF43&gt;=97,1,INT(INDIRECT(CONCATENATE("'Height Input'!"&amp;$B37&amp;$C38+3))))),"")</f>
        <v>4</v>
      </c>
      <c r="AK43" s="50" t="str">
        <f ca="1">IFERROR(IF(OR(AJ43=0,AJ43=""),0,IF(OR(AJ43&lt;=VLOOKUP(BT43,$E48:$AJ55,32,FALSE),VLOOKUP(BT43,$E48:$AJ55,32,FALSE)=0),"A","B")),0)</f>
        <v>A</v>
      </c>
      <c r="AL43" s="139">
        <f ca="1">IFERROR(IF(OR(AK43=0,AK43="B"),"",RANK(AW43,AW40:AW55,1)),"")</f>
        <v>3</v>
      </c>
      <c r="AM43" s="139" t="str">
        <f ca="1">IFERROR(IF(OR(AK43=0,AK43="A"),"",RANK(AX43,AX40:AX55,1)),"")</f>
        <v/>
      </c>
      <c r="AN43" s="51">
        <f ca="1">IFERROR(IF(AF43="X",0,(INDIRECT(CONCATENATE("'Height Input'!"&amp;$B37&amp;$C38+3))-AJ43)*10),"")</f>
        <v>0.99999999999999645</v>
      </c>
      <c r="AO43" s="8"/>
      <c r="AP43" s="9" t="str">
        <f t="shared" ca="1" si="17"/>
        <v/>
      </c>
      <c r="AQ43" s="9" t="str">
        <f ca="1">IF(AR43="","",HLOOKUP(AL43,BC39:BJ56,18,FALSE))</f>
        <v/>
      </c>
      <c r="AR43" s="45" t="str">
        <f ca="1">IF(OR(AL43=0,AL43=""),"",IF(COUNTIFS(AL40:AL55,AL43)&gt;1,"=",""))</f>
        <v/>
      </c>
      <c r="AS43" s="45"/>
      <c r="AT43" s="9" t="str">
        <f t="shared" ca="1" si="18"/>
        <v/>
      </c>
      <c r="AU43" s="9" t="str">
        <f ca="1">IF(AV43="","",HLOOKUP(AM43,BK39:BR56,18,FALSE))</f>
        <v/>
      </c>
      <c r="AV43" s="45" t="str">
        <f ca="1">IF(OR(AM43=0,AM43=""),"",IF(COUNTIFS(AM40:AM55,AM43)&gt;1,"=",""))</f>
        <v/>
      </c>
      <c r="AW43" s="9">
        <f t="shared" ca="1" si="12"/>
        <v>4</v>
      </c>
      <c r="AX43" s="9" t="str">
        <f t="shared" ca="1" si="13"/>
        <v/>
      </c>
      <c r="AY43" s="47"/>
      <c r="AZ43" s="151">
        <f t="shared" ca="1" si="14"/>
        <v>4.0999999999999996</v>
      </c>
      <c r="BA43" s="151" t="str">
        <f t="shared" ca="1" si="15"/>
        <v/>
      </c>
      <c r="BB43" s="9"/>
      <c r="BC43" s="52" t="str">
        <f ca="1">IF(AL43="","",IF(AL43=BC39,AL43,""))</f>
        <v/>
      </c>
      <c r="BD43" s="52" t="str">
        <f ca="1">IF(AL43="","",IF(AL43=BD39,AL43,""))</f>
        <v/>
      </c>
      <c r="BE43" s="52">
        <f ca="1">IF(AL43="","",IF(AL43=BE39,AL43,""))</f>
        <v>3</v>
      </c>
      <c r="BF43" s="52" t="str">
        <f ca="1">IF(AL43="","",IF(AL43=BF39,AL43,""))</f>
        <v/>
      </c>
      <c r="BG43" s="52" t="str">
        <f ca="1">IF(AL43="","",IF(AL43=BG39,AL43,""))</f>
        <v/>
      </c>
      <c r="BH43" s="52" t="str">
        <f ca="1">IF(AL43="","",IF(AL43=BH39,AL43,""))</f>
        <v/>
      </c>
      <c r="BI43" s="52" t="str">
        <f ca="1">IF(AL43="","",IF(AL43=BI39,AL43,""))</f>
        <v/>
      </c>
      <c r="BJ43" s="52" t="str">
        <f ca="1">IF(AL43="","",IF(AL43=BJ39,AL43,""))</f>
        <v/>
      </c>
      <c r="BK43" s="52" t="str">
        <f ca="1">IF(AM43="","",IF(AM43=BK39,AM43,""))</f>
        <v/>
      </c>
      <c r="BL43" s="52" t="str">
        <f ca="1">IF(AM43="","",IF(AM43=BL39,AM43,""))</f>
        <v/>
      </c>
      <c r="BM43" s="52" t="str">
        <f ca="1">IF(AM43="","",IF(AM43=BM39,AM43,""))</f>
        <v/>
      </c>
      <c r="BN43" s="52" t="str">
        <f ca="1">IF(AM43="","",IF(AM43=BN39,AM43,""))</f>
        <v/>
      </c>
      <c r="BO43" s="52" t="str">
        <f ca="1">IF(AM43="","",IF(AM43=BO39,AM43,""))</f>
        <v/>
      </c>
      <c r="BP43" s="52" t="str">
        <f ca="1">IF(AM43="","",IF(AM43=BP39,AM43,""))</f>
        <v/>
      </c>
      <c r="BQ43" s="52" t="str">
        <f ca="1">IF(AM43="","",IF(AM43=BQ39,AM43,""))</f>
        <v/>
      </c>
      <c r="BR43" s="52" t="str">
        <f ca="1">IF(AM43="","",IF(AM43=BR39,AM43,""))</f>
        <v/>
      </c>
      <c r="BS43" s="46"/>
      <c r="BT43" s="4">
        <f>IFERROR(IF(A39=0,A43*11,A43&amp;A43),"")</f>
        <v>11</v>
      </c>
    </row>
    <row r="44" spans="1:72" s="4" customFormat="1" ht="15.95" customHeight="1" x14ac:dyDescent="0.35">
      <c r="A44" s="8">
        <f>IFERROR(IF(D44&gt;MatchDay!$U$2,"-",VLOOKUP(A36,timetables,MatchDay!$U$4+4,FALSE)),0)</f>
        <v>3</v>
      </c>
      <c r="B44" s="10">
        <f ca="1">IFERROR(IF(OR(AK44=0,AK44="B"),"",RANK(AZ44,AZ40:AZ55,1)),"")</f>
        <v>2</v>
      </c>
      <c r="C44" s="10" t="str">
        <f ca="1">IFERROR(IF(OR(AK44=0,AK44="A"),"",RANK(BA44,BA40:BA55,1)),"")</f>
        <v/>
      </c>
      <c r="D44" s="55">
        <v>5</v>
      </c>
      <c r="E44" s="17">
        <f t="shared" si="16"/>
        <v>3</v>
      </c>
      <c r="F44" s="18" t="str">
        <f ca="1">IFERROR(IF(A39=0,HLOOKUP(E44,Declarations!$D$2:$S$102,C37,FALSE),HLOOKUP(VLOOKUP(E44,Teams!$V$2:$W$19,2,FALSE),Declarations!$D$2:$S$102,C37,FALSE)),"")</f>
        <v>BASTOW Isaac</v>
      </c>
      <c r="G44" s="18" t="str">
        <f t="shared" si="11"/>
        <v>York</v>
      </c>
      <c r="H44" s="526"/>
      <c r="I44" s="527"/>
      <c r="J44" s="526"/>
      <c r="K44" s="527"/>
      <c r="L44" s="526"/>
      <c r="M44" s="527"/>
      <c r="N44" s="526"/>
      <c r="O44" s="527"/>
      <c r="P44" s="526"/>
      <c r="Q44" s="527"/>
      <c r="R44" s="526"/>
      <c r="S44" s="527"/>
      <c r="T44" s="526"/>
      <c r="U44" s="527"/>
      <c r="V44" s="526"/>
      <c r="W44" s="527"/>
      <c r="X44" s="526"/>
      <c r="Y44" s="527"/>
      <c r="Z44" s="526"/>
      <c r="AA44" s="527"/>
      <c r="AB44" s="526"/>
      <c r="AC44" s="527"/>
      <c r="AD44" s="526"/>
      <c r="AE44" s="527"/>
      <c r="AF44" s="557">
        <f ca="1">IFERROR(INDIRECT(CONCATENATE("'Height Input'!"&amp;B38&amp;C38+4)),"")</f>
        <v>1.2</v>
      </c>
      <c r="AG44" s="558"/>
      <c r="AH44" s="48"/>
      <c r="AI44" s="48"/>
      <c r="AJ44" s="49">
        <f ca="1">IFERROR(IF(AF44="X",MatchDay!$U$2+MatchDay!$U$2+1-COUNTIF($AF40:AF44,"X"),IF(AF44&gt;=97,1,INT(INDIRECT(CONCATENATE("'Height Input'!"&amp;$B37&amp;$C38+4))))),"")</f>
        <v>1</v>
      </c>
      <c r="AK44" s="50" t="str">
        <f ca="1">IFERROR(IF(OR(AJ44=0,AJ44=""),0,IF(OR(AJ44&lt;=VLOOKUP(BT44,$E48:$AJ55,32,FALSE),VLOOKUP(BT44,$E48:$AJ55,32,FALSE)=0),"A","B")),0)</f>
        <v>A</v>
      </c>
      <c r="AL44" s="139">
        <f ca="1">IFERROR(IF(OR(AK44=0,AK44="B"),"",RANK(AW44,AW40:AW55,1)),"")</f>
        <v>1</v>
      </c>
      <c r="AM44" s="139" t="str">
        <f ca="1">IFERROR(IF(OR(AK44=0,AK44="A"),"",RANK(AX44,AX40:AX55,1)),"")</f>
        <v/>
      </c>
      <c r="AN44" s="51">
        <f ca="1">IFERROR(IF(AF44="X",0,(INDIRECT(CONCATENATE("'Height Input'!"&amp;$B37&amp;$C38+4))-AJ44)*10),"")</f>
        <v>1.9999999999999996</v>
      </c>
      <c r="AO44" s="8"/>
      <c r="AP44" s="9" t="str">
        <f t="shared" ca="1" si="17"/>
        <v>=</v>
      </c>
      <c r="AQ44" s="9">
        <f ca="1">IF(AR44="","",HLOOKUP(AL44,BC39:BJ56,18,FALSE))</f>
        <v>2</v>
      </c>
      <c r="AR44" s="45" t="str">
        <f ca="1">IF(OR(AL44=0,AL44=""),"",IF(COUNTIFS(AL40:AL55,AL44)&gt;1,"=",""))</f>
        <v>=</v>
      </c>
      <c r="AS44" s="45"/>
      <c r="AT44" s="9" t="str">
        <f t="shared" ca="1" si="18"/>
        <v/>
      </c>
      <c r="AU44" s="9" t="str">
        <f ca="1">IF(AV44="","",HLOOKUP(AM44,BK39:BR56,18,FALSE))</f>
        <v/>
      </c>
      <c r="AV44" s="45" t="str">
        <f ca="1">IF(OR(AM44=0,AM44=""),"",IF(COUNTIFS(AM40:AM55,AM44)&gt;1,"=",""))</f>
        <v/>
      </c>
      <c r="AW44" s="9">
        <f t="shared" ca="1" si="12"/>
        <v>1</v>
      </c>
      <c r="AX44" s="9" t="str">
        <f t="shared" ca="1" si="13"/>
        <v/>
      </c>
      <c r="AY44" s="47"/>
      <c r="AZ44" s="151">
        <f t="shared" ca="1" si="14"/>
        <v>1.2</v>
      </c>
      <c r="BA44" s="151" t="str">
        <f t="shared" ca="1" si="15"/>
        <v/>
      </c>
      <c r="BB44" s="9"/>
      <c r="BC44" s="52">
        <f ca="1">IF(AL44="","",IF(AL44=BC39,AL44,""))</f>
        <v>1</v>
      </c>
      <c r="BD44" s="52" t="str">
        <f ca="1">IF(AL44="","",IF(AL44=BD39,AL44,""))</f>
        <v/>
      </c>
      <c r="BE44" s="52" t="str">
        <f ca="1">IF(AL44="","",IF(AL44=BE39,AL44,""))</f>
        <v/>
      </c>
      <c r="BF44" s="52" t="str">
        <f ca="1">IF(AL44="","",IF(AL44=BF39,AL44,""))</f>
        <v/>
      </c>
      <c r="BG44" s="52" t="str">
        <f ca="1">IF(AL44="","",IF(AL44=BG39,AL44,""))</f>
        <v/>
      </c>
      <c r="BH44" s="52" t="str">
        <f ca="1">IF(AL44="","",IF(AL44=BH39,AL44,""))</f>
        <v/>
      </c>
      <c r="BI44" s="52" t="str">
        <f ca="1">IF(AL44="","",IF(AL44=BI39,AL44,""))</f>
        <v/>
      </c>
      <c r="BJ44" s="52" t="str">
        <f ca="1">IF(AL44="","",IF(AL44=BJ39,AL44,""))</f>
        <v/>
      </c>
      <c r="BK44" s="52" t="str">
        <f ca="1">IF(AM44="","",IF(AM44=BK39,AM44,""))</f>
        <v/>
      </c>
      <c r="BL44" s="52" t="str">
        <f ca="1">IF(AM44="","",IF(AM44=BL39,AM44,""))</f>
        <v/>
      </c>
      <c r="BM44" s="52" t="str">
        <f ca="1">IF(AM44="","",IF(AM44=BM39,AM44,""))</f>
        <v/>
      </c>
      <c r="BN44" s="52" t="str">
        <f ca="1">IF(AM44="","",IF(AM44=BN39,AM44,""))</f>
        <v/>
      </c>
      <c r="BO44" s="52" t="str">
        <f ca="1">IF(AM44="","",IF(AM44=BO39,AM44,""))</f>
        <v/>
      </c>
      <c r="BP44" s="52" t="str">
        <f ca="1">IF(AM44="","",IF(AM44=BP39,AM44,""))</f>
        <v/>
      </c>
      <c r="BQ44" s="52" t="str">
        <f ca="1">IF(AM44="","",IF(AM44=BQ39,AM44,""))</f>
        <v/>
      </c>
      <c r="BR44" s="52" t="str">
        <f ca="1">IF(AM44="","",IF(AM44=BR39,AM44,""))</f>
        <v/>
      </c>
      <c r="BS44" s="46"/>
      <c r="BT44" s="4">
        <f>IFERROR(IF(A39=0,A44*11,A44&amp;A44),"")</f>
        <v>33</v>
      </c>
    </row>
    <row r="45" spans="1:72" s="4" customFormat="1" ht="15.95" customHeight="1" x14ac:dyDescent="0.35">
      <c r="A45" s="8" t="str">
        <f>IFERROR(IF(D45&gt;MatchDay!$U$2,"-",VLOOKUP(A36,timetables,MatchDay!$U$4+5,FALSE)),0)</f>
        <v>-</v>
      </c>
      <c r="B45" s="10" t="str">
        <f ca="1">IFERROR(IF(OR(AK45=0,AK45="B"),"",RANK(AZ45,AZ40:AZ55,1)),"")</f>
        <v/>
      </c>
      <c r="C45" s="10" t="str">
        <f ca="1">IFERROR(IF(OR(AK45=0,AK45="A"),"",RANK(BA45,BA40:BA55,1)),"")</f>
        <v/>
      </c>
      <c r="D45" s="55">
        <v>6</v>
      </c>
      <c r="E45" s="17" t="str">
        <f t="shared" si="16"/>
        <v>-</v>
      </c>
      <c r="F45" s="18" t="str">
        <f>IFERROR(IF(A39=0,HLOOKUP(E45,Declarations!$D$2:$S$102,C37,FALSE),HLOOKUP(VLOOKUP(E45,Teams!$V$2:$W$19,2,FALSE),Declarations!$D$2:$S$102,C37,FALSE)),"")</f>
        <v/>
      </c>
      <c r="G45" s="18" t="str">
        <f t="shared" si="11"/>
        <v/>
      </c>
      <c r="H45" s="526"/>
      <c r="I45" s="527"/>
      <c r="J45" s="526"/>
      <c r="K45" s="527"/>
      <c r="L45" s="526"/>
      <c r="M45" s="527"/>
      <c r="N45" s="526"/>
      <c r="O45" s="527"/>
      <c r="P45" s="526"/>
      <c r="Q45" s="527"/>
      <c r="R45" s="526"/>
      <c r="S45" s="527"/>
      <c r="T45" s="526"/>
      <c r="U45" s="527"/>
      <c r="V45" s="526"/>
      <c r="W45" s="527"/>
      <c r="X45" s="526"/>
      <c r="Y45" s="527"/>
      <c r="Z45" s="526"/>
      <c r="AA45" s="527"/>
      <c r="AB45" s="526"/>
      <c r="AC45" s="527"/>
      <c r="AD45" s="526"/>
      <c r="AE45" s="527"/>
      <c r="AF45" s="557">
        <f ca="1">IFERROR(INDIRECT(CONCATENATE("'Height Input'!"&amp;B38&amp;C38+5)),"")</f>
        <v>0</v>
      </c>
      <c r="AG45" s="558"/>
      <c r="AH45" s="48"/>
      <c r="AI45" s="48"/>
      <c r="AJ45" s="49">
        <f ca="1">IFERROR(IF(AF45="X",MatchDay!$U$2+MatchDay!$U$2+1-COUNTIF($AF40:AF45,"X"),IF(AF45&gt;=97,1,INT(INDIRECT(CONCATENATE("'Height Input'!"&amp;$B37&amp;$C38+5))))),"")</f>
        <v>0</v>
      </c>
      <c r="AK45" s="50">
        <f ca="1">IFERROR(IF(OR(AJ45=0,AJ45=""),0,IF(OR(AJ45&lt;=VLOOKUP(BT45,$E48:$AJ55,32,FALSE),VLOOKUP(BT45,$E48:$AJ55,32,FALSE)=0),"A","B")),0)</f>
        <v>0</v>
      </c>
      <c r="AL45" s="139" t="str">
        <f ca="1">IFERROR(IF(OR(AK45=0,AK45="B"),"",RANK(AW45,AW40:AW55,1)),"")</f>
        <v/>
      </c>
      <c r="AM45" s="139" t="str">
        <f ca="1">IFERROR(IF(OR(AK45=0,AK45="A"),"",RANK(AX45,AX40:AX55,1)),"")</f>
        <v/>
      </c>
      <c r="AN45" s="51">
        <f ca="1">IFERROR(IF(AF45="X",0,(INDIRECT(CONCATENATE("'Height Input'!"&amp;$B37&amp;$C38+5))-AJ45)*10),"")</f>
        <v>0</v>
      </c>
      <c r="AO45" s="8"/>
      <c r="AP45" s="9" t="str">
        <f t="shared" ca="1" si="17"/>
        <v/>
      </c>
      <c r="AQ45" s="9" t="str">
        <f ca="1">IF(AR45="","",HLOOKUP(AL45,BC39:BJ56,18,FALSE))</f>
        <v/>
      </c>
      <c r="AR45" s="45" t="str">
        <f ca="1">IF(OR(AL45=0,AL45=""),"",IF(COUNTIFS(AL40:AL55,AL45)&gt;1,"=",""))</f>
        <v/>
      </c>
      <c r="AS45" s="45"/>
      <c r="AT45" s="9" t="str">
        <f t="shared" ca="1" si="18"/>
        <v/>
      </c>
      <c r="AU45" s="9" t="str">
        <f ca="1">IF(AV45="","",HLOOKUP(AM45,BK39:BR56,18,FALSE))</f>
        <v/>
      </c>
      <c r="AV45" s="45" t="str">
        <f ca="1">IF(OR(AM45=0,AM45=""),"",IF(COUNTIFS(AM40:AM55,AM45)&gt;1,"=",""))</f>
        <v/>
      </c>
      <c r="AW45" s="9" t="str">
        <f t="shared" ca="1" si="12"/>
        <v/>
      </c>
      <c r="AX45" s="9" t="str">
        <f t="shared" ca="1" si="13"/>
        <v/>
      </c>
      <c r="AY45" s="47"/>
      <c r="AZ45" s="151" t="str">
        <f t="shared" ca="1" si="14"/>
        <v/>
      </c>
      <c r="BA45" s="151" t="str">
        <f t="shared" ca="1" si="15"/>
        <v/>
      </c>
      <c r="BB45" s="9"/>
      <c r="BC45" s="52" t="str">
        <f ca="1">IF(AL45="","",IF(AL45=BC39,AL45,""))</f>
        <v/>
      </c>
      <c r="BD45" s="52" t="str">
        <f ca="1">IF(AL45="","",IF(AL45=BD39,AL45,""))</f>
        <v/>
      </c>
      <c r="BE45" s="52" t="str">
        <f ca="1">IF(AL45="","",IF(AL45=BE39,AL45,""))</f>
        <v/>
      </c>
      <c r="BF45" s="52" t="str">
        <f ca="1">IF(AL45="","",IF(AL45=BF39,AL45,""))</f>
        <v/>
      </c>
      <c r="BG45" s="52" t="str">
        <f ca="1">IF(AL45="","",IF(AL45=BG39,AL45,""))</f>
        <v/>
      </c>
      <c r="BH45" s="52" t="str">
        <f ca="1">IF(AL45="","",IF(AL45=BH39,AL45,""))</f>
        <v/>
      </c>
      <c r="BI45" s="52" t="str">
        <f ca="1">IF(AL45="","",IF(AL45=BI39,AL45,""))</f>
        <v/>
      </c>
      <c r="BJ45" s="52" t="str">
        <f ca="1">IF(AL45="","",IF(AL45=BJ39,AL45,""))</f>
        <v/>
      </c>
      <c r="BK45" s="52" t="str">
        <f ca="1">IF(AM45="","",IF(AM45=BK39,AM45,""))</f>
        <v/>
      </c>
      <c r="BL45" s="52" t="str">
        <f ca="1">IF(AM45="","",IF(AM45=BL39,AM45,""))</f>
        <v/>
      </c>
      <c r="BM45" s="52" t="str">
        <f ca="1">IF(AM45="","",IF(AM45=BM39,AM45,""))</f>
        <v/>
      </c>
      <c r="BN45" s="52" t="str">
        <f ca="1">IF(AM45="","",IF(AM45=BN39,AM45,""))</f>
        <v/>
      </c>
      <c r="BO45" s="52" t="str">
        <f ca="1">IF(AM45="","",IF(AM45=BO39,AM45,""))</f>
        <v/>
      </c>
      <c r="BP45" s="52" t="str">
        <f ca="1">IF(AM45="","",IF(AM45=BP39,AM45,""))</f>
        <v/>
      </c>
      <c r="BQ45" s="52" t="str">
        <f ca="1">IF(AM45="","",IF(AM45=BQ39,AM45,""))</f>
        <v/>
      </c>
      <c r="BR45" s="52" t="str">
        <f ca="1">IF(AM45="","",IF(AM45=BR39,AM45,""))</f>
        <v/>
      </c>
      <c r="BS45" s="46"/>
      <c r="BT45" s="4" t="str">
        <f>IFERROR(IF(A39=0,A45*11,A45&amp;A45),"")</f>
        <v/>
      </c>
    </row>
    <row r="46" spans="1:72" s="4" customFormat="1" ht="15.95" customHeight="1" x14ac:dyDescent="0.35">
      <c r="A46" s="8" t="str">
        <f>IFERROR(IF(D46&gt;MatchDay!$U$2,"-",VLOOKUP(A36,timetables,MatchDay!$U$4+6,FALSE)),0)</f>
        <v>-</v>
      </c>
      <c r="B46" s="10" t="str">
        <f ca="1">IFERROR(IF(OR(AK46=0,AK46="B"),"",RANK(AZ46,AZ40:AZ55,1)),"")</f>
        <v/>
      </c>
      <c r="C46" s="10" t="str">
        <f ca="1">IFERROR(IF(OR(AK46=0,AK46="A"),"",RANK(BA46,BA40:BA55,1)),"")</f>
        <v/>
      </c>
      <c r="D46" s="55">
        <v>7</v>
      </c>
      <c r="E46" s="17" t="str">
        <f t="shared" si="16"/>
        <v>-</v>
      </c>
      <c r="F46" s="18" t="str">
        <f>IFERROR(IF(A39=0,HLOOKUP(E46,Declarations!$D$2:$S$102,C37,FALSE),HLOOKUP(VLOOKUP(E46,Teams!$V$2:$W$19,2,FALSE),Declarations!$D$2:$S$102,C37,FALSE)),"")</f>
        <v/>
      </c>
      <c r="G46" s="18" t="str">
        <f t="shared" si="11"/>
        <v/>
      </c>
      <c r="H46" s="526"/>
      <c r="I46" s="527"/>
      <c r="J46" s="526"/>
      <c r="K46" s="527"/>
      <c r="L46" s="526"/>
      <c r="M46" s="527"/>
      <c r="N46" s="526"/>
      <c r="O46" s="527"/>
      <c r="P46" s="526"/>
      <c r="Q46" s="527"/>
      <c r="R46" s="526"/>
      <c r="S46" s="527"/>
      <c r="T46" s="526"/>
      <c r="U46" s="527"/>
      <c r="V46" s="526"/>
      <c r="W46" s="527"/>
      <c r="X46" s="526"/>
      <c r="Y46" s="527"/>
      <c r="Z46" s="526"/>
      <c r="AA46" s="527"/>
      <c r="AB46" s="526"/>
      <c r="AC46" s="527"/>
      <c r="AD46" s="526"/>
      <c r="AE46" s="527"/>
      <c r="AF46" s="557">
        <f ca="1">IFERROR(INDIRECT(CONCATENATE("'Height Input'!"&amp;B38&amp;C38+6)),"")</f>
        <v>0</v>
      </c>
      <c r="AG46" s="558"/>
      <c r="AH46" s="48"/>
      <c r="AI46" s="48"/>
      <c r="AJ46" s="49">
        <f ca="1">IFERROR(IF(AF46="X",MatchDay!$U$2+MatchDay!$U$2+1-COUNTIF($AF40:AF46,"X"),IF(AF46&gt;=97,1,INT(INDIRECT(CONCATENATE("'Height Input'!"&amp;$B37&amp;$C38+6))))),"")</f>
        <v>0</v>
      </c>
      <c r="AK46" s="50">
        <f ca="1">IFERROR(IF(OR(AJ46=0,AJ46=""),0,IF(OR(AJ46&lt;=VLOOKUP(BT46,$E48:$AJ55,32,FALSE),VLOOKUP(BT46,$E48:$AJ55,32,FALSE)=0),"A","B")),0)</f>
        <v>0</v>
      </c>
      <c r="AL46" s="139" t="str">
        <f ca="1">IFERROR(IF(OR(AK46=0,AK46="B"),"",RANK(AW46,AW40:AW55,1)),"")</f>
        <v/>
      </c>
      <c r="AM46" s="139" t="str">
        <f ca="1">IFERROR(IF(OR(AK46=0,AK46="A"),"",RANK(AX46,AX40:AX55,1)),"")</f>
        <v/>
      </c>
      <c r="AN46" s="51">
        <f ca="1">IFERROR(IF(AF46="X",0,(INDIRECT(CONCATENATE("'Height Input'!"&amp;$B37&amp;$C38+6))-AJ46)*10),"")</f>
        <v>0</v>
      </c>
      <c r="AO46" s="8"/>
      <c r="AP46" s="9" t="str">
        <f t="shared" ca="1" si="17"/>
        <v/>
      </c>
      <c r="AQ46" s="9" t="str">
        <f ca="1">IF(AR46="","",HLOOKUP(AL46,BC39:BJ56,18,FALSE))</f>
        <v/>
      </c>
      <c r="AR46" s="45" t="str">
        <f ca="1">IF(OR(AL46=0,AL46=""),"",IF(COUNTIFS(AL40:AL55,AL46)&gt;1,"=",""))</f>
        <v/>
      </c>
      <c r="AS46" s="45"/>
      <c r="AT46" s="9" t="str">
        <f t="shared" ca="1" si="18"/>
        <v/>
      </c>
      <c r="AU46" s="9" t="str">
        <f ca="1">IF(AV46="","",HLOOKUP(AM46,BK39:BR56,18,FALSE))</f>
        <v/>
      </c>
      <c r="AV46" s="45" t="str">
        <f ca="1">IF(OR(AM46=0,AM46=""),"",IF(COUNTIFS(AM40:AM55,AM46)&gt;1,"=",""))</f>
        <v/>
      </c>
      <c r="AW46" s="9" t="str">
        <f t="shared" ca="1" si="12"/>
        <v/>
      </c>
      <c r="AX46" s="9" t="str">
        <f t="shared" ca="1" si="13"/>
        <v/>
      </c>
      <c r="AY46" s="47"/>
      <c r="AZ46" s="151" t="str">
        <f t="shared" ca="1" si="14"/>
        <v/>
      </c>
      <c r="BA46" s="151" t="str">
        <f t="shared" ca="1" si="15"/>
        <v/>
      </c>
      <c r="BB46" s="9"/>
      <c r="BC46" s="52" t="str">
        <f ca="1">IF(AL46="","",IF(AL46=BC39,AL46,""))</f>
        <v/>
      </c>
      <c r="BD46" s="52" t="str">
        <f ca="1">IF(AL46="","",IF(AL46=BD39,AL46,""))</f>
        <v/>
      </c>
      <c r="BE46" s="52" t="str">
        <f ca="1">IF(AL46="","",IF(AL46=BE39,AL46,""))</f>
        <v/>
      </c>
      <c r="BF46" s="52" t="str">
        <f ca="1">IF(AL46="","",IF(AL46=BF39,AL46,""))</f>
        <v/>
      </c>
      <c r="BG46" s="52" t="str">
        <f ca="1">IF(AL46="","",IF(AL46=BG39,AL46,""))</f>
        <v/>
      </c>
      <c r="BH46" s="52" t="str">
        <f ca="1">IF(AL46="","",IF(AL46=BH39,AL46,""))</f>
        <v/>
      </c>
      <c r="BI46" s="52" t="str">
        <f ca="1">IF(AL46="","",IF(AL46=BI39,AL46,""))</f>
        <v/>
      </c>
      <c r="BJ46" s="52" t="str">
        <f ca="1">IF(AL46="","",IF(AL46=BJ39,AL46,""))</f>
        <v/>
      </c>
      <c r="BK46" s="52" t="str">
        <f ca="1">IF(AM46="","",IF(AM46=BK39,AM46,""))</f>
        <v/>
      </c>
      <c r="BL46" s="52" t="str">
        <f ca="1">IF(AM46="","",IF(AM46=BL39,AM46,""))</f>
        <v/>
      </c>
      <c r="BM46" s="52" t="str">
        <f ca="1">IF(AM46="","",IF(AM46=BM39,AM46,""))</f>
        <v/>
      </c>
      <c r="BN46" s="52" t="str">
        <f ca="1">IF(AM46="","",IF(AM46=BN39,AM46,""))</f>
        <v/>
      </c>
      <c r="BO46" s="52" t="str">
        <f ca="1">IF(AM46="","",IF(AM46=BO39,AM46,""))</f>
        <v/>
      </c>
      <c r="BP46" s="52" t="str">
        <f ca="1">IF(AM46="","",IF(AM46=BP39,AM46,""))</f>
        <v/>
      </c>
      <c r="BQ46" s="52" t="str">
        <f ca="1">IF(AM46="","",IF(AM46=BQ39,AM46,""))</f>
        <v/>
      </c>
      <c r="BR46" s="52" t="str">
        <f ca="1">IF(AM46="","",IF(AM46=BR39,AM46,""))</f>
        <v/>
      </c>
      <c r="BS46" s="46"/>
      <c r="BT46" s="4" t="str">
        <f>IFERROR(IF(A39=0,A46*11,A46&amp;A46),"")</f>
        <v/>
      </c>
    </row>
    <row r="47" spans="1:72" s="4" customFormat="1" ht="15.95" customHeight="1" x14ac:dyDescent="0.35">
      <c r="A47" s="8" t="str">
        <f>IFERROR(IF(D47&gt;MatchDay!$U$2,"-",VLOOKUP(A36,timetables,MatchDay!$U$4+7,FALSE)),0)</f>
        <v>-</v>
      </c>
      <c r="B47" s="10" t="str">
        <f ca="1">IFERROR(IF(OR(AK47=0,AK47="B"),"",RANK(AZ47,AZ40:AZ55,1)),"")</f>
        <v/>
      </c>
      <c r="C47" s="10" t="str">
        <f ca="1">IFERROR(IF(OR(AK47=0,AK47="A"),"",RANK(BA47,BA40:BA55,1)),"")</f>
        <v/>
      </c>
      <c r="D47" s="55">
        <v>8</v>
      </c>
      <c r="E47" s="17" t="str">
        <f t="shared" si="16"/>
        <v>-</v>
      </c>
      <c r="F47" s="18" t="str">
        <f>IFERROR(IF(A39=0,HLOOKUP(E47,Declarations!$D$2:$S$102,C37,FALSE),HLOOKUP(VLOOKUP(E47,Teams!$V$2:$W$19,2,FALSE),Declarations!$D$2:$S$102,C37,FALSE)),"")</f>
        <v/>
      </c>
      <c r="G47" s="18" t="str">
        <f t="shared" si="11"/>
        <v/>
      </c>
      <c r="H47" s="526"/>
      <c r="I47" s="527"/>
      <c r="J47" s="526"/>
      <c r="K47" s="527"/>
      <c r="L47" s="526"/>
      <c r="M47" s="527"/>
      <c r="N47" s="526"/>
      <c r="O47" s="527"/>
      <c r="P47" s="526"/>
      <c r="Q47" s="527"/>
      <c r="R47" s="526"/>
      <c r="S47" s="527"/>
      <c r="T47" s="526"/>
      <c r="U47" s="527"/>
      <c r="V47" s="526"/>
      <c r="W47" s="527"/>
      <c r="X47" s="526"/>
      <c r="Y47" s="527"/>
      <c r="Z47" s="526"/>
      <c r="AA47" s="527"/>
      <c r="AB47" s="526"/>
      <c r="AC47" s="527"/>
      <c r="AD47" s="526"/>
      <c r="AE47" s="527"/>
      <c r="AF47" s="557">
        <f ca="1">IFERROR(INDIRECT(CONCATENATE("'Height Input'!"&amp;B38&amp;C38+7)),"")</f>
        <v>0</v>
      </c>
      <c r="AG47" s="558"/>
      <c r="AH47" s="48"/>
      <c r="AI47" s="48"/>
      <c r="AJ47" s="49">
        <f ca="1">IFERROR(IF(AF47="X",MatchDay!$U$2+MatchDay!$U$2+1-COUNTIF($AF40:AF47,"X"),IF(AF47&gt;=97,1,INT(INDIRECT(CONCATENATE("'Height Input'!"&amp;$B37&amp;$C38+7))))),"")</f>
        <v>0</v>
      </c>
      <c r="AK47" s="50">
        <f ca="1">IFERROR(IF(OR(AJ47=0,AJ47=""),0,IF(OR(AJ47&lt;=VLOOKUP(BT47,$E48:$AJ55,32,FALSE),VLOOKUP(BT47,$E48:$AJ55,32,FALSE)=0),"A","B")),0)</f>
        <v>0</v>
      </c>
      <c r="AL47" s="139" t="str">
        <f ca="1">IFERROR(IF(OR(AK47=0,AK47="B"),"",RANK(AW47,AW40:AW55,1)),"")</f>
        <v/>
      </c>
      <c r="AM47" s="139" t="str">
        <f ca="1">IFERROR(IF(OR(AK47=0,AK47="A"),"",RANK(AX47,AX40:AX55,1)),"")</f>
        <v/>
      </c>
      <c r="AN47" s="51">
        <f ca="1">IFERROR(IF(AF47="X",0,(INDIRECT(CONCATENATE("'Height Input'!"&amp;$B37&amp;$C38+7))-AJ47)*10),"")</f>
        <v>0</v>
      </c>
      <c r="AO47" s="8"/>
      <c r="AP47" s="9" t="str">
        <f t="shared" ca="1" si="17"/>
        <v/>
      </c>
      <c r="AQ47" s="9" t="str">
        <f ca="1">IF(AR47="","",HLOOKUP(AL47,BC39:BJ56,18,FALSE))</f>
        <v/>
      </c>
      <c r="AR47" s="45" t="str">
        <f ca="1">IF(OR(AL47=0,AL47=""),"",IF(COUNTIFS(AL40:AL55,AL47)&gt;1,"=",""))</f>
        <v/>
      </c>
      <c r="AS47" s="45"/>
      <c r="AT47" s="9" t="str">
        <f t="shared" ca="1" si="18"/>
        <v/>
      </c>
      <c r="AU47" s="9" t="str">
        <f ca="1">IF(AV47="","",HLOOKUP(AM47,BK39:BR56,18,FALSE))</f>
        <v/>
      </c>
      <c r="AV47" s="45" t="str">
        <f ca="1">IF(OR(AM47=0,AM47=""),"",IF(COUNTIFS(AM40:AM55,AM47)&gt;1,"=",""))</f>
        <v/>
      </c>
      <c r="AW47" s="9" t="str">
        <f t="shared" ca="1" si="12"/>
        <v/>
      </c>
      <c r="AX47" s="9" t="str">
        <f t="shared" ca="1" si="13"/>
        <v/>
      </c>
      <c r="AY47" s="47"/>
      <c r="AZ47" s="151" t="str">
        <f t="shared" ca="1" si="14"/>
        <v/>
      </c>
      <c r="BA47" s="151" t="str">
        <f t="shared" ca="1" si="15"/>
        <v/>
      </c>
      <c r="BB47" s="9"/>
      <c r="BC47" s="52" t="str">
        <f ca="1">IF(AL47="","",IF(AL47=BC39,AL47,""))</f>
        <v/>
      </c>
      <c r="BD47" s="52" t="str">
        <f ca="1">IF(AL47="","",IF(AL47=BD39,AL47,""))</f>
        <v/>
      </c>
      <c r="BE47" s="52" t="str">
        <f ca="1">IF(AL47="","",IF(AL47=BE39,AL47,""))</f>
        <v/>
      </c>
      <c r="BF47" s="52" t="str">
        <f ca="1">IF(AL47="","",IF(AL47=BF39,AL47,""))</f>
        <v/>
      </c>
      <c r="BG47" s="52" t="str">
        <f ca="1">IF(AL47="","",IF(AL47=BG39,AL47,""))</f>
        <v/>
      </c>
      <c r="BH47" s="52" t="str">
        <f ca="1">IF(AL47="","",IF(AL47=BH39,AL47,""))</f>
        <v/>
      </c>
      <c r="BI47" s="52" t="str">
        <f ca="1">IF(AL47="","",IF(AL47=BI39,AL47,""))</f>
        <v/>
      </c>
      <c r="BJ47" s="52" t="str">
        <f ca="1">IF(AL47="","",IF(AL47=BJ39,AL47,""))</f>
        <v/>
      </c>
      <c r="BK47" s="52" t="str">
        <f ca="1">IF(AM47="","",IF(AM47=BK39,AM47,""))</f>
        <v/>
      </c>
      <c r="BL47" s="52" t="str">
        <f ca="1">IF(AM47="","",IF(AM47=BL39,AM47,""))</f>
        <v/>
      </c>
      <c r="BM47" s="52" t="str">
        <f ca="1">IF(AM47="","",IF(AM47=BM39,AM47,""))</f>
        <v/>
      </c>
      <c r="BN47" s="52" t="str">
        <f ca="1">IF(AM47="","",IF(AM47=BN39,AM47,""))</f>
        <v/>
      </c>
      <c r="BO47" s="52" t="str">
        <f ca="1">IF(AM47="","",IF(AM47=BO39,AM47,""))</f>
        <v/>
      </c>
      <c r="BP47" s="52" t="str">
        <f ca="1">IF(AM47="","",IF(AM47=BP39,AM47,""))</f>
        <v/>
      </c>
      <c r="BQ47" s="52" t="str">
        <f ca="1">IF(AM47="","",IF(AM47=BQ39,AM47,""))</f>
        <v/>
      </c>
      <c r="BR47" s="52" t="str">
        <f ca="1">IF(AM47="","",IF(AM47=BR39,AM47,""))</f>
        <v/>
      </c>
      <c r="BS47" s="46"/>
      <c r="BT47" s="4" t="str">
        <f>IFERROR(IF(A39=0,A47*11,A47&amp;A47),"")</f>
        <v/>
      </c>
    </row>
    <row r="48" spans="1:72" s="4" customFormat="1" ht="15.95" customHeight="1" x14ac:dyDescent="0.35">
      <c r="A48" s="8">
        <f>IFERROR(IF(A39=0,A40*11,A40&amp;A40),"-")</f>
        <v>44</v>
      </c>
      <c r="B48" s="10" t="str">
        <f ca="1">IFERROR(IF(OR(AK48=0,AK48="B"),"",RANK(AZ48,AZ40:AZ55,1)),"")</f>
        <v/>
      </c>
      <c r="C48" s="10" t="str">
        <f ca="1">IFERROR(IF(OR(AK48=0,AK48="A"),"",RANK(BA48,BA40:BA55,1)),"")</f>
        <v/>
      </c>
      <c r="D48" s="55">
        <v>9</v>
      </c>
      <c r="E48" s="17">
        <f t="shared" si="16"/>
        <v>44</v>
      </c>
      <c r="F48" s="18" t="str">
        <f ca="1">IFERROR(IF(A39=0,HLOOKUP(E48,Declarations!$D$2:$S$102,C37,FALSE),HLOOKUP(VLOOKUP(E48,Teams!$V$2:$W$19,2,FALSE),Declarations!$D$2:$S$102,C37,FALSE)),"")</f>
        <v>-</v>
      </c>
      <c r="G48" s="18" t="str">
        <f t="shared" si="11"/>
        <v>M'bro</v>
      </c>
      <c r="H48" s="526"/>
      <c r="I48" s="527"/>
      <c r="J48" s="526"/>
      <c r="K48" s="527"/>
      <c r="L48" s="526"/>
      <c r="M48" s="527"/>
      <c r="N48" s="526"/>
      <c r="O48" s="527"/>
      <c r="P48" s="526"/>
      <c r="Q48" s="527"/>
      <c r="R48" s="526"/>
      <c r="S48" s="527"/>
      <c r="T48" s="526"/>
      <c r="U48" s="527"/>
      <c r="V48" s="526"/>
      <c r="W48" s="527"/>
      <c r="X48" s="526"/>
      <c r="Y48" s="527"/>
      <c r="Z48" s="526"/>
      <c r="AA48" s="527"/>
      <c r="AB48" s="526"/>
      <c r="AC48" s="527"/>
      <c r="AD48" s="526"/>
      <c r="AE48" s="527"/>
      <c r="AF48" s="557">
        <f ca="1">IFERROR(INDIRECT(CONCATENATE("'Height Input'!"&amp;B38&amp;C38+8)),"")</f>
        <v>0</v>
      </c>
      <c r="AG48" s="558"/>
      <c r="AH48" s="48"/>
      <c r="AI48" s="48"/>
      <c r="AJ48" s="49">
        <f ca="1">IFERROR(IF(AF48="X",MatchDay!$U$2+MatchDay!$U$2+1-COUNTIF($AF40:AF48,"X"),IF(AF48&gt;=97,1,INT(INDIRECT(CONCATENATE("'Height Input'!"&amp;$B37&amp;$C38+8))))),"")</f>
        <v>0</v>
      </c>
      <c r="AK48" s="50">
        <f ca="1">IFERROR(IF(OR(AJ48=0,AJ48=""),0,IF(OR(AJ48&lt;VLOOKUP(BT48,$E40:$AJ47,32,FALSE),VLOOKUP(BT48,$E40:$AJ47,32,FALSE)=0),"A","B")),0)</f>
        <v>0</v>
      </c>
      <c r="AL48" s="139" t="str">
        <f ca="1">IFERROR(IF(OR(AK48=0,AK48="B"),"",RANK(AW48,AW40:AW55,1)),"")</f>
        <v/>
      </c>
      <c r="AM48" s="139" t="str">
        <f ca="1">IFERROR(IF(OR(AK48=0,AK48="A"),"",RANK(AX48,AX40:AX55,1)),"")</f>
        <v/>
      </c>
      <c r="AN48" s="51">
        <f ca="1">IFERROR(IF(AF48="X",0,(INDIRECT(CONCATENATE("'Height Input'!"&amp;$B37&amp;$C38+8))-AJ48)*10),"")</f>
        <v>0</v>
      </c>
      <c r="AO48" s="8"/>
      <c r="AP48" s="9" t="str">
        <f t="shared" ca="1" si="17"/>
        <v/>
      </c>
      <c r="AQ48" s="9" t="str">
        <f ca="1">IF(AR48="","",HLOOKUP(AL48,BC39:BJ56,18,FALSE))</f>
        <v/>
      </c>
      <c r="AR48" s="45" t="str">
        <f ca="1">IF(OR(AL48=0,AL48=""),"",IF(COUNTIFS(AL40:AL55,AL48)&gt;1,"=",""))</f>
        <v/>
      </c>
      <c r="AS48" s="45"/>
      <c r="AT48" s="9" t="str">
        <f t="shared" ca="1" si="18"/>
        <v/>
      </c>
      <c r="AU48" s="9" t="str">
        <f ca="1">IF(AV48="","",HLOOKUP(AM48,BK39:BR56,18,FALSE))</f>
        <v/>
      </c>
      <c r="AV48" s="45" t="str">
        <f ca="1">IF(OR(AM48=0,AM48=""),"",IF(COUNTIFS(AM40:AM55,AM48)&gt;1,"=",""))</f>
        <v/>
      </c>
      <c r="AW48" s="9" t="str">
        <f t="shared" ca="1" si="12"/>
        <v/>
      </c>
      <c r="AX48" s="9" t="str">
        <f t="shared" ca="1" si="13"/>
        <v/>
      </c>
      <c r="AY48" s="47"/>
      <c r="AZ48" s="151" t="str">
        <f t="shared" ca="1" si="14"/>
        <v/>
      </c>
      <c r="BA48" s="151" t="str">
        <f t="shared" ca="1" si="15"/>
        <v/>
      </c>
      <c r="BB48" s="9"/>
      <c r="BC48" s="52" t="str">
        <f ca="1">IF(AL48="","",IF(AL48=BC39,AL48,""))</f>
        <v/>
      </c>
      <c r="BD48" s="52" t="str">
        <f ca="1">IF(AL48="","",IF(AL48=BD39,AL48,""))</f>
        <v/>
      </c>
      <c r="BE48" s="52" t="str">
        <f ca="1">IF(AL48="","",IF(AL48=BE39,AL48,""))</f>
        <v/>
      </c>
      <c r="BF48" s="52" t="str">
        <f ca="1">IF(AL48="","",IF(AL48=BF39,AL48,""))</f>
        <v/>
      </c>
      <c r="BG48" s="52" t="str">
        <f ca="1">IF(AL48="","",IF(AL48=BG39,AL48,""))</f>
        <v/>
      </c>
      <c r="BH48" s="52" t="str">
        <f ca="1">IF(AL48="","",IF(AL48=BH39,AL48,""))</f>
        <v/>
      </c>
      <c r="BI48" s="52" t="str">
        <f ca="1">IF(AL48="","",IF(AL48=BI39,AL48,""))</f>
        <v/>
      </c>
      <c r="BJ48" s="52" t="str">
        <f ca="1">IF(AL48="","",IF(AL48=BJ39,AL48,""))</f>
        <v/>
      </c>
      <c r="BK48" s="52" t="str">
        <f ca="1">IF(AM48="","",IF(AM48=BK39,AM48,""))</f>
        <v/>
      </c>
      <c r="BL48" s="52" t="str">
        <f ca="1">IF(AM48="","",IF(AM48=BL39,AM48,""))</f>
        <v/>
      </c>
      <c r="BM48" s="52" t="str">
        <f ca="1">IF(AM48="","",IF(AM48=BM39,AM48,""))</f>
        <v/>
      </c>
      <c r="BN48" s="52" t="str">
        <f ca="1">IF(AM48="","",IF(AM48=BN39,AM48,""))</f>
        <v/>
      </c>
      <c r="BO48" s="52" t="str">
        <f ca="1">IF(AM48="","",IF(AM48=BO39,AM48,""))</f>
        <v/>
      </c>
      <c r="BP48" s="52" t="str">
        <f ca="1">IF(AM48="","",IF(AM48=BP39,AM48,""))</f>
        <v/>
      </c>
      <c r="BQ48" s="52" t="str">
        <f ca="1">IF(AM48="","",IF(AM48=BQ39,AM48,""))</f>
        <v/>
      </c>
      <c r="BR48" s="52" t="str">
        <f ca="1">IF(AM48="","",IF(AM48=BR39,AM48,""))</f>
        <v/>
      </c>
      <c r="BS48" s="46"/>
      <c r="BT48" s="4">
        <f>IFERROR(IF(A39=0,A48/11,LEFT(A48,1)),"")</f>
        <v>4</v>
      </c>
    </row>
    <row r="49" spans="1:72" s="4" customFormat="1" ht="15.95" customHeight="1" x14ac:dyDescent="0.35">
      <c r="A49" s="8">
        <f>IFERROR(IF(A39=0,A41*11,A41&amp;A41),"-")</f>
        <v>22</v>
      </c>
      <c r="B49" s="10" t="str">
        <f ca="1">IFERROR(IF(OR(AK49=0,AK49="B"),"",RANK(AZ49,AZ40:AZ55,1)),"")</f>
        <v/>
      </c>
      <c r="C49" s="10">
        <f ca="1">IFERROR(IF(OR(AK49=0,AK49="A"),"",RANK(BA49,BA40:BA55,1)),"")</f>
        <v>1</v>
      </c>
      <c r="D49" s="55">
        <v>10</v>
      </c>
      <c r="E49" s="17">
        <f t="shared" si="16"/>
        <v>22</v>
      </c>
      <c r="F49" s="18" t="str">
        <f ca="1">IFERROR(IF(A39=0,HLOOKUP(E49,Declarations!$D$2:$S$102,C37,FALSE),HLOOKUP(VLOOKUP(E49,Teams!$V$2:$W$19,2,FALSE),Declarations!$D$2:$S$102,C37,FALSE)),"")</f>
        <v>COCKINGS Matthew</v>
      </c>
      <c r="G49" s="18" t="str">
        <f t="shared" si="11"/>
        <v>Sheff+D</v>
      </c>
      <c r="H49" s="526"/>
      <c r="I49" s="527"/>
      <c r="J49" s="526"/>
      <c r="K49" s="527"/>
      <c r="L49" s="526"/>
      <c r="M49" s="527"/>
      <c r="N49" s="526"/>
      <c r="O49" s="527"/>
      <c r="P49" s="526"/>
      <c r="Q49" s="527"/>
      <c r="R49" s="526"/>
      <c r="S49" s="527"/>
      <c r="T49" s="526"/>
      <c r="U49" s="527"/>
      <c r="V49" s="526"/>
      <c r="W49" s="527"/>
      <c r="X49" s="526"/>
      <c r="Y49" s="527"/>
      <c r="Z49" s="526"/>
      <c r="AA49" s="527"/>
      <c r="AB49" s="526"/>
      <c r="AC49" s="527"/>
      <c r="AD49" s="526"/>
      <c r="AE49" s="527"/>
      <c r="AF49" s="557">
        <f ca="1">IFERROR(INDIRECT(CONCATENATE("'Height Input'!"&amp;B38&amp;C38+9)),"")</f>
        <v>1.2</v>
      </c>
      <c r="AG49" s="558"/>
      <c r="AH49" s="48"/>
      <c r="AI49" s="48"/>
      <c r="AJ49" s="49">
        <f ca="1">IFERROR(IF(AF49="X",MatchDay!$U$2+MatchDay!$U$2+1-COUNTIF($AF40:AF49,"X"),IF(AF49&gt;=97,1,INT(INDIRECT(CONCATENATE("'Height Input'!"&amp;$B37&amp;$C38+9))))),"")</f>
        <v>1</v>
      </c>
      <c r="AK49" s="50" t="str">
        <f ca="1">IFERROR(IF(OR(AJ49=0,AJ49=""),0,IF(OR(AJ49&lt;VLOOKUP(BT49,$E40:$AJ47,32,FALSE),VLOOKUP(BT49,$E40:$AJ47,32,FALSE)=0),"A","B")),0)</f>
        <v>B</v>
      </c>
      <c r="AL49" s="139" t="str">
        <f ca="1">IFERROR(IF(OR(AK49=0,AK49="B"),"",RANK(AW49,AW40:AW55,1)),"")</f>
        <v/>
      </c>
      <c r="AM49" s="139">
        <f ca="1">IFERROR(IF(OR(AK49=0,AK49="A"),"",RANK(AX49,AX40:AX55,1)),"")</f>
        <v>1</v>
      </c>
      <c r="AN49" s="51">
        <f ca="1">IFERROR(IF(AF49="X",0,(INDIRECT(CONCATENATE("'Height Input'!"&amp;$B37&amp;$C38+9))-AJ49)*10),"")</f>
        <v>3.0000000000000004</v>
      </c>
      <c r="AO49" s="8"/>
      <c r="AP49" s="9" t="str">
        <f t="shared" ca="1" si="17"/>
        <v/>
      </c>
      <c r="AQ49" s="9" t="str">
        <f ca="1">IF(AR49="","",HLOOKUP(AL49,BC39:BJ56,18,FALSE))</f>
        <v/>
      </c>
      <c r="AR49" s="45" t="str">
        <f ca="1">IF(OR(AL49=0,AL49=""),"",IF(COUNTIFS(AL40:AL55,AL49)&gt;1,"=",""))</f>
        <v/>
      </c>
      <c r="AS49" s="45"/>
      <c r="AT49" s="9" t="str">
        <f t="shared" ca="1" si="18"/>
        <v/>
      </c>
      <c r="AU49" s="9" t="str">
        <f ca="1">IF(AV49="","",HLOOKUP(AM49,BK39:BR56,18,FALSE))</f>
        <v/>
      </c>
      <c r="AV49" s="45" t="str">
        <f ca="1">IF(OR(AM49=0,AM49=""),"",IF(COUNTIFS(AM40:AM55,AM49)&gt;1,"=",""))</f>
        <v/>
      </c>
      <c r="AW49" s="9" t="str">
        <f t="shared" ca="1" si="12"/>
        <v/>
      </c>
      <c r="AX49" s="9">
        <f t="shared" ca="1" si="13"/>
        <v>1</v>
      </c>
      <c r="AY49" s="47"/>
      <c r="AZ49" s="151" t="str">
        <f t="shared" ca="1" si="14"/>
        <v/>
      </c>
      <c r="BA49" s="151">
        <f t="shared" ca="1" si="15"/>
        <v>1.3</v>
      </c>
      <c r="BB49" s="9"/>
      <c r="BC49" s="52" t="str">
        <f ca="1">IF(AL49="","",IF(AL49=BC39,AL49,""))</f>
        <v/>
      </c>
      <c r="BD49" s="52" t="str">
        <f ca="1">IF(AL49="","",IF(AL49=BD39,AL49,""))</f>
        <v/>
      </c>
      <c r="BE49" s="52" t="str">
        <f ca="1">IF(AL49="","",IF(AL49=BE39,AL49,""))</f>
        <v/>
      </c>
      <c r="BF49" s="52" t="str">
        <f ca="1">IF(AL49="","",IF(AL49=BF39,AL49,""))</f>
        <v/>
      </c>
      <c r="BG49" s="52" t="str">
        <f ca="1">IF(AL49="","",IF(AL49=BG39,AL49,""))</f>
        <v/>
      </c>
      <c r="BH49" s="52" t="str">
        <f ca="1">IF(AL49="","",IF(AL49=BH39,AL49,""))</f>
        <v/>
      </c>
      <c r="BI49" s="52" t="str">
        <f ca="1">IF(AL49="","",IF(AL49=BI39,AL49,""))</f>
        <v/>
      </c>
      <c r="BJ49" s="52" t="str">
        <f ca="1">IF(AL49="","",IF(AL49=BJ39,AL49,""))</f>
        <v/>
      </c>
      <c r="BK49" s="52">
        <f ca="1">IF(AM49="","",IF(AM49=BK39,AM49,""))</f>
        <v>1</v>
      </c>
      <c r="BL49" s="52" t="str">
        <f ca="1">IF(AM49="","",IF(AM49=BL39,AM49,""))</f>
        <v/>
      </c>
      <c r="BM49" s="52" t="str">
        <f ca="1">IF(AM49="","",IF(AM49=BM39,AM49,""))</f>
        <v/>
      </c>
      <c r="BN49" s="52" t="str">
        <f ca="1">IF(AM49="","",IF(AM49=BN39,AM49,""))</f>
        <v/>
      </c>
      <c r="BO49" s="52" t="str">
        <f ca="1">IF(AM49="","",IF(AM49=BO39,AM49,""))</f>
        <v/>
      </c>
      <c r="BP49" s="52" t="str">
        <f ca="1">IF(AM49="","",IF(AM49=BP39,AM49,""))</f>
        <v/>
      </c>
      <c r="BQ49" s="52" t="str">
        <f ca="1">IF(AM49="","",IF(AM49=BQ39,AM49,""))</f>
        <v/>
      </c>
      <c r="BR49" s="52" t="str">
        <f ca="1">IF(AM49="","",IF(AM49=BR39,AM49,""))</f>
        <v/>
      </c>
      <c r="BS49" s="46"/>
      <c r="BT49" s="4">
        <f>IFERROR(IF(A39=0,A49/11,LEFT(A49,1)),"")</f>
        <v>2</v>
      </c>
    </row>
    <row r="50" spans="1:72" s="4" customFormat="1" ht="15.95" customHeight="1" x14ac:dyDescent="0.35">
      <c r="A50" s="8">
        <f>IFERROR(IF(A39=0,A42*11,A42&amp;A42),"-")</f>
        <v>55</v>
      </c>
      <c r="B50" s="10" t="str">
        <f ca="1">IFERROR(IF(OR(AK50=0,AK50="B"),"",RANK(AZ50,AZ40:AZ55,1)),"")</f>
        <v/>
      </c>
      <c r="C50" s="10" t="str">
        <f ca="1">IFERROR(IF(OR(AK50=0,AK50="A"),"",RANK(BA50,BA40:BA55,1)),"")</f>
        <v/>
      </c>
      <c r="D50" s="55">
        <v>11</v>
      </c>
      <c r="E50" s="17">
        <f t="shared" si="16"/>
        <v>55</v>
      </c>
      <c r="F50" s="18" t="str">
        <f ca="1">IFERROR(IF(A39=0,HLOOKUP(E50,Declarations!$D$2:$S$102,C37,FALSE),HLOOKUP(VLOOKUP(E50,Teams!$V$2:$W$19,2,FALSE),Declarations!$D$2:$S$102,C37,FALSE)),"")</f>
        <v>-</v>
      </c>
      <c r="G50" s="18" t="str">
        <f t="shared" si="11"/>
        <v>Scun</v>
      </c>
      <c r="H50" s="526"/>
      <c r="I50" s="527"/>
      <c r="J50" s="526"/>
      <c r="K50" s="527"/>
      <c r="L50" s="526"/>
      <c r="M50" s="527"/>
      <c r="N50" s="526"/>
      <c r="O50" s="527"/>
      <c r="P50" s="526"/>
      <c r="Q50" s="527"/>
      <c r="R50" s="526"/>
      <c r="S50" s="527"/>
      <c r="T50" s="526"/>
      <c r="U50" s="527"/>
      <c r="V50" s="526"/>
      <c r="W50" s="527"/>
      <c r="X50" s="526"/>
      <c r="Y50" s="527"/>
      <c r="Z50" s="526"/>
      <c r="AA50" s="527"/>
      <c r="AB50" s="526"/>
      <c r="AC50" s="527"/>
      <c r="AD50" s="526"/>
      <c r="AE50" s="527"/>
      <c r="AF50" s="557">
        <f ca="1">IFERROR(INDIRECT(CONCATENATE("'Height Input'!"&amp;B38&amp;C38+10)),"")</f>
        <v>0</v>
      </c>
      <c r="AG50" s="558"/>
      <c r="AH50" s="48"/>
      <c r="AI50" s="48"/>
      <c r="AJ50" s="49">
        <f ca="1">IFERROR(IF(AF50="X",MatchDay!$U$2+MatchDay!$U$2+1-COUNTIF($AF40:AF50,"X"),IF(AF50&gt;=97,1,INT(INDIRECT(CONCATENATE("'Height Input'!"&amp;$B37&amp;$C38+10))))),"")</f>
        <v>0</v>
      </c>
      <c r="AK50" s="50">
        <f ca="1">IFERROR(IF(OR(AJ50=0,AJ50=""),0,IF(OR(AJ50&lt;VLOOKUP(BT50,$E40:$AJ47,32,FALSE),VLOOKUP(BT50,$E40:$AJ47,32,FALSE)=0),"A","B")),0)</f>
        <v>0</v>
      </c>
      <c r="AL50" s="139" t="str">
        <f ca="1">IFERROR(IF(OR(AK50=0,AK50="B"),"",RANK(AW50,AW40:AW55,1)),"")</f>
        <v/>
      </c>
      <c r="AM50" s="139" t="str">
        <f ca="1">IFERROR(IF(OR(AK50=0,AK50="A"),"",RANK(AX50,AX40:AX55,1)),"")</f>
        <v/>
      </c>
      <c r="AN50" s="51">
        <f ca="1">IFERROR(IF(AF50="X",0,(INDIRECT(CONCATENATE("'Height Input'!"&amp;$B37&amp;$C38+10))-AJ50)*10),"")</f>
        <v>0</v>
      </c>
      <c r="AO50" s="8"/>
      <c r="AP50" s="9" t="str">
        <f t="shared" ca="1" si="17"/>
        <v/>
      </c>
      <c r="AQ50" s="9" t="str">
        <f ca="1">IF(AR50="","",HLOOKUP(AL50,BC39:BJ56,18,FALSE))</f>
        <v/>
      </c>
      <c r="AR50" s="45" t="str">
        <f ca="1">IF(OR(AL50=0,AL50=""),"",IF(COUNTIFS(AL40:AL55,AL50)&gt;1,"=",""))</f>
        <v/>
      </c>
      <c r="AS50" s="45"/>
      <c r="AT50" s="9" t="str">
        <f t="shared" ca="1" si="18"/>
        <v/>
      </c>
      <c r="AU50" s="9" t="str">
        <f ca="1">IF(AV50="","",HLOOKUP(AM50,BK39:BR56,18,FALSE))</f>
        <v/>
      </c>
      <c r="AV50" s="45" t="str">
        <f ca="1">IF(OR(AM50=0,AM50=""),"",IF(COUNTIFS(AM40:AM55,AM50)&gt;1,"=",""))</f>
        <v/>
      </c>
      <c r="AW50" s="9" t="str">
        <f t="shared" ca="1" si="12"/>
        <v/>
      </c>
      <c r="AX50" s="9" t="str">
        <f t="shared" ca="1" si="13"/>
        <v/>
      </c>
      <c r="AY50" s="47"/>
      <c r="AZ50" s="151" t="str">
        <f t="shared" ca="1" si="14"/>
        <v/>
      </c>
      <c r="BA50" s="151" t="str">
        <f t="shared" ca="1" si="15"/>
        <v/>
      </c>
      <c r="BB50" s="9"/>
      <c r="BC50" s="52" t="str">
        <f ca="1">IF(AL50="","",IF(AL50=BC39,AL50,""))</f>
        <v/>
      </c>
      <c r="BD50" s="52" t="str">
        <f ca="1">IF(AL50="","",IF(AL50=BD39,AL50,""))</f>
        <v/>
      </c>
      <c r="BE50" s="52" t="str">
        <f ca="1">IF(AL50="","",IF(AL50=BE39,AL50,""))</f>
        <v/>
      </c>
      <c r="BF50" s="52" t="str">
        <f ca="1">IF(AL50="","",IF(AL50=BF39,AL50,""))</f>
        <v/>
      </c>
      <c r="BG50" s="52" t="str">
        <f ca="1">IF(AL50="","",IF(AL50=BG39,AL50,""))</f>
        <v/>
      </c>
      <c r="BH50" s="52" t="str">
        <f ca="1">IF(AL50="","",IF(AL50=BH39,AL50,""))</f>
        <v/>
      </c>
      <c r="BI50" s="52" t="str">
        <f ca="1">IF(AL50="","",IF(AL50=BI39,AL50,""))</f>
        <v/>
      </c>
      <c r="BJ50" s="52" t="str">
        <f ca="1">IF(AL50="","",IF(AL50=BJ39,AL50,""))</f>
        <v/>
      </c>
      <c r="BK50" s="52" t="str">
        <f ca="1">IF(AM50="","",IF(AM50=BK39,AM50,""))</f>
        <v/>
      </c>
      <c r="BL50" s="52" t="str">
        <f ca="1">IF(AM50="","",IF(AM50=BL39,AM50,""))</f>
        <v/>
      </c>
      <c r="BM50" s="52" t="str">
        <f ca="1">IF(AM50="","",IF(AM50=BM39,AM50,""))</f>
        <v/>
      </c>
      <c r="BN50" s="52" t="str">
        <f ca="1">IF(AM50="","",IF(AM50=BN39,AM50,""))</f>
        <v/>
      </c>
      <c r="BO50" s="52" t="str">
        <f ca="1">IF(AM50="","",IF(AM50=BO39,AM50,""))</f>
        <v/>
      </c>
      <c r="BP50" s="52" t="str">
        <f ca="1">IF(AM50="","",IF(AM50=BP39,AM50,""))</f>
        <v/>
      </c>
      <c r="BQ50" s="52" t="str">
        <f ca="1">IF(AM50="","",IF(AM50=BQ39,AM50,""))</f>
        <v/>
      </c>
      <c r="BR50" s="52" t="str">
        <f ca="1">IF(AM50="","",IF(AM50=BR39,AM50,""))</f>
        <v/>
      </c>
      <c r="BS50" s="46"/>
      <c r="BT50" s="4">
        <f>IFERROR(IF(A39=0,A50/11,LEFT(A50,1)),"")</f>
        <v>5</v>
      </c>
    </row>
    <row r="51" spans="1:72" s="4" customFormat="1" ht="15.95" customHeight="1" x14ac:dyDescent="0.35">
      <c r="A51" s="8">
        <f>IFERROR(IF(A39=0,A43*11,A43&amp;A43),"-")</f>
        <v>11</v>
      </c>
      <c r="B51" s="10" t="str">
        <f ca="1">IFERROR(IF(OR(AK51=0,AK51="B"),"",RANK(AZ51,AZ40:AZ55,1)),"")</f>
        <v/>
      </c>
      <c r="C51" s="10" t="str">
        <f ca="1">IFERROR(IF(OR(AK51=0,AK51="A"),"",RANK(BA51,BA40:BA55,1)),"")</f>
        <v/>
      </c>
      <c r="D51" s="55">
        <v>12</v>
      </c>
      <c r="E51" s="17">
        <f t="shared" si="16"/>
        <v>11</v>
      </c>
      <c r="F51" s="18">
        <f ca="1">IFERROR(IF(A39=0,HLOOKUP(E51,Declarations!$D$2:$S$102,C37,FALSE),HLOOKUP(VLOOKUP(E51,Teams!$V$2:$W$19,2,FALSE),Declarations!$D$2:$S$102,C37,FALSE)),"")</f>
        <v>0</v>
      </c>
      <c r="G51" s="18" t="str">
        <f t="shared" si="11"/>
        <v>C'field</v>
      </c>
      <c r="H51" s="526"/>
      <c r="I51" s="527"/>
      <c r="J51" s="526"/>
      <c r="K51" s="527"/>
      <c r="L51" s="526"/>
      <c r="M51" s="527"/>
      <c r="N51" s="526"/>
      <c r="O51" s="527"/>
      <c r="P51" s="526"/>
      <c r="Q51" s="527"/>
      <c r="R51" s="526"/>
      <c r="S51" s="527"/>
      <c r="T51" s="526"/>
      <c r="U51" s="527"/>
      <c r="V51" s="526"/>
      <c r="W51" s="527"/>
      <c r="X51" s="526"/>
      <c r="Y51" s="527"/>
      <c r="Z51" s="526"/>
      <c r="AA51" s="527"/>
      <c r="AB51" s="526"/>
      <c r="AC51" s="527"/>
      <c r="AD51" s="526"/>
      <c r="AE51" s="527"/>
      <c r="AF51" s="557">
        <f ca="1">IFERROR(INDIRECT(CONCATENATE("'Height Input'!"&amp;B38&amp;C38+11)),"")</f>
        <v>0</v>
      </c>
      <c r="AG51" s="558"/>
      <c r="AH51" s="48"/>
      <c r="AI51" s="48"/>
      <c r="AJ51" s="49">
        <f ca="1">IFERROR(IF(AF51="X",MatchDay!$U$2+MatchDay!$U$2+1-COUNTIF($AF40:AF51,"X"),IF(AF51&gt;=97,1,INT(INDIRECT(CONCATENATE("'Height Input'!"&amp;$B37&amp;$C38+11))))),"")</f>
        <v>0</v>
      </c>
      <c r="AK51" s="50">
        <f ca="1">IFERROR(IF(OR(AJ51=0,AJ51=""),0,IF(OR(AJ51&lt;VLOOKUP(BT51,$E40:$AJ47,32,FALSE),VLOOKUP(BT51,$E40:$AJ47,32,FALSE)=0),"A","B")),0)</f>
        <v>0</v>
      </c>
      <c r="AL51" s="139" t="str">
        <f ca="1">IFERROR(IF(OR(AK51=0,AK51="B"),"",RANK(AW51,AW40:AW55,1)),"")</f>
        <v/>
      </c>
      <c r="AM51" s="139" t="str">
        <f ca="1">IFERROR(IF(OR(AK51=0,AK51="A"),"",RANK(AX51,AX40:AX55,1)),"")</f>
        <v/>
      </c>
      <c r="AN51" s="51">
        <f ca="1">IFERROR(IF(AF51="X",0,(INDIRECT(CONCATENATE("'Height Input'!"&amp;$B37&amp;$C38+11))-AJ51)*10),"")</f>
        <v>0</v>
      </c>
      <c r="AO51" s="8"/>
      <c r="AP51" s="9" t="str">
        <f t="shared" ca="1" si="17"/>
        <v/>
      </c>
      <c r="AQ51" s="9" t="str">
        <f ca="1">IF(AR51="","",HLOOKUP(AL51,BC39:BJ56,18,FALSE))</f>
        <v/>
      </c>
      <c r="AR51" s="45" t="str">
        <f ca="1">IF(OR(AL51=0,AL51=""),"",IF(COUNTIFS(AL40:AL55,AL51)&gt;1,"=",""))</f>
        <v/>
      </c>
      <c r="AS51" s="45"/>
      <c r="AT51" s="9" t="str">
        <f t="shared" ca="1" si="18"/>
        <v/>
      </c>
      <c r="AU51" s="9" t="str">
        <f ca="1">IF(AV51="","",HLOOKUP(AM51,BK39:BR56,18,FALSE))</f>
        <v/>
      </c>
      <c r="AV51" s="45" t="str">
        <f ca="1">IF(OR(AM51=0,AM51=""),"",IF(COUNTIFS(AM40:AM55,AM51)&gt;1,"=",""))</f>
        <v/>
      </c>
      <c r="AW51" s="9" t="str">
        <f t="shared" ca="1" si="12"/>
        <v/>
      </c>
      <c r="AX51" s="9" t="str">
        <f t="shared" ca="1" si="13"/>
        <v/>
      </c>
      <c r="AY51" s="47"/>
      <c r="AZ51" s="151" t="str">
        <f t="shared" ca="1" si="14"/>
        <v/>
      </c>
      <c r="BA51" s="151" t="str">
        <f t="shared" ca="1" si="15"/>
        <v/>
      </c>
      <c r="BB51" s="9"/>
      <c r="BC51" s="52" t="str">
        <f ca="1">IF(AL51="","",IF(AL51=BC39,AL51,""))</f>
        <v/>
      </c>
      <c r="BD51" s="52" t="str">
        <f ca="1">IF(AL51="","",IF(AL51=BD39,AL51,""))</f>
        <v/>
      </c>
      <c r="BE51" s="52" t="str">
        <f ca="1">IF(AL51="","",IF(AL51=BE39,AL51,""))</f>
        <v/>
      </c>
      <c r="BF51" s="52" t="str">
        <f ca="1">IF(AL51="","",IF(AL51=BF39,AL51,""))</f>
        <v/>
      </c>
      <c r="BG51" s="52" t="str">
        <f ca="1">IF(AL51="","",IF(AL51=BG39,AL51,""))</f>
        <v/>
      </c>
      <c r="BH51" s="52" t="str">
        <f ca="1">IF(AL51="","",IF(AL51=BH39,AL51,""))</f>
        <v/>
      </c>
      <c r="BI51" s="52" t="str">
        <f ca="1">IF(AL51="","",IF(AL51=BI39,AL51,""))</f>
        <v/>
      </c>
      <c r="BJ51" s="52" t="str">
        <f ca="1">IF(AL51="","",IF(AL51=BJ39,AL51,""))</f>
        <v/>
      </c>
      <c r="BK51" s="52" t="str">
        <f ca="1">IF(AM51="","",IF(AM51=BK39,AM51,""))</f>
        <v/>
      </c>
      <c r="BL51" s="52" t="str">
        <f ca="1">IF(AM51="","",IF(AM51=BL39,AM51,""))</f>
        <v/>
      </c>
      <c r="BM51" s="52" t="str">
        <f ca="1">IF(AM51="","",IF(AM51=BM39,AM51,""))</f>
        <v/>
      </c>
      <c r="BN51" s="52" t="str">
        <f ca="1">IF(AM51="","",IF(AM51=BN39,AM51,""))</f>
        <v/>
      </c>
      <c r="BO51" s="52" t="str">
        <f ca="1">IF(AM51="","",IF(AM51=BO39,AM51,""))</f>
        <v/>
      </c>
      <c r="BP51" s="52" t="str">
        <f ca="1">IF(AM51="","",IF(AM51=BP39,AM51,""))</f>
        <v/>
      </c>
      <c r="BQ51" s="52" t="str">
        <f ca="1">IF(AM51="","",IF(AM51=BQ39,AM51,""))</f>
        <v/>
      </c>
      <c r="BR51" s="52" t="str">
        <f ca="1">IF(AM51="","",IF(AM51=BR39,AM51,""))</f>
        <v/>
      </c>
      <c r="BS51" s="46"/>
      <c r="BT51" s="4">
        <f>IFERROR(IF(A39=0,A51/11,LEFT(A51,1)),"")</f>
        <v>1</v>
      </c>
    </row>
    <row r="52" spans="1:72" s="4" customFormat="1" ht="15.95" customHeight="1" x14ac:dyDescent="0.35">
      <c r="A52" s="8">
        <f>IFERROR(IF(A39=0,A44*11,A44&amp;A44),"-")</f>
        <v>33</v>
      </c>
      <c r="B52" s="10" t="str">
        <f ca="1">IFERROR(IF(OR(AK52=0,AK52="B"),"",RANK(AZ52,AZ40:AZ55,1)),"")</f>
        <v/>
      </c>
      <c r="C52" s="10">
        <f ca="1">IFERROR(IF(OR(AK52=0,AK52="A"),"",RANK(BA52,BA40:BA55,1)),"")</f>
        <v>2</v>
      </c>
      <c r="D52" s="55">
        <v>13</v>
      </c>
      <c r="E52" s="17">
        <f t="shared" si="16"/>
        <v>33</v>
      </c>
      <c r="F52" s="18" t="str">
        <f ca="1">IFERROR(IF(A39=0,HLOOKUP(E52,Declarations!$D$2:$S$102,C37,FALSE),HLOOKUP(VLOOKUP(E52,Teams!$V$2:$W$19,2,FALSE),Declarations!$D$2:$S$102,C37,FALSE)),"")</f>
        <v>JONES Alex</v>
      </c>
      <c r="G52" s="18" t="str">
        <f t="shared" si="11"/>
        <v>York</v>
      </c>
      <c r="H52" s="526"/>
      <c r="I52" s="527"/>
      <c r="J52" s="526"/>
      <c r="K52" s="527"/>
      <c r="L52" s="526"/>
      <c r="M52" s="527"/>
      <c r="N52" s="526"/>
      <c r="O52" s="527"/>
      <c r="P52" s="526"/>
      <c r="Q52" s="527"/>
      <c r="R52" s="526"/>
      <c r="S52" s="527"/>
      <c r="T52" s="526"/>
      <c r="U52" s="527"/>
      <c r="V52" s="526"/>
      <c r="W52" s="527"/>
      <c r="X52" s="526"/>
      <c r="Y52" s="527"/>
      <c r="Z52" s="526"/>
      <c r="AA52" s="527"/>
      <c r="AB52" s="526"/>
      <c r="AC52" s="527"/>
      <c r="AD52" s="526"/>
      <c r="AE52" s="527"/>
      <c r="AF52" s="557">
        <f ca="1">IFERROR(INDIRECT(CONCATENATE("'Height Input'!"&amp;B38&amp;C38+12)),"")</f>
        <v>1.05</v>
      </c>
      <c r="AG52" s="558"/>
      <c r="AH52" s="48"/>
      <c r="AI52" s="48"/>
      <c r="AJ52" s="49">
        <f ca="1">IFERROR(IF(AF52="X",MatchDay!$U$2+MatchDay!$U$2+1-COUNTIF($AF40:AF52,"X"),IF(AF52&gt;=97,1,INT(INDIRECT(CONCATENATE("'Height Input'!"&amp;$B37&amp;$C38+12))))),"")</f>
        <v>4</v>
      </c>
      <c r="AK52" s="50" t="str">
        <f ca="1">IFERROR(IF(OR(AJ52=0,AJ52=""),0,IF(OR(AJ52&lt;VLOOKUP(BT52,$E40:$AJ47,32,FALSE),VLOOKUP(BT52,$E40:$AJ47,32,FALSE)=0),"A","B")),0)</f>
        <v>B</v>
      </c>
      <c r="AL52" s="139" t="str">
        <f ca="1">IFERROR(IF(OR(AK52=0,AK52="B"),"",RANK(AW52,AW40:AW55,1)),"")</f>
        <v/>
      </c>
      <c r="AM52" s="139">
        <f ca="1">IFERROR(IF(OR(AK52=0,AK52="A"),"",RANK(AX52,AX40:AX55,1)),"")</f>
        <v>2</v>
      </c>
      <c r="AN52" s="51">
        <f ca="1">IFERROR(IF(AF52="X",0,(INDIRECT(CONCATENATE("'Height Input'!"&amp;$B37&amp;$C38+12))-AJ52)*10),"")</f>
        <v>2.0000000000000018</v>
      </c>
      <c r="AO52" s="8"/>
      <c r="AP52" s="9" t="str">
        <f t="shared" ca="1" si="17"/>
        <v/>
      </c>
      <c r="AQ52" s="9" t="str">
        <f ca="1">IF(AR52="","",HLOOKUP(AL52,BC39:BJ56,18,FALSE))</f>
        <v/>
      </c>
      <c r="AR52" s="45" t="str">
        <f ca="1">IF(OR(AL52=0,AL52=""),"",IF(COUNTIFS(AL40:AL55,AL52)&gt;1,"=",""))</f>
        <v/>
      </c>
      <c r="AS52" s="45"/>
      <c r="AT52" s="9" t="str">
        <f t="shared" ca="1" si="18"/>
        <v/>
      </c>
      <c r="AU52" s="9" t="str">
        <f ca="1">IF(AV52="","",HLOOKUP(AM52,BK39:BR56,18,FALSE))</f>
        <v/>
      </c>
      <c r="AV52" s="45" t="str">
        <f ca="1">IF(OR(AM52=0,AM52=""),"",IF(COUNTIFS(AM40:AM55,AM52)&gt;1,"=",""))</f>
        <v/>
      </c>
      <c r="AW52" s="9" t="str">
        <f t="shared" ca="1" si="12"/>
        <v/>
      </c>
      <c r="AX52" s="9">
        <f t="shared" ca="1" si="13"/>
        <v>4</v>
      </c>
      <c r="AY52" s="47"/>
      <c r="AZ52" s="151" t="str">
        <f t="shared" ca="1" si="14"/>
        <v/>
      </c>
      <c r="BA52" s="151">
        <f t="shared" ca="1" si="15"/>
        <v>4.2</v>
      </c>
      <c r="BB52" s="9"/>
      <c r="BC52" s="52" t="str">
        <f ca="1">IF(AL52="","",IF(AL52=BC39,AL52,""))</f>
        <v/>
      </c>
      <c r="BD52" s="52" t="str">
        <f ca="1">IF(AL52="","",IF(AL52=BD39,AL52,""))</f>
        <v/>
      </c>
      <c r="BE52" s="52" t="str">
        <f ca="1">IF(AL52="","",IF(AL52=BE39,AL52,""))</f>
        <v/>
      </c>
      <c r="BF52" s="52" t="str">
        <f ca="1">IF(AL52="","",IF(AL52=BF39,AL52,""))</f>
        <v/>
      </c>
      <c r="BG52" s="52" t="str">
        <f ca="1">IF(AL52="","",IF(AL52=BG39,AL52,""))</f>
        <v/>
      </c>
      <c r="BH52" s="52" t="str">
        <f ca="1">IF(AL52="","",IF(AL52=BH39,AL52,""))</f>
        <v/>
      </c>
      <c r="BI52" s="52" t="str">
        <f ca="1">IF(AL52="","",IF(AL52=BI39,AL52,""))</f>
        <v/>
      </c>
      <c r="BJ52" s="52" t="str">
        <f ca="1">IF(AL52="","",IF(AL52=BJ39,AL52,""))</f>
        <v/>
      </c>
      <c r="BK52" s="52" t="str">
        <f ca="1">IF(AM52="","",IF(AM52=BK39,AM52,""))</f>
        <v/>
      </c>
      <c r="BL52" s="52">
        <f ca="1">IF(AM52="","",IF(AM52=BL39,AM52,""))</f>
        <v>2</v>
      </c>
      <c r="BM52" s="52" t="str">
        <f ca="1">IF(AM52="","",IF(AM52=BM39,AM52,""))</f>
        <v/>
      </c>
      <c r="BN52" s="52" t="str">
        <f ca="1">IF(AM52="","",IF(AM52=BN39,AM52,""))</f>
        <v/>
      </c>
      <c r="BO52" s="52" t="str">
        <f ca="1">IF(AM52="","",IF(AM52=BO39,AM52,""))</f>
        <v/>
      </c>
      <c r="BP52" s="52" t="str">
        <f ca="1">IF(AM52="","",IF(AM52=BP39,AM52,""))</f>
        <v/>
      </c>
      <c r="BQ52" s="52" t="str">
        <f ca="1">IF(AM52="","",IF(AM52=BQ39,AM52,""))</f>
        <v/>
      </c>
      <c r="BR52" s="52" t="str">
        <f ca="1">IF(AM52="","",IF(AM52=BR39,AM52,""))</f>
        <v/>
      </c>
      <c r="BS52" s="46"/>
      <c r="BT52" s="4">
        <f>IFERROR(IF(A39=0,A52/11,LEFT(A52,1)),"")</f>
        <v>3</v>
      </c>
    </row>
    <row r="53" spans="1:72" s="4" customFormat="1" ht="15.95" customHeight="1" x14ac:dyDescent="0.35">
      <c r="A53" s="8" t="str">
        <f>IFERROR(IF(A39=0,A45*11,A45&amp;A45),"-")</f>
        <v>-</v>
      </c>
      <c r="B53" s="10" t="str">
        <f ca="1">IFERROR(IF(OR(AK53=0,AK53="B"),"",RANK(AZ53,AZ40:AZ55,1)),"")</f>
        <v/>
      </c>
      <c r="C53" s="10" t="str">
        <f ca="1">IFERROR(IF(OR(AK53=0,AK53="A"),"",RANK(BA53,BA40:BA55,1)),"")</f>
        <v/>
      </c>
      <c r="D53" s="55">
        <v>14</v>
      </c>
      <c r="E53" s="17" t="str">
        <f t="shared" si="16"/>
        <v>-</v>
      </c>
      <c r="F53" s="18" t="str">
        <f>IFERROR(IF(A39=0,HLOOKUP(E53,Declarations!$D$2:$S$102,C37,FALSE),HLOOKUP(VLOOKUP(E53,Teams!$V$2:$W$19,2,FALSE),Declarations!$D$2:$S$102,C37,FALSE)),"")</f>
        <v/>
      </c>
      <c r="G53" s="18" t="str">
        <f t="shared" si="11"/>
        <v/>
      </c>
      <c r="H53" s="526"/>
      <c r="I53" s="527"/>
      <c r="J53" s="526"/>
      <c r="K53" s="527"/>
      <c r="L53" s="526"/>
      <c r="M53" s="527"/>
      <c r="N53" s="526"/>
      <c r="O53" s="527"/>
      <c r="P53" s="526"/>
      <c r="Q53" s="527"/>
      <c r="R53" s="526"/>
      <c r="S53" s="527"/>
      <c r="T53" s="526"/>
      <c r="U53" s="527"/>
      <c r="V53" s="526"/>
      <c r="W53" s="527"/>
      <c r="X53" s="526"/>
      <c r="Y53" s="527"/>
      <c r="Z53" s="526"/>
      <c r="AA53" s="527"/>
      <c r="AB53" s="526"/>
      <c r="AC53" s="527"/>
      <c r="AD53" s="526"/>
      <c r="AE53" s="527"/>
      <c r="AF53" s="557">
        <f ca="1">IFERROR(INDIRECT(CONCATENATE("'Height Input'!"&amp;B38&amp;C38+13)),"")</f>
        <v>0</v>
      </c>
      <c r="AG53" s="558"/>
      <c r="AH53" s="48"/>
      <c r="AI53" s="48"/>
      <c r="AJ53" s="49">
        <f ca="1">IFERROR(IF(AF53="X",MatchDay!$U$2+MatchDay!$U$2+1-COUNTIF($AF40:AF53,"X"),IF(AF53&gt;=97,1,INT(INDIRECT(CONCATENATE("'Height Input'!"&amp;$B37&amp;$C38+13))))),"")</f>
        <v>0</v>
      </c>
      <c r="AK53" s="50">
        <f ca="1">IFERROR(IF(OR(AJ53=0,AJ53=""),0,IF(OR(AJ53&lt;VLOOKUP(BT53,$E40:$AJ47,32,FALSE),VLOOKUP(BT53,$E40:$AJ47,32,FALSE)=0),"A","B")),0)</f>
        <v>0</v>
      </c>
      <c r="AL53" s="139" t="str">
        <f ca="1">IFERROR(IF(OR(AK53=0,AK53="B"),"",RANK(AW53,AW40:AW55,1)),"")</f>
        <v/>
      </c>
      <c r="AM53" s="139" t="str">
        <f ca="1">IFERROR(IF(OR(AK53=0,AK53="A"),"",RANK(AX53,AX40:AX55,1)),"")</f>
        <v/>
      </c>
      <c r="AN53" s="51">
        <f ca="1">IFERROR(IF(AF53="X",0,(INDIRECT(CONCATENATE("'Height Input'!"&amp;$B37&amp;$C38+13))-AJ53)*10),"")</f>
        <v>0</v>
      </c>
      <c r="AO53" s="8"/>
      <c r="AP53" s="9" t="str">
        <f t="shared" ca="1" si="17"/>
        <v/>
      </c>
      <c r="AQ53" s="9" t="str">
        <f ca="1">IF(AR53="","",HLOOKUP(AL53,BC39:BJ56,18,FALSE))</f>
        <v/>
      </c>
      <c r="AR53" s="45" t="str">
        <f ca="1">IF(OR(AL53=0,AL53=""),"",IF(COUNTIFS(AL40:AL55,AL53)&gt;1,"=",""))</f>
        <v/>
      </c>
      <c r="AS53" s="45"/>
      <c r="AT53" s="9" t="str">
        <f t="shared" ca="1" si="18"/>
        <v/>
      </c>
      <c r="AU53" s="9" t="str">
        <f ca="1">IF(AV53="","",HLOOKUP(AM53,BK39:BR56,18,FALSE))</f>
        <v/>
      </c>
      <c r="AV53" s="45" t="str">
        <f ca="1">IF(OR(AM53=0,AM53=""),"",IF(COUNTIFS(AM40:AM55,AM53)&gt;1,"=",""))</f>
        <v/>
      </c>
      <c r="AW53" s="9" t="str">
        <f t="shared" ca="1" si="12"/>
        <v/>
      </c>
      <c r="AX53" s="9" t="str">
        <f t="shared" ca="1" si="13"/>
        <v/>
      </c>
      <c r="AY53" s="47"/>
      <c r="AZ53" s="151" t="str">
        <f t="shared" ca="1" si="14"/>
        <v/>
      </c>
      <c r="BA53" s="151" t="str">
        <f t="shared" ca="1" si="15"/>
        <v/>
      </c>
      <c r="BB53" s="9"/>
      <c r="BC53" s="52" t="str">
        <f ca="1">IF(AL53="","",IF(AL53=BC39,AL53,""))</f>
        <v/>
      </c>
      <c r="BD53" s="52" t="str">
        <f ca="1">IF(AL53="","",IF(AL53=BD39,AL53,""))</f>
        <v/>
      </c>
      <c r="BE53" s="52" t="str">
        <f ca="1">IF(AL53="","",IF(AL53=BE39,AL53,""))</f>
        <v/>
      </c>
      <c r="BF53" s="52" t="str">
        <f ca="1">IF(AL53="","",IF(AL53=BF39,AL53,""))</f>
        <v/>
      </c>
      <c r="BG53" s="52" t="str">
        <f ca="1">IF(AL53="","",IF(AL53=BG39,AL53,""))</f>
        <v/>
      </c>
      <c r="BH53" s="52" t="str">
        <f ca="1">IF(AL53="","",IF(AL53=BH39,AL53,""))</f>
        <v/>
      </c>
      <c r="BI53" s="52" t="str">
        <f ca="1">IF(AL53="","",IF(AL53=BI39,AL53,""))</f>
        <v/>
      </c>
      <c r="BJ53" s="52" t="str">
        <f ca="1">IF(AL53="","",IF(AL53=BJ39,AL53,""))</f>
        <v/>
      </c>
      <c r="BK53" s="52" t="str">
        <f ca="1">IF(AM53="","",IF(AM53=BK39,AM53,""))</f>
        <v/>
      </c>
      <c r="BL53" s="52" t="str">
        <f ca="1">IF(AM53="","",IF(AM53=BL39,AM53,""))</f>
        <v/>
      </c>
      <c r="BM53" s="52" t="str">
        <f ca="1">IF(AM53="","",IF(AM53=BM39,AM53,""))</f>
        <v/>
      </c>
      <c r="BN53" s="52" t="str">
        <f ca="1">IF(AM53="","",IF(AM53=BN39,AM53,""))</f>
        <v/>
      </c>
      <c r="BO53" s="52" t="str">
        <f ca="1">IF(AM53="","",IF(AM53=BO39,AM53,""))</f>
        <v/>
      </c>
      <c r="BP53" s="52" t="str">
        <f ca="1">IF(AM53="","",IF(AM53=BP39,AM53,""))</f>
        <v/>
      </c>
      <c r="BQ53" s="52" t="str">
        <f ca="1">IF(AM53="","",IF(AM53=BQ39,AM53,""))</f>
        <v/>
      </c>
      <c r="BR53" s="52" t="str">
        <f ca="1">IF(AM53="","",IF(AM53=BR39,AM53,""))</f>
        <v/>
      </c>
      <c r="BS53" s="46"/>
      <c r="BT53" s="4" t="str">
        <f>IFERROR(IF(A39=0,A53/11,LEFT(A53,1)),"")</f>
        <v/>
      </c>
    </row>
    <row r="54" spans="1:72" s="4" customFormat="1" ht="15.95" customHeight="1" x14ac:dyDescent="0.35">
      <c r="A54" s="8" t="str">
        <f>IFERROR(IF(A39=0,A46*11,A46&amp;A46),"-")</f>
        <v>-</v>
      </c>
      <c r="B54" s="10" t="str">
        <f ca="1">IFERROR(IF(OR(AK54=0,AK54="B"),"",RANK(AZ54,AZ40:AZ55,1)),"")</f>
        <v/>
      </c>
      <c r="C54" s="10" t="str">
        <f ca="1">IFERROR(IF(OR(AK54=0,AK54="A"),"",RANK(BA54,BA40:BA55,1)),"")</f>
        <v/>
      </c>
      <c r="D54" s="55">
        <v>15</v>
      </c>
      <c r="E54" s="17" t="str">
        <f t="shared" si="16"/>
        <v>-</v>
      </c>
      <c r="F54" s="18" t="str">
        <f>IFERROR(IF(A39=0,HLOOKUP(E54,Declarations!$D$2:$S$102,C37,FALSE),HLOOKUP(VLOOKUP(E54,Teams!$V$2:$W$19,2,FALSE),Declarations!$D$2:$S$102,C37,FALSE)),"")</f>
        <v/>
      </c>
      <c r="G54" s="18" t="str">
        <f t="shared" si="11"/>
        <v/>
      </c>
      <c r="H54" s="526"/>
      <c r="I54" s="527"/>
      <c r="J54" s="526"/>
      <c r="K54" s="527"/>
      <c r="L54" s="526"/>
      <c r="M54" s="527"/>
      <c r="N54" s="526"/>
      <c r="O54" s="527"/>
      <c r="P54" s="526"/>
      <c r="Q54" s="527"/>
      <c r="R54" s="526"/>
      <c r="S54" s="527"/>
      <c r="T54" s="526"/>
      <c r="U54" s="527"/>
      <c r="V54" s="526"/>
      <c r="W54" s="527"/>
      <c r="X54" s="526"/>
      <c r="Y54" s="527"/>
      <c r="Z54" s="526"/>
      <c r="AA54" s="527"/>
      <c r="AB54" s="526"/>
      <c r="AC54" s="527"/>
      <c r="AD54" s="526"/>
      <c r="AE54" s="527"/>
      <c r="AF54" s="557">
        <f ca="1">IFERROR(INDIRECT(CONCATENATE("'Height Input'!"&amp;B38&amp;C38+14)),"")</f>
        <v>0</v>
      </c>
      <c r="AG54" s="558"/>
      <c r="AH54" s="48"/>
      <c r="AI54" s="48"/>
      <c r="AJ54" s="49">
        <f ca="1">IFERROR(IF(AF54="X",MatchDay!$U$2+MatchDay!$U$2+1-COUNTIF($AF40:AF54,"X"),IF(AF54&gt;=97,1,INT(INDIRECT(CONCATENATE("'Height Input'!"&amp;$B37&amp;$C38+14))))),"")</f>
        <v>0</v>
      </c>
      <c r="AK54" s="50">
        <f ca="1">IFERROR(IF(OR(AJ54=0,AJ54=""),0,IF(OR(AJ54&lt;VLOOKUP(BT54,$E40:$AJ47,32,FALSE),VLOOKUP(BT54,$E40:$AJ47,32,FALSE)=0),"A","B")),0)</f>
        <v>0</v>
      </c>
      <c r="AL54" s="139" t="str">
        <f ca="1">IFERROR(IF(OR(AK54=0,AK54="B"),"",RANK(AW54,AW40:AW55,1)),"")</f>
        <v/>
      </c>
      <c r="AM54" s="139" t="str">
        <f ca="1">IFERROR(IF(OR(AK54=0,AK54="A"),"",RANK(AX54,AX40:AX55,1)),"")</f>
        <v/>
      </c>
      <c r="AN54" s="51">
        <f ca="1">IFERROR(IF(AF54="X",0,(INDIRECT(CONCATENATE("'Height Input'!"&amp;$B37&amp;$C38+14))-AJ54)*10),"")</f>
        <v>0</v>
      </c>
      <c r="AO54" s="8"/>
      <c r="AP54" s="9" t="str">
        <f t="shared" ca="1" si="17"/>
        <v/>
      </c>
      <c r="AQ54" s="9" t="str">
        <f ca="1">IF(AR54="","",HLOOKUP(AL54,BC39:BJ56,18,FALSE))</f>
        <v/>
      </c>
      <c r="AR54" s="45" t="str">
        <f ca="1">IF(OR(AL54=0,AL54=""),"",IF(COUNTIFS(AL40:AL55,AL54)&gt;1,"=",""))</f>
        <v/>
      </c>
      <c r="AS54" s="45"/>
      <c r="AT54" s="9" t="str">
        <f t="shared" ca="1" si="18"/>
        <v/>
      </c>
      <c r="AU54" s="9" t="str">
        <f ca="1">IF(AV54="","",HLOOKUP(AM54,BK39:BR56,18,FALSE))</f>
        <v/>
      </c>
      <c r="AV54" s="45" t="str">
        <f ca="1">IF(OR(AM54=0,AM54=""),"",IF(COUNTIFS(AM40:AM55,AM54)&gt;1,"=",""))</f>
        <v/>
      </c>
      <c r="AW54" s="9" t="str">
        <f t="shared" ca="1" si="12"/>
        <v/>
      </c>
      <c r="AX54" s="9" t="str">
        <f t="shared" ca="1" si="13"/>
        <v/>
      </c>
      <c r="AY54" s="47"/>
      <c r="AZ54" s="151" t="str">
        <f t="shared" ca="1" si="14"/>
        <v/>
      </c>
      <c r="BA54" s="151" t="str">
        <f t="shared" ca="1" si="15"/>
        <v/>
      </c>
      <c r="BB54" s="9"/>
      <c r="BC54" s="52" t="str">
        <f ca="1">IF(AL54="","",IF(AL54=BC39,AL54,""))</f>
        <v/>
      </c>
      <c r="BD54" s="52" t="str">
        <f ca="1">IF(AL54="","",IF(AL54=BD39,AL54,""))</f>
        <v/>
      </c>
      <c r="BE54" s="52" t="str">
        <f ca="1">IF(AL54="","",IF(AL54=BE39,AL54,""))</f>
        <v/>
      </c>
      <c r="BF54" s="52" t="str">
        <f ca="1">IF(AL54="","",IF(AL54=BF39,AL54,""))</f>
        <v/>
      </c>
      <c r="BG54" s="52" t="str">
        <f ca="1">IF(AL54="","",IF(AL54=BG39,AL54,""))</f>
        <v/>
      </c>
      <c r="BH54" s="52" t="str">
        <f ca="1">IF(AL54="","",IF(AL54=BH39,AL54,""))</f>
        <v/>
      </c>
      <c r="BI54" s="52" t="str">
        <f ca="1">IF(AL54="","",IF(AL54=BI39,AL54,""))</f>
        <v/>
      </c>
      <c r="BJ54" s="52" t="str">
        <f ca="1">IF(AL54="","",IF(AL54=BJ39,AL54,""))</f>
        <v/>
      </c>
      <c r="BK54" s="52" t="str">
        <f ca="1">IF(AM54="","",IF(AM54=BK39,AM54,""))</f>
        <v/>
      </c>
      <c r="BL54" s="52" t="str">
        <f ca="1">IF(AM54="","",IF(AM54=BL39,AM54,""))</f>
        <v/>
      </c>
      <c r="BM54" s="52" t="str">
        <f ca="1">IF(AM54="","",IF(AM54=BM39,AM54,""))</f>
        <v/>
      </c>
      <c r="BN54" s="52" t="str">
        <f ca="1">IF(AM54="","",IF(AM54=BN39,AM54,""))</f>
        <v/>
      </c>
      <c r="BO54" s="52" t="str">
        <f ca="1">IF(AM54="","",IF(AM54=BO39,AM54,""))</f>
        <v/>
      </c>
      <c r="BP54" s="52" t="str">
        <f ca="1">IF(AM54="","",IF(AM54=BP39,AM54,""))</f>
        <v/>
      </c>
      <c r="BQ54" s="52" t="str">
        <f ca="1">IF(AM54="","",IF(AM54=BQ39,AM54,""))</f>
        <v/>
      </c>
      <c r="BR54" s="52" t="str">
        <f ca="1">IF(AM54="","",IF(AM54=BR39,AM54,""))</f>
        <v/>
      </c>
      <c r="BS54" s="46"/>
      <c r="BT54" s="4" t="str">
        <f>IFERROR(IF(A39=0,A54/11,LEFT(A54,1)),"")</f>
        <v/>
      </c>
    </row>
    <row r="55" spans="1:72" s="4" customFormat="1" ht="15.95" customHeight="1" x14ac:dyDescent="0.35">
      <c r="A55" s="8" t="str">
        <f>IFERROR(IF(A39=0,A47*11,A47&amp;A47),"-")</f>
        <v>-</v>
      </c>
      <c r="B55" s="10" t="str">
        <f ca="1">IFERROR(IF(OR(AK55=0,AK55="B"),"",RANK(AZ55,AZ40:AZ55,1)),"")</f>
        <v/>
      </c>
      <c r="C55" s="10" t="str">
        <f ca="1">IFERROR(IF(OR(AK55=0,AK55="A"),"",RANK(BA55,BA40:BA55,1)),"")</f>
        <v/>
      </c>
      <c r="D55" s="55">
        <v>16</v>
      </c>
      <c r="E55" s="17" t="str">
        <f t="shared" si="16"/>
        <v>-</v>
      </c>
      <c r="F55" s="18" t="str">
        <f>IFERROR(IF(A39=0,HLOOKUP(E55,Declarations!$D$2:$S$102,C37,FALSE),HLOOKUP(VLOOKUP(E55,Teams!$V$2:$W$19,2,FALSE),Declarations!$D$2:$S$102,C37,FALSE)),"")</f>
        <v/>
      </c>
      <c r="G55" s="18" t="str">
        <f t="shared" si="11"/>
        <v/>
      </c>
      <c r="H55" s="526"/>
      <c r="I55" s="527"/>
      <c r="J55" s="526"/>
      <c r="K55" s="527"/>
      <c r="L55" s="526"/>
      <c r="M55" s="527"/>
      <c r="N55" s="526"/>
      <c r="O55" s="527"/>
      <c r="P55" s="526"/>
      <c r="Q55" s="527"/>
      <c r="R55" s="526"/>
      <c r="S55" s="527"/>
      <c r="T55" s="526"/>
      <c r="U55" s="527"/>
      <c r="V55" s="526"/>
      <c r="W55" s="527"/>
      <c r="X55" s="526"/>
      <c r="Y55" s="527"/>
      <c r="Z55" s="526"/>
      <c r="AA55" s="527"/>
      <c r="AB55" s="526"/>
      <c r="AC55" s="527"/>
      <c r="AD55" s="526"/>
      <c r="AE55" s="527"/>
      <c r="AF55" s="557">
        <f ca="1">IFERROR(INDIRECT(CONCATENATE("'Height Input'!"&amp;B38&amp;C38+15)),"")</f>
        <v>0</v>
      </c>
      <c r="AG55" s="558"/>
      <c r="AH55" s="48"/>
      <c r="AI55" s="48"/>
      <c r="AJ55" s="49">
        <f ca="1">IFERROR(IF(AF55="X",MatchDay!$U$2+MatchDay!$U$2+1-COUNTIF($AF40:AF55,"X"),IF(AF55&gt;=97,1,INT(INDIRECT(CONCATENATE("'Height Input'!"&amp;$B37&amp;$C38+15))))),"")</f>
        <v>0</v>
      </c>
      <c r="AK55" s="50">
        <f ca="1">IFERROR(IF(OR(AJ55=0,AJ55=""),0,IF(OR(AJ55&lt;VLOOKUP(BT55,$E40:$AJ47,32,FALSE),VLOOKUP(BT55,$E40:$AJ47,32,FALSE)=0),"A","B")),0)</f>
        <v>0</v>
      </c>
      <c r="AL55" s="139" t="str">
        <f ca="1">IFERROR(IF(OR(AK55=0,AK55="B"),"",RANK(AW55,AW40:AW55,1)),"")</f>
        <v/>
      </c>
      <c r="AM55" s="139" t="str">
        <f ca="1">IFERROR(IF(OR(AK55=0,AK55="A"),"",RANK(AX55,AX40:AX55,1)),"")</f>
        <v/>
      </c>
      <c r="AN55" s="51">
        <f ca="1">IFERROR(IF(AF55="X",0,(INDIRECT(CONCATENATE("'Height Input'!"&amp;$B37&amp;$C38+15))-AJ55)*10),"")</f>
        <v>0</v>
      </c>
      <c r="AO55" s="8"/>
      <c r="AP55" s="9" t="str">
        <f t="shared" ca="1" si="17"/>
        <v/>
      </c>
      <c r="AQ55" s="9" t="str">
        <f ca="1">IF(AR55="","",HLOOKUP(AL55,BC39:BJ56,18,FALSE))</f>
        <v/>
      </c>
      <c r="AR55" s="45" t="str">
        <f ca="1">IF(OR(AL55=0,AL55=""),"",IF(COUNTIFS(AL40:AL55,AL55)&gt;1,"=",""))</f>
        <v/>
      </c>
      <c r="AS55" s="45"/>
      <c r="AT55" s="9" t="str">
        <f t="shared" ca="1" si="18"/>
        <v/>
      </c>
      <c r="AU55" s="9" t="str">
        <f ca="1">IF(AV55="","",HLOOKUP(AM55,BK39:BR56,18,FALSE))</f>
        <v/>
      </c>
      <c r="AV55" s="45" t="str">
        <f ca="1">IF(OR(AM55=0,AM55=""),"",IF(COUNTIFS(AM40:AM55,AM55)&gt;1,"=",""))</f>
        <v/>
      </c>
      <c r="AW55" s="9" t="str">
        <f t="shared" ca="1" si="12"/>
        <v/>
      </c>
      <c r="AX55" s="9" t="str">
        <f t="shared" ca="1" si="13"/>
        <v/>
      </c>
      <c r="AY55" s="47"/>
      <c r="AZ55" s="151" t="str">
        <f t="shared" ca="1" si="14"/>
        <v/>
      </c>
      <c r="BA55" s="151" t="str">
        <f t="shared" ca="1" si="15"/>
        <v/>
      </c>
      <c r="BB55" s="9"/>
      <c r="BC55" s="52" t="str">
        <f ca="1">IF(AL55="","",IF(AL55=BC39,AL55,""))</f>
        <v/>
      </c>
      <c r="BD55" s="52" t="str">
        <f ca="1">IF(AL55="","",IF(AL55=BD39,AL55,""))</f>
        <v/>
      </c>
      <c r="BE55" s="52" t="str">
        <f ca="1">IF(AL55="","",IF(AL55=BE39,AL55,""))</f>
        <v/>
      </c>
      <c r="BF55" s="52" t="str">
        <f ca="1">IF(AL55="","",IF(AL55=BF39,AL55,""))</f>
        <v/>
      </c>
      <c r="BG55" s="52" t="str">
        <f ca="1">IF(AL55="","",IF(AL55=BG39,AL55,""))</f>
        <v/>
      </c>
      <c r="BH55" s="52" t="str">
        <f ca="1">IF(AL55="","",IF(AL55=BH39,AL55,""))</f>
        <v/>
      </c>
      <c r="BI55" s="52" t="str">
        <f ca="1">IF(AL55="","",IF(AL55=BI39,AL55,""))</f>
        <v/>
      </c>
      <c r="BJ55" s="52" t="str">
        <f ca="1">IF(AL55="","",IF(AL55=BJ39,AL55,""))</f>
        <v/>
      </c>
      <c r="BK55" s="52" t="str">
        <f ca="1">IF(AM55="","",IF(AM55=BK39,AM55,""))</f>
        <v/>
      </c>
      <c r="BL55" s="52" t="str">
        <f ca="1">IF(AM55="","",IF(AM55=BL39,AM55,""))</f>
        <v/>
      </c>
      <c r="BM55" s="52" t="str">
        <f ca="1">IF(AM55="","",IF(AM55=BM39,AM55,""))</f>
        <v/>
      </c>
      <c r="BN55" s="52" t="str">
        <f ca="1">IF(AM55="","",IF(AM55=BN39,AM55,""))</f>
        <v/>
      </c>
      <c r="BO55" s="52" t="str">
        <f ca="1">IF(AM55="","",IF(AM55=BO39,AM55,""))</f>
        <v/>
      </c>
      <c r="BP55" s="52" t="str">
        <f ca="1">IF(AM55="","",IF(AM55=BP39,AM55,""))</f>
        <v/>
      </c>
      <c r="BQ55" s="52" t="str">
        <f ca="1">IF(AM55="","",IF(AM55=BQ39,AM55,""))</f>
        <v/>
      </c>
      <c r="BR55" s="52" t="str">
        <f ca="1">IF(AM55="","",IF(AM55=BR39,AM55,""))</f>
        <v/>
      </c>
      <c r="BS55" s="46"/>
      <c r="BT55" s="4" t="str">
        <f>IFERROR(IF(A39=0,A55/11,LEFT(A55,1)),"")</f>
        <v/>
      </c>
    </row>
    <row r="56" spans="1:72" s="4" customFormat="1" ht="10.5" x14ac:dyDescent="0.35">
      <c r="A56" s="8"/>
      <c r="B56" s="1"/>
      <c r="C56" s="1"/>
      <c r="AL56" s="140"/>
      <c r="AM56" s="140"/>
      <c r="AP56" s="47"/>
      <c r="AQ56" s="47"/>
      <c r="AR56" s="47"/>
      <c r="AS56" s="47"/>
      <c r="AT56" s="47"/>
      <c r="AU56" s="47"/>
      <c r="AV56" s="47"/>
      <c r="AW56" s="47"/>
      <c r="AX56" s="47"/>
      <c r="AY56" s="47"/>
      <c r="AZ56" s="153"/>
      <c r="BA56" s="153"/>
      <c r="BB56" s="47"/>
      <c r="BC56" s="9">
        <f ca="1">COUNTIF(BC40:BC55,BC39)</f>
        <v>2</v>
      </c>
      <c r="BD56" s="9">
        <f t="shared" ref="BD56:BR56" ca="1" si="19">COUNTIF(BD40:BD55,BD39)</f>
        <v>0</v>
      </c>
      <c r="BE56" s="9">
        <f t="shared" ca="1" si="19"/>
        <v>1</v>
      </c>
      <c r="BF56" s="9">
        <f t="shared" ca="1" si="19"/>
        <v>1</v>
      </c>
      <c r="BG56" s="9">
        <f t="shared" ca="1" si="19"/>
        <v>0</v>
      </c>
      <c r="BH56" s="9">
        <f t="shared" ca="1" si="19"/>
        <v>0</v>
      </c>
      <c r="BI56" s="9">
        <f t="shared" ca="1" si="19"/>
        <v>0</v>
      </c>
      <c r="BJ56" s="9">
        <f t="shared" ca="1" si="19"/>
        <v>0</v>
      </c>
      <c r="BK56" s="9">
        <f t="shared" ca="1" si="19"/>
        <v>1</v>
      </c>
      <c r="BL56" s="9">
        <f t="shared" ca="1" si="19"/>
        <v>1</v>
      </c>
      <c r="BM56" s="9">
        <f t="shared" ca="1" si="19"/>
        <v>0</v>
      </c>
      <c r="BN56" s="9">
        <f t="shared" ca="1" si="19"/>
        <v>0</v>
      </c>
      <c r="BO56" s="9">
        <f t="shared" ca="1" si="19"/>
        <v>0</v>
      </c>
      <c r="BP56" s="9">
        <f t="shared" ca="1" si="19"/>
        <v>0</v>
      </c>
      <c r="BQ56" s="9">
        <f t="shared" ca="1" si="19"/>
        <v>0</v>
      </c>
      <c r="BR56" s="9">
        <f t="shared" ca="1" si="19"/>
        <v>0</v>
      </c>
    </row>
    <row r="57" spans="1:72" s="4" customFormat="1" ht="11.65" x14ac:dyDescent="0.45">
      <c r="A57" s="8"/>
      <c r="B57" s="1"/>
      <c r="C57" s="1"/>
      <c r="D57" s="512" t="s">
        <v>180</v>
      </c>
      <c r="E57" s="552"/>
      <c r="F57" s="552"/>
      <c r="G57" s="552"/>
      <c r="H57" s="552"/>
      <c r="I57" s="553"/>
      <c r="J57" s="512" t="s">
        <v>181</v>
      </c>
      <c r="K57" s="552"/>
      <c r="L57" s="552"/>
      <c r="M57" s="552"/>
      <c r="N57" s="552"/>
      <c r="O57" s="552"/>
      <c r="P57" s="552"/>
      <c r="Q57" s="552"/>
      <c r="R57" s="552"/>
      <c r="S57" s="552"/>
      <c r="T57" s="552"/>
      <c r="U57" s="552"/>
      <c r="V57" s="552"/>
      <c r="W57" s="552"/>
      <c r="X57" s="552"/>
      <c r="Y57" s="552"/>
      <c r="Z57" s="552"/>
      <c r="AA57" s="553"/>
      <c r="AB57" s="512" t="s">
        <v>182</v>
      </c>
      <c r="AC57" s="552"/>
      <c r="AD57" s="552"/>
      <c r="AE57" s="552"/>
      <c r="AF57" s="552"/>
      <c r="AG57" s="552"/>
      <c r="AH57" s="552"/>
      <c r="AI57" s="552"/>
      <c r="AJ57" s="552"/>
      <c r="AK57" s="552"/>
      <c r="AL57" s="552"/>
      <c r="AM57" s="553"/>
      <c r="AP57" s="8"/>
      <c r="AQ57" s="8"/>
      <c r="AR57" s="8"/>
      <c r="AS57" s="8"/>
      <c r="AT57" s="8"/>
      <c r="AU57" s="8"/>
      <c r="AV57" s="8"/>
      <c r="AW57" s="8"/>
      <c r="AX57" s="8"/>
      <c r="AY57" s="8"/>
      <c r="AZ57" s="152"/>
      <c r="BA57" s="152"/>
      <c r="BB57" s="8"/>
      <c r="BC57" s="8"/>
      <c r="BD57" s="8"/>
      <c r="BE57" s="8"/>
    </row>
    <row r="58" spans="1:72" s="4" customFormat="1" ht="11.65" x14ac:dyDescent="0.45">
      <c r="A58" s="8" t="s">
        <v>55</v>
      </c>
      <c r="B58" s="1"/>
      <c r="C58" s="1"/>
      <c r="D58" s="12" t="s">
        <v>230</v>
      </c>
      <c r="E58" s="55" t="s">
        <v>183</v>
      </c>
      <c r="F58" s="55" t="s">
        <v>165</v>
      </c>
      <c r="G58" s="135" t="s">
        <v>166</v>
      </c>
      <c r="H58" s="554" t="s">
        <v>323</v>
      </c>
      <c r="I58" s="555"/>
      <c r="J58" s="512" t="s">
        <v>230</v>
      </c>
      <c r="K58" s="514"/>
      <c r="L58" s="512" t="s">
        <v>183</v>
      </c>
      <c r="M58" s="553"/>
      <c r="N58" s="580" t="s">
        <v>165</v>
      </c>
      <c r="O58" s="580"/>
      <c r="P58" s="580"/>
      <c r="Q58" s="580"/>
      <c r="R58" s="580"/>
      <c r="S58" s="580"/>
      <c r="T58" s="580" t="s">
        <v>166</v>
      </c>
      <c r="U58" s="580"/>
      <c r="V58" s="580"/>
      <c r="W58" s="580"/>
      <c r="X58" s="580"/>
      <c r="Y58" s="580"/>
      <c r="Z58" s="554" t="s">
        <v>323</v>
      </c>
      <c r="AA58" s="555"/>
      <c r="AB58" s="132"/>
      <c r="AC58" s="133"/>
      <c r="AD58" s="133"/>
      <c r="AE58" s="133"/>
      <c r="AF58" s="133"/>
      <c r="AG58" s="133"/>
      <c r="AH58" s="25"/>
      <c r="AI58" s="25"/>
      <c r="AJ58" s="25"/>
      <c r="AK58" s="25"/>
      <c r="AL58" s="141"/>
      <c r="AM58" s="142"/>
      <c r="AP58" s="8"/>
      <c r="AQ58" s="8"/>
      <c r="AR58" s="8"/>
      <c r="AS58" s="8"/>
      <c r="AT58" s="8"/>
      <c r="AU58" s="8"/>
      <c r="AV58" s="8"/>
      <c r="AW58" s="8"/>
      <c r="AX58" s="8"/>
      <c r="AY58" s="8"/>
      <c r="AZ58" s="152"/>
      <c r="BA58" s="152"/>
      <c r="BB58" s="8"/>
      <c r="BC58" s="8"/>
      <c r="BD58" s="8"/>
      <c r="BE58" s="8"/>
    </row>
    <row r="59" spans="1:72" s="4" customFormat="1" ht="15.95" customHeight="1" x14ac:dyDescent="0.45">
      <c r="A59" s="11">
        <f>IFERROR(VLOOKUP(A36,standards,3,FALSE),"-")</f>
        <v>1.47</v>
      </c>
      <c r="B59" s="1"/>
      <c r="C59" s="10">
        <v>1</v>
      </c>
      <c r="D59" s="19" t="str">
        <f ca="1">IFERROR(IF(VLOOKUP(C59,B40:AP55,41,FALSE)="",VLOOKUP(C59,B40:AP55,37,FALSE),VLOOKUP(C59,B40:AP55,37,FALSE)&amp;VLOOKUP(C59,B40:AP55,41,FALSE)),"")</f>
        <v>1=</v>
      </c>
      <c r="E59" s="19">
        <f ca="1">IFERROR(IF(OR(AF40=98,AF40=99),AF40,IF(VLOOKUP(C59,B40:AG55,31,FALSE)=0,0,VLOOKUP(C59,B40:AG55,4,FALSE))),0)</f>
        <v>2</v>
      </c>
      <c r="F59" s="27" t="str">
        <f ca="1">IFERROR(VLOOKUP(E59,$E40:$F55,2,FALSE),"")</f>
        <v>MAY Rudi</v>
      </c>
      <c r="G59" s="27" t="str">
        <f t="shared" ref="G59:G66" ca="1" si="20">IFERROR(VLOOKUP(E59,teamlookup,5,FALSE),"")</f>
        <v>Sheff+D</v>
      </c>
      <c r="H59" s="542">
        <f ca="1">IFERROR(VLOOKUP(E59,E40:AG55,28,FALSE),0)</f>
        <v>1.2</v>
      </c>
      <c r="I59" s="543"/>
      <c r="J59" s="550">
        <f ca="1">IFERROR(IF(VLOOKUP(C59,C40:AT55,44,FALSE)="",VLOOKUP(C59,C40:AT55,37,FALSE),VLOOKUP(C59,C40:AT55,37,FALSE)&amp;VLOOKUP(C59,C40:AT55,44,FALSE)),"")</f>
        <v>1</v>
      </c>
      <c r="K59" s="551"/>
      <c r="L59" s="550">
        <f ca="1">IFERROR(IF(VLOOKUP(C59,C40:AG55,30,FALSE)=0,"",VLOOKUP(C59,C40:AG55,3,FALSE)),"")</f>
        <v>22</v>
      </c>
      <c r="M59" s="551"/>
      <c r="N59" s="544" t="str">
        <f ca="1">IFERROR(VLOOKUP(L59,E40:F55,2,FALSE),"")</f>
        <v>COCKINGS Matthew</v>
      </c>
      <c r="O59" s="545"/>
      <c r="P59" s="545"/>
      <c r="Q59" s="545"/>
      <c r="R59" s="545"/>
      <c r="S59" s="546"/>
      <c r="T59" s="544" t="str">
        <f t="shared" ref="T59:T66" ca="1" si="21">IFERROR(VLOOKUP(L59,teamlookup,5,FALSE),"-")</f>
        <v>Sheff+D</v>
      </c>
      <c r="U59" s="545"/>
      <c r="V59" s="545"/>
      <c r="W59" s="545"/>
      <c r="X59" s="545"/>
      <c r="Y59" s="546"/>
      <c r="Z59" s="542">
        <f ca="1">IFERROR(VLOOKUP(L59,E40:AG55,28,FALSE),0)</f>
        <v>1.2</v>
      </c>
      <c r="AA59" s="543"/>
      <c r="AB59" s="28"/>
      <c r="AC59" s="29"/>
      <c r="AD59" s="29"/>
      <c r="AE59" s="29"/>
      <c r="AF59" s="29"/>
      <c r="AG59" s="29"/>
      <c r="AH59" s="29"/>
      <c r="AI59" s="29"/>
      <c r="AJ59" s="29"/>
      <c r="AK59" s="29"/>
      <c r="AL59" s="143"/>
      <c r="AM59" s="144"/>
      <c r="AP59" s="8"/>
      <c r="AQ59" s="8"/>
      <c r="AR59" s="53"/>
      <c r="AS59" s="8"/>
      <c r="AT59" s="8"/>
      <c r="AU59" s="8"/>
      <c r="AV59" s="8"/>
      <c r="AW59" s="8"/>
      <c r="AX59" s="8"/>
      <c r="AY59" s="8"/>
      <c r="AZ59" s="152"/>
      <c r="BA59" s="152"/>
      <c r="BB59" s="8"/>
      <c r="BC59" s="8"/>
      <c r="BD59" s="8"/>
      <c r="BE59" s="8"/>
    </row>
    <row r="60" spans="1:72" s="4" customFormat="1" ht="15.95" customHeight="1" x14ac:dyDescent="0.45">
      <c r="A60" s="11">
        <f>IFERROR(VLOOKUP(A36,standards,4,FALSE),"-")</f>
        <v>1.41</v>
      </c>
      <c r="B60" s="1"/>
      <c r="C60" s="10">
        <v>2</v>
      </c>
      <c r="D60" s="19" t="str">
        <f ca="1">IFERROR(IF(VLOOKUP(C60,B40:AP55,41,FALSE)="",VLOOKUP(C60,B40:AP55,37,FALSE),VLOOKUP(C60,B40:AP55,37,FALSE)&amp;VLOOKUP(C60,B40:AP55,41,FALSE)),"")</f>
        <v>1=</v>
      </c>
      <c r="E60" s="19">
        <f ca="1">IFERROR(IF(VLOOKUP(C60,B40:AG55,31,FALSE)=0,0,VLOOKUP(C60,B40:AG55,4,FALSE)),"")</f>
        <v>3</v>
      </c>
      <c r="F60" s="27" t="str">
        <f ca="1">IFERROR(VLOOKUP(E60,$E40:$F55,2,FALSE),"")</f>
        <v>BASTOW Isaac</v>
      </c>
      <c r="G60" s="27" t="str">
        <f t="shared" ca="1" si="20"/>
        <v>York</v>
      </c>
      <c r="H60" s="542">
        <f ca="1">IFERROR(VLOOKUP(E60,E40:AG55,28,FALSE),0)</f>
        <v>1.2</v>
      </c>
      <c r="I60" s="543"/>
      <c r="J60" s="550">
        <f ca="1">IFERROR(IF(VLOOKUP(C60,C40:AT55,44,FALSE)="",VLOOKUP(C60,C40:AT55,37,FALSE),VLOOKUP(C60,C40:AT55,37,FALSE)&amp;VLOOKUP(C60,C40:AT55,44,FALSE)),"")</f>
        <v>2</v>
      </c>
      <c r="K60" s="551"/>
      <c r="L60" s="550">
        <f ca="1">IFERROR(IF(VLOOKUP(C60,C40:AG55,30,FALSE)=0,"",VLOOKUP(C60,C40:AG55,3,FALSE)),"")</f>
        <v>33</v>
      </c>
      <c r="M60" s="551"/>
      <c r="N60" s="544" t="str">
        <f ca="1">IFERROR(VLOOKUP(L60,E40:F55,2,FALSE),"")</f>
        <v>JONES Alex</v>
      </c>
      <c r="O60" s="545"/>
      <c r="P60" s="545"/>
      <c r="Q60" s="545"/>
      <c r="R60" s="545"/>
      <c r="S60" s="546"/>
      <c r="T60" s="544" t="str">
        <f t="shared" ca="1" si="21"/>
        <v>York</v>
      </c>
      <c r="U60" s="545"/>
      <c r="V60" s="545"/>
      <c r="W60" s="545"/>
      <c r="X60" s="545"/>
      <c r="Y60" s="546"/>
      <c r="Z60" s="542">
        <f ca="1">IFERROR(VLOOKUP(L60,E40:AG55,28,FALSE),0)</f>
        <v>1.05</v>
      </c>
      <c r="AA60" s="543"/>
      <c r="AB60" s="134"/>
      <c r="AC60" s="20"/>
      <c r="AD60" s="20"/>
      <c r="AE60" s="20"/>
      <c r="AF60" s="20"/>
      <c r="AG60" s="20"/>
      <c r="AH60" s="20"/>
      <c r="AI60" s="20"/>
      <c r="AJ60" s="20"/>
      <c r="AK60" s="20"/>
      <c r="AL60" s="145"/>
      <c r="AM60" s="146"/>
      <c r="AP60" s="8"/>
      <c r="AQ60" s="8"/>
      <c r="AR60" s="8"/>
      <c r="AS60" s="8"/>
      <c r="AT60" s="8"/>
      <c r="AU60" s="8"/>
      <c r="AV60" s="8"/>
      <c r="AW60" s="8"/>
      <c r="AX60" s="8"/>
      <c r="AY60" s="8"/>
      <c r="AZ60" s="152"/>
      <c r="BA60" s="152"/>
      <c r="BB60" s="8"/>
      <c r="BC60" s="8"/>
      <c r="BD60" s="8"/>
      <c r="BE60" s="8"/>
    </row>
    <row r="61" spans="1:72" s="4" customFormat="1" ht="15.95" customHeight="1" x14ac:dyDescent="0.45">
      <c r="A61" s="11">
        <f>IFERROR(VLOOKUP(A36,standards,5,FALSE),"-")</f>
        <v>1.35</v>
      </c>
      <c r="B61" s="1"/>
      <c r="C61" s="10">
        <v>3</v>
      </c>
      <c r="D61" s="19">
        <f ca="1">IFERROR(IF(VLOOKUP(C61,B40:AP55,41,FALSE)="",VLOOKUP(C61,B40:AP55,37,FALSE),VLOOKUP(C61,B40:AP55,37,FALSE)&amp;VLOOKUP(C61,B40:AP55,41,FALSE)),"")</f>
        <v>3</v>
      </c>
      <c r="E61" s="19">
        <f ca="1">IFERROR(IF(VLOOKUP(C61,B40:AG55,31,FALSE)=0,0,VLOOKUP(C61,B40:AG55,4,FALSE)),"")</f>
        <v>1</v>
      </c>
      <c r="F61" s="27" t="str">
        <f ca="1">IFERROR(VLOOKUP(E61,$E40:$F55,2,FALSE),"")</f>
        <v>LOWE Seth</v>
      </c>
      <c r="G61" s="27" t="str">
        <f t="shared" ca="1" si="20"/>
        <v>C'field</v>
      </c>
      <c r="H61" s="542">
        <f ca="1">IFERROR(VLOOKUP(E61,E40:AG55,28,FALSE),0)</f>
        <v>1.05</v>
      </c>
      <c r="I61" s="543"/>
      <c r="J61" s="550" t="str">
        <f ca="1">IFERROR(IF(VLOOKUP(C61,C40:AT55,44,FALSE)="",VLOOKUP(C61,C40:AT55,37,FALSE),VLOOKUP(C61,C40:AT55,37,FALSE)&amp;VLOOKUP(C61,C40:AT55,44,FALSE)),"")</f>
        <v/>
      </c>
      <c r="K61" s="551"/>
      <c r="L61" s="550" t="str">
        <f ca="1">IFERROR(IF(VLOOKUP(C61,C40:AG55,30,FALSE)=0,"",VLOOKUP(C61,C40:AG55,3,FALSE)),"")</f>
        <v/>
      </c>
      <c r="M61" s="551"/>
      <c r="N61" s="544" t="str">
        <f ca="1">IFERROR(VLOOKUP(L61,E40:F55,2,FALSE),"")</f>
        <v/>
      </c>
      <c r="O61" s="545"/>
      <c r="P61" s="545"/>
      <c r="Q61" s="545"/>
      <c r="R61" s="545"/>
      <c r="S61" s="546"/>
      <c r="T61" s="544" t="str">
        <f t="shared" ca="1" si="21"/>
        <v>-</v>
      </c>
      <c r="U61" s="545"/>
      <c r="V61" s="545"/>
      <c r="W61" s="545"/>
      <c r="X61" s="545"/>
      <c r="Y61" s="546"/>
      <c r="Z61" s="542">
        <f ca="1">IFERROR(VLOOKUP(L61,E40:AG55,28,FALSE),0)</f>
        <v>0</v>
      </c>
      <c r="AA61" s="543"/>
      <c r="AB61" s="134"/>
      <c r="AC61" s="20"/>
      <c r="AD61" s="20"/>
      <c r="AE61" s="20"/>
      <c r="AF61" s="20"/>
      <c r="AG61" s="20"/>
      <c r="AH61" s="20"/>
      <c r="AI61" s="20"/>
      <c r="AJ61" s="20"/>
      <c r="AK61" s="20"/>
      <c r="AL61" s="145"/>
      <c r="AM61" s="146"/>
      <c r="AP61" s="8"/>
      <c r="AQ61" s="8"/>
      <c r="AR61" s="8"/>
      <c r="AS61" s="8"/>
      <c r="AT61" s="8"/>
      <c r="AU61" s="8"/>
      <c r="AV61" s="8"/>
      <c r="AW61" s="8"/>
      <c r="AX61" s="8"/>
      <c r="AY61" s="8"/>
      <c r="AZ61" s="152"/>
      <c r="BA61" s="152"/>
      <c r="BB61" s="8"/>
      <c r="BC61" s="8"/>
      <c r="BD61" s="8"/>
      <c r="BE61" s="8"/>
    </row>
    <row r="62" spans="1:72" s="4" customFormat="1" ht="15.95" customHeight="1" x14ac:dyDescent="0.45">
      <c r="A62" s="11">
        <f>IFERROR(VLOOKUP(A36,AAA!A:F,6,FALSE),"-")</f>
        <v>1.3</v>
      </c>
      <c r="B62" s="1"/>
      <c r="C62" s="10">
        <v>4</v>
      </c>
      <c r="D62" s="19">
        <f ca="1">IFERROR(IF(VLOOKUP(C62,B40:AP55,41,FALSE)="",VLOOKUP(C62,B40:AP55,37,FALSE),VLOOKUP(C62,B40:AP55,37,FALSE)&amp;VLOOKUP(C62,B40:AP55,41,FALSE)),"")</f>
        <v>4</v>
      </c>
      <c r="E62" s="19">
        <f ca="1">IFERROR(IF(VLOOKUP(C62,B40:AG55,31,FALSE)=0,0,VLOOKUP(C62,B40:AG55,4,FALSE)),"")</f>
        <v>5</v>
      </c>
      <c r="F62" s="27" t="str">
        <f ca="1">IFERROR(VLOOKUP(E62,$E40:$F55,2,FALSE),"")</f>
        <v>OADES James</v>
      </c>
      <c r="G62" s="27" t="str">
        <f t="shared" ca="1" si="20"/>
        <v>Scun</v>
      </c>
      <c r="H62" s="542" t="str">
        <f ca="1">IFERROR(VLOOKUP(E62,E40:AG55,28,FALSE),0)</f>
        <v>X</v>
      </c>
      <c r="I62" s="543"/>
      <c r="J62" s="550" t="str">
        <f ca="1">IFERROR(IF(VLOOKUP(C62,C40:AT55,44,FALSE)="",VLOOKUP(C62,C40:AT55,37,FALSE),VLOOKUP(C62,C40:AT55,37,FALSE)&amp;VLOOKUP(C62,C40:AT55,44,FALSE)),"")</f>
        <v/>
      </c>
      <c r="K62" s="551"/>
      <c r="L62" s="550" t="str">
        <f ca="1">IFERROR(IF(VLOOKUP(C62,C40:AG55,30,FALSE)=0,"",VLOOKUP(C62,C40:AG55,3,FALSE)),"")</f>
        <v/>
      </c>
      <c r="M62" s="551"/>
      <c r="N62" s="544" t="str">
        <f ca="1">IFERROR(VLOOKUP(L62,E40:F55,2,FALSE),"")</f>
        <v/>
      </c>
      <c r="O62" s="545"/>
      <c r="P62" s="545"/>
      <c r="Q62" s="545"/>
      <c r="R62" s="545"/>
      <c r="S62" s="546"/>
      <c r="T62" s="544" t="str">
        <f t="shared" ca="1" si="21"/>
        <v>-</v>
      </c>
      <c r="U62" s="545"/>
      <c r="V62" s="545"/>
      <c r="W62" s="545"/>
      <c r="X62" s="545"/>
      <c r="Y62" s="546"/>
      <c r="Z62" s="542">
        <f ca="1">IFERROR(VLOOKUP(L62,E40:AG55,28,FALSE),0)</f>
        <v>0</v>
      </c>
      <c r="AA62" s="543"/>
      <c r="AB62" s="24"/>
      <c r="AC62" s="25"/>
      <c r="AD62" s="25"/>
      <c r="AE62" s="25"/>
      <c r="AF62" s="25"/>
      <c r="AG62" s="25"/>
      <c r="AH62" s="25"/>
      <c r="AI62" s="25"/>
      <c r="AJ62" s="25"/>
      <c r="AK62" s="25"/>
      <c r="AL62" s="141"/>
      <c r="AM62" s="142"/>
      <c r="AP62" s="8"/>
      <c r="AQ62" s="8"/>
      <c r="AR62" s="8"/>
      <c r="AS62" s="8"/>
      <c r="AT62" s="8"/>
      <c r="AU62" s="8"/>
      <c r="AV62" s="8"/>
      <c r="AW62" s="8"/>
      <c r="AX62" s="8"/>
      <c r="AY62" s="8"/>
      <c r="AZ62" s="152"/>
      <c r="BA62" s="152"/>
      <c r="BB62" s="8"/>
      <c r="BC62" s="8"/>
      <c r="BD62" s="8"/>
      <c r="BE62" s="8"/>
    </row>
    <row r="63" spans="1:72" s="4" customFormat="1" ht="15.95" customHeight="1" x14ac:dyDescent="0.45">
      <c r="A63" s="8"/>
      <c r="B63" s="1"/>
      <c r="C63" s="10">
        <v>5</v>
      </c>
      <c r="D63" s="19" t="str">
        <f ca="1">IFERROR(IF(VLOOKUP(C63,B40:AP55,41,FALSE)="",VLOOKUP(C63,B40:AP55,37,FALSE),VLOOKUP(C63,B40:AP55,37,FALSE)&amp;VLOOKUP(C63,B40:AP55,41,FALSE)),"")</f>
        <v/>
      </c>
      <c r="E63" s="19" t="str">
        <f ca="1">IFERROR(IF(VLOOKUP(C63,B40:AG55,31,FALSE)=0,0,VLOOKUP(C63,B40:AG55,4,FALSE)),"")</f>
        <v/>
      </c>
      <c r="F63" s="27" t="str">
        <f ca="1">IFERROR(VLOOKUP(E63,$E40:$F55,2,FALSE),"")</f>
        <v/>
      </c>
      <c r="G63" s="27" t="str">
        <f t="shared" ca="1" si="20"/>
        <v/>
      </c>
      <c r="H63" s="542">
        <f ca="1">IFERROR(VLOOKUP(E63,E40:AG55,28,FALSE),0)</f>
        <v>0</v>
      </c>
      <c r="I63" s="543"/>
      <c r="J63" s="550" t="str">
        <f ca="1">IFERROR(IF(VLOOKUP(C63,C40:AT55,44,FALSE)="",VLOOKUP(C63,C40:AT55,37,FALSE),VLOOKUP(C63,C40:AT55,37,FALSE)&amp;VLOOKUP(C63,C40:AT55,44,FALSE)),"")</f>
        <v/>
      </c>
      <c r="K63" s="551"/>
      <c r="L63" s="550" t="str">
        <f ca="1">IFERROR(IF(VLOOKUP(C63,C40:AG55,30,FALSE)=0,"",VLOOKUP(C63,C40:AG55,3,FALSE)),"")</f>
        <v/>
      </c>
      <c r="M63" s="551"/>
      <c r="N63" s="544" t="str">
        <f ca="1">IFERROR(VLOOKUP(L63,E40:F55,2,FALSE),"")</f>
        <v/>
      </c>
      <c r="O63" s="545"/>
      <c r="P63" s="545"/>
      <c r="Q63" s="545"/>
      <c r="R63" s="545"/>
      <c r="S63" s="546"/>
      <c r="T63" s="544" t="str">
        <f t="shared" ca="1" si="21"/>
        <v>-</v>
      </c>
      <c r="U63" s="545"/>
      <c r="V63" s="545"/>
      <c r="W63" s="545"/>
      <c r="X63" s="545"/>
      <c r="Y63" s="546"/>
      <c r="Z63" s="542">
        <f ca="1">IFERROR(VLOOKUP(L63,E40:AG55,28,FALSE),0)</f>
        <v>0</v>
      </c>
      <c r="AA63" s="543"/>
      <c r="AB63" s="28"/>
      <c r="AC63" s="29"/>
      <c r="AD63" s="29"/>
      <c r="AE63" s="29"/>
      <c r="AF63" s="29"/>
      <c r="AG63" s="29"/>
      <c r="AH63" s="29"/>
      <c r="AI63" s="29"/>
      <c r="AJ63" s="29"/>
      <c r="AK63" s="29"/>
      <c r="AL63" s="143"/>
      <c r="AM63" s="144"/>
      <c r="AP63" s="8"/>
      <c r="AQ63" s="8"/>
      <c r="AR63" s="8"/>
      <c r="AS63" s="8"/>
      <c r="AT63" s="8"/>
      <c r="AU63" s="8"/>
      <c r="AV63" s="8"/>
      <c r="AW63" s="8"/>
      <c r="AX63" s="8"/>
      <c r="AY63" s="8"/>
      <c r="AZ63" s="152"/>
      <c r="BA63" s="152"/>
      <c r="BB63" s="8"/>
      <c r="BC63" s="8"/>
      <c r="BD63" s="8"/>
      <c r="BE63" s="8"/>
    </row>
    <row r="64" spans="1:72" s="4" customFormat="1" ht="15.95" customHeight="1" x14ac:dyDescent="0.45">
      <c r="A64" s="8" t="s">
        <v>204</v>
      </c>
      <c r="B64" s="1"/>
      <c r="C64" s="10">
        <v>6</v>
      </c>
      <c r="D64" s="19" t="str">
        <f ca="1">IFERROR(IF(VLOOKUP(C64,B40:AP55,41,FALSE)="",VLOOKUP(C64,B40:AP55,37,FALSE),VLOOKUP(C64,B40:AP55,37,FALSE)&amp;VLOOKUP(C64,B40:AP55,41,FALSE)),"")</f>
        <v/>
      </c>
      <c r="E64" s="19" t="str">
        <f ca="1">IFERROR(IF(VLOOKUP(C64,B40:AG55,31,FALSE)=0,0,VLOOKUP(C64,B40:AG55,4,FALSE)),"")</f>
        <v/>
      </c>
      <c r="F64" s="27" t="str">
        <f ca="1">IFERROR(VLOOKUP(E64,$E40:$F55,2,FALSE),"")</f>
        <v/>
      </c>
      <c r="G64" s="27" t="str">
        <f t="shared" ca="1" si="20"/>
        <v/>
      </c>
      <c r="H64" s="542">
        <f ca="1">IFERROR(VLOOKUP(E64,E40:AG55,28,FALSE),0)</f>
        <v>0</v>
      </c>
      <c r="I64" s="543"/>
      <c r="J64" s="550" t="str">
        <f ca="1">IFERROR(IF(VLOOKUP(C64,C40:AT55,44,FALSE)="",VLOOKUP(C64,C40:AT55,37,FALSE),VLOOKUP(C64,C40:AT55,37,FALSE)&amp;VLOOKUP(C64,C40:AT55,44,FALSE)),"")</f>
        <v/>
      </c>
      <c r="K64" s="551"/>
      <c r="L64" s="550" t="str">
        <f ca="1">IFERROR(IF(VLOOKUP(C64,C40:AG55,30,FALSE)=0,"",VLOOKUP(C64,C40:AG55,3,FALSE)),"")</f>
        <v/>
      </c>
      <c r="M64" s="551"/>
      <c r="N64" s="544" t="str">
        <f ca="1">IFERROR(VLOOKUP(L64,E40:F55,2,FALSE),"")</f>
        <v/>
      </c>
      <c r="O64" s="545"/>
      <c r="P64" s="545"/>
      <c r="Q64" s="545"/>
      <c r="R64" s="545"/>
      <c r="S64" s="546"/>
      <c r="T64" s="544" t="str">
        <f t="shared" ca="1" si="21"/>
        <v>-</v>
      </c>
      <c r="U64" s="545"/>
      <c r="V64" s="545"/>
      <c r="W64" s="545"/>
      <c r="X64" s="545"/>
      <c r="Y64" s="546"/>
      <c r="Z64" s="542">
        <f ca="1">IFERROR(VLOOKUP(L64,E40:AG55,28,FALSE),0)</f>
        <v>0</v>
      </c>
      <c r="AA64" s="543"/>
      <c r="AB64" s="512" t="s">
        <v>185</v>
      </c>
      <c r="AC64" s="552"/>
      <c r="AD64" s="552"/>
      <c r="AE64" s="552"/>
      <c r="AF64" s="552"/>
      <c r="AG64" s="552"/>
      <c r="AH64" s="552"/>
      <c r="AI64" s="552"/>
      <c r="AJ64" s="552"/>
      <c r="AK64" s="552"/>
      <c r="AL64" s="552"/>
      <c r="AM64" s="553"/>
      <c r="AP64" s="8"/>
      <c r="AQ64" s="8"/>
      <c r="AR64" s="8"/>
      <c r="AS64" s="8"/>
      <c r="AT64" s="8"/>
      <c r="AU64" s="8"/>
      <c r="AV64" s="8"/>
      <c r="AW64" s="8"/>
      <c r="AX64" s="8"/>
      <c r="AY64" s="8"/>
      <c r="AZ64" s="152"/>
      <c r="BA64" s="152"/>
      <c r="BB64" s="8"/>
      <c r="BC64" s="8"/>
      <c r="BD64" s="8"/>
      <c r="BE64" s="8"/>
    </row>
    <row r="65" spans="1:72" s="4" customFormat="1" ht="15.95" customHeight="1" x14ac:dyDescent="0.45">
      <c r="A65" s="8">
        <f>IFERROR(VLOOKUP(A36,records,5,FALSE),"")</f>
        <v>1.64</v>
      </c>
      <c r="B65" s="1"/>
      <c r="C65" s="10">
        <v>7</v>
      </c>
      <c r="D65" s="19" t="str">
        <f ca="1">IFERROR(IF(VLOOKUP(C65,B40:AP55,41,FALSE)="",VLOOKUP(C65,B40:AP55,37,FALSE),VLOOKUP(C65,B40:AP55,37,FALSE)&amp;VLOOKUP(C65,B40:AP55,41,FALSE)),"")</f>
        <v/>
      </c>
      <c r="E65" s="19" t="str">
        <f ca="1">IFERROR(IF(VLOOKUP(C65,B40:AG55,31,FALSE)=0,0,VLOOKUP(C65,B40:AG55,4,FALSE)),"")</f>
        <v/>
      </c>
      <c r="F65" s="27" t="str">
        <f ca="1">IFERROR(VLOOKUP(E65,$E40:$F55,2,FALSE),"")</f>
        <v/>
      </c>
      <c r="G65" s="27" t="str">
        <f t="shared" ca="1" si="20"/>
        <v/>
      </c>
      <c r="H65" s="542">
        <f ca="1">IFERROR(VLOOKUP(E65,E40:AG55,28,FALSE),0)</f>
        <v>0</v>
      </c>
      <c r="I65" s="543"/>
      <c r="J65" s="550" t="str">
        <f ca="1">IFERROR(IF(VLOOKUP(C65,C40:AT55,44,FALSE)="",VLOOKUP(C65,C40:AT55,37,FALSE),VLOOKUP(C65,C40:AT55,37,FALSE)&amp;VLOOKUP(C65,C40:AT55,44,FALSE)),"")</f>
        <v/>
      </c>
      <c r="K65" s="551"/>
      <c r="L65" s="550" t="str">
        <f ca="1">IFERROR(IF(VLOOKUP(C65,C40:AG55,30,FALSE)=0,"",VLOOKUP(C65,C40:AG55,3,FALSE)),"")</f>
        <v/>
      </c>
      <c r="M65" s="551"/>
      <c r="N65" s="544" t="str">
        <f ca="1">IFERROR(VLOOKUP(L65,E40:F55,2,FALSE),"")</f>
        <v/>
      </c>
      <c r="O65" s="545"/>
      <c r="P65" s="545"/>
      <c r="Q65" s="545"/>
      <c r="R65" s="545"/>
      <c r="S65" s="546"/>
      <c r="T65" s="544" t="str">
        <f t="shared" ca="1" si="21"/>
        <v>-</v>
      </c>
      <c r="U65" s="545"/>
      <c r="V65" s="545"/>
      <c r="W65" s="545"/>
      <c r="X65" s="545"/>
      <c r="Y65" s="546"/>
      <c r="Z65" s="542">
        <f ca="1">IFERROR(VLOOKUP(L65,E40:AG55,28,FALSE),0)</f>
        <v>0</v>
      </c>
      <c r="AA65" s="543"/>
      <c r="AB65" s="24"/>
      <c r="AC65" s="25"/>
      <c r="AD65" s="25"/>
      <c r="AE65" s="25"/>
      <c r="AF65" s="25"/>
      <c r="AG65" s="25"/>
      <c r="AH65" s="25"/>
      <c r="AI65" s="25"/>
      <c r="AJ65" s="25"/>
      <c r="AK65" s="25"/>
      <c r="AL65" s="141"/>
      <c r="AM65" s="142"/>
      <c r="AP65" s="8"/>
      <c r="AQ65" s="8"/>
      <c r="AR65" s="8"/>
      <c r="AS65" s="8"/>
      <c r="AT65" s="8"/>
      <c r="AU65" s="8"/>
      <c r="AV65" s="8"/>
      <c r="AW65" s="8"/>
      <c r="AX65" s="8"/>
      <c r="AY65" s="8"/>
      <c r="AZ65" s="152"/>
      <c r="BA65" s="152"/>
      <c r="BB65" s="8"/>
      <c r="BC65" s="8"/>
      <c r="BD65" s="8"/>
      <c r="BE65" s="8"/>
    </row>
    <row r="66" spans="1:72" s="4" customFormat="1" ht="15.95" customHeight="1" x14ac:dyDescent="0.45">
      <c r="A66" s="8"/>
      <c r="B66" s="1"/>
      <c r="C66" s="10">
        <v>8</v>
      </c>
      <c r="D66" s="19" t="str">
        <f ca="1">IFERROR(IF(VLOOKUP(C66,B40:AP55,41,FALSE)="",VLOOKUP(C66,B40:AP55,37,FALSE),VLOOKUP(C66,B40:AP55,37,FALSE)&amp;VLOOKUP(C66,B40:AP55,41,FALSE)),"")</f>
        <v/>
      </c>
      <c r="E66" s="19" t="str">
        <f ca="1">IFERROR(IF(VLOOKUP(C66,B40:AG55,31,FALSE)=0,0,VLOOKUP(C66,B40:AG55,4,FALSE)),"")</f>
        <v/>
      </c>
      <c r="F66" s="27" t="str">
        <f ca="1">IFERROR(VLOOKUP(E66,$E40:$F55,2,FALSE),"")</f>
        <v/>
      </c>
      <c r="G66" s="27" t="str">
        <f t="shared" ca="1" si="20"/>
        <v/>
      </c>
      <c r="H66" s="542">
        <f ca="1">IFERROR(VLOOKUP(E66,E40:AG55,28,FALSE),0)</f>
        <v>0</v>
      </c>
      <c r="I66" s="543"/>
      <c r="J66" s="550" t="str">
        <f ca="1">IFERROR(IF(VLOOKUP(C66,C40:AT55,44,FALSE)="",VLOOKUP(C66,C40:AT55,37,FALSE),VLOOKUP(C66,C40:AT55,37,FALSE)&amp;VLOOKUP(C66,C40:AT55,44,FALSE)),"")</f>
        <v/>
      </c>
      <c r="K66" s="551"/>
      <c r="L66" s="550" t="str">
        <f ca="1">IFERROR(IF(VLOOKUP(C66,C40:AG55,30,FALSE)=0,"",VLOOKUP(C66,C40:AG55,3,FALSE)),"")</f>
        <v/>
      </c>
      <c r="M66" s="551"/>
      <c r="N66" s="544" t="str">
        <f ca="1">IFERROR(VLOOKUP(L66,E40:F55,2,FALSE),"")</f>
        <v/>
      </c>
      <c r="O66" s="545"/>
      <c r="P66" s="545"/>
      <c r="Q66" s="545"/>
      <c r="R66" s="545"/>
      <c r="S66" s="546"/>
      <c r="T66" s="544" t="str">
        <f t="shared" ca="1" si="21"/>
        <v>-</v>
      </c>
      <c r="U66" s="545"/>
      <c r="V66" s="545"/>
      <c r="W66" s="545"/>
      <c r="X66" s="545"/>
      <c r="Y66" s="546"/>
      <c r="Z66" s="542">
        <f ca="1">IFERROR(VLOOKUP(L66,E40:AG55,28,FALSE),0)</f>
        <v>0</v>
      </c>
      <c r="AA66" s="543"/>
      <c r="AB66" s="28"/>
      <c r="AC66" s="29"/>
      <c r="AD66" s="29"/>
      <c r="AE66" s="29"/>
      <c r="AF66" s="29"/>
      <c r="AG66" s="29"/>
      <c r="AH66" s="29"/>
      <c r="AI66" s="29"/>
      <c r="AJ66" s="29"/>
      <c r="AK66" s="29"/>
      <c r="AL66" s="143"/>
      <c r="AM66" s="144"/>
      <c r="AP66" s="8"/>
      <c r="AQ66" s="8"/>
      <c r="AR66" s="8"/>
      <c r="AS66" s="8"/>
      <c r="AT66" s="8"/>
      <c r="AU66" s="8"/>
      <c r="AV66" s="8"/>
      <c r="AW66" s="8"/>
      <c r="AX66" s="8"/>
      <c r="AY66" s="8"/>
      <c r="AZ66" s="152"/>
      <c r="BA66" s="152"/>
      <c r="BB66" s="8"/>
      <c r="BC66" s="8"/>
      <c r="BD66" s="8"/>
      <c r="BE66" s="8"/>
    </row>
    <row r="67" spans="1:72" s="4" customFormat="1" ht="21" x14ac:dyDescent="0.45">
      <c r="A67" s="2" t="str">
        <f>MatchDay!$U$6</f>
        <v>X</v>
      </c>
      <c r="B67" s="10" t="str">
        <f>IFERROR(VLOOKUP($A68,fh,2,FALSE),"")</f>
        <v/>
      </c>
      <c r="C67" s="10" t="str">
        <f>IFERROR(VLOOKUP($A68,fdistance,3,FALSE),"")</f>
        <v/>
      </c>
      <c r="D67" s="502" t="s">
        <v>324</v>
      </c>
      <c r="E67" s="503"/>
      <c r="F67" s="503"/>
      <c r="G67" s="503"/>
      <c r="H67" s="515" t="s">
        <v>187</v>
      </c>
      <c r="I67" s="516"/>
      <c r="J67" s="516"/>
      <c r="K67" s="516"/>
      <c r="L67" s="516"/>
      <c r="M67" s="517"/>
      <c r="N67" s="518" t="str">
        <f>MatchDay!$C$2&amp;" "&amp;MatchDay!$C$3&amp;" "&amp;MatchDay!$C$4</f>
        <v>LOWER NORTH East 1</v>
      </c>
      <c r="O67" s="519"/>
      <c r="P67" s="519"/>
      <c r="Q67" s="519"/>
      <c r="R67" s="519"/>
      <c r="S67" s="519"/>
      <c r="T67" s="519"/>
      <c r="U67" s="519"/>
      <c r="V67" s="519"/>
      <c r="W67" s="519"/>
      <c r="X67" s="519"/>
      <c r="Y67" s="519"/>
      <c r="Z67" s="519"/>
      <c r="AA67" s="519"/>
      <c r="AB67" s="519"/>
      <c r="AC67" s="519"/>
      <c r="AD67" s="519"/>
      <c r="AE67" s="519"/>
      <c r="AF67" s="519"/>
      <c r="AG67" s="519"/>
      <c r="AH67" s="519"/>
      <c r="AI67" s="519"/>
      <c r="AJ67" s="519"/>
      <c r="AK67" s="519"/>
      <c r="AL67" s="519"/>
      <c r="AM67" s="520"/>
      <c r="AP67" s="8"/>
      <c r="AT67" s="8"/>
      <c r="AU67" s="8"/>
      <c r="AV67" s="8"/>
      <c r="AW67" s="8"/>
      <c r="AX67" s="8"/>
      <c r="AY67" s="8"/>
      <c r="AZ67" s="152"/>
      <c r="BA67" s="152"/>
      <c r="BB67" s="8"/>
      <c r="BC67" s="8"/>
      <c r="BD67" s="8"/>
      <c r="BE67" s="8"/>
    </row>
    <row r="68" spans="1:72" s="4" customFormat="1" ht="15.75" customHeight="1" x14ac:dyDescent="0.45">
      <c r="A68" s="1" t="str">
        <f>IFERROR(IF(LEFT(MatchDay!$C$2,1)="L","L"&amp;A70,"U"&amp;A70),"")</f>
        <v>LFH03</v>
      </c>
      <c r="B68" s="8">
        <v>91</v>
      </c>
      <c r="D68" s="504" t="s">
        <v>188</v>
      </c>
      <c r="E68" s="505"/>
      <c r="F68" s="513" t="str">
        <f>IFERROR(UPPER(VLOOKUP(A69,teamlookup,6,FALSE)),"")</f>
        <v/>
      </c>
      <c r="G68" s="514"/>
      <c r="H68" s="504" t="s">
        <v>201</v>
      </c>
      <c r="I68" s="510"/>
      <c r="J68" s="505"/>
      <c r="K68" s="512" t="str">
        <f>MatchDay!$C$8</f>
        <v>@ Doncaster</v>
      </c>
      <c r="L68" s="513"/>
      <c r="M68" s="513"/>
      <c r="N68" s="513"/>
      <c r="O68" s="513"/>
      <c r="P68" s="513"/>
      <c r="Q68" s="513"/>
      <c r="R68" s="513"/>
      <c r="S68" s="513"/>
      <c r="T68" s="513"/>
      <c r="U68" s="513"/>
      <c r="V68" s="513"/>
      <c r="W68" s="513"/>
      <c r="X68" s="513"/>
      <c r="Y68" s="514"/>
      <c r="Z68" s="504" t="s">
        <v>160</v>
      </c>
      <c r="AA68" s="510"/>
      <c r="AB68" s="505"/>
      <c r="AC68" s="521">
        <f>MatchDay!$C$7</f>
        <v>43582</v>
      </c>
      <c r="AD68" s="522"/>
      <c r="AE68" s="522"/>
      <c r="AF68" s="522"/>
      <c r="AG68" s="522"/>
      <c r="AH68" s="522"/>
      <c r="AI68" s="522"/>
      <c r="AJ68" s="522"/>
      <c r="AK68" s="522"/>
      <c r="AL68" s="522"/>
      <c r="AM68" s="523"/>
      <c r="AN68" s="37"/>
      <c r="AP68" s="8"/>
      <c r="AT68" s="8"/>
      <c r="AU68" s="8"/>
      <c r="AV68" s="8"/>
      <c r="AW68" s="8"/>
      <c r="AX68" s="8"/>
      <c r="AY68" s="8"/>
      <c r="AZ68" s="152"/>
      <c r="BA68" s="152"/>
      <c r="BB68" s="8"/>
      <c r="BC68" s="8"/>
      <c r="BD68" s="8"/>
      <c r="BE68" s="8"/>
    </row>
    <row r="69" spans="1:72" s="4" customFormat="1" ht="15.75" customHeight="1" x14ac:dyDescent="0.45">
      <c r="A69" s="5">
        <f>IFERROR(IF(A67=1,VLOOKUP(A68,judges,VLOOKUP(MatchDay!$U$2*10+MatchDay!$C$5,judgesp,5,FALSE),FALSE),VLOOKUP(Distance!A68,judges,VLOOKUP(MatchDay!$U$2*10+MatchDay!$C$5,judges2,5,FALSE),FALSE)),"")</f>
        <v>0</v>
      </c>
      <c r="B69" s="38" t="str">
        <f>IFERROR(VLOOKUP($A70,fheight,2,FALSE),"")</f>
        <v>S</v>
      </c>
      <c r="C69" s="181">
        <f>IFERROR(VLOOKUP(A68,Timetables!$A:$E,5,FALSE)-1,"")</f>
        <v>45</v>
      </c>
      <c r="D69" s="504" t="s">
        <v>161</v>
      </c>
      <c r="E69" s="505"/>
      <c r="F69" s="508" t="str">
        <f>IFERROR(VLOOKUP(A68,timetables,2,FALSE)&amp;" "&amp;VLOOKUP(A68,timetables,3,FALSE),"")</f>
        <v>High Jump U13 Girls</v>
      </c>
      <c r="G69" s="509"/>
      <c r="H69" s="504" t="s">
        <v>162</v>
      </c>
      <c r="I69" s="510"/>
      <c r="J69" s="505"/>
      <c r="K69" s="559" t="str">
        <f>IFERROR(IF(A67=1,VLOOKUP(A68,Timetables!$A:$G,6,FALSE),VLOOKUP(A68,Timetables!$A:$G,7,FALSE)),"")</f>
        <v>13:00</v>
      </c>
      <c r="L69" s="570"/>
      <c r="M69" s="560"/>
      <c r="N69" s="567" t="s">
        <v>202</v>
      </c>
      <c r="O69" s="568"/>
      <c r="P69" s="568"/>
      <c r="Q69" s="569"/>
      <c r="R69" s="567" t="str">
        <f>IFERROR(VLOOKUP(A68,records,3,FALSE)&amp;", "&amp;VLOOKUP(A68,records,4,FALSE)&amp;", "&amp;VLOOKUP(A68,records,5,FALSE)&amp;", "&amp;VLOOKUP(A68,records,6,FALSE)&amp;", "&amp;VLOOKUP(A68,records,7,FALSE)&amp;" "&amp;VLOOKUP(A68,records,8,FALSE),"")</f>
        <v>Jade Curtis, Ashford AC, 1.6, Kingston, July 19th 2014</v>
      </c>
      <c r="S69" s="568"/>
      <c r="T69" s="568"/>
      <c r="U69" s="568"/>
      <c r="V69" s="568"/>
      <c r="W69" s="568"/>
      <c r="X69" s="568"/>
      <c r="Y69" s="568"/>
      <c r="Z69" s="568"/>
      <c r="AA69" s="568"/>
      <c r="AB69" s="568"/>
      <c r="AC69" s="568"/>
      <c r="AD69" s="568"/>
      <c r="AE69" s="568"/>
      <c r="AF69" s="568"/>
      <c r="AG69" s="568"/>
      <c r="AH69" s="568"/>
      <c r="AI69" s="568"/>
      <c r="AJ69" s="568"/>
      <c r="AK69" s="568"/>
      <c r="AL69" s="568"/>
      <c r="AM69" s="569"/>
      <c r="AN69" s="8"/>
      <c r="AP69" s="8"/>
      <c r="AT69" s="8"/>
      <c r="AU69" s="8"/>
      <c r="AV69" s="8"/>
      <c r="AW69" s="8"/>
      <c r="AX69" s="8"/>
      <c r="AY69" s="8"/>
      <c r="AZ69" s="152"/>
      <c r="BA69" s="152"/>
      <c r="BB69" s="8"/>
      <c r="BC69" s="8"/>
      <c r="BD69" s="8"/>
      <c r="BE69" s="8"/>
    </row>
    <row r="70" spans="1:72" s="4" customFormat="1" ht="38.25" customHeight="1" x14ac:dyDescent="0.45">
      <c r="A70" s="5" t="s">
        <v>327</v>
      </c>
      <c r="B70" s="10" t="str">
        <f>IFERROR(VLOOKUP($A70,fheight,3,FALSE),"")</f>
        <v>W</v>
      </c>
      <c r="C70" s="10">
        <f>IFERROR(VLOOKUP($A70,fheight,4,FALSE),"")</f>
        <v>4</v>
      </c>
      <c r="D70" s="39" t="s">
        <v>163</v>
      </c>
      <c r="E70" s="39" t="s">
        <v>164</v>
      </c>
      <c r="F70" s="39" t="s">
        <v>165</v>
      </c>
      <c r="G70" s="40" t="s">
        <v>166</v>
      </c>
      <c r="H70" s="559">
        <v>1.05</v>
      </c>
      <c r="I70" s="570"/>
      <c r="J70" s="559">
        <v>1.1000000000000001</v>
      </c>
      <c r="K70" s="570"/>
      <c r="L70" s="559">
        <v>1.1499999999999999</v>
      </c>
      <c r="M70" s="570"/>
      <c r="N70" s="559">
        <v>1.2</v>
      </c>
      <c r="O70" s="570"/>
      <c r="P70" s="559">
        <v>1.25</v>
      </c>
      <c r="Q70" s="570"/>
      <c r="R70" s="559">
        <v>1.3</v>
      </c>
      <c r="S70" s="570"/>
      <c r="T70" s="559"/>
      <c r="U70" s="570"/>
      <c r="V70" s="559"/>
      <c r="W70" s="570"/>
      <c r="X70" s="559"/>
      <c r="Y70" s="570"/>
      <c r="Z70" s="559"/>
      <c r="AA70" s="570"/>
      <c r="AB70" s="559"/>
      <c r="AC70" s="570"/>
      <c r="AD70" s="559"/>
      <c r="AE70" s="570"/>
      <c r="AF70" s="575" t="s">
        <v>319</v>
      </c>
      <c r="AG70" s="576"/>
      <c r="AH70" s="577" t="s">
        <v>320</v>
      </c>
      <c r="AI70" s="577" t="s">
        <v>321</v>
      </c>
      <c r="AJ70" s="563" t="s">
        <v>522</v>
      </c>
      <c r="AK70" s="41"/>
      <c r="AL70" s="571" t="s">
        <v>177</v>
      </c>
      <c r="AM70" s="572"/>
      <c r="AN70" s="42" t="s">
        <v>322</v>
      </c>
      <c r="AP70" s="8"/>
      <c r="AT70" s="8"/>
      <c r="AU70" s="8"/>
      <c r="AV70" s="8"/>
      <c r="AW70" s="8"/>
      <c r="AX70" s="8"/>
      <c r="AY70" s="8"/>
      <c r="AZ70" s="152"/>
      <c r="BA70" s="152"/>
      <c r="BB70" s="8"/>
      <c r="BC70" s="8"/>
      <c r="BD70" s="8"/>
      <c r="BE70" s="8"/>
    </row>
    <row r="71" spans="1:72" s="4" customFormat="1" ht="10.5" x14ac:dyDescent="0.35">
      <c r="A71" s="137">
        <f>IFERROR(SEARCH("U17",F69),0)</f>
        <v>0</v>
      </c>
      <c r="B71" s="1"/>
      <c r="C71" s="1"/>
      <c r="D71" s="43"/>
      <c r="E71" s="43"/>
      <c r="F71" s="58"/>
      <c r="G71" s="57"/>
      <c r="H71" s="554" t="s">
        <v>178</v>
      </c>
      <c r="I71" s="579"/>
      <c r="J71" s="554" t="s">
        <v>178</v>
      </c>
      <c r="K71" s="579"/>
      <c r="L71" s="554" t="s">
        <v>178</v>
      </c>
      <c r="M71" s="579"/>
      <c r="N71" s="554" t="s">
        <v>178</v>
      </c>
      <c r="O71" s="579"/>
      <c r="P71" s="554" t="s">
        <v>178</v>
      </c>
      <c r="Q71" s="579"/>
      <c r="R71" s="554" t="s">
        <v>178</v>
      </c>
      <c r="S71" s="579"/>
      <c r="T71" s="554" t="s">
        <v>178</v>
      </c>
      <c r="U71" s="579"/>
      <c r="V71" s="554" t="s">
        <v>178</v>
      </c>
      <c r="W71" s="579"/>
      <c r="X71" s="554" t="s">
        <v>178</v>
      </c>
      <c r="Y71" s="579"/>
      <c r="Z71" s="554" t="s">
        <v>178</v>
      </c>
      <c r="AA71" s="579"/>
      <c r="AB71" s="554" t="s">
        <v>178</v>
      </c>
      <c r="AC71" s="579"/>
      <c r="AD71" s="554" t="s">
        <v>178</v>
      </c>
      <c r="AE71" s="579"/>
      <c r="AF71" s="554" t="s">
        <v>178</v>
      </c>
      <c r="AG71" s="555"/>
      <c r="AH71" s="578"/>
      <c r="AI71" s="578"/>
      <c r="AJ71" s="564"/>
      <c r="AK71" s="44"/>
      <c r="AL71" s="573"/>
      <c r="AM71" s="574"/>
      <c r="AN71" s="42"/>
      <c r="AP71" s="9"/>
      <c r="AQ71" s="9"/>
      <c r="AR71" s="45"/>
      <c r="AS71" s="45"/>
      <c r="AT71" s="45"/>
      <c r="AU71" s="46"/>
      <c r="AV71" s="45"/>
      <c r="AW71" s="9"/>
      <c r="AX71" s="9"/>
      <c r="AY71" s="47"/>
      <c r="AZ71" s="151"/>
      <c r="BA71" s="151"/>
      <c r="BB71" s="9"/>
      <c r="BC71" s="9">
        <v>1</v>
      </c>
      <c r="BD71" s="9">
        <v>2</v>
      </c>
      <c r="BE71" s="9">
        <v>3</v>
      </c>
      <c r="BF71" s="9">
        <v>4</v>
      </c>
      <c r="BG71" s="9">
        <v>5</v>
      </c>
      <c r="BH71" s="9">
        <v>6</v>
      </c>
      <c r="BI71" s="9">
        <v>7</v>
      </c>
      <c r="BJ71" s="9">
        <v>8</v>
      </c>
      <c r="BK71" s="9">
        <v>1</v>
      </c>
      <c r="BL71" s="9">
        <v>2</v>
      </c>
      <c r="BM71" s="9">
        <v>3</v>
      </c>
      <c r="BN71" s="9">
        <v>4</v>
      </c>
      <c r="BO71" s="9">
        <v>5</v>
      </c>
      <c r="BP71" s="9">
        <v>6</v>
      </c>
      <c r="BQ71" s="9">
        <v>7</v>
      </c>
      <c r="BR71" s="9">
        <v>8</v>
      </c>
      <c r="BS71" s="46"/>
    </row>
    <row r="72" spans="1:72" s="4" customFormat="1" ht="15.95" customHeight="1" x14ac:dyDescent="0.35">
      <c r="A72" s="8">
        <f>IFERROR(IF(D72&gt;MatchDay!$U$2,"-",VLOOKUP(A68,timetables,MatchDay!$U$4,FALSE)),0)</f>
        <v>4</v>
      </c>
      <c r="B72" s="10" t="str">
        <f ca="1">IFERROR(IF(OR(AK72=0,AK72="B"),"",RANK(AZ72,AZ72:AZ87,1)),"")</f>
        <v/>
      </c>
      <c r="C72" s="10" t="str">
        <f ca="1">IFERROR(IF(OR(AK72=0,AK72="A"),"",RANK(BA72,BA72:BA87,1)),"")</f>
        <v/>
      </c>
      <c r="D72" s="56">
        <v>1</v>
      </c>
      <c r="E72" s="17">
        <f>A72</f>
        <v>4</v>
      </c>
      <c r="F72" s="18" t="str">
        <f ca="1">IFERROR(IF(A71=0,HLOOKUP(E72,Declarations!$D$2:$S$102,C69,FALSE),HLOOKUP(VLOOKUP(E72,Teams!$V$2:$W$19,2,FALSE),Declarations!$D$2:$S$102,C69,FALSE)),"")</f>
        <v>-</v>
      </c>
      <c r="G72" s="18" t="str">
        <f t="shared" ref="G72:G87" si="22">IFERROR(VLOOKUP(E72,teamlookup,5,FALSE),"-")</f>
        <v>M'bro</v>
      </c>
      <c r="H72" s="526"/>
      <c r="I72" s="527"/>
      <c r="J72" s="526"/>
      <c r="K72" s="527"/>
      <c r="L72" s="526"/>
      <c r="M72" s="527"/>
      <c r="N72" s="526"/>
      <c r="O72" s="527"/>
      <c r="P72" s="526"/>
      <c r="Q72" s="527"/>
      <c r="R72" s="526"/>
      <c r="S72" s="527"/>
      <c r="T72" s="526"/>
      <c r="U72" s="527"/>
      <c r="V72" s="526"/>
      <c r="W72" s="527"/>
      <c r="X72" s="526"/>
      <c r="Y72" s="527"/>
      <c r="Z72" s="526"/>
      <c r="AA72" s="527"/>
      <c r="AB72" s="526"/>
      <c r="AC72" s="527"/>
      <c r="AD72" s="526"/>
      <c r="AE72" s="527"/>
      <c r="AF72" s="557">
        <f ca="1">IFERROR(INDIRECT(CONCATENATE("'Height Input'!"&amp;B70&amp;C70)),"")</f>
        <v>0</v>
      </c>
      <c r="AG72" s="558"/>
      <c r="AH72" s="48"/>
      <c r="AI72" s="48"/>
      <c r="AJ72" s="49">
        <f ca="1">IFERROR(IF(AF72="X",MatchDay!$U$2+MatchDay!$U$2+1-COUNTIF($AF72:AF72,"X"),IF(AF72&gt;=97,1,INT(INDIRECT(CONCATENATE("'Height Input'!"&amp;$B69&amp;$C70))))),"")</f>
        <v>0</v>
      </c>
      <c r="AK72" s="50">
        <f ca="1">IFERROR(IF(OR(AJ72=0,AJ72=""),0,IF(OR(AJ72&lt;=VLOOKUP(BT72,$E80:$AJ87,32,FALSE),VLOOKUP(BT72,$E80:$AJ87,32,FALSE)=0),"A","B")),0)</f>
        <v>0</v>
      </c>
      <c r="AL72" s="139" t="str">
        <f ca="1">IFERROR(IF(OR(AK72=0,AK72="B"),"",RANK(AW72,AW72:AW87,1)),"")</f>
        <v/>
      </c>
      <c r="AM72" s="139" t="str">
        <f ca="1">IFERROR(IF(OR(AK72=0,AK72="A"),"",RANK(AX72,AX72:AX87,1)),"")</f>
        <v/>
      </c>
      <c r="AN72" s="51">
        <f ca="1">IFERROR(IF(AF72="X",0,(INDIRECT(CONCATENATE("'Height Input'!"&amp;$B69&amp;$C70))-AJ72)*10),"")</f>
        <v>0</v>
      </c>
      <c r="AO72" s="8"/>
      <c r="AP72" s="9" t="str">
        <f ca="1">IF(AQ72="","",IF(AQ72=1,AR72,REPT(AR72,AQ72-1)))</f>
        <v/>
      </c>
      <c r="AQ72" s="9" t="str">
        <f ca="1">IF(AR72="","",HLOOKUP(AL72,BC71:BJ88,18,FALSE))</f>
        <v/>
      </c>
      <c r="AR72" s="45" t="str">
        <f ca="1">IF(OR(AL72=0,AL72=""),"",IF(COUNTIFS(AL72:AL87,AL72)&gt;1,"=",""))</f>
        <v/>
      </c>
      <c r="AS72" s="45"/>
      <c r="AT72" s="9" t="str">
        <f ca="1">IF(AU72="","",IF(AU72=1,AV72,REPT(AV72,AU72-1)))</f>
        <v/>
      </c>
      <c r="AU72" s="9" t="str">
        <f ca="1">IF(AV72="","",HLOOKUP(AM72,BK71:BR88,18,FALSE))</f>
        <v/>
      </c>
      <c r="AV72" s="45" t="str">
        <f ca="1">IF(OR(AM72=0,AM72=""),"",IF(COUNTIFS(AM72:AM87,AM72)&gt;1,"=",""))</f>
        <v/>
      </c>
      <c r="AW72" s="9" t="str">
        <f t="shared" ref="AW72:AW87" ca="1" si="23">IF(OR(AJ72=0,AF72=0,AK72="B"),"",AJ72)</f>
        <v/>
      </c>
      <c r="AX72" s="9" t="str">
        <f t="shared" ref="AX72:AX87" ca="1" si="24">IF(OR(AJ72=0,AF72=0,AK72="A"),"",AJ72)</f>
        <v/>
      </c>
      <c r="AY72" s="47"/>
      <c r="AZ72" s="151" t="str">
        <f t="shared" ref="AZ72:AZ87" ca="1" si="25">IF(AW72="","",AW72+(AN72/10))</f>
        <v/>
      </c>
      <c r="BA72" s="151" t="str">
        <f t="shared" ref="BA72:BA87" ca="1" si="26">IF(AX72="","",AX72+(AN72/10))</f>
        <v/>
      </c>
      <c r="BB72" s="9"/>
      <c r="BC72" s="52" t="str">
        <f ca="1">IF(AL72="","",IF(AL72=BC71,AL72,""))</f>
        <v/>
      </c>
      <c r="BD72" s="52" t="str">
        <f ca="1">IF(AL72="","",IF(AL72=BD71,AL72,""))</f>
        <v/>
      </c>
      <c r="BE72" s="52" t="str">
        <f ca="1">IF(AL72="","",IF(AL72=BE71,AL72,""))</f>
        <v/>
      </c>
      <c r="BF72" s="52" t="str">
        <f ca="1">IF(AL72="","",IF(AL72=BF71,AL72,""))</f>
        <v/>
      </c>
      <c r="BG72" s="52" t="str">
        <f ca="1">IF(AL72="","",IF(AL72=BG71,AL72,""))</f>
        <v/>
      </c>
      <c r="BH72" s="52" t="str">
        <f ca="1">IF(AL72="","",IF(AL72=BH71,AL72,""))</f>
        <v/>
      </c>
      <c r="BI72" s="52" t="str">
        <f ca="1">IF(AL72="","",IF(AL72=BI71,AL72,""))</f>
        <v/>
      </c>
      <c r="BJ72" s="52" t="str">
        <f ca="1">IF(AL72="","",IF(AL72=BJ71,AL72,""))</f>
        <v/>
      </c>
      <c r="BK72" s="52" t="str">
        <f ca="1">IF(AM72="","",IF(AM72=BK71,AM72,""))</f>
        <v/>
      </c>
      <c r="BL72" s="52" t="str">
        <f ca="1">IF(AM72="","",IF(AM72=BL71,AM72,""))</f>
        <v/>
      </c>
      <c r="BM72" s="52" t="str">
        <f ca="1">IF(AM72="","",IF(AM72=BM71,AM72,""))</f>
        <v/>
      </c>
      <c r="BN72" s="52" t="str">
        <f ca="1">IF(AM72="","",IF(AM72=BN71,AM72,""))</f>
        <v/>
      </c>
      <c r="BO72" s="52" t="str">
        <f ca="1">IF(AM72="","",IF(AM72=BO71,AM72,""))</f>
        <v/>
      </c>
      <c r="BP72" s="52" t="str">
        <f ca="1">IF(AM72="","",IF(AM72=BP71,AM72,""))</f>
        <v/>
      </c>
      <c r="BQ72" s="52" t="str">
        <f ca="1">IF(AM72="","",IF(AM72=BQ71,AM72,""))</f>
        <v/>
      </c>
      <c r="BR72" s="52" t="str">
        <f ca="1">IF(AM72="","",IF(AM72=BR71,AM72,""))</f>
        <v/>
      </c>
      <c r="BS72" s="46"/>
      <c r="BT72" s="4">
        <f>IFERROR(IF(A71=0,A72*11,A72&amp;A72),"")</f>
        <v>44</v>
      </c>
    </row>
    <row r="73" spans="1:72" s="4" customFormat="1" ht="15.95" customHeight="1" x14ac:dyDescent="0.35">
      <c r="A73" s="8">
        <f>IFERROR(IF(D73&gt;MatchDay!$U$2,"-",VLOOKUP(A68,timetables,MatchDay!$U$4+1,FALSE)),0)</f>
        <v>2</v>
      </c>
      <c r="B73" s="10">
        <f ca="1">IFERROR(IF(OR(AK73=0,AK73="B"),"",RANK(AZ73,AZ72:AZ87,1)),"")</f>
        <v>3</v>
      </c>
      <c r="C73" s="10" t="str">
        <f ca="1">IFERROR(IF(OR(AK73=0,AK73="A"),"",RANK(BA73,BA72:BA87,1)),"")</f>
        <v/>
      </c>
      <c r="D73" s="55">
        <v>2</v>
      </c>
      <c r="E73" s="17">
        <f t="shared" ref="E73:E87" si="27">A73</f>
        <v>2</v>
      </c>
      <c r="F73" s="18" t="str">
        <f ca="1">IFERROR(IF(A71=0,HLOOKUP(E73,Declarations!$D$2:$S$102,C69,FALSE),HLOOKUP(VLOOKUP(E73,Teams!$V$2:$W$19,2,FALSE),Declarations!$D$2:$S$102,C69,FALSE)),"")</f>
        <v>ROBERTS Eve</v>
      </c>
      <c r="G73" s="18" t="str">
        <f t="shared" si="22"/>
        <v>Sheff+D</v>
      </c>
      <c r="H73" s="526"/>
      <c r="I73" s="527"/>
      <c r="J73" s="526"/>
      <c r="K73" s="527"/>
      <c r="L73" s="526"/>
      <c r="M73" s="527"/>
      <c r="N73" s="526"/>
      <c r="O73" s="527"/>
      <c r="P73" s="526"/>
      <c r="Q73" s="527"/>
      <c r="R73" s="526"/>
      <c r="S73" s="527"/>
      <c r="T73" s="526"/>
      <c r="U73" s="527"/>
      <c r="V73" s="526"/>
      <c r="W73" s="527"/>
      <c r="X73" s="526"/>
      <c r="Y73" s="527"/>
      <c r="Z73" s="526"/>
      <c r="AA73" s="527"/>
      <c r="AB73" s="526"/>
      <c r="AC73" s="527"/>
      <c r="AD73" s="526"/>
      <c r="AE73" s="527"/>
      <c r="AF73" s="557">
        <f ca="1">IFERROR(INDIRECT(CONCATENATE("'Height Input'!"&amp;B70&amp;C70+1)),"")</f>
        <v>1.2</v>
      </c>
      <c r="AG73" s="558"/>
      <c r="AH73" s="48"/>
      <c r="AI73" s="48"/>
      <c r="AJ73" s="49">
        <f ca="1">IFERROR(IF(AF73="X",MatchDay!$U$2+MatchDay!$U$2+1-COUNTIF($AF72:AF73,"X"),IF(AF73&gt;=97,1,INT(INDIRECT(CONCATENATE("'Height Input'!"&amp;$B69&amp;$C70+1))))),"")</f>
        <v>5</v>
      </c>
      <c r="AK73" s="50" t="str">
        <f ca="1">IFERROR(IF(OR(AJ73=0,AJ73=""),0,IF(OR(AJ73&lt;=VLOOKUP(BT73,$E80:$AJ87,32,FALSE),VLOOKUP(BT73,$E80:$AJ87,32,FALSE)=0),"A","B")),0)</f>
        <v>A</v>
      </c>
      <c r="AL73" s="139">
        <f ca="1">IFERROR(IF(OR(AK73=0,AK73="B"),"",RANK(AW73,AW72:AW87,1)),"")</f>
        <v>3</v>
      </c>
      <c r="AM73" s="139" t="str">
        <f ca="1">IFERROR(IF(OR(AK73=0,AK73="A"),"",RANK(AX73,AX72:AX87,1)),"")</f>
        <v/>
      </c>
      <c r="AN73" s="51">
        <f ca="1">IFERROR(IF(AF73="X",0,(INDIRECT(CONCATENATE("'Height Input'!"&amp;$B69&amp;$C70+1))-AJ73)*10),"")</f>
        <v>0.99999999999999645</v>
      </c>
      <c r="AO73" s="8"/>
      <c r="AP73" s="9" t="str">
        <f t="shared" ref="AP73:AP87" ca="1" si="28">IF(AQ73="","",IF(AQ73=1,AR73,REPT(AR73,AQ73-1)))</f>
        <v/>
      </c>
      <c r="AQ73" s="9" t="str">
        <f ca="1">IF(AR73="","",HLOOKUP(AL73,BC71:BJ88,18,FALSE))</f>
        <v/>
      </c>
      <c r="AR73" s="45" t="str">
        <f ca="1">IF(OR(AL73=0,AL73=""),"",IF(COUNTIFS(AL72:AL87,AL73)&gt;1,"=",""))</f>
        <v/>
      </c>
      <c r="AS73" s="45"/>
      <c r="AT73" s="9" t="str">
        <f t="shared" ref="AT73:AT87" ca="1" si="29">IF(AU73="","",IF(AU73=1,AV73,REPT(AV73,AU73-1)))</f>
        <v/>
      </c>
      <c r="AU73" s="9" t="str">
        <f ca="1">IF(AV73="","",HLOOKUP(AM73,BK71:BR88,18,FALSE))</f>
        <v/>
      </c>
      <c r="AV73" s="45" t="str">
        <f ca="1">IF(OR(AM73=0,AM73=""),"",IF(COUNTIFS(AM72:AM87,AM73)&gt;1,"=",""))</f>
        <v/>
      </c>
      <c r="AW73" s="9">
        <f t="shared" ca="1" si="23"/>
        <v>5</v>
      </c>
      <c r="AX73" s="9" t="str">
        <f t="shared" ca="1" si="24"/>
        <v/>
      </c>
      <c r="AY73" s="47"/>
      <c r="AZ73" s="151">
        <f t="shared" ca="1" si="25"/>
        <v>5.0999999999999996</v>
      </c>
      <c r="BA73" s="151" t="str">
        <f t="shared" ca="1" si="26"/>
        <v/>
      </c>
      <c r="BB73" s="9"/>
      <c r="BC73" s="52" t="str">
        <f ca="1">IF(AL73="","",IF(AL73=BC71,AL73,""))</f>
        <v/>
      </c>
      <c r="BD73" s="52" t="str">
        <f ca="1">IF(AL73="","",IF(AL73=BD71,AL73,""))</f>
        <v/>
      </c>
      <c r="BE73" s="52">
        <f ca="1">IF(AL73="","",IF(AL73=BE71,AL73,""))</f>
        <v>3</v>
      </c>
      <c r="BF73" s="52" t="str">
        <f ca="1">IF(AL73="","",IF(AL73=BF71,AL73,""))</f>
        <v/>
      </c>
      <c r="BG73" s="52" t="str">
        <f ca="1">IF(AL73="","",IF(AL73=BG71,AL73,""))</f>
        <v/>
      </c>
      <c r="BH73" s="52" t="str">
        <f ca="1">IF(AL73="","",IF(AL73=BH71,AL73,""))</f>
        <v/>
      </c>
      <c r="BI73" s="52" t="str">
        <f ca="1">IF(AL73="","",IF(AL73=BI71,AL73,""))</f>
        <v/>
      </c>
      <c r="BJ73" s="52" t="str">
        <f ca="1">IF(AL73="","",IF(AL73=BJ71,AL73,""))</f>
        <v/>
      </c>
      <c r="BK73" s="52" t="str">
        <f ca="1">IF(AM73="","",IF(AM73=BK71,AM73,""))</f>
        <v/>
      </c>
      <c r="BL73" s="52" t="str">
        <f ca="1">IF(AM73="","",IF(AM73=BL71,AM73,""))</f>
        <v/>
      </c>
      <c r="BM73" s="52" t="str">
        <f ca="1">IF(AM73="","",IF(AM73=BM71,AM73,""))</f>
        <v/>
      </c>
      <c r="BN73" s="52" t="str">
        <f ca="1">IF(AM73="","",IF(AM73=BN71,AM73,""))</f>
        <v/>
      </c>
      <c r="BO73" s="52" t="str">
        <f ca="1">IF(AM73="","",IF(AM73=BO71,AM73,""))</f>
        <v/>
      </c>
      <c r="BP73" s="52" t="str">
        <f ca="1">IF(AM73="","",IF(AM73=BP71,AM73,""))</f>
        <v/>
      </c>
      <c r="BQ73" s="52" t="str">
        <f ca="1">IF(AM73="","",IF(AM73=BQ71,AM73,""))</f>
        <v/>
      </c>
      <c r="BR73" s="52" t="str">
        <f ca="1">IF(AM73="","",IF(AM73=BR71,AM73,""))</f>
        <v/>
      </c>
      <c r="BS73" s="46"/>
      <c r="BT73" s="4">
        <f>IFERROR(IF(A71=0,A73*11,A73&amp;A73),"")</f>
        <v>22</v>
      </c>
    </row>
    <row r="74" spans="1:72" s="4" customFormat="1" ht="15.95" customHeight="1" x14ac:dyDescent="0.35">
      <c r="A74" s="8">
        <f>IFERROR(IF(D74&gt;MatchDay!$U$2,"-",VLOOKUP(A68,timetables,MatchDay!$U$4+2,FALSE)),0)</f>
        <v>5</v>
      </c>
      <c r="B74" s="10" t="str">
        <f ca="1">IFERROR(IF(OR(AK74=0,AK74="B"),"",RANK(AZ74,AZ72:AZ87,1)),"")</f>
        <v/>
      </c>
      <c r="C74" s="10" t="str">
        <f ca="1">IFERROR(IF(OR(AK74=0,AK74="A"),"",RANK(BA74,BA72:BA87,1)),"")</f>
        <v/>
      </c>
      <c r="D74" s="55">
        <v>3</v>
      </c>
      <c r="E74" s="17">
        <f t="shared" si="27"/>
        <v>5</v>
      </c>
      <c r="F74" s="18" t="str">
        <f ca="1">IFERROR(IF(A71=0,HLOOKUP(E74,Declarations!$D$2:$S$102,C69,FALSE),HLOOKUP(VLOOKUP(E74,Teams!$V$2:$W$19,2,FALSE),Declarations!$D$2:$S$102,C69,FALSE)),"")</f>
        <v>-</v>
      </c>
      <c r="G74" s="18" t="str">
        <f t="shared" si="22"/>
        <v>Scun</v>
      </c>
      <c r="H74" s="526"/>
      <c r="I74" s="527"/>
      <c r="J74" s="526"/>
      <c r="K74" s="527"/>
      <c r="L74" s="526"/>
      <c r="M74" s="527"/>
      <c r="N74" s="526"/>
      <c r="O74" s="527"/>
      <c r="P74" s="526"/>
      <c r="Q74" s="527"/>
      <c r="R74" s="526"/>
      <c r="S74" s="527"/>
      <c r="T74" s="526"/>
      <c r="U74" s="527"/>
      <c r="V74" s="526"/>
      <c r="W74" s="527"/>
      <c r="X74" s="526"/>
      <c r="Y74" s="527"/>
      <c r="Z74" s="526"/>
      <c r="AA74" s="527"/>
      <c r="AB74" s="526"/>
      <c r="AC74" s="527"/>
      <c r="AD74" s="526"/>
      <c r="AE74" s="527"/>
      <c r="AF74" s="557">
        <f ca="1">IFERROR(INDIRECT(CONCATENATE("'Height Input'!"&amp;B70&amp;C70+2)),"")</f>
        <v>0</v>
      </c>
      <c r="AG74" s="558"/>
      <c r="AH74" s="48"/>
      <c r="AI74" s="48"/>
      <c r="AJ74" s="49">
        <f ca="1">IFERROR(IF(AF74="X",MatchDay!$U$2+MatchDay!$U$2+1-COUNTIF($AF72:AF74,"X"),IF(AF74&gt;=97,1,INT(INDIRECT(CONCATENATE("'Height Input'!"&amp;$B69&amp;$C70+2))))),"")</f>
        <v>0</v>
      </c>
      <c r="AK74" s="50">
        <f ca="1">IFERROR(IF(OR(AJ74=0,AJ74=""),0,IF(OR(AJ74&lt;=VLOOKUP(BT74,$E80:$AJ87,32,FALSE),VLOOKUP(BT74,$E80:$AJ87,32,FALSE)=0),"A","B")),0)</f>
        <v>0</v>
      </c>
      <c r="AL74" s="139" t="str">
        <f ca="1">IFERROR(IF(OR(AK74=0,AK74="B"),"",RANK(AW74,AW72:AW87,1)),"")</f>
        <v/>
      </c>
      <c r="AM74" s="139" t="str">
        <f ca="1">IFERROR(IF(OR(AK74=0,AK74="A"),"",RANK(AX74,AX72:AX87,1)),"")</f>
        <v/>
      </c>
      <c r="AN74" s="51">
        <f ca="1">IFERROR(IF(AF74="X",0,(INDIRECT(CONCATENATE("'Height Input'!"&amp;$B69&amp;$C70+2))-AJ74)*10),"")</f>
        <v>0</v>
      </c>
      <c r="AO74" s="8"/>
      <c r="AP74" s="9" t="str">
        <f t="shared" ca="1" si="28"/>
        <v/>
      </c>
      <c r="AQ74" s="9" t="str">
        <f ca="1">IF(AR74="","",HLOOKUP(AL74,BC71:BJ88,18,FALSE))</f>
        <v/>
      </c>
      <c r="AR74" s="45" t="str">
        <f ca="1">IF(OR(AL74=0,AL74=""),"",IF(COUNTIFS(AL72:AL87,AL74)&gt;1,"=",""))</f>
        <v/>
      </c>
      <c r="AS74" s="45"/>
      <c r="AT74" s="9" t="str">
        <f t="shared" ca="1" si="29"/>
        <v/>
      </c>
      <c r="AU74" s="9" t="str">
        <f ca="1">IF(AV74="","",HLOOKUP(AM74,BK71:BR88,18,FALSE))</f>
        <v/>
      </c>
      <c r="AV74" s="45" t="str">
        <f ca="1">IF(OR(AM74=0,AM74=""),"",IF(COUNTIFS(AM72:AM87,AM74)&gt;1,"=",""))</f>
        <v/>
      </c>
      <c r="AW74" s="9" t="str">
        <f t="shared" ca="1" si="23"/>
        <v/>
      </c>
      <c r="AX74" s="9" t="str">
        <f t="shared" ca="1" si="24"/>
        <v/>
      </c>
      <c r="AY74" s="47"/>
      <c r="AZ74" s="151" t="str">
        <f t="shared" ca="1" si="25"/>
        <v/>
      </c>
      <c r="BA74" s="151" t="str">
        <f t="shared" ca="1" si="26"/>
        <v/>
      </c>
      <c r="BB74" s="9"/>
      <c r="BC74" s="52" t="str">
        <f ca="1">IF(AL74="","",IF(AL74=BC71,AL74,""))</f>
        <v/>
      </c>
      <c r="BD74" s="52" t="str">
        <f ca="1">IF(AL74="","",IF(AL74=BD71,AL74,""))</f>
        <v/>
      </c>
      <c r="BE74" s="52" t="str">
        <f ca="1">IF(AL74="","",IF(AL74=BE71,AL74,""))</f>
        <v/>
      </c>
      <c r="BF74" s="52" t="str">
        <f ca="1">IF(AL74="","",IF(AL74=BF71,AL74,""))</f>
        <v/>
      </c>
      <c r="BG74" s="52" t="str">
        <f ca="1">IF(AL74="","",IF(AL74=BG71,AL74,""))</f>
        <v/>
      </c>
      <c r="BH74" s="52" t="str">
        <f ca="1">IF(AL74="","",IF(AL74=BH71,AL74,""))</f>
        <v/>
      </c>
      <c r="BI74" s="52" t="str">
        <f ca="1">IF(AL74="","",IF(AL74=BI71,AL74,""))</f>
        <v/>
      </c>
      <c r="BJ74" s="52" t="str">
        <f ca="1">IF(AL74="","",IF(AL74=BJ71,AL74,""))</f>
        <v/>
      </c>
      <c r="BK74" s="52" t="str">
        <f ca="1">IF(AM74="","",IF(AM74=BK71,AM74,""))</f>
        <v/>
      </c>
      <c r="BL74" s="52" t="str">
        <f ca="1">IF(AM74="","",IF(AM74=BL71,AM74,""))</f>
        <v/>
      </c>
      <c r="BM74" s="52" t="str">
        <f ca="1">IF(AM74="","",IF(AM74=BM71,AM74,""))</f>
        <v/>
      </c>
      <c r="BN74" s="52" t="str">
        <f ca="1">IF(AM74="","",IF(AM74=BN71,AM74,""))</f>
        <v/>
      </c>
      <c r="BO74" s="52" t="str">
        <f ca="1">IF(AM74="","",IF(AM74=BO71,AM74,""))</f>
        <v/>
      </c>
      <c r="BP74" s="52" t="str">
        <f ca="1">IF(AM74="","",IF(AM74=BP71,AM74,""))</f>
        <v/>
      </c>
      <c r="BQ74" s="52" t="str">
        <f ca="1">IF(AM74="","",IF(AM74=BQ71,AM74,""))</f>
        <v/>
      </c>
      <c r="BR74" s="52" t="str">
        <f ca="1">IF(AM74="","",IF(AM74=BR71,AM74,""))</f>
        <v/>
      </c>
      <c r="BS74" s="46"/>
      <c r="BT74" s="4">
        <f>IFERROR(IF(A71=0,A74*11,A74&amp;A74),"")</f>
        <v>55</v>
      </c>
    </row>
    <row r="75" spans="1:72" s="4" customFormat="1" ht="15.95" customHeight="1" x14ac:dyDescent="0.35">
      <c r="A75" s="8">
        <f>IFERROR(IF(D75&gt;MatchDay!$U$2,"-",VLOOKUP(A68,timetables,MatchDay!$U$4+3,FALSE)),0)</f>
        <v>1</v>
      </c>
      <c r="B75" s="10" t="str">
        <f ca="1">IFERROR(IF(OR(AK75=0,AK75="B"),"",RANK(AZ75,AZ72:AZ87,1)),"")</f>
        <v/>
      </c>
      <c r="C75" s="10">
        <f ca="1">IFERROR(IF(OR(AK75=0,AK75="A"),"",RANK(BA75,BA72:BA87,1)),"")</f>
        <v>2</v>
      </c>
      <c r="D75" s="55">
        <v>4</v>
      </c>
      <c r="E75" s="17">
        <f t="shared" si="27"/>
        <v>1</v>
      </c>
      <c r="F75" s="18" t="str">
        <f ca="1">IFERROR(IF(A71=0,HLOOKUP(E75,Declarations!$D$2:$S$102,C69,FALSE),HLOOKUP(VLOOKUP(E75,Teams!$V$2:$W$19,2,FALSE),Declarations!$D$2:$S$102,C69,FALSE)),"")</f>
        <v>HUMPHREYS Melissa</v>
      </c>
      <c r="G75" s="18" t="str">
        <f t="shared" si="22"/>
        <v>C'field</v>
      </c>
      <c r="H75" s="526"/>
      <c r="I75" s="527"/>
      <c r="J75" s="526"/>
      <c r="K75" s="527"/>
      <c r="L75" s="526"/>
      <c r="M75" s="527"/>
      <c r="N75" s="526"/>
      <c r="O75" s="527"/>
      <c r="P75" s="526"/>
      <c r="Q75" s="527"/>
      <c r="R75" s="526"/>
      <c r="S75" s="527"/>
      <c r="T75" s="526"/>
      <c r="U75" s="527"/>
      <c r="V75" s="526"/>
      <c r="W75" s="527"/>
      <c r="X75" s="526"/>
      <c r="Y75" s="527"/>
      <c r="Z75" s="526"/>
      <c r="AA75" s="527"/>
      <c r="AB75" s="526"/>
      <c r="AC75" s="527"/>
      <c r="AD75" s="526"/>
      <c r="AE75" s="527"/>
      <c r="AF75" s="557">
        <f ca="1">IFERROR(INDIRECT(CONCATENATE("'Height Input'!"&amp;B70&amp;C70+3)),"")</f>
        <v>1.3</v>
      </c>
      <c r="AG75" s="558"/>
      <c r="AH75" s="48"/>
      <c r="AI75" s="48"/>
      <c r="AJ75" s="49">
        <f ca="1">IFERROR(IF(AF75="X",MatchDay!$U$2+MatchDay!$U$2+1-COUNTIF($AF72:AF75,"X"),IF(AF75&gt;=97,1,INT(INDIRECT(CONCATENATE("'Height Input'!"&amp;$B69&amp;$C70+3))))),"")</f>
        <v>4</v>
      </c>
      <c r="AK75" s="50" t="str">
        <f ca="1">IFERROR(IF(OR(AJ75=0,AJ75=""),0,IF(OR(AJ75&lt;=VLOOKUP(BT75,$E80:$AJ87,32,FALSE),VLOOKUP(BT75,$E80:$AJ87,32,FALSE)=0),"A","B")),0)</f>
        <v>B</v>
      </c>
      <c r="AL75" s="139" t="str">
        <f ca="1">IFERROR(IF(OR(AK75=0,AK75="B"),"",RANK(AW75,AW72:AW87,1)),"")</f>
        <v/>
      </c>
      <c r="AM75" s="139">
        <f ca="1">IFERROR(IF(OR(AK75=0,AK75="A"),"",RANK(AX75,AX72:AX87,1)),"")</f>
        <v>2</v>
      </c>
      <c r="AN75" s="51">
        <f ca="1">IFERROR(IF(AF75="X",0,(INDIRECT(CONCATENATE("'Height Input'!"&amp;$B69&amp;$C70+3))-AJ75)*10),"")</f>
        <v>0</v>
      </c>
      <c r="AO75" s="8"/>
      <c r="AP75" s="9" t="str">
        <f t="shared" ca="1" si="28"/>
        <v/>
      </c>
      <c r="AQ75" s="9" t="str">
        <f ca="1">IF(AR75="","",HLOOKUP(AL75,BC71:BJ88,18,FALSE))</f>
        <v/>
      </c>
      <c r="AR75" s="45" t="str">
        <f ca="1">IF(OR(AL75=0,AL75=""),"",IF(COUNTIFS(AL72:AL87,AL75)&gt;1,"=",""))</f>
        <v/>
      </c>
      <c r="AS75" s="45"/>
      <c r="AT75" s="9" t="str">
        <f t="shared" ca="1" si="29"/>
        <v/>
      </c>
      <c r="AU75" s="9" t="str">
        <f ca="1">IF(AV75="","",HLOOKUP(AM75,BK71:BR88,18,FALSE))</f>
        <v/>
      </c>
      <c r="AV75" s="45" t="str">
        <f ca="1">IF(OR(AM75=0,AM75=""),"",IF(COUNTIFS(AM72:AM87,AM75)&gt;1,"=",""))</f>
        <v/>
      </c>
      <c r="AW75" s="9" t="str">
        <f t="shared" ca="1" si="23"/>
        <v/>
      </c>
      <c r="AX75" s="9">
        <f t="shared" ca="1" si="24"/>
        <v>4</v>
      </c>
      <c r="AY75" s="47"/>
      <c r="AZ75" s="151" t="str">
        <f t="shared" ca="1" si="25"/>
        <v/>
      </c>
      <c r="BA75" s="151">
        <f t="shared" ca="1" si="26"/>
        <v>4</v>
      </c>
      <c r="BB75" s="9"/>
      <c r="BC75" s="52" t="str">
        <f ca="1">IF(AL75="","",IF(AL75=BC71,AL75,""))</f>
        <v/>
      </c>
      <c r="BD75" s="52" t="str">
        <f ca="1">IF(AL75="","",IF(AL75=BD71,AL75,""))</f>
        <v/>
      </c>
      <c r="BE75" s="52" t="str">
        <f ca="1">IF(AL75="","",IF(AL75=BE71,AL75,""))</f>
        <v/>
      </c>
      <c r="BF75" s="52" t="str">
        <f ca="1">IF(AL75="","",IF(AL75=BF71,AL75,""))</f>
        <v/>
      </c>
      <c r="BG75" s="52" t="str">
        <f ca="1">IF(AL75="","",IF(AL75=BG71,AL75,""))</f>
        <v/>
      </c>
      <c r="BH75" s="52" t="str">
        <f ca="1">IF(AL75="","",IF(AL75=BH71,AL75,""))</f>
        <v/>
      </c>
      <c r="BI75" s="52" t="str">
        <f ca="1">IF(AL75="","",IF(AL75=BI71,AL75,""))</f>
        <v/>
      </c>
      <c r="BJ75" s="52" t="str">
        <f ca="1">IF(AL75="","",IF(AL75=BJ71,AL75,""))</f>
        <v/>
      </c>
      <c r="BK75" s="52" t="str">
        <f ca="1">IF(AM75="","",IF(AM75=BK71,AM75,""))</f>
        <v/>
      </c>
      <c r="BL75" s="52">
        <f ca="1">IF(AM75="","",IF(AM75=BL71,AM75,""))</f>
        <v>2</v>
      </c>
      <c r="BM75" s="52" t="str">
        <f ca="1">IF(AM75="","",IF(AM75=BM71,AM75,""))</f>
        <v/>
      </c>
      <c r="BN75" s="52" t="str">
        <f ca="1">IF(AM75="","",IF(AM75=BN71,AM75,""))</f>
        <v/>
      </c>
      <c r="BO75" s="52" t="str">
        <f ca="1">IF(AM75="","",IF(AM75=BO71,AM75,""))</f>
        <v/>
      </c>
      <c r="BP75" s="52" t="str">
        <f ca="1">IF(AM75="","",IF(AM75=BP71,AM75,""))</f>
        <v/>
      </c>
      <c r="BQ75" s="52" t="str">
        <f ca="1">IF(AM75="","",IF(AM75=BQ71,AM75,""))</f>
        <v/>
      </c>
      <c r="BR75" s="52" t="str">
        <f ca="1">IF(AM75="","",IF(AM75=BR71,AM75,""))</f>
        <v/>
      </c>
      <c r="BS75" s="46"/>
      <c r="BT75" s="4">
        <f>IFERROR(IF(A71=0,A75*11,A75&amp;A75),"")</f>
        <v>11</v>
      </c>
    </row>
    <row r="76" spans="1:72" s="4" customFormat="1" ht="15.95" customHeight="1" x14ac:dyDescent="0.35">
      <c r="A76" s="8">
        <f>IFERROR(IF(D76&gt;MatchDay!$U$2,"-",VLOOKUP(A68,timetables,MatchDay!$U$4+4,FALSE)),0)</f>
        <v>3</v>
      </c>
      <c r="B76" s="10" t="str">
        <f ca="1">IFERROR(IF(OR(AK76=0,AK76="B"),"",RANK(AZ76,AZ72:AZ87,1)),"")</f>
        <v/>
      </c>
      <c r="C76" s="10">
        <f ca="1">IFERROR(IF(OR(AK76=0,AK76="A"),"",RANK(BA76,BA72:BA87,1)),"")</f>
        <v>1</v>
      </c>
      <c r="D76" s="55">
        <v>5</v>
      </c>
      <c r="E76" s="17">
        <f t="shared" si="27"/>
        <v>3</v>
      </c>
      <c r="F76" s="18" t="str">
        <f ca="1">IFERROR(IF(A71=0,HLOOKUP(E76,Declarations!$D$2:$S$102,C69,FALSE),HLOOKUP(VLOOKUP(E76,Teams!$V$2:$W$19,2,FALSE),Declarations!$D$2:$S$102,C69,FALSE)),"")</f>
        <v>CLAGUE Kathryn</v>
      </c>
      <c r="G76" s="18" t="str">
        <f t="shared" si="22"/>
        <v>York</v>
      </c>
      <c r="H76" s="526"/>
      <c r="I76" s="527"/>
      <c r="J76" s="526"/>
      <c r="K76" s="527"/>
      <c r="L76" s="526"/>
      <c r="M76" s="527"/>
      <c r="N76" s="526"/>
      <c r="O76" s="527"/>
      <c r="P76" s="526"/>
      <c r="Q76" s="527"/>
      <c r="R76" s="526"/>
      <c r="S76" s="527"/>
      <c r="T76" s="526"/>
      <c r="U76" s="527"/>
      <c r="V76" s="526"/>
      <c r="W76" s="527"/>
      <c r="X76" s="526"/>
      <c r="Y76" s="527"/>
      <c r="Z76" s="526"/>
      <c r="AA76" s="527"/>
      <c r="AB76" s="526"/>
      <c r="AC76" s="527"/>
      <c r="AD76" s="526"/>
      <c r="AE76" s="527"/>
      <c r="AF76" s="557">
        <f ca="1">IFERROR(INDIRECT(CONCATENATE("'Height Input'!"&amp;B70&amp;C70+4)),"")</f>
        <v>1.3</v>
      </c>
      <c r="AG76" s="558"/>
      <c r="AH76" s="48"/>
      <c r="AI76" s="48"/>
      <c r="AJ76" s="49">
        <f ca="1">IFERROR(IF(AF76="X",MatchDay!$U$2+MatchDay!$U$2+1-COUNTIF($AF72:AF76,"X"),IF(AF76&gt;=97,1,INT(INDIRECT(CONCATENATE("'Height Input'!"&amp;$B69&amp;$C70+4))))),"")</f>
        <v>2</v>
      </c>
      <c r="AK76" s="50" t="str">
        <f ca="1">IFERROR(IF(OR(AJ76=0,AJ76=""),0,IF(OR(AJ76&lt;=VLOOKUP(BT76,$E80:$AJ87,32,FALSE),VLOOKUP(BT76,$E80:$AJ87,32,FALSE)=0),"A","B")),0)</f>
        <v>B</v>
      </c>
      <c r="AL76" s="139" t="str">
        <f ca="1">IFERROR(IF(OR(AK76=0,AK76="B"),"",RANK(AW76,AW72:AW87,1)),"")</f>
        <v/>
      </c>
      <c r="AM76" s="139">
        <f ca="1">IFERROR(IF(OR(AK76=0,AK76="A"),"",RANK(AX76,AX72:AX87,1)),"")</f>
        <v>1</v>
      </c>
      <c r="AN76" s="51">
        <f ca="1">IFERROR(IF(AF76="X",0,(INDIRECT(CONCATENATE("'Height Input'!"&amp;$B69&amp;$C70+4))-AJ76)*10),"")</f>
        <v>0</v>
      </c>
      <c r="AO76" s="8"/>
      <c r="AP76" s="9" t="str">
        <f t="shared" ca="1" si="28"/>
        <v/>
      </c>
      <c r="AQ76" s="9" t="str">
        <f ca="1">IF(AR76="","",HLOOKUP(AL76,BC71:BJ88,18,FALSE))</f>
        <v/>
      </c>
      <c r="AR76" s="45" t="str">
        <f ca="1">IF(OR(AL76=0,AL76=""),"",IF(COUNTIFS(AL72:AL87,AL76)&gt;1,"=",""))</f>
        <v/>
      </c>
      <c r="AS76" s="45"/>
      <c r="AT76" s="9" t="str">
        <f t="shared" ca="1" si="29"/>
        <v/>
      </c>
      <c r="AU76" s="9" t="str">
        <f ca="1">IF(AV76="","",HLOOKUP(AM76,BK71:BR88,18,FALSE))</f>
        <v/>
      </c>
      <c r="AV76" s="45" t="str">
        <f ca="1">IF(OR(AM76=0,AM76=""),"",IF(COUNTIFS(AM72:AM87,AM76)&gt;1,"=",""))</f>
        <v/>
      </c>
      <c r="AW76" s="9" t="str">
        <f t="shared" ca="1" si="23"/>
        <v/>
      </c>
      <c r="AX76" s="9">
        <f t="shared" ca="1" si="24"/>
        <v>2</v>
      </c>
      <c r="AY76" s="47"/>
      <c r="AZ76" s="151" t="str">
        <f t="shared" ca="1" si="25"/>
        <v/>
      </c>
      <c r="BA76" s="151">
        <f t="shared" ca="1" si="26"/>
        <v>2</v>
      </c>
      <c r="BB76" s="9"/>
      <c r="BC76" s="52" t="str">
        <f ca="1">IF(AL76="","",IF(AL76=BC71,AL76,""))</f>
        <v/>
      </c>
      <c r="BD76" s="52" t="str">
        <f ca="1">IF(AL76="","",IF(AL76=BD71,AL76,""))</f>
        <v/>
      </c>
      <c r="BE76" s="52" t="str">
        <f ca="1">IF(AL76="","",IF(AL76=BE71,AL76,""))</f>
        <v/>
      </c>
      <c r="BF76" s="52" t="str">
        <f ca="1">IF(AL76="","",IF(AL76=BF71,AL76,""))</f>
        <v/>
      </c>
      <c r="BG76" s="52" t="str">
        <f ca="1">IF(AL76="","",IF(AL76=BG71,AL76,""))</f>
        <v/>
      </c>
      <c r="BH76" s="52" t="str">
        <f ca="1">IF(AL76="","",IF(AL76=BH71,AL76,""))</f>
        <v/>
      </c>
      <c r="BI76" s="52" t="str">
        <f ca="1">IF(AL76="","",IF(AL76=BI71,AL76,""))</f>
        <v/>
      </c>
      <c r="BJ76" s="52" t="str">
        <f ca="1">IF(AL76="","",IF(AL76=BJ71,AL76,""))</f>
        <v/>
      </c>
      <c r="BK76" s="52">
        <f ca="1">IF(AM76="","",IF(AM76=BK71,AM76,""))</f>
        <v>1</v>
      </c>
      <c r="BL76" s="52" t="str">
        <f ca="1">IF(AM76="","",IF(AM76=BL71,AM76,""))</f>
        <v/>
      </c>
      <c r="BM76" s="52" t="str">
        <f ca="1">IF(AM76="","",IF(AM76=BM71,AM76,""))</f>
        <v/>
      </c>
      <c r="BN76" s="52" t="str">
        <f ca="1">IF(AM76="","",IF(AM76=BN71,AM76,""))</f>
        <v/>
      </c>
      <c r="BO76" s="52" t="str">
        <f ca="1">IF(AM76="","",IF(AM76=BO71,AM76,""))</f>
        <v/>
      </c>
      <c r="BP76" s="52" t="str">
        <f ca="1">IF(AM76="","",IF(AM76=BP71,AM76,""))</f>
        <v/>
      </c>
      <c r="BQ76" s="52" t="str">
        <f ca="1">IF(AM76="","",IF(AM76=BQ71,AM76,""))</f>
        <v/>
      </c>
      <c r="BR76" s="52" t="str">
        <f ca="1">IF(AM76="","",IF(AM76=BR71,AM76,""))</f>
        <v/>
      </c>
      <c r="BS76" s="46"/>
      <c r="BT76" s="4">
        <f>IFERROR(IF(A71=0,A76*11,A76&amp;A76),"")</f>
        <v>33</v>
      </c>
    </row>
    <row r="77" spans="1:72" s="4" customFormat="1" ht="15.95" customHeight="1" x14ac:dyDescent="0.35">
      <c r="A77" s="8" t="str">
        <f>IFERROR(IF(D77&gt;MatchDay!$U$2,"-",VLOOKUP(A68,timetables,MatchDay!$U$4+5,FALSE)),0)</f>
        <v>-</v>
      </c>
      <c r="B77" s="10" t="str">
        <f ca="1">IFERROR(IF(OR(AK77=0,AK77="B"),"",RANK(AZ77,AZ72:AZ87,1)),"")</f>
        <v/>
      </c>
      <c r="C77" s="10" t="str">
        <f ca="1">IFERROR(IF(OR(AK77=0,AK77="A"),"",RANK(BA77,BA72:BA87,1)),"")</f>
        <v/>
      </c>
      <c r="D77" s="55">
        <v>6</v>
      </c>
      <c r="E77" s="17" t="str">
        <f t="shared" si="27"/>
        <v>-</v>
      </c>
      <c r="F77" s="18" t="str">
        <f>IFERROR(IF(A71=0,HLOOKUP(E77,Declarations!$D$2:$S$102,C69,FALSE),HLOOKUP(VLOOKUP(E77,Teams!$V$2:$W$19,2,FALSE),Declarations!$D$2:$S$102,C69,FALSE)),"")</f>
        <v/>
      </c>
      <c r="G77" s="18" t="str">
        <f t="shared" si="22"/>
        <v/>
      </c>
      <c r="H77" s="526"/>
      <c r="I77" s="527"/>
      <c r="J77" s="526"/>
      <c r="K77" s="527"/>
      <c r="L77" s="526"/>
      <c r="M77" s="527"/>
      <c r="N77" s="526"/>
      <c r="O77" s="527"/>
      <c r="P77" s="526"/>
      <c r="Q77" s="527"/>
      <c r="R77" s="526"/>
      <c r="S77" s="527"/>
      <c r="T77" s="526"/>
      <c r="U77" s="527"/>
      <c r="V77" s="526"/>
      <c r="W77" s="527"/>
      <c r="X77" s="526"/>
      <c r="Y77" s="527"/>
      <c r="Z77" s="526"/>
      <c r="AA77" s="527"/>
      <c r="AB77" s="526"/>
      <c r="AC77" s="527"/>
      <c r="AD77" s="526"/>
      <c r="AE77" s="527"/>
      <c r="AF77" s="557">
        <f ca="1">IFERROR(INDIRECT(CONCATENATE("'Height Input'!"&amp;B70&amp;C70+5)),"")</f>
        <v>0</v>
      </c>
      <c r="AG77" s="558"/>
      <c r="AH77" s="48"/>
      <c r="AI77" s="48"/>
      <c r="AJ77" s="49">
        <f ca="1">IFERROR(IF(AF77="X",MatchDay!$U$2+MatchDay!$U$2+1-COUNTIF($AF72:AF77,"X"),IF(AF77&gt;=97,1,INT(INDIRECT(CONCATENATE("'Height Input'!"&amp;$B69&amp;$C70+5))))),"")</f>
        <v>0</v>
      </c>
      <c r="AK77" s="50">
        <f ca="1">IFERROR(IF(OR(AJ77=0,AJ77=""),0,IF(OR(AJ77&lt;=VLOOKUP(BT77,$E80:$AJ87,32,FALSE),VLOOKUP(BT77,$E80:$AJ87,32,FALSE)=0),"A","B")),0)</f>
        <v>0</v>
      </c>
      <c r="AL77" s="139" t="str">
        <f ca="1">IFERROR(IF(OR(AK77=0,AK77="B"),"",RANK(AW77,AW72:AW87,1)),"")</f>
        <v/>
      </c>
      <c r="AM77" s="139" t="str">
        <f ca="1">IFERROR(IF(OR(AK77=0,AK77="A"),"",RANK(AX77,AX72:AX87,1)),"")</f>
        <v/>
      </c>
      <c r="AN77" s="51">
        <f ca="1">IFERROR(IF(AF77="X",0,(INDIRECT(CONCATENATE("'Height Input'!"&amp;$B69&amp;$C70+5))-AJ77)*10),"")</f>
        <v>0</v>
      </c>
      <c r="AO77" s="8"/>
      <c r="AP77" s="9" t="str">
        <f t="shared" ca="1" si="28"/>
        <v/>
      </c>
      <c r="AQ77" s="9" t="str">
        <f ca="1">IF(AR77="","",HLOOKUP(AL77,BC71:BJ88,18,FALSE))</f>
        <v/>
      </c>
      <c r="AR77" s="45" t="str">
        <f ca="1">IF(OR(AL77=0,AL77=""),"",IF(COUNTIFS(AL72:AL87,AL77)&gt;1,"=",""))</f>
        <v/>
      </c>
      <c r="AS77" s="45"/>
      <c r="AT77" s="9" t="str">
        <f t="shared" ca="1" si="29"/>
        <v/>
      </c>
      <c r="AU77" s="9" t="str">
        <f ca="1">IF(AV77="","",HLOOKUP(AM77,BK71:BR88,18,FALSE))</f>
        <v/>
      </c>
      <c r="AV77" s="45" t="str">
        <f ca="1">IF(OR(AM77=0,AM77=""),"",IF(COUNTIFS(AM72:AM87,AM77)&gt;1,"=",""))</f>
        <v/>
      </c>
      <c r="AW77" s="9" t="str">
        <f t="shared" ca="1" si="23"/>
        <v/>
      </c>
      <c r="AX77" s="9" t="str">
        <f t="shared" ca="1" si="24"/>
        <v/>
      </c>
      <c r="AY77" s="47"/>
      <c r="AZ77" s="151" t="str">
        <f t="shared" ca="1" si="25"/>
        <v/>
      </c>
      <c r="BA77" s="151" t="str">
        <f t="shared" ca="1" si="26"/>
        <v/>
      </c>
      <c r="BB77" s="9"/>
      <c r="BC77" s="52" t="str">
        <f ca="1">IF(AL77="","",IF(AL77=BC71,AL77,""))</f>
        <v/>
      </c>
      <c r="BD77" s="52" t="str">
        <f ca="1">IF(AL77="","",IF(AL77=BD71,AL77,""))</f>
        <v/>
      </c>
      <c r="BE77" s="52" t="str">
        <f ca="1">IF(AL77="","",IF(AL77=BE71,AL77,""))</f>
        <v/>
      </c>
      <c r="BF77" s="52" t="str">
        <f ca="1">IF(AL77="","",IF(AL77=BF71,AL77,""))</f>
        <v/>
      </c>
      <c r="BG77" s="52" t="str">
        <f ca="1">IF(AL77="","",IF(AL77=BG71,AL77,""))</f>
        <v/>
      </c>
      <c r="BH77" s="52" t="str">
        <f ca="1">IF(AL77="","",IF(AL77=BH71,AL77,""))</f>
        <v/>
      </c>
      <c r="BI77" s="52" t="str">
        <f ca="1">IF(AL77="","",IF(AL77=BI71,AL77,""))</f>
        <v/>
      </c>
      <c r="BJ77" s="52" t="str">
        <f ca="1">IF(AL77="","",IF(AL77=BJ71,AL77,""))</f>
        <v/>
      </c>
      <c r="BK77" s="52" t="str">
        <f ca="1">IF(AM77="","",IF(AM77=BK71,AM77,""))</f>
        <v/>
      </c>
      <c r="BL77" s="52" t="str">
        <f ca="1">IF(AM77="","",IF(AM77=BL71,AM77,""))</f>
        <v/>
      </c>
      <c r="BM77" s="52" t="str">
        <f ca="1">IF(AM77="","",IF(AM77=BM71,AM77,""))</f>
        <v/>
      </c>
      <c r="BN77" s="52" t="str">
        <f ca="1">IF(AM77="","",IF(AM77=BN71,AM77,""))</f>
        <v/>
      </c>
      <c r="BO77" s="52" t="str">
        <f ca="1">IF(AM77="","",IF(AM77=BO71,AM77,""))</f>
        <v/>
      </c>
      <c r="BP77" s="52" t="str">
        <f ca="1">IF(AM77="","",IF(AM77=BP71,AM77,""))</f>
        <v/>
      </c>
      <c r="BQ77" s="52" t="str">
        <f ca="1">IF(AM77="","",IF(AM77=BQ71,AM77,""))</f>
        <v/>
      </c>
      <c r="BR77" s="52" t="str">
        <f ca="1">IF(AM77="","",IF(AM77=BR71,AM77,""))</f>
        <v/>
      </c>
      <c r="BS77" s="46"/>
      <c r="BT77" s="4" t="str">
        <f>IFERROR(IF(A71=0,A77*11,A77&amp;A77),"")</f>
        <v/>
      </c>
    </row>
    <row r="78" spans="1:72" s="4" customFormat="1" ht="15.95" customHeight="1" x14ac:dyDescent="0.35">
      <c r="A78" s="8" t="str">
        <f>IFERROR(IF(D78&gt;MatchDay!$U$2,"-",VLOOKUP(A68,timetables,MatchDay!$U$4+6,FALSE)),0)</f>
        <v>-</v>
      </c>
      <c r="B78" s="10" t="str">
        <f ca="1">IFERROR(IF(OR(AK78=0,AK78="B"),"",RANK(AZ78,AZ72:AZ87,1)),"")</f>
        <v/>
      </c>
      <c r="C78" s="10" t="str">
        <f ca="1">IFERROR(IF(OR(AK78=0,AK78="A"),"",RANK(BA78,BA72:BA87,1)),"")</f>
        <v/>
      </c>
      <c r="D78" s="55">
        <v>7</v>
      </c>
      <c r="E78" s="17" t="str">
        <f t="shared" si="27"/>
        <v>-</v>
      </c>
      <c r="F78" s="18" t="str">
        <f>IFERROR(IF(A71=0,HLOOKUP(E78,Declarations!$D$2:$S$102,C69,FALSE),HLOOKUP(VLOOKUP(E78,Teams!$V$2:$W$19,2,FALSE),Declarations!$D$2:$S$102,C69,FALSE)),"")</f>
        <v/>
      </c>
      <c r="G78" s="18" t="str">
        <f t="shared" si="22"/>
        <v/>
      </c>
      <c r="H78" s="526"/>
      <c r="I78" s="527"/>
      <c r="J78" s="526"/>
      <c r="K78" s="527"/>
      <c r="L78" s="526"/>
      <c r="M78" s="527"/>
      <c r="N78" s="526"/>
      <c r="O78" s="527"/>
      <c r="P78" s="526"/>
      <c r="Q78" s="527"/>
      <c r="R78" s="526"/>
      <c r="S78" s="527"/>
      <c r="T78" s="526"/>
      <c r="U78" s="527"/>
      <c r="V78" s="526"/>
      <c r="W78" s="527"/>
      <c r="X78" s="526"/>
      <c r="Y78" s="527"/>
      <c r="Z78" s="526"/>
      <c r="AA78" s="527"/>
      <c r="AB78" s="526"/>
      <c r="AC78" s="527"/>
      <c r="AD78" s="526"/>
      <c r="AE78" s="527"/>
      <c r="AF78" s="557">
        <f ca="1">IFERROR(INDIRECT(CONCATENATE("'Height Input'!"&amp;B70&amp;C70+6)),"")</f>
        <v>0</v>
      </c>
      <c r="AG78" s="558"/>
      <c r="AH78" s="48"/>
      <c r="AI78" s="48"/>
      <c r="AJ78" s="49">
        <f ca="1">IFERROR(IF(AF78="X",MatchDay!$U$2+MatchDay!$U$2+1-COUNTIF($AF72:AF78,"X"),IF(AF78&gt;=97,1,INT(INDIRECT(CONCATENATE("'Height Input'!"&amp;$B69&amp;$C70+6))))),"")</f>
        <v>0</v>
      </c>
      <c r="AK78" s="50">
        <f ca="1">IFERROR(IF(OR(AJ78=0,AJ78=""),0,IF(OR(AJ78&lt;=VLOOKUP(BT78,$E80:$AJ87,32,FALSE),VLOOKUP(BT78,$E80:$AJ87,32,FALSE)=0),"A","B")),0)</f>
        <v>0</v>
      </c>
      <c r="AL78" s="139" t="str">
        <f ca="1">IFERROR(IF(OR(AK78=0,AK78="B"),"",RANK(AW78,AW72:AW87,1)),"")</f>
        <v/>
      </c>
      <c r="AM78" s="139" t="str">
        <f ca="1">IFERROR(IF(OR(AK78=0,AK78="A"),"",RANK(AX78,AX72:AX87,1)),"")</f>
        <v/>
      </c>
      <c r="AN78" s="51">
        <f ca="1">IFERROR(IF(AF78="X",0,(INDIRECT(CONCATENATE("'Height Input'!"&amp;$B69&amp;$C70+6))-AJ78)*10),"")</f>
        <v>0</v>
      </c>
      <c r="AO78" s="8"/>
      <c r="AP78" s="9" t="str">
        <f t="shared" ca="1" si="28"/>
        <v/>
      </c>
      <c r="AQ78" s="9" t="str">
        <f ca="1">IF(AR78="","",HLOOKUP(AL78,BC71:BJ88,18,FALSE))</f>
        <v/>
      </c>
      <c r="AR78" s="45" t="str">
        <f ca="1">IF(OR(AL78=0,AL78=""),"",IF(COUNTIFS(AL72:AL87,AL78)&gt;1,"=",""))</f>
        <v/>
      </c>
      <c r="AS78" s="45"/>
      <c r="AT78" s="9" t="str">
        <f t="shared" ca="1" si="29"/>
        <v/>
      </c>
      <c r="AU78" s="9" t="str">
        <f ca="1">IF(AV78="","",HLOOKUP(AM78,BK71:BR88,18,FALSE))</f>
        <v/>
      </c>
      <c r="AV78" s="45" t="str">
        <f ca="1">IF(OR(AM78=0,AM78=""),"",IF(COUNTIFS(AM72:AM87,AM78)&gt;1,"=",""))</f>
        <v/>
      </c>
      <c r="AW78" s="9" t="str">
        <f t="shared" ca="1" si="23"/>
        <v/>
      </c>
      <c r="AX78" s="9" t="str">
        <f t="shared" ca="1" si="24"/>
        <v/>
      </c>
      <c r="AY78" s="47"/>
      <c r="AZ78" s="151" t="str">
        <f t="shared" ca="1" si="25"/>
        <v/>
      </c>
      <c r="BA78" s="151" t="str">
        <f t="shared" ca="1" si="26"/>
        <v/>
      </c>
      <c r="BB78" s="9"/>
      <c r="BC78" s="52" t="str">
        <f ca="1">IF(AL78="","",IF(AL78=BC71,AL78,""))</f>
        <v/>
      </c>
      <c r="BD78" s="52" t="str">
        <f ca="1">IF(AL78="","",IF(AL78=BD71,AL78,""))</f>
        <v/>
      </c>
      <c r="BE78" s="52" t="str">
        <f ca="1">IF(AL78="","",IF(AL78=BE71,AL78,""))</f>
        <v/>
      </c>
      <c r="BF78" s="52" t="str">
        <f ca="1">IF(AL78="","",IF(AL78=BF71,AL78,""))</f>
        <v/>
      </c>
      <c r="BG78" s="52" t="str">
        <f ca="1">IF(AL78="","",IF(AL78=BG71,AL78,""))</f>
        <v/>
      </c>
      <c r="BH78" s="52" t="str">
        <f ca="1">IF(AL78="","",IF(AL78=BH71,AL78,""))</f>
        <v/>
      </c>
      <c r="BI78" s="52" t="str">
        <f ca="1">IF(AL78="","",IF(AL78=BI71,AL78,""))</f>
        <v/>
      </c>
      <c r="BJ78" s="52" t="str">
        <f ca="1">IF(AL78="","",IF(AL78=BJ71,AL78,""))</f>
        <v/>
      </c>
      <c r="BK78" s="52" t="str">
        <f ca="1">IF(AM78="","",IF(AM78=BK71,AM78,""))</f>
        <v/>
      </c>
      <c r="BL78" s="52" t="str">
        <f ca="1">IF(AM78="","",IF(AM78=BL71,AM78,""))</f>
        <v/>
      </c>
      <c r="BM78" s="52" t="str">
        <f ca="1">IF(AM78="","",IF(AM78=BM71,AM78,""))</f>
        <v/>
      </c>
      <c r="BN78" s="52" t="str">
        <f ca="1">IF(AM78="","",IF(AM78=BN71,AM78,""))</f>
        <v/>
      </c>
      <c r="BO78" s="52" t="str">
        <f ca="1">IF(AM78="","",IF(AM78=BO71,AM78,""))</f>
        <v/>
      </c>
      <c r="BP78" s="52" t="str">
        <f ca="1">IF(AM78="","",IF(AM78=BP71,AM78,""))</f>
        <v/>
      </c>
      <c r="BQ78" s="52" t="str">
        <f ca="1">IF(AM78="","",IF(AM78=BQ71,AM78,""))</f>
        <v/>
      </c>
      <c r="BR78" s="52" t="str">
        <f ca="1">IF(AM78="","",IF(AM78=BR71,AM78,""))</f>
        <v/>
      </c>
      <c r="BS78" s="46"/>
      <c r="BT78" s="4" t="str">
        <f>IFERROR(IF(A71=0,A78*11,A78&amp;A78),"")</f>
        <v/>
      </c>
    </row>
    <row r="79" spans="1:72" s="4" customFormat="1" ht="15.95" customHeight="1" x14ac:dyDescent="0.35">
      <c r="A79" s="8" t="str">
        <f>IFERROR(IF(D79&gt;MatchDay!$U$2,"-",VLOOKUP(A68,timetables,MatchDay!$U$4+7,FALSE)),0)</f>
        <v>-</v>
      </c>
      <c r="B79" s="10" t="str">
        <f ca="1">IFERROR(IF(OR(AK79=0,AK79="B"),"",RANK(AZ79,AZ72:AZ87,1)),"")</f>
        <v/>
      </c>
      <c r="C79" s="10" t="str">
        <f ca="1">IFERROR(IF(OR(AK79=0,AK79="A"),"",RANK(BA79,BA72:BA87,1)),"")</f>
        <v/>
      </c>
      <c r="D79" s="55">
        <v>8</v>
      </c>
      <c r="E79" s="17" t="str">
        <f t="shared" si="27"/>
        <v>-</v>
      </c>
      <c r="F79" s="18" t="str">
        <f>IFERROR(IF(A71=0,HLOOKUP(E79,Declarations!$D$2:$S$102,C69,FALSE),HLOOKUP(VLOOKUP(E79,Teams!$V$2:$W$19,2,FALSE),Declarations!$D$2:$S$102,C69,FALSE)),"")</f>
        <v/>
      </c>
      <c r="G79" s="18" t="str">
        <f t="shared" si="22"/>
        <v/>
      </c>
      <c r="H79" s="526"/>
      <c r="I79" s="527"/>
      <c r="J79" s="526"/>
      <c r="K79" s="527"/>
      <c r="L79" s="526"/>
      <c r="M79" s="527"/>
      <c r="N79" s="526"/>
      <c r="O79" s="527"/>
      <c r="P79" s="526"/>
      <c r="Q79" s="527"/>
      <c r="R79" s="526"/>
      <c r="S79" s="527"/>
      <c r="T79" s="526"/>
      <c r="U79" s="527"/>
      <c r="V79" s="526"/>
      <c r="W79" s="527"/>
      <c r="X79" s="526"/>
      <c r="Y79" s="527"/>
      <c r="Z79" s="526"/>
      <c r="AA79" s="527"/>
      <c r="AB79" s="526"/>
      <c r="AC79" s="527"/>
      <c r="AD79" s="526"/>
      <c r="AE79" s="527"/>
      <c r="AF79" s="557">
        <f ca="1">IFERROR(INDIRECT(CONCATENATE("'Height Input'!"&amp;B70&amp;C70+7)),"")</f>
        <v>0</v>
      </c>
      <c r="AG79" s="558"/>
      <c r="AH79" s="48"/>
      <c r="AI79" s="48"/>
      <c r="AJ79" s="49">
        <f ca="1">IFERROR(IF(AF79="X",MatchDay!$U$2+MatchDay!$U$2+1-COUNTIF($AF72:AF79,"X"),IF(AF79&gt;=97,1,INT(INDIRECT(CONCATENATE("'Height Input'!"&amp;$B69&amp;$C70+7))))),"")</f>
        <v>0</v>
      </c>
      <c r="AK79" s="50">
        <f ca="1">IFERROR(IF(OR(AJ79=0,AJ79=""),0,IF(OR(AJ79&lt;=VLOOKUP(BT79,$E80:$AJ87,32,FALSE),VLOOKUP(BT79,$E80:$AJ87,32,FALSE)=0),"A","B")),0)</f>
        <v>0</v>
      </c>
      <c r="AL79" s="139" t="str">
        <f ca="1">IFERROR(IF(OR(AK79=0,AK79="B"),"",RANK(AW79,AW72:AW87,1)),"")</f>
        <v/>
      </c>
      <c r="AM79" s="139" t="str">
        <f ca="1">IFERROR(IF(OR(AK79=0,AK79="A"),"",RANK(AX79,AX72:AX87,1)),"")</f>
        <v/>
      </c>
      <c r="AN79" s="51">
        <f ca="1">IFERROR(IF(AF79="X",0,(INDIRECT(CONCATENATE("'Height Input'!"&amp;$B69&amp;$C70+7))-AJ79)*10),"")</f>
        <v>0</v>
      </c>
      <c r="AO79" s="8"/>
      <c r="AP79" s="9" t="str">
        <f t="shared" ca="1" si="28"/>
        <v/>
      </c>
      <c r="AQ79" s="9" t="str">
        <f ca="1">IF(AR79="","",HLOOKUP(AL79,BC71:BJ88,18,FALSE))</f>
        <v/>
      </c>
      <c r="AR79" s="45" t="str">
        <f ca="1">IF(OR(AL79=0,AL79=""),"",IF(COUNTIFS(AL72:AL87,AL79)&gt;1,"=",""))</f>
        <v/>
      </c>
      <c r="AS79" s="45"/>
      <c r="AT79" s="9" t="str">
        <f t="shared" ca="1" si="29"/>
        <v/>
      </c>
      <c r="AU79" s="9" t="str">
        <f ca="1">IF(AV79="","",HLOOKUP(AM79,BK71:BR88,18,FALSE))</f>
        <v/>
      </c>
      <c r="AV79" s="45" t="str">
        <f ca="1">IF(OR(AM79=0,AM79=""),"",IF(COUNTIFS(AM72:AM87,AM79)&gt;1,"=",""))</f>
        <v/>
      </c>
      <c r="AW79" s="9" t="str">
        <f t="shared" ca="1" si="23"/>
        <v/>
      </c>
      <c r="AX79" s="9" t="str">
        <f t="shared" ca="1" si="24"/>
        <v/>
      </c>
      <c r="AY79" s="47"/>
      <c r="AZ79" s="151" t="str">
        <f t="shared" ca="1" si="25"/>
        <v/>
      </c>
      <c r="BA79" s="151" t="str">
        <f t="shared" ca="1" si="26"/>
        <v/>
      </c>
      <c r="BB79" s="9"/>
      <c r="BC79" s="52" t="str">
        <f ca="1">IF(AL79="","",IF(AL79=BC71,AL79,""))</f>
        <v/>
      </c>
      <c r="BD79" s="52" t="str">
        <f ca="1">IF(AL79="","",IF(AL79=BD71,AL79,""))</f>
        <v/>
      </c>
      <c r="BE79" s="52" t="str">
        <f ca="1">IF(AL79="","",IF(AL79=BE71,AL79,""))</f>
        <v/>
      </c>
      <c r="BF79" s="52" t="str">
        <f ca="1">IF(AL79="","",IF(AL79=BF71,AL79,""))</f>
        <v/>
      </c>
      <c r="BG79" s="52" t="str">
        <f ca="1">IF(AL79="","",IF(AL79=BG71,AL79,""))</f>
        <v/>
      </c>
      <c r="BH79" s="52" t="str">
        <f ca="1">IF(AL79="","",IF(AL79=BH71,AL79,""))</f>
        <v/>
      </c>
      <c r="BI79" s="52" t="str">
        <f ca="1">IF(AL79="","",IF(AL79=BI71,AL79,""))</f>
        <v/>
      </c>
      <c r="BJ79" s="52" t="str">
        <f ca="1">IF(AL79="","",IF(AL79=BJ71,AL79,""))</f>
        <v/>
      </c>
      <c r="BK79" s="52" t="str">
        <f ca="1">IF(AM79="","",IF(AM79=BK71,AM79,""))</f>
        <v/>
      </c>
      <c r="BL79" s="52" t="str">
        <f ca="1">IF(AM79="","",IF(AM79=BL71,AM79,""))</f>
        <v/>
      </c>
      <c r="BM79" s="52" t="str">
        <f ca="1">IF(AM79="","",IF(AM79=BM71,AM79,""))</f>
        <v/>
      </c>
      <c r="BN79" s="52" t="str">
        <f ca="1">IF(AM79="","",IF(AM79=BN71,AM79,""))</f>
        <v/>
      </c>
      <c r="BO79" s="52" t="str">
        <f ca="1">IF(AM79="","",IF(AM79=BO71,AM79,""))</f>
        <v/>
      </c>
      <c r="BP79" s="52" t="str">
        <f ca="1">IF(AM79="","",IF(AM79=BP71,AM79,""))</f>
        <v/>
      </c>
      <c r="BQ79" s="52" t="str">
        <f ca="1">IF(AM79="","",IF(AM79=BQ71,AM79,""))</f>
        <v/>
      </c>
      <c r="BR79" s="52" t="str">
        <f ca="1">IF(AM79="","",IF(AM79=BR71,AM79,""))</f>
        <v/>
      </c>
      <c r="BS79" s="46"/>
      <c r="BT79" s="4" t="str">
        <f>IFERROR(IF(A71=0,A79*11,A79&amp;A79),"")</f>
        <v/>
      </c>
    </row>
    <row r="80" spans="1:72" s="4" customFormat="1" ht="15.95" customHeight="1" x14ac:dyDescent="0.35">
      <c r="A80" s="8">
        <f>IFERROR(IF(A71=0,A72*11,A72&amp;A72),"-")</f>
        <v>44</v>
      </c>
      <c r="B80" s="10" t="str">
        <f ca="1">IFERROR(IF(OR(AK80=0,AK80="B"),"",RANK(AZ80,AZ72:AZ87,1)),"")</f>
        <v/>
      </c>
      <c r="C80" s="10" t="str">
        <f ca="1">IFERROR(IF(OR(AK80=0,AK80="A"),"",RANK(BA80,BA72:BA87,1)),"")</f>
        <v/>
      </c>
      <c r="D80" s="55">
        <v>9</v>
      </c>
      <c r="E80" s="17">
        <f t="shared" si="27"/>
        <v>44</v>
      </c>
      <c r="F80" s="18" t="str">
        <f ca="1">IFERROR(IF(A71=0,HLOOKUP(E80,Declarations!$D$2:$S$102,C69,FALSE),HLOOKUP(VLOOKUP(E80,Teams!$V$2:$W$19,2,FALSE),Declarations!$D$2:$S$102,C69,FALSE)),"")</f>
        <v>-</v>
      </c>
      <c r="G80" s="18" t="str">
        <f t="shared" si="22"/>
        <v>M'bro</v>
      </c>
      <c r="H80" s="526"/>
      <c r="I80" s="527"/>
      <c r="J80" s="526"/>
      <c r="K80" s="527"/>
      <c r="L80" s="526"/>
      <c r="M80" s="527"/>
      <c r="N80" s="526"/>
      <c r="O80" s="527"/>
      <c r="P80" s="526"/>
      <c r="Q80" s="527"/>
      <c r="R80" s="526"/>
      <c r="S80" s="527"/>
      <c r="T80" s="526"/>
      <c r="U80" s="527"/>
      <c r="V80" s="526"/>
      <c r="W80" s="527"/>
      <c r="X80" s="526"/>
      <c r="Y80" s="527"/>
      <c r="Z80" s="526"/>
      <c r="AA80" s="527"/>
      <c r="AB80" s="526"/>
      <c r="AC80" s="527"/>
      <c r="AD80" s="526"/>
      <c r="AE80" s="527"/>
      <c r="AF80" s="557">
        <f ca="1">IFERROR(INDIRECT(CONCATENATE("'Height Input'!"&amp;B70&amp;C70+8)),"")</f>
        <v>0</v>
      </c>
      <c r="AG80" s="558"/>
      <c r="AH80" s="48"/>
      <c r="AI80" s="48"/>
      <c r="AJ80" s="49">
        <f ca="1">IFERROR(IF(AF80="X",MatchDay!$U$2+MatchDay!$U$2+1-COUNTIF($AF72:AF80,"X"),IF(AF80&gt;=97,1,INT(INDIRECT(CONCATENATE("'Height Input'!"&amp;$B69&amp;$C70+8))))),"")</f>
        <v>0</v>
      </c>
      <c r="AK80" s="50">
        <f ca="1">IFERROR(IF(OR(AJ80=0,AJ80=""),0,IF(OR(AJ80&lt;VLOOKUP(BT80,$E72:$AJ79,32,FALSE),VLOOKUP(BT80,$E72:$AJ79,32,FALSE)=0),"A","B")),0)</f>
        <v>0</v>
      </c>
      <c r="AL80" s="139" t="str">
        <f ca="1">IFERROR(IF(OR(AK80=0,AK80="B"),"",RANK(AW80,AW72:AW87,1)),"")</f>
        <v/>
      </c>
      <c r="AM80" s="139" t="str">
        <f ca="1">IFERROR(IF(OR(AK80=0,AK80="A"),"",RANK(AX80,AX72:AX87,1)),"")</f>
        <v/>
      </c>
      <c r="AN80" s="51">
        <f ca="1">IFERROR(IF(AF80="X",0,(INDIRECT(CONCATENATE("'Height Input'!"&amp;$B69&amp;$C70+8))-AJ80)*10),"")</f>
        <v>0</v>
      </c>
      <c r="AO80" s="8"/>
      <c r="AP80" s="9" t="str">
        <f t="shared" ca="1" si="28"/>
        <v/>
      </c>
      <c r="AQ80" s="9" t="str">
        <f ca="1">IF(AR80="","",HLOOKUP(AL80,BC71:BJ88,18,FALSE))</f>
        <v/>
      </c>
      <c r="AR80" s="45" t="str">
        <f ca="1">IF(OR(AL80=0,AL80=""),"",IF(COUNTIFS(AL72:AL87,AL80)&gt;1,"=",""))</f>
        <v/>
      </c>
      <c r="AS80" s="45"/>
      <c r="AT80" s="9" t="str">
        <f t="shared" ca="1" si="29"/>
        <v/>
      </c>
      <c r="AU80" s="9" t="str">
        <f ca="1">IF(AV80="","",HLOOKUP(AM80,BK71:BR88,18,FALSE))</f>
        <v/>
      </c>
      <c r="AV80" s="45" t="str">
        <f ca="1">IF(OR(AM80=0,AM80=""),"",IF(COUNTIFS(AM72:AM87,AM80)&gt;1,"=",""))</f>
        <v/>
      </c>
      <c r="AW80" s="9" t="str">
        <f t="shared" ca="1" si="23"/>
        <v/>
      </c>
      <c r="AX80" s="9" t="str">
        <f t="shared" ca="1" si="24"/>
        <v/>
      </c>
      <c r="AY80" s="47"/>
      <c r="AZ80" s="151" t="str">
        <f t="shared" ca="1" si="25"/>
        <v/>
      </c>
      <c r="BA80" s="151" t="str">
        <f t="shared" ca="1" si="26"/>
        <v/>
      </c>
      <c r="BB80" s="9"/>
      <c r="BC80" s="52" t="str">
        <f ca="1">IF(AL80="","",IF(AL80=BC71,AL80,""))</f>
        <v/>
      </c>
      <c r="BD80" s="52" t="str">
        <f ca="1">IF(AL80="","",IF(AL80=BD71,AL80,""))</f>
        <v/>
      </c>
      <c r="BE80" s="52" t="str">
        <f ca="1">IF(AL80="","",IF(AL80=BE71,AL80,""))</f>
        <v/>
      </c>
      <c r="BF80" s="52" t="str">
        <f ca="1">IF(AL80="","",IF(AL80=BF71,AL80,""))</f>
        <v/>
      </c>
      <c r="BG80" s="52" t="str">
        <f ca="1">IF(AL80="","",IF(AL80=BG71,AL80,""))</f>
        <v/>
      </c>
      <c r="BH80" s="52" t="str">
        <f ca="1">IF(AL80="","",IF(AL80=BH71,AL80,""))</f>
        <v/>
      </c>
      <c r="BI80" s="52" t="str">
        <f ca="1">IF(AL80="","",IF(AL80=BI71,AL80,""))</f>
        <v/>
      </c>
      <c r="BJ80" s="52" t="str">
        <f ca="1">IF(AL80="","",IF(AL80=BJ71,AL80,""))</f>
        <v/>
      </c>
      <c r="BK80" s="52" t="str">
        <f ca="1">IF(AM80="","",IF(AM80=BK71,AM80,""))</f>
        <v/>
      </c>
      <c r="BL80" s="52" t="str">
        <f ca="1">IF(AM80="","",IF(AM80=BL71,AM80,""))</f>
        <v/>
      </c>
      <c r="BM80" s="52" t="str">
        <f ca="1">IF(AM80="","",IF(AM80=BM71,AM80,""))</f>
        <v/>
      </c>
      <c r="BN80" s="52" t="str">
        <f ca="1">IF(AM80="","",IF(AM80=BN71,AM80,""))</f>
        <v/>
      </c>
      <c r="BO80" s="52" t="str">
        <f ca="1">IF(AM80="","",IF(AM80=BO71,AM80,""))</f>
        <v/>
      </c>
      <c r="BP80" s="52" t="str">
        <f ca="1">IF(AM80="","",IF(AM80=BP71,AM80,""))</f>
        <v/>
      </c>
      <c r="BQ80" s="52" t="str">
        <f ca="1">IF(AM80="","",IF(AM80=BQ71,AM80,""))</f>
        <v/>
      </c>
      <c r="BR80" s="52" t="str">
        <f ca="1">IF(AM80="","",IF(AM80=BR71,AM80,""))</f>
        <v/>
      </c>
      <c r="BS80" s="46"/>
      <c r="BT80" s="4">
        <f>IFERROR(IF(A71=0,A80/11,LEFT(A80,1)),"")</f>
        <v>4</v>
      </c>
    </row>
    <row r="81" spans="1:72" s="4" customFormat="1" ht="15.95" customHeight="1" x14ac:dyDescent="0.35">
      <c r="A81" s="8">
        <f>IFERROR(IF(A71=0,A73*11,A73&amp;A73),"-")</f>
        <v>22</v>
      </c>
      <c r="B81" s="10" t="str">
        <f ca="1">IFERROR(IF(OR(AK81=0,AK81="B"),"",RANK(AZ81,AZ72:AZ87,1)),"")</f>
        <v/>
      </c>
      <c r="C81" s="10">
        <f ca="1">IFERROR(IF(OR(AK81=0,AK81="A"),"",RANK(BA81,BA72:BA87,1)),"")</f>
        <v>3</v>
      </c>
      <c r="D81" s="55">
        <v>10</v>
      </c>
      <c r="E81" s="17">
        <f t="shared" si="27"/>
        <v>22</v>
      </c>
      <c r="F81" s="18" t="str">
        <f ca="1">IFERROR(IF(A71=0,HLOOKUP(E81,Declarations!$D$2:$S$102,C69,FALSE),HLOOKUP(VLOOKUP(E81,Teams!$V$2:$W$19,2,FALSE),Declarations!$D$2:$S$102,C69,FALSE)),"")</f>
        <v>HARTLEY Eleanor</v>
      </c>
      <c r="G81" s="18" t="str">
        <f t="shared" si="22"/>
        <v>Sheff+D</v>
      </c>
      <c r="H81" s="526"/>
      <c r="I81" s="527"/>
      <c r="J81" s="526"/>
      <c r="K81" s="527"/>
      <c r="L81" s="526"/>
      <c r="M81" s="527"/>
      <c r="N81" s="526"/>
      <c r="O81" s="527"/>
      <c r="P81" s="526"/>
      <c r="Q81" s="527"/>
      <c r="R81" s="526"/>
      <c r="S81" s="527"/>
      <c r="T81" s="526"/>
      <c r="U81" s="527"/>
      <c r="V81" s="526"/>
      <c r="W81" s="527"/>
      <c r="X81" s="526"/>
      <c r="Y81" s="527"/>
      <c r="Z81" s="526"/>
      <c r="AA81" s="527"/>
      <c r="AB81" s="526"/>
      <c r="AC81" s="527"/>
      <c r="AD81" s="526"/>
      <c r="AE81" s="527"/>
      <c r="AF81" s="557">
        <f ca="1">IFERROR(INDIRECT(CONCATENATE("'Height Input'!"&amp;B70&amp;C70+9)),"")</f>
        <v>1.2</v>
      </c>
      <c r="AG81" s="558"/>
      <c r="AH81" s="48"/>
      <c r="AI81" s="48"/>
      <c r="AJ81" s="49">
        <f ca="1">IFERROR(IF(AF81="X",MatchDay!$U$2+MatchDay!$U$2+1-COUNTIF($AF72:AF81,"X"),IF(AF81&gt;=97,1,INT(INDIRECT(CONCATENATE("'Height Input'!"&amp;$B69&amp;$C70+9))))),"")</f>
        <v>5</v>
      </c>
      <c r="AK81" s="50" t="str">
        <f ca="1">IFERROR(IF(OR(AJ81=0,AJ81=""),0,IF(OR(AJ81&lt;VLOOKUP(BT81,$E72:$AJ79,32,FALSE),VLOOKUP(BT81,$E72:$AJ79,32,FALSE)=0),"A","B")),0)</f>
        <v>B</v>
      </c>
      <c r="AL81" s="139" t="str">
        <f ca="1">IFERROR(IF(OR(AK81=0,AK81="B"),"",RANK(AW81,AW72:AW87,1)),"")</f>
        <v/>
      </c>
      <c r="AM81" s="139">
        <f ca="1">IFERROR(IF(OR(AK81=0,AK81="A"),"",RANK(AX81,AX72:AX87,1)),"")</f>
        <v>3</v>
      </c>
      <c r="AN81" s="51">
        <f ca="1">IFERROR(IF(AF81="X",0,(INDIRECT(CONCATENATE("'Height Input'!"&amp;$B69&amp;$C70+9))-AJ81)*10),"")</f>
        <v>2.0000000000000018</v>
      </c>
      <c r="AO81" s="8"/>
      <c r="AP81" s="9" t="str">
        <f t="shared" ca="1" si="28"/>
        <v/>
      </c>
      <c r="AQ81" s="9" t="str">
        <f ca="1">IF(AR81="","",HLOOKUP(AL81,BC71:BJ88,18,FALSE))</f>
        <v/>
      </c>
      <c r="AR81" s="45" t="str">
        <f ca="1">IF(OR(AL81=0,AL81=""),"",IF(COUNTIFS(AL72:AL87,AL81)&gt;1,"=",""))</f>
        <v/>
      </c>
      <c r="AS81" s="45"/>
      <c r="AT81" s="9" t="str">
        <f t="shared" ca="1" si="29"/>
        <v/>
      </c>
      <c r="AU81" s="9" t="str">
        <f ca="1">IF(AV81="","",HLOOKUP(AM81,BK71:BR88,18,FALSE))</f>
        <v/>
      </c>
      <c r="AV81" s="45" t="str">
        <f ca="1">IF(OR(AM81=0,AM81=""),"",IF(COUNTIFS(AM72:AM87,AM81)&gt;1,"=",""))</f>
        <v/>
      </c>
      <c r="AW81" s="9" t="str">
        <f t="shared" ca="1" si="23"/>
        <v/>
      </c>
      <c r="AX81" s="9">
        <f t="shared" ca="1" si="24"/>
        <v>5</v>
      </c>
      <c r="AY81" s="47"/>
      <c r="AZ81" s="151" t="str">
        <f t="shared" ca="1" si="25"/>
        <v/>
      </c>
      <c r="BA81" s="151">
        <f t="shared" ca="1" si="26"/>
        <v>5.2</v>
      </c>
      <c r="BB81" s="9"/>
      <c r="BC81" s="52" t="str">
        <f ca="1">IF(AL81="","",IF(AL81=BC71,AL81,""))</f>
        <v/>
      </c>
      <c r="BD81" s="52" t="str">
        <f ca="1">IF(AL81="","",IF(AL81=BD71,AL81,""))</f>
        <v/>
      </c>
      <c r="BE81" s="52" t="str">
        <f ca="1">IF(AL81="","",IF(AL81=BE71,AL81,""))</f>
        <v/>
      </c>
      <c r="BF81" s="52" t="str">
        <f ca="1">IF(AL81="","",IF(AL81=BF71,AL81,""))</f>
        <v/>
      </c>
      <c r="BG81" s="52" t="str">
        <f ca="1">IF(AL81="","",IF(AL81=BG71,AL81,""))</f>
        <v/>
      </c>
      <c r="BH81" s="52" t="str">
        <f ca="1">IF(AL81="","",IF(AL81=BH71,AL81,""))</f>
        <v/>
      </c>
      <c r="BI81" s="52" t="str">
        <f ca="1">IF(AL81="","",IF(AL81=BI71,AL81,""))</f>
        <v/>
      </c>
      <c r="BJ81" s="52" t="str">
        <f ca="1">IF(AL81="","",IF(AL81=BJ71,AL81,""))</f>
        <v/>
      </c>
      <c r="BK81" s="52" t="str">
        <f ca="1">IF(AM81="","",IF(AM81=BK71,AM81,""))</f>
        <v/>
      </c>
      <c r="BL81" s="52" t="str">
        <f ca="1">IF(AM81="","",IF(AM81=BL71,AM81,""))</f>
        <v/>
      </c>
      <c r="BM81" s="52">
        <f ca="1">IF(AM81="","",IF(AM81=BM71,AM81,""))</f>
        <v>3</v>
      </c>
      <c r="BN81" s="52" t="str">
        <f ca="1">IF(AM81="","",IF(AM81=BN71,AM81,""))</f>
        <v/>
      </c>
      <c r="BO81" s="52" t="str">
        <f ca="1">IF(AM81="","",IF(AM81=BO71,AM81,""))</f>
        <v/>
      </c>
      <c r="BP81" s="52" t="str">
        <f ca="1">IF(AM81="","",IF(AM81=BP71,AM81,""))</f>
        <v/>
      </c>
      <c r="BQ81" s="52" t="str">
        <f ca="1">IF(AM81="","",IF(AM81=BQ71,AM81,""))</f>
        <v/>
      </c>
      <c r="BR81" s="52" t="str">
        <f ca="1">IF(AM81="","",IF(AM81=BR71,AM81,""))</f>
        <v/>
      </c>
      <c r="BS81" s="46"/>
      <c r="BT81" s="4">
        <f>IFERROR(IF(A71=0,A81/11,LEFT(A81,1)),"")</f>
        <v>2</v>
      </c>
    </row>
    <row r="82" spans="1:72" s="4" customFormat="1" ht="15.95" customHeight="1" x14ac:dyDescent="0.35">
      <c r="A82" s="8">
        <f>IFERROR(IF(A71=0,A74*11,A74&amp;A74),"-")</f>
        <v>55</v>
      </c>
      <c r="B82" s="10" t="str">
        <f ca="1">IFERROR(IF(OR(AK82=0,AK82="B"),"",RANK(AZ82,AZ72:AZ87,1)),"")</f>
        <v/>
      </c>
      <c r="C82" s="10" t="str">
        <f ca="1">IFERROR(IF(OR(AK82=0,AK82="A"),"",RANK(BA82,BA72:BA87,1)),"")</f>
        <v/>
      </c>
      <c r="D82" s="55">
        <v>11</v>
      </c>
      <c r="E82" s="17">
        <f t="shared" si="27"/>
        <v>55</v>
      </c>
      <c r="F82" s="18">
        <f ca="1">IFERROR(IF(A71=0,HLOOKUP(E82,Declarations!$D$2:$S$102,C69,FALSE),HLOOKUP(VLOOKUP(E82,Teams!$V$2:$W$19,2,FALSE),Declarations!$D$2:$S$102,C69,FALSE)),"")</f>
        <v>0</v>
      </c>
      <c r="G82" s="18" t="str">
        <f t="shared" si="22"/>
        <v>Scun</v>
      </c>
      <c r="H82" s="526"/>
      <c r="I82" s="527"/>
      <c r="J82" s="526"/>
      <c r="K82" s="527"/>
      <c r="L82" s="526"/>
      <c r="M82" s="527"/>
      <c r="N82" s="526"/>
      <c r="O82" s="527"/>
      <c r="P82" s="526"/>
      <c r="Q82" s="527"/>
      <c r="R82" s="526"/>
      <c r="S82" s="527"/>
      <c r="T82" s="526"/>
      <c r="U82" s="527"/>
      <c r="V82" s="526"/>
      <c r="W82" s="527"/>
      <c r="X82" s="526"/>
      <c r="Y82" s="527"/>
      <c r="Z82" s="526"/>
      <c r="AA82" s="527"/>
      <c r="AB82" s="526"/>
      <c r="AC82" s="527"/>
      <c r="AD82" s="526"/>
      <c r="AE82" s="527"/>
      <c r="AF82" s="557">
        <f ca="1">IFERROR(INDIRECT(CONCATENATE("'Height Input'!"&amp;B70&amp;C70+10)),"")</f>
        <v>0</v>
      </c>
      <c r="AG82" s="558"/>
      <c r="AH82" s="48"/>
      <c r="AI82" s="48"/>
      <c r="AJ82" s="49">
        <f ca="1">IFERROR(IF(AF82="X",MatchDay!$U$2+MatchDay!$U$2+1-COUNTIF($AF72:AF82,"X"),IF(AF82&gt;=97,1,INT(INDIRECT(CONCATENATE("'Height Input'!"&amp;$B69&amp;$C70+10))))),"")</f>
        <v>0</v>
      </c>
      <c r="AK82" s="50">
        <f ca="1">IFERROR(IF(OR(AJ82=0,AJ82=""),0,IF(OR(AJ82&lt;VLOOKUP(BT82,$E72:$AJ79,32,FALSE),VLOOKUP(BT82,$E72:$AJ79,32,FALSE)=0),"A","B")),0)</f>
        <v>0</v>
      </c>
      <c r="AL82" s="139" t="str">
        <f ca="1">IFERROR(IF(OR(AK82=0,AK82="B"),"",RANK(AW82,AW72:AW87,1)),"")</f>
        <v/>
      </c>
      <c r="AM82" s="139" t="str">
        <f ca="1">IFERROR(IF(OR(AK82=0,AK82="A"),"",RANK(AX82,AX72:AX87,1)),"")</f>
        <v/>
      </c>
      <c r="AN82" s="51">
        <f ca="1">IFERROR(IF(AF82="X",0,(INDIRECT(CONCATENATE("'Height Input'!"&amp;$B69&amp;$C70+10))-AJ82)*10),"")</f>
        <v>0</v>
      </c>
      <c r="AO82" s="8"/>
      <c r="AP82" s="9" t="str">
        <f t="shared" ca="1" si="28"/>
        <v/>
      </c>
      <c r="AQ82" s="9" t="str">
        <f ca="1">IF(AR82="","",HLOOKUP(AL82,BC71:BJ88,18,FALSE))</f>
        <v/>
      </c>
      <c r="AR82" s="45" t="str">
        <f ca="1">IF(OR(AL82=0,AL82=""),"",IF(COUNTIFS(AL72:AL87,AL82)&gt;1,"=",""))</f>
        <v/>
      </c>
      <c r="AS82" s="45"/>
      <c r="AT82" s="9" t="str">
        <f t="shared" ca="1" si="29"/>
        <v/>
      </c>
      <c r="AU82" s="9" t="str">
        <f ca="1">IF(AV82="","",HLOOKUP(AM82,BK71:BR88,18,FALSE))</f>
        <v/>
      </c>
      <c r="AV82" s="45" t="str">
        <f ca="1">IF(OR(AM82=0,AM82=""),"",IF(COUNTIFS(AM72:AM87,AM82)&gt;1,"=",""))</f>
        <v/>
      </c>
      <c r="AW82" s="9" t="str">
        <f t="shared" ca="1" si="23"/>
        <v/>
      </c>
      <c r="AX82" s="9" t="str">
        <f t="shared" ca="1" si="24"/>
        <v/>
      </c>
      <c r="AY82" s="47"/>
      <c r="AZ82" s="151" t="str">
        <f t="shared" ca="1" si="25"/>
        <v/>
      </c>
      <c r="BA82" s="151" t="str">
        <f t="shared" ca="1" si="26"/>
        <v/>
      </c>
      <c r="BB82" s="9"/>
      <c r="BC82" s="52" t="str">
        <f ca="1">IF(AL82="","",IF(AL82=BC71,AL82,""))</f>
        <v/>
      </c>
      <c r="BD82" s="52" t="str">
        <f ca="1">IF(AL82="","",IF(AL82=BD71,AL82,""))</f>
        <v/>
      </c>
      <c r="BE82" s="52" t="str">
        <f ca="1">IF(AL82="","",IF(AL82=BE71,AL82,""))</f>
        <v/>
      </c>
      <c r="BF82" s="52" t="str">
        <f ca="1">IF(AL82="","",IF(AL82=BF71,AL82,""))</f>
        <v/>
      </c>
      <c r="BG82" s="52" t="str">
        <f ca="1">IF(AL82="","",IF(AL82=BG71,AL82,""))</f>
        <v/>
      </c>
      <c r="BH82" s="52" t="str">
        <f ca="1">IF(AL82="","",IF(AL82=BH71,AL82,""))</f>
        <v/>
      </c>
      <c r="BI82" s="52" t="str">
        <f ca="1">IF(AL82="","",IF(AL82=BI71,AL82,""))</f>
        <v/>
      </c>
      <c r="BJ82" s="52" t="str">
        <f ca="1">IF(AL82="","",IF(AL82=BJ71,AL82,""))</f>
        <v/>
      </c>
      <c r="BK82" s="52" t="str">
        <f ca="1">IF(AM82="","",IF(AM82=BK71,AM82,""))</f>
        <v/>
      </c>
      <c r="BL82" s="52" t="str">
        <f ca="1">IF(AM82="","",IF(AM82=BL71,AM82,""))</f>
        <v/>
      </c>
      <c r="BM82" s="52" t="str">
        <f ca="1">IF(AM82="","",IF(AM82=BM71,AM82,""))</f>
        <v/>
      </c>
      <c r="BN82" s="52" t="str">
        <f ca="1">IF(AM82="","",IF(AM82=BN71,AM82,""))</f>
        <v/>
      </c>
      <c r="BO82" s="52" t="str">
        <f ca="1">IF(AM82="","",IF(AM82=BO71,AM82,""))</f>
        <v/>
      </c>
      <c r="BP82" s="52" t="str">
        <f ca="1">IF(AM82="","",IF(AM82=BP71,AM82,""))</f>
        <v/>
      </c>
      <c r="BQ82" s="52" t="str">
        <f ca="1">IF(AM82="","",IF(AM82=BQ71,AM82,""))</f>
        <v/>
      </c>
      <c r="BR82" s="52" t="str">
        <f ca="1">IF(AM82="","",IF(AM82=BR71,AM82,""))</f>
        <v/>
      </c>
      <c r="BS82" s="46"/>
      <c r="BT82" s="4">
        <f>IFERROR(IF(A71=0,A82/11,LEFT(A82,1)),"")</f>
        <v>5</v>
      </c>
    </row>
    <row r="83" spans="1:72" s="4" customFormat="1" ht="15.95" customHeight="1" x14ac:dyDescent="0.35">
      <c r="A83" s="8">
        <f>IFERROR(IF(A71=0,A75*11,A75&amp;A75),"-")</f>
        <v>11</v>
      </c>
      <c r="B83" s="10">
        <f ca="1">IFERROR(IF(OR(AK83=0,AK83="B"),"",RANK(AZ83,AZ72:AZ87,1)),"")</f>
        <v>2</v>
      </c>
      <c r="C83" s="10" t="str">
        <f ca="1">IFERROR(IF(OR(AK83=0,AK83="A"),"",RANK(BA83,BA72:BA87,1)),"")</f>
        <v/>
      </c>
      <c r="D83" s="55">
        <v>12</v>
      </c>
      <c r="E83" s="17">
        <f t="shared" si="27"/>
        <v>11</v>
      </c>
      <c r="F83" s="18" t="str">
        <f ca="1">IFERROR(IF(A71=0,HLOOKUP(E83,Declarations!$D$2:$S$102,C69,FALSE),HLOOKUP(VLOOKUP(E83,Teams!$V$2:$W$19,2,FALSE),Declarations!$D$2:$S$102,C69,FALSE)),"")</f>
        <v>STANILAND Charlotte</v>
      </c>
      <c r="G83" s="18" t="str">
        <f t="shared" si="22"/>
        <v>C'field</v>
      </c>
      <c r="H83" s="526"/>
      <c r="I83" s="527"/>
      <c r="J83" s="526"/>
      <c r="K83" s="527"/>
      <c r="L83" s="526"/>
      <c r="M83" s="527"/>
      <c r="N83" s="526"/>
      <c r="O83" s="527"/>
      <c r="P83" s="526"/>
      <c r="Q83" s="527"/>
      <c r="R83" s="526"/>
      <c r="S83" s="527"/>
      <c r="T83" s="526"/>
      <c r="U83" s="527"/>
      <c r="V83" s="526"/>
      <c r="W83" s="527"/>
      <c r="X83" s="526"/>
      <c r="Y83" s="527"/>
      <c r="Z83" s="526"/>
      <c r="AA83" s="527"/>
      <c r="AB83" s="526"/>
      <c r="AC83" s="527"/>
      <c r="AD83" s="526"/>
      <c r="AE83" s="527"/>
      <c r="AF83" s="557">
        <f ca="1">IFERROR(INDIRECT(CONCATENATE("'Height Input'!"&amp;B70&amp;C70+11)),"")</f>
        <v>1.3</v>
      </c>
      <c r="AG83" s="558"/>
      <c r="AH83" s="48"/>
      <c r="AI83" s="48"/>
      <c r="AJ83" s="49">
        <f ca="1">IFERROR(IF(AF83="X",MatchDay!$U$2+MatchDay!$U$2+1-COUNTIF($AF72:AF83,"X"),IF(AF83&gt;=97,1,INT(INDIRECT(CONCATENATE("'Height Input'!"&amp;$B69&amp;$C70+11))))),"")</f>
        <v>3</v>
      </c>
      <c r="AK83" s="50" t="str">
        <f ca="1">IFERROR(IF(OR(AJ83=0,AJ83=""),0,IF(OR(AJ83&lt;VLOOKUP(BT83,$E72:$AJ79,32,FALSE),VLOOKUP(BT83,$E72:$AJ79,32,FALSE)=0),"A","B")),0)</f>
        <v>A</v>
      </c>
      <c r="AL83" s="139">
        <f ca="1">IFERROR(IF(OR(AK83=0,AK83="B"),"",RANK(AW83,AW72:AW87,1)),"")</f>
        <v>2</v>
      </c>
      <c r="AM83" s="139" t="str">
        <f ca="1">IFERROR(IF(OR(AK83=0,AK83="A"),"",RANK(AX83,AX72:AX87,1)),"")</f>
        <v/>
      </c>
      <c r="AN83" s="51">
        <f ca="1">IFERROR(IF(AF83="X",0,(INDIRECT(CONCATENATE("'Height Input'!"&amp;$B69&amp;$C70+11))-AJ83)*10),"")</f>
        <v>0</v>
      </c>
      <c r="AO83" s="8"/>
      <c r="AP83" s="9" t="str">
        <f t="shared" ca="1" si="28"/>
        <v/>
      </c>
      <c r="AQ83" s="9" t="str">
        <f ca="1">IF(AR83="","",HLOOKUP(AL83,BC71:BJ88,18,FALSE))</f>
        <v/>
      </c>
      <c r="AR83" s="45" t="str">
        <f ca="1">IF(OR(AL83=0,AL83=""),"",IF(COUNTIFS(AL72:AL87,AL83)&gt;1,"=",""))</f>
        <v/>
      </c>
      <c r="AS83" s="45"/>
      <c r="AT83" s="9" t="str">
        <f t="shared" ca="1" si="29"/>
        <v/>
      </c>
      <c r="AU83" s="9" t="str">
        <f ca="1">IF(AV83="","",HLOOKUP(AM83,BK71:BR88,18,FALSE))</f>
        <v/>
      </c>
      <c r="AV83" s="45" t="str">
        <f ca="1">IF(OR(AM83=0,AM83=""),"",IF(COUNTIFS(AM72:AM87,AM83)&gt;1,"=",""))</f>
        <v/>
      </c>
      <c r="AW83" s="9">
        <f t="shared" ca="1" si="23"/>
        <v>3</v>
      </c>
      <c r="AX83" s="9" t="str">
        <f t="shared" ca="1" si="24"/>
        <v/>
      </c>
      <c r="AY83" s="47"/>
      <c r="AZ83" s="151">
        <f t="shared" ca="1" si="25"/>
        <v>3</v>
      </c>
      <c r="BA83" s="151" t="str">
        <f t="shared" ca="1" si="26"/>
        <v/>
      </c>
      <c r="BB83" s="9"/>
      <c r="BC83" s="52" t="str">
        <f ca="1">IF(AL83="","",IF(AL83=BC71,AL83,""))</f>
        <v/>
      </c>
      <c r="BD83" s="52">
        <f ca="1">IF(AL83="","",IF(AL83=BD71,AL83,""))</f>
        <v>2</v>
      </c>
      <c r="BE83" s="52" t="str">
        <f ca="1">IF(AL83="","",IF(AL83=BE71,AL83,""))</f>
        <v/>
      </c>
      <c r="BF83" s="52" t="str">
        <f ca="1">IF(AL83="","",IF(AL83=BF71,AL83,""))</f>
        <v/>
      </c>
      <c r="BG83" s="52" t="str">
        <f ca="1">IF(AL83="","",IF(AL83=BG71,AL83,""))</f>
        <v/>
      </c>
      <c r="BH83" s="52" t="str">
        <f ca="1">IF(AL83="","",IF(AL83=BH71,AL83,""))</f>
        <v/>
      </c>
      <c r="BI83" s="52" t="str">
        <f ca="1">IF(AL83="","",IF(AL83=BI71,AL83,""))</f>
        <v/>
      </c>
      <c r="BJ83" s="52" t="str">
        <f ca="1">IF(AL83="","",IF(AL83=BJ71,AL83,""))</f>
        <v/>
      </c>
      <c r="BK83" s="52" t="str">
        <f ca="1">IF(AM83="","",IF(AM83=BK71,AM83,""))</f>
        <v/>
      </c>
      <c r="BL83" s="52" t="str">
        <f ca="1">IF(AM83="","",IF(AM83=BL71,AM83,""))</f>
        <v/>
      </c>
      <c r="BM83" s="52" t="str">
        <f ca="1">IF(AM83="","",IF(AM83=BM71,AM83,""))</f>
        <v/>
      </c>
      <c r="BN83" s="52" t="str">
        <f ca="1">IF(AM83="","",IF(AM83=BN71,AM83,""))</f>
        <v/>
      </c>
      <c r="BO83" s="52" t="str">
        <f ca="1">IF(AM83="","",IF(AM83=BO71,AM83,""))</f>
        <v/>
      </c>
      <c r="BP83" s="52" t="str">
        <f ca="1">IF(AM83="","",IF(AM83=BP71,AM83,""))</f>
        <v/>
      </c>
      <c r="BQ83" s="52" t="str">
        <f ca="1">IF(AM83="","",IF(AM83=BQ71,AM83,""))</f>
        <v/>
      </c>
      <c r="BR83" s="52" t="str">
        <f ca="1">IF(AM83="","",IF(AM83=BR71,AM83,""))</f>
        <v/>
      </c>
      <c r="BS83" s="46"/>
      <c r="BT83" s="4">
        <f>IFERROR(IF(A71=0,A83/11,LEFT(A83,1)),"")</f>
        <v>1</v>
      </c>
    </row>
    <row r="84" spans="1:72" s="4" customFormat="1" ht="15.95" customHeight="1" x14ac:dyDescent="0.35">
      <c r="A84" s="8">
        <f>IFERROR(IF(A71=0,A76*11,A76&amp;A76),"-")</f>
        <v>33</v>
      </c>
      <c r="B84" s="10">
        <f ca="1">IFERROR(IF(OR(AK84=0,AK84="B"),"",RANK(AZ84,AZ72:AZ87,1)),"")</f>
        <v>1</v>
      </c>
      <c r="C84" s="10" t="str">
        <f ca="1">IFERROR(IF(OR(AK84=0,AK84="A"),"",RANK(BA84,BA72:BA87,1)),"")</f>
        <v/>
      </c>
      <c r="D84" s="55">
        <v>13</v>
      </c>
      <c r="E84" s="17">
        <f t="shared" si="27"/>
        <v>33</v>
      </c>
      <c r="F84" s="18" t="str">
        <f ca="1">IFERROR(IF(A71=0,HLOOKUP(E84,Declarations!$D$2:$S$102,C69,FALSE),HLOOKUP(VLOOKUP(E84,Teams!$V$2:$W$19,2,FALSE),Declarations!$D$2:$S$102,C69,FALSE)),"")</f>
        <v>POUNDER Esme</v>
      </c>
      <c r="G84" s="18" t="str">
        <f t="shared" si="22"/>
        <v>York</v>
      </c>
      <c r="H84" s="526"/>
      <c r="I84" s="527"/>
      <c r="J84" s="526"/>
      <c r="K84" s="527"/>
      <c r="L84" s="526"/>
      <c r="M84" s="527"/>
      <c r="N84" s="526"/>
      <c r="O84" s="527"/>
      <c r="P84" s="526"/>
      <c r="Q84" s="527"/>
      <c r="R84" s="526"/>
      <c r="S84" s="527"/>
      <c r="T84" s="526"/>
      <c r="U84" s="527"/>
      <c r="V84" s="526"/>
      <c r="W84" s="527"/>
      <c r="X84" s="526"/>
      <c r="Y84" s="527"/>
      <c r="Z84" s="526"/>
      <c r="AA84" s="527"/>
      <c r="AB84" s="526"/>
      <c r="AC84" s="527"/>
      <c r="AD84" s="526"/>
      <c r="AE84" s="527"/>
      <c r="AF84" s="557">
        <f ca="1">IFERROR(INDIRECT(CONCATENATE("'Height Input'!"&amp;B70&amp;C70+12)),"")</f>
        <v>1.41</v>
      </c>
      <c r="AG84" s="558"/>
      <c r="AH84" s="48"/>
      <c r="AI84" s="48"/>
      <c r="AJ84" s="49">
        <f ca="1">IFERROR(IF(AF84="X",MatchDay!$U$2+MatchDay!$U$2+1-COUNTIF($AF72:AF84,"X"),IF(AF84&gt;=97,1,INT(INDIRECT(CONCATENATE("'Height Input'!"&amp;$B69&amp;$C70+12))))),"")</f>
        <v>1</v>
      </c>
      <c r="AK84" s="50" t="str">
        <f ca="1">IFERROR(IF(OR(AJ84=0,AJ84=""),0,IF(OR(AJ84&lt;VLOOKUP(BT84,$E72:$AJ79,32,FALSE),VLOOKUP(BT84,$E72:$AJ79,32,FALSE)=0),"A","B")),0)</f>
        <v>A</v>
      </c>
      <c r="AL84" s="139">
        <f ca="1">IFERROR(IF(OR(AK84=0,AK84="B"),"",RANK(AW84,AW72:AW87,1)),"")</f>
        <v>1</v>
      </c>
      <c r="AM84" s="139" t="str">
        <f ca="1">IFERROR(IF(OR(AK84=0,AK84="A"),"",RANK(AX84,AX72:AX87,1)),"")</f>
        <v/>
      </c>
      <c r="AN84" s="51">
        <f ca="1">IFERROR(IF(AF84="X",0,(INDIRECT(CONCATENATE("'Height Input'!"&amp;$B69&amp;$C70+12))-AJ84)*10),"")</f>
        <v>0</v>
      </c>
      <c r="AO84" s="8"/>
      <c r="AP84" s="9" t="str">
        <f t="shared" ca="1" si="28"/>
        <v/>
      </c>
      <c r="AQ84" s="9" t="str">
        <f ca="1">IF(AR84="","",HLOOKUP(AL84,BC71:BJ88,18,FALSE))</f>
        <v/>
      </c>
      <c r="AR84" s="45" t="str">
        <f ca="1">IF(OR(AL84=0,AL84=""),"",IF(COUNTIFS(AL72:AL87,AL84)&gt;1,"=",""))</f>
        <v/>
      </c>
      <c r="AS84" s="45"/>
      <c r="AT84" s="9" t="str">
        <f t="shared" ca="1" si="29"/>
        <v/>
      </c>
      <c r="AU84" s="9" t="str">
        <f ca="1">IF(AV84="","",HLOOKUP(AM84,BK71:BR88,18,FALSE))</f>
        <v/>
      </c>
      <c r="AV84" s="45" t="str">
        <f ca="1">IF(OR(AM84=0,AM84=""),"",IF(COUNTIFS(AM72:AM87,AM84)&gt;1,"=",""))</f>
        <v/>
      </c>
      <c r="AW84" s="9">
        <f t="shared" ca="1" si="23"/>
        <v>1</v>
      </c>
      <c r="AX84" s="9" t="str">
        <f t="shared" ca="1" si="24"/>
        <v/>
      </c>
      <c r="AY84" s="47"/>
      <c r="AZ84" s="151">
        <f t="shared" ca="1" si="25"/>
        <v>1</v>
      </c>
      <c r="BA84" s="151" t="str">
        <f t="shared" ca="1" si="26"/>
        <v/>
      </c>
      <c r="BB84" s="9"/>
      <c r="BC84" s="52">
        <f ca="1">IF(AL84="","",IF(AL84=BC71,AL84,""))</f>
        <v>1</v>
      </c>
      <c r="BD84" s="52" t="str">
        <f ca="1">IF(AL84="","",IF(AL84=BD71,AL84,""))</f>
        <v/>
      </c>
      <c r="BE84" s="52" t="str">
        <f ca="1">IF(AL84="","",IF(AL84=BE71,AL84,""))</f>
        <v/>
      </c>
      <c r="BF84" s="52" t="str">
        <f ca="1">IF(AL84="","",IF(AL84=BF71,AL84,""))</f>
        <v/>
      </c>
      <c r="BG84" s="52" t="str">
        <f ca="1">IF(AL84="","",IF(AL84=BG71,AL84,""))</f>
        <v/>
      </c>
      <c r="BH84" s="52" t="str">
        <f ca="1">IF(AL84="","",IF(AL84=BH71,AL84,""))</f>
        <v/>
      </c>
      <c r="BI84" s="52" t="str">
        <f ca="1">IF(AL84="","",IF(AL84=BI71,AL84,""))</f>
        <v/>
      </c>
      <c r="BJ84" s="52" t="str">
        <f ca="1">IF(AL84="","",IF(AL84=BJ71,AL84,""))</f>
        <v/>
      </c>
      <c r="BK84" s="52" t="str">
        <f ca="1">IF(AM84="","",IF(AM84=BK71,AM84,""))</f>
        <v/>
      </c>
      <c r="BL84" s="52" t="str">
        <f ca="1">IF(AM84="","",IF(AM84=BL71,AM84,""))</f>
        <v/>
      </c>
      <c r="BM84" s="52" t="str">
        <f ca="1">IF(AM84="","",IF(AM84=BM71,AM84,""))</f>
        <v/>
      </c>
      <c r="BN84" s="52" t="str">
        <f ca="1">IF(AM84="","",IF(AM84=BN71,AM84,""))</f>
        <v/>
      </c>
      <c r="BO84" s="52" t="str">
        <f ca="1">IF(AM84="","",IF(AM84=BO71,AM84,""))</f>
        <v/>
      </c>
      <c r="BP84" s="52" t="str">
        <f ca="1">IF(AM84="","",IF(AM84=BP71,AM84,""))</f>
        <v/>
      </c>
      <c r="BQ84" s="52" t="str">
        <f ca="1">IF(AM84="","",IF(AM84=BQ71,AM84,""))</f>
        <v/>
      </c>
      <c r="BR84" s="52" t="str">
        <f ca="1">IF(AM84="","",IF(AM84=BR71,AM84,""))</f>
        <v/>
      </c>
      <c r="BS84" s="46"/>
      <c r="BT84" s="4">
        <f>IFERROR(IF(A71=0,A84/11,LEFT(A84,1)),"")</f>
        <v>3</v>
      </c>
    </row>
    <row r="85" spans="1:72" s="4" customFormat="1" ht="15.95" customHeight="1" x14ac:dyDescent="0.35">
      <c r="A85" s="8" t="str">
        <f>IFERROR(IF(A71=0,A77*11,A77&amp;A77),"-")</f>
        <v>-</v>
      </c>
      <c r="B85" s="10" t="str">
        <f ca="1">IFERROR(IF(OR(AK85=0,AK85="B"),"",RANK(AZ85,AZ72:AZ87,1)),"")</f>
        <v/>
      </c>
      <c r="C85" s="10" t="str">
        <f ca="1">IFERROR(IF(OR(AK85=0,AK85="A"),"",RANK(BA85,BA72:BA87,1)),"")</f>
        <v/>
      </c>
      <c r="D85" s="55">
        <v>14</v>
      </c>
      <c r="E85" s="17" t="str">
        <f t="shared" si="27"/>
        <v>-</v>
      </c>
      <c r="F85" s="18" t="str">
        <f>IFERROR(IF(A71=0,HLOOKUP(E85,Declarations!$D$2:$S$102,C69,FALSE),HLOOKUP(VLOOKUP(E85,Teams!$V$2:$W$19,2,FALSE),Declarations!$D$2:$S$102,C69,FALSE)),"")</f>
        <v/>
      </c>
      <c r="G85" s="18" t="str">
        <f t="shared" si="22"/>
        <v/>
      </c>
      <c r="H85" s="526"/>
      <c r="I85" s="527"/>
      <c r="J85" s="526"/>
      <c r="K85" s="527"/>
      <c r="L85" s="526"/>
      <c r="M85" s="527"/>
      <c r="N85" s="526"/>
      <c r="O85" s="527"/>
      <c r="P85" s="526"/>
      <c r="Q85" s="527"/>
      <c r="R85" s="526"/>
      <c r="S85" s="527"/>
      <c r="T85" s="526"/>
      <c r="U85" s="527"/>
      <c r="V85" s="526"/>
      <c r="W85" s="527"/>
      <c r="X85" s="526"/>
      <c r="Y85" s="527"/>
      <c r="Z85" s="526"/>
      <c r="AA85" s="527"/>
      <c r="AB85" s="526"/>
      <c r="AC85" s="527"/>
      <c r="AD85" s="526"/>
      <c r="AE85" s="527"/>
      <c r="AF85" s="557">
        <f ca="1">IFERROR(INDIRECT(CONCATENATE("'Height Input'!"&amp;B70&amp;C70+13)),"")</f>
        <v>0</v>
      </c>
      <c r="AG85" s="558"/>
      <c r="AH85" s="48"/>
      <c r="AI85" s="48"/>
      <c r="AJ85" s="49">
        <f ca="1">IFERROR(IF(AF85="X",MatchDay!$U$2+MatchDay!$U$2+1-COUNTIF($AF72:AF85,"X"),IF(AF85&gt;=97,1,INT(INDIRECT(CONCATENATE("'Height Input'!"&amp;$B69&amp;$C70+13))))),"")</f>
        <v>0</v>
      </c>
      <c r="AK85" s="50">
        <f ca="1">IFERROR(IF(OR(AJ85=0,AJ85=""),0,IF(OR(AJ85&lt;VLOOKUP(BT85,$E72:$AJ79,32,FALSE),VLOOKUP(BT85,$E72:$AJ79,32,FALSE)=0),"A","B")),0)</f>
        <v>0</v>
      </c>
      <c r="AL85" s="139" t="str">
        <f ca="1">IFERROR(IF(OR(AK85=0,AK85="B"),"",RANK(AW85,AW72:AW87,1)),"")</f>
        <v/>
      </c>
      <c r="AM85" s="139" t="str">
        <f ca="1">IFERROR(IF(OR(AK85=0,AK85="A"),"",RANK(AX85,AX72:AX87,1)),"")</f>
        <v/>
      </c>
      <c r="AN85" s="51">
        <f ca="1">IFERROR(IF(AF85="X",0,(INDIRECT(CONCATENATE("'Height Input'!"&amp;$B69&amp;$C70+13))-AJ85)*10),"")</f>
        <v>0</v>
      </c>
      <c r="AO85" s="8"/>
      <c r="AP85" s="9" t="str">
        <f t="shared" ca="1" si="28"/>
        <v/>
      </c>
      <c r="AQ85" s="9" t="str">
        <f ca="1">IF(AR85="","",HLOOKUP(AL85,BC71:BJ88,18,FALSE))</f>
        <v/>
      </c>
      <c r="AR85" s="45" t="str">
        <f ca="1">IF(OR(AL85=0,AL85=""),"",IF(COUNTIFS(AL72:AL87,AL85)&gt;1,"=",""))</f>
        <v/>
      </c>
      <c r="AS85" s="45"/>
      <c r="AT85" s="9" t="str">
        <f t="shared" ca="1" si="29"/>
        <v/>
      </c>
      <c r="AU85" s="9" t="str">
        <f ca="1">IF(AV85="","",HLOOKUP(AM85,BK71:BR88,18,FALSE))</f>
        <v/>
      </c>
      <c r="AV85" s="45" t="str">
        <f ca="1">IF(OR(AM85=0,AM85=""),"",IF(COUNTIFS(AM72:AM87,AM85)&gt;1,"=",""))</f>
        <v/>
      </c>
      <c r="AW85" s="9" t="str">
        <f t="shared" ca="1" si="23"/>
        <v/>
      </c>
      <c r="AX85" s="9" t="str">
        <f t="shared" ca="1" si="24"/>
        <v/>
      </c>
      <c r="AY85" s="47"/>
      <c r="AZ85" s="151" t="str">
        <f t="shared" ca="1" si="25"/>
        <v/>
      </c>
      <c r="BA85" s="151" t="str">
        <f t="shared" ca="1" si="26"/>
        <v/>
      </c>
      <c r="BB85" s="9"/>
      <c r="BC85" s="52" t="str">
        <f ca="1">IF(AL85="","",IF(AL85=BC71,AL85,""))</f>
        <v/>
      </c>
      <c r="BD85" s="52" t="str">
        <f ca="1">IF(AL85="","",IF(AL85=BD71,AL85,""))</f>
        <v/>
      </c>
      <c r="BE85" s="52" t="str">
        <f ca="1">IF(AL85="","",IF(AL85=BE71,AL85,""))</f>
        <v/>
      </c>
      <c r="BF85" s="52" t="str">
        <f ca="1">IF(AL85="","",IF(AL85=BF71,AL85,""))</f>
        <v/>
      </c>
      <c r="BG85" s="52" t="str">
        <f ca="1">IF(AL85="","",IF(AL85=BG71,AL85,""))</f>
        <v/>
      </c>
      <c r="BH85" s="52" t="str">
        <f ca="1">IF(AL85="","",IF(AL85=BH71,AL85,""))</f>
        <v/>
      </c>
      <c r="BI85" s="52" t="str">
        <f ca="1">IF(AL85="","",IF(AL85=BI71,AL85,""))</f>
        <v/>
      </c>
      <c r="BJ85" s="52" t="str">
        <f ca="1">IF(AL85="","",IF(AL85=BJ71,AL85,""))</f>
        <v/>
      </c>
      <c r="BK85" s="52" t="str">
        <f ca="1">IF(AM85="","",IF(AM85=BK71,AM85,""))</f>
        <v/>
      </c>
      <c r="BL85" s="52" t="str">
        <f ca="1">IF(AM85="","",IF(AM85=BL71,AM85,""))</f>
        <v/>
      </c>
      <c r="BM85" s="52" t="str">
        <f ca="1">IF(AM85="","",IF(AM85=BM71,AM85,""))</f>
        <v/>
      </c>
      <c r="BN85" s="52" t="str">
        <f ca="1">IF(AM85="","",IF(AM85=BN71,AM85,""))</f>
        <v/>
      </c>
      <c r="BO85" s="52" t="str">
        <f ca="1">IF(AM85="","",IF(AM85=BO71,AM85,""))</f>
        <v/>
      </c>
      <c r="BP85" s="52" t="str">
        <f ca="1">IF(AM85="","",IF(AM85=BP71,AM85,""))</f>
        <v/>
      </c>
      <c r="BQ85" s="52" t="str">
        <f ca="1">IF(AM85="","",IF(AM85=BQ71,AM85,""))</f>
        <v/>
      </c>
      <c r="BR85" s="52" t="str">
        <f ca="1">IF(AM85="","",IF(AM85=BR71,AM85,""))</f>
        <v/>
      </c>
      <c r="BS85" s="46"/>
      <c r="BT85" s="4" t="str">
        <f>IFERROR(IF(A71=0,A85/11,LEFT(A85,1)),"")</f>
        <v/>
      </c>
    </row>
    <row r="86" spans="1:72" s="4" customFormat="1" ht="15.95" customHeight="1" x14ac:dyDescent="0.35">
      <c r="A86" s="8" t="str">
        <f>IFERROR(IF(A71=0,A78*11,A78&amp;A78),"-")</f>
        <v>-</v>
      </c>
      <c r="B86" s="10" t="str">
        <f ca="1">IFERROR(IF(OR(AK86=0,AK86="B"),"",RANK(AZ86,AZ72:AZ87,1)),"")</f>
        <v/>
      </c>
      <c r="C86" s="10" t="str">
        <f ca="1">IFERROR(IF(OR(AK86=0,AK86="A"),"",RANK(BA86,BA72:BA87,1)),"")</f>
        <v/>
      </c>
      <c r="D86" s="55">
        <v>15</v>
      </c>
      <c r="E86" s="17" t="str">
        <f t="shared" si="27"/>
        <v>-</v>
      </c>
      <c r="F86" s="18" t="str">
        <f>IFERROR(IF(A71=0,HLOOKUP(E86,Declarations!$D$2:$S$102,C69,FALSE),HLOOKUP(VLOOKUP(E86,Teams!$V$2:$W$19,2,FALSE),Declarations!$D$2:$S$102,C69,FALSE)),"")</f>
        <v/>
      </c>
      <c r="G86" s="18" t="str">
        <f t="shared" si="22"/>
        <v/>
      </c>
      <c r="H86" s="526"/>
      <c r="I86" s="527"/>
      <c r="J86" s="526"/>
      <c r="K86" s="527"/>
      <c r="L86" s="526"/>
      <c r="M86" s="527"/>
      <c r="N86" s="526"/>
      <c r="O86" s="527"/>
      <c r="P86" s="526"/>
      <c r="Q86" s="527"/>
      <c r="R86" s="526"/>
      <c r="S86" s="527"/>
      <c r="T86" s="526"/>
      <c r="U86" s="527"/>
      <c r="V86" s="526"/>
      <c r="W86" s="527"/>
      <c r="X86" s="526"/>
      <c r="Y86" s="527"/>
      <c r="Z86" s="526"/>
      <c r="AA86" s="527"/>
      <c r="AB86" s="526"/>
      <c r="AC86" s="527"/>
      <c r="AD86" s="526"/>
      <c r="AE86" s="527"/>
      <c r="AF86" s="557">
        <f ca="1">IFERROR(INDIRECT(CONCATENATE("'Height Input'!"&amp;B70&amp;C70+14)),"")</f>
        <v>0</v>
      </c>
      <c r="AG86" s="558"/>
      <c r="AH86" s="48"/>
      <c r="AI86" s="48"/>
      <c r="AJ86" s="49">
        <f ca="1">IFERROR(IF(AF86="X",MatchDay!$U$2+MatchDay!$U$2+1-COUNTIF($AF72:AF86,"X"),IF(AF86&gt;=97,1,INT(INDIRECT(CONCATENATE("'Height Input'!"&amp;$B69&amp;$C70+14))))),"")</f>
        <v>0</v>
      </c>
      <c r="AK86" s="50">
        <f ca="1">IFERROR(IF(OR(AJ86=0,AJ86=""),0,IF(OR(AJ86&lt;VLOOKUP(BT86,$E72:$AJ79,32,FALSE),VLOOKUP(BT86,$E72:$AJ79,32,FALSE)=0),"A","B")),0)</f>
        <v>0</v>
      </c>
      <c r="AL86" s="139" t="str">
        <f ca="1">IFERROR(IF(OR(AK86=0,AK86="B"),"",RANK(AW86,AW72:AW87,1)),"")</f>
        <v/>
      </c>
      <c r="AM86" s="139" t="str">
        <f ca="1">IFERROR(IF(OR(AK86=0,AK86="A"),"",RANK(AX86,AX72:AX87,1)),"")</f>
        <v/>
      </c>
      <c r="AN86" s="51">
        <f ca="1">IFERROR(IF(AF86="X",0,(INDIRECT(CONCATENATE("'Height Input'!"&amp;$B69&amp;$C70+14))-AJ86)*10),"")</f>
        <v>0</v>
      </c>
      <c r="AO86" s="8"/>
      <c r="AP86" s="9" t="str">
        <f t="shared" ca="1" si="28"/>
        <v/>
      </c>
      <c r="AQ86" s="9" t="str">
        <f ca="1">IF(AR86="","",HLOOKUP(AL86,BC71:BJ88,18,FALSE))</f>
        <v/>
      </c>
      <c r="AR86" s="45" t="str">
        <f ca="1">IF(OR(AL86=0,AL86=""),"",IF(COUNTIFS(AL72:AL87,AL86)&gt;1,"=",""))</f>
        <v/>
      </c>
      <c r="AS86" s="45"/>
      <c r="AT86" s="9" t="str">
        <f t="shared" ca="1" si="29"/>
        <v/>
      </c>
      <c r="AU86" s="9" t="str">
        <f ca="1">IF(AV86="","",HLOOKUP(AM86,BK71:BR88,18,FALSE))</f>
        <v/>
      </c>
      <c r="AV86" s="45" t="str">
        <f ca="1">IF(OR(AM86=0,AM86=""),"",IF(COUNTIFS(AM72:AM87,AM86)&gt;1,"=",""))</f>
        <v/>
      </c>
      <c r="AW86" s="9" t="str">
        <f t="shared" ca="1" si="23"/>
        <v/>
      </c>
      <c r="AX86" s="9" t="str">
        <f t="shared" ca="1" si="24"/>
        <v/>
      </c>
      <c r="AY86" s="47"/>
      <c r="AZ86" s="151" t="str">
        <f t="shared" ca="1" si="25"/>
        <v/>
      </c>
      <c r="BA86" s="151" t="str">
        <f t="shared" ca="1" si="26"/>
        <v/>
      </c>
      <c r="BB86" s="9"/>
      <c r="BC86" s="52" t="str">
        <f ca="1">IF(AL86="","",IF(AL86=BC71,AL86,""))</f>
        <v/>
      </c>
      <c r="BD86" s="52" t="str">
        <f ca="1">IF(AL86="","",IF(AL86=BD71,AL86,""))</f>
        <v/>
      </c>
      <c r="BE86" s="52" t="str">
        <f ca="1">IF(AL86="","",IF(AL86=BE71,AL86,""))</f>
        <v/>
      </c>
      <c r="BF86" s="52" t="str">
        <f ca="1">IF(AL86="","",IF(AL86=BF71,AL86,""))</f>
        <v/>
      </c>
      <c r="BG86" s="52" t="str">
        <f ca="1">IF(AL86="","",IF(AL86=BG71,AL86,""))</f>
        <v/>
      </c>
      <c r="BH86" s="52" t="str">
        <f ca="1">IF(AL86="","",IF(AL86=BH71,AL86,""))</f>
        <v/>
      </c>
      <c r="BI86" s="52" t="str">
        <f ca="1">IF(AL86="","",IF(AL86=BI71,AL86,""))</f>
        <v/>
      </c>
      <c r="BJ86" s="52" t="str">
        <f ca="1">IF(AL86="","",IF(AL86=BJ71,AL86,""))</f>
        <v/>
      </c>
      <c r="BK86" s="52" t="str">
        <f ca="1">IF(AM86="","",IF(AM86=BK71,AM86,""))</f>
        <v/>
      </c>
      <c r="BL86" s="52" t="str">
        <f ca="1">IF(AM86="","",IF(AM86=BL71,AM86,""))</f>
        <v/>
      </c>
      <c r="BM86" s="52" t="str">
        <f ca="1">IF(AM86="","",IF(AM86=BM71,AM86,""))</f>
        <v/>
      </c>
      <c r="BN86" s="52" t="str">
        <f ca="1">IF(AM86="","",IF(AM86=BN71,AM86,""))</f>
        <v/>
      </c>
      <c r="BO86" s="52" t="str">
        <f ca="1">IF(AM86="","",IF(AM86=BO71,AM86,""))</f>
        <v/>
      </c>
      <c r="BP86" s="52" t="str">
        <f ca="1">IF(AM86="","",IF(AM86=BP71,AM86,""))</f>
        <v/>
      </c>
      <c r="BQ86" s="52" t="str">
        <f ca="1">IF(AM86="","",IF(AM86=BQ71,AM86,""))</f>
        <v/>
      </c>
      <c r="BR86" s="52" t="str">
        <f ca="1">IF(AM86="","",IF(AM86=BR71,AM86,""))</f>
        <v/>
      </c>
      <c r="BS86" s="46"/>
      <c r="BT86" s="4" t="str">
        <f>IFERROR(IF(A71=0,A86/11,LEFT(A86,1)),"")</f>
        <v/>
      </c>
    </row>
    <row r="87" spans="1:72" s="4" customFormat="1" ht="15.95" customHeight="1" x14ac:dyDescent="0.35">
      <c r="A87" s="8" t="str">
        <f>IFERROR(IF(A71=0,A79*11,A79&amp;A79),"-")</f>
        <v>-</v>
      </c>
      <c r="B87" s="10" t="str">
        <f ca="1">IFERROR(IF(OR(AK87=0,AK87="B"),"",RANK(AZ87,AZ72:AZ87,1)),"")</f>
        <v/>
      </c>
      <c r="C87" s="10" t="str">
        <f ca="1">IFERROR(IF(OR(AK87=0,AK87="A"),"",RANK(BA87,BA72:BA87,1)),"")</f>
        <v/>
      </c>
      <c r="D87" s="55">
        <v>16</v>
      </c>
      <c r="E87" s="17" t="str">
        <f t="shared" si="27"/>
        <v>-</v>
      </c>
      <c r="F87" s="18" t="str">
        <f>IFERROR(IF(A71=0,HLOOKUP(E87,Declarations!$D$2:$S$102,C69,FALSE),HLOOKUP(VLOOKUP(E87,Teams!$V$2:$W$19,2,FALSE),Declarations!$D$2:$S$102,C69,FALSE)),"")</f>
        <v/>
      </c>
      <c r="G87" s="18" t="str">
        <f t="shared" si="22"/>
        <v/>
      </c>
      <c r="H87" s="526"/>
      <c r="I87" s="527"/>
      <c r="J87" s="526"/>
      <c r="K87" s="527"/>
      <c r="L87" s="526"/>
      <c r="M87" s="527"/>
      <c r="N87" s="526"/>
      <c r="O87" s="527"/>
      <c r="P87" s="526"/>
      <c r="Q87" s="527"/>
      <c r="R87" s="526"/>
      <c r="S87" s="527"/>
      <c r="T87" s="526"/>
      <c r="U87" s="527"/>
      <c r="V87" s="526"/>
      <c r="W87" s="527"/>
      <c r="X87" s="526"/>
      <c r="Y87" s="527"/>
      <c r="Z87" s="526"/>
      <c r="AA87" s="527"/>
      <c r="AB87" s="526"/>
      <c r="AC87" s="527"/>
      <c r="AD87" s="526"/>
      <c r="AE87" s="527"/>
      <c r="AF87" s="557">
        <f ca="1">IFERROR(INDIRECT(CONCATENATE("'Height Input'!"&amp;B70&amp;C70+15)),"")</f>
        <v>0</v>
      </c>
      <c r="AG87" s="558"/>
      <c r="AH87" s="48"/>
      <c r="AI87" s="48"/>
      <c r="AJ87" s="49">
        <f ca="1">IFERROR(IF(AF87="X",MatchDay!$U$2+MatchDay!$U$2+1-COUNTIF($AF72:AF87,"X"),IF(AF87&gt;=97,1,INT(INDIRECT(CONCATENATE("'Height Input'!"&amp;$B69&amp;$C70+15))))),"")</f>
        <v>0</v>
      </c>
      <c r="AK87" s="50">
        <f ca="1">IFERROR(IF(OR(AJ87=0,AJ87=""),0,IF(OR(AJ87&lt;VLOOKUP(BT87,$E72:$AJ79,32,FALSE),VLOOKUP(BT87,$E72:$AJ79,32,FALSE)=0),"A","B")),0)</f>
        <v>0</v>
      </c>
      <c r="AL87" s="139" t="str">
        <f ca="1">IFERROR(IF(OR(AK87=0,AK87="B"),"",RANK(AW87,AW72:AW87,1)),"")</f>
        <v/>
      </c>
      <c r="AM87" s="139" t="str">
        <f ca="1">IFERROR(IF(OR(AK87=0,AK87="A"),"",RANK(AX87,AX72:AX87,1)),"")</f>
        <v/>
      </c>
      <c r="AN87" s="51">
        <f ca="1">IFERROR(IF(AF87="X",0,(INDIRECT(CONCATENATE("'Height Input'!"&amp;$B69&amp;$C70+15))-AJ87)*10),"")</f>
        <v>0</v>
      </c>
      <c r="AO87" s="8"/>
      <c r="AP87" s="9" t="str">
        <f t="shared" ca="1" si="28"/>
        <v/>
      </c>
      <c r="AQ87" s="9" t="str">
        <f ca="1">IF(AR87="","",HLOOKUP(AL87,BC71:BJ88,18,FALSE))</f>
        <v/>
      </c>
      <c r="AR87" s="45" t="str">
        <f ca="1">IF(OR(AL87=0,AL87=""),"",IF(COUNTIFS(AL72:AL87,AL87)&gt;1,"=",""))</f>
        <v/>
      </c>
      <c r="AS87" s="45"/>
      <c r="AT87" s="9" t="str">
        <f t="shared" ca="1" si="29"/>
        <v/>
      </c>
      <c r="AU87" s="9" t="str">
        <f ca="1">IF(AV87="","",HLOOKUP(AM87,BK71:BR88,18,FALSE))</f>
        <v/>
      </c>
      <c r="AV87" s="45" t="str">
        <f ca="1">IF(OR(AM87=0,AM87=""),"",IF(COUNTIFS(AM72:AM87,AM87)&gt;1,"=",""))</f>
        <v/>
      </c>
      <c r="AW87" s="9" t="str">
        <f t="shared" ca="1" si="23"/>
        <v/>
      </c>
      <c r="AX87" s="9" t="str">
        <f t="shared" ca="1" si="24"/>
        <v/>
      </c>
      <c r="AY87" s="47"/>
      <c r="AZ87" s="151" t="str">
        <f t="shared" ca="1" si="25"/>
        <v/>
      </c>
      <c r="BA87" s="151" t="str">
        <f t="shared" ca="1" si="26"/>
        <v/>
      </c>
      <c r="BB87" s="9"/>
      <c r="BC87" s="52" t="str">
        <f ca="1">IF(AL87="","",IF(AL87=BC71,AL87,""))</f>
        <v/>
      </c>
      <c r="BD87" s="52" t="str">
        <f ca="1">IF(AL87="","",IF(AL87=BD71,AL87,""))</f>
        <v/>
      </c>
      <c r="BE87" s="52" t="str">
        <f ca="1">IF(AL87="","",IF(AL87=BE71,AL87,""))</f>
        <v/>
      </c>
      <c r="BF87" s="52" t="str">
        <f ca="1">IF(AL87="","",IF(AL87=BF71,AL87,""))</f>
        <v/>
      </c>
      <c r="BG87" s="52" t="str">
        <f ca="1">IF(AL87="","",IF(AL87=BG71,AL87,""))</f>
        <v/>
      </c>
      <c r="BH87" s="52" t="str">
        <f ca="1">IF(AL87="","",IF(AL87=BH71,AL87,""))</f>
        <v/>
      </c>
      <c r="BI87" s="52" t="str">
        <f ca="1">IF(AL87="","",IF(AL87=BI71,AL87,""))</f>
        <v/>
      </c>
      <c r="BJ87" s="52" t="str">
        <f ca="1">IF(AL87="","",IF(AL87=BJ71,AL87,""))</f>
        <v/>
      </c>
      <c r="BK87" s="52" t="str">
        <f ca="1">IF(AM87="","",IF(AM87=BK71,AM87,""))</f>
        <v/>
      </c>
      <c r="BL87" s="52" t="str">
        <f ca="1">IF(AM87="","",IF(AM87=BL71,AM87,""))</f>
        <v/>
      </c>
      <c r="BM87" s="52" t="str">
        <f ca="1">IF(AM87="","",IF(AM87=BM71,AM87,""))</f>
        <v/>
      </c>
      <c r="BN87" s="52" t="str">
        <f ca="1">IF(AM87="","",IF(AM87=BN71,AM87,""))</f>
        <v/>
      </c>
      <c r="BO87" s="52" t="str">
        <f ca="1">IF(AM87="","",IF(AM87=BO71,AM87,""))</f>
        <v/>
      </c>
      <c r="BP87" s="52" t="str">
        <f ca="1">IF(AM87="","",IF(AM87=BP71,AM87,""))</f>
        <v/>
      </c>
      <c r="BQ87" s="52" t="str">
        <f ca="1">IF(AM87="","",IF(AM87=BQ71,AM87,""))</f>
        <v/>
      </c>
      <c r="BR87" s="52" t="str">
        <f ca="1">IF(AM87="","",IF(AM87=BR71,AM87,""))</f>
        <v/>
      </c>
      <c r="BS87" s="46"/>
      <c r="BT87" s="4" t="str">
        <f>IFERROR(IF(A71=0,A87/11,LEFT(A87,1)),"")</f>
        <v/>
      </c>
    </row>
    <row r="88" spans="1:72" s="4" customFormat="1" ht="10.5" x14ac:dyDescent="0.35">
      <c r="A88" s="8"/>
      <c r="B88" s="1"/>
      <c r="C88" s="1"/>
      <c r="AL88" s="140"/>
      <c r="AM88" s="140"/>
      <c r="AP88" s="47"/>
      <c r="AQ88" s="47"/>
      <c r="AR88" s="47"/>
      <c r="AS88" s="47"/>
      <c r="AT88" s="47"/>
      <c r="AU88" s="47"/>
      <c r="AV88" s="47"/>
      <c r="AW88" s="47"/>
      <c r="AX88" s="47"/>
      <c r="AY88" s="47"/>
      <c r="AZ88" s="153"/>
      <c r="BA88" s="153"/>
      <c r="BB88" s="47"/>
      <c r="BC88" s="9">
        <f ca="1">COUNTIF(BC72:BC87,BC71)</f>
        <v>1</v>
      </c>
      <c r="BD88" s="9">
        <f t="shared" ref="BD88:BR88" ca="1" si="30">COUNTIF(BD72:BD87,BD71)</f>
        <v>1</v>
      </c>
      <c r="BE88" s="9">
        <f t="shared" ca="1" si="30"/>
        <v>1</v>
      </c>
      <c r="BF88" s="9">
        <f t="shared" ca="1" si="30"/>
        <v>0</v>
      </c>
      <c r="BG88" s="9">
        <f t="shared" ca="1" si="30"/>
        <v>0</v>
      </c>
      <c r="BH88" s="9">
        <f t="shared" ca="1" si="30"/>
        <v>0</v>
      </c>
      <c r="BI88" s="9">
        <f t="shared" ca="1" si="30"/>
        <v>0</v>
      </c>
      <c r="BJ88" s="9">
        <f t="shared" ca="1" si="30"/>
        <v>0</v>
      </c>
      <c r="BK88" s="9">
        <f t="shared" ca="1" si="30"/>
        <v>1</v>
      </c>
      <c r="BL88" s="9">
        <f t="shared" ca="1" si="30"/>
        <v>1</v>
      </c>
      <c r="BM88" s="9">
        <f t="shared" ca="1" si="30"/>
        <v>1</v>
      </c>
      <c r="BN88" s="9">
        <f t="shared" ca="1" si="30"/>
        <v>0</v>
      </c>
      <c r="BO88" s="9">
        <f t="shared" ca="1" si="30"/>
        <v>0</v>
      </c>
      <c r="BP88" s="9">
        <f t="shared" ca="1" si="30"/>
        <v>0</v>
      </c>
      <c r="BQ88" s="9">
        <f t="shared" ca="1" si="30"/>
        <v>0</v>
      </c>
      <c r="BR88" s="9">
        <f t="shared" ca="1" si="30"/>
        <v>0</v>
      </c>
    </row>
    <row r="89" spans="1:72" s="4" customFormat="1" ht="11.65" x14ac:dyDescent="0.45">
      <c r="A89" s="8"/>
      <c r="B89" s="1"/>
      <c r="C89" s="1"/>
      <c r="D89" s="512" t="s">
        <v>180</v>
      </c>
      <c r="E89" s="552"/>
      <c r="F89" s="552"/>
      <c r="G89" s="552"/>
      <c r="H89" s="552"/>
      <c r="I89" s="553"/>
      <c r="J89" s="512" t="s">
        <v>181</v>
      </c>
      <c r="K89" s="552"/>
      <c r="L89" s="552"/>
      <c r="M89" s="552"/>
      <c r="N89" s="552"/>
      <c r="O89" s="552"/>
      <c r="P89" s="552"/>
      <c r="Q89" s="552"/>
      <c r="R89" s="552"/>
      <c r="S89" s="552"/>
      <c r="T89" s="552"/>
      <c r="U89" s="552"/>
      <c r="V89" s="552"/>
      <c r="W89" s="552"/>
      <c r="X89" s="552"/>
      <c r="Y89" s="552"/>
      <c r="Z89" s="552"/>
      <c r="AA89" s="553"/>
      <c r="AB89" s="512" t="s">
        <v>182</v>
      </c>
      <c r="AC89" s="552"/>
      <c r="AD89" s="552"/>
      <c r="AE89" s="552"/>
      <c r="AF89" s="552"/>
      <c r="AG89" s="552"/>
      <c r="AH89" s="552"/>
      <c r="AI89" s="552"/>
      <c r="AJ89" s="552"/>
      <c r="AK89" s="552"/>
      <c r="AL89" s="552"/>
      <c r="AM89" s="553"/>
      <c r="AP89" s="8"/>
      <c r="AQ89" s="8"/>
      <c r="AR89" s="8"/>
      <c r="AS89" s="8"/>
      <c r="AT89" s="8"/>
      <c r="AU89" s="8"/>
      <c r="AV89" s="8"/>
      <c r="AW89" s="8"/>
      <c r="AX89" s="8"/>
      <c r="AY89" s="8"/>
      <c r="AZ89" s="152"/>
      <c r="BA89" s="152"/>
      <c r="BB89" s="8"/>
      <c r="BC89" s="8"/>
      <c r="BD89" s="8"/>
      <c r="BE89" s="8"/>
    </row>
    <row r="90" spans="1:72" s="4" customFormat="1" ht="11.65" x14ac:dyDescent="0.45">
      <c r="A90" s="8" t="s">
        <v>55</v>
      </c>
      <c r="B90" s="1"/>
      <c r="C90" s="1"/>
      <c r="D90" s="12" t="s">
        <v>230</v>
      </c>
      <c r="E90" s="55" t="s">
        <v>183</v>
      </c>
      <c r="F90" s="55" t="s">
        <v>165</v>
      </c>
      <c r="G90" s="135" t="s">
        <v>166</v>
      </c>
      <c r="H90" s="554" t="s">
        <v>323</v>
      </c>
      <c r="I90" s="555"/>
      <c r="J90" s="512" t="s">
        <v>230</v>
      </c>
      <c r="K90" s="514"/>
      <c r="L90" s="512" t="s">
        <v>183</v>
      </c>
      <c r="M90" s="553"/>
      <c r="N90" s="580" t="s">
        <v>165</v>
      </c>
      <c r="O90" s="580"/>
      <c r="P90" s="580"/>
      <c r="Q90" s="580"/>
      <c r="R90" s="580"/>
      <c r="S90" s="580"/>
      <c r="T90" s="580" t="s">
        <v>166</v>
      </c>
      <c r="U90" s="580"/>
      <c r="V90" s="580"/>
      <c r="W90" s="580"/>
      <c r="X90" s="580"/>
      <c r="Y90" s="580"/>
      <c r="Z90" s="554" t="s">
        <v>323</v>
      </c>
      <c r="AA90" s="555"/>
      <c r="AB90" s="132"/>
      <c r="AC90" s="133"/>
      <c r="AD90" s="133"/>
      <c r="AE90" s="133"/>
      <c r="AF90" s="133"/>
      <c r="AG90" s="133"/>
      <c r="AH90" s="25"/>
      <c r="AI90" s="25"/>
      <c r="AJ90" s="25"/>
      <c r="AK90" s="25"/>
      <c r="AL90" s="141"/>
      <c r="AM90" s="142"/>
      <c r="AP90" s="8"/>
      <c r="AQ90" s="8"/>
      <c r="AR90" s="8"/>
      <c r="AS90" s="8"/>
      <c r="AT90" s="8"/>
      <c r="AU90" s="8"/>
      <c r="AV90" s="8"/>
      <c r="AW90" s="8"/>
      <c r="AX90" s="8"/>
      <c r="AY90" s="8"/>
      <c r="AZ90" s="152"/>
      <c r="BA90" s="152"/>
      <c r="BB90" s="8"/>
      <c r="BC90" s="8"/>
      <c r="BD90" s="8"/>
      <c r="BE90" s="8"/>
    </row>
    <row r="91" spans="1:72" s="4" customFormat="1" ht="15.95" customHeight="1" x14ac:dyDescent="0.45">
      <c r="A91" s="11">
        <f>IFERROR(VLOOKUP(A68,standards,3,FALSE),"-")</f>
        <v>1.4</v>
      </c>
      <c r="B91" s="1"/>
      <c r="C91" s="10">
        <v>1</v>
      </c>
      <c r="D91" s="19">
        <f ca="1">IFERROR(IF(VLOOKUP(C91,B72:AP87,41,FALSE)="",VLOOKUP(C91,B72:AP87,37,FALSE),VLOOKUP(C91,B72:AP87,37,FALSE)&amp;VLOOKUP(C91,B72:AP87,41,FALSE)),"")</f>
        <v>1</v>
      </c>
      <c r="E91" s="19">
        <f ca="1">IFERROR(IF(OR(AF72=98,AF72=99),AF72,IF(VLOOKUP(C91,B72:AG87,31,FALSE)=0,0,VLOOKUP(C91,B72:AG87,4,FALSE))),0)</f>
        <v>33</v>
      </c>
      <c r="F91" s="27" t="str">
        <f ca="1">IFERROR(VLOOKUP(E91,$E72:$F87,2,FALSE),"")</f>
        <v>POUNDER Esme</v>
      </c>
      <c r="G91" s="18" t="str">
        <f t="shared" ref="G91:G98" ca="1" si="31">IFERROR(VLOOKUP(E91,teamlookup,5,FALSE),"-")</f>
        <v>York</v>
      </c>
      <c r="H91" s="542">
        <f ca="1">IFERROR(VLOOKUP(E91,E72:AG87,28,FALSE),0)</f>
        <v>1.41</v>
      </c>
      <c r="I91" s="543"/>
      <c r="J91" s="550">
        <f ca="1">IFERROR(IF(VLOOKUP(C91,C72:AT87,44,FALSE)="",VLOOKUP(C91,C72:AT87,37,FALSE),VLOOKUP(C91,C72:AT87,37,FALSE)&amp;VLOOKUP(C91,C72:AT87,44,FALSE)),"")</f>
        <v>1</v>
      </c>
      <c r="K91" s="551"/>
      <c r="L91" s="550">
        <f ca="1">IFERROR(IF(VLOOKUP(C91,C72:AG87,30,FALSE)=0,"",VLOOKUP(C91,C72:AG87,3,FALSE)),"")</f>
        <v>3</v>
      </c>
      <c r="M91" s="551"/>
      <c r="N91" s="544" t="str">
        <f ca="1">IFERROR(VLOOKUP(L91,E72:F87,2,FALSE),"")</f>
        <v>CLAGUE Kathryn</v>
      </c>
      <c r="O91" s="545"/>
      <c r="P91" s="545"/>
      <c r="Q91" s="545"/>
      <c r="R91" s="545"/>
      <c r="S91" s="546"/>
      <c r="T91" s="544" t="str">
        <f t="shared" ref="T91:T98" ca="1" si="32">IFERROR(VLOOKUP(L91,teamlookup,5,FALSE),"-")</f>
        <v>York</v>
      </c>
      <c r="U91" s="545"/>
      <c r="V91" s="545"/>
      <c r="W91" s="545"/>
      <c r="X91" s="545"/>
      <c r="Y91" s="546"/>
      <c r="Z91" s="542">
        <f ca="1">IFERROR(VLOOKUP(L91,E72:AG87,28,FALSE),0)</f>
        <v>1.3</v>
      </c>
      <c r="AA91" s="543"/>
      <c r="AB91" s="28"/>
      <c r="AC91" s="29"/>
      <c r="AD91" s="29"/>
      <c r="AE91" s="29"/>
      <c r="AF91" s="29"/>
      <c r="AG91" s="29"/>
      <c r="AH91" s="29"/>
      <c r="AI91" s="29"/>
      <c r="AJ91" s="29"/>
      <c r="AK91" s="29"/>
      <c r="AL91" s="143"/>
      <c r="AM91" s="144"/>
      <c r="AP91" s="8"/>
      <c r="AQ91" s="8"/>
      <c r="AR91" s="53"/>
      <c r="AS91" s="8"/>
      <c r="AT91" s="8"/>
      <c r="AU91" s="8"/>
      <c r="AV91" s="8"/>
      <c r="AW91" s="8"/>
      <c r="AX91" s="8"/>
      <c r="AY91" s="8"/>
      <c r="AZ91" s="152"/>
      <c r="BA91" s="152"/>
      <c r="BB91" s="8"/>
      <c r="BC91" s="8"/>
      <c r="BD91" s="8"/>
      <c r="BE91" s="8"/>
    </row>
    <row r="92" spans="1:72" s="4" customFormat="1" ht="15.95" customHeight="1" x14ac:dyDescent="0.45">
      <c r="A92" s="11">
        <f>IFERROR(VLOOKUP(A68,standards,4,FALSE),"-")</f>
        <v>1.35</v>
      </c>
      <c r="B92" s="1"/>
      <c r="C92" s="10">
        <v>2</v>
      </c>
      <c r="D92" s="19">
        <f ca="1">IFERROR(IF(VLOOKUP(C92,B72:AP87,41,FALSE)="",VLOOKUP(C92,B72:AP87,37,FALSE),VLOOKUP(C92,B72:AP87,37,FALSE)&amp;VLOOKUP(C92,B72:AP87,41,FALSE)),"")</f>
        <v>2</v>
      </c>
      <c r="E92" s="19">
        <f ca="1">IFERROR(IF(VLOOKUP(C92,B72:AG87,31,FALSE)=0,0,VLOOKUP(C92,B72:AG87,4,FALSE)),"")</f>
        <v>11</v>
      </c>
      <c r="F92" s="27" t="str">
        <f ca="1">IFERROR(VLOOKUP(E92,$E72:$F87,2,FALSE),"")</f>
        <v>STANILAND Charlotte</v>
      </c>
      <c r="G92" s="18" t="str">
        <f t="shared" ca="1" si="31"/>
        <v>C'field</v>
      </c>
      <c r="H92" s="542">
        <f ca="1">IFERROR(VLOOKUP(E92,E72:AG87,28,FALSE),0)</f>
        <v>1.3</v>
      </c>
      <c r="I92" s="543"/>
      <c r="J92" s="550">
        <f ca="1">IFERROR(IF(VLOOKUP(C92,C72:AT87,44,FALSE)="",VLOOKUP(C92,C72:AT87,37,FALSE),VLOOKUP(C92,C72:AT87,37,FALSE)&amp;VLOOKUP(C92,C72:AT87,44,FALSE)),"")</f>
        <v>2</v>
      </c>
      <c r="K92" s="551"/>
      <c r="L92" s="550">
        <f ca="1">IFERROR(IF(VLOOKUP(C92,C72:AG87,30,FALSE)=0,"",VLOOKUP(C92,C72:AG87,3,FALSE)),"")</f>
        <v>1</v>
      </c>
      <c r="M92" s="551"/>
      <c r="N92" s="544" t="str">
        <f ca="1">IFERROR(VLOOKUP(L92,E72:F87,2,FALSE),"")</f>
        <v>HUMPHREYS Melissa</v>
      </c>
      <c r="O92" s="545"/>
      <c r="P92" s="545"/>
      <c r="Q92" s="545"/>
      <c r="R92" s="545"/>
      <c r="S92" s="546"/>
      <c r="T92" s="544" t="str">
        <f t="shared" ca="1" si="32"/>
        <v>C'field</v>
      </c>
      <c r="U92" s="545"/>
      <c r="V92" s="545"/>
      <c r="W92" s="545"/>
      <c r="X92" s="545"/>
      <c r="Y92" s="546"/>
      <c r="Z92" s="542">
        <f ca="1">IFERROR(VLOOKUP(L92,E72:AG87,28,FALSE),0)</f>
        <v>1.3</v>
      </c>
      <c r="AA92" s="543"/>
      <c r="AB92" s="134"/>
      <c r="AC92" s="20"/>
      <c r="AD92" s="20"/>
      <c r="AE92" s="20"/>
      <c r="AF92" s="20"/>
      <c r="AG92" s="20"/>
      <c r="AH92" s="20"/>
      <c r="AI92" s="20"/>
      <c r="AJ92" s="20"/>
      <c r="AK92" s="20"/>
      <c r="AL92" s="145"/>
      <c r="AM92" s="146"/>
      <c r="AP92" s="8"/>
      <c r="AQ92" s="8"/>
      <c r="AR92" s="8"/>
      <c r="AS92" s="8"/>
      <c r="AT92" s="8"/>
      <c r="AU92" s="8"/>
      <c r="AV92" s="8"/>
      <c r="AW92" s="8"/>
      <c r="AX92" s="8"/>
      <c r="AY92" s="8"/>
      <c r="AZ92" s="152"/>
      <c r="BA92" s="152"/>
      <c r="BB92" s="8"/>
      <c r="BC92" s="8"/>
      <c r="BD92" s="8"/>
      <c r="BE92" s="8"/>
    </row>
    <row r="93" spans="1:72" s="4" customFormat="1" ht="15.95" customHeight="1" x14ac:dyDescent="0.45">
      <c r="A93" s="11">
        <f>IFERROR(VLOOKUP(A68,standards,5,FALSE),"-")</f>
        <v>1.3</v>
      </c>
      <c r="B93" s="1"/>
      <c r="C93" s="10">
        <v>3</v>
      </c>
      <c r="D93" s="19">
        <f ca="1">IFERROR(IF(VLOOKUP(C93,B72:AP87,41,FALSE)="",VLOOKUP(C93,B72:AP87,37,FALSE),VLOOKUP(C93,B72:AP87,37,FALSE)&amp;VLOOKUP(C93,B72:AP87,41,FALSE)),"")</f>
        <v>3</v>
      </c>
      <c r="E93" s="19">
        <f ca="1">IFERROR(IF(VLOOKUP(C93,B72:AG87,31,FALSE)=0,0,VLOOKUP(C93,B72:AG87,4,FALSE)),"")</f>
        <v>2</v>
      </c>
      <c r="F93" s="27" t="str">
        <f ca="1">IFERROR(VLOOKUP(E93,$E72:$F87,2,FALSE),"")</f>
        <v>ROBERTS Eve</v>
      </c>
      <c r="G93" s="18" t="str">
        <f t="shared" ca="1" si="31"/>
        <v>Sheff+D</v>
      </c>
      <c r="H93" s="542">
        <f ca="1">IFERROR(VLOOKUP(E93,E72:AG87,28,FALSE),0)</f>
        <v>1.2</v>
      </c>
      <c r="I93" s="543"/>
      <c r="J93" s="550">
        <f ca="1">IFERROR(IF(VLOOKUP(C93,C72:AT87,44,FALSE)="",VLOOKUP(C93,C72:AT87,37,FALSE),VLOOKUP(C93,C72:AT87,37,FALSE)&amp;VLOOKUP(C93,C72:AT87,44,FALSE)),"")</f>
        <v>3</v>
      </c>
      <c r="K93" s="551"/>
      <c r="L93" s="550">
        <f ca="1">IFERROR(IF(VLOOKUP(C93,C72:AG87,30,FALSE)=0,"",VLOOKUP(C93,C72:AG87,3,FALSE)),"")</f>
        <v>22</v>
      </c>
      <c r="M93" s="551"/>
      <c r="N93" s="544" t="str">
        <f ca="1">IFERROR(VLOOKUP(L93,E72:F87,2,FALSE),"")</f>
        <v>HARTLEY Eleanor</v>
      </c>
      <c r="O93" s="545"/>
      <c r="P93" s="545"/>
      <c r="Q93" s="545"/>
      <c r="R93" s="545"/>
      <c r="S93" s="546"/>
      <c r="T93" s="544" t="str">
        <f t="shared" ca="1" si="32"/>
        <v>Sheff+D</v>
      </c>
      <c r="U93" s="545"/>
      <c r="V93" s="545"/>
      <c r="W93" s="545"/>
      <c r="X93" s="545"/>
      <c r="Y93" s="546"/>
      <c r="Z93" s="542">
        <f ca="1">IFERROR(VLOOKUP(L93,E72:AG87,28,FALSE),0)</f>
        <v>1.2</v>
      </c>
      <c r="AA93" s="543"/>
      <c r="AB93" s="134"/>
      <c r="AC93" s="20"/>
      <c r="AD93" s="20"/>
      <c r="AE93" s="20"/>
      <c r="AF93" s="20"/>
      <c r="AG93" s="20"/>
      <c r="AH93" s="20"/>
      <c r="AI93" s="20"/>
      <c r="AJ93" s="20"/>
      <c r="AK93" s="20"/>
      <c r="AL93" s="145"/>
      <c r="AM93" s="146"/>
      <c r="AP93" s="8"/>
      <c r="AQ93" s="8"/>
      <c r="AR93" s="8"/>
      <c r="AS93" s="8"/>
      <c r="AT93" s="8"/>
      <c r="AU93" s="8"/>
      <c r="AV93" s="8"/>
      <c r="AW93" s="8"/>
      <c r="AX93" s="8"/>
      <c r="AY93" s="8"/>
      <c r="AZ93" s="152"/>
      <c r="BA93" s="152"/>
      <c r="BB93" s="8"/>
      <c r="BC93" s="8"/>
      <c r="BD93" s="8"/>
      <c r="BE93" s="8"/>
    </row>
    <row r="94" spans="1:72" s="4" customFormat="1" ht="15.95" customHeight="1" x14ac:dyDescent="0.45">
      <c r="A94" s="11">
        <f>IFERROR(VLOOKUP(A68,AAA!A:F,6,FALSE),"-")</f>
        <v>1.25</v>
      </c>
      <c r="B94" s="1"/>
      <c r="C94" s="10">
        <v>4</v>
      </c>
      <c r="D94" s="19" t="str">
        <f ca="1">IFERROR(IF(VLOOKUP(C94,B72:AP87,41,FALSE)="",VLOOKUP(C94,B72:AP87,37,FALSE),VLOOKUP(C94,B72:AP87,37,FALSE)&amp;VLOOKUP(C94,B72:AP87,41,FALSE)),"")</f>
        <v/>
      </c>
      <c r="E94" s="19" t="str">
        <f ca="1">IFERROR(IF(VLOOKUP(C94,B72:AG87,31,FALSE)=0,0,VLOOKUP(C94,B72:AG87,4,FALSE)),"")</f>
        <v/>
      </c>
      <c r="F94" s="27" t="str">
        <f ca="1">IFERROR(VLOOKUP(E94,$E72:$F87,2,FALSE),"")</f>
        <v/>
      </c>
      <c r="G94" s="18" t="str">
        <f t="shared" ca="1" si="31"/>
        <v>-</v>
      </c>
      <c r="H94" s="542">
        <f ca="1">IFERROR(VLOOKUP(E94,E72:AG87,28,FALSE),0)</f>
        <v>0</v>
      </c>
      <c r="I94" s="543"/>
      <c r="J94" s="550" t="str">
        <f ca="1">IFERROR(IF(VLOOKUP(C94,C72:AT87,44,FALSE)="",VLOOKUP(C94,C72:AT87,37,FALSE),VLOOKUP(C94,C72:AT87,37,FALSE)&amp;VLOOKUP(C94,C72:AT87,44,FALSE)),"")</f>
        <v/>
      </c>
      <c r="K94" s="551"/>
      <c r="L94" s="550" t="str">
        <f ca="1">IFERROR(IF(VLOOKUP(C94,C72:AG87,30,FALSE)=0,"",VLOOKUP(C94,C72:AG87,3,FALSE)),"")</f>
        <v/>
      </c>
      <c r="M94" s="551"/>
      <c r="N94" s="544" t="str">
        <f ca="1">IFERROR(VLOOKUP(L94,E72:F87,2,FALSE),"")</f>
        <v/>
      </c>
      <c r="O94" s="545"/>
      <c r="P94" s="545"/>
      <c r="Q94" s="545"/>
      <c r="R94" s="545"/>
      <c r="S94" s="546"/>
      <c r="T94" s="544" t="str">
        <f t="shared" ca="1" si="32"/>
        <v>-</v>
      </c>
      <c r="U94" s="545"/>
      <c r="V94" s="545"/>
      <c r="W94" s="545"/>
      <c r="X94" s="545"/>
      <c r="Y94" s="546"/>
      <c r="Z94" s="542">
        <f ca="1">IFERROR(VLOOKUP(L94,E72:AG87,28,FALSE),0)</f>
        <v>0</v>
      </c>
      <c r="AA94" s="543"/>
      <c r="AB94" s="24"/>
      <c r="AC94" s="25"/>
      <c r="AD94" s="25"/>
      <c r="AE94" s="25"/>
      <c r="AF94" s="25"/>
      <c r="AG94" s="25"/>
      <c r="AH94" s="25"/>
      <c r="AI94" s="25"/>
      <c r="AJ94" s="25"/>
      <c r="AK94" s="25"/>
      <c r="AL94" s="141"/>
      <c r="AM94" s="142"/>
      <c r="AP94" s="8"/>
      <c r="AQ94" s="8"/>
      <c r="AR94" s="8"/>
      <c r="AS94" s="8"/>
      <c r="AT94" s="8"/>
      <c r="AU94" s="8"/>
      <c r="AV94" s="8"/>
      <c r="AW94" s="8"/>
      <c r="AX94" s="8"/>
      <c r="AY94" s="8"/>
      <c r="AZ94" s="152"/>
      <c r="BA94" s="152"/>
      <c r="BB94" s="8"/>
      <c r="BC94" s="8"/>
      <c r="BD94" s="8"/>
      <c r="BE94" s="8"/>
    </row>
    <row r="95" spans="1:72" s="4" customFormat="1" ht="15.95" customHeight="1" x14ac:dyDescent="0.45">
      <c r="A95" s="8"/>
      <c r="B95" s="1"/>
      <c r="C95" s="10">
        <v>5</v>
      </c>
      <c r="D95" s="19" t="str">
        <f ca="1">IFERROR(IF(VLOOKUP(C95,B72:AP87,41,FALSE)="",VLOOKUP(C95,B72:AP87,37,FALSE),VLOOKUP(C95,B72:AP87,37,FALSE)&amp;VLOOKUP(C95,B72:AP87,41,FALSE)),"")</f>
        <v/>
      </c>
      <c r="E95" s="19" t="str">
        <f ca="1">IFERROR(IF(VLOOKUP(C95,B72:AG87,31,FALSE)=0,0,VLOOKUP(C95,B72:AG87,4,FALSE)),"")</f>
        <v/>
      </c>
      <c r="F95" s="27" t="str">
        <f ca="1">IFERROR(VLOOKUP(E95,$E72:$F87,2,FALSE),"")</f>
        <v/>
      </c>
      <c r="G95" s="18" t="str">
        <f t="shared" ca="1" si="31"/>
        <v>-</v>
      </c>
      <c r="H95" s="542">
        <f ca="1">IFERROR(VLOOKUP(E95,E72:AG87,28,FALSE),0)</f>
        <v>0</v>
      </c>
      <c r="I95" s="543"/>
      <c r="J95" s="550" t="str">
        <f ca="1">IFERROR(IF(VLOOKUP(C95,C72:AT87,44,FALSE)="",VLOOKUP(C95,C72:AT87,37,FALSE),VLOOKUP(C95,C72:AT87,37,FALSE)&amp;VLOOKUP(C95,C72:AT87,44,FALSE)),"")</f>
        <v/>
      </c>
      <c r="K95" s="551"/>
      <c r="L95" s="550" t="str">
        <f ca="1">IFERROR(IF(VLOOKUP(C95,C72:AG87,30,FALSE)=0,"",VLOOKUP(C95,C72:AG87,3,FALSE)),"")</f>
        <v/>
      </c>
      <c r="M95" s="551"/>
      <c r="N95" s="544" t="str">
        <f ca="1">IFERROR(VLOOKUP(L95,E72:F87,2,FALSE),"")</f>
        <v/>
      </c>
      <c r="O95" s="545"/>
      <c r="P95" s="545"/>
      <c r="Q95" s="545"/>
      <c r="R95" s="545"/>
      <c r="S95" s="546"/>
      <c r="T95" s="544" t="str">
        <f t="shared" ca="1" si="32"/>
        <v>-</v>
      </c>
      <c r="U95" s="545"/>
      <c r="V95" s="545"/>
      <c r="W95" s="545"/>
      <c r="X95" s="545"/>
      <c r="Y95" s="546"/>
      <c r="Z95" s="542">
        <f ca="1">IFERROR(VLOOKUP(L95,E72:AG87,28,FALSE),0)</f>
        <v>0</v>
      </c>
      <c r="AA95" s="543"/>
      <c r="AB95" s="28"/>
      <c r="AC95" s="29"/>
      <c r="AD95" s="29"/>
      <c r="AE95" s="29"/>
      <c r="AF95" s="29"/>
      <c r="AG95" s="29"/>
      <c r="AH95" s="29"/>
      <c r="AI95" s="29"/>
      <c r="AJ95" s="29"/>
      <c r="AK95" s="29"/>
      <c r="AL95" s="143"/>
      <c r="AM95" s="144"/>
      <c r="AP95" s="8"/>
      <c r="AQ95" s="8"/>
      <c r="AR95" s="8"/>
      <c r="AS95" s="8"/>
      <c r="AT95" s="8"/>
      <c r="AU95" s="8"/>
      <c r="AV95" s="8"/>
      <c r="AW95" s="8"/>
      <c r="AX95" s="8"/>
      <c r="AY95" s="8"/>
      <c r="AZ95" s="152"/>
      <c r="BA95" s="152"/>
      <c r="BB95" s="8"/>
      <c r="BC95" s="8"/>
      <c r="BD95" s="8"/>
      <c r="BE95" s="8"/>
    </row>
    <row r="96" spans="1:72" s="4" customFormat="1" ht="15.95" customHeight="1" x14ac:dyDescent="0.45">
      <c r="A96" s="8" t="s">
        <v>204</v>
      </c>
      <c r="B96" s="1"/>
      <c r="C96" s="10">
        <v>6</v>
      </c>
      <c r="D96" s="19" t="str">
        <f ca="1">IFERROR(IF(VLOOKUP(C96,B72:AP87,41,FALSE)="",VLOOKUP(C96,B72:AP87,37,FALSE),VLOOKUP(C96,B72:AP87,37,FALSE)&amp;VLOOKUP(C96,B72:AP87,41,FALSE)),"")</f>
        <v/>
      </c>
      <c r="E96" s="19" t="str">
        <f ca="1">IFERROR(IF(VLOOKUP(C96,B72:AG87,31,FALSE)=0,0,VLOOKUP(C96,B72:AG87,4,FALSE)),"")</f>
        <v/>
      </c>
      <c r="F96" s="27" t="str">
        <f ca="1">IFERROR(VLOOKUP(E96,$E72:$F87,2,FALSE),"")</f>
        <v/>
      </c>
      <c r="G96" s="18" t="str">
        <f t="shared" ca="1" si="31"/>
        <v>-</v>
      </c>
      <c r="H96" s="542">
        <f ca="1">IFERROR(VLOOKUP(E96,E72:AG87,28,FALSE),0)</f>
        <v>0</v>
      </c>
      <c r="I96" s="543"/>
      <c r="J96" s="550" t="str">
        <f ca="1">IFERROR(IF(VLOOKUP(C96,C72:AT87,44,FALSE)="",VLOOKUP(C96,C72:AT87,37,FALSE),VLOOKUP(C96,C72:AT87,37,FALSE)&amp;VLOOKUP(C96,C72:AT87,44,FALSE)),"")</f>
        <v/>
      </c>
      <c r="K96" s="551"/>
      <c r="L96" s="550" t="str">
        <f ca="1">IFERROR(IF(VLOOKUP(C96,C72:AG87,30,FALSE)=0,"",VLOOKUP(C96,C72:AG87,3,FALSE)),"")</f>
        <v/>
      </c>
      <c r="M96" s="551"/>
      <c r="N96" s="544" t="str">
        <f ca="1">IFERROR(VLOOKUP(L96,E72:F87,2,FALSE),"")</f>
        <v/>
      </c>
      <c r="O96" s="545"/>
      <c r="P96" s="545"/>
      <c r="Q96" s="545"/>
      <c r="R96" s="545"/>
      <c r="S96" s="546"/>
      <c r="T96" s="544" t="str">
        <f t="shared" ca="1" si="32"/>
        <v>-</v>
      </c>
      <c r="U96" s="545"/>
      <c r="V96" s="545"/>
      <c r="W96" s="545"/>
      <c r="X96" s="545"/>
      <c r="Y96" s="546"/>
      <c r="Z96" s="542">
        <f ca="1">IFERROR(VLOOKUP(L96,E72:AG87,28,FALSE),0)</f>
        <v>0</v>
      </c>
      <c r="AA96" s="543"/>
      <c r="AB96" s="512" t="s">
        <v>185</v>
      </c>
      <c r="AC96" s="552"/>
      <c r="AD96" s="552"/>
      <c r="AE96" s="552"/>
      <c r="AF96" s="552"/>
      <c r="AG96" s="552"/>
      <c r="AH96" s="552"/>
      <c r="AI96" s="552"/>
      <c r="AJ96" s="552"/>
      <c r="AK96" s="552"/>
      <c r="AL96" s="552"/>
      <c r="AM96" s="553"/>
      <c r="AP96" s="8"/>
      <c r="AQ96" s="8"/>
      <c r="AR96" s="8"/>
      <c r="AS96" s="8"/>
      <c r="AT96" s="8"/>
      <c r="AU96" s="8"/>
      <c r="AV96" s="8"/>
      <c r="AW96" s="8"/>
      <c r="AX96" s="8"/>
      <c r="AY96" s="8"/>
      <c r="AZ96" s="152"/>
      <c r="BA96" s="152"/>
      <c r="BB96" s="8"/>
      <c r="BC96" s="8"/>
      <c r="BD96" s="8"/>
      <c r="BE96" s="8"/>
    </row>
    <row r="97" spans="1:72" s="4" customFormat="1" ht="15.95" customHeight="1" x14ac:dyDescent="0.45">
      <c r="A97" s="8">
        <f>IFERROR(VLOOKUP(A68,records,5,FALSE),"")</f>
        <v>1.6</v>
      </c>
      <c r="B97" s="1"/>
      <c r="C97" s="10">
        <v>7</v>
      </c>
      <c r="D97" s="19" t="str">
        <f ca="1">IFERROR(IF(VLOOKUP(C97,B72:AP87,41,FALSE)="",VLOOKUP(C97,B72:AP87,37,FALSE),VLOOKUP(C97,B72:AP87,37,FALSE)&amp;VLOOKUP(C97,B72:AP87,41,FALSE)),"")</f>
        <v/>
      </c>
      <c r="E97" s="19" t="str">
        <f ca="1">IFERROR(IF(VLOOKUP(C97,B72:AG87,31,FALSE)=0,0,VLOOKUP(C97,B72:AG87,4,FALSE)),"")</f>
        <v/>
      </c>
      <c r="F97" s="27" t="str">
        <f ca="1">IFERROR(VLOOKUP(E97,$E72:$F87,2,FALSE),"")</f>
        <v/>
      </c>
      <c r="G97" s="18" t="str">
        <f t="shared" ca="1" si="31"/>
        <v>-</v>
      </c>
      <c r="H97" s="542">
        <f ca="1">IFERROR(VLOOKUP(E97,E72:AG87,28,FALSE),0)</f>
        <v>0</v>
      </c>
      <c r="I97" s="543"/>
      <c r="J97" s="550" t="str">
        <f ca="1">IFERROR(IF(VLOOKUP(C97,C72:AT87,44,FALSE)="",VLOOKUP(C97,C72:AT87,37,FALSE),VLOOKUP(C97,C72:AT87,37,FALSE)&amp;VLOOKUP(C97,C72:AT87,44,FALSE)),"")</f>
        <v/>
      </c>
      <c r="K97" s="551"/>
      <c r="L97" s="550" t="str">
        <f ca="1">IFERROR(IF(VLOOKUP(C97,C72:AG87,30,FALSE)=0,"",VLOOKUP(C97,C72:AG87,3,FALSE)),"")</f>
        <v/>
      </c>
      <c r="M97" s="551"/>
      <c r="N97" s="544" t="str">
        <f ca="1">IFERROR(VLOOKUP(L97,E72:F87,2,FALSE),"")</f>
        <v/>
      </c>
      <c r="O97" s="545"/>
      <c r="P97" s="545"/>
      <c r="Q97" s="545"/>
      <c r="R97" s="545"/>
      <c r="S97" s="546"/>
      <c r="T97" s="544" t="str">
        <f t="shared" ca="1" si="32"/>
        <v>-</v>
      </c>
      <c r="U97" s="545"/>
      <c r="V97" s="545"/>
      <c r="W97" s="545"/>
      <c r="X97" s="545"/>
      <c r="Y97" s="546"/>
      <c r="Z97" s="542">
        <f ca="1">IFERROR(VLOOKUP(L97,E72:AG87,28,FALSE),0)</f>
        <v>0</v>
      </c>
      <c r="AA97" s="543"/>
      <c r="AB97" s="24"/>
      <c r="AC97" s="25"/>
      <c r="AD97" s="25"/>
      <c r="AE97" s="25"/>
      <c r="AF97" s="25"/>
      <c r="AG97" s="25"/>
      <c r="AH97" s="25"/>
      <c r="AI97" s="25"/>
      <c r="AJ97" s="25"/>
      <c r="AK97" s="25"/>
      <c r="AL97" s="141"/>
      <c r="AM97" s="142"/>
      <c r="AP97" s="8"/>
      <c r="AQ97" s="8"/>
      <c r="AR97" s="8"/>
      <c r="AS97" s="8"/>
      <c r="AT97" s="8"/>
      <c r="AU97" s="8"/>
      <c r="AV97" s="8"/>
      <c r="AW97" s="8"/>
      <c r="AX97" s="8"/>
      <c r="AY97" s="8"/>
      <c r="AZ97" s="152"/>
      <c r="BA97" s="152"/>
      <c r="BB97" s="8"/>
      <c r="BC97" s="8"/>
      <c r="BD97" s="8"/>
      <c r="BE97" s="8"/>
    </row>
    <row r="98" spans="1:72" s="4" customFormat="1" ht="15.95" customHeight="1" x14ac:dyDescent="0.45">
      <c r="A98" s="8"/>
      <c r="B98" s="1"/>
      <c r="C98" s="10">
        <v>8</v>
      </c>
      <c r="D98" s="19" t="str">
        <f ca="1">IFERROR(IF(VLOOKUP(C98,B72:AP87,41,FALSE)="",VLOOKUP(C98,B72:AP87,37,FALSE),VLOOKUP(C98,B72:AP87,37,FALSE)&amp;VLOOKUP(C98,B72:AP87,41,FALSE)),"")</f>
        <v/>
      </c>
      <c r="E98" s="19" t="str">
        <f ca="1">IFERROR(IF(VLOOKUP(C98,B72:AG87,31,FALSE)=0,0,VLOOKUP(C98,B72:AG87,4,FALSE)),"")</f>
        <v/>
      </c>
      <c r="F98" s="27" t="str">
        <f ca="1">IFERROR(VLOOKUP(E98,$E72:$F87,2,FALSE),"")</f>
        <v/>
      </c>
      <c r="G98" s="18" t="str">
        <f t="shared" ca="1" si="31"/>
        <v>-</v>
      </c>
      <c r="H98" s="542">
        <f ca="1">IFERROR(VLOOKUP(E98,E72:AG87,28,FALSE),0)</f>
        <v>0</v>
      </c>
      <c r="I98" s="543"/>
      <c r="J98" s="550" t="str">
        <f ca="1">IFERROR(IF(VLOOKUP(C98,C72:AT87,44,FALSE)="",VLOOKUP(C98,C72:AT87,37,FALSE),VLOOKUP(C98,C72:AT87,37,FALSE)&amp;VLOOKUP(C98,C72:AT87,44,FALSE)),"")</f>
        <v/>
      </c>
      <c r="K98" s="551"/>
      <c r="L98" s="550" t="str">
        <f ca="1">IFERROR(IF(VLOOKUP(C98,C72:AG87,30,FALSE)=0,"",VLOOKUP(C98,C72:AG87,3,FALSE)),"")</f>
        <v/>
      </c>
      <c r="M98" s="551"/>
      <c r="N98" s="544" t="str">
        <f ca="1">IFERROR(VLOOKUP(L98,E72:F87,2,FALSE),"")</f>
        <v/>
      </c>
      <c r="O98" s="545"/>
      <c r="P98" s="545"/>
      <c r="Q98" s="545"/>
      <c r="R98" s="545"/>
      <c r="S98" s="546"/>
      <c r="T98" s="544" t="str">
        <f t="shared" ca="1" si="32"/>
        <v>-</v>
      </c>
      <c r="U98" s="545"/>
      <c r="V98" s="545"/>
      <c r="W98" s="545"/>
      <c r="X98" s="545"/>
      <c r="Y98" s="546"/>
      <c r="Z98" s="542">
        <f ca="1">IFERROR(VLOOKUP(L98,E72:AG87,28,FALSE),0)</f>
        <v>0</v>
      </c>
      <c r="AA98" s="543"/>
      <c r="AB98" s="28"/>
      <c r="AC98" s="29"/>
      <c r="AD98" s="29"/>
      <c r="AE98" s="29"/>
      <c r="AF98" s="29"/>
      <c r="AG98" s="29"/>
      <c r="AH98" s="29"/>
      <c r="AI98" s="29"/>
      <c r="AJ98" s="29"/>
      <c r="AK98" s="29"/>
      <c r="AL98" s="143"/>
      <c r="AM98" s="144"/>
      <c r="AP98" s="8"/>
      <c r="AQ98" s="8"/>
      <c r="AR98" s="8"/>
      <c r="AS98" s="8"/>
      <c r="AT98" s="8"/>
      <c r="AU98" s="8"/>
      <c r="AV98" s="8"/>
      <c r="AW98" s="8"/>
      <c r="AX98" s="8"/>
      <c r="AY98" s="8"/>
      <c r="AZ98" s="152"/>
      <c r="BA98" s="152"/>
      <c r="BB98" s="8"/>
      <c r="BC98" s="8"/>
      <c r="BD98" s="8"/>
      <c r="BE98" s="8"/>
    </row>
    <row r="99" spans="1:72" s="4" customFormat="1" ht="21" x14ac:dyDescent="0.45">
      <c r="A99" s="2" t="str">
        <f>MatchDay!$U$6</f>
        <v>X</v>
      </c>
      <c r="B99" s="10" t="str">
        <f>IFERROR(VLOOKUP($A100,fh,2,FALSE),"")</f>
        <v/>
      </c>
      <c r="C99" s="10" t="str">
        <f>IFERROR(VLOOKUP($A100,fdistance,3,FALSE),"")</f>
        <v/>
      </c>
      <c r="D99" s="502" t="s">
        <v>324</v>
      </c>
      <c r="E99" s="503"/>
      <c r="F99" s="503"/>
      <c r="G99" s="503"/>
      <c r="H99" s="515" t="s">
        <v>187</v>
      </c>
      <c r="I99" s="516"/>
      <c r="J99" s="516"/>
      <c r="K99" s="516"/>
      <c r="L99" s="516"/>
      <c r="M99" s="517"/>
      <c r="N99" s="518" t="str">
        <f>MatchDay!$C$2&amp;" "&amp;MatchDay!$C$3&amp;" "&amp;MatchDay!$C$4</f>
        <v>LOWER NORTH East 1</v>
      </c>
      <c r="O99" s="519"/>
      <c r="P99" s="519"/>
      <c r="Q99" s="519"/>
      <c r="R99" s="519"/>
      <c r="S99" s="519"/>
      <c r="T99" s="519"/>
      <c r="U99" s="519"/>
      <c r="V99" s="519"/>
      <c r="W99" s="519"/>
      <c r="X99" s="519"/>
      <c r="Y99" s="519"/>
      <c r="Z99" s="519"/>
      <c r="AA99" s="519"/>
      <c r="AB99" s="519"/>
      <c r="AC99" s="519"/>
      <c r="AD99" s="519"/>
      <c r="AE99" s="519"/>
      <c r="AF99" s="519"/>
      <c r="AG99" s="519"/>
      <c r="AH99" s="519"/>
      <c r="AI99" s="519"/>
      <c r="AJ99" s="519"/>
      <c r="AK99" s="519"/>
      <c r="AL99" s="519"/>
      <c r="AM99" s="520"/>
      <c r="AP99" s="8"/>
      <c r="AT99" s="8"/>
      <c r="AU99" s="8"/>
      <c r="AV99" s="8"/>
      <c r="AW99" s="8"/>
      <c r="AX99" s="8"/>
      <c r="AY99" s="8"/>
      <c r="AZ99" s="152"/>
      <c r="BA99" s="152"/>
      <c r="BB99" s="8"/>
      <c r="BC99" s="8"/>
      <c r="BD99" s="8"/>
      <c r="BE99" s="8"/>
    </row>
    <row r="100" spans="1:72" s="4" customFormat="1" ht="15.75" customHeight="1" x14ac:dyDescent="0.45">
      <c r="A100" s="1" t="str">
        <f>IFERROR(IF(LEFT(MatchDay!$C$2,1)="L","L"&amp;A102,"U"&amp;A102),"")</f>
        <v>LFH04</v>
      </c>
      <c r="B100" s="8">
        <v>123</v>
      </c>
      <c r="D100" s="504" t="s">
        <v>188</v>
      </c>
      <c r="E100" s="505"/>
      <c r="F100" s="513" t="str">
        <f>IFERROR(UPPER(VLOOKUP(A101,teamlookup,6,FALSE)),"")</f>
        <v/>
      </c>
      <c r="G100" s="514"/>
      <c r="H100" s="504" t="s">
        <v>201</v>
      </c>
      <c r="I100" s="510"/>
      <c r="J100" s="505"/>
      <c r="K100" s="512" t="str">
        <f>MatchDay!$C$8</f>
        <v>@ Doncaster</v>
      </c>
      <c r="L100" s="513"/>
      <c r="M100" s="513"/>
      <c r="N100" s="513"/>
      <c r="O100" s="513"/>
      <c r="P100" s="513"/>
      <c r="Q100" s="513"/>
      <c r="R100" s="513"/>
      <c r="S100" s="513"/>
      <c r="T100" s="513"/>
      <c r="U100" s="513"/>
      <c r="V100" s="513"/>
      <c r="W100" s="513"/>
      <c r="X100" s="513"/>
      <c r="Y100" s="514"/>
      <c r="Z100" s="504" t="s">
        <v>160</v>
      </c>
      <c r="AA100" s="510"/>
      <c r="AB100" s="505"/>
      <c r="AC100" s="521">
        <f>MatchDay!$C$7</f>
        <v>43582</v>
      </c>
      <c r="AD100" s="522"/>
      <c r="AE100" s="522"/>
      <c r="AF100" s="522"/>
      <c r="AG100" s="522"/>
      <c r="AH100" s="522"/>
      <c r="AI100" s="522"/>
      <c r="AJ100" s="522"/>
      <c r="AK100" s="522"/>
      <c r="AL100" s="522"/>
      <c r="AM100" s="523"/>
      <c r="AN100" s="37"/>
      <c r="AP100" s="8"/>
      <c r="AT100" s="8"/>
      <c r="AU100" s="8"/>
      <c r="AV100" s="8"/>
      <c r="AW100" s="8"/>
      <c r="AX100" s="8"/>
      <c r="AY100" s="8"/>
      <c r="AZ100" s="152"/>
      <c r="BA100" s="152"/>
      <c r="BB100" s="8"/>
      <c r="BC100" s="8"/>
      <c r="BD100" s="8"/>
      <c r="BE100" s="8"/>
    </row>
    <row r="101" spans="1:72" s="4" customFormat="1" ht="15.75" customHeight="1" x14ac:dyDescent="0.45">
      <c r="A101" s="5">
        <f>IFERROR(IF(A99=1,VLOOKUP(A100,judges,VLOOKUP(MatchDay!$U$2*10+MatchDay!$C$5,judgesp,5,FALSE),FALSE),VLOOKUP(Distance!A100,judges,VLOOKUP(MatchDay!$U$2*10+MatchDay!$C$5,judges2,5,FALSE),FALSE)),"")</f>
        <v>0</v>
      </c>
      <c r="B101" s="38" t="str">
        <f>IFERROR(VLOOKUP($A102,fheight,2,FALSE),"")</f>
        <v>C</v>
      </c>
      <c r="C101" s="181">
        <f>IFERROR(VLOOKUP(A100,Timetables!$A:$E,5,FALSE)-1,"")</f>
        <v>71</v>
      </c>
      <c r="D101" s="504" t="s">
        <v>161</v>
      </c>
      <c r="E101" s="505"/>
      <c r="F101" s="508" t="str">
        <f>IFERROR(VLOOKUP(A100,timetables,2,FALSE)&amp;" "&amp;VLOOKUP(A100,timetables,3,FALSE),"")</f>
        <v>Pole Vault U15 Boys</v>
      </c>
      <c r="G101" s="509"/>
      <c r="H101" s="504" t="s">
        <v>162</v>
      </c>
      <c r="I101" s="510"/>
      <c r="J101" s="505"/>
      <c r="K101" s="559" t="str">
        <f>IFERROR(IF(A99=1,VLOOKUP(A100,Timetables!$A:$G,6,FALSE),VLOOKUP(A100,Timetables!$A:$G,7,FALSE)),"")</f>
        <v>13:00</v>
      </c>
      <c r="L101" s="570"/>
      <c r="M101" s="560"/>
      <c r="N101" s="567" t="s">
        <v>202</v>
      </c>
      <c r="O101" s="568"/>
      <c r="P101" s="568"/>
      <c r="Q101" s="569"/>
      <c r="R101" s="567" t="str">
        <f>IFERROR(VLOOKUP(A100,records,3,FALSE)&amp;", "&amp;VLOOKUP(A100,records,4,FALSE)&amp;", "&amp;VLOOKUP(A100,records,5,FALSE)&amp;", "&amp;VLOOKUP(A100,records,6,FALSE)&amp;", "&amp;VLOOKUP(A100,records,7,FALSE)&amp;" "&amp;VLOOKUP(A100,records,8,FALSE),"")</f>
        <v>Frankie Johnson, Bedford &amp; County AC, 4.32, Lee Valley, June 21st 2015</v>
      </c>
      <c r="S101" s="568"/>
      <c r="T101" s="568"/>
      <c r="U101" s="568"/>
      <c r="V101" s="568"/>
      <c r="W101" s="568"/>
      <c r="X101" s="568"/>
      <c r="Y101" s="568"/>
      <c r="Z101" s="568"/>
      <c r="AA101" s="568"/>
      <c r="AB101" s="568"/>
      <c r="AC101" s="568"/>
      <c r="AD101" s="568"/>
      <c r="AE101" s="568"/>
      <c r="AF101" s="568"/>
      <c r="AG101" s="568"/>
      <c r="AH101" s="568"/>
      <c r="AI101" s="568"/>
      <c r="AJ101" s="568"/>
      <c r="AK101" s="568"/>
      <c r="AL101" s="568"/>
      <c r="AM101" s="569"/>
      <c r="AN101" s="8"/>
      <c r="AP101" s="8"/>
      <c r="AT101" s="8"/>
      <c r="AU101" s="8"/>
      <c r="AV101" s="8"/>
      <c r="AW101" s="8"/>
      <c r="AX101" s="8"/>
      <c r="AY101" s="8"/>
      <c r="AZ101" s="152"/>
      <c r="BA101" s="152"/>
      <c r="BB101" s="8"/>
      <c r="BC101" s="8"/>
      <c r="BD101" s="8"/>
      <c r="BE101" s="8"/>
    </row>
    <row r="102" spans="1:72" s="4" customFormat="1" ht="38.25" customHeight="1" x14ac:dyDescent="0.45">
      <c r="A102" s="5" t="s">
        <v>328</v>
      </c>
      <c r="B102" s="10" t="str">
        <f>IFERROR(VLOOKUP($A102,fheight,3,FALSE),"")</f>
        <v>G</v>
      </c>
      <c r="C102" s="10">
        <f>IFERROR(VLOOKUP($A102,fheight,4,FALSE),"")</f>
        <v>23</v>
      </c>
      <c r="D102" s="39" t="s">
        <v>163</v>
      </c>
      <c r="E102" s="39" t="s">
        <v>164</v>
      </c>
      <c r="F102" s="39" t="s">
        <v>165</v>
      </c>
      <c r="G102" s="40" t="s">
        <v>166</v>
      </c>
      <c r="H102" s="559">
        <v>1.7</v>
      </c>
      <c r="I102" s="570"/>
      <c r="J102" s="559">
        <v>1.8</v>
      </c>
      <c r="K102" s="570"/>
      <c r="L102" s="559">
        <v>1.9</v>
      </c>
      <c r="M102" s="570"/>
      <c r="N102" s="559">
        <v>2</v>
      </c>
      <c r="O102" s="570"/>
      <c r="P102" s="559">
        <v>2.1</v>
      </c>
      <c r="Q102" s="570"/>
      <c r="R102" s="559">
        <v>2.2000000000000002</v>
      </c>
      <c r="S102" s="570"/>
      <c r="T102" s="559"/>
      <c r="U102" s="570"/>
      <c r="V102" s="559"/>
      <c r="W102" s="570"/>
      <c r="X102" s="559"/>
      <c r="Y102" s="570"/>
      <c r="Z102" s="559"/>
      <c r="AA102" s="570"/>
      <c r="AB102" s="559"/>
      <c r="AC102" s="570"/>
      <c r="AD102" s="559"/>
      <c r="AE102" s="570"/>
      <c r="AF102" s="575" t="s">
        <v>319</v>
      </c>
      <c r="AG102" s="576"/>
      <c r="AH102" s="577" t="s">
        <v>320</v>
      </c>
      <c r="AI102" s="577" t="s">
        <v>321</v>
      </c>
      <c r="AJ102" s="563" t="s">
        <v>522</v>
      </c>
      <c r="AK102" s="41"/>
      <c r="AL102" s="571" t="s">
        <v>177</v>
      </c>
      <c r="AM102" s="572"/>
      <c r="AN102" s="42" t="s">
        <v>322</v>
      </c>
      <c r="AP102" s="8"/>
      <c r="AT102" s="8"/>
      <c r="AU102" s="8"/>
      <c r="AV102" s="8"/>
      <c r="AW102" s="8"/>
      <c r="AX102" s="8"/>
      <c r="AY102" s="8"/>
      <c r="AZ102" s="152"/>
      <c r="BA102" s="152"/>
      <c r="BB102" s="8"/>
      <c r="BC102" s="8"/>
      <c r="BD102" s="8"/>
      <c r="BE102" s="8"/>
    </row>
    <row r="103" spans="1:72" s="4" customFormat="1" ht="10.5" x14ac:dyDescent="0.35">
      <c r="A103" s="137">
        <f>IFERROR(SEARCH("U17",F101),0)</f>
        <v>0</v>
      </c>
      <c r="B103" s="1"/>
      <c r="C103" s="1"/>
      <c r="D103" s="43"/>
      <c r="E103" s="43"/>
      <c r="F103" s="58"/>
      <c r="G103" s="57"/>
      <c r="H103" s="554" t="s">
        <v>178</v>
      </c>
      <c r="I103" s="579"/>
      <c r="J103" s="554" t="s">
        <v>178</v>
      </c>
      <c r="K103" s="579"/>
      <c r="L103" s="554" t="s">
        <v>178</v>
      </c>
      <c r="M103" s="579"/>
      <c r="N103" s="554" t="s">
        <v>178</v>
      </c>
      <c r="O103" s="579"/>
      <c r="P103" s="554" t="s">
        <v>178</v>
      </c>
      <c r="Q103" s="579"/>
      <c r="R103" s="554" t="s">
        <v>178</v>
      </c>
      <c r="S103" s="579"/>
      <c r="T103" s="554" t="s">
        <v>178</v>
      </c>
      <c r="U103" s="579"/>
      <c r="V103" s="554" t="s">
        <v>178</v>
      </c>
      <c r="W103" s="579"/>
      <c r="X103" s="554" t="s">
        <v>178</v>
      </c>
      <c r="Y103" s="579"/>
      <c r="Z103" s="554" t="s">
        <v>178</v>
      </c>
      <c r="AA103" s="579"/>
      <c r="AB103" s="554" t="s">
        <v>178</v>
      </c>
      <c r="AC103" s="579"/>
      <c r="AD103" s="554" t="s">
        <v>178</v>
      </c>
      <c r="AE103" s="579"/>
      <c r="AF103" s="554" t="s">
        <v>178</v>
      </c>
      <c r="AG103" s="555"/>
      <c r="AH103" s="578"/>
      <c r="AI103" s="578"/>
      <c r="AJ103" s="564"/>
      <c r="AK103" s="44"/>
      <c r="AL103" s="573"/>
      <c r="AM103" s="574"/>
      <c r="AN103" s="42"/>
      <c r="AP103" s="9"/>
      <c r="AQ103" s="9"/>
      <c r="AR103" s="45"/>
      <c r="AS103" s="45"/>
      <c r="AT103" s="45"/>
      <c r="AU103" s="46"/>
      <c r="AV103" s="45"/>
      <c r="AW103" s="9"/>
      <c r="AX103" s="9"/>
      <c r="AY103" s="47"/>
      <c r="AZ103" s="151"/>
      <c r="BA103" s="151"/>
      <c r="BB103" s="9"/>
      <c r="BC103" s="9">
        <v>1</v>
      </c>
      <c r="BD103" s="9">
        <v>2</v>
      </c>
      <c r="BE103" s="9">
        <v>3</v>
      </c>
      <c r="BF103" s="9">
        <v>4</v>
      </c>
      <c r="BG103" s="9">
        <v>5</v>
      </c>
      <c r="BH103" s="9">
        <v>6</v>
      </c>
      <c r="BI103" s="9">
        <v>7</v>
      </c>
      <c r="BJ103" s="9">
        <v>8</v>
      </c>
      <c r="BK103" s="9">
        <v>1</v>
      </c>
      <c r="BL103" s="9">
        <v>2</v>
      </c>
      <c r="BM103" s="9">
        <v>3</v>
      </c>
      <c r="BN103" s="9">
        <v>4</v>
      </c>
      <c r="BO103" s="9">
        <v>5</v>
      </c>
      <c r="BP103" s="9">
        <v>6</v>
      </c>
      <c r="BQ103" s="9">
        <v>7</v>
      </c>
      <c r="BR103" s="9">
        <v>8</v>
      </c>
      <c r="BS103" s="46"/>
    </row>
    <row r="104" spans="1:72" s="4" customFormat="1" ht="15.95" customHeight="1" x14ac:dyDescent="0.35">
      <c r="A104" s="8">
        <f>IFERROR(IF(D104&gt;MatchDay!$U$2,"-",VLOOKUP(A100,timetables,MatchDay!$U$4,FALSE)),0)</f>
        <v>2</v>
      </c>
      <c r="B104" s="10">
        <f ca="1">IFERROR(IF(OR(AK104=0,AK104="B"),"",RANK(AZ104,AZ104:AZ119,1)),"")</f>
        <v>1</v>
      </c>
      <c r="C104" s="10" t="str">
        <f ca="1">IFERROR(IF(OR(AK104=0,AK104="A"),"",RANK(BA104,BA104:BA119,1)),"")</f>
        <v/>
      </c>
      <c r="D104" s="56">
        <v>1</v>
      </c>
      <c r="E104" s="17">
        <f>A104</f>
        <v>2</v>
      </c>
      <c r="F104" s="18" t="str">
        <f ca="1">IFERROR(IF(A103=0,HLOOKUP(E104,Declarations!$D$2:$S$102,C101,FALSE),HLOOKUP(VLOOKUP(E104,Teams!$V$2:$W$19,2,FALSE),Declarations!$D$2:$S$102,C101,FALSE)),"")</f>
        <v>LANE William</v>
      </c>
      <c r="G104" s="18" t="str">
        <f t="shared" ref="G104:G119" si="33">IFERROR(VLOOKUP(E104,teamlookup,5,FALSE),"-")</f>
        <v>Sheff+D</v>
      </c>
      <c r="H104" s="526"/>
      <c r="I104" s="527"/>
      <c r="J104" s="526"/>
      <c r="K104" s="527"/>
      <c r="L104" s="526"/>
      <c r="M104" s="527"/>
      <c r="N104" s="526"/>
      <c r="O104" s="527"/>
      <c r="P104" s="526"/>
      <c r="Q104" s="527"/>
      <c r="R104" s="526"/>
      <c r="S104" s="527"/>
      <c r="T104" s="526"/>
      <c r="U104" s="527"/>
      <c r="V104" s="526"/>
      <c r="W104" s="527"/>
      <c r="X104" s="526"/>
      <c r="Y104" s="527"/>
      <c r="Z104" s="526"/>
      <c r="AA104" s="527"/>
      <c r="AB104" s="526"/>
      <c r="AC104" s="527"/>
      <c r="AD104" s="526"/>
      <c r="AE104" s="527"/>
      <c r="AF104" s="557">
        <f ca="1">IFERROR(INDIRECT(CONCATENATE("'Height Input'!"&amp;B102&amp;C102)),"")</f>
        <v>3</v>
      </c>
      <c r="AG104" s="558"/>
      <c r="AH104" s="48"/>
      <c r="AI104" s="48"/>
      <c r="AJ104" s="49">
        <f ca="1">IFERROR(IF(AF104="X",MatchDay!$U$2+MatchDay!$U$2+1-COUNTIF($AF104:AF104,"X"),IF(AF104&gt;=97,1,INT(INDIRECT(CONCATENATE("'Height Input'!"&amp;$B101&amp;$C102))))),"")</f>
        <v>1</v>
      </c>
      <c r="AK104" s="50" t="str">
        <f ca="1">IFERROR(IF(OR(AJ104=0,AJ104=""),0,IF(OR(AJ104&lt;=VLOOKUP(BT104,$E112:$AJ119,32,FALSE),VLOOKUP(BT104,$E112:$AJ119,32,FALSE)=0),"A","B")),0)</f>
        <v>A</v>
      </c>
      <c r="AL104" s="139">
        <f ca="1">IFERROR(IF(OR(AK104=0,AK104="B"),"",RANK(AW104,AW104:AW119,1)),"")</f>
        <v>1</v>
      </c>
      <c r="AM104" s="139" t="str">
        <f ca="1">IFERROR(IF(OR(AK104=0,AK104="A"),"",RANK(AX104,AX104:AX119,1)),"")</f>
        <v/>
      </c>
      <c r="AN104" s="51">
        <f ca="1">IFERROR(IF(AF104="X",0,(INDIRECT(CONCATENATE("'Height Input'!"&amp;$B101&amp;$C102))-AJ104)*10),"")</f>
        <v>0</v>
      </c>
      <c r="AO104" s="8"/>
      <c r="AP104" s="9" t="str">
        <f ca="1">IF(AQ104="","",IF(AQ104=1,AR104,REPT(AR104,AQ104-1)))</f>
        <v/>
      </c>
      <c r="AQ104" s="9" t="str">
        <f ca="1">IF(AR104="","",HLOOKUP(AL104,BC103:BJ120,18,FALSE))</f>
        <v/>
      </c>
      <c r="AR104" s="45" t="str">
        <f ca="1">IF(OR(AL104=0,AL104=""),"",IF(COUNTIFS(AL104:AL119,AL104)&gt;1,"=",""))</f>
        <v/>
      </c>
      <c r="AS104" s="45"/>
      <c r="AT104" s="9" t="str">
        <f ca="1">IF(AU104="","",IF(AU104=1,AV104,REPT(AV104,AU104-1)))</f>
        <v/>
      </c>
      <c r="AU104" s="9" t="str">
        <f ca="1">IF(AV104="","",HLOOKUP(AM104,BK103:BR120,18,FALSE))</f>
        <v/>
      </c>
      <c r="AV104" s="45" t="str">
        <f ca="1">IF(OR(AM104=0,AM104=""),"",IF(COUNTIFS(AM104:AM119,AM104)&gt;1,"=",""))</f>
        <v/>
      </c>
      <c r="AW104" s="9">
        <f t="shared" ref="AW104:AW119" ca="1" si="34">IF(OR(AJ104=0,AF104=0,AK104="B"),"",AJ104)</f>
        <v>1</v>
      </c>
      <c r="AX104" s="9" t="str">
        <f t="shared" ref="AX104:AX119" ca="1" si="35">IF(OR(AJ104=0,AF104=0,AK104="A"),"",AJ104)</f>
        <v/>
      </c>
      <c r="AY104" s="47"/>
      <c r="AZ104" s="151">
        <f t="shared" ref="AZ104:AZ119" ca="1" si="36">IF(AW104="","",AW104+(AN104/10))</f>
        <v>1</v>
      </c>
      <c r="BA104" s="151" t="str">
        <f t="shared" ref="BA104:BA119" ca="1" si="37">IF(AX104="","",AX104+(AN104/10))</f>
        <v/>
      </c>
      <c r="BB104" s="9"/>
      <c r="BC104" s="52">
        <f ca="1">IF(AL104="","",IF(AL104=BC103,AL104,""))</f>
        <v>1</v>
      </c>
      <c r="BD104" s="52" t="str">
        <f ca="1">IF(AL104="","",IF(AL104=BD103,AL104,""))</f>
        <v/>
      </c>
      <c r="BE104" s="52" t="str">
        <f ca="1">IF(AL104="","",IF(AL104=BE103,AL104,""))</f>
        <v/>
      </c>
      <c r="BF104" s="52" t="str">
        <f ca="1">IF(AL104="","",IF(AL104=BF103,AL104,""))</f>
        <v/>
      </c>
      <c r="BG104" s="52" t="str">
        <f ca="1">IF(AL104="","",IF(AL104=BG103,AL104,""))</f>
        <v/>
      </c>
      <c r="BH104" s="52" t="str">
        <f ca="1">IF(AL104="","",IF(AL104=BH103,AL104,""))</f>
        <v/>
      </c>
      <c r="BI104" s="52" t="str">
        <f ca="1">IF(AL104="","",IF(AL104=BI103,AL104,""))</f>
        <v/>
      </c>
      <c r="BJ104" s="52" t="str">
        <f ca="1">IF(AL104="","",IF(AL104=BJ103,AL104,""))</f>
        <v/>
      </c>
      <c r="BK104" s="52" t="str">
        <f ca="1">IF(AM104="","",IF(AM104=BK103,AM104,""))</f>
        <v/>
      </c>
      <c r="BL104" s="52" t="str">
        <f ca="1">IF(AM104="","",IF(AM104=BL103,AM104,""))</f>
        <v/>
      </c>
      <c r="BM104" s="52" t="str">
        <f ca="1">IF(AM104="","",IF(AM104=BM103,AM104,""))</f>
        <v/>
      </c>
      <c r="BN104" s="52" t="str">
        <f ca="1">IF(AM104="","",IF(AM104=BN103,AM104,""))</f>
        <v/>
      </c>
      <c r="BO104" s="52" t="str">
        <f ca="1">IF(AM104="","",IF(AM104=BO103,AM104,""))</f>
        <v/>
      </c>
      <c r="BP104" s="52" t="str">
        <f ca="1">IF(AM104="","",IF(AM104=BP103,AM104,""))</f>
        <v/>
      </c>
      <c r="BQ104" s="52" t="str">
        <f ca="1">IF(AM104="","",IF(AM104=BQ103,AM104,""))</f>
        <v/>
      </c>
      <c r="BR104" s="52" t="str">
        <f ca="1">IF(AM104="","",IF(AM104=BR103,AM104,""))</f>
        <v/>
      </c>
      <c r="BS104" s="46"/>
      <c r="BT104" s="4">
        <f>IFERROR(IF(A103=0,A104*11,A104&amp;A104),"")</f>
        <v>22</v>
      </c>
    </row>
    <row r="105" spans="1:72" s="4" customFormat="1" ht="15.95" customHeight="1" x14ac:dyDescent="0.35">
      <c r="A105" s="8">
        <f>IFERROR(IF(D105&gt;MatchDay!$U$2,"-",VLOOKUP(A100,timetables,MatchDay!$U$4+1,FALSE)),0)</f>
        <v>5</v>
      </c>
      <c r="B105" s="10" t="str">
        <f ca="1">IFERROR(IF(OR(AK105=0,AK105="B"),"",RANK(AZ105,AZ104:AZ119,1)),"")</f>
        <v/>
      </c>
      <c r="C105" s="10" t="str">
        <f ca="1">IFERROR(IF(OR(AK105=0,AK105="A"),"",RANK(BA105,BA104:BA119,1)),"")</f>
        <v/>
      </c>
      <c r="D105" s="55">
        <v>2</v>
      </c>
      <c r="E105" s="17">
        <f t="shared" ref="E105:E119" si="38">A105</f>
        <v>5</v>
      </c>
      <c r="F105" s="18">
        <f ca="1">IFERROR(IF(A103=0,HLOOKUP(E105,Declarations!$D$2:$S$102,C101,FALSE),HLOOKUP(VLOOKUP(E105,Teams!$V$2:$W$19,2,FALSE),Declarations!$D$2:$S$102,C101,FALSE)),"")</f>
        <v>0</v>
      </c>
      <c r="G105" s="18" t="str">
        <f t="shared" si="33"/>
        <v>Scun</v>
      </c>
      <c r="H105" s="526"/>
      <c r="I105" s="527"/>
      <c r="J105" s="526"/>
      <c r="K105" s="527"/>
      <c r="L105" s="526"/>
      <c r="M105" s="527"/>
      <c r="N105" s="526"/>
      <c r="O105" s="527"/>
      <c r="P105" s="526"/>
      <c r="Q105" s="527"/>
      <c r="R105" s="526"/>
      <c r="S105" s="527"/>
      <c r="T105" s="526"/>
      <c r="U105" s="527"/>
      <c r="V105" s="526"/>
      <c r="W105" s="527"/>
      <c r="X105" s="526"/>
      <c r="Y105" s="527"/>
      <c r="Z105" s="526"/>
      <c r="AA105" s="527"/>
      <c r="AB105" s="526"/>
      <c r="AC105" s="527"/>
      <c r="AD105" s="526"/>
      <c r="AE105" s="527"/>
      <c r="AF105" s="557">
        <f ca="1">IFERROR(INDIRECT(CONCATENATE("'Height Input'!"&amp;B102&amp;C102+1)),"")</f>
        <v>0</v>
      </c>
      <c r="AG105" s="558"/>
      <c r="AH105" s="48"/>
      <c r="AI105" s="48"/>
      <c r="AJ105" s="49">
        <f ca="1">IFERROR(IF(AF105="X",MatchDay!$U$2+MatchDay!$U$2+1-COUNTIF($AF104:AF105,"X"),IF(AF105&gt;=97,1,INT(INDIRECT(CONCATENATE("'Height Input'!"&amp;$B101&amp;$C102+1))))),"")</f>
        <v>0</v>
      </c>
      <c r="AK105" s="50">
        <f ca="1">IFERROR(IF(OR(AJ105=0,AJ105=""),0,IF(OR(AJ105&lt;=VLOOKUP(BT105,$E112:$AJ119,32,FALSE),VLOOKUP(BT105,$E112:$AJ119,32,FALSE)=0),"A","B")),0)</f>
        <v>0</v>
      </c>
      <c r="AL105" s="139" t="str">
        <f ca="1">IFERROR(IF(OR(AK105=0,AK105="B"),"",RANK(AW105,AW104:AW119,1)),"")</f>
        <v/>
      </c>
      <c r="AM105" s="139" t="str">
        <f ca="1">IFERROR(IF(OR(AK105=0,AK105="A"),"",RANK(AX105,AX104:AX119,1)),"")</f>
        <v/>
      </c>
      <c r="AN105" s="51">
        <f ca="1">IFERROR(IF(AF105="X",0,(INDIRECT(CONCATENATE("'Height Input'!"&amp;$B101&amp;$C102+1))-AJ105)*10),"")</f>
        <v>0</v>
      </c>
      <c r="AO105" s="8"/>
      <c r="AP105" s="9" t="str">
        <f t="shared" ref="AP105:AP119" ca="1" si="39">IF(AQ105="","",IF(AQ105=1,AR105,REPT(AR105,AQ105-1)))</f>
        <v/>
      </c>
      <c r="AQ105" s="9" t="str">
        <f ca="1">IF(AR105="","",HLOOKUP(AL105,BC103:BJ120,18,FALSE))</f>
        <v/>
      </c>
      <c r="AR105" s="45" t="str">
        <f ca="1">IF(OR(AL105=0,AL105=""),"",IF(COUNTIFS(AL104:AL119,AL105)&gt;1,"=",""))</f>
        <v/>
      </c>
      <c r="AS105" s="45"/>
      <c r="AT105" s="9" t="str">
        <f t="shared" ref="AT105:AT119" ca="1" si="40">IF(AU105="","",IF(AU105=1,AV105,REPT(AV105,AU105-1)))</f>
        <v/>
      </c>
      <c r="AU105" s="9" t="str">
        <f ca="1">IF(AV105="","",HLOOKUP(AM105,BK103:BR120,18,FALSE))</f>
        <v/>
      </c>
      <c r="AV105" s="45" t="str">
        <f ca="1">IF(OR(AM105=0,AM105=""),"",IF(COUNTIFS(AM104:AM119,AM105)&gt;1,"=",""))</f>
        <v/>
      </c>
      <c r="AW105" s="9" t="str">
        <f t="shared" ca="1" si="34"/>
        <v/>
      </c>
      <c r="AX105" s="9" t="str">
        <f t="shared" ca="1" si="35"/>
        <v/>
      </c>
      <c r="AY105" s="47"/>
      <c r="AZ105" s="151" t="str">
        <f t="shared" ca="1" si="36"/>
        <v/>
      </c>
      <c r="BA105" s="151" t="str">
        <f t="shared" ca="1" si="37"/>
        <v/>
      </c>
      <c r="BB105" s="9"/>
      <c r="BC105" s="52" t="str">
        <f ca="1">IF(AL105="","",IF(AL105=BC103,AL105,""))</f>
        <v/>
      </c>
      <c r="BD105" s="52" t="str">
        <f ca="1">IF(AL105="","",IF(AL105=BD103,AL105,""))</f>
        <v/>
      </c>
      <c r="BE105" s="52" t="str">
        <f ca="1">IF(AL105="","",IF(AL105=BE103,AL105,""))</f>
        <v/>
      </c>
      <c r="BF105" s="52" t="str">
        <f ca="1">IF(AL105="","",IF(AL105=BF103,AL105,""))</f>
        <v/>
      </c>
      <c r="BG105" s="52" t="str">
        <f ca="1">IF(AL105="","",IF(AL105=BG103,AL105,""))</f>
        <v/>
      </c>
      <c r="BH105" s="52" t="str">
        <f ca="1">IF(AL105="","",IF(AL105=BH103,AL105,""))</f>
        <v/>
      </c>
      <c r="BI105" s="52" t="str">
        <f ca="1">IF(AL105="","",IF(AL105=BI103,AL105,""))</f>
        <v/>
      </c>
      <c r="BJ105" s="52" t="str">
        <f ca="1">IF(AL105="","",IF(AL105=BJ103,AL105,""))</f>
        <v/>
      </c>
      <c r="BK105" s="52" t="str">
        <f ca="1">IF(AM105="","",IF(AM105=BK103,AM105,""))</f>
        <v/>
      </c>
      <c r="BL105" s="52" t="str">
        <f ca="1">IF(AM105="","",IF(AM105=BL103,AM105,""))</f>
        <v/>
      </c>
      <c r="BM105" s="52" t="str">
        <f ca="1">IF(AM105="","",IF(AM105=BM103,AM105,""))</f>
        <v/>
      </c>
      <c r="BN105" s="52" t="str">
        <f ca="1">IF(AM105="","",IF(AM105=BN103,AM105,""))</f>
        <v/>
      </c>
      <c r="BO105" s="52" t="str">
        <f ca="1">IF(AM105="","",IF(AM105=BO103,AM105,""))</f>
        <v/>
      </c>
      <c r="BP105" s="52" t="str">
        <f ca="1">IF(AM105="","",IF(AM105=BP103,AM105,""))</f>
        <v/>
      </c>
      <c r="BQ105" s="52" t="str">
        <f ca="1">IF(AM105="","",IF(AM105=BQ103,AM105,""))</f>
        <v/>
      </c>
      <c r="BR105" s="52" t="str">
        <f ca="1">IF(AM105="","",IF(AM105=BR103,AM105,""))</f>
        <v/>
      </c>
      <c r="BS105" s="46"/>
      <c r="BT105" s="4">
        <f>IFERROR(IF(A103=0,A105*11,A105&amp;A105),"")</f>
        <v>55</v>
      </c>
    </row>
    <row r="106" spans="1:72" s="4" customFormat="1" ht="15.95" customHeight="1" x14ac:dyDescent="0.35">
      <c r="A106" s="8">
        <f>IFERROR(IF(D106&gt;MatchDay!$U$2,"-",VLOOKUP(A100,timetables,MatchDay!$U$4+2,FALSE)),0)</f>
        <v>3</v>
      </c>
      <c r="B106" s="10">
        <f ca="1">IFERROR(IF(OR(AK106=0,AK106="B"),"",RANK(AZ106,AZ104:AZ119,1)),"")</f>
        <v>2</v>
      </c>
      <c r="C106" s="10" t="str">
        <f ca="1">IFERROR(IF(OR(AK106=0,AK106="A"),"",RANK(BA106,BA104:BA119,1)),"")</f>
        <v/>
      </c>
      <c r="D106" s="55">
        <v>3</v>
      </c>
      <c r="E106" s="17">
        <f t="shared" si="38"/>
        <v>3</v>
      </c>
      <c r="F106" s="18" t="str">
        <f ca="1">IFERROR(IF(A103=0,HLOOKUP(E106,Declarations!$D$2:$S$102,C101,FALSE),HLOOKUP(VLOOKUP(E106,Teams!$V$2:$W$19,2,FALSE),Declarations!$D$2:$S$102,C101,FALSE)),"")</f>
        <v>BOWSHER James</v>
      </c>
      <c r="G106" s="18" t="str">
        <f t="shared" si="33"/>
        <v>York</v>
      </c>
      <c r="H106" s="526"/>
      <c r="I106" s="527"/>
      <c r="J106" s="526"/>
      <c r="K106" s="527"/>
      <c r="L106" s="526"/>
      <c r="M106" s="527"/>
      <c r="N106" s="526"/>
      <c r="O106" s="527"/>
      <c r="P106" s="526"/>
      <c r="Q106" s="527"/>
      <c r="R106" s="526"/>
      <c r="S106" s="527"/>
      <c r="T106" s="526"/>
      <c r="U106" s="527"/>
      <c r="V106" s="526"/>
      <c r="W106" s="527"/>
      <c r="X106" s="526"/>
      <c r="Y106" s="527"/>
      <c r="Z106" s="526"/>
      <c r="AA106" s="527"/>
      <c r="AB106" s="526"/>
      <c r="AC106" s="527"/>
      <c r="AD106" s="526"/>
      <c r="AE106" s="527"/>
      <c r="AF106" s="557">
        <f ca="1">IFERROR(INDIRECT(CONCATENATE("'Height Input'!"&amp;B102&amp;C102+2)),"")</f>
        <v>2.1</v>
      </c>
      <c r="AG106" s="558"/>
      <c r="AH106" s="48"/>
      <c r="AI106" s="48"/>
      <c r="AJ106" s="49">
        <f ca="1">IFERROR(IF(AF106="X",MatchDay!$U$2+MatchDay!$U$2+1-COUNTIF($AF104:AF106,"X"),IF(AF106&gt;=97,1,INT(INDIRECT(CONCATENATE("'Height Input'!"&amp;$B101&amp;$C102+2))))),"")</f>
        <v>2</v>
      </c>
      <c r="AK106" s="50" t="str">
        <f ca="1">IFERROR(IF(OR(AJ106=0,AJ106=""),0,IF(OR(AJ106&lt;=VLOOKUP(BT106,$E112:$AJ119,32,FALSE),VLOOKUP(BT106,$E112:$AJ119,32,FALSE)=0),"A","B")),0)</f>
        <v>A</v>
      </c>
      <c r="AL106" s="139">
        <f ca="1">IFERROR(IF(OR(AK106=0,AK106="B"),"",RANK(AW106,AW104:AW119,1)),"")</f>
        <v>2</v>
      </c>
      <c r="AM106" s="139" t="str">
        <f ca="1">IFERROR(IF(OR(AK106=0,AK106="A"),"",RANK(AX106,AX104:AX119,1)),"")</f>
        <v/>
      </c>
      <c r="AN106" s="51">
        <f ca="1">IFERROR(IF(AF106="X",0,(INDIRECT(CONCATENATE("'Height Input'!"&amp;$B101&amp;$C102+2))-AJ106)*10),"")</f>
        <v>0</v>
      </c>
      <c r="AO106" s="8"/>
      <c r="AP106" s="9" t="str">
        <f t="shared" ca="1" si="39"/>
        <v/>
      </c>
      <c r="AQ106" s="9" t="str">
        <f ca="1">IF(AR106="","",HLOOKUP(AL106,BC103:BJ120,18,FALSE))</f>
        <v/>
      </c>
      <c r="AR106" s="45" t="str">
        <f ca="1">IF(OR(AL106=0,AL106=""),"",IF(COUNTIFS(AL104:AL119,AL106)&gt;1,"=",""))</f>
        <v/>
      </c>
      <c r="AS106" s="45"/>
      <c r="AT106" s="9" t="str">
        <f t="shared" ca="1" si="40"/>
        <v/>
      </c>
      <c r="AU106" s="9" t="str">
        <f ca="1">IF(AV106="","",HLOOKUP(AM106,BK103:BR120,18,FALSE))</f>
        <v/>
      </c>
      <c r="AV106" s="45" t="str">
        <f ca="1">IF(OR(AM106=0,AM106=""),"",IF(COUNTIFS(AM104:AM119,AM106)&gt;1,"=",""))</f>
        <v/>
      </c>
      <c r="AW106" s="9">
        <f t="shared" ca="1" si="34"/>
        <v>2</v>
      </c>
      <c r="AX106" s="9" t="str">
        <f t="shared" ca="1" si="35"/>
        <v/>
      </c>
      <c r="AY106" s="47"/>
      <c r="AZ106" s="151">
        <f t="shared" ca="1" si="36"/>
        <v>2</v>
      </c>
      <c r="BA106" s="151" t="str">
        <f t="shared" ca="1" si="37"/>
        <v/>
      </c>
      <c r="BB106" s="9"/>
      <c r="BC106" s="52" t="str">
        <f ca="1">IF(AL106="","",IF(AL106=BC103,AL106,""))</f>
        <v/>
      </c>
      <c r="BD106" s="52">
        <f ca="1">IF(AL106="","",IF(AL106=BD103,AL106,""))</f>
        <v>2</v>
      </c>
      <c r="BE106" s="52" t="str">
        <f ca="1">IF(AL106="","",IF(AL106=BE103,AL106,""))</f>
        <v/>
      </c>
      <c r="BF106" s="52" t="str">
        <f ca="1">IF(AL106="","",IF(AL106=BF103,AL106,""))</f>
        <v/>
      </c>
      <c r="BG106" s="52" t="str">
        <f ca="1">IF(AL106="","",IF(AL106=BG103,AL106,""))</f>
        <v/>
      </c>
      <c r="BH106" s="52" t="str">
        <f ca="1">IF(AL106="","",IF(AL106=BH103,AL106,""))</f>
        <v/>
      </c>
      <c r="BI106" s="52" t="str">
        <f ca="1">IF(AL106="","",IF(AL106=BI103,AL106,""))</f>
        <v/>
      </c>
      <c r="BJ106" s="52" t="str">
        <f ca="1">IF(AL106="","",IF(AL106=BJ103,AL106,""))</f>
        <v/>
      </c>
      <c r="BK106" s="52" t="str">
        <f ca="1">IF(AM106="","",IF(AM106=BK103,AM106,""))</f>
        <v/>
      </c>
      <c r="BL106" s="52" t="str">
        <f ca="1">IF(AM106="","",IF(AM106=BL103,AM106,""))</f>
        <v/>
      </c>
      <c r="BM106" s="52" t="str">
        <f ca="1">IF(AM106="","",IF(AM106=BM103,AM106,""))</f>
        <v/>
      </c>
      <c r="BN106" s="52" t="str">
        <f ca="1">IF(AM106="","",IF(AM106=BN103,AM106,""))</f>
        <v/>
      </c>
      <c r="BO106" s="52" t="str">
        <f ca="1">IF(AM106="","",IF(AM106=BO103,AM106,""))</f>
        <v/>
      </c>
      <c r="BP106" s="52" t="str">
        <f ca="1">IF(AM106="","",IF(AM106=BP103,AM106,""))</f>
        <v/>
      </c>
      <c r="BQ106" s="52" t="str">
        <f ca="1">IF(AM106="","",IF(AM106=BQ103,AM106,""))</f>
        <v/>
      </c>
      <c r="BR106" s="52" t="str">
        <f ca="1">IF(AM106="","",IF(AM106=BR103,AM106,""))</f>
        <v/>
      </c>
      <c r="BS106" s="46"/>
      <c r="BT106" s="4">
        <f>IFERROR(IF(A103=0,A106*11,A106&amp;A106),"")</f>
        <v>33</v>
      </c>
    </row>
    <row r="107" spans="1:72" s="4" customFormat="1" ht="15.95" customHeight="1" x14ac:dyDescent="0.35">
      <c r="A107" s="8">
        <f>IFERROR(IF(D107&gt;MatchDay!$U$2,"-",VLOOKUP(A100,timetables,MatchDay!$U$4+3,FALSE)),0)</f>
        <v>4</v>
      </c>
      <c r="B107" s="10" t="str">
        <f ca="1">IFERROR(IF(OR(AK107=0,AK107="B"),"",RANK(AZ107,AZ104:AZ119,1)),"")</f>
        <v/>
      </c>
      <c r="C107" s="10" t="str">
        <f ca="1">IFERROR(IF(OR(AK107=0,AK107="A"),"",RANK(BA107,BA104:BA119,1)),"")</f>
        <v/>
      </c>
      <c r="D107" s="55">
        <v>4</v>
      </c>
      <c r="E107" s="17">
        <f t="shared" si="38"/>
        <v>4</v>
      </c>
      <c r="F107" s="18" t="str">
        <f ca="1">IFERROR(IF(A103=0,HLOOKUP(E107,Declarations!$D$2:$S$102,C101,FALSE),HLOOKUP(VLOOKUP(E107,Teams!$V$2:$W$19,2,FALSE),Declarations!$D$2:$S$102,C101,FALSE)),"")</f>
        <v>-</v>
      </c>
      <c r="G107" s="18" t="str">
        <f t="shared" si="33"/>
        <v>M'bro</v>
      </c>
      <c r="H107" s="526"/>
      <c r="I107" s="527"/>
      <c r="J107" s="526"/>
      <c r="K107" s="527"/>
      <c r="L107" s="526"/>
      <c r="M107" s="527"/>
      <c r="N107" s="526"/>
      <c r="O107" s="527"/>
      <c r="P107" s="526"/>
      <c r="Q107" s="527"/>
      <c r="R107" s="526"/>
      <c r="S107" s="527"/>
      <c r="T107" s="526"/>
      <c r="U107" s="527"/>
      <c r="V107" s="526"/>
      <c r="W107" s="527"/>
      <c r="X107" s="526"/>
      <c r="Y107" s="527"/>
      <c r="Z107" s="526"/>
      <c r="AA107" s="527"/>
      <c r="AB107" s="526"/>
      <c r="AC107" s="527"/>
      <c r="AD107" s="526"/>
      <c r="AE107" s="527"/>
      <c r="AF107" s="557">
        <f ca="1">IFERROR(INDIRECT(CONCATENATE("'Height Input'!"&amp;B102&amp;C102+3)),"")</f>
        <v>0</v>
      </c>
      <c r="AG107" s="558"/>
      <c r="AH107" s="48"/>
      <c r="AI107" s="48"/>
      <c r="AJ107" s="49">
        <f ca="1">IFERROR(IF(AF107="X",MatchDay!$U$2+MatchDay!$U$2+1-COUNTIF($AF104:AF107,"X"),IF(AF107&gt;=97,1,INT(INDIRECT(CONCATENATE("'Height Input'!"&amp;$B101&amp;$C102+3))))),"")</f>
        <v>0</v>
      </c>
      <c r="AK107" s="50">
        <f ca="1">IFERROR(IF(OR(AJ107=0,AJ107=""),0,IF(OR(AJ107&lt;=VLOOKUP(BT107,$E112:$AJ119,32,FALSE),VLOOKUP(BT107,$E112:$AJ119,32,FALSE)=0),"A","B")),0)</f>
        <v>0</v>
      </c>
      <c r="AL107" s="139" t="str">
        <f ca="1">IFERROR(IF(OR(AK107=0,AK107="B"),"",RANK(AW107,AW104:AW119,1)),"")</f>
        <v/>
      </c>
      <c r="AM107" s="139" t="str">
        <f ca="1">IFERROR(IF(OR(AK107=0,AK107="A"),"",RANK(AX107,AX104:AX119,1)),"")</f>
        <v/>
      </c>
      <c r="AN107" s="51">
        <f ca="1">IFERROR(IF(AF107="X",0,(INDIRECT(CONCATENATE("'Height Input'!"&amp;$B101&amp;$C102+3))-AJ107)*10),"")</f>
        <v>0</v>
      </c>
      <c r="AO107" s="8"/>
      <c r="AP107" s="9" t="str">
        <f t="shared" ca="1" si="39"/>
        <v/>
      </c>
      <c r="AQ107" s="9" t="str">
        <f ca="1">IF(AR107="","",HLOOKUP(AL107,BC103:BJ120,18,FALSE))</f>
        <v/>
      </c>
      <c r="AR107" s="45" t="str">
        <f ca="1">IF(OR(AL107=0,AL107=""),"",IF(COUNTIFS(AL104:AL119,AL107)&gt;1,"=",""))</f>
        <v/>
      </c>
      <c r="AS107" s="45"/>
      <c r="AT107" s="9" t="str">
        <f t="shared" ca="1" si="40"/>
        <v/>
      </c>
      <c r="AU107" s="9" t="str">
        <f ca="1">IF(AV107="","",HLOOKUP(AM107,BK103:BR120,18,FALSE))</f>
        <v/>
      </c>
      <c r="AV107" s="45" t="str">
        <f ca="1">IF(OR(AM107=0,AM107=""),"",IF(COUNTIFS(AM104:AM119,AM107)&gt;1,"=",""))</f>
        <v/>
      </c>
      <c r="AW107" s="9" t="str">
        <f t="shared" ca="1" si="34"/>
        <v/>
      </c>
      <c r="AX107" s="9" t="str">
        <f t="shared" ca="1" si="35"/>
        <v/>
      </c>
      <c r="AY107" s="47"/>
      <c r="AZ107" s="151" t="str">
        <f t="shared" ca="1" si="36"/>
        <v/>
      </c>
      <c r="BA107" s="151" t="str">
        <f t="shared" ca="1" si="37"/>
        <v/>
      </c>
      <c r="BB107" s="9"/>
      <c r="BC107" s="52" t="str">
        <f ca="1">IF(AL107="","",IF(AL107=BC103,AL107,""))</f>
        <v/>
      </c>
      <c r="BD107" s="52" t="str">
        <f ca="1">IF(AL107="","",IF(AL107=BD103,AL107,""))</f>
        <v/>
      </c>
      <c r="BE107" s="52" t="str">
        <f ca="1">IF(AL107="","",IF(AL107=BE103,AL107,""))</f>
        <v/>
      </c>
      <c r="BF107" s="52" t="str">
        <f ca="1">IF(AL107="","",IF(AL107=BF103,AL107,""))</f>
        <v/>
      </c>
      <c r="BG107" s="52" t="str">
        <f ca="1">IF(AL107="","",IF(AL107=BG103,AL107,""))</f>
        <v/>
      </c>
      <c r="BH107" s="52" t="str">
        <f ca="1">IF(AL107="","",IF(AL107=BH103,AL107,""))</f>
        <v/>
      </c>
      <c r="BI107" s="52" t="str">
        <f ca="1">IF(AL107="","",IF(AL107=BI103,AL107,""))</f>
        <v/>
      </c>
      <c r="BJ107" s="52" t="str">
        <f ca="1">IF(AL107="","",IF(AL107=BJ103,AL107,""))</f>
        <v/>
      </c>
      <c r="BK107" s="52" t="str">
        <f ca="1">IF(AM107="","",IF(AM107=BK103,AM107,""))</f>
        <v/>
      </c>
      <c r="BL107" s="52" t="str">
        <f ca="1">IF(AM107="","",IF(AM107=BL103,AM107,""))</f>
        <v/>
      </c>
      <c r="BM107" s="52" t="str">
        <f ca="1">IF(AM107="","",IF(AM107=BM103,AM107,""))</f>
        <v/>
      </c>
      <c r="BN107" s="52" t="str">
        <f ca="1">IF(AM107="","",IF(AM107=BN103,AM107,""))</f>
        <v/>
      </c>
      <c r="BO107" s="52" t="str">
        <f ca="1">IF(AM107="","",IF(AM107=BO103,AM107,""))</f>
        <v/>
      </c>
      <c r="BP107" s="52" t="str">
        <f ca="1">IF(AM107="","",IF(AM107=BP103,AM107,""))</f>
        <v/>
      </c>
      <c r="BQ107" s="52" t="str">
        <f ca="1">IF(AM107="","",IF(AM107=BQ103,AM107,""))</f>
        <v/>
      </c>
      <c r="BR107" s="52" t="str">
        <f ca="1">IF(AM107="","",IF(AM107=BR103,AM107,""))</f>
        <v/>
      </c>
      <c r="BS107" s="46"/>
      <c r="BT107" s="4">
        <f>IFERROR(IF(A103=0,A107*11,A107&amp;A107),"")</f>
        <v>44</v>
      </c>
    </row>
    <row r="108" spans="1:72" s="4" customFormat="1" ht="15.95" customHeight="1" x14ac:dyDescent="0.35">
      <c r="A108" s="8">
        <f>IFERROR(IF(D108&gt;MatchDay!$U$2,"-",VLOOKUP(A100,timetables,MatchDay!$U$4+4,FALSE)),0)</f>
        <v>1</v>
      </c>
      <c r="B108" s="10" t="str">
        <f ca="1">IFERROR(IF(OR(AK108=0,AK108="B"),"",RANK(AZ108,AZ104:AZ119,1)),"")</f>
        <v/>
      </c>
      <c r="C108" s="10" t="str">
        <f ca="1">IFERROR(IF(OR(AK108=0,AK108="A"),"",RANK(BA108,BA104:BA119,1)),"")</f>
        <v/>
      </c>
      <c r="D108" s="55">
        <v>5</v>
      </c>
      <c r="E108" s="17">
        <f t="shared" si="38"/>
        <v>1</v>
      </c>
      <c r="F108" s="18">
        <f ca="1">IFERROR(IF(A103=0,HLOOKUP(E108,Declarations!$D$2:$S$102,C101,FALSE),HLOOKUP(VLOOKUP(E108,Teams!$V$2:$W$19,2,FALSE),Declarations!$D$2:$S$102,C101,FALSE)),"")</f>
        <v>0</v>
      </c>
      <c r="G108" s="18" t="str">
        <f t="shared" si="33"/>
        <v>C'field</v>
      </c>
      <c r="H108" s="526"/>
      <c r="I108" s="527"/>
      <c r="J108" s="526"/>
      <c r="K108" s="527"/>
      <c r="L108" s="526"/>
      <c r="M108" s="527"/>
      <c r="N108" s="526"/>
      <c r="O108" s="527"/>
      <c r="P108" s="526"/>
      <c r="Q108" s="527"/>
      <c r="R108" s="526"/>
      <c r="S108" s="527"/>
      <c r="T108" s="526"/>
      <c r="U108" s="527"/>
      <c r="V108" s="526"/>
      <c r="W108" s="527"/>
      <c r="X108" s="526"/>
      <c r="Y108" s="527"/>
      <c r="Z108" s="526"/>
      <c r="AA108" s="527"/>
      <c r="AB108" s="526"/>
      <c r="AC108" s="527"/>
      <c r="AD108" s="526"/>
      <c r="AE108" s="527"/>
      <c r="AF108" s="557">
        <f ca="1">IFERROR(INDIRECT(CONCATENATE("'Height Input'!"&amp;B102&amp;C102+4)),"")</f>
        <v>0</v>
      </c>
      <c r="AG108" s="558"/>
      <c r="AH108" s="48"/>
      <c r="AI108" s="48"/>
      <c r="AJ108" s="49">
        <f ca="1">IFERROR(IF(AF108="X",MatchDay!$U$2+MatchDay!$U$2+1-COUNTIF($AF104:AF108,"X"),IF(AF108&gt;=97,1,INT(INDIRECT(CONCATENATE("'Height Input'!"&amp;$B101&amp;$C102+4))))),"")</f>
        <v>0</v>
      </c>
      <c r="AK108" s="50">
        <f ca="1">IFERROR(IF(OR(AJ108=0,AJ108=""),0,IF(OR(AJ108&lt;=VLOOKUP(BT108,$E112:$AJ119,32,FALSE),VLOOKUP(BT108,$E112:$AJ119,32,FALSE)=0),"A","B")),0)</f>
        <v>0</v>
      </c>
      <c r="AL108" s="139" t="str">
        <f ca="1">IFERROR(IF(OR(AK108=0,AK108="B"),"",RANK(AW108,AW104:AW119,1)),"")</f>
        <v/>
      </c>
      <c r="AM108" s="139" t="str">
        <f ca="1">IFERROR(IF(OR(AK108=0,AK108="A"),"",RANK(AX108,AX104:AX119,1)),"")</f>
        <v/>
      </c>
      <c r="AN108" s="51">
        <f ca="1">IFERROR(IF(AF108="X",0,(INDIRECT(CONCATENATE("'Height Input'!"&amp;$B101&amp;$C102+4))-AJ108)*10),"")</f>
        <v>0</v>
      </c>
      <c r="AO108" s="8"/>
      <c r="AP108" s="9" t="str">
        <f t="shared" ca="1" si="39"/>
        <v/>
      </c>
      <c r="AQ108" s="9" t="str">
        <f ca="1">IF(AR108="","",HLOOKUP(AL108,BC103:BJ120,18,FALSE))</f>
        <v/>
      </c>
      <c r="AR108" s="45" t="str">
        <f ca="1">IF(OR(AL108=0,AL108=""),"",IF(COUNTIFS(AL104:AL119,AL108)&gt;1,"=",""))</f>
        <v/>
      </c>
      <c r="AS108" s="45"/>
      <c r="AT108" s="9" t="str">
        <f t="shared" ca="1" si="40"/>
        <v/>
      </c>
      <c r="AU108" s="9" t="str">
        <f ca="1">IF(AV108="","",HLOOKUP(AM108,BK103:BR120,18,FALSE))</f>
        <v/>
      </c>
      <c r="AV108" s="45" t="str">
        <f ca="1">IF(OR(AM108=0,AM108=""),"",IF(COUNTIFS(AM104:AM119,AM108)&gt;1,"=",""))</f>
        <v/>
      </c>
      <c r="AW108" s="9" t="str">
        <f t="shared" ca="1" si="34"/>
        <v/>
      </c>
      <c r="AX108" s="9" t="str">
        <f t="shared" ca="1" si="35"/>
        <v/>
      </c>
      <c r="AY108" s="47"/>
      <c r="AZ108" s="151" t="str">
        <f t="shared" ca="1" si="36"/>
        <v/>
      </c>
      <c r="BA108" s="151" t="str">
        <f t="shared" ca="1" si="37"/>
        <v/>
      </c>
      <c r="BB108" s="9"/>
      <c r="BC108" s="52" t="str">
        <f ca="1">IF(AL108="","",IF(AL108=BC103,AL108,""))</f>
        <v/>
      </c>
      <c r="BD108" s="52" t="str">
        <f ca="1">IF(AL108="","",IF(AL108=BD103,AL108,""))</f>
        <v/>
      </c>
      <c r="BE108" s="52" t="str">
        <f ca="1">IF(AL108="","",IF(AL108=BE103,AL108,""))</f>
        <v/>
      </c>
      <c r="BF108" s="52" t="str">
        <f ca="1">IF(AL108="","",IF(AL108=BF103,AL108,""))</f>
        <v/>
      </c>
      <c r="BG108" s="52" t="str">
        <f ca="1">IF(AL108="","",IF(AL108=BG103,AL108,""))</f>
        <v/>
      </c>
      <c r="BH108" s="52" t="str">
        <f ca="1">IF(AL108="","",IF(AL108=BH103,AL108,""))</f>
        <v/>
      </c>
      <c r="BI108" s="52" t="str">
        <f ca="1">IF(AL108="","",IF(AL108=BI103,AL108,""))</f>
        <v/>
      </c>
      <c r="BJ108" s="52" t="str">
        <f ca="1">IF(AL108="","",IF(AL108=BJ103,AL108,""))</f>
        <v/>
      </c>
      <c r="BK108" s="52" t="str">
        <f ca="1">IF(AM108="","",IF(AM108=BK103,AM108,""))</f>
        <v/>
      </c>
      <c r="BL108" s="52" t="str">
        <f ca="1">IF(AM108="","",IF(AM108=BL103,AM108,""))</f>
        <v/>
      </c>
      <c r="BM108" s="52" t="str">
        <f ca="1">IF(AM108="","",IF(AM108=BM103,AM108,""))</f>
        <v/>
      </c>
      <c r="BN108" s="52" t="str">
        <f ca="1">IF(AM108="","",IF(AM108=BN103,AM108,""))</f>
        <v/>
      </c>
      <c r="BO108" s="52" t="str">
        <f ca="1">IF(AM108="","",IF(AM108=BO103,AM108,""))</f>
        <v/>
      </c>
      <c r="BP108" s="52" t="str">
        <f ca="1">IF(AM108="","",IF(AM108=BP103,AM108,""))</f>
        <v/>
      </c>
      <c r="BQ108" s="52" t="str">
        <f ca="1">IF(AM108="","",IF(AM108=BQ103,AM108,""))</f>
        <v/>
      </c>
      <c r="BR108" s="52" t="str">
        <f ca="1">IF(AM108="","",IF(AM108=BR103,AM108,""))</f>
        <v/>
      </c>
      <c r="BS108" s="46"/>
      <c r="BT108" s="4">
        <f>IFERROR(IF(A103=0,A108*11,A108&amp;A108),"")</f>
        <v>11</v>
      </c>
    </row>
    <row r="109" spans="1:72" s="4" customFormat="1" ht="15.95" customHeight="1" x14ac:dyDescent="0.35">
      <c r="A109" s="8" t="str">
        <f>IFERROR(IF(D109&gt;MatchDay!$U$2,"-",VLOOKUP(A100,timetables,MatchDay!$U$4+5,FALSE)),0)</f>
        <v>-</v>
      </c>
      <c r="B109" s="10" t="str">
        <f ca="1">IFERROR(IF(OR(AK109=0,AK109="B"),"",RANK(AZ109,AZ104:AZ119,1)),"")</f>
        <v/>
      </c>
      <c r="C109" s="10" t="str">
        <f ca="1">IFERROR(IF(OR(AK109=0,AK109="A"),"",RANK(BA109,BA104:BA119,1)),"")</f>
        <v/>
      </c>
      <c r="D109" s="55">
        <v>6</v>
      </c>
      <c r="E109" s="17" t="str">
        <f t="shared" si="38"/>
        <v>-</v>
      </c>
      <c r="F109" s="18" t="str">
        <f>IFERROR(IF(A103=0,HLOOKUP(E109,Declarations!$D$2:$S$102,C101,FALSE),HLOOKUP(VLOOKUP(E109,Teams!$V$2:$W$19,2,FALSE),Declarations!$D$2:$S$102,C101,FALSE)),"")</f>
        <v/>
      </c>
      <c r="G109" s="18" t="str">
        <f t="shared" si="33"/>
        <v/>
      </c>
      <c r="H109" s="526"/>
      <c r="I109" s="527"/>
      <c r="J109" s="526"/>
      <c r="K109" s="527"/>
      <c r="L109" s="526"/>
      <c r="M109" s="527"/>
      <c r="N109" s="526"/>
      <c r="O109" s="527"/>
      <c r="P109" s="526"/>
      <c r="Q109" s="527"/>
      <c r="R109" s="526"/>
      <c r="S109" s="527"/>
      <c r="T109" s="526"/>
      <c r="U109" s="527"/>
      <c r="V109" s="526"/>
      <c r="W109" s="527"/>
      <c r="X109" s="526"/>
      <c r="Y109" s="527"/>
      <c r="Z109" s="526"/>
      <c r="AA109" s="527"/>
      <c r="AB109" s="526"/>
      <c r="AC109" s="527"/>
      <c r="AD109" s="526"/>
      <c r="AE109" s="527"/>
      <c r="AF109" s="557">
        <f ca="1">IFERROR(INDIRECT(CONCATENATE("'Height Input'!"&amp;B102&amp;C102+5)),"")</f>
        <v>0</v>
      </c>
      <c r="AG109" s="558"/>
      <c r="AH109" s="48"/>
      <c r="AI109" s="48"/>
      <c r="AJ109" s="49">
        <f ca="1">IFERROR(IF(AF109="X",MatchDay!$U$2+MatchDay!$U$2+1-COUNTIF($AF104:AF109,"X"),IF(AF109&gt;=97,1,INT(INDIRECT(CONCATENATE("'Height Input'!"&amp;$B101&amp;$C102+5))))),"")</f>
        <v>0</v>
      </c>
      <c r="AK109" s="50">
        <f ca="1">IFERROR(IF(OR(AJ109=0,AJ109=""),0,IF(OR(AJ109&lt;=VLOOKUP(BT109,$E112:$AJ119,32,FALSE),VLOOKUP(BT109,$E112:$AJ119,32,FALSE)=0),"A","B")),0)</f>
        <v>0</v>
      </c>
      <c r="AL109" s="139" t="str">
        <f ca="1">IFERROR(IF(OR(AK109=0,AK109="B"),"",RANK(AW109,AW104:AW119,1)),"")</f>
        <v/>
      </c>
      <c r="AM109" s="139" t="str">
        <f ca="1">IFERROR(IF(OR(AK109=0,AK109="A"),"",RANK(AX109,AX104:AX119,1)),"")</f>
        <v/>
      </c>
      <c r="AN109" s="51">
        <f ca="1">IFERROR(IF(AF109="X",0,(INDIRECT(CONCATENATE("'Height Input'!"&amp;$B101&amp;$C102+5))-AJ109)*10),"")</f>
        <v>0</v>
      </c>
      <c r="AO109" s="8"/>
      <c r="AP109" s="9" t="str">
        <f t="shared" ca="1" si="39"/>
        <v/>
      </c>
      <c r="AQ109" s="9" t="str">
        <f ca="1">IF(AR109="","",HLOOKUP(AL109,BC103:BJ120,18,FALSE))</f>
        <v/>
      </c>
      <c r="AR109" s="45" t="str">
        <f ca="1">IF(OR(AL109=0,AL109=""),"",IF(COUNTIFS(AL104:AL119,AL109)&gt;1,"=",""))</f>
        <v/>
      </c>
      <c r="AS109" s="45"/>
      <c r="AT109" s="9" t="str">
        <f t="shared" ca="1" si="40"/>
        <v/>
      </c>
      <c r="AU109" s="9" t="str">
        <f ca="1">IF(AV109="","",HLOOKUP(AM109,BK103:BR120,18,FALSE))</f>
        <v/>
      </c>
      <c r="AV109" s="45" t="str">
        <f ca="1">IF(OR(AM109=0,AM109=""),"",IF(COUNTIFS(AM104:AM119,AM109)&gt;1,"=",""))</f>
        <v/>
      </c>
      <c r="AW109" s="9" t="str">
        <f t="shared" ca="1" si="34"/>
        <v/>
      </c>
      <c r="AX109" s="9" t="str">
        <f t="shared" ca="1" si="35"/>
        <v/>
      </c>
      <c r="AY109" s="47"/>
      <c r="AZ109" s="151" t="str">
        <f t="shared" ca="1" si="36"/>
        <v/>
      </c>
      <c r="BA109" s="151" t="str">
        <f t="shared" ca="1" si="37"/>
        <v/>
      </c>
      <c r="BB109" s="9"/>
      <c r="BC109" s="52" t="str">
        <f ca="1">IF(AL109="","",IF(AL109=BC103,AL109,""))</f>
        <v/>
      </c>
      <c r="BD109" s="52" t="str">
        <f ca="1">IF(AL109="","",IF(AL109=BD103,AL109,""))</f>
        <v/>
      </c>
      <c r="BE109" s="52" t="str">
        <f ca="1">IF(AL109="","",IF(AL109=BE103,AL109,""))</f>
        <v/>
      </c>
      <c r="BF109" s="52" t="str">
        <f ca="1">IF(AL109="","",IF(AL109=BF103,AL109,""))</f>
        <v/>
      </c>
      <c r="BG109" s="52" t="str">
        <f ca="1">IF(AL109="","",IF(AL109=BG103,AL109,""))</f>
        <v/>
      </c>
      <c r="BH109" s="52" t="str">
        <f ca="1">IF(AL109="","",IF(AL109=BH103,AL109,""))</f>
        <v/>
      </c>
      <c r="BI109" s="52" t="str">
        <f ca="1">IF(AL109="","",IF(AL109=BI103,AL109,""))</f>
        <v/>
      </c>
      <c r="BJ109" s="52" t="str">
        <f ca="1">IF(AL109="","",IF(AL109=BJ103,AL109,""))</f>
        <v/>
      </c>
      <c r="BK109" s="52" t="str">
        <f ca="1">IF(AM109="","",IF(AM109=BK103,AM109,""))</f>
        <v/>
      </c>
      <c r="BL109" s="52" t="str">
        <f ca="1">IF(AM109="","",IF(AM109=BL103,AM109,""))</f>
        <v/>
      </c>
      <c r="BM109" s="52" t="str">
        <f ca="1">IF(AM109="","",IF(AM109=BM103,AM109,""))</f>
        <v/>
      </c>
      <c r="BN109" s="52" t="str">
        <f ca="1">IF(AM109="","",IF(AM109=BN103,AM109,""))</f>
        <v/>
      </c>
      <c r="BO109" s="52" t="str">
        <f ca="1">IF(AM109="","",IF(AM109=BO103,AM109,""))</f>
        <v/>
      </c>
      <c r="BP109" s="52" t="str">
        <f ca="1">IF(AM109="","",IF(AM109=BP103,AM109,""))</f>
        <v/>
      </c>
      <c r="BQ109" s="52" t="str">
        <f ca="1">IF(AM109="","",IF(AM109=BQ103,AM109,""))</f>
        <v/>
      </c>
      <c r="BR109" s="52" t="str">
        <f ca="1">IF(AM109="","",IF(AM109=BR103,AM109,""))</f>
        <v/>
      </c>
      <c r="BS109" s="46"/>
      <c r="BT109" s="4" t="str">
        <f>IFERROR(IF(A103=0,A109*11,A109&amp;A109),"")</f>
        <v/>
      </c>
    </row>
    <row r="110" spans="1:72" s="4" customFormat="1" ht="15.95" customHeight="1" x14ac:dyDescent="0.35">
      <c r="A110" s="8" t="str">
        <f>IFERROR(IF(D110&gt;MatchDay!$U$2,"-",VLOOKUP(A100,timetables,MatchDay!$U$4+6,FALSE)),0)</f>
        <v>-</v>
      </c>
      <c r="B110" s="10" t="str">
        <f ca="1">IFERROR(IF(OR(AK110=0,AK110="B"),"",RANK(AZ110,AZ104:AZ119,1)),"")</f>
        <v/>
      </c>
      <c r="C110" s="10" t="str">
        <f ca="1">IFERROR(IF(OR(AK110=0,AK110="A"),"",RANK(BA110,BA104:BA119,1)),"")</f>
        <v/>
      </c>
      <c r="D110" s="55">
        <v>7</v>
      </c>
      <c r="E110" s="17" t="str">
        <f t="shared" si="38"/>
        <v>-</v>
      </c>
      <c r="F110" s="18" t="str">
        <f>IFERROR(IF(A103=0,HLOOKUP(E110,Declarations!$D$2:$S$102,C101,FALSE),HLOOKUP(VLOOKUP(E110,Teams!$V$2:$W$19,2,FALSE),Declarations!$D$2:$S$102,C101,FALSE)),"")</f>
        <v/>
      </c>
      <c r="G110" s="18" t="str">
        <f t="shared" si="33"/>
        <v/>
      </c>
      <c r="H110" s="526"/>
      <c r="I110" s="527"/>
      <c r="J110" s="526"/>
      <c r="K110" s="527"/>
      <c r="L110" s="526"/>
      <c r="M110" s="527"/>
      <c r="N110" s="526"/>
      <c r="O110" s="527"/>
      <c r="P110" s="526"/>
      <c r="Q110" s="527"/>
      <c r="R110" s="526"/>
      <c r="S110" s="527"/>
      <c r="T110" s="526"/>
      <c r="U110" s="527"/>
      <c r="V110" s="526"/>
      <c r="W110" s="527"/>
      <c r="X110" s="526"/>
      <c r="Y110" s="527"/>
      <c r="Z110" s="526"/>
      <c r="AA110" s="527"/>
      <c r="AB110" s="526"/>
      <c r="AC110" s="527"/>
      <c r="AD110" s="526"/>
      <c r="AE110" s="527"/>
      <c r="AF110" s="557">
        <f ca="1">IFERROR(INDIRECT(CONCATENATE("'Height Input'!"&amp;B102&amp;C102+6)),"")</f>
        <v>0</v>
      </c>
      <c r="AG110" s="558"/>
      <c r="AH110" s="48"/>
      <c r="AI110" s="48"/>
      <c r="AJ110" s="49">
        <f ca="1">IFERROR(IF(AF110="X",MatchDay!$U$2+MatchDay!$U$2+1-COUNTIF($AF104:AF110,"X"),IF(AF110&gt;=97,1,INT(INDIRECT(CONCATENATE("'Height Input'!"&amp;$B101&amp;$C102+6))))),"")</f>
        <v>0</v>
      </c>
      <c r="AK110" s="50">
        <f ca="1">IFERROR(IF(OR(AJ110=0,AJ110=""),0,IF(OR(AJ110&lt;=VLOOKUP(BT110,$E112:$AJ119,32,FALSE),VLOOKUP(BT110,$E112:$AJ119,32,FALSE)=0),"A","B")),0)</f>
        <v>0</v>
      </c>
      <c r="AL110" s="139" t="str">
        <f ca="1">IFERROR(IF(OR(AK110=0,AK110="B"),"",RANK(AW110,AW104:AW119,1)),"")</f>
        <v/>
      </c>
      <c r="AM110" s="139" t="str">
        <f ca="1">IFERROR(IF(OR(AK110=0,AK110="A"),"",RANK(AX110,AX104:AX119,1)),"")</f>
        <v/>
      </c>
      <c r="AN110" s="51">
        <f ca="1">IFERROR(IF(AF110="X",0,(INDIRECT(CONCATENATE("'Height Input'!"&amp;$B101&amp;$C102+6))-AJ110)*10),"")</f>
        <v>0</v>
      </c>
      <c r="AO110" s="8"/>
      <c r="AP110" s="9" t="str">
        <f t="shared" ca="1" si="39"/>
        <v/>
      </c>
      <c r="AQ110" s="9" t="str">
        <f ca="1">IF(AR110="","",HLOOKUP(AL110,BC103:BJ120,18,FALSE))</f>
        <v/>
      </c>
      <c r="AR110" s="45" t="str">
        <f ca="1">IF(OR(AL110=0,AL110=""),"",IF(COUNTIFS(AL104:AL119,AL110)&gt;1,"=",""))</f>
        <v/>
      </c>
      <c r="AS110" s="45"/>
      <c r="AT110" s="9" t="str">
        <f t="shared" ca="1" si="40"/>
        <v/>
      </c>
      <c r="AU110" s="9" t="str">
        <f ca="1">IF(AV110="","",HLOOKUP(AM110,BK103:BR120,18,FALSE))</f>
        <v/>
      </c>
      <c r="AV110" s="45" t="str">
        <f ca="1">IF(OR(AM110=0,AM110=""),"",IF(COUNTIFS(AM104:AM119,AM110)&gt;1,"=",""))</f>
        <v/>
      </c>
      <c r="AW110" s="9" t="str">
        <f t="shared" ca="1" si="34"/>
        <v/>
      </c>
      <c r="AX110" s="9" t="str">
        <f t="shared" ca="1" si="35"/>
        <v/>
      </c>
      <c r="AY110" s="47"/>
      <c r="AZ110" s="151" t="str">
        <f t="shared" ca="1" si="36"/>
        <v/>
      </c>
      <c r="BA110" s="151" t="str">
        <f t="shared" ca="1" si="37"/>
        <v/>
      </c>
      <c r="BB110" s="9"/>
      <c r="BC110" s="52" t="str">
        <f ca="1">IF(AL110="","",IF(AL110=BC103,AL110,""))</f>
        <v/>
      </c>
      <c r="BD110" s="52" t="str">
        <f ca="1">IF(AL110="","",IF(AL110=BD103,AL110,""))</f>
        <v/>
      </c>
      <c r="BE110" s="52" t="str">
        <f ca="1">IF(AL110="","",IF(AL110=BE103,AL110,""))</f>
        <v/>
      </c>
      <c r="BF110" s="52" t="str">
        <f ca="1">IF(AL110="","",IF(AL110=BF103,AL110,""))</f>
        <v/>
      </c>
      <c r="BG110" s="52" t="str">
        <f ca="1">IF(AL110="","",IF(AL110=BG103,AL110,""))</f>
        <v/>
      </c>
      <c r="BH110" s="52" t="str">
        <f ca="1">IF(AL110="","",IF(AL110=BH103,AL110,""))</f>
        <v/>
      </c>
      <c r="BI110" s="52" t="str">
        <f ca="1">IF(AL110="","",IF(AL110=BI103,AL110,""))</f>
        <v/>
      </c>
      <c r="BJ110" s="52" t="str">
        <f ca="1">IF(AL110="","",IF(AL110=BJ103,AL110,""))</f>
        <v/>
      </c>
      <c r="BK110" s="52" t="str">
        <f ca="1">IF(AM110="","",IF(AM110=BK103,AM110,""))</f>
        <v/>
      </c>
      <c r="BL110" s="52" t="str">
        <f ca="1">IF(AM110="","",IF(AM110=BL103,AM110,""))</f>
        <v/>
      </c>
      <c r="BM110" s="52" t="str">
        <f ca="1">IF(AM110="","",IF(AM110=BM103,AM110,""))</f>
        <v/>
      </c>
      <c r="BN110" s="52" t="str">
        <f ca="1">IF(AM110="","",IF(AM110=BN103,AM110,""))</f>
        <v/>
      </c>
      <c r="BO110" s="52" t="str">
        <f ca="1">IF(AM110="","",IF(AM110=BO103,AM110,""))</f>
        <v/>
      </c>
      <c r="BP110" s="52" t="str">
        <f ca="1">IF(AM110="","",IF(AM110=BP103,AM110,""))</f>
        <v/>
      </c>
      <c r="BQ110" s="52" t="str">
        <f ca="1">IF(AM110="","",IF(AM110=BQ103,AM110,""))</f>
        <v/>
      </c>
      <c r="BR110" s="52" t="str">
        <f ca="1">IF(AM110="","",IF(AM110=BR103,AM110,""))</f>
        <v/>
      </c>
      <c r="BS110" s="46"/>
      <c r="BT110" s="4" t="str">
        <f>IFERROR(IF(A103=0,A110*11,A110&amp;A110),"")</f>
        <v/>
      </c>
    </row>
    <row r="111" spans="1:72" s="4" customFormat="1" ht="15.95" customHeight="1" x14ac:dyDescent="0.35">
      <c r="A111" s="8" t="str">
        <f>IFERROR(IF(D111&gt;MatchDay!$U$2,"-",VLOOKUP(A100,timetables,MatchDay!$U$4+7,FALSE)),0)</f>
        <v>-</v>
      </c>
      <c r="B111" s="10" t="str">
        <f ca="1">IFERROR(IF(OR(AK111=0,AK111="B"),"",RANK(AZ111,AZ104:AZ119,1)),"")</f>
        <v/>
      </c>
      <c r="C111" s="10" t="str">
        <f ca="1">IFERROR(IF(OR(AK111=0,AK111="A"),"",RANK(BA111,BA104:BA119,1)),"")</f>
        <v/>
      </c>
      <c r="D111" s="55">
        <v>8</v>
      </c>
      <c r="E111" s="17" t="str">
        <f t="shared" si="38"/>
        <v>-</v>
      </c>
      <c r="F111" s="18" t="str">
        <f>IFERROR(IF(A103=0,HLOOKUP(E111,Declarations!$D$2:$S$102,C101,FALSE),HLOOKUP(VLOOKUP(E111,Teams!$V$2:$W$19,2,FALSE),Declarations!$D$2:$S$102,C101,FALSE)),"")</f>
        <v/>
      </c>
      <c r="G111" s="18" t="str">
        <f t="shared" si="33"/>
        <v/>
      </c>
      <c r="H111" s="526"/>
      <c r="I111" s="527"/>
      <c r="J111" s="526"/>
      <c r="K111" s="527"/>
      <c r="L111" s="526"/>
      <c r="M111" s="527"/>
      <c r="N111" s="526"/>
      <c r="O111" s="527"/>
      <c r="P111" s="526"/>
      <c r="Q111" s="527"/>
      <c r="R111" s="526"/>
      <c r="S111" s="527"/>
      <c r="T111" s="526"/>
      <c r="U111" s="527"/>
      <c r="V111" s="526"/>
      <c r="W111" s="527"/>
      <c r="X111" s="526"/>
      <c r="Y111" s="527"/>
      <c r="Z111" s="526"/>
      <c r="AA111" s="527"/>
      <c r="AB111" s="526"/>
      <c r="AC111" s="527"/>
      <c r="AD111" s="526"/>
      <c r="AE111" s="527"/>
      <c r="AF111" s="557">
        <f ca="1">IFERROR(INDIRECT(CONCATENATE("'Height Input'!"&amp;B102&amp;C102+7)),"")</f>
        <v>0</v>
      </c>
      <c r="AG111" s="558"/>
      <c r="AH111" s="48"/>
      <c r="AI111" s="48"/>
      <c r="AJ111" s="49">
        <f ca="1">IFERROR(IF(AF111="X",MatchDay!$U$2+MatchDay!$U$2+1-COUNTIF($AF104:AF111,"X"),IF(AF111&gt;=97,1,INT(INDIRECT(CONCATENATE("'Height Input'!"&amp;$B101&amp;$C102+7))))),"")</f>
        <v>0</v>
      </c>
      <c r="AK111" s="50">
        <f ca="1">IFERROR(IF(OR(AJ111=0,AJ111=""),0,IF(OR(AJ111&lt;=VLOOKUP(BT111,$E112:$AJ119,32,FALSE),VLOOKUP(BT111,$E112:$AJ119,32,FALSE)=0),"A","B")),0)</f>
        <v>0</v>
      </c>
      <c r="AL111" s="139" t="str">
        <f ca="1">IFERROR(IF(OR(AK111=0,AK111="B"),"",RANK(AW111,AW104:AW119,1)),"")</f>
        <v/>
      </c>
      <c r="AM111" s="139" t="str">
        <f ca="1">IFERROR(IF(OR(AK111=0,AK111="A"),"",RANK(AX111,AX104:AX119,1)),"")</f>
        <v/>
      </c>
      <c r="AN111" s="51">
        <f ca="1">IFERROR(IF(AF111="X",0,(INDIRECT(CONCATENATE("'Height Input'!"&amp;$B101&amp;$C102+7))-AJ111)*10),"")</f>
        <v>0</v>
      </c>
      <c r="AO111" s="8"/>
      <c r="AP111" s="9" t="str">
        <f t="shared" ca="1" si="39"/>
        <v/>
      </c>
      <c r="AQ111" s="9" t="str">
        <f ca="1">IF(AR111="","",HLOOKUP(AL111,BC103:BJ120,18,FALSE))</f>
        <v/>
      </c>
      <c r="AR111" s="45" t="str">
        <f ca="1">IF(OR(AL111=0,AL111=""),"",IF(COUNTIFS(AL104:AL119,AL111)&gt;1,"=",""))</f>
        <v/>
      </c>
      <c r="AS111" s="45"/>
      <c r="AT111" s="9" t="str">
        <f t="shared" ca="1" si="40"/>
        <v/>
      </c>
      <c r="AU111" s="9" t="str">
        <f ca="1">IF(AV111="","",HLOOKUP(AM111,BK103:BR120,18,FALSE))</f>
        <v/>
      </c>
      <c r="AV111" s="45" t="str">
        <f ca="1">IF(OR(AM111=0,AM111=""),"",IF(COUNTIFS(AM104:AM119,AM111)&gt;1,"=",""))</f>
        <v/>
      </c>
      <c r="AW111" s="9" t="str">
        <f t="shared" ca="1" si="34"/>
        <v/>
      </c>
      <c r="AX111" s="9" t="str">
        <f t="shared" ca="1" si="35"/>
        <v/>
      </c>
      <c r="AY111" s="47"/>
      <c r="AZ111" s="151" t="str">
        <f t="shared" ca="1" si="36"/>
        <v/>
      </c>
      <c r="BA111" s="151" t="str">
        <f t="shared" ca="1" si="37"/>
        <v/>
      </c>
      <c r="BB111" s="9"/>
      <c r="BC111" s="52" t="str">
        <f ca="1">IF(AL111="","",IF(AL111=BC103,AL111,""))</f>
        <v/>
      </c>
      <c r="BD111" s="52" t="str">
        <f ca="1">IF(AL111="","",IF(AL111=BD103,AL111,""))</f>
        <v/>
      </c>
      <c r="BE111" s="52" t="str">
        <f ca="1">IF(AL111="","",IF(AL111=BE103,AL111,""))</f>
        <v/>
      </c>
      <c r="BF111" s="52" t="str">
        <f ca="1">IF(AL111="","",IF(AL111=BF103,AL111,""))</f>
        <v/>
      </c>
      <c r="BG111" s="52" t="str">
        <f ca="1">IF(AL111="","",IF(AL111=BG103,AL111,""))</f>
        <v/>
      </c>
      <c r="BH111" s="52" t="str">
        <f ca="1">IF(AL111="","",IF(AL111=BH103,AL111,""))</f>
        <v/>
      </c>
      <c r="BI111" s="52" t="str">
        <f ca="1">IF(AL111="","",IF(AL111=BI103,AL111,""))</f>
        <v/>
      </c>
      <c r="BJ111" s="52" t="str">
        <f ca="1">IF(AL111="","",IF(AL111=BJ103,AL111,""))</f>
        <v/>
      </c>
      <c r="BK111" s="52" t="str">
        <f ca="1">IF(AM111="","",IF(AM111=BK103,AM111,""))</f>
        <v/>
      </c>
      <c r="BL111" s="52" t="str">
        <f ca="1">IF(AM111="","",IF(AM111=BL103,AM111,""))</f>
        <v/>
      </c>
      <c r="BM111" s="52" t="str">
        <f ca="1">IF(AM111="","",IF(AM111=BM103,AM111,""))</f>
        <v/>
      </c>
      <c r="BN111" s="52" t="str">
        <f ca="1">IF(AM111="","",IF(AM111=BN103,AM111,""))</f>
        <v/>
      </c>
      <c r="BO111" s="52" t="str">
        <f ca="1">IF(AM111="","",IF(AM111=BO103,AM111,""))</f>
        <v/>
      </c>
      <c r="BP111" s="52" t="str">
        <f ca="1">IF(AM111="","",IF(AM111=BP103,AM111,""))</f>
        <v/>
      </c>
      <c r="BQ111" s="52" t="str">
        <f ca="1">IF(AM111="","",IF(AM111=BQ103,AM111,""))</f>
        <v/>
      </c>
      <c r="BR111" s="52" t="str">
        <f ca="1">IF(AM111="","",IF(AM111=BR103,AM111,""))</f>
        <v/>
      </c>
      <c r="BS111" s="46"/>
      <c r="BT111" s="4" t="str">
        <f>IFERROR(IF(A103=0,A111*11,A111&amp;A111),"")</f>
        <v/>
      </c>
    </row>
    <row r="112" spans="1:72" s="4" customFormat="1" ht="15.95" customHeight="1" x14ac:dyDescent="0.35">
      <c r="A112" s="8">
        <f>IFERROR(IF(A103=0,A104*11,A104&amp;A104),"-")</f>
        <v>22</v>
      </c>
      <c r="B112" s="10" t="str">
        <f ca="1">IFERROR(IF(OR(AK112=0,AK112="B"),"",RANK(AZ112,AZ104:AZ119,1)),"")</f>
        <v/>
      </c>
      <c r="C112" s="10" t="str">
        <f ca="1">IFERROR(IF(OR(AK112=0,AK112="A"),"",RANK(BA112,BA104:BA119,1)),"")</f>
        <v/>
      </c>
      <c r="D112" s="55">
        <v>9</v>
      </c>
      <c r="E112" s="17">
        <f t="shared" si="38"/>
        <v>22</v>
      </c>
      <c r="F112" s="18">
        <f ca="1">IFERROR(IF(A103=0,HLOOKUP(E112,Declarations!$D$2:$S$102,C101,FALSE),HLOOKUP(VLOOKUP(E112,Teams!$V$2:$W$19,2,FALSE),Declarations!$D$2:$S$102,C101,FALSE)),"")</f>
        <v>0</v>
      </c>
      <c r="G112" s="18" t="str">
        <f t="shared" si="33"/>
        <v>Sheff+D</v>
      </c>
      <c r="H112" s="526"/>
      <c r="I112" s="527"/>
      <c r="J112" s="526"/>
      <c r="K112" s="527"/>
      <c r="L112" s="526"/>
      <c r="M112" s="527"/>
      <c r="N112" s="526"/>
      <c r="O112" s="527"/>
      <c r="P112" s="526"/>
      <c r="Q112" s="527"/>
      <c r="R112" s="526"/>
      <c r="S112" s="527"/>
      <c r="T112" s="526"/>
      <c r="U112" s="527"/>
      <c r="V112" s="526"/>
      <c r="W112" s="527"/>
      <c r="X112" s="526"/>
      <c r="Y112" s="527"/>
      <c r="Z112" s="526"/>
      <c r="AA112" s="527"/>
      <c r="AB112" s="526"/>
      <c r="AC112" s="527"/>
      <c r="AD112" s="526"/>
      <c r="AE112" s="527"/>
      <c r="AF112" s="557">
        <f ca="1">IFERROR(INDIRECT(CONCATENATE("'Height Input'!"&amp;B102&amp;C102+8)),"")</f>
        <v>0</v>
      </c>
      <c r="AG112" s="558"/>
      <c r="AH112" s="48"/>
      <c r="AI112" s="48"/>
      <c r="AJ112" s="49">
        <f ca="1">IFERROR(IF(AF112="X",MatchDay!$U$2+MatchDay!$U$2+1-COUNTIF($AF104:AF112,"X"),IF(AF112&gt;=97,1,INT(INDIRECT(CONCATENATE("'Height Input'!"&amp;$B101&amp;$C102+8))))),"")</f>
        <v>0</v>
      </c>
      <c r="AK112" s="50">
        <f ca="1">IFERROR(IF(OR(AJ112=0,AJ112=""),0,IF(OR(AJ112&lt;VLOOKUP(BT112,$E104:$AJ111,32,FALSE),VLOOKUP(BT112,$E104:$AJ111,32,FALSE)=0),"A","B")),0)</f>
        <v>0</v>
      </c>
      <c r="AL112" s="139" t="str">
        <f ca="1">IFERROR(IF(OR(AK112=0,AK112="B"),"",RANK(AW112,AW104:AW119,1)),"")</f>
        <v/>
      </c>
      <c r="AM112" s="139" t="str">
        <f ca="1">IFERROR(IF(OR(AK112=0,AK112="A"),"",RANK(AX112,AX104:AX119,1)),"")</f>
        <v/>
      </c>
      <c r="AN112" s="51">
        <f ca="1">IFERROR(IF(AF112="X",0,(INDIRECT(CONCATENATE("'Height Input'!"&amp;$B101&amp;$C102+8))-AJ112)*10),"")</f>
        <v>0</v>
      </c>
      <c r="AO112" s="8"/>
      <c r="AP112" s="9" t="str">
        <f t="shared" ca="1" si="39"/>
        <v/>
      </c>
      <c r="AQ112" s="9" t="str">
        <f ca="1">IF(AR112="","",HLOOKUP(AL112,BC103:BJ120,18,FALSE))</f>
        <v/>
      </c>
      <c r="AR112" s="45" t="str">
        <f ca="1">IF(OR(AL112=0,AL112=""),"",IF(COUNTIFS(AL104:AL119,AL112)&gt;1,"=",""))</f>
        <v/>
      </c>
      <c r="AS112" s="45"/>
      <c r="AT112" s="9" t="str">
        <f t="shared" ca="1" si="40"/>
        <v/>
      </c>
      <c r="AU112" s="9" t="str">
        <f ca="1">IF(AV112="","",HLOOKUP(AM112,BK103:BR120,18,FALSE))</f>
        <v/>
      </c>
      <c r="AV112" s="45" t="str">
        <f ca="1">IF(OR(AM112=0,AM112=""),"",IF(COUNTIFS(AM104:AM119,AM112)&gt;1,"=",""))</f>
        <v/>
      </c>
      <c r="AW112" s="9" t="str">
        <f t="shared" ca="1" si="34"/>
        <v/>
      </c>
      <c r="AX112" s="9" t="str">
        <f t="shared" ca="1" si="35"/>
        <v/>
      </c>
      <c r="AY112" s="47"/>
      <c r="AZ112" s="151" t="str">
        <f t="shared" ca="1" si="36"/>
        <v/>
      </c>
      <c r="BA112" s="151" t="str">
        <f t="shared" ca="1" si="37"/>
        <v/>
      </c>
      <c r="BB112" s="9"/>
      <c r="BC112" s="52" t="str">
        <f ca="1">IF(AL112="","",IF(AL112=BC103,AL112,""))</f>
        <v/>
      </c>
      <c r="BD112" s="52" t="str">
        <f ca="1">IF(AL112="","",IF(AL112=BD103,AL112,""))</f>
        <v/>
      </c>
      <c r="BE112" s="52" t="str">
        <f ca="1">IF(AL112="","",IF(AL112=BE103,AL112,""))</f>
        <v/>
      </c>
      <c r="BF112" s="52" t="str">
        <f ca="1">IF(AL112="","",IF(AL112=BF103,AL112,""))</f>
        <v/>
      </c>
      <c r="BG112" s="52" t="str">
        <f ca="1">IF(AL112="","",IF(AL112=BG103,AL112,""))</f>
        <v/>
      </c>
      <c r="BH112" s="52" t="str">
        <f ca="1">IF(AL112="","",IF(AL112=BH103,AL112,""))</f>
        <v/>
      </c>
      <c r="BI112" s="52" t="str">
        <f ca="1">IF(AL112="","",IF(AL112=BI103,AL112,""))</f>
        <v/>
      </c>
      <c r="BJ112" s="52" t="str">
        <f ca="1">IF(AL112="","",IF(AL112=BJ103,AL112,""))</f>
        <v/>
      </c>
      <c r="BK112" s="52" t="str">
        <f ca="1">IF(AM112="","",IF(AM112=BK103,AM112,""))</f>
        <v/>
      </c>
      <c r="BL112" s="52" t="str">
        <f ca="1">IF(AM112="","",IF(AM112=BL103,AM112,""))</f>
        <v/>
      </c>
      <c r="BM112" s="52" t="str">
        <f ca="1">IF(AM112="","",IF(AM112=BM103,AM112,""))</f>
        <v/>
      </c>
      <c r="BN112" s="52" t="str">
        <f ca="1">IF(AM112="","",IF(AM112=BN103,AM112,""))</f>
        <v/>
      </c>
      <c r="BO112" s="52" t="str">
        <f ca="1">IF(AM112="","",IF(AM112=BO103,AM112,""))</f>
        <v/>
      </c>
      <c r="BP112" s="52" t="str">
        <f ca="1">IF(AM112="","",IF(AM112=BP103,AM112,""))</f>
        <v/>
      </c>
      <c r="BQ112" s="52" t="str">
        <f ca="1">IF(AM112="","",IF(AM112=BQ103,AM112,""))</f>
        <v/>
      </c>
      <c r="BR112" s="52" t="str">
        <f ca="1">IF(AM112="","",IF(AM112=BR103,AM112,""))</f>
        <v/>
      </c>
      <c r="BS112" s="46"/>
      <c r="BT112" s="4">
        <f>IFERROR(IF(A103=0,A112/11,LEFT(A112,1)),"")</f>
        <v>2</v>
      </c>
    </row>
    <row r="113" spans="1:72" s="4" customFormat="1" ht="15.95" customHeight="1" x14ac:dyDescent="0.35">
      <c r="A113" s="8">
        <f>IFERROR(IF(A103=0,A105*11,A105&amp;A105),"-")</f>
        <v>55</v>
      </c>
      <c r="B113" s="10" t="str">
        <f ca="1">IFERROR(IF(OR(AK113=0,AK113="B"),"",RANK(AZ113,AZ104:AZ119,1)),"")</f>
        <v/>
      </c>
      <c r="C113" s="10" t="str">
        <f ca="1">IFERROR(IF(OR(AK113=0,AK113="A"),"",RANK(BA113,BA104:BA119,1)),"")</f>
        <v/>
      </c>
      <c r="D113" s="55">
        <v>10</v>
      </c>
      <c r="E113" s="17">
        <f t="shared" si="38"/>
        <v>55</v>
      </c>
      <c r="F113" s="18" t="str">
        <f ca="1">IFERROR(IF(A103=0,HLOOKUP(E113,Declarations!$D$2:$S$102,C101,FALSE),HLOOKUP(VLOOKUP(E113,Teams!$V$2:$W$19,2,FALSE),Declarations!$D$2:$S$102,C101,FALSE)),"")</f>
        <v>-</v>
      </c>
      <c r="G113" s="18" t="str">
        <f t="shared" si="33"/>
        <v>Scun</v>
      </c>
      <c r="H113" s="526"/>
      <c r="I113" s="527"/>
      <c r="J113" s="526"/>
      <c r="K113" s="527"/>
      <c r="L113" s="526"/>
      <c r="M113" s="527"/>
      <c r="N113" s="526"/>
      <c r="O113" s="527"/>
      <c r="P113" s="526"/>
      <c r="Q113" s="527"/>
      <c r="R113" s="526"/>
      <c r="S113" s="527"/>
      <c r="T113" s="526"/>
      <c r="U113" s="527"/>
      <c r="V113" s="526"/>
      <c r="W113" s="527"/>
      <c r="X113" s="526"/>
      <c r="Y113" s="527"/>
      <c r="Z113" s="526"/>
      <c r="AA113" s="527"/>
      <c r="AB113" s="526"/>
      <c r="AC113" s="527"/>
      <c r="AD113" s="526"/>
      <c r="AE113" s="527"/>
      <c r="AF113" s="557">
        <f ca="1">IFERROR(INDIRECT(CONCATENATE("'Height Input'!"&amp;B102&amp;C102+9)),"")</f>
        <v>0</v>
      </c>
      <c r="AG113" s="558"/>
      <c r="AH113" s="48"/>
      <c r="AI113" s="48"/>
      <c r="AJ113" s="49">
        <f ca="1">IFERROR(IF(AF113="X",MatchDay!$U$2+MatchDay!$U$2+1-COUNTIF($AF104:AF113,"X"),IF(AF113&gt;=97,1,INT(INDIRECT(CONCATENATE("'Height Input'!"&amp;$B101&amp;$C102+9))))),"")</f>
        <v>0</v>
      </c>
      <c r="AK113" s="50">
        <f ca="1">IFERROR(IF(OR(AJ113=0,AJ113=""),0,IF(OR(AJ113&lt;VLOOKUP(BT113,$E104:$AJ111,32,FALSE),VLOOKUP(BT113,$E104:$AJ111,32,FALSE)=0),"A","B")),0)</f>
        <v>0</v>
      </c>
      <c r="AL113" s="139" t="str">
        <f ca="1">IFERROR(IF(OR(AK113=0,AK113="B"),"",RANK(AW113,AW104:AW119,1)),"")</f>
        <v/>
      </c>
      <c r="AM113" s="139" t="str">
        <f ca="1">IFERROR(IF(OR(AK113=0,AK113="A"),"",RANK(AX113,AX104:AX119,1)),"")</f>
        <v/>
      </c>
      <c r="AN113" s="51">
        <f ca="1">IFERROR(IF(AF113="X",0,(INDIRECT(CONCATENATE("'Height Input'!"&amp;$B101&amp;$C102+9))-AJ113)*10),"")</f>
        <v>0</v>
      </c>
      <c r="AO113" s="8"/>
      <c r="AP113" s="9" t="str">
        <f t="shared" ca="1" si="39"/>
        <v/>
      </c>
      <c r="AQ113" s="9" t="str">
        <f ca="1">IF(AR113="","",HLOOKUP(AL113,BC103:BJ120,18,FALSE))</f>
        <v/>
      </c>
      <c r="AR113" s="45" t="str">
        <f ca="1">IF(OR(AL113=0,AL113=""),"",IF(COUNTIFS(AL104:AL119,AL113)&gt;1,"=",""))</f>
        <v/>
      </c>
      <c r="AS113" s="45"/>
      <c r="AT113" s="9" t="str">
        <f t="shared" ca="1" si="40"/>
        <v/>
      </c>
      <c r="AU113" s="9" t="str">
        <f ca="1">IF(AV113="","",HLOOKUP(AM113,BK103:BR120,18,FALSE))</f>
        <v/>
      </c>
      <c r="AV113" s="45" t="str">
        <f ca="1">IF(OR(AM113=0,AM113=""),"",IF(COUNTIFS(AM104:AM119,AM113)&gt;1,"=",""))</f>
        <v/>
      </c>
      <c r="AW113" s="9" t="str">
        <f t="shared" ca="1" si="34"/>
        <v/>
      </c>
      <c r="AX113" s="9" t="str">
        <f t="shared" ca="1" si="35"/>
        <v/>
      </c>
      <c r="AY113" s="47"/>
      <c r="AZ113" s="151" t="str">
        <f t="shared" ca="1" si="36"/>
        <v/>
      </c>
      <c r="BA113" s="151" t="str">
        <f t="shared" ca="1" si="37"/>
        <v/>
      </c>
      <c r="BB113" s="9"/>
      <c r="BC113" s="52" t="str">
        <f ca="1">IF(AL113="","",IF(AL113=BC103,AL113,""))</f>
        <v/>
      </c>
      <c r="BD113" s="52" t="str">
        <f ca="1">IF(AL113="","",IF(AL113=BD103,AL113,""))</f>
        <v/>
      </c>
      <c r="BE113" s="52" t="str">
        <f ca="1">IF(AL113="","",IF(AL113=BE103,AL113,""))</f>
        <v/>
      </c>
      <c r="BF113" s="52" t="str">
        <f ca="1">IF(AL113="","",IF(AL113=BF103,AL113,""))</f>
        <v/>
      </c>
      <c r="BG113" s="52" t="str">
        <f ca="1">IF(AL113="","",IF(AL113=BG103,AL113,""))</f>
        <v/>
      </c>
      <c r="BH113" s="52" t="str">
        <f ca="1">IF(AL113="","",IF(AL113=BH103,AL113,""))</f>
        <v/>
      </c>
      <c r="BI113" s="52" t="str">
        <f ca="1">IF(AL113="","",IF(AL113=BI103,AL113,""))</f>
        <v/>
      </c>
      <c r="BJ113" s="52" t="str">
        <f ca="1">IF(AL113="","",IF(AL113=BJ103,AL113,""))</f>
        <v/>
      </c>
      <c r="BK113" s="52" t="str">
        <f ca="1">IF(AM113="","",IF(AM113=BK103,AM113,""))</f>
        <v/>
      </c>
      <c r="BL113" s="52" t="str">
        <f ca="1">IF(AM113="","",IF(AM113=BL103,AM113,""))</f>
        <v/>
      </c>
      <c r="BM113" s="52" t="str">
        <f ca="1">IF(AM113="","",IF(AM113=BM103,AM113,""))</f>
        <v/>
      </c>
      <c r="BN113" s="52" t="str">
        <f ca="1">IF(AM113="","",IF(AM113=BN103,AM113,""))</f>
        <v/>
      </c>
      <c r="BO113" s="52" t="str">
        <f ca="1">IF(AM113="","",IF(AM113=BO103,AM113,""))</f>
        <v/>
      </c>
      <c r="BP113" s="52" t="str">
        <f ca="1">IF(AM113="","",IF(AM113=BP103,AM113,""))</f>
        <v/>
      </c>
      <c r="BQ113" s="52" t="str">
        <f ca="1">IF(AM113="","",IF(AM113=BQ103,AM113,""))</f>
        <v/>
      </c>
      <c r="BR113" s="52" t="str">
        <f ca="1">IF(AM113="","",IF(AM113=BR103,AM113,""))</f>
        <v/>
      </c>
      <c r="BS113" s="46"/>
      <c r="BT113" s="4">
        <f>IFERROR(IF(A103=0,A113/11,LEFT(A113,1)),"")</f>
        <v>5</v>
      </c>
    </row>
    <row r="114" spans="1:72" s="4" customFormat="1" ht="15.95" customHeight="1" x14ac:dyDescent="0.35">
      <c r="A114" s="8">
        <f>IFERROR(IF(A103=0,A106*11,A106&amp;A106),"-")</f>
        <v>33</v>
      </c>
      <c r="B114" s="10" t="str">
        <f ca="1">IFERROR(IF(OR(AK114=0,AK114="B"),"",RANK(AZ114,AZ104:AZ119,1)),"")</f>
        <v/>
      </c>
      <c r="C114" s="10" t="str">
        <f ca="1">IFERROR(IF(OR(AK114=0,AK114="A"),"",RANK(BA114,BA104:BA119,1)),"")</f>
        <v/>
      </c>
      <c r="D114" s="55">
        <v>11</v>
      </c>
      <c r="E114" s="17">
        <f t="shared" si="38"/>
        <v>33</v>
      </c>
      <c r="F114" s="18" t="str">
        <f ca="1">IFERROR(IF(A103=0,HLOOKUP(E114,Declarations!$D$2:$S$102,C101,FALSE),HLOOKUP(VLOOKUP(E114,Teams!$V$2:$W$19,2,FALSE),Declarations!$D$2:$S$102,C101,FALSE)),"")</f>
        <v>-</v>
      </c>
      <c r="G114" s="18" t="str">
        <f t="shared" si="33"/>
        <v>York</v>
      </c>
      <c r="H114" s="526"/>
      <c r="I114" s="527"/>
      <c r="J114" s="526"/>
      <c r="K114" s="527"/>
      <c r="L114" s="526"/>
      <c r="M114" s="527"/>
      <c r="N114" s="526"/>
      <c r="O114" s="527"/>
      <c r="P114" s="526"/>
      <c r="Q114" s="527"/>
      <c r="R114" s="526"/>
      <c r="S114" s="527"/>
      <c r="T114" s="526"/>
      <c r="U114" s="527"/>
      <c r="V114" s="526"/>
      <c r="W114" s="527"/>
      <c r="X114" s="526"/>
      <c r="Y114" s="527"/>
      <c r="Z114" s="526"/>
      <c r="AA114" s="527"/>
      <c r="AB114" s="526"/>
      <c r="AC114" s="527"/>
      <c r="AD114" s="526"/>
      <c r="AE114" s="527"/>
      <c r="AF114" s="557">
        <f ca="1">IFERROR(INDIRECT(CONCATENATE("'Height Input'!"&amp;B102&amp;C102+10)),"")</f>
        <v>0</v>
      </c>
      <c r="AG114" s="558"/>
      <c r="AH114" s="48"/>
      <c r="AI114" s="48"/>
      <c r="AJ114" s="49">
        <f ca="1">IFERROR(IF(AF114="X",MatchDay!$U$2+MatchDay!$U$2+1-COUNTIF($AF104:AF114,"X"),IF(AF114&gt;=97,1,INT(INDIRECT(CONCATENATE("'Height Input'!"&amp;$B101&amp;$C102+10))))),"")</f>
        <v>0</v>
      </c>
      <c r="AK114" s="50">
        <f ca="1">IFERROR(IF(OR(AJ114=0,AJ114=""),0,IF(OR(AJ114&lt;VLOOKUP(BT114,$E104:$AJ111,32,FALSE),VLOOKUP(BT114,$E104:$AJ111,32,FALSE)=0),"A","B")),0)</f>
        <v>0</v>
      </c>
      <c r="AL114" s="139" t="str">
        <f ca="1">IFERROR(IF(OR(AK114=0,AK114="B"),"",RANK(AW114,AW104:AW119,1)),"")</f>
        <v/>
      </c>
      <c r="AM114" s="139" t="str">
        <f ca="1">IFERROR(IF(OR(AK114=0,AK114="A"),"",RANK(AX114,AX104:AX119,1)),"")</f>
        <v/>
      </c>
      <c r="AN114" s="51">
        <f ca="1">IFERROR(IF(AF114="X",0,(INDIRECT(CONCATENATE("'Height Input'!"&amp;$B101&amp;$C102+10))-AJ114)*10),"")</f>
        <v>0</v>
      </c>
      <c r="AO114" s="8"/>
      <c r="AP114" s="9" t="str">
        <f t="shared" ca="1" si="39"/>
        <v/>
      </c>
      <c r="AQ114" s="9" t="str">
        <f ca="1">IF(AR114="","",HLOOKUP(AL114,BC103:BJ120,18,FALSE))</f>
        <v/>
      </c>
      <c r="AR114" s="45" t="str">
        <f ca="1">IF(OR(AL114=0,AL114=""),"",IF(COUNTIFS(AL104:AL119,AL114)&gt;1,"=",""))</f>
        <v/>
      </c>
      <c r="AS114" s="45"/>
      <c r="AT114" s="9" t="str">
        <f t="shared" ca="1" si="40"/>
        <v/>
      </c>
      <c r="AU114" s="9" t="str">
        <f ca="1">IF(AV114="","",HLOOKUP(AM114,BK103:BR120,18,FALSE))</f>
        <v/>
      </c>
      <c r="AV114" s="45" t="str">
        <f ca="1">IF(OR(AM114=0,AM114=""),"",IF(COUNTIFS(AM104:AM119,AM114)&gt;1,"=",""))</f>
        <v/>
      </c>
      <c r="AW114" s="9" t="str">
        <f t="shared" ca="1" si="34"/>
        <v/>
      </c>
      <c r="AX114" s="9" t="str">
        <f t="shared" ca="1" si="35"/>
        <v/>
      </c>
      <c r="AY114" s="47"/>
      <c r="AZ114" s="151" t="str">
        <f t="shared" ca="1" si="36"/>
        <v/>
      </c>
      <c r="BA114" s="151" t="str">
        <f t="shared" ca="1" si="37"/>
        <v/>
      </c>
      <c r="BB114" s="9"/>
      <c r="BC114" s="52" t="str">
        <f ca="1">IF(AL114="","",IF(AL114=BC103,AL114,""))</f>
        <v/>
      </c>
      <c r="BD114" s="52" t="str">
        <f ca="1">IF(AL114="","",IF(AL114=BD103,AL114,""))</f>
        <v/>
      </c>
      <c r="BE114" s="52" t="str">
        <f ca="1">IF(AL114="","",IF(AL114=BE103,AL114,""))</f>
        <v/>
      </c>
      <c r="BF114" s="52" t="str">
        <f ca="1">IF(AL114="","",IF(AL114=BF103,AL114,""))</f>
        <v/>
      </c>
      <c r="BG114" s="52" t="str">
        <f ca="1">IF(AL114="","",IF(AL114=BG103,AL114,""))</f>
        <v/>
      </c>
      <c r="BH114" s="52" t="str">
        <f ca="1">IF(AL114="","",IF(AL114=BH103,AL114,""))</f>
        <v/>
      </c>
      <c r="BI114" s="52" t="str">
        <f ca="1">IF(AL114="","",IF(AL114=BI103,AL114,""))</f>
        <v/>
      </c>
      <c r="BJ114" s="52" t="str">
        <f ca="1">IF(AL114="","",IF(AL114=BJ103,AL114,""))</f>
        <v/>
      </c>
      <c r="BK114" s="52" t="str">
        <f ca="1">IF(AM114="","",IF(AM114=BK103,AM114,""))</f>
        <v/>
      </c>
      <c r="BL114" s="52" t="str">
        <f ca="1">IF(AM114="","",IF(AM114=BL103,AM114,""))</f>
        <v/>
      </c>
      <c r="BM114" s="52" t="str">
        <f ca="1">IF(AM114="","",IF(AM114=BM103,AM114,""))</f>
        <v/>
      </c>
      <c r="BN114" s="52" t="str">
        <f ca="1">IF(AM114="","",IF(AM114=BN103,AM114,""))</f>
        <v/>
      </c>
      <c r="BO114" s="52" t="str">
        <f ca="1">IF(AM114="","",IF(AM114=BO103,AM114,""))</f>
        <v/>
      </c>
      <c r="BP114" s="52" t="str">
        <f ca="1">IF(AM114="","",IF(AM114=BP103,AM114,""))</f>
        <v/>
      </c>
      <c r="BQ114" s="52" t="str">
        <f ca="1">IF(AM114="","",IF(AM114=BQ103,AM114,""))</f>
        <v/>
      </c>
      <c r="BR114" s="52" t="str">
        <f ca="1">IF(AM114="","",IF(AM114=BR103,AM114,""))</f>
        <v/>
      </c>
      <c r="BS114" s="46"/>
      <c r="BT114" s="4">
        <f>IFERROR(IF(A103=0,A114/11,LEFT(A114,1)),"")</f>
        <v>3</v>
      </c>
    </row>
    <row r="115" spans="1:72" s="4" customFormat="1" ht="15.95" customHeight="1" x14ac:dyDescent="0.35">
      <c r="A115" s="8">
        <f>IFERROR(IF(A103=0,A107*11,A107&amp;A107),"-")</f>
        <v>44</v>
      </c>
      <c r="B115" s="10" t="str">
        <f ca="1">IFERROR(IF(OR(AK115=0,AK115="B"),"",RANK(AZ115,AZ104:AZ119,1)),"")</f>
        <v/>
      </c>
      <c r="C115" s="10" t="str">
        <f ca="1">IFERROR(IF(OR(AK115=0,AK115="A"),"",RANK(BA115,BA104:BA119,1)),"")</f>
        <v/>
      </c>
      <c r="D115" s="55">
        <v>12</v>
      </c>
      <c r="E115" s="17">
        <f t="shared" si="38"/>
        <v>44</v>
      </c>
      <c r="F115" s="18" t="str">
        <f ca="1">IFERROR(IF(A103=0,HLOOKUP(E115,Declarations!$D$2:$S$102,C101,FALSE),HLOOKUP(VLOOKUP(E115,Teams!$V$2:$W$19,2,FALSE),Declarations!$D$2:$S$102,C101,FALSE)),"")</f>
        <v>-</v>
      </c>
      <c r="G115" s="18" t="str">
        <f t="shared" si="33"/>
        <v>M'bro</v>
      </c>
      <c r="H115" s="526"/>
      <c r="I115" s="527"/>
      <c r="J115" s="526"/>
      <c r="K115" s="527"/>
      <c r="L115" s="526"/>
      <c r="M115" s="527"/>
      <c r="N115" s="526"/>
      <c r="O115" s="527"/>
      <c r="P115" s="526"/>
      <c r="Q115" s="527"/>
      <c r="R115" s="526"/>
      <c r="S115" s="527"/>
      <c r="T115" s="526"/>
      <c r="U115" s="527"/>
      <c r="V115" s="526"/>
      <c r="W115" s="527"/>
      <c r="X115" s="526"/>
      <c r="Y115" s="527"/>
      <c r="Z115" s="526"/>
      <c r="AA115" s="527"/>
      <c r="AB115" s="526"/>
      <c r="AC115" s="527"/>
      <c r="AD115" s="526"/>
      <c r="AE115" s="527"/>
      <c r="AF115" s="557">
        <f ca="1">IFERROR(INDIRECT(CONCATENATE("'Height Input'!"&amp;B102&amp;C102+11)),"")</f>
        <v>0</v>
      </c>
      <c r="AG115" s="558"/>
      <c r="AH115" s="48"/>
      <c r="AI115" s="48"/>
      <c r="AJ115" s="49">
        <f ca="1">IFERROR(IF(AF115="X",MatchDay!$U$2+MatchDay!$U$2+1-COUNTIF($AF104:AF115,"X"),IF(AF115&gt;=97,1,INT(INDIRECT(CONCATENATE("'Height Input'!"&amp;$B101&amp;$C102+11))))),"")</f>
        <v>0</v>
      </c>
      <c r="AK115" s="50">
        <f ca="1">IFERROR(IF(OR(AJ115=0,AJ115=""),0,IF(OR(AJ115&lt;VLOOKUP(BT115,$E104:$AJ111,32,FALSE),VLOOKUP(BT115,$E104:$AJ111,32,FALSE)=0),"A","B")),0)</f>
        <v>0</v>
      </c>
      <c r="AL115" s="139" t="str">
        <f ca="1">IFERROR(IF(OR(AK115=0,AK115="B"),"",RANK(AW115,AW104:AW119,1)),"")</f>
        <v/>
      </c>
      <c r="AM115" s="139" t="str">
        <f ca="1">IFERROR(IF(OR(AK115=0,AK115="A"),"",RANK(AX115,AX104:AX119,1)),"")</f>
        <v/>
      </c>
      <c r="AN115" s="51">
        <f ca="1">IFERROR(IF(AF115="X",0,(INDIRECT(CONCATENATE("'Height Input'!"&amp;$B101&amp;$C102+11))-AJ115)*10),"")</f>
        <v>0</v>
      </c>
      <c r="AO115" s="8"/>
      <c r="AP115" s="9" t="str">
        <f t="shared" ca="1" si="39"/>
        <v/>
      </c>
      <c r="AQ115" s="9" t="str">
        <f ca="1">IF(AR115="","",HLOOKUP(AL115,BC103:BJ120,18,FALSE))</f>
        <v/>
      </c>
      <c r="AR115" s="45" t="str">
        <f ca="1">IF(OR(AL115=0,AL115=""),"",IF(COUNTIFS(AL104:AL119,AL115)&gt;1,"=",""))</f>
        <v/>
      </c>
      <c r="AS115" s="45"/>
      <c r="AT115" s="9" t="str">
        <f t="shared" ca="1" si="40"/>
        <v/>
      </c>
      <c r="AU115" s="9" t="str">
        <f ca="1">IF(AV115="","",HLOOKUP(AM115,BK103:BR120,18,FALSE))</f>
        <v/>
      </c>
      <c r="AV115" s="45" t="str">
        <f ca="1">IF(OR(AM115=0,AM115=""),"",IF(COUNTIFS(AM104:AM119,AM115)&gt;1,"=",""))</f>
        <v/>
      </c>
      <c r="AW115" s="9" t="str">
        <f t="shared" ca="1" si="34"/>
        <v/>
      </c>
      <c r="AX115" s="9" t="str">
        <f t="shared" ca="1" si="35"/>
        <v/>
      </c>
      <c r="AY115" s="47"/>
      <c r="AZ115" s="151" t="str">
        <f t="shared" ca="1" si="36"/>
        <v/>
      </c>
      <c r="BA115" s="151" t="str">
        <f t="shared" ca="1" si="37"/>
        <v/>
      </c>
      <c r="BB115" s="9"/>
      <c r="BC115" s="52" t="str">
        <f ca="1">IF(AL115="","",IF(AL115=BC103,AL115,""))</f>
        <v/>
      </c>
      <c r="BD115" s="52" t="str">
        <f ca="1">IF(AL115="","",IF(AL115=BD103,AL115,""))</f>
        <v/>
      </c>
      <c r="BE115" s="52" t="str">
        <f ca="1">IF(AL115="","",IF(AL115=BE103,AL115,""))</f>
        <v/>
      </c>
      <c r="BF115" s="52" t="str">
        <f ca="1">IF(AL115="","",IF(AL115=BF103,AL115,""))</f>
        <v/>
      </c>
      <c r="BG115" s="52" t="str">
        <f ca="1">IF(AL115="","",IF(AL115=BG103,AL115,""))</f>
        <v/>
      </c>
      <c r="BH115" s="52" t="str">
        <f ca="1">IF(AL115="","",IF(AL115=BH103,AL115,""))</f>
        <v/>
      </c>
      <c r="BI115" s="52" t="str">
        <f ca="1">IF(AL115="","",IF(AL115=BI103,AL115,""))</f>
        <v/>
      </c>
      <c r="BJ115" s="52" t="str">
        <f ca="1">IF(AL115="","",IF(AL115=BJ103,AL115,""))</f>
        <v/>
      </c>
      <c r="BK115" s="52" t="str">
        <f ca="1">IF(AM115="","",IF(AM115=BK103,AM115,""))</f>
        <v/>
      </c>
      <c r="BL115" s="52" t="str">
        <f ca="1">IF(AM115="","",IF(AM115=BL103,AM115,""))</f>
        <v/>
      </c>
      <c r="BM115" s="52" t="str">
        <f ca="1">IF(AM115="","",IF(AM115=BM103,AM115,""))</f>
        <v/>
      </c>
      <c r="BN115" s="52" t="str">
        <f ca="1">IF(AM115="","",IF(AM115=BN103,AM115,""))</f>
        <v/>
      </c>
      <c r="BO115" s="52" t="str">
        <f ca="1">IF(AM115="","",IF(AM115=BO103,AM115,""))</f>
        <v/>
      </c>
      <c r="BP115" s="52" t="str">
        <f ca="1">IF(AM115="","",IF(AM115=BP103,AM115,""))</f>
        <v/>
      </c>
      <c r="BQ115" s="52" t="str">
        <f ca="1">IF(AM115="","",IF(AM115=BQ103,AM115,""))</f>
        <v/>
      </c>
      <c r="BR115" s="52" t="str">
        <f ca="1">IF(AM115="","",IF(AM115=BR103,AM115,""))</f>
        <v/>
      </c>
      <c r="BS115" s="46"/>
      <c r="BT115" s="4">
        <f>IFERROR(IF(A103=0,A115/11,LEFT(A115,1)),"")</f>
        <v>4</v>
      </c>
    </row>
    <row r="116" spans="1:72" s="4" customFormat="1" ht="15.95" customHeight="1" x14ac:dyDescent="0.35">
      <c r="A116" s="8">
        <f>IFERROR(IF(A103=0,A108*11,A108&amp;A108),"-")</f>
        <v>11</v>
      </c>
      <c r="B116" s="10" t="str">
        <f ca="1">IFERROR(IF(OR(AK116=0,AK116="B"),"",RANK(AZ116,AZ104:AZ119,1)),"")</f>
        <v/>
      </c>
      <c r="C116" s="10" t="str">
        <f ca="1">IFERROR(IF(OR(AK116=0,AK116="A"),"",RANK(BA116,BA104:BA119,1)),"")</f>
        <v/>
      </c>
      <c r="D116" s="55">
        <v>13</v>
      </c>
      <c r="E116" s="17">
        <f t="shared" si="38"/>
        <v>11</v>
      </c>
      <c r="F116" s="18">
        <f ca="1">IFERROR(IF(A103=0,HLOOKUP(E116,Declarations!$D$2:$S$102,C101,FALSE),HLOOKUP(VLOOKUP(E116,Teams!$V$2:$W$19,2,FALSE),Declarations!$D$2:$S$102,C101,FALSE)),"")</f>
        <v>0</v>
      </c>
      <c r="G116" s="18" t="str">
        <f t="shared" si="33"/>
        <v>C'field</v>
      </c>
      <c r="H116" s="526"/>
      <c r="I116" s="527"/>
      <c r="J116" s="526"/>
      <c r="K116" s="527"/>
      <c r="L116" s="526"/>
      <c r="M116" s="527"/>
      <c r="N116" s="526"/>
      <c r="O116" s="527"/>
      <c r="P116" s="526"/>
      <c r="Q116" s="527"/>
      <c r="R116" s="526"/>
      <c r="S116" s="527"/>
      <c r="T116" s="526"/>
      <c r="U116" s="527"/>
      <c r="V116" s="526"/>
      <c r="W116" s="527"/>
      <c r="X116" s="526"/>
      <c r="Y116" s="527"/>
      <c r="Z116" s="526"/>
      <c r="AA116" s="527"/>
      <c r="AB116" s="526"/>
      <c r="AC116" s="527"/>
      <c r="AD116" s="526"/>
      <c r="AE116" s="527"/>
      <c r="AF116" s="557">
        <f ca="1">IFERROR(INDIRECT(CONCATENATE("'Height Input'!"&amp;B102&amp;C102+12)),"")</f>
        <v>0</v>
      </c>
      <c r="AG116" s="558"/>
      <c r="AH116" s="48"/>
      <c r="AI116" s="48"/>
      <c r="AJ116" s="49">
        <f ca="1">IFERROR(IF(AF116="X",MatchDay!$U$2+MatchDay!$U$2+1-COUNTIF($AF104:AF116,"X"),IF(AF116&gt;=97,1,INT(INDIRECT(CONCATENATE("'Height Input'!"&amp;$B101&amp;$C102+12))))),"")</f>
        <v>0</v>
      </c>
      <c r="AK116" s="50">
        <f ca="1">IFERROR(IF(OR(AJ116=0,AJ116=""),0,IF(OR(AJ116&lt;VLOOKUP(BT116,$E104:$AJ111,32,FALSE),VLOOKUP(BT116,$E104:$AJ111,32,FALSE)=0),"A","B")),0)</f>
        <v>0</v>
      </c>
      <c r="AL116" s="139" t="str">
        <f ca="1">IFERROR(IF(OR(AK116=0,AK116="B"),"",RANK(AW116,AW104:AW119,1)),"")</f>
        <v/>
      </c>
      <c r="AM116" s="139" t="str">
        <f ca="1">IFERROR(IF(OR(AK116=0,AK116="A"),"",RANK(AX116,AX104:AX119,1)),"")</f>
        <v/>
      </c>
      <c r="AN116" s="51">
        <f ca="1">IFERROR(IF(AF116="X",0,(INDIRECT(CONCATENATE("'Height Input'!"&amp;$B101&amp;$C102+12))-AJ116)*10),"")</f>
        <v>0</v>
      </c>
      <c r="AO116" s="8"/>
      <c r="AP116" s="9" t="str">
        <f t="shared" ca="1" si="39"/>
        <v/>
      </c>
      <c r="AQ116" s="9" t="str">
        <f ca="1">IF(AR116="","",HLOOKUP(AL116,BC103:BJ120,18,FALSE))</f>
        <v/>
      </c>
      <c r="AR116" s="45" t="str">
        <f ca="1">IF(OR(AL116=0,AL116=""),"",IF(COUNTIFS(AL104:AL119,AL116)&gt;1,"=",""))</f>
        <v/>
      </c>
      <c r="AS116" s="45"/>
      <c r="AT116" s="9" t="str">
        <f t="shared" ca="1" si="40"/>
        <v/>
      </c>
      <c r="AU116" s="9" t="str">
        <f ca="1">IF(AV116="","",HLOOKUP(AM116,BK103:BR120,18,FALSE))</f>
        <v/>
      </c>
      <c r="AV116" s="45" t="str">
        <f ca="1">IF(OR(AM116=0,AM116=""),"",IF(COUNTIFS(AM104:AM119,AM116)&gt;1,"=",""))</f>
        <v/>
      </c>
      <c r="AW116" s="9" t="str">
        <f t="shared" ca="1" si="34"/>
        <v/>
      </c>
      <c r="AX116" s="9" t="str">
        <f t="shared" ca="1" si="35"/>
        <v/>
      </c>
      <c r="AY116" s="47"/>
      <c r="AZ116" s="151" t="str">
        <f t="shared" ca="1" si="36"/>
        <v/>
      </c>
      <c r="BA116" s="151" t="str">
        <f t="shared" ca="1" si="37"/>
        <v/>
      </c>
      <c r="BB116" s="9"/>
      <c r="BC116" s="52" t="str">
        <f ca="1">IF(AL116="","",IF(AL116=BC103,AL116,""))</f>
        <v/>
      </c>
      <c r="BD116" s="52" t="str">
        <f ca="1">IF(AL116="","",IF(AL116=BD103,AL116,""))</f>
        <v/>
      </c>
      <c r="BE116" s="52" t="str">
        <f ca="1">IF(AL116="","",IF(AL116=BE103,AL116,""))</f>
        <v/>
      </c>
      <c r="BF116" s="52" t="str">
        <f ca="1">IF(AL116="","",IF(AL116=BF103,AL116,""))</f>
        <v/>
      </c>
      <c r="BG116" s="52" t="str">
        <f ca="1">IF(AL116="","",IF(AL116=BG103,AL116,""))</f>
        <v/>
      </c>
      <c r="BH116" s="52" t="str">
        <f ca="1">IF(AL116="","",IF(AL116=BH103,AL116,""))</f>
        <v/>
      </c>
      <c r="BI116" s="52" t="str">
        <f ca="1">IF(AL116="","",IF(AL116=BI103,AL116,""))</f>
        <v/>
      </c>
      <c r="BJ116" s="52" t="str">
        <f ca="1">IF(AL116="","",IF(AL116=BJ103,AL116,""))</f>
        <v/>
      </c>
      <c r="BK116" s="52" t="str">
        <f ca="1">IF(AM116="","",IF(AM116=BK103,AM116,""))</f>
        <v/>
      </c>
      <c r="BL116" s="52" t="str">
        <f ca="1">IF(AM116="","",IF(AM116=BL103,AM116,""))</f>
        <v/>
      </c>
      <c r="BM116" s="52" t="str">
        <f ca="1">IF(AM116="","",IF(AM116=BM103,AM116,""))</f>
        <v/>
      </c>
      <c r="BN116" s="52" t="str">
        <f ca="1">IF(AM116="","",IF(AM116=BN103,AM116,""))</f>
        <v/>
      </c>
      <c r="BO116" s="52" t="str">
        <f ca="1">IF(AM116="","",IF(AM116=BO103,AM116,""))</f>
        <v/>
      </c>
      <c r="BP116" s="52" t="str">
        <f ca="1">IF(AM116="","",IF(AM116=BP103,AM116,""))</f>
        <v/>
      </c>
      <c r="BQ116" s="52" t="str">
        <f ca="1">IF(AM116="","",IF(AM116=BQ103,AM116,""))</f>
        <v/>
      </c>
      <c r="BR116" s="52" t="str">
        <f ca="1">IF(AM116="","",IF(AM116=BR103,AM116,""))</f>
        <v/>
      </c>
      <c r="BS116" s="46"/>
      <c r="BT116" s="4">
        <f>IFERROR(IF(A103=0,A116/11,LEFT(A116,1)),"")</f>
        <v>1</v>
      </c>
    </row>
    <row r="117" spans="1:72" s="4" customFormat="1" ht="15.95" customHeight="1" x14ac:dyDescent="0.35">
      <c r="A117" s="8" t="str">
        <f>IFERROR(IF(A103=0,A109*11,A109&amp;A109),"-")</f>
        <v>-</v>
      </c>
      <c r="B117" s="10" t="str">
        <f ca="1">IFERROR(IF(OR(AK117=0,AK117="B"),"",RANK(AZ117,AZ104:AZ119,1)),"")</f>
        <v/>
      </c>
      <c r="C117" s="10" t="str">
        <f ca="1">IFERROR(IF(OR(AK117=0,AK117="A"),"",RANK(BA117,BA104:BA119,1)),"")</f>
        <v/>
      </c>
      <c r="D117" s="55">
        <v>14</v>
      </c>
      <c r="E117" s="17" t="str">
        <f t="shared" si="38"/>
        <v>-</v>
      </c>
      <c r="F117" s="18" t="str">
        <f>IFERROR(IF(A103=0,HLOOKUP(E117,Declarations!$D$2:$S$102,C101,FALSE),HLOOKUP(VLOOKUP(E117,Teams!$V$2:$W$19,2,FALSE),Declarations!$D$2:$S$102,C101,FALSE)),"")</f>
        <v/>
      </c>
      <c r="G117" s="18" t="str">
        <f t="shared" si="33"/>
        <v/>
      </c>
      <c r="H117" s="526"/>
      <c r="I117" s="527"/>
      <c r="J117" s="526"/>
      <c r="K117" s="527"/>
      <c r="L117" s="526"/>
      <c r="M117" s="527"/>
      <c r="N117" s="526"/>
      <c r="O117" s="527"/>
      <c r="P117" s="526"/>
      <c r="Q117" s="527"/>
      <c r="R117" s="526"/>
      <c r="S117" s="527"/>
      <c r="T117" s="526"/>
      <c r="U117" s="527"/>
      <c r="V117" s="526"/>
      <c r="W117" s="527"/>
      <c r="X117" s="526"/>
      <c r="Y117" s="527"/>
      <c r="Z117" s="526"/>
      <c r="AA117" s="527"/>
      <c r="AB117" s="526"/>
      <c r="AC117" s="527"/>
      <c r="AD117" s="526"/>
      <c r="AE117" s="527"/>
      <c r="AF117" s="557">
        <f ca="1">IFERROR(INDIRECT(CONCATENATE("'Height Input'!"&amp;B102&amp;C102+13)),"")</f>
        <v>0</v>
      </c>
      <c r="AG117" s="558"/>
      <c r="AH117" s="48"/>
      <c r="AI117" s="48"/>
      <c r="AJ117" s="49">
        <f ca="1">IFERROR(IF(AF117="X",MatchDay!$U$2+MatchDay!$U$2+1-COUNTIF($AF104:AF117,"X"),IF(AF117&gt;=97,1,INT(INDIRECT(CONCATENATE("'Height Input'!"&amp;$B101&amp;$C102+13))))),"")</f>
        <v>0</v>
      </c>
      <c r="AK117" s="50">
        <f ca="1">IFERROR(IF(OR(AJ117=0,AJ117=""),0,IF(OR(AJ117&lt;VLOOKUP(BT117,$E104:$AJ111,32,FALSE),VLOOKUP(BT117,$E104:$AJ111,32,FALSE)=0),"A","B")),0)</f>
        <v>0</v>
      </c>
      <c r="AL117" s="139" t="str">
        <f ca="1">IFERROR(IF(OR(AK117=0,AK117="B"),"",RANK(AW117,AW104:AW119,1)),"")</f>
        <v/>
      </c>
      <c r="AM117" s="139" t="str">
        <f ca="1">IFERROR(IF(OR(AK117=0,AK117="A"),"",RANK(AX117,AX104:AX119,1)),"")</f>
        <v/>
      </c>
      <c r="AN117" s="51">
        <f ca="1">IFERROR(IF(AF117="X",0,(INDIRECT(CONCATENATE("'Height Input'!"&amp;$B101&amp;$C102+13))-AJ117)*10),"")</f>
        <v>0</v>
      </c>
      <c r="AO117" s="8"/>
      <c r="AP117" s="9" t="str">
        <f t="shared" ca="1" si="39"/>
        <v/>
      </c>
      <c r="AQ117" s="9" t="str">
        <f ca="1">IF(AR117="","",HLOOKUP(AL117,BC103:BJ120,18,FALSE))</f>
        <v/>
      </c>
      <c r="AR117" s="45" t="str">
        <f ca="1">IF(OR(AL117=0,AL117=""),"",IF(COUNTIFS(AL104:AL119,AL117)&gt;1,"=",""))</f>
        <v/>
      </c>
      <c r="AS117" s="45"/>
      <c r="AT117" s="9" t="str">
        <f t="shared" ca="1" si="40"/>
        <v/>
      </c>
      <c r="AU117" s="9" t="str">
        <f ca="1">IF(AV117="","",HLOOKUP(AM117,BK103:BR120,18,FALSE))</f>
        <v/>
      </c>
      <c r="AV117" s="45" t="str">
        <f ca="1">IF(OR(AM117=0,AM117=""),"",IF(COUNTIFS(AM104:AM119,AM117)&gt;1,"=",""))</f>
        <v/>
      </c>
      <c r="AW117" s="9" t="str">
        <f t="shared" ca="1" si="34"/>
        <v/>
      </c>
      <c r="AX117" s="9" t="str">
        <f t="shared" ca="1" si="35"/>
        <v/>
      </c>
      <c r="AY117" s="47"/>
      <c r="AZ117" s="151" t="str">
        <f t="shared" ca="1" si="36"/>
        <v/>
      </c>
      <c r="BA117" s="151" t="str">
        <f t="shared" ca="1" si="37"/>
        <v/>
      </c>
      <c r="BB117" s="9"/>
      <c r="BC117" s="52" t="str">
        <f ca="1">IF(AL117="","",IF(AL117=BC103,AL117,""))</f>
        <v/>
      </c>
      <c r="BD117" s="52" t="str">
        <f ca="1">IF(AL117="","",IF(AL117=BD103,AL117,""))</f>
        <v/>
      </c>
      <c r="BE117" s="52" t="str">
        <f ca="1">IF(AL117="","",IF(AL117=BE103,AL117,""))</f>
        <v/>
      </c>
      <c r="BF117" s="52" t="str">
        <f ca="1">IF(AL117="","",IF(AL117=BF103,AL117,""))</f>
        <v/>
      </c>
      <c r="BG117" s="52" t="str">
        <f ca="1">IF(AL117="","",IF(AL117=BG103,AL117,""))</f>
        <v/>
      </c>
      <c r="BH117" s="52" t="str">
        <f ca="1">IF(AL117="","",IF(AL117=BH103,AL117,""))</f>
        <v/>
      </c>
      <c r="BI117" s="52" t="str">
        <f ca="1">IF(AL117="","",IF(AL117=BI103,AL117,""))</f>
        <v/>
      </c>
      <c r="BJ117" s="52" t="str">
        <f ca="1">IF(AL117="","",IF(AL117=BJ103,AL117,""))</f>
        <v/>
      </c>
      <c r="BK117" s="52" t="str">
        <f ca="1">IF(AM117="","",IF(AM117=BK103,AM117,""))</f>
        <v/>
      </c>
      <c r="BL117" s="52" t="str">
        <f ca="1">IF(AM117="","",IF(AM117=BL103,AM117,""))</f>
        <v/>
      </c>
      <c r="BM117" s="52" t="str">
        <f ca="1">IF(AM117="","",IF(AM117=BM103,AM117,""))</f>
        <v/>
      </c>
      <c r="BN117" s="52" t="str">
        <f ca="1">IF(AM117="","",IF(AM117=BN103,AM117,""))</f>
        <v/>
      </c>
      <c r="BO117" s="52" t="str">
        <f ca="1">IF(AM117="","",IF(AM117=BO103,AM117,""))</f>
        <v/>
      </c>
      <c r="BP117" s="52" t="str">
        <f ca="1">IF(AM117="","",IF(AM117=BP103,AM117,""))</f>
        <v/>
      </c>
      <c r="BQ117" s="52" t="str">
        <f ca="1">IF(AM117="","",IF(AM117=BQ103,AM117,""))</f>
        <v/>
      </c>
      <c r="BR117" s="52" t="str">
        <f ca="1">IF(AM117="","",IF(AM117=BR103,AM117,""))</f>
        <v/>
      </c>
      <c r="BS117" s="46"/>
      <c r="BT117" s="4" t="str">
        <f>IFERROR(IF(A103=0,A117/11,LEFT(A117,1)),"")</f>
        <v/>
      </c>
    </row>
    <row r="118" spans="1:72" s="4" customFormat="1" ht="15.95" customHeight="1" x14ac:dyDescent="0.35">
      <c r="A118" s="8" t="str">
        <f>IFERROR(IF(A103=0,A110*11,A110&amp;A110),"-")</f>
        <v>-</v>
      </c>
      <c r="B118" s="10" t="str">
        <f ca="1">IFERROR(IF(OR(AK118=0,AK118="B"),"",RANK(AZ118,AZ104:AZ119,1)),"")</f>
        <v/>
      </c>
      <c r="C118" s="10" t="str">
        <f ca="1">IFERROR(IF(OR(AK118=0,AK118="A"),"",RANK(BA118,BA104:BA119,1)),"")</f>
        <v/>
      </c>
      <c r="D118" s="55">
        <v>15</v>
      </c>
      <c r="E118" s="17" t="str">
        <f t="shared" si="38"/>
        <v>-</v>
      </c>
      <c r="F118" s="18" t="str">
        <f>IFERROR(IF(A103=0,HLOOKUP(E118,Declarations!$D$2:$S$102,C101,FALSE),HLOOKUP(VLOOKUP(E118,Teams!$V$2:$W$19,2,FALSE),Declarations!$D$2:$S$102,C101,FALSE)),"")</f>
        <v/>
      </c>
      <c r="G118" s="18" t="str">
        <f t="shared" si="33"/>
        <v/>
      </c>
      <c r="H118" s="526"/>
      <c r="I118" s="527"/>
      <c r="J118" s="526"/>
      <c r="K118" s="527"/>
      <c r="L118" s="526"/>
      <c r="M118" s="527"/>
      <c r="N118" s="526"/>
      <c r="O118" s="527"/>
      <c r="P118" s="526"/>
      <c r="Q118" s="527"/>
      <c r="R118" s="526"/>
      <c r="S118" s="527"/>
      <c r="T118" s="526"/>
      <c r="U118" s="527"/>
      <c r="V118" s="526"/>
      <c r="W118" s="527"/>
      <c r="X118" s="526"/>
      <c r="Y118" s="527"/>
      <c r="Z118" s="526"/>
      <c r="AA118" s="527"/>
      <c r="AB118" s="526"/>
      <c r="AC118" s="527"/>
      <c r="AD118" s="526"/>
      <c r="AE118" s="527"/>
      <c r="AF118" s="557">
        <f ca="1">IFERROR(INDIRECT(CONCATENATE("'Height Input'!"&amp;B102&amp;C102+14)),"")</f>
        <v>0</v>
      </c>
      <c r="AG118" s="558"/>
      <c r="AH118" s="48"/>
      <c r="AI118" s="48"/>
      <c r="AJ118" s="49">
        <f ca="1">IFERROR(IF(AF118="X",MatchDay!$U$2+MatchDay!$U$2+1-COUNTIF($AF104:AF118,"X"),IF(AF118&gt;=97,1,INT(INDIRECT(CONCATENATE("'Height Input'!"&amp;$B101&amp;$C102+14))))),"")</f>
        <v>0</v>
      </c>
      <c r="AK118" s="50">
        <f ca="1">IFERROR(IF(OR(AJ118=0,AJ118=""),0,IF(OR(AJ118&lt;VLOOKUP(BT118,$E104:$AJ111,32,FALSE),VLOOKUP(BT118,$E104:$AJ111,32,FALSE)=0),"A","B")),0)</f>
        <v>0</v>
      </c>
      <c r="AL118" s="139" t="str">
        <f ca="1">IFERROR(IF(OR(AK118=0,AK118="B"),"",RANK(AW118,AW104:AW119,1)),"")</f>
        <v/>
      </c>
      <c r="AM118" s="139" t="str">
        <f ca="1">IFERROR(IF(OR(AK118=0,AK118="A"),"",RANK(AX118,AX104:AX119,1)),"")</f>
        <v/>
      </c>
      <c r="AN118" s="51">
        <f ca="1">IFERROR(IF(AF118="X",0,(INDIRECT(CONCATENATE("'Height Input'!"&amp;$B101&amp;$C102+14))-AJ118)*10),"")</f>
        <v>0</v>
      </c>
      <c r="AO118" s="8"/>
      <c r="AP118" s="9" t="str">
        <f t="shared" ca="1" si="39"/>
        <v/>
      </c>
      <c r="AQ118" s="9" t="str">
        <f ca="1">IF(AR118="","",HLOOKUP(AL118,BC103:BJ120,18,FALSE))</f>
        <v/>
      </c>
      <c r="AR118" s="45" t="str">
        <f ca="1">IF(OR(AL118=0,AL118=""),"",IF(COUNTIFS(AL104:AL119,AL118)&gt;1,"=",""))</f>
        <v/>
      </c>
      <c r="AS118" s="45"/>
      <c r="AT118" s="9" t="str">
        <f t="shared" ca="1" si="40"/>
        <v/>
      </c>
      <c r="AU118" s="9" t="str">
        <f ca="1">IF(AV118="","",HLOOKUP(AM118,BK103:BR120,18,FALSE))</f>
        <v/>
      </c>
      <c r="AV118" s="45" t="str">
        <f ca="1">IF(OR(AM118=0,AM118=""),"",IF(COUNTIFS(AM104:AM119,AM118)&gt;1,"=",""))</f>
        <v/>
      </c>
      <c r="AW118" s="9" t="str">
        <f t="shared" ca="1" si="34"/>
        <v/>
      </c>
      <c r="AX118" s="9" t="str">
        <f t="shared" ca="1" si="35"/>
        <v/>
      </c>
      <c r="AY118" s="47"/>
      <c r="AZ118" s="151" t="str">
        <f t="shared" ca="1" si="36"/>
        <v/>
      </c>
      <c r="BA118" s="151" t="str">
        <f t="shared" ca="1" si="37"/>
        <v/>
      </c>
      <c r="BB118" s="9"/>
      <c r="BC118" s="52" t="str">
        <f ca="1">IF(AL118="","",IF(AL118=BC103,AL118,""))</f>
        <v/>
      </c>
      <c r="BD118" s="52" t="str">
        <f ca="1">IF(AL118="","",IF(AL118=BD103,AL118,""))</f>
        <v/>
      </c>
      <c r="BE118" s="52" t="str">
        <f ca="1">IF(AL118="","",IF(AL118=BE103,AL118,""))</f>
        <v/>
      </c>
      <c r="BF118" s="52" t="str">
        <f ca="1">IF(AL118="","",IF(AL118=BF103,AL118,""))</f>
        <v/>
      </c>
      <c r="BG118" s="52" t="str">
        <f ca="1">IF(AL118="","",IF(AL118=BG103,AL118,""))</f>
        <v/>
      </c>
      <c r="BH118" s="52" t="str">
        <f ca="1">IF(AL118="","",IF(AL118=BH103,AL118,""))</f>
        <v/>
      </c>
      <c r="BI118" s="52" t="str">
        <f ca="1">IF(AL118="","",IF(AL118=BI103,AL118,""))</f>
        <v/>
      </c>
      <c r="BJ118" s="52" t="str">
        <f ca="1">IF(AL118="","",IF(AL118=BJ103,AL118,""))</f>
        <v/>
      </c>
      <c r="BK118" s="52" t="str">
        <f ca="1">IF(AM118="","",IF(AM118=BK103,AM118,""))</f>
        <v/>
      </c>
      <c r="BL118" s="52" t="str">
        <f ca="1">IF(AM118="","",IF(AM118=BL103,AM118,""))</f>
        <v/>
      </c>
      <c r="BM118" s="52" t="str">
        <f ca="1">IF(AM118="","",IF(AM118=BM103,AM118,""))</f>
        <v/>
      </c>
      <c r="BN118" s="52" t="str">
        <f ca="1">IF(AM118="","",IF(AM118=BN103,AM118,""))</f>
        <v/>
      </c>
      <c r="BO118" s="52" t="str">
        <f ca="1">IF(AM118="","",IF(AM118=BO103,AM118,""))</f>
        <v/>
      </c>
      <c r="BP118" s="52" t="str">
        <f ca="1">IF(AM118="","",IF(AM118=BP103,AM118,""))</f>
        <v/>
      </c>
      <c r="BQ118" s="52" t="str">
        <f ca="1">IF(AM118="","",IF(AM118=BQ103,AM118,""))</f>
        <v/>
      </c>
      <c r="BR118" s="52" t="str">
        <f ca="1">IF(AM118="","",IF(AM118=BR103,AM118,""))</f>
        <v/>
      </c>
      <c r="BS118" s="46"/>
      <c r="BT118" s="4" t="str">
        <f>IFERROR(IF(A103=0,A118/11,LEFT(A118,1)),"")</f>
        <v/>
      </c>
    </row>
    <row r="119" spans="1:72" s="4" customFormat="1" ht="15.95" customHeight="1" x14ac:dyDescent="0.35">
      <c r="A119" s="8" t="str">
        <f>IFERROR(IF(A103=0,A111*11,A111&amp;A111),"-")</f>
        <v>-</v>
      </c>
      <c r="B119" s="10" t="str">
        <f ca="1">IFERROR(IF(OR(AK119=0,AK119="B"),"",RANK(AZ119,AZ104:AZ119,1)),"")</f>
        <v/>
      </c>
      <c r="C119" s="10" t="str">
        <f ca="1">IFERROR(IF(OR(AK119=0,AK119="A"),"",RANK(BA119,BA104:BA119,1)),"")</f>
        <v/>
      </c>
      <c r="D119" s="55">
        <v>16</v>
      </c>
      <c r="E119" s="17" t="str">
        <f t="shared" si="38"/>
        <v>-</v>
      </c>
      <c r="F119" s="18" t="str">
        <f>IFERROR(IF(A103=0,HLOOKUP(E119,Declarations!$D$2:$S$102,C101,FALSE),HLOOKUP(VLOOKUP(E119,Teams!$V$2:$W$19,2,FALSE),Declarations!$D$2:$S$102,C101,FALSE)),"")</f>
        <v/>
      </c>
      <c r="G119" s="18" t="str">
        <f t="shared" si="33"/>
        <v/>
      </c>
      <c r="H119" s="526"/>
      <c r="I119" s="527"/>
      <c r="J119" s="526"/>
      <c r="K119" s="527"/>
      <c r="L119" s="526"/>
      <c r="M119" s="527"/>
      <c r="N119" s="526"/>
      <c r="O119" s="527"/>
      <c r="P119" s="526"/>
      <c r="Q119" s="527"/>
      <c r="R119" s="526"/>
      <c r="S119" s="527"/>
      <c r="T119" s="526"/>
      <c r="U119" s="527"/>
      <c r="V119" s="526"/>
      <c r="W119" s="527"/>
      <c r="X119" s="526"/>
      <c r="Y119" s="527"/>
      <c r="Z119" s="526"/>
      <c r="AA119" s="527"/>
      <c r="AB119" s="526"/>
      <c r="AC119" s="527"/>
      <c r="AD119" s="526"/>
      <c r="AE119" s="527"/>
      <c r="AF119" s="557">
        <f ca="1">IFERROR(INDIRECT(CONCATENATE("'Height Input'!"&amp;B102&amp;C102+15)),"")</f>
        <v>0</v>
      </c>
      <c r="AG119" s="558"/>
      <c r="AH119" s="48"/>
      <c r="AI119" s="48"/>
      <c r="AJ119" s="49">
        <f ca="1">IFERROR(IF(AF119="X",MatchDay!$U$2+MatchDay!$U$2+1-COUNTIF($AF104:AF119,"X"),IF(AF119&gt;=97,1,INT(INDIRECT(CONCATENATE("'Height Input'!"&amp;$B101&amp;$C102+15))))),"")</f>
        <v>0</v>
      </c>
      <c r="AK119" s="50">
        <f ca="1">IFERROR(IF(OR(AJ119=0,AJ119=""),0,IF(OR(AJ119&lt;VLOOKUP(BT119,$E104:$AJ111,32,FALSE),VLOOKUP(BT119,$E104:$AJ111,32,FALSE)=0),"A","B")),0)</f>
        <v>0</v>
      </c>
      <c r="AL119" s="139" t="str">
        <f ca="1">IFERROR(IF(OR(AK119=0,AK119="B"),"",RANK(AW119,AW104:AW119,1)),"")</f>
        <v/>
      </c>
      <c r="AM119" s="139" t="str">
        <f ca="1">IFERROR(IF(OR(AK119=0,AK119="A"),"",RANK(AX119,AX104:AX119,1)),"")</f>
        <v/>
      </c>
      <c r="AN119" s="51">
        <f ca="1">IFERROR(IF(AF119="X",0,(INDIRECT(CONCATENATE("'Height Input'!"&amp;$B101&amp;$C102+15))-AJ119)*10),"")</f>
        <v>0</v>
      </c>
      <c r="AO119" s="8"/>
      <c r="AP119" s="9" t="str">
        <f t="shared" ca="1" si="39"/>
        <v/>
      </c>
      <c r="AQ119" s="9" t="str">
        <f ca="1">IF(AR119="","",HLOOKUP(AL119,BC103:BJ120,18,FALSE))</f>
        <v/>
      </c>
      <c r="AR119" s="45" t="str">
        <f ca="1">IF(OR(AL119=0,AL119=""),"",IF(COUNTIFS(AL104:AL119,AL119)&gt;1,"=",""))</f>
        <v/>
      </c>
      <c r="AS119" s="45"/>
      <c r="AT119" s="9" t="str">
        <f t="shared" ca="1" si="40"/>
        <v/>
      </c>
      <c r="AU119" s="9" t="str">
        <f ca="1">IF(AV119="","",HLOOKUP(AM119,BK103:BR120,18,FALSE))</f>
        <v/>
      </c>
      <c r="AV119" s="45" t="str">
        <f ca="1">IF(OR(AM119=0,AM119=""),"",IF(COUNTIFS(AM104:AM119,AM119)&gt;1,"=",""))</f>
        <v/>
      </c>
      <c r="AW119" s="9" t="str">
        <f t="shared" ca="1" si="34"/>
        <v/>
      </c>
      <c r="AX119" s="9" t="str">
        <f t="shared" ca="1" si="35"/>
        <v/>
      </c>
      <c r="AY119" s="47"/>
      <c r="AZ119" s="151" t="str">
        <f t="shared" ca="1" si="36"/>
        <v/>
      </c>
      <c r="BA119" s="151" t="str">
        <f t="shared" ca="1" si="37"/>
        <v/>
      </c>
      <c r="BB119" s="9"/>
      <c r="BC119" s="52" t="str">
        <f ca="1">IF(AL119="","",IF(AL119=BC103,AL119,""))</f>
        <v/>
      </c>
      <c r="BD119" s="52" t="str">
        <f ca="1">IF(AL119="","",IF(AL119=BD103,AL119,""))</f>
        <v/>
      </c>
      <c r="BE119" s="52" t="str">
        <f ca="1">IF(AL119="","",IF(AL119=BE103,AL119,""))</f>
        <v/>
      </c>
      <c r="BF119" s="52" t="str">
        <f ca="1">IF(AL119="","",IF(AL119=BF103,AL119,""))</f>
        <v/>
      </c>
      <c r="BG119" s="52" t="str">
        <f ca="1">IF(AL119="","",IF(AL119=BG103,AL119,""))</f>
        <v/>
      </c>
      <c r="BH119" s="52" t="str">
        <f ca="1">IF(AL119="","",IF(AL119=BH103,AL119,""))</f>
        <v/>
      </c>
      <c r="BI119" s="52" t="str">
        <f ca="1">IF(AL119="","",IF(AL119=BI103,AL119,""))</f>
        <v/>
      </c>
      <c r="BJ119" s="52" t="str">
        <f ca="1">IF(AL119="","",IF(AL119=BJ103,AL119,""))</f>
        <v/>
      </c>
      <c r="BK119" s="52" t="str">
        <f ca="1">IF(AM119="","",IF(AM119=BK103,AM119,""))</f>
        <v/>
      </c>
      <c r="BL119" s="52" t="str">
        <f ca="1">IF(AM119="","",IF(AM119=BL103,AM119,""))</f>
        <v/>
      </c>
      <c r="BM119" s="52" t="str">
        <f ca="1">IF(AM119="","",IF(AM119=BM103,AM119,""))</f>
        <v/>
      </c>
      <c r="BN119" s="52" t="str">
        <f ca="1">IF(AM119="","",IF(AM119=BN103,AM119,""))</f>
        <v/>
      </c>
      <c r="BO119" s="52" t="str">
        <f ca="1">IF(AM119="","",IF(AM119=BO103,AM119,""))</f>
        <v/>
      </c>
      <c r="BP119" s="52" t="str">
        <f ca="1">IF(AM119="","",IF(AM119=BP103,AM119,""))</f>
        <v/>
      </c>
      <c r="BQ119" s="52" t="str">
        <f ca="1">IF(AM119="","",IF(AM119=BQ103,AM119,""))</f>
        <v/>
      </c>
      <c r="BR119" s="52" t="str">
        <f ca="1">IF(AM119="","",IF(AM119=BR103,AM119,""))</f>
        <v/>
      </c>
      <c r="BS119" s="46"/>
      <c r="BT119" s="4" t="str">
        <f>IFERROR(IF(A103=0,A119/11,LEFT(A119,1)),"")</f>
        <v/>
      </c>
    </row>
    <row r="120" spans="1:72" s="4" customFormat="1" ht="10.5" x14ac:dyDescent="0.35">
      <c r="A120" s="8"/>
      <c r="B120" s="1"/>
      <c r="C120" s="1"/>
      <c r="AL120" s="140"/>
      <c r="AM120" s="140"/>
      <c r="AP120" s="47"/>
      <c r="AQ120" s="47"/>
      <c r="AR120" s="47"/>
      <c r="AS120" s="47"/>
      <c r="AT120" s="47"/>
      <c r="AU120" s="47"/>
      <c r="AV120" s="47"/>
      <c r="AW120" s="47"/>
      <c r="AX120" s="47"/>
      <c r="AY120" s="47"/>
      <c r="AZ120" s="153"/>
      <c r="BA120" s="153"/>
      <c r="BB120" s="47"/>
      <c r="BC120" s="9">
        <f ca="1">COUNTIF(BC104:BC119,BC103)</f>
        <v>1</v>
      </c>
      <c r="BD120" s="9">
        <f t="shared" ref="BD120:BR120" ca="1" si="41">COUNTIF(BD104:BD119,BD103)</f>
        <v>1</v>
      </c>
      <c r="BE120" s="9">
        <f t="shared" ca="1" si="41"/>
        <v>0</v>
      </c>
      <c r="BF120" s="9">
        <f t="shared" ca="1" si="41"/>
        <v>0</v>
      </c>
      <c r="BG120" s="9">
        <f t="shared" ca="1" si="41"/>
        <v>0</v>
      </c>
      <c r="BH120" s="9">
        <f t="shared" ca="1" si="41"/>
        <v>0</v>
      </c>
      <c r="BI120" s="9">
        <f t="shared" ca="1" si="41"/>
        <v>0</v>
      </c>
      <c r="BJ120" s="9">
        <f t="shared" ca="1" si="41"/>
        <v>0</v>
      </c>
      <c r="BK120" s="9">
        <f t="shared" ca="1" si="41"/>
        <v>0</v>
      </c>
      <c r="BL120" s="9">
        <f t="shared" ca="1" si="41"/>
        <v>0</v>
      </c>
      <c r="BM120" s="9">
        <f t="shared" ca="1" si="41"/>
        <v>0</v>
      </c>
      <c r="BN120" s="9">
        <f t="shared" ca="1" si="41"/>
        <v>0</v>
      </c>
      <c r="BO120" s="9">
        <f t="shared" ca="1" si="41"/>
        <v>0</v>
      </c>
      <c r="BP120" s="9">
        <f t="shared" ca="1" si="41"/>
        <v>0</v>
      </c>
      <c r="BQ120" s="9">
        <f t="shared" ca="1" si="41"/>
        <v>0</v>
      </c>
      <c r="BR120" s="9">
        <f t="shared" ca="1" si="41"/>
        <v>0</v>
      </c>
    </row>
    <row r="121" spans="1:72" s="4" customFormat="1" ht="11.65" x14ac:dyDescent="0.45">
      <c r="A121" s="8"/>
      <c r="B121" s="1"/>
      <c r="C121" s="1"/>
      <c r="D121" s="512" t="s">
        <v>180</v>
      </c>
      <c r="E121" s="552"/>
      <c r="F121" s="552"/>
      <c r="G121" s="552"/>
      <c r="H121" s="552"/>
      <c r="I121" s="553"/>
      <c r="J121" s="512" t="s">
        <v>181</v>
      </c>
      <c r="K121" s="552"/>
      <c r="L121" s="552"/>
      <c r="M121" s="552"/>
      <c r="N121" s="552"/>
      <c r="O121" s="552"/>
      <c r="P121" s="552"/>
      <c r="Q121" s="552"/>
      <c r="R121" s="552"/>
      <c r="S121" s="552"/>
      <c r="T121" s="552"/>
      <c r="U121" s="552"/>
      <c r="V121" s="552"/>
      <c r="W121" s="552"/>
      <c r="X121" s="552"/>
      <c r="Y121" s="552"/>
      <c r="Z121" s="552"/>
      <c r="AA121" s="553"/>
      <c r="AB121" s="512" t="s">
        <v>182</v>
      </c>
      <c r="AC121" s="552"/>
      <c r="AD121" s="552"/>
      <c r="AE121" s="552"/>
      <c r="AF121" s="552"/>
      <c r="AG121" s="552"/>
      <c r="AH121" s="552"/>
      <c r="AI121" s="552"/>
      <c r="AJ121" s="552"/>
      <c r="AK121" s="552"/>
      <c r="AL121" s="552"/>
      <c r="AM121" s="553"/>
      <c r="AP121" s="8"/>
      <c r="AQ121" s="8"/>
      <c r="AR121" s="8"/>
      <c r="AS121" s="8"/>
      <c r="AT121" s="8"/>
      <c r="AU121" s="8"/>
      <c r="AV121" s="8"/>
      <c r="AW121" s="8"/>
      <c r="AX121" s="8"/>
      <c r="AY121" s="8"/>
      <c r="AZ121" s="152"/>
      <c r="BA121" s="152"/>
      <c r="BB121" s="8"/>
      <c r="BC121" s="8"/>
      <c r="BD121" s="8"/>
      <c r="BE121" s="8"/>
    </row>
    <row r="122" spans="1:72" s="4" customFormat="1" ht="11.65" x14ac:dyDescent="0.45">
      <c r="A122" s="8" t="s">
        <v>55</v>
      </c>
      <c r="B122" s="1"/>
      <c r="C122" s="1"/>
      <c r="D122" s="12" t="s">
        <v>230</v>
      </c>
      <c r="E122" s="55" t="s">
        <v>183</v>
      </c>
      <c r="F122" s="55" t="s">
        <v>165</v>
      </c>
      <c r="G122" s="135" t="s">
        <v>166</v>
      </c>
      <c r="H122" s="554" t="s">
        <v>323</v>
      </c>
      <c r="I122" s="555"/>
      <c r="J122" s="512" t="s">
        <v>230</v>
      </c>
      <c r="K122" s="514"/>
      <c r="L122" s="512" t="s">
        <v>183</v>
      </c>
      <c r="M122" s="553"/>
      <c r="N122" s="580" t="s">
        <v>165</v>
      </c>
      <c r="O122" s="580"/>
      <c r="P122" s="580"/>
      <c r="Q122" s="580"/>
      <c r="R122" s="580"/>
      <c r="S122" s="580"/>
      <c r="T122" s="580" t="s">
        <v>166</v>
      </c>
      <c r="U122" s="580"/>
      <c r="V122" s="580"/>
      <c r="W122" s="580"/>
      <c r="X122" s="580"/>
      <c r="Y122" s="580"/>
      <c r="Z122" s="554" t="s">
        <v>323</v>
      </c>
      <c r="AA122" s="555"/>
      <c r="AB122" s="132"/>
      <c r="AC122" s="133"/>
      <c r="AD122" s="133"/>
      <c r="AE122" s="133"/>
      <c r="AF122" s="133"/>
      <c r="AG122" s="133"/>
      <c r="AH122" s="25"/>
      <c r="AI122" s="25"/>
      <c r="AJ122" s="25"/>
      <c r="AK122" s="25"/>
      <c r="AL122" s="141"/>
      <c r="AM122" s="142"/>
      <c r="AP122" s="8"/>
      <c r="AQ122" s="8"/>
      <c r="AR122" s="8"/>
      <c r="AS122" s="8"/>
      <c r="AT122" s="8"/>
      <c r="AU122" s="8"/>
      <c r="AV122" s="8"/>
      <c r="AW122" s="8"/>
      <c r="AX122" s="8"/>
      <c r="AY122" s="8"/>
      <c r="AZ122" s="152"/>
      <c r="BA122" s="152"/>
      <c r="BB122" s="8"/>
      <c r="BC122" s="8"/>
      <c r="BD122" s="8"/>
      <c r="BE122" s="8"/>
    </row>
    <row r="123" spans="1:72" s="4" customFormat="1" ht="15.95" customHeight="1" x14ac:dyDescent="0.45">
      <c r="A123" s="11">
        <f>IFERROR(VLOOKUP(A100,standards,3,FALSE),"-")</f>
        <v>3.45</v>
      </c>
      <c r="B123" s="1"/>
      <c r="C123" s="10">
        <v>1</v>
      </c>
      <c r="D123" s="19">
        <f ca="1">IFERROR(IF(VLOOKUP(C123,B104:AP119,41,FALSE)="",VLOOKUP(C123,B104:AP119,37,FALSE),VLOOKUP(C123,B104:AP119,37,FALSE)&amp;VLOOKUP(C123,B104:AP119,41,FALSE)),"")</f>
        <v>1</v>
      </c>
      <c r="E123" s="19">
        <f ca="1">IFERROR(IF(OR(AF104=98,AF104=99),AF104,IF(VLOOKUP(C123,B104:AG119,31,FALSE)=0,0,VLOOKUP(C123,B104:AG119,4,FALSE))),0)</f>
        <v>2</v>
      </c>
      <c r="F123" s="27" t="str">
        <f ca="1">IFERROR(VLOOKUP(E123,$E104:$F119,2,FALSE),"")</f>
        <v>LANE William</v>
      </c>
      <c r="G123" s="18" t="str">
        <f t="shared" ref="G123:G130" ca="1" si="42">IFERROR(VLOOKUP(E123,teamlookup,5,FALSE),"-")</f>
        <v>Sheff+D</v>
      </c>
      <c r="H123" s="542">
        <f ca="1">IFERROR(VLOOKUP(E123,E104:AG119,28,FALSE),0)</f>
        <v>3</v>
      </c>
      <c r="I123" s="543"/>
      <c r="J123" s="550" t="str">
        <f ca="1">IFERROR(IF(VLOOKUP(C123,C104:AT119,44,FALSE)="",VLOOKUP(C123,C104:AT119,37,FALSE),VLOOKUP(C123,C104:AT119,37,FALSE)&amp;VLOOKUP(C123,C104:AT119,44,FALSE)),"")</f>
        <v/>
      </c>
      <c r="K123" s="551"/>
      <c r="L123" s="550" t="str">
        <f ca="1">IFERROR(IF(VLOOKUP(C123,C104:AG119,30,FALSE)=0,"",VLOOKUP(C123,C104:AG119,3,FALSE)),"")</f>
        <v/>
      </c>
      <c r="M123" s="551"/>
      <c r="N123" s="544" t="str">
        <f ca="1">IFERROR(VLOOKUP(L123,E104:F119,2,FALSE),"")</f>
        <v/>
      </c>
      <c r="O123" s="545"/>
      <c r="P123" s="545"/>
      <c r="Q123" s="545"/>
      <c r="R123" s="545"/>
      <c r="S123" s="546"/>
      <c r="T123" s="544" t="str">
        <f t="shared" ref="T123:T130" ca="1" si="43">IFERROR(VLOOKUP(L123,teamlookup,5,FALSE),"-")</f>
        <v>-</v>
      </c>
      <c r="U123" s="545"/>
      <c r="V123" s="545"/>
      <c r="W123" s="545"/>
      <c r="X123" s="545"/>
      <c r="Y123" s="546"/>
      <c r="Z123" s="542">
        <f ca="1">IFERROR(VLOOKUP(L123,E104:AG119,28,FALSE),0)</f>
        <v>0</v>
      </c>
      <c r="AA123" s="543"/>
      <c r="AB123" s="28"/>
      <c r="AC123" s="29"/>
      <c r="AD123" s="29"/>
      <c r="AE123" s="29"/>
      <c r="AF123" s="29"/>
      <c r="AG123" s="29"/>
      <c r="AH123" s="29"/>
      <c r="AI123" s="29"/>
      <c r="AJ123" s="29"/>
      <c r="AK123" s="29"/>
      <c r="AL123" s="143"/>
      <c r="AM123" s="144"/>
      <c r="AP123" s="8"/>
      <c r="AQ123" s="8"/>
      <c r="AR123" s="53"/>
      <c r="AS123" s="8"/>
      <c r="AT123" s="8"/>
      <c r="AU123" s="8"/>
      <c r="AV123" s="8"/>
      <c r="AW123" s="8"/>
      <c r="AX123" s="8"/>
      <c r="AY123" s="8"/>
      <c r="AZ123" s="152"/>
      <c r="BA123" s="152"/>
      <c r="BB123" s="8"/>
      <c r="BC123" s="8"/>
      <c r="BD123" s="8"/>
      <c r="BE123" s="8"/>
    </row>
    <row r="124" spans="1:72" s="4" customFormat="1" ht="15.95" customHeight="1" x14ac:dyDescent="0.45">
      <c r="A124" s="11">
        <f>IFERROR(VLOOKUP(A100,standards,4,FALSE),"-")</f>
        <v>3.2</v>
      </c>
      <c r="B124" s="1"/>
      <c r="C124" s="10">
        <v>2</v>
      </c>
      <c r="D124" s="19">
        <f ca="1">IFERROR(IF(VLOOKUP(C124,B104:AP119,41,FALSE)="",VLOOKUP(C124,B104:AP119,37,FALSE),VLOOKUP(C124,B104:AP119,37,FALSE)&amp;VLOOKUP(C124,B104:AP119,41,FALSE)),"")</f>
        <v>2</v>
      </c>
      <c r="E124" s="19">
        <f ca="1">IFERROR(IF(VLOOKUP(C124,B104:AG119,31,FALSE)=0,0,VLOOKUP(C124,B104:AG119,4,FALSE)),"")</f>
        <v>3</v>
      </c>
      <c r="F124" s="27" t="str">
        <f ca="1">IFERROR(VLOOKUP(E124,$E104:$F119,2,FALSE),"")</f>
        <v>BOWSHER James</v>
      </c>
      <c r="G124" s="18" t="str">
        <f t="shared" ca="1" si="42"/>
        <v>York</v>
      </c>
      <c r="H124" s="542">
        <f ca="1">IFERROR(VLOOKUP(E124,E104:AG119,28,FALSE),0)</f>
        <v>2.1</v>
      </c>
      <c r="I124" s="543"/>
      <c r="J124" s="550" t="str">
        <f ca="1">IFERROR(IF(VLOOKUP(C124,C104:AT119,44,FALSE)="",VLOOKUP(C124,C104:AT119,37,FALSE),VLOOKUP(C124,C104:AT119,37,FALSE)&amp;VLOOKUP(C124,C104:AT119,44,FALSE)),"")</f>
        <v/>
      </c>
      <c r="K124" s="551"/>
      <c r="L124" s="550" t="str">
        <f ca="1">IFERROR(IF(VLOOKUP(C124,C104:AG119,30,FALSE)=0,"",VLOOKUP(C124,C104:AG119,3,FALSE)),"")</f>
        <v/>
      </c>
      <c r="M124" s="551"/>
      <c r="N124" s="544" t="str">
        <f ca="1">IFERROR(VLOOKUP(L124,E104:F119,2,FALSE),"")</f>
        <v/>
      </c>
      <c r="O124" s="545"/>
      <c r="P124" s="545"/>
      <c r="Q124" s="545"/>
      <c r="R124" s="545"/>
      <c r="S124" s="546"/>
      <c r="T124" s="544" t="str">
        <f t="shared" ca="1" si="43"/>
        <v>-</v>
      </c>
      <c r="U124" s="545"/>
      <c r="V124" s="545"/>
      <c r="W124" s="545"/>
      <c r="X124" s="545"/>
      <c r="Y124" s="546"/>
      <c r="Z124" s="542">
        <f ca="1">IFERROR(VLOOKUP(L124,E104:AG119,28,FALSE),0)</f>
        <v>0</v>
      </c>
      <c r="AA124" s="543"/>
      <c r="AB124" s="134"/>
      <c r="AC124" s="20"/>
      <c r="AD124" s="20"/>
      <c r="AE124" s="20"/>
      <c r="AF124" s="20"/>
      <c r="AG124" s="20"/>
      <c r="AH124" s="20"/>
      <c r="AI124" s="20"/>
      <c r="AJ124" s="20"/>
      <c r="AK124" s="20"/>
      <c r="AL124" s="145"/>
      <c r="AM124" s="146"/>
      <c r="AP124" s="8"/>
      <c r="AQ124" s="8"/>
      <c r="AR124" s="8"/>
      <c r="AS124" s="8"/>
      <c r="AT124" s="8"/>
      <c r="AU124" s="8"/>
      <c r="AV124" s="8"/>
      <c r="AW124" s="8"/>
      <c r="AX124" s="8"/>
      <c r="AY124" s="8"/>
      <c r="AZ124" s="152"/>
      <c r="BA124" s="152"/>
      <c r="BB124" s="8"/>
      <c r="BC124" s="8"/>
      <c r="BD124" s="8"/>
      <c r="BE124" s="8"/>
    </row>
    <row r="125" spans="1:72" s="4" customFormat="1" ht="15.95" customHeight="1" x14ac:dyDescent="0.45">
      <c r="A125" s="11">
        <f>IFERROR(VLOOKUP(A100,standards,5,FALSE),"-")</f>
        <v>2.85</v>
      </c>
      <c r="B125" s="1"/>
      <c r="C125" s="10">
        <v>3</v>
      </c>
      <c r="D125" s="19" t="str">
        <f ca="1">IFERROR(IF(VLOOKUP(C125,B104:AP119,41,FALSE)="",VLOOKUP(C125,B104:AP119,37,FALSE),VLOOKUP(C125,B104:AP119,37,FALSE)&amp;VLOOKUP(C125,B104:AP119,41,FALSE)),"")</f>
        <v/>
      </c>
      <c r="E125" s="19" t="str">
        <f ca="1">IFERROR(IF(VLOOKUP(C125,B104:AG119,31,FALSE)=0,0,VLOOKUP(C125,B104:AG119,4,FALSE)),"")</f>
        <v/>
      </c>
      <c r="F125" s="27" t="str">
        <f ca="1">IFERROR(VLOOKUP(E125,$E104:$F119,2,FALSE),"")</f>
        <v/>
      </c>
      <c r="G125" s="18" t="str">
        <f t="shared" ca="1" si="42"/>
        <v>-</v>
      </c>
      <c r="H125" s="542">
        <f ca="1">IFERROR(VLOOKUP(E125,E104:AG119,28,FALSE),0)</f>
        <v>0</v>
      </c>
      <c r="I125" s="543"/>
      <c r="J125" s="550" t="str">
        <f ca="1">IFERROR(IF(VLOOKUP(C125,C104:AT119,44,FALSE)="",VLOOKUP(C125,C104:AT119,37,FALSE),VLOOKUP(C125,C104:AT119,37,FALSE)&amp;VLOOKUP(C125,C104:AT119,44,FALSE)),"")</f>
        <v/>
      </c>
      <c r="K125" s="551"/>
      <c r="L125" s="550" t="str">
        <f ca="1">IFERROR(IF(VLOOKUP(C125,C104:AG119,30,FALSE)=0,"",VLOOKUP(C125,C104:AG119,3,FALSE)),"")</f>
        <v/>
      </c>
      <c r="M125" s="551"/>
      <c r="N125" s="544" t="str">
        <f ca="1">IFERROR(VLOOKUP(L125,E104:F119,2,FALSE),"")</f>
        <v/>
      </c>
      <c r="O125" s="545"/>
      <c r="P125" s="545"/>
      <c r="Q125" s="545"/>
      <c r="R125" s="545"/>
      <c r="S125" s="546"/>
      <c r="T125" s="544" t="str">
        <f t="shared" ca="1" si="43"/>
        <v>-</v>
      </c>
      <c r="U125" s="545"/>
      <c r="V125" s="545"/>
      <c r="W125" s="545"/>
      <c r="X125" s="545"/>
      <c r="Y125" s="546"/>
      <c r="Z125" s="542">
        <f ca="1">IFERROR(VLOOKUP(L125,E104:AG119,28,FALSE),0)</f>
        <v>0</v>
      </c>
      <c r="AA125" s="543"/>
      <c r="AB125" s="134"/>
      <c r="AC125" s="20"/>
      <c r="AD125" s="20"/>
      <c r="AE125" s="20"/>
      <c r="AF125" s="20"/>
      <c r="AG125" s="20"/>
      <c r="AH125" s="20"/>
      <c r="AI125" s="20"/>
      <c r="AJ125" s="20"/>
      <c r="AK125" s="20"/>
      <c r="AL125" s="145"/>
      <c r="AM125" s="146"/>
      <c r="AP125" s="8"/>
      <c r="AQ125" s="8"/>
      <c r="AR125" s="8"/>
      <c r="AS125" s="8"/>
      <c r="AT125" s="8"/>
      <c r="AU125" s="8"/>
      <c r="AV125" s="8"/>
      <c r="AW125" s="8"/>
      <c r="AX125" s="8"/>
      <c r="AY125" s="8"/>
      <c r="AZ125" s="152"/>
      <c r="BA125" s="152"/>
      <c r="BB125" s="8"/>
      <c r="BC125" s="8"/>
      <c r="BD125" s="8"/>
      <c r="BE125" s="8"/>
    </row>
    <row r="126" spans="1:72" s="4" customFormat="1" ht="15.95" customHeight="1" x14ac:dyDescent="0.45">
      <c r="A126" s="11">
        <f>IFERROR(VLOOKUP(A100,AAA!A:F,6,FALSE),"-")</f>
        <v>2.4</v>
      </c>
      <c r="B126" s="1"/>
      <c r="C126" s="10">
        <v>4</v>
      </c>
      <c r="D126" s="19" t="str">
        <f ca="1">IFERROR(IF(VLOOKUP(C126,B104:AP119,41,FALSE)="",VLOOKUP(C126,B104:AP119,37,FALSE),VLOOKUP(C126,B104:AP119,37,FALSE)&amp;VLOOKUP(C126,B104:AP119,41,FALSE)),"")</f>
        <v/>
      </c>
      <c r="E126" s="19" t="str">
        <f ca="1">IFERROR(IF(VLOOKUP(C126,B104:AG119,31,FALSE)=0,0,VLOOKUP(C126,B104:AG119,4,FALSE)),"")</f>
        <v/>
      </c>
      <c r="F126" s="27" t="str">
        <f ca="1">IFERROR(VLOOKUP(E126,$E104:$F119,2,FALSE),"")</f>
        <v/>
      </c>
      <c r="G126" s="18" t="str">
        <f t="shared" ca="1" si="42"/>
        <v>-</v>
      </c>
      <c r="H126" s="542">
        <f ca="1">IFERROR(VLOOKUP(E126,E104:AG119,28,FALSE),0)</f>
        <v>0</v>
      </c>
      <c r="I126" s="543"/>
      <c r="J126" s="550" t="str">
        <f ca="1">IFERROR(IF(VLOOKUP(C126,C104:AT119,44,FALSE)="",VLOOKUP(C126,C104:AT119,37,FALSE),VLOOKUP(C126,C104:AT119,37,FALSE)&amp;VLOOKUP(C126,C104:AT119,44,FALSE)),"")</f>
        <v/>
      </c>
      <c r="K126" s="551"/>
      <c r="L126" s="550" t="str">
        <f ca="1">IFERROR(IF(VLOOKUP(C126,C104:AG119,30,FALSE)=0,"",VLOOKUP(C126,C104:AG119,3,FALSE)),"")</f>
        <v/>
      </c>
      <c r="M126" s="551"/>
      <c r="N126" s="544" t="str">
        <f ca="1">IFERROR(VLOOKUP(L126,E104:F119,2,FALSE),"")</f>
        <v/>
      </c>
      <c r="O126" s="545"/>
      <c r="P126" s="545"/>
      <c r="Q126" s="545"/>
      <c r="R126" s="545"/>
      <c r="S126" s="546"/>
      <c r="T126" s="544" t="str">
        <f t="shared" ca="1" si="43"/>
        <v>-</v>
      </c>
      <c r="U126" s="545"/>
      <c r="V126" s="545"/>
      <c r="W126" s="545"/>
      <c r="X126" s="545"/>
      <c r="Y126" s="546"/>
      <c r="Z126" s="542">
        <f ca="1">IFERROR(VLOOKUP(L126,E104:AG119,28,FALSE),0)</f>
        <v>0</v>
      </c>
      <c r="AA126" s="543"/>
      <c r="AB126" s="24"/>
      <c r="AC126" s="25"/>
      <c r="AD126" s="25"/>
      <c r="AE126" s="25"/>
      <c r="AF126" s="25"/>
      <c r="AG126" s="25"/>
      <c r="AH126" s="25"/>
      <c r="AI126" s="25"/>
      <c r="AJ126" s="25"/>
      <c r="AK126" s="25"/>
      <c r="AL126" s="141"/>
      <c r="AM126" s="142"/>
      <c r="AP126" s="8"/>
      <c r="AQ126" s="8"/>
      <c r="AR126" s="8"/>
      <c r="AS126" s="8"/>
      <c r="AT126" s="8"/>
      <c r="AU126" s="8"/>
      <c r="AV126" s="8"/>
      <c r="AW126" s="8"/>
      <c r="AX126" s="8"/>
      <c r="AY126" s="8"/>
      <c r="AZ126" s="152"/>
      <c r="BA126" s="152"/>
      <c r="BB126" s="8"/>
      <c r="BC126" s="8"/>
      <c r="BD126" s="8"/>
      <c r="BE126" s="8"/>
    </row>
    <row r="127" spans="1:72" s="4" customFormat="1" ht="15.95" customHeight="1" x14ac:dyDescent="0.45">
      <c r="A127" s="8"/>
      <c r="B127" s="1"/>
      <c r="C127" s="10">
        <v>5</v>
      </c>
      <c r="D127" s="19" t="str">
        <f ca="1">IFERROR(IF(VLOOKUP(C127,B104:AP119,41,FALSE)="",VLOOKUP(C127,B104:AP119,37,FALSE),VLOOKUP(C127,B104:AP119,37,FALSE)&amp;VLOOKUP(C127,B104:AP119,41,FALSE)),"")</f>
        <v/>
      </c>
      <c r="E127" s="19" t="str">
        <f ca="1">IFERROR(IF(VLOOKUP(C127,B104:AG119,31,FALSE)=0,0,VLOOKUP(C127,B104:AG119,4,FALSE)),"")</f>
        <v/>
      </c>
      <c r="F127" s="27" t="str">
        <f ca="1">IFERROR(VLOOKUP(E127,$E104:$F119,2,FALSE),"")</f>
        <v/>
      </c>
      <c r="G127" s="18" t="str">
        <f t="shared" ca="1" si="42"/>
        <v>-</v>
      </c>
      <c r="H127" s="542">
        <f ca="1">IFERROR(VLOOKUP(E127,E104:AG119,28,FALSE),0)</f>
        <v>0</v>
      </c>
      <c r="I127" s="543"/>
      <c r="J127" s="550" t="str">
        <f ca="1">IFERROR(IF(VLOOKUP(C127,C104:AT119,44,FALSE)="",VLOOKUP(C127,C104:AT119,37,FALSE),VLOOKUP(C127,C104:AT119,37,FALSE)&amp;VLOOKUP(C127,C104:AT119,44,FALSE)),"")</f>
        <v/>
      </c>
      <c r="K127" s="551"/>
      <c r="L127" s="550" t="str">
        <f ca="1">IFERROR(IF(VLOOKUP(C127,C104:AG119,30,FALSE)=0,"",VLOOKUP(C127,C104:AG119,3,FALSE)),"")</f>
        <v/>
      </c>
      <c r="M127" s="551"/>
      <c r="N127" s="544" t="str">
        <f ca="1">IFERROR(VLOOKUP(L127,E104:F119,2,FALSE),"")</f>
        <v/>
      </c>
      <c r="O127" s="545"/>
      <c r="P127" s="545"/>
      <c r="Q127" s="545"/>
      <c r="R127" s="545"/>
      <c r="S127" s="546"/>
      <c r="T127" s="544" t="str">
        <f t="shared" ca="1" si="43"/>
        <v>-</v>
      </c>
      <c r="U127" s="545"/>
      <c r="V127" s="545"/>
      <c r="W127" s="545"/>
      <c r="X127" s="545"/>
      <c r="Y127" s="546"/>
      <c r="Z127" s="542">
        <f ca="1">IFERROR(VLOOKUP(L127,E104:AG119,28,FALSE),0)</f>
        <v>0</v>
      </c>
      <c r="AA127" s="543"/>
      <c r="AB127" s="28"/>
      <c r="AC127" s="29"/>
      <c r="AD127" s="29"/>
      <c r="AE127" s="29"/>
      <c r="AF127" s="29"/>
      <c r="AG127" s="29"/>
      <c r="AH127" s="29"/>
      <c r="AI127" s="29"/>
      <c r="AJ127" s="29"/>
      <c r="AK127" s="29"/>
      <c r="AL127" s="143"/>
      <c r="AM127" s="144"/>
      <c r="AP127" s="8"/>
      <c r="AQ127" s="8"/>
      <c r="AR127" s="8"/>
      <c r="AS127" s="8"/>
      <c r="AT127" s="8"/>
      <c r="AU127" s="8"/>
      <c r="AV127" s="8"/>
      <c r="AW127" s="8"/>
      <c r="AX127" s="8"/>
      <c r="AY127" s="8"/>
      <c r="AZ127" s="152"/>
      <c r="BA127" s="152"/>
      <c r="BB127" s="8"/>
      <c r="BC127" s="8"/>
      <c r="BD127" s="8"/>
      <c r="BE127" s="8"/>
    </row>
    <row r="128" spans="1:72" s="4" customFormat="1" ht="15.95" customHeight="1" x14ac:dyDescent="0.45">
      <c r="A128" s="8" t="s">
        <v>204</v>
      </c>
      <c r="B128" s="1"/>
      <c r="C128" s="10">
        <v>6</v>
      </c>
      <c r="D128" s="19" t="str">
        <f ca="1">IFERROR(IF(VLOOKUP(C128,B104:AP119,41,FALSE)="",VLOOKUP(C128,B104:AP119,37,FALSE),VLOOKUP(C128,B104:AP119,37,FALSE)&amp;VLOOKUP(C128,B104:AP119,41,FALSE)),"")</f>
        <v/>
      </c>
      <c r="E128" s="19" t="str">
        <f ca="1">IFERROR(IF(VLOOKUP(C128,B104:AG119,31,FALSE)=0,0,VLOOKUP(C128,B104:AG119,4,FALSE)),"")</f>
        <v/>
      </c>
      <c r="F128" s="27" t="str">
        <f ca="1">IFERROR(VLOOKUP(E128,$E104:$F119,2,FALSE),"")</f>
        <v/>
      </c>
      <c r="G128" s="18" t="str">
        <f t="shared" ca="1" si="42"/>
        <v>-</v>
      </c>
      <c r="H128" s="542">
        <f ca="1">IFERROR(VLOOKUP(E128,E104:AG119,28,FALSE),0)</f>
        <v>0</v>
      </c>
      <c r="I128" s="543"/>
      <c r="J128" s="550" t="str">
        <f ca="1">IFERROR(IF(VLOOKUP(C128,C104:AT119,44,FALSE)="",VLOOKUP(C128,C104:AT119,37,FALSE),VLOOKUP(C128,C104:AT119,37,FALSE)&amp;VLOOKUP(C128,C104:AT119,44,FALSE)),"")</f>
        <v/>
      </c>
      <c r="K128" s="551"/>
      <c r="L128" s="550" t="str">
        <f ca="1">IFERROR(IF(VLOOKUP(C128,C104:AG119,30,FALSE)=0,"",VLOOKUP(C128,C104:AG119,3,FALSE)),"")</f>
        <v/>
      </c>
      <c r="M128" s="551"/>
      <c r="N128" s="544" t="str">
        <f ca="1">IFERROR(VLOOKUP(L128,E104:F119,2,FALSE),"")</f>
        <v/>
      </c>
      <c r="O128" s="545"/>
      <c r="P128" s="545"/>
      <c r="Q128" s="545"/>
      <c r="R128" s="545"/>
      <c r="S128" s="546"/>
      <c r="T128" s="544" t="str">
        <f t="shared" ca="1" si="43"/>
        <v>-</v>
      </c>
      <c r="U128" s="545"/>
      <c r="V128" s="545"/>
      <c r="W128" s="545"/>
      <c r="X128" s="545"/>
      <c r="Y128" s="546"/>
      <c r="Z128" s="542">
        <f ca="1">IFERROR(VLOOKUP(L128,E104:AG119,28,FALSE),0)</f>
        <v>0</v>
      </c>
      <c r="AA128" s="543"/>
      <c r="AB128" s="512" t="s">
        <v>185</v>
      </c>
      <c r="AC128" s="552"/>
      <c r="AD128" s="552"/>
      <c r="AE128" s="552"/>
      <c r="AF128" s="552"/>
      <c r="AG128" s="552"/>
      <c r="AH128" s="552"/>
      <c r="AI128" s="552"/>
      <c r="AJ128" s="552"/>
      <c r="AK128" s="552"/>
      <c r="AL128" s="552"/>
      <c r="AM128" s="553"/>
      <c r="AP128" s="8"/>
      <c r="AQ128" s="8"/>
      <c r="AR128" s="8"/>
      <c r="AS128" s="8"/>
      <c r="AT128" s="8"/>
      <c r="AU128" s="8"/>
      <c r="AV128" s="8"/>
      <c r="AW128" s="8"/>
      <c r="AX128" s="8"/>
      <c r="AY128" s="8"/>
      <c r="AZ128" s="152"/>
      <c r="BA128" s="152"/>
      <c r="BB128" s="8"/>
      <c r="BC128" s="8"/>
      <c r="BD128" s="8"/>
      <c r="BE128" s="8"/>
    </row>
    <row r="129" spans="1:72" s="4" customFormat="1" ht="15.95" customHeight="1" x14ac:dyDescent="0.45">
      <c r="A129" s="8">
        <f>IFERROR(VLOOKUP(A100,records,5,FALSE),"")</f>
        <v>4.32</v>
      </c>
      <c r="B129" s="1"/>
      <c r="C129" s="10">
        <v>7</v>
      </c>
      <c r="D129" s="19" t="str">
        <f ca="1">IFERROR(IF(VLOOKUP(C129,B104:AP119,41,FALSE)="",VLOOKUP(C129,B104:AP119,37,FALSE),VLOOKUP(C129,B104:AP119,37,FALSE)&amp;VLOOKUP(C129,B104:AP119,41,FALSE)),"")</f>
        <v/>
      </c>
      <c r="E129" s="19" t="str">
        <f ca="1">IFERROR(IF(VLOOKUP(C129,B104:AG119,31,FALSE)=0,0,VLOOKUP(C129,B104:AG119,4,FALSE)),"")</f>
        <v/>
      </c>
      <c r="F129" s="27" t="str">
        <f ca="1">IFERROR(VLOOKUP(E129,$E104:$F119,2,FALSE),"")</f>
        <v/>
      </c>
      <c r="G129" s="18" t="str">
        <f t="shared" ca="1" si="42"/>
        <v>-</v>
      </c>
      <c r="H129" s="542">
        <f ca="1">IFERROR(VLOOKUP(E129,E104:AG119,28,FALSE),0)</f>
        <v>0</v>
      </c>
      <c r="I129" s="543"/>
      <c r="J129" s="550" t="str">
        <f ca="1">IFERROR(IF(VLOOKUP(C129,C104:AT119,44,FALSE)="",VLOOKUP(C129,C104:AT119,37,FALSE),VLOOKUP(C129,C104:AT119,37,FALSE)&amp;VLOOKUP(C129,C104:AT119,44,FALSE)),"")</f>
        <v/>
      </c>
      <c r="K129" s="551"/>
      <c r="L129" s="550" t="str">
        <f ca="1">IFERROR(IF(VLOOKUP(C129,C104:AG119,30,FALSE)=0,"",VLOOKUP(C129,C104:AG119,3,FALSE)),"")</f>
        <v/>
      </c>
      <c r="M129" s="551"/>
      <c r="N129" s="544" t="str">
        <f ca="1">IFERROR(VLOOKUP(L129,E104:F119,2,FALSE),"")</f>
        <v/>
      </c>
      <c r="O129" s="545"/>
      <c r="P129" s="545"/>
      <c r="Q129" s="545"/>
      <c r="R129" s="545"/>
      <c r="S129" s="546"/>
      <c r="T129" s="544" t="str">
        <f t="shared" ca="1" si="43"/>
        <v>-</v>
      </c>
      <c r="U129" s="545"/>
      <c r="V129" s="545"/>
      <c r="W129" s="545"/>
      <c r="X129" s="545"/>
      <c r="Y129" s="546"/>
      <c r="Z129" s="542">
        <f ca="1">IFERROR(VLOOKUP(L129,E104:AG119,28,FALSE),0)</f>
        <v>0</v>
      </c>
      <c r="AA129" s="543"/>
      <c r="AB129" s="24"/>
      <c r="AC129" s="25"/>
      <c r="AD129" s="25"/>
      <c r="AE129" s="25"/>
      <c r="AF129" s="25"/>
      <c r="AG129" s="25"/>
      <c r="AH129" s="25"/>
      <c r="AI129" s="25"/>
      <c r="AJ129" s="25"/>
      <c r="AK129" s="25"/>
      <c r="AL129" s="141"/>
      <c r="AM129" s="142"/>
      <c r="AP129" s="8"/>
      <c r="AQ129" s="8"/>
      <c r="AR129" s="8"/>
      <c r="AS129" s="8"/>
      <c r="AT129" s="8"/>
      <c r="AU129" s="8"/>
      <c r="AV129" s="8"/>
      <c r="AW129" s="8"/>
      <c r="AX129" s="8"/>
      <c r="AY129" s="8"/>
      <c r="AZ129" s="152"/>
      <c r="BA129" s="152"/>
      <c r="BB129" s="8"/>
      <c r="BC129" s="8"/>
      <c r="BD129" s="8"/>
      <c r="BE129" s="8"/>
    </row>
    <row r="130" spans="1:72" s="4" customFormat="1" ht="15.95" customHeight="1" x14ac:dyDescent="0.45">
      <c r="A130" s="8"/>
      <c r="B130" s="1"/>
      <c r="C130" s="10">
        <v>8</v>
      </c>
      <c r="D130" s="19" t="str">
        <f ca="1">IFERROR(IF(VLOOKUP(C130,B104:AP119,41,FALSE)="",VLOOKUP(C130,B104:AP119,37,FALSE),VLOOKUP(C130,B104:AP119,37,FALSE)&amp;VLOOKUP(C130,B104:AP119,41,FALSE)),"")</f>
        <v/>
      </c>
      <c r="E130" s="19" t="str">
        <f ca="1">IFERROR(IF(VLOOKUP(C130,B104:AG119,31,FALSE)=0,0,VLOOKUP(C130,B104:AG119,4,FALSE)),"")</f>
        <v/>
      </c>
      <c r="F130" s="27" t="str">
        <f ca="1">IFERROR(VLOOKUP(E130,$E104:$F119,2,FALSE),"")</f>
        <v/>
      </c>
      <c r="G130" s="18" t="str">
        <f t="shared" ca="1" si="42"/>
        <v>-</v>
      </c>
      <c r="H130" s="542">
        <f ca="1">IFERROR(VLOOKUP(E130,E104:AG119,28,FALSE),0)</f>
        <v>0</v>
      </c>
      <c r="I130" s="543"/>
      <c r="J130" s="550" t="str">
        <f ca="1">IFERROR(IF(VLOOKUP(C130,C104:AT119,44,FALSE)="",VLOOKUP(C130,C104:AT119,37,FALSE),VLOOKUP(C130,C104:AT119,37,FALSE)&amp;VLOOKUP(C130,C104:AT119,44,FALSE)),"")</f>
        <v/>
      </c>
      <c r="K130" s="551"/>
      <c r="L130" s="550" t="str">
        <f ca="1">IFERROR(IF(VLOOKUP(C130,C104:AG119,30,FALSE)=0,"",VLOOKUP(C130,C104:AG119,3,FALSE)),"")</f>
        <v/>
      </c>
      <c r="M130" s="551"/>
      <c r="N130" s="544" t="str">
        <f ca="1">IFERROR(VLOOKUP(L130,E104:F119,2,FALSE),"")</f>
        <v/>
      </c>
      <c r="O130" s="545"/>
      <c r="P130" s="545"/>
      <c r="Q130" s="545"/>
      <c r="R130" s="545"/>
      <c r="S130" s="546"/>
      <c r="T130" s="544" t="str">
        <f t="shared" ca="1" si="43"/>
        <v>-</v>
      </c>
      <c r="U130" s="545"/>
      <c r="V130" s="545"/>
      <c r="W130" s="545"/>
      <c r="X130" s="545"/>
      <c r="Y130" s="546"/>
      <c r="Z130" s="542">
        <f ca="1">IFERROR(VLOOKUP(L130,E104:AG119,28,FALSE),0)</f>
        <v>0</v>
      </c>
      <c r="AA130" s="543"/>
      <c r="AB130" s="28"/>
      <c r="AC130" s="29"/>
      <c r="AD130" s="29"/>
      <c r="AE130" s="29"/>
      <c r="AF130" s="29"/>
      <c r="AG130" s="29"/>
      <c r="AH130" s="29"/>
      <c r="AI130" s="29"/>
      <c r="AJ130" s="29"/>
      <c r="AK130" s="29"/>
      <c r="AL130" s="143"/>
      <c r="AM130" s="144"/>
      <c r="AP130" s="8"/>
      <c r="AQ130" s="8"/>
      <c r="AR130" s="8"/>
      <c r="AS130" s="8"/>
      <c r="AT130" s="8"/>
      <c r="AU130" s="8"/>
      <c r="AV130" s="8"/>
      <c r="AW130" s="8"/>
      <c r="AX130" s="8"/>
      <c r="AY130" s="8"/>
      <c r="AZ130" s="152"/>
      <c r="BA130" s="152"/>
      <c r="BB130" s="8"/>
      <c r="BC130" s="8"/>
      <c r="BD130" s="8"/>
      <c r="BE130" s="8"/>
    </row>
    <row r="131" spans="1:72" s="4" customFormat="1" ht="21" x14ac:dyDescent="0.45">
      <c r="A131" s="2" t="str">
        <f>MatchDay!$U$6</f>
        <v>X</v>
      </c>
      <c r="B131" s="10" t="str">
        <f>IFERROR(VLOOKUP($A132,fh,2,FALSE),"")</f>
        <v/>
      </c>
      <c r="C131" s="10" t="str">
        <f>IFERROR(VLOOKUP($A132,fdistance,3,FALSE),"")</f>
        <v/>
      </c>
      <c r="D131" s="502" t="s">
        <v>324</v>
      </c>
      <c r="E131" s="503"/>
      <c r="F131" s="503"/>
      <c r="G131" s="503"/>
      <c r="H131" s="515" t="s">
        <v>187</v>
      </c>
      <c r="I131" s="516"/>
      <c r="J131" s="516"/>
      <c r="K131" s="516"/>
      <c r="L131" s="516"/>
      <c r="M131" s="517"/>
      <c r="N131" s="518" t="str">
        <f>MatchDay!$C$2&amp;" "&amp;MatchDay!$C$3&amp;" "&amp;MatchDay!$C$4</f>
        <v>LOWER NORTH East 1</v>
      </c>
      <c r="O131" s="519"/>
      <c r="P131" s="519"/>
      <c r="Q131" s="519"/>
      <c r="R131" s="519"/>
      <c r="S131" s="519"/>
      <c r="T131" s="519"/>
      <c r="U131" s="519"/>
      <c r="V131" s="519"/>
      <c r="W131" s="519"/>
      <c r="X131" s="519"/>
      <c r="Y131" s="519"/>
      <c r="Z131" s="519"/>
      <c r="AA131" s="519"/>
      <c r="AB131" s="519"/>
      <c r="AC131" s="519"/>
      <c r="AD131" s="519"/>
      <c r="AE131" s="519"/>
      <c r="AF131" s="519"/>
      <c r="AG131" s="519"/>
      <c r="AH131" s="519"/>
      <c r="AI131" s="519"/>
      <c r="AJ131" s="519"/>
      <c r="AK131" s="519"/>
      <c r="AL131" s="519"/>
      <c r="AM131" s="520"/>
      <c r="AP131" s="8"/>
      <c r="AT131" s="8"/>
      <c r="AU131" s="8"/>
      <c r="AV131" s="8"/>
      <c r="AW131" s="8"/>
      <c r="AX131" s="8"/>
      <c r="AY131" s="8"/>
      <c r="AZ131" s="152"/>
      <c r="BA131" s="152"/>
      <c r="BB131" s="8"/>
      <c r="BC131" s="8"/>
      <c r="BD131" s="8"/>
      <c r="BE131" s="8"/>
    </row>
    <row r="132" spans="1:72" s="4" customFormat="1" ht="15.75" customHeight="1" x14ac:dyDescent="0.45">
      <c r="A132" s="1" t="str">
        <f>IFERROR(IF(LEFT(MatchDay!$C$2,1)="L","L"&amp;A134,"U"&amp;A134),"")</f>
        <v>LFH05</v>
      </c>
      <c r="B132" s="8">
        <v>155</v>
      </c>
      <c r="D132" s="504" t="s">
        <v>188</v>
      </c>
      <c r="E132" s="505"/>
      <c r="F132" s="513" t="str">
        <f>IFERROR(UPPER(VLOOKUP(A133,teamlookup,6,FALSE)),"")</f>
        <v/>
      </c>
      <c r="G132" s="514"/>
      <c r="H132" s="504" t="s">
        <v>201</v>
      </c>
      <c r="I132" s="510"/>
      <c r="J132" s="505"/>
      <c r="K132" s="512" t="str">
        <f>MatchDay!$C$8</f>
        <v>@ Doncaster</v>
      </c>
      <c r="L132" s="513"/>
      <c r="M132" s="513"/>
      <c r="N132" s="513"/>
      <c r="O132" s="513"/>
      <c r="P132" s="513"/>
      <c r="Q132" s="513"/>
      <c r="R132" s="513"/>
      <c r="S132" s="513"/>
      <c r="T132" s="513"/>
      <c r="U132" s="513"/>
      <c r="V132" s="513"/>
      <c r="W132" s="513"/>
      <c r="X132" s="513"/>
      <c r="Y132" s="514"/>
      <c r="Z132" s="504" t="s">
        <v>160</v>
      </c>
      <c r="AA132" s="510"/>
      <c r="AB132" s="505"/>
      <c r="AC132" s="521">
        <f>MatchDay!$C$7</f>
        <v>43582</v>
      </c>
      <c r="AD132" s="522"/>
      <c r="AE132" s="522"/>
      <c r="AF132" s="522"/>
      <c r="AG132" s="522"/>
      <c r="AH132" s="522"/>
      <c r="AI132" s="522"/>
      <c r="AJ132" s="522"/>
      <c r="AK132" s="522"/>
      <c r="AL132" s="522"/>
      <c r="AM132" s="523"/>
      <c r="AN132" s="37"/>
      <c r="AP132" s="8"/>
      <c r="AT132" s="8"/>
      <c r="AU132" s="8"/>
      <c r="AV132" s="8"/>
      <c r="AW132" s="8"/>
      <c r="AX132" s="8"/>
      <c r="AY132" s="8"/>
      <c r="AZ132" s="152"/>
      <c r="BA132" s="152"/>
      <c r="BB132" s="8"/>
      <c r="BC132" s="8"/>
      <c r="BD132" s="8"/>
      <c r="BE132" s="8"/>
    </row>
    <row r="133" spans="1:72" s="4" customFormat="1" ht="15.75" customHeight="1" x14ac:dyDescent="0.45">
      <c r="A133" s="5">
        <f>IFERROR(IF(A131=1,VLOOKUP(A132,judges,VLOOKUP(MatchDay!$U$2*10+MatchDay!$C$5,judgesp,5,FALSE),FALSE),VLOOKUP(Distance!A132,judges,VLOOKUP(MatchDay!$U$2*10+MatchDay!$C$5,judges2,5,FALSE),FALSE)),"")</f>
        <v>0</v>
      </c>
      <c r="B133" s="38" t="str">
        <f>IFERROR(VLOOKUP($A134,fheight,2,FALSE),"")</f>
        <v>K</v>
      </c>
      <c r="C133" s="181">
        <f>IFERROR(VLOOKUP(A132,Timetables!$A:$E,5,FALSE)-1,"")</f>
        <v>21</v>
      </c>
      <c r="D133" s="504" t="s">
        <v>161</v>
      </c>
      <c r="E133" s="505"/>
      <c r="F133" s="508" t="str">
        <f>IFERROR(VLOOKUP(A132,timetables,2,FALSE)&amp;" "&amp;VLOOKUP(A132,timetables,3,FALSE),"")</f>
        <v>Pole Vault U15 Girls</v>
      </c>
      <c r="G133" s="509"/>
      <c r="H133" s="504" t="s">
        <v>162</v>
      </c>
      <c r="I133" s="510"/>
      <c r="J133" s="505"/>
      <c r="K133" s="559" t="str">
        <f>IFERROR(IF(A131=1,VLOOKUP(A132,Timetables!$A:$G,6,FALSE),VLOOKUP(A132,Timetables!$A:$G,7,FALSE)),"")</f>
        <v>13:00</v>
      </c>
      <c r="L133" s="570"/>
      <c r="M133" s="560"/>
      <c r="N133" s="567" t="s">
        <v>202</v>
      </c>
      <c r="O133" s="568"/>
      <c r="P133" s="568"/>
      <c r="Q133" s="569"/>
      <c r="R133" s="567" t="str">
        <f>IFERROR(VLOOKUP(A132,records,3,FALSE)&amp;", "&amp;VLOOKUP(A132,records,4,FALSE)&amp;", "&amp;VLOOKUP(A132,records,5,FALSE)&amp;", "&amp;VLOOKUP(A132,records,6,FALSE)&amp;", "&amp;VLOOKUP(A132,records,7,FALSE)&amp;" "&amp;VLOOKUP(A132,records,8,FALSE),"")</f>
        <v>Sophie Ashurst, Sale Harriers, 3.42, Birmingham, Sept 2nd 2017</v>
      </c>
      <c r="S133" s="568"/>
      <c r="T133" s="568"/>
      <c r="U133" s="568"/>
      <c r="V133" s="568"/>
      <c r="W133" s="568"/>
      <c r="X133" s="568"/>
      <c r="Y133" s="568"/>
      <c r="Z133" s="568"/>
      <c r="AA133" s="568"/>
      <c r="AB133" s="568"/>
      <c r="AC133" s="568"/>
      <c r="AD133" s="568"/>
      <c r="AE133" s="568"/>
      <c r="AF133" s="568"/>
      <c r="AG133" s="568"/>
      <c r="AH133" s="568"/>
      <c r="AI133" s="568"/>
      <c r="AJ133" s="568"/>
      <c r="AK133" s="568"/>
      <c r="AL133" s="568"/>
      <c r="AM133" s="569"/>
      <c r="AN133" s="8"/>
      <c r="AP133" s="8"/>
      <c r="AT133" s="8"/>
      <c r="AU133" s="8"/>
      <c r="AV133" s="8"/>
      <c r="AW133" s="8"/>
      <c r="AX133" s="8"/>
      <c r="AY133" s="8"/>
      <c r="AZ133" s="152"/>
      <c r="BA133" s="152"/>
      <c r="BB133" s="8"/>
      <c r="BC133" s="8"/>
      <c r="BD133" s="8"/>
      <c r="BE133" s="8"/>
    </row>
    <row r="134" spans="1:72" s="4" customFormat="1" ht="38.25" customHeight="1" x14ac:dyDescent="0.45">
      <c r="A134" s="5" t="s">
        <v>329</v>
      </c>
      <c r="B134" s="10" t="str">
        <f>IFERROR(VLOOKUP($A134,fheight,3,FALSE),"")</f>
        <v>O</v>
      </c>
      <c r="C134" s="10">
        <f>IFERROR(VLOOKUP($A134,fheight,4,FALSE),"")</f>
        <v>23</v>
      </c>
      <c r="D134" s="39" t="s">
        <v>163</v>
      </c>
      <c r="E134" s="39" t="s">
        <v>164</v>
      </c>
      <c r="F134" s="39" t="s">
        <v>165</v>
      </c>
      <c r="G134" s="40" t="s">
        <v>166</v>
      </c>
      <c r="H134" s="559">
        <v>1.7</v>
      </c>
      <c r="I134" s="570"/>
      <c r="J134" s="559">
        <v>1.8</v>
      </c>
      <c r="K134" s="570"/>
      <c r="L134" s="559">
        <v>1.9</v>
      </c>
      <c r="M134" s="570"/>
      <c r="N134" s="559">
        <v>2</v>
      </c>
      <c r="O134" s="570"/>
      <c r="P134" s="559">
        <v>2.1</v>
      </c>
      <c r="Q134" s="570"/>
      <c r="R134" s="559">
        <v>2.2000000000000002</v>
      </c>
      <c r="S134" s="570"/>
      <c r="T134" s="559"/>
      <c r="U134" s="570"/>
      <c r="V134" s="559"/>
      <c r="W134" s="570"/>
      <c r="X134" s="559"/>
      <c r="Y134" s="570"/>
      <c r="Z134" s="559"/>
      <c r="AA134" s="570"/>
      <c r="AB134" s="559"/>
      <c r="AC134" s="570"/>
      <c r="AD134" s="559"/>
      <c r="AE134" s="570"/>
      <c r="AF134" s="575" t="s">
        <v>319</v>
      </c>
      <c r="AG134" s="576"/>
      <c r="AH134" s="577" t="s">
        <v>320</v>
      </c>
      <c r="AI134" s="577" t="s">
        <v>321</v>
      </c>
      <c r="AJ134" s="563" t="s">
        <v>522</v>
      </c>
      <c r="AK134" s="41"/>
      <c r="AL134" s="571" t="s">
        <v>177</v>
      </c>
      <c r="AM134" s="572"/>
      <c r="AN134" s="42" t="s">
        <v>322</v>
      </c>
      <c r="AP134" s="8"/>
      <c r="AT134" s="8"/>
      <c r="AU134" s="8"/>
      <c r="AV134" s="8"/>
      <c r="AW134" s="8"/>
      <c r="AX134" s="8"/>
      <c r="AY134" s="8"/>
      <c r="AZ134" s="152"/>
      <c r="BA134" s="152"/>
      <c r="BB134" s="8"/>
      <c r="BC134" s="8"/>
      <c r="BD134" s="8"/>
      <c r="BE134" s="8"/>
    </row>
    <row r="135" spans="1:72" s="4" customFormat="1" ht="10.5" x14ac:dyDescent="0.35">
      <c r="A135" s="137">
        <f>IFERROR(SEARCH("U17",F133),0)</f>
        <v>0</v>
      </c>
      <c r="B135" s="1"/>
      <c r="C135" s="1"/>
      <c r="D135" s="43"/>
      <c r="E135" s="43"/>
      <c r="F135" s="58"/>
      <c r="G135" s="57"/>
      <c r="H135" s="554" t="s">
        <v>178</v>
      </c>
      <c r="I135" s="579"/>
      <c r="J135" s="554" t="s">
        <v>178</v>
      </c>
      <c r="K135" s="579"/>
      <c r="L135" s="554" t="s">
        <v>178</v>
      </c>
      <c r="M135" s="579"/>
      <c r="N135" s="554" t="s">
        <v>178</v>
      </c>
      <c r="O135" s="579"/>
      <c r="P135" s="554" t="s">
        <v>178</v>
      </c>
      <c r="Q135" s="579"/>
      <c r="R135" s="554" t="s">
        <v>178</v>
      </c>
      <c r="S135" s="579"/>
      <c r="T135" s="554" t="s">
        <v>178</v>
      </c>
      <c r="U135" s="579"/>
      <c r="V135" s="554" t="s">
        <v>178</v>
      </c>
      <c r="W135" s="579"/>
      <c r="X135" s="554" t="s">
        <v>178</v>
      </c>
      <c r="Y135" s="579"/>
      <c r="Z135" s="554" t="s">
        <v>178</v>
      </c>
      <c r="AA135" s="579"/>
      <c r="AB135" s="554" t="s">
        <v>178</v>
      </c>
      <c r="AC135" s="579"/>
      <c r="AD135" s="554" t="s">
        <v>178</v>
      </c>
      <c r="AE135" s="579"/>
      <c r="AF135" s="554" t="s">
        <v>178</v>
      </c>
      <c r="AG135" s="555"/>
      <c r="AH135" s="578"/>
      <c r="AI135" s="578"/>
      <c r="AJ135" s="564"/>
      <c r="AK135" s="44"/>
      <c r="AL135" s="573"/>
      <c r="AM135" s="574"/>
      <c r="AN135" s="42"/>
      <c r="AP135" s="9"/>
      <c r="AQ135" s="9"/>
      <c r="AR135" s="45"/>
      <c r="AS135" s="45"/>
      <c r="AT135" s="45"/>
      <c r="AU135" s="46"/>
      <c r="AV135" s="45"/>
      <c r="AW135" s="9"/>
      <c r="AX135" s="9"/>
      <c r="AY135" s="47"/>
      <c r="AZ135" s="151"/>
      <c r="BA135" s="151"/>
      <c r="BB135" s="9"/>
      <c r="BC135" s="9">
        <v>1</v>
      </c>
      <c r="BD135" s="9">
        <v>2</v>
      </c>
      <c r="BE135" s="9">
        <v>3</v>
      </c>
      <c r="BF135" s="9">
        <v>4</v>
      </c>
      <c r="BG135" s="9">
        <v>5</v>
      </c>
      <c r="BH135" s="9">
        <v>6</v>
      </c>
      <c r="BI135" s="9">
        <v>7</v>
      </c>
      <c r="BJ135" s="9">
        <v>8</v>
      </c>
      <c r="BK135" s="9">
        <v>1</v>
      </c>
      <c r="BL135" s="9">
        <v>2</v>
      </c>
      <c r="BM135" s="9">
        <v>3</v>
      </c>
      <c r="BN135" s="9">
        <v>4</v>
      </c>
      <c r="BO135" s="9">
        <v>5</v>
      </c>
      <c r="BP135" s="9">
        <v>6</v>
      </c>
      <c r="BQ135" s="9">
        <v>7</v>
      </c>
      <c r="BR135" s="9">
        <v>8</v>
      </c>
      <c r="BS135" s="46"/>
    </row>
    <row r="136" spans="1:72" s="4" customFormat="1" ht="15.95" customHeight="1" x14ac:dyDescent="0.35">
      <c r="A136" s="8">
        <f>IFERROR(IF(D136&gt;MatchDay!$U$2,"-",VLOOKUP(A132,timetables,MatchDay!$U$4,FALSE)),0)</f>
        <v>2</v>
      </c>
      <c r="B136" s="10" t="str">
        <f ca="1">IFERROR(IF(OR(AK136=0,AK136="B"),"",RANK(AZ136,AZ136:AZ151,1)),"")</f>
        <v/>
      </c>
      <c r="C136" s="10" t="str">
        <f ca="1">IFERROR(IF(OR(AK136=0,AK136="A"),"",RANK(BA136,BA136:BA151,1)),"")</f>
        <v/>
      </c>
      <c r="D136" s="56">
        <v>1</v>
      </c>
      <c r="E136" s="17">
        <f>A136</f>
        <v>2</v>
      </c>
      <c r="F136" s="18">
        <f ca="1">IFERROR(IF(A135=0,HLOOKUP(E136,Declarations!$D$2:$S$102,C133,FALSE),HLOOKUP(VLOOKUP(E136,Teams!$V$2:$W$19,2,FALSE),Declarations!$D$2:$S$102,C133,FALSE)),"")</f>
        <v>0</v>
      </c>
      <c r="G136" s="18" t="str">
        <f t="shared" ref="G136:G151" si="44">IFERROR(VLOOKUP(E136,teamlookup,5,FALSE),"-")</f>
        <v>Sheff+D</v>
      </c>
      <c r="H136" s="526"/>
      <c r="I136" s="527"/>
      <c r="J136" s="526"/>
      <c r="K136" s="527"/>
      <c r="L136" s="526"/>
      <c r="M136" s="527"/>
      <c r="N136" s="526"/>
      <c r="O136" s="527"/>
      <c r="P136" s="526"/>
      <c r="Q136" s="527"/>
      <c r="R136" s="526"/>
      <c r="S136" s="527"/>
      <c r="T136" s="526"/>
      <c r="U136" s="527"/>
      <c r="V136" s="526"/>
      <c r="W136" s="527"/>
      <c r="X136" s="526"/>
      <c r="Y136" s="527"/>
      <c r="Z136" s="526"/>
      <c r="AA136" s="527"/>
      <c r="AB136" s="526"/>
      <c r="AC136" s="527"/>
      <c r="AD136" s="526"/>
      <c r="AE136" s="527"/>
      <c r="AF136" s="557">
        <f ca="1">IFERROR(INDIRECT(CONCATENATE("'Height Input'!"&amp;B134&amp;C134)),"")</f>
        <v>0</v>
      </c>
      <c r="AG136" s="558"/>
      <c r="AH136" s="48"/>
      <c r="AI136" s="48"/>
      <c r="AJ136" s="49">
        <f ca="1">IFERROR(IF(AF136="X",MatchDay!$U$2+MatchDay!$U$2+1-COUNTIF($AF136:AF136,"X"),IF(AF136&gt;=97,1,INT(INDIRECT(CONCATENATE("'Height Input'!"&amp;$B133&amp;$C134))))),"")</f>
        <v>0</v>
      </c>
      <c r="AK136" s="50">
        <f ca="1">IFERROR(IF(OR(AJ136=0,AJ136=""),0,IF(OR(AJ136&lt;=VLOOKUP(BT136,$E144:$AJ151,32,FALSE),VLOOKUP(BT136,$E144:$AJ151,32,FALSE)=0),"A","B")),0)</f>
        <v>0</v>
      </c>
      <c r="AL136" s="139" t="str">
        <f ca="1">IFERROR(IF(OR(AK136=0,AK136="B"),"",RANK(AW136,AW136:AW151,1)),"")</f>
        <v/>
      </c>
      <c r="AM136" s="139" t="str">
        <f ca="1">IFERROR(IF(OR(AK136=0,AK136="A"),"",RANK(AX136,AX136:AX151,1)),"")</f>
        <v/>
      </c>
      <c r="AN136" s="51">
        <f ca="1">IFERROR(IF(AF136="X",0,(INDIRECT(CONCATENATE("'Height Input'!"&amp;$B133&amp;$C134))-AJ136)*10),"")</f>
        <v>0</v>
      </c>
      <c r="AO136" s="8"/>
      <c r="AP136" s="9" t="str">
        <f ca="1">IF(AQ136="","",IF(AQ136=1,AR136,REPT(AR136,AQ136-1)))</f>
        <v/>
      </c>
      <c r="AQ136" s="9" t="str">
        <f ca="1">IF(AR136="","",HLOOKUP(AL136,BC135:BJ152,18,FALSE))</f>
        <v/>
      </c>
      <c r="AR136" s="45" t="str">
        <f ca="1">IF(OR(AL136=0,AL136=""),"",IF(COUNTIFS(AL136:AL151,AL136)&gt;1,"=",""))</f>
        <v/>
      </c>
      <c r="AS136" s="45"/>
      <c r="AT136" s="9" t="str">
        <f ca="1">IF(AU136="","",IF(AU136=1,AV136,REPT(AV136,AU136-1)))</f>
        <v/>
      </c>
      <c r="AU136" s="9" t="str">
        <f ca="1">IF(AV136="","",HLOOKUP(AM136,BK135:BR152,18,FALSE))</f>
        <v/>
      </c>
      <c r="AV136" s="45" t="str">
        <f ca="1">IF(OR(AM136=0,AM136=""),"",IF(COUNTIFS(AM136:AM151,AM136)&gt;1,"=",""))</f>
        <v/>
      </c>
      <c r="AW136" s="9" t="str">
        <f t="shared" ref="AW136:AW151" ca="1" si="45">IF(OR(AJ136=0,AF136=0,AK136="B"),"",AJ136)</f>
        <v/>
      </c>
      <c r="AX136" s="9" t="str">
        <f t="shared" ref="AX136:AX151" ca="1" si="46">IF(OR(AJ136=0,AF136=0,AK136="A"),"",AJ136)</f>
        <v/>
      </c>
      <c r="AY136" s="47"/>
      <c r="AZ136" s="151" t="str">
        <f t="shared" ref="AZ136:AZ151" ca="1" si="47">IF(AW136="","",AW136+(AN136/10))</f>
        <v/>
      </c>
      <c r="BA136" s="151" t="str">
        <f t="shared" ref="BA136:BA151" ca="1" si="48">IF(AX136="","",AX136+(AN136/10))</f>
        <v/>
      </c>
      <c r="BB136" s="9"/>
      <c r="BC136" s="52" t="str">
        <f ca="1">IF(AL136="","",IF(AL136=BC135,AL136,""))</f>
        <v/>
      </c>
      <c r="BD136" s="52" t="str">
        <f ca="1">IF(AL136="","",IF(AL136=BD135,AL136,""))</f>
        <v/>
      </c>
      <c r="BE136" s="52" t="str">
        <f ca="1">IF(AL136="","",IF(AL136=BE135,AL136,""))</f>
        <v/>
      </c>
      <c r="BF136" s="52" t="str">
        <f ca="1">IF(AL136="","",IF(AL136=BF135,AL136,""))</f>
        <v/>
      </c>
      <c r="BG136" s="52" t="str">
        <f ca="1">IF(AL136="","",IF(AL136=BG135,AL136,""))</f>
        <v/>
      </c>
      <c r="BH136" s="52" t="str">
        <f ca="1">IF(AL136="","",IF(AL136=BH135,AL136,""))</f>
        <v/>
      </c>
      <c r="BI136" s="52" t="str">
        <f ca="1">IF(AL136="","",IF(AL136=BI135,AL136,""))</f>
        <v/>
      </c>
      <c r="BJ136" s="52" t="str">
        <f ca="1">IF(AL136="","",IF(AL136=BJ135,AL136,""))</f>
        <v/>
      </c>
      <c r="BK136" s="52" t="str">
        <f ca="1">IF(AM136="","",IF(AM136=BK135,AM136,""))</f>
        <v/>
      </c>
      <c r="BL136" s="52" t="str">
        <f ca="1">IF(AM136="","",IF(AM136=BL135,AM136,""))</f>
        <v/>
      </c>
      <c r="BM136" s="52" t="str">
        <f ca="1">IF(AM136="","",IF(AM136=BM135,AM136,""))</f>
        <v/>
      </c>
      <c r="BN136" s="52" t="str">
        <f ca="1">IF(AM136="","",IF(AM136=BN135,AM136,""))</f>
        <v/>
      </c>
      <c r="BO136" s="52" t="str">
        <f ca="1">IF(AM136="","",IF(AM136=BO135,AM136,""))</f>
        <v/>
      </c>
      <c r="BP136" s="52" t="str">
        <f ca="1">IF(AM136="","",IF(AM136=BP135,AM136,""))</f>
        <v/>
      </c>
      <c r="BQ136" s="52" t="str">
        <f ca="1">IF(AM136="","",IF(AM136=BQ135,AM136,""))</f>
        <v/>
      </c>
      <c r="BR136" s="52" t="str">
        <f ca="1">IF(AM136="","",IF(AM136=BR135,AM136,""))</f>
        <v/>
      </c>
      <c r="BS136" s="46"/>
      <c r="BT136" s="4">
        <f>IFERROR(IF(A135=0,A136*11,A136&amp;A136),"")</f>
        <v>22</v>
      </c>
    </row>
    <row r="137" spans="1:72" s="4" customFormat="1" ht="15.95" customHeight="1" x14ac:dyDescent="0.35">
      <c r="A137" s="8">
        <f>IFERROR(IF(D137&gt;MatchDay!$U$2,"-",VLOOKUP(A132,timetables,MatchDay!$U$4+1,FALSE)),0)</f>
        <v>5</v>
      </c>
      <c r="B137" s="10" t="str">
        <f ca="1">IFERROR(IF(OR(AK137=0,AK137="B"),"",RANK(AZ137,AZ136:AZ151,1)),"")</f>
        <v/>
      </c>
      <c r="C137" s="10" t="str">
        <f ca="1">IFERROR(IF(OR(AK137=0,AK137="A"),"",RANK(BA137,BA136:BA151,1)),"")</f>
        <v/>
      </c>
      <c r="D137" s="55">
        <v>2</v>
      </c>
      <c r="E137" s="17">
        <f t="shared" ref="E137:E151" si="49">A137</f>
        <v>5</v>
      </c>
      <c r="F137" s="18">
        <f ca="1">IFERROR(IF(A135=0,HLOOKUP(E137,Declarations!$D$2:$S$102,C133,FALSE),HLOOKUP(VLOOKUP(E137,Teams!$V$2:$W$19,2,FALSE),Declarations!$D$2:$S$102,C133,FALSE)),"")</f>
        <v>0</v>
      </c>
      <c r="G137" s="18" t="str">
        <f t="shared" si="44"/>
        <v>Scun</v>
      </c>
      <c r="H137" s="526"/>
      <c r="I137" s="527"/>
      <c r="J137" s="526"/>
      <c r="K137" s="527"/>
      <c r="L137" s="526"/>
      <c r="M137" s="527"/>
      <c r="N137" s="526"/>
      <c r="O137" s="527"/>
      <c r="P137" s="526"/>
      <c r="Q137" s="527"/>
      <c r="R137" s="526"/>
      <c r="S137" s="527"/>
      <c r="T137" s="526"/>
      <c r="U137" s="527"/>
      <c r="V137" s="526"/>
      <c r="W137" s="527"/>
      <c r="X137" s="526"/>
      <c r="Y137" s="527"/>
      <c r="Z137" s="526"/>
      <c r="AA137" s="527"/>
      <c r="AB137" s="526"/>
      <c r="AC137" s="527"/>
      <c r="AD137" s="526"/>
      <c r="AE137" s="527"/>
      <c r="AF137" s="557">
        <f ca="1">IFERROR(INDIRECT(CONCATENATE("'Height Input'!"&amp;B134&amp;C134+1)),"")</f>
        <v>0</v>
      </c>
      <c r="AG137" s="558"/>
      <c r="AH137" s="48"/>
      <c r="AI137" s="48"/>
      <c r="AJ137" s="49">
        <f ca="1">IFERROR(IF(AF137="X",MatchDay!$U$2+MatchDay!$U$2+1-COUNTIF($AF136:AF137,"X"),IF(AF137&gt;=97,1,INT(INDIRECT(CONCATENATE("'Height Input'!"&amp;$B133&amp;$C134+1))))),"")</f>
        <v>0</v>
      </c>
      <c r="AK137" s="50">
        <f ca="1">IFERROR(IF(OR(AJ137=0,AJ137=""),0,IF(OR(AJ137&lt;=VLOOKUP(BT137,$E144:$AJ151,32,FALSE),VLOOKUP(BT137,$E144:$AJ151,32,FALSE)=0),"A","B")),0)</f>
        <v>0</v>
      </c>
      <c r="AL137" s="139" t="str">
        <f ca="1">IFERROR(IF(OR(AK137=0,AK137="B"),"",RANK(AW137,AW136:AW151,1)),"")</f>
        <v/>
      </c>
      <c r="AM137" s="139" t="str">
        <f ca="1">IFERROR(IF(OR(AK137=0,AK137="A"),"",RANK(AX137,AX136:AX151,1)),"")</f>
        <v/>
      </c>
      <c r="AN137" s="51">
        <f ca="1">IFERROR(IF(AF137="X",0,(INDIRECT(CONCATENATE("'Height Input'!"&amp;$B133&amp;$C134+1))-AJ137)*10),"")</f>
        <v>0</v>
      </c>
      <c r="AO137" s="8"/>
      <c r="AP137" s="9" t="str">
        <f t="shared" ref="AP137:AP151" ca="1" si="50">IF(AQ137="","",IF(AQ137=1,AR137,REPT(AR137,AQ137-1)))</f>
        <v/>
      </c>
      <c r="AQ137" s="9" t="str">
        <f ca="1">IF(AR137="","",HLOOKUP(AL137,BC135:BJ152,18,FALSE))</f>
        <v/>
      </c>
      <c r="AR137" s="45" t="str">
        <f ca="1">IF(OR(AL137=0,AL137=""),"",IF(COUNTIFS(AL136:AL151,AL137)&gt;1,"=",""))</f>
        <v/>
      </c>
      <c r="AS137" s="45"/>
      <c r="AT137" s="9" t="str">
        <f t="shared" ref="AT137:AT151" ca="1" si="51">IF(AU137="","",IF(AU137=1,AV137,REPT(AV137,AU137-1)))</f>
        <v/>
      </c>
      <c r="AU137" s="9" t="str">
        <f ca="1">IF(AV137="","",HLOOKUP(AM137,BK135:BR152,18,FALSE))</f>
        <v/>
      </c>
      <c r="AV137" s="45" t="str">
        <f ca="1">IF(OR(AM137=0,AM137=""),"",IF(COUNTIFS(AM136:AM151,AM137)&gt;1,"=",""))</f>
        <v/>
      </c>
      <c r="AW137" s="9" t="str">
        <f t="shared" ca="1" si="45"/>
        <v/>
      </c>
      <c r="AX137" s="9" t="str">
        <f t="shared" ca="1" si="46"/>
        <v/>
      </c>
      <c r="AY137" s="47"/>
      <c r="AZ137" s="151" t="str">
        <f t="shared" ca="1" si="47"/>
        <v/>
      </c>
      <c r="BA137" s="151" t="str">
        <f t="shared" ca="1" si="48"/>
        <v/>
      </c>
      <c r="BB137" s="9"/>
      <c r="BC137" s="52" t="str">
        <f ca="1">IF(AL137="","",IF(AL137=BC135,AL137,""))</f>
        <v/>
      </c>
      <c r="BD137" s="52" t="str">
        <f ca="1">IF(AL137="","",IF(AL137=BD135,AL137,""))</f>
        <v/>
      </c>
      <c r="BE137" s="52" t="str">
        <f ca="1">IF(AL137="","",IF(AL137=BE135,AL137,""))</f>
        <v/>
      </c>
      <c r="BF137" s="52" t="str">
        <f ca="1">IF(AL137="","",IF(AL137=BF135,AL137,""))</f>
        <v/>
      </c>
      <c r="BG137" s="52" t="str">
        <f ca="1">IF(AL137="","",IF(AL137=BG135,AL137,""))</f>
        <v/>
      </c>
      <c r="BH137" s="52" t="str">
        <f ca="1">IF(AL137="","",IF(AL137=BH135,AL137,""))</f>
        <v/>
      </c>
      <c r="BI137" s="52" t="str">
        <f ca="1">IF(AL137="","",IF(AL137=BI135,AL137,""))</f>
        <v/>
      </c>
      <c r="BJ137" s="52" t="str">
        <f ca="1">IF(AL137="","",IF(AL137=BJ135,AL137,""))</f>
        <v/>
      </c>
      <c r="BK137" s="52" t="str">
        <f ca="1">IF(AM137="","",IF(AM137=BK135,AM137,""))</f>
        <v/>
      </c>
      <c r="BL137" s="52" t="str">
        <f ca="1">IF(AM137="","",IF(AM137=BL135,AM137,""))</f>
        <v/>
      </c>
      <c r="BM137" s="52" t="str">
        <f ca="1">IF(AM137="","",IF(AM137=BM135,AM137,""))</f>
        <v/>
      </c>
      <c r="BN137" s="52" t="str">
        <f ca="1">IF(AM137="","",IF(AM137=BN135,AM137,""))</f>
        <v/>
      </c>
      <c r="BO137" s="52" t="str">
        <f ca="1">IF(AM137="","",IF(AM137=BO135,AM137,""))</f>
        <v/>
      </c>
      <c r="BP137" s="52" t="str">
        <f ca="1">IF(AM137="","",IF(AM137=BP135,AM137,""))</f>
        <v/>
      </c>
      <c r="BQ137" s="52" t="str">
        <f ca="1">IF(AM137="","",IF(AM137=BQ135,AM137,""))</f>
        <v/>
      </c>
      <c r="BR137" s="52" t="str">
        <f ca="1">IF(AM137="","",IF(AM137=BR135,AM137,""))</f>
        <v/>
      </c>
      <c r="BS137" s="46"/>
      <c r="BT137" s="4">
        <f>IFERROR(IF(A135=0,A137*11,A137&amp;A137),"")</f>
        <v>55</v>
      </c>
    </row>
    <row r="138" spans="1:72" s="4" customFormat="1" ht="15.95" customHeight="1" x14ac:dyDescent="0.35">
      <c r="A138" s="8">
        <f>IFERROR(IF(D138&gt;MatchDay!$U$2,"-",VLOOKUP(A132,timetables,MatchDay!$U$4+2,FALSE)),0)</f>
        <v>3</v>
      </c>
      <c r="B138" s="10" t="str">
        <f ca="1">IFERROR(IF(OR(AK138=0,AK138="B"),"",RANK(AZ138,AZ136:AZ151,1)),"")</f>
        <v/>
      </c>
      <c r="C138" s="10" t="str">
        <f ca="1">IFERROR(IF(OR(AK138=0,AK138="A"),"",RANK(BA138,BA136:BA151,1)),"")</f>
        <v/>
      </c>
      <c r="D138" s="55">
        <v>3</v>
      </c>
      <c r="E138" s="17">
        <f t="shared" si="49"/>
        <v>3</v>
      </c>
      <c r="F138" s="18" t="str">
        <f ca="1">IFERROR(IF(A135=0,HLOOKUP(E138,Declarations!$D$2:$S$102,C133,FALSE),HLOOKUP(VLOOKUP(E138,Teams!$V$2:$W$19,2,FALSE),Declarations!$D$2:$S$102,C133,FALSE)),"")</f>
        <v>CROSBY Alice</v>
      </c>
      <c r="G138" s="18" t="str">
        <f t="shared" si="44"/>
        <v>York</v>
      </c>
      <c r="H138" s="526"/>
      <c r="I138" s="527"/>
      <c r="J138" s="526"/>
      <c r="K138" s="527"/>
      <c r="L138" s="526"/>
      <c r="M138" s="527"/>
      <c r="N138" s="526"/>
      <c r="O138" s="527"/>
      <c r="P138" s="526"/>
      <c r="Q138" s="527"/>
      <c r="R138" s="526"/>
      <c r="S138" s="527"/>
      <c r="T138" s="526"/>
      <c r="U138" s="527"/>
      <c r="V138" s="526"/>
      <c r="W138" s="527"/>
      <c r="X138" s="526"/>
      <c r="Y138" s="527"/>
      <c r="Z138" s="526"/>
      <c r="AA138" s="527"/>
      <c r="AB138" s="526"/>
      <c r="AC138" s="527"/>
      <c r="AD138" s="526"/>
      <c r="AE138" s="527"/>
      <c r="AF138" s="557">
        <f ca="1">IFERROR(INDIRECT(CONCATENATE("'Height Input'!"&amp;B134&amp;C134+2)),"")</f>
        <v>0</v>
      </c>
      <c r="AG138" s="558"/>
      <c r="AH138" s="48"/>
      <c r="AI138" s="48"/>
      <c r="AJ138" s="49">
        <f ca="1">IFERROR(IF(AF138="X",MatchDay!$U$2+MatchDay!$U$2+1-COUNTIF($AF136:AF138,"X"),IF(AF138&gt;=97,1,INT(INDIRECT(CONCATENATE("'Height Input'!"&amp;$B133&amp;$C134+2))))),"")</f>
        <v>0</v>
      </c>
      <c r="AK138" s="50">
        <f ca="1">IFERROR(IF(OR(AJ138=0,AJ138=""),0,IF(OR(AJ138&lt;=VLOOKUP(BT138,$E144:$AJ151,32,FALSE),VLOOKUP(BT138,$E144:$AJ151,32,FALSE)=0),"A","B")),0)</f>
        <v>0</v>
      </c>
      <c r="AL138" s="139" t="str">
        <f ca="1">IFERROR(IF(OR(AK138=0,AK138="B"),"",RANK(AW138,AW136:AW151,1)),"")</f>
        <v/>
      </c>
      <c r="AM138" s="139" t="str">
        <f ca="1">IFERROR(IF(OR(AK138=0,AK138="A"),"",RANK(AX138,AX136:AX151,1)),"")</f>
        <v/>
      </c>
      <c r="AN138" s="51">
        <f ca="1">IFERROR(IF(AF138="X",0,(INDIRECT(CONCATENATE("'Height Input'!"&amp;$B133&amp;$C134+2))-AJ138)*10),"")</f>
        <v>0</v>
      </c>
      <c r="AO138" s="8"/>
      <c r="AP138" s="9" t="str">
        <f t="shared" ca="1" si="50"/>
        <v/>
      </c>
      <c r="AQ138" s="9" t="str">
        <f ca="1">IF(AR138="","",HLOOKUP(AL138,BC135:BJ152,18,FALSE))</f>
        <v/>
      </c>
      <c r="AR138" s="45" t="str">
        <f ca="1">IF(OR(AL138=0,AL138=""),"",IF(COUNTIFS(AL136:AL151,AL138)&gt;1,"=",""))</f>
        <v/>
      </c>
      <c r="AS138" s="45"/>
      <c r="AT138" s="9" t="str">
        <f t="shared" ca="1" si="51"/>
        <v/>
      </c>
      <c r="AU138" s="9" t="str">
        <f ca="1">IF(AV138="","",HLOOKUP(AM138,BK135:BR152,18,FALSE))</f>
        <v/>
      </c>
      <c r="AV138" s="45" t="str">
        <f ca="1">IF(OR(AM138=0,AM138=""),"",IF(COUNTIFS(AM136:AM151,AM138)&gt;1,"=",""))</f>
        <v/>
      </c>
      <c r="AW138" s="9" t="str">
        <f t="shared" ca="1" si="45"/>
        <v/>
      </c>
      <c r="AX138" s="9" t="str">
        <f t="shared" ca="1" si="46"/>
        <v/>
      </c>
      <c r="AY138" s="47"/>
      <c r="AZ138" s="151" t="str">
        <f t="shared" ca="1" si="47"/>
        <v/>
      </c>
      <c r="BA138" s="151" t="str">
        <f t="shared" ca="1" si="48"/>
        <v/>
      </c>
      <c r="BB138" s="9"/>
      <c r="BC138" s="52" t="str">
        <f ca="1">IF(AL138="","",IF(AL138=BC135,AL138,""))</f>
        <v/>
      </c>
      <c r="BD138" s="52" t="str">
        <f ca="1">IF(AL138="","",IF(AL138=BD135,AL138,""))</f>
        <v/>
      </c>
      <c r="BE138" s="52" t="str">
        <f ca="1">IF(AL138="","",IF(AL138=BE135,AL138,""))</f>
        <v/>
      </c>
      <c r="BF138" s="52" t="str">
        <f ca="1">IF(AL138="","",IF(AL138=BF135,AL138,""))</f>
        <v/>
      </c>
      <c r="BG138" s="52" t="str">
        <f ca="1">IF(AL138="","",IF(AL138=BG135,AL138,""))</f>
        <v/>
      </c>
      <c r="BH138" s="52" t="str">
        <f ca="1">IF(AL138="","",IF(AL138=BH135,AL138,""))</f>
        <v/>
      </c>
      <c r="BI138" s="52" t="str">
        <f ca="1">IF(AL138="","",IF(AL138=BI135,AL138,""))</f>
        <v/>
      </c>
      <c r="BJ138" s="52" t="str">
        <f ca="1">IF(AL138="","",IF(AL138=BJ135,AL138,""))</f>
        <v/>
      </c>
      <c r="BK138" s="52" t="str">
        <f ca="1">IF(AM138="","",IF(AM138=BK135,AM138,""))</f>
        <v/>
      </c>
      <c r="BL138" s="52" t="str">
        <f ca="1">IF(AM138="","",IF(AM138=BL135,AM138,""))</f>
        <v/>
      </c>
      <c r="BM138" s="52" t="str">
        <f ca="1">IF(AM138="","",IF(AM138=BM135,AM138,""))</f>
        <v/>
      </c>
      <c r="BN138" s="52" t="str">
        <f ca="1">IF(AM138="","",IF(AM138=BN135,AM138,""))</f>
        <v/>
      </c>
      <c r="BO138" s="52" t="str">
        <f ca="1">IF(AM138="","",IF(AM138=BO135,AM138,""))</f>
        <v/>
      </c>
      <c r="BP138" s="52" t="str">
        <f ca="1">IF(AM138="","",IF(AM138=BP135,AM138,""))</f>
        <v/>
      </c>
      <c r="BQ138" s="52" t="str">
        <f ca="1">IF(AM138="","",IF(AM138=BQ135,AM138,""))</f>
        <v/>
      </c>
      <c r="BR138" s="52" t="str">
        <f ca="1">IF(AM138="","",IF(AM138=BR135,AM138,""))</f>
        <v/>
      </c>
      <c r="BS138" s="46"/>
      <c r="BT138" s="4">
        <f>IFERROR(IF(A135=0,A138*11,A138&amp;A138),"")</f>
        <v>33</v>
      </c>
    </row>
    <row r="139" spans="1:72" s="4" customFormat="1" ht="15.95" customHeight="1" x14ac:dyDescent="0.35">
      <c r="A139" s="8">
        <f>IFERROR(IF(D139&gt;MatchDay!$U$2,"-",VLOOKUP(A132,timetables,MatchDay!$U$4+3,FALSE)),0)</f>
        <v>4</v>
      </c>
      <c r="B139" s="10" t="str">
        <f ca="1">IFERROR(IF(OR(AK139=0,AK139="B"),"",RANK(AZ139,AZ136:AZ151,1)),"")</f>
        <v/>
      </c>
      <c r="C139" s="10" t="str">
        <f ca="1">IFERROR(IF(OR(AK139=0,AK139="A"),"",RANK(BA139,BA136:BA151,1)),"")</f>
        <v/>
      </c>
      <c r="D139" s="55">
        <v>4</v>
      </c>
      <c r="E139" s="17">
        <f t="shared" si="49"/>
        <v>4</v>
      </c>
      <c r="F139" s="18" t="str">
        <f ca="1">IFERROR(IF(A135=0,HLOOKUP(E139,Declarations!$D$2:$S$102,C133,FALSE),HLOOKUP(VLOOKUP(E139,Teams!$V$2:$W$19,2,FALSE),Declarations!$D$2:$S$102,C133,FALSE)),"")</f>
        <v>-</v>
      </c>
      <c r="G139" s="18" t="str">
        <f t="shared" si="44"/>
        <v>M'bro</v>
      </c>
      <c r="H139" s="526"/>
      <c r="I139" s="527"/>
      <c r="J139" s="526"/>
      <c r="K139" s="527"/>
      <c r="L139" s="526"/>
      <c r="M139" s="527"/>
      <c r="N139" s="526"/>
      <c r="O139" s="527"/>
      <c r="P139" s="526"/>
      <c r="Q139" s="527"/>
      <c r="R139" s="526"/>
      <c r="S139" s="527"/>
      <c r="T139" s="526"/>
      <c r="U139" s="527"/>
      <c r="V139" s="526"/>
      <c r="W139" s="527"/>
      <c r="X139" s="526"/>
      <c r="Y139" s="527"/>
      <c r="Z139" s="526"/>
      <c r="AA139" s="527"/>
      <c r="AB139" s="526"/>
      <c r="AC139" s="527"/>
      <c r="AD139" s="526"/>
      <c r="AE139" s="527"/>
      <c r="AF139" s="557">
        <f ca="1">IFERROR(INDIRECT(CONCATENATE("'Height Input'!"&amp;B134&amp;C134+3)),"")</f>
        <v>0</v>
      </c>
      <c r="AG139" s="558"/>
      <c r="AH139" s="48"/>
      <c r="AI139" s="48"/>
      <c r="AJ139" s="49">
        <f ca="1">IFERROR(IF(AF139="X",MatchDay!$U$2+MatchDay!$U$2+1-COUNTIF($AF136:AF139,"X"),IF(AF139&gt;=97,1,INT(INDIRECT(CONCATENATE("'Height Input'!"&amp;$B133&amp;$C134+3))))),"")</f>
        <v>0</v>
      </c>
      <c r="AK139" s="50">
        <f ca="1">IFERROR(IF(OR(AJ139=0,AJ139=""),0,IF(OR(AJ139&lt;=VLOOKUP(BT139,$E144:$AJ151,32,FALSE),VLOOKUP(BT139,$E144:$AJ151,32,FALSE)=0),"A","B")),0)</f>
        <v>0</v>
      </c>
      <c r="AL139" s="139" t="str">
        <f ca="1">IFERROR(IF(OR(AK139=0,AK139="B"),"",RANK(AW139,AW136:AW151,1)),"")</f>
        <v/>
      </c>
      <c r="AM139" s="139" t="str">
        <f ca="1">IFERROR(IF(OR(AK139=0,AK139="A"),"",RANK(AX139,AX136:AX151,1)),"")</f>
        <v/>
      </c>
      <c r="AN139" s="51">
        <f ca="1">IFERROR(IF(AF139="X",0,(INDIRECT(CONCATENATE("'Height Input'!"&amp;$B133&amp;$C134+3))-AJ139)*10),"")</f>
        <v>0</v>
      </c>
      <c r="AO139" s="8"/>
      <c r="AP139" s="9" t="str">
        <f t="shared" ca="1" si="50"/>
        <v/>
      </c>
      <c r="AQ139" s="9" t="str">
        <f ca="1">IF(AR139="","",HLOOKUP(AL139,BC135:BJ152,18,FALSE))</f>
        <v/>
      </c>
      <c r="AR139" s="45" t="str">
        <f ca="1">IF(OR(AL139=0,AL139=""),"",IF(COUNTIFS(AL136:AL151,AL139)&gt;1,"=",""))</f>
        <v/>
      </c>
      <c r="AS139" s="45"/>
      <c r="AT139" s="9" t="str">
        <f t="shared" ca="1" si="51"/>
        <v/>
      </c>
      <c r="AU139" s="9" t="str">
        <f ca="1">IF(AV139="","",HLOOKUP(AM139,BK135:BR152,18,FALSE))</f>
        <v/>
      </c>
      <c r="AV139" s="45" t="str">
        <f ca="1">IF(OR(AM139=0,AM139=""),"",IF(COUNTIFS(AM136:AM151,AM139)&gt;1,"=",""))</f>
        <v/>
      </c>
      <c r="AW139" s="9" t="str">
        <f t="shared" ca="1" si="45"/>
        <v/>
      </c>
      <c r="AX139" s="9" t="str">
        <f t="shared" ca="1" si="46"/>
        <v/>
      </c>
      <c r="AY139" s="47"/>
      <c r="AZ139" s="151" t="str">
        <f t="shared" ca="1" si="47"/>
        <v/>
      </c>
      <c r="BA139" s="151" t="str">
        <f t="shared" ca="1" si="48"/>
        <v/>
      </c>
      <c r="BB139" s="9"/>
      <c r="BC139" s="52" t="str">
        <f ca="1">IF(AL139="","",IF(AL139=BC135,AL139,""))</f>
        <v/>
      </c>
      <c r="BD139" s="52" t="str">
        <f ca="1">IF(AL139="","",IF(AL139=BD135,AL139,""))</f>
        <v/>
      </c>
      <c r="BE139" s="52" t="str">
        <f ca="1">IF(AL139="","",IF(AL139=BE135,AL139,""))</f>
        <v/>
      </c>
      <c r="BF139" s="52" t="str">
        <f ca="1">IF(AL139="","",IF(AL139=BF135,AL139,""))</f>
        <v/>
      </c>
      <c r="BG139" s="52" t="str">
        <f ca="1">IF(AL139="","",IF(AL139=BG135,AL139,""))</f>
        <v/>
      </c>
      <c r="BH139" s="52" t="str">
        <f ca="1">IF(AL139="","",IF(AL139=BH135,AL139,""))</f>
        <v/>
      </c>
      <c r="BI139" s="52" t="str">
        <f ca="1">IF(AL139="","",IF(AL139=BI135,AL139,""))</f>
        <v/>
      </c>
      <c r="BJ139" s="52" t="str">
        <f ca="1">IF(AL139="","",IF(AL139=BJ135,AL139,""))</f>
        <v/>
      </c>
      <c r="BK139" s="52" t="str">
        <f ca="1">IF(AM139="","",IF(AM139=BK135,AM139,""))</f>
        <v/>
      </c>
      <c r="BL139" s="52" t="str">
        <f ca="1">IF(AM139="","",IF(AM139=BL135,AM139,""))</f>
        <v/>
      </c>
      <c r="BM139" s="52" t="str">
        <f ca="1">IF(AM139="","",IF(AM139=BM135,AM139,""))</f>
        <v/>
      </c>
      <c r="BN139" s="52" t="str">
        <f ca="1">IF(AM139="","",IF(AM139=BN135,AM139,""))</f>
        <v/>
      </c>
      <c r="BO139" s="52" t="str">
        <f ca="1">IF(AM139="","",IF(AM139=BO135,AM139,""))</f>
        <v/>
      </c>
      <c r="BP139" s="52" t="str">
        <f ca="1">IF(AM139="","",IF(AM139=BP135,AM139,""))</f>
        <v/>
      </c>
      <c r="BQ139" s="52" t="str">
        <f ca="1">IF(AM139="","",IF(AM139=BQ135,AM139,""))</f>
        <v/>
      </c>
      <c r="BR139" s="52" t="str">
        <f ca="1">IF(AM139="","",IF(AM139=BR135,AM139,""))</f>
        <v/>
      </c>
      <c r="BS139" s="46"/>
      <c r="BT139" s="4">
        <f>IFERROR(IF(A135=0,A139*11,A139&amp;A139),"")</f>
        <v>44</v>
      </c>
    </row>
    <row r="140" spans="1:72" s="4" customFormat="1" ht="15.95" customHeight="1" x14ac:dyDescent="0.35">
      <c r="A140" s="8">
        <f>IFERROR(IF(D140&gt;MatchDay!$U$2,"-",VLOOKUP(A132,timetables,MatchDay!$U$4+4,FALSE)),0)</f>
        <v>1</v>
      </c>
      <c r="B140" s="10">
        <f ca="1">IFERROR(IF(OR(AK140=0,AK140="B"),"",RANK(AZ140,AZ136:AZ151,1)),"")</f>
        <v>1</v>
      </c>
      <c r="C140" s="10" t="str">
        <f ca="1">IFERROR(IF(OR(AK140=0,AK140="A"),"",RANK(BA140,BA136:BA151,1)),"")</f>
        <v/>
      </c>
      <c r="D140" s="55">
        <v>5</v>
      </c>
      <c r="E140" s="17">
        <f t="shared" si="49"/>
        <v>1</v>
      </c>
      <c r="F140" s="18" t="str">
        <f ca="1">IFERROR(IF(A135=0,HLOOKUP(E140,Declarations!$D$2:$S$102,C133,FALSE),HLOOKUP(VLOOKUP(E140,Teams!$V$2:$W$19,2,FALSE),Declarations!$D$2:$S$102,C133,FALSE)),"")</f>
        <v>MOODY Hannah</v>
      </c>
      <c r="G140" s="18" t="str">
        <f t="shared" si="44"/>
        <v>C'field</v>
      </c>
      <c r="H140" s="526"/>
      <c r="I140" s="527"/>
      <c r="J140" s="526"/>
      <c r="K140" s="527"/>
      <c r="L140" s="526"/>
      <c r="M140" s="527"/>
      <c r="N140" s="526"/>
      <c r="O140" s="527"/>
      <c r="P140" s="526"/>
      <c r="Q140" s="527"/>
      <c r="R140" s="526"/>
      <c r="S140" s="527"/>
      <c r="T140" s="526"/>
      <c r="U140" s="527"/>
      <c r="V140" s="526"/>
      <c r="W140" s="527"/>
      <c r="X140" s="526"/>
      <c r="Y140" s="527"/>
      <c r="Z140" s="526"/>
      <c r="AA140" s="527"/>
      <c r="AB140" s="526"/>
      <c r="AC140" s="527"/>
      <c r="AD140" s="526"/>
      <c r="AE140" s="527"/>
      <c r="AF140" s="557">
        <f ca="1">IFERROR(INDIRECT(CONCATENATE("'Height Input'!"&amp;B134&amp;C134+4)),"")</f>
        <v>2.5</v>
      </c>
      <c r="AG140" s="558"/>
      <c r="AH140" s="48"/>
      <c r="AI140" s="48"/>
      <c r="AJ140" s="49">
        <f ca="1">IFERROR(IF(AF140="X",MatchDay!$U$2+MatchDay!$U$2+1-COUNTIF($AF136:AF140,"X"),IF(AF140&gt;=97,1,INT(INDIRECT(CONCATENATE("'Height Input'!"&amp;$B133&amp;$C134+4))))),"")</f>
        <v>1</v>
      </c>
      <c r="AK140" s="50" t="str">
        <f ca="1">IFERROR(IF(OR(AJ140=0,AJ140=""),0,IF(OR(AJ140&lt;=VLOOKUP(BT140,$E144:$AJ151,32,FALSE),VLOOKUP(BT140,$E144:$AJ151,32,FALSE)=0),"A","B")),0)</f>
        <v>A</v>
      </c>
      <c r="AL140" s="139">
        <f ca="1">IFERROR(IF(OR(AK140=0,AK140="B"),"",RANK(AW140,AW136:AW151,1)),"")</f>
        <v>1</v>
      </c>
      <c r="AM140" s="139" t="str">
        <f ca="1">IFERROR(IF(OR(AK140=0,AK140="A"),"",RANK(AX140,AX136:AX151,1)),"")</f>
        <v/>
      </c>
      <c r="AN140" s="51">
        <f ca="1">IFERROR(IF(AF140="X",0,(INDIRECT(CONCATENATE("'Height Input'!"&amp;$B133&amp;$C134+4))-AJ140)*10),"")</f>
        <v>0</v>
      </c>
      <c r="AO140" s="8"/>
      <c r="AP140" s="9" t="str">
        <f t="shared" ca="1" si="50"/>
        <v/>
      </c>
      <c r="AQ140" s="9" t="str">
        <f ca="1">IF(AR140="","",HLOOKUP(AL140,BC135:BJ152,18,FALSE))</f>
        <v/>
      </c>
      <c r="AR140" s="45" t="str">
        <f ca="1">IF(OR(AL140=0,AL140=""),"",IF(COUNTIFS(AL136:AL151,AL140)&gt;1,"=",""))</f>
        <v/>
      </c>
      <c r="AS140" s="45"/>
      <c r="AT140" s="9" t="str">
        <f t="shared" ca="1" si="51"/>
        <v/>
      </c>
      <c r="AU140" s="9" t="str">
        <f ca="1">IF(AV140="","",HLOOKUP(AM140,BK135:BR152,18,FALSE))</f>
        <v/>
      </c>
      <c r="AV140" s="45" t="str">
        <f ca="1">IF(OR(AM140=0,AM140=""),"",IF(COUNTIFS(AM136:AM151,AM140)&gt;1,"=",""))</f>
        <v/>
      </c>
      <c r="AW140" s="9">
        <f t="shared" ca="1" si="45"/>
        <v>1</v>
      </c>
      <c r="AX140" s="9" t="str">
        <f t="shared" ca="1" si="46"/>
        <v/>
      </c>
      <c r="AY140" s="47"/>
      <c r="AZ140" s="151">
        <f t="shared" ca="1" si="47"/>
        <v>1</v>
      </c>
      <c r="BA140" s="151" t="str">
        <f t="shared" ca="1" si="48"/>
        <v/>
      </c>
      <c r="BB140" s="9"/>
      <c r="BC140" s="52">
        <f ca="1">IF(AL140="","",IF(AL140=BC135,AL140,""))</f>
        <v>1</v>
      </c>
      <c r="BD140" s="52" t="str">
        <f ca="1">IF(AL140="","",IF(AL140=BD135,AL140,""))</f>
        <v/>
      </c>
      <c r="BE140" s="52" t="str">
        <f ca="1">IF(AL140="","",IF(AL140=BE135,AL140,""))</f>
        <v/>
      </c>
      <c r="BF140" s="52" t="str">
        <f ca="1">IF(AL140="","",IF(AL140=BF135,AL140,""))</f>
        <v/>
      </c>
      <c r="BG140" s="52" t="str">
        <f ca="1">IF(AL140="","",IF(AL140=BG135,AL140,""))</f>
        <v/>
      </c>
      <c r="BH140" s="52" t="str">
        <f ca="1">IF(AL140="","",IF(AL140=BH135,AL140,""))</f>
        <v/>
      </c>
      <c r="BI140" s="52" t="str">
        <f ca="1">IF(AL140="","",IF(AL140=BI135,AL140,""))</f>
        <v/>
      </c>
      <c r="BJ140" s="52" t="str">
        <f ca="1">IF(AL140="","",IF(AL140=BJ135,AL140,""))</f>
        <v/>
      </c>
      <c r="BK140" s="52" t="str">
        <f ca="1">IF(AM140="","",IF(AM140=BK135,AM140,""))</f>
        <v/>
      </c>
      <c r="BL140" s="52" t="str">
        <f ca="1">IF(AM140="","",IF(AM140=BL135,AM140,""))</f>
        <v/>
      </c>
      <c r="BM140" s="52" t="str">
        <f ca="1">IF(AM140="","",IF(AM140=BM135,AM140,""))</f>
        <v/>
      </c>
      <c r="BN140" s="52" t="str">
        <f ca="1">IF(AM140="","",IF(AM140=BN135,AM140,""))</f>
        <v/>
      </c>
      <c r="BO140" s="52" t="str">
        <f ca="1">IF(AM140="","",IF(AM140=BO135,AM140,""))</f>
        <v/>
      </c>
      <c r="BP140" s="52" t="str">
        <f ca="1">IF(AM140="","",IF(AM140=BP135,AM140,""))</f>
        <v/>
      </c>
      <c r="BQ140" s="52" t="str">
        <f ca="1">IF(AM140="","",IF(AM140=BQ135,AM140,""))</f>
        <v/>
      </c>
      <c r="BR140" s="52" t="str">
        <f ca="1">IF(AM140="","",IF(AM140=BR135,AM140,""))</f>
        <v/>
      </c>
      <c r="BS140" s="46"/>
      <c r="BT140" s="4">
        <f>IFERROR(IF(A135=0,A140*11,A140&amp;A140),"")</f>
        <v>11</v>
      </c>
    </row>
    <row r="141" spans="1:72" s="4" customFormat="1" ht="15.95" customHeight="1" x14ac:dyDescent="0.35">
      <c r="A141" s="8" t="str">
        <f>IFERROR(IF(D141&gt;MatchDay!$U$2,"-",VLOOKUP(A132,timetables,MatchDay!$U$4+5,FALSE)),0)</f>
        <v>-</v>
      </c>
      <c r="B141" s="10" t="str">
        <f ca="1">IFERROR(IF(OR(AK141=0,AK141="B"),"",RANK(AZ141,AZ136:AZ151,1)),"")</f>
        <v/>
      </c>
      <c r="C141" s="10" t="str">
        <f ca="1">IFERROR(IF(OR(AK141=0,AK141="A"),"",RANK(BA141,BA136:BA151,1)),"")</f>
        <v/>
      </c>
      <c r="D141" s="55">
        <v>6</v>
      </c>
      <c r="E141" s="17" t="str">
        <f t="shared" si="49"/>
        <v>-</v>
      </c>
      <c r="F141" s="18" t="str">
        <f>IFERROR(IF(A135=0,HLOOKUP(E141,Declarations!$D$2:$S$102,C133,FALSE),HLOOKUP(VLOOKUP(E141,Teams!$V$2:$W$19,2,FALSE),Declarations!$D$2:$S$102,C133,FALSE)),"")</f>
        <v/>
      </c>
      <c r="G141" s="18" t="str">
        <f t="shared" si="44"/>
        <v/>
      </c>
      <c r="H141" s="526"/>
      <c r="I141" s="527"/>
      <c r="J141" s="526"/>
      <c r="K141" s="527"/>
      <c r="L141" s="526"/>
      <c r="M141" s="527"/>
      <c r="N141" s="526"/>
      <c r="O141" s="527"/>
      <c r="P141" s="526"/>
      <c r="Q141" s="527"/>
      <c r="R141" s="526"/>
      <c r="S141" s="527"/>
      <c r="T141" s="526"/>
      <c r="U141" s="527"/>
      <c r="V141" s="526"/>
      <c r="W141" s="527"/>
      <c r="X141" s="526"/>
      <c r="Y141" s="527"/>
      <c r="Z141" s="526"/>
      <c r="AA141" s="527"/>
      <c r="AB141" s="526"/>
      <c r="AC141" s="527"/>
      <c r="AD141" s="526"/>
      <c r="AE141" s="527"/>
      <c r="AF141" s="557">
        <f ca="1">IFERROR(INDIRECT(CONCATENATE("'Height Input'!"&amp;B134&amp;C134+5)),"")</f>
        <v>0</v>
      </c>
      <c r="AG141" s="558"/>
      <c r="AH141" s="48"/>
      <c r="AI141" s="48"/>
      <c r="AJ141" s="49">
        <f ca="1">IFERROR(IF(AF141="X",MatchDay!$U$2+MatchDay!$U$2+1-COUNTIF($AF136:AF141,"X"),IF(AF141&gt;=97,1,INT(INDIRECT(CONCATENATE("'Height Input'!"&amp;$B133&amp;$C134+5))))),"")</f>
        <v>0</v>
      </c>
      <c r="AK141" s="50">
        <f ca="1">IFERROR(IF(OR(AJ141=0,AJ141=""),0,IF(OR(AJ141&lt;=VLOOKUP(BT141,$E144:$AJ151,32,FALSE),VLOOKUP(BT141,$E144:$AJ151,32,FALSE)=0),"A","B")),0)</f>
        <v>0</v>
      </c>
      <c r="AL141" s="139" t="str">
        <f ca="1">IFERROR(IF(OR(AK141=0,AK141="B"),"",RANK(AW141,AW136:AW151,1)),"")</f>
        <v/>
      </c>
      <c r="AM141" s="139" t="str">
        <f ca="1">IFERROR(IF(OR(AK141=0,AK141="A"),"",RANK(AX141,AX136:AX151,1)),"")</f>
        <v/>
      </c>
      <c r="AN141" s="51">
        <f ca="1">IFERROR(IF(AF141="X",0,(INDIRECT(CONCATENATE("'Height Input'!"&amp;$B133&amp;$C134+5))-AJ141)*10),"")</f>
        <v>0</v>
      </c>
      <c r="AO141" s="8"/>
      <c r="AP141" s="9" t="str">
        <f t="shared" ca="1" si="50"/>
        <v/>
      </c>
      <c r="AQ141" s="9" t="str">
        <f ca="1">IF(AR141="","",HLOOKUP(AL141,BC135:BJ152,18,FALSE))</f>
        <v/>
      </c>
      <c r="AR141" s="45" t="str">
        <f ca="1">IF(OR(AL141=0,AL141=""),"",IF(COUNTIFS(AL136:AL151,AL141)&gt;1,"=",""))</f>
        <v/>
      </c>
      <c r="AS141" s="45"/>
      <c r="AT141" s="9" t="str">
        <f t="shared" ca="1" si="51"/>
        <v/>
      </c>
      <c r="AU141" s="9" t="str">
        <f ca="1">IF(AV141="","",HLOOKUP(AM141,BK135:BR152,18,FALSE))</f>
        <v/>
      </c>
      <c r="AV141" s="45" t="str">
        <f ca="1">IF(OR(AM141=0,AM141=""),"",IF(COUNTIFS(AM136:AM151,AM141)&gt;1,"=",""))</f>
        <v/>
      </c>
      <c r="AW141" s="9" t="str">
        <f t="shared" ca="1" si="45"/>
        <v/>
      </c>
      <c r="AX141" s="9" t="str">
        <f t="shared" ca="1" si="46"/>
        <v/>
      </c>
      <c r="AY141" s="47"/>
      <c r="AZ141" s="151" t="str">
        <f t="shared" ca="1" si="47"/>
        <v/>
      </c>
      <c r="BA141" s="151" t="str">
        <f t="shared" ca="1" si="48"/>
        <v/>
      </c>
      <c r="BB141" s="9"/>
      <c r="BC141" s="52" t="str">
        <f ca="1">IF(AL141="","",IF(AL141=BC135,AL141,""))</f>
        <v/>
      </c>
      <c r="BD141" s="52" t="str">
        <f ca="1">IF(AL141="","",IF(AL141=BD135,AL141,""))</f>
        <v/>
      </c>
      <c r="BE141" s="52" t="str">
        <f ca="1">IF(AL141="","",IF(AL141=BE135,AL141,""))</f>
        <v/>
      </c>
      <c r="BF141" s="52" t="str">
        <f ca="1">IF(AL141="","",IF(AL141=BF135,AL141,""))</f>
        <v/>
      </c>
      <c r="BG141" s="52" t="str">
        <f ca="1">IF(AL141="","",IF(AL141=BG135,AL141,""))</f>
        <v/>
      </c>
      <c r="BH141" s="52" t="str">
        <f ca="1">IF(AL141="","",IF(AL141=BH135,AL141,""))</f>
        <v/>
      </c>
      <c r="BI141" s="52" t="str">
        <f ca="1">IF(AL141="","",IF(AL141=BI135,AL141,""))</f>
        <v/>
      </c>
      <c r="BJ141" s="52" t="str">
        <f ca="1">IF(AL141="","",IF(AL141=BJ135,AL141,""))</f>
        <v/>
      </c>
      <c r="BK141" s="52" t="str">
        <f ca="1">IF(AM141="","",IF(AM141=BK135,AM141,""))</f>
        <v/>
      </c>
      <c r="BL141" s="52" t="str">
        <f ca="1">IF(AM141="","",IF(AM141=BL135,AM141,""))</f>
        <v/>
      </c>
      <c r="BM141" s="52" t="str">
        <f ca="1">IF(AM141="","",IF(AM141=BM135,AM141,""))</f>
        <v/>
      </c>
      <c r="BN141" s="52" t="str">
        <f ca="1">IF(AM141="","",IF(AM141=BN135,AM141,""))</f>
        <v/>
      </c>
      <c r="BO141" s="52" t="str">
        <f ca="1">IF(AM141="","",IF(AM141=BO135,AM141,""))</f>
        <v/>
      </c>
      <c r="BP141" s="52" t="str">
        <f ca="1">IF(AM141="","",IF(AM141=BP135,AM141,""))</f>
        <v/>
      </c>
      <c r="BQ141" s="52" t="str">
        <f ca="1">IF(AM141="","",IF(AM141=BQ135,AM141,""))</f>
        <v/>
      </c>
      <c r="BR141" s="52" t="str">
        <f ca="1">IF(AM141="","",IF(AM141=BR135,AM141,""))</f>
        <v/>
      </c>
      <c r="BS141" s="46"/>
      <c r="BT141" s="4" t="str">
        <f>IFERROR(IF(A135=0,A141*11,A141&amp;A141),"")</f>
        <v/>
      </c>
    </row>
    <row r="142" spans="1:72" s="4" customFormat="1" ht="15.95" customHeight="1" x14ac:dyDescent="0.35">
      <c r="A142" s="8" t="str">
        <f>IFERROR(IF(D142&gt;MatchDay!$U$2,"-",VLOOKUP(A132,timetables,MatchDay!$U$4+6,FALSE)),0)</f>
        <v>-</v>
      </c>
      <c r="B142" s="10" t="str">
        <f ca="1">IFERROR(IF(OR(AK142=0,AK142="B"),"",RANK(AZ142,AZ136:AZ151,1)),"")</f>
        <v/>
      </c>
      <c r="C142" s="10" t="str">
        <f ca="1">IFERROR(IF(OR(AK142=0,AK142="A"),"",RANK(BA142,BA136:BA151,1)),"")</f>
        <v/>
      </c>
      <c r="D142" s="55">
        <v>7</v>
      </c>
      <c r="E142" s="17" t="str">
        <f t="shared" si="49"/>
        <v>-</v>
      </c>
      <c r="F142" s="18" t="str">
        <f>IFERROR(IF(A135=0,HLOOKUP(E142,Declarations!$D$2:$S$102,C133,FALSE),HLOOKUP(VLOOKUP(E142,Teams!$V$2:$W$19,2,FALSE),Declarations!$D$2:$S$102,C133,FALSE)),"")</f>
        <v/>
      </c>
      <c r="G142" s="18" t="str">
        <f t="shared" si="44"/>
        <v/>
      </c>
      <c r="H142" s="526"/>
      <c r="I142" s="527"/>
      <c r="J142" s="526"/>
      <c r="K142" s="527"/>
      <c r="L142" s="526"/>
      <c r="M142" s="527"/>
      <c r="N142" s="526"/>
      <c r="O142" s="527"/>
      <c r="P142" s="526"/>
      <c r="Q142" s="527"/>
      <c r="R142" s="526"/>
      <c r="S142" s="527"/>
      <c r="T142" s="526"/>
      <c r="U142" s="527"/>
      <c r="V142" s="526"/>
      <c r="W142" s="527"/>
      <c r="X142" s="526"/>
      <c r="Y142" s="527"/>
      <c r="Z142" s="526"/>
      <c r="AA142" s="527"/>
      <c r="AB142" s="526"/>
      <c r="AC142" s="527"/>
      <c r="AD142" s="526"/>
      <c r="AE142" s="527"/>
      <c r="AF142" s="557">
        <f ca="1">IFERROR(INDIRECT(CONCATENATE("'Height Input'!"&amp;B134&amp;C134+6)),"")</f>
        <v>0</v>
      </c>
      <c r="AG142" s="558"/>
      <c r="AH142" s="48"/>
      <c r="AI142" s="48"/>
      <c r="AJ142" s="49">
        <f ca="1">IFERROR(IF(AF142="X",MatchDay!$U$2+MatchDay!$U$2+1-COUNTIF($AF136:AF142,"X"),IF(AF142&gt;=97,1,INT(INDIRECT(CONCATENATE("'Height Input'!"&amp;$B133&amp;$C134+6))))),"")</f>
        <v>0</v>
      </c>
      <c r="AK142" s="50">
        <f ca="1">IFERROR(IF(OR(AJ142=0,AJ142=""),0,IF(OR(AJ142&lt;=VLOOKUP(BT142,$E144:$AJ151,32,FALSE),VLOOKUP(BT142,$E144:$AJ151,32,FALSE)=0),"A","B")),0)</f>
        <v>0</v>
      </c>
      <c r="AL142" s="139" t="str">
        <f ca="1">IFERROR(IF(OR(AK142=0,AK142="B"),"",RANK(AW142,AW136:AW151,1)),"")</f>
        <v/>
      </c>
      <c r="AM142" s="139" t="str">
        <f ca="1">IFERROR(IF(OR(AK142=0,AK142="A"),"",RANK(AX142,AX136:AX151,1)),"")</f>
        <v/>
      </c>
      <c r="AN142" s="51">
        <f ca="1">IFERROR(IF(AF142="X",0,(INDIRECT(CONCATENATE("'Height Input'!"&amp;$B133&amp;$C134+6))-AJ142)*10),"")</f>
        <v>0</v>
      </c>
      <c r="AO142" s="8"/>
      <c r="AP142" s="9" t="str">
        <f t="shared" ca="1" si="50"/>
        <v/>
      </c>
      <c r="AQ142" s="9" t="str">
        <f ca="1">IF(AR142="","",HLOOKUP(AL142,BC135:BJ152,18,FALSE))</f>
        <v/>
      </c>
      <c r="AR142" s="45" t="str">
        <f ca="1">IF(OR(AL142=0,AL142=""),"",IF(COUNTIFS(AL136:AL151,AL142)&gt;1,"=",""))</f>
        <v/>
      </c>
      <c r="AS142" s="45"/>
      <c r="AT142" s="9" t="str">
        <f t="shared" ca="1" si="51"/>
        <v/>
      </c>
      <c r="AU142" s="9" t="str">
        <f ca="1">IF(AV142="","",HLOOKUP(AM142,BK135:BR152,18,FALSE))</f>
        <v/>
      </c>
      <c r="AV142" s="45" t="str">
        <f ca="1">IF(OR(AM142=0,AM142=""),"",IF(COUNTIFS(AM136:AM151,AM142)&gt;1,"=",""))</f>
        <v/>
      </c>
      <c r="AW142" s="9" t="str">
        <f t="shared" ca="1" si="45"/>
        <v/>
      </c>
      <c r="AX142" s="9" t="str">
        <f t="shared" ca="1" si="46"/>
        <v/>
      </c>
      <c r="AY142" s="47"/>
      <c r="AZ142" s="151" t="str">
        <f t="shared" ca="1" si="47"/>
        <v/>
      </c>
      <c r="BA142" s="151" t="str">
        <f t="shared" ca="1" si="48"/>
        <v/>
      </c>
      <c r="BB142" s="9"/>
      <c r="BC142" s="52" t="str">
        <f ca="1">IF(AL142="","",IF(AL142=BC135,AL142,""))</f>
        <v/>
      </c>
      <c r="BD142" s="52" t="str">
        <f ca="1">IF(AL142="","",IF(AL142=BD135,AL142,""))</f>
        <v/>
      </c>
      <c r="BE142" s="52" t="str">
        <f ca="1">IF(AL142="","",IF(AL142=BE135,AL142,""))</f>
        <v/>
      </c>
      <c r="BF142" s="52" t="str">
        <f ca="1">IF(AL142="","",IF(AL142=BF135,AL142,""))</f>
        <v/>
      </c>
      <c r="BG142" s="52" t="str">
        <f ca="1">IF(AL142="","",IF(AL142=BG135,AL142,""))</f>
        <v/>
      </c>
      <c r="BH142" s="52" t="str">
        <f ca="1">IF(AL142="","",IF(AL142=BH135,AL142,""))</f>
        <v/>
      </c>
      <c r="BI142" s="52" t="str">
        <f ca="1">IF(AL142="","",IF(AL142=BI135,AL142,""))</f>
        <v/>
      </c>
      <c r="BJ142" s="52" t="str">
        <f ca="1">IF(AL142="","",IF(AL142=BJ135,AL142,""))</f>
        <v/>
      </c>
      <c r="BK142" s="52" t="str">
        <f ca="1">IF(AM142="","",IF(AM142=BK135,AM142,""))</f>
        <v/>
      </c>
      <c r="BL142" s="52" t="str">
        <f ca="1">IF(AM142="","",IF(AM142=BL135,AM142,""))</f>
        <v/>
      </c>
      <c r="BM142" s="52" t="str">
        <f ca="1">IF(AM142="","",IF(AM142=BM135,AM142,""))</f>
        <v/>
      </c>
      <c r="BN142" s="52" t="str">
        <f ca="1">IF(AM142="","",IF(AM142=BN135,AM142,""))</f>
        <v/>
      </c>
      <c r="BO142" s="52" t="str">
        <f ca="1">IF(AM142="","",IF(AM142=BO135,AM142,""))</f>
        <v/>
      </c>
      <c r="BP142" s="52" t="str">
        <f ca="1">IF(AM142="","",IF(AM142=BP135,AM142,""))</f>
        <v/>
      </c>
      <c r="BQ142" s="52" t="str">
        <f ca="1">IF(AM142="","",IF(AM142=BQ135,AM142,""))</f>
        <v/>
      </c>
      <c r="BR142" s="52" t="str">
        <f ca="1">IF(AM142="","",IF(AM142=BR135,AM142,""))</f>
        <v/>
      </c>
      <c r="BS142" s="46"/>
      <c r="BT142" s="4" t="str">
        <f>IFERROR(IF(A135=0,A142*11,A142&amp;A142),"")</f>
        <v/>
      </c>
    </row>
    <row r="143" spans="1:72" s="4" customFormat="1" ht="15.95" customHeight="1" x14ac:dyDescent="0.35">
      <c r="A143" s="8" t="str">
        <f>IFERROR(IF(D143&gt;MatchDay!$U$2,"-",VLOOKUP(A132,timetables,MatchDay!$U$4+7,FALSE)),0)</f>
        <v>-</v>
      </c>
      <c r="B143" s="10" t="str">
        <f ca="1">IFERROR(IF(OR(AK143=0,AK143="B"),"",RANK(AZ143,AZ136:AZ151,1)),"")</f>
        <v/>
      </c>
      <c r="C143" s="10" t="str">
        <f ca="1">IFERROR(IF(OR(AK143=0,AK143="A"),"",RANK(BA143,BA136:BA151,1)),"")</f>
        <v/>
      </c>
      <c r="D143" s="55">
        <v>8</v>
      </c>
      <c r="E143" s="17" t="str">
        <f t="shared" si="49"/>
        <v>-</v>
      </c>
      <c r="F143" s="18" t="str">
        <f>IFERROR(IF(A135=0,HLOOKUP(E143,Declarations!$D$2:$S$102,C133,FALSE),HLOOKUP(VLOOKUP(E143,Teams!$V$2:$W$19,2,FALSE),Declarations!$D$2:$S$102,C133,FALSE)),"")</f>
        <v/>
      </c>
      <c r="G143" s="18" t="str">
        <f t="shared" si="44"/>
        <v/>
      </c>
      <c r="H143" s="526"/>
      <c r="I143" s="527"/>
      <c r="J143" s="526"/>
      <c r="K143" s="527"/>
      <c r="L143" s="526"/>
      <c r="M143" s="527"/>
      <c r="N143" s="526"/>
      <c r="O143" s="527"/>
      <c r="P143" s="526"/>
      <c r="Q143" s="527"/>
      <c r="R143" s="526"/>
      <c r="S143" s="527"/>
      <c r="T143" s="526"/>
      <c r="U143" s="527"/>
      <c r="V143" s="526"/>
      <c r="W143" s="527"/>
      <c r="X143" s="526"/>
      <c r="Y143" s="527"/>
      <c r="Z143" s="526"/>
      <c r="AA143" s="527"/>
      <c r="AB143" s="526"/>
      <c r="AC143" s="527"/>
      <c r="AD143" s="526"/>
      <c r="AE143" s="527"/>
      <c r="AF143" s="557">
        <f ca="1">IFERROR(INDIRECT(CONCATENATE("'Height Input'!"&amp;B134&amp;C134+7)),"")</f>
        <v>0</v>
      </c>
      <c r="AG143" s="558"/>
      <c r="AH143" s="48"/>
      <c r="AI143" s="48"/>
      <c r="AJ143" s="49">
        <f ca="1">IFERROR(IF(AF143="X",MatchDay!$U$2+MatchDay!$U$2+1-COUNTIF($AF136:AF143,"X"),IF(AF143&gt;=97,1,INT(INDIRECT(CONCATENATE("'Height Input'!"&amp;$B133&amp;$C134+7))))),"")</f>
        <v>0</v>
      </c>
      <c r="AK143" s="50">
        <f ca="1">IFERROR(IF(OR(AJ143=0,AJ143=""),0,IF(OR(AJ143&lt;=VLOOKUP(BT143,$E144:$AJ151,32,FALSE),VLOOKUP(BT143,$E144:$AJ151,32,FALSE)=0),"A","B")),0)</f>
        <v>0</v>
      </c>
      <c r="AL143" s="139" t="str">
        <f ca="1">IFERROR(IF(OR(AK143=0,AK143="B"),"",RANK(AW143,AW136:AW151,1)),"")</f>
        <v/>
      </c>
      <c r="AM143" s="139" t="str">
        <f ca="1">IFERROR(IF(OR(AK143=0,AK143="A"),"",RANK(AX143,AX136:AX151,1)),"")</f>
        <v/>
      </c>
      <c r="AN143" s="51">
        <f ca="1">IFERROR(IF(AF143="X",0,(INDIRECT(CONCATENATE("'Height Input'!"&amp;$B133&amp;$C134+7))-AJ143)*10),"")</f>
        <v>0</v>
      </c>
      <c r="AO143" s="8"/>
      <c r="AP143" s="9" t="str">
        <f t="shared" ca="1" si="50"/>
        <v/>
      </c>
      <c r="AQ143" s="9" t="str">
        <f ca="1">IF(AR143="","",HLOOKUP(AL143,BC135:BJ152,18,FALSE))</f>
        <v/>
      </c>
      <c r="AR143" s="45" t="str">
        <f ca="1">IF(OR(AL143=0,AL143=""),"",IF(COUNTIFS(AL136:AL151,AL143)&gt;1,"=",""))</f>
        <v/>
      </c>
      <c r="AS143" s="45"/>
      <c r="AT143" s="9" t="str">
        <f t="shared" ca="1" si="51"/>
        <v/>
      </c>
      <c r="AU143" s="9" t="str">
        <f ca="1">IF(AV143="","",HLOOKUP(AM143,BK135:BR152,18,FALSE))</f>
        <v/>
      </c>
      <c r="AV143" s="45" t="str">
        <f ca="1">IF(OR(AM143=0,AM143=""),"",IF(COUNTIFS(AM136:AM151,AM143)&gt;1,"=",""))</f>
        <v/>
      </c>
      <c r="AW143" s="9" t="str">
        <f t="shared" ca="1" si="45"/>
        <v/>
      </c>
      <c r="AX143" s="9" t="str">
        <f t="shared" ca="1" si="46"/>
        <v/>
      </c>
      <c r="AY143" s="47"/>
      <c r="AZ143" s="151" t="str">
        <f t="shared" ca="1" si="47"/>
        <v/>
      </c>
      <c r="BA143" s="151" t="str">
        <f t="shared" ca="1" si="48"/>
        <v/>
      </c>
      <c r="BB143" s="9"/>
      <c r="BC143" s="52" t="str">
        <f ca="1">IF(AL143="","",IF(AL143=BC135,AL143,""))</f>
        <v/>
      </c>
      <c r="BD143" s="52" t="str">
        <f ca="1">IF(AL143="","",IF(AL143=BD135,AL143,""))</f>
        <v/>
      </c>
      <c r="BE143" s="52" t="str">
        <f ca="1">IF(AL143="","",IF(AL143=BE135,AL143,""))</f>
        <v/>
      </c>
      <c r="BF143" s="52" t="str">
        <f ca="1">IF(AL143="","",IF(AL143=BF135,AL143,""))</f>
        <v/>
      </c>
      <c r="BG143" s="52" t="str">
        <f ca="1">IF(AL143="","",IF(AL143=BG135,AL143,""))</f>
        <v/>
      </c>
      <c r="BH143" s="52" t="str">
        <f ca="1">IF(AL143="","",IF(AL143=BH135,AL143,""))</f>
        <v/>
      </c>
      <c r="BI143" s="52" t="str">
        <f ca="1">IF(AL143="","",IF(AL143=BI135,AL143,""))</f>
        <v/>
      </c>
      <c r="BJ143" s="52" t="str">
        <f ca="1">IF(AL143="","",IF(AL143=BJ135,AL143,""))</f>
        <v/>
      </c>
      <c r="BK143" s="52" t="str">
        <f ca="1">IF(AM143="","",IF(AM143=BK135,AM143,""))</f>
        <v/>
      </c>
      <c r="BL143" s="52" t="str">
        <f ca="1">IF(AM143="","",IF(AM143=BL135,AM143,""))</f>
        <v/>
      </c>
      <c r="BM143" s="52" t="str">
        <f ca="1">IF(AM143="","",IF(AM143=BM135,AM143,""))</f>
        <v/>
      </c>
      <c r="BN143" s="52" t="str">
        <f ca="1">IF(AM143="","",IF(AM143=BN135,AM143,""))</f>
        <v/>
      </c>
      <c r="BO143" s="52" t="str">
        <f ca="1">IF(AM143="","",IF(AM143=BO135,AM143,""))</f>
        <v/>
      </c>
      <c r="BP143" s="52" t="str">
        <f ca="1">IF(AM143="","",IF(AM143=BP135,AM143,""))</f>
        <v/>
      </c>
      <c r="BQ143" s="52" t="str">
        <f ca="1">IF(AM143="","",IF(AM143=BQ135,AM143,""))</f>
        <v/>
      </c>
      <c r="BR143" s="52" t="str">
        <f ca="1">IF(AM143="","",IF(AM143=BR135,AM143,""))</f>
        <v/>
      </c>
      <c r="BS143" s="46"/>
      <c r="BT143" s="4" t="str">
        <f>IFERROR(IF(A135=0,A143*11,A143&amp;A143),"")</f>
        <v/>
      </c>
    </row>
    <row r="144" spans="1:72" s="4" customFormat="1" ht="15.95" customHeight="1" x14ac:dyDescent="0.35">
      <c r="A144" s="8">
        <f>IFERROR(IF(A135=0,A136*11,A136&amp;A136),"-")</f>
        <v>22</v>
      </c>
      <c r="B144" s="10" t="str">
        <f ca="1">IFERROR(IF(OR(AK144=0,AK144="B"),"",RANK(AZ144,AZ136:AZ151,1)),"")</f>
        <v/>
      </c>
      <c r="C144" s="10" t="str">
        <f ca="1">IFERROR(IF(OR(AK144=0,AK144="A"),"",RANK(BA144,BA136:BA151,1)),"")</f>
        <v/>
      </c>
      <c r="D144" s="55">
        <v>9</v>
      </c>
      <c r="E144" s="17">
        <f t="shared" si="49"/>
        <v>22</v>
      </c>
      <c r="F144" s="18">
        <f ca="1">IFERROR(IF(A135=0,HLOOKUP(E144,Declarations!$D$2:$S$102,C133,FALSE),HLOOKUP(VLOOKUP(E144,Teams!$V$2:$W$19,2,FALSE),Declarations!$D$2:$S$102,C133,FALSE)),"")</f>
        <v>0</v>
      </c>
      <c r="G144" s="18" t="str">
        <f t="shared" si="44"/>
        <v>Sheff+D</v>
      </c>
      <c r="H144" s="526"/>
      <c r="I144" s="527"/>
      <c r="J144" s="526"/>
      <c r="K144" s="527"/>
      <c r="L144" s="526"/>
      <c r="M144" s="527"/>
      <c r="N144" s="526"/>
      <c r="O144" s="527"/>
      <c r="P144" s="526"/>
      <c r="Q144" s="527"/>
      <c r="R144" s="526"/>
      <c r="S144" s="527"/>
      <c r="T144" s="526"/>
      <c r="U144" s="527"/>
      <c r="V144" s="526"/>
      <c r="W144" s="527"/>
      <c r="X144" s="526"/>
      <c r="Y144" s="527"/>
      <c r="Z144" s="526"/>
      <c r="AA144" s="527"/>
      <c r="AB144" s="526"/>
      <c r="AC144" s="527"/>
      <c r="AD144" s="526"/>
      <c r="AE144" s="527"/>
      <c r="AF144" s="557">
        <f ca="1">IFERROR(INDIRECT(CONCATENATE("'Height Input'!"&amp;B134&amp;C134+8)),"")</f>
        <v>0</v>
      </c>
      <c r="AG144" s="558"/>
      <c r="AH144" s="48"/>
      <c r="AI144" s="48"/>
      <c r="AJ144" s="49">
        <f ca="1">IFERROR(IF(AF144="X",MatchDay!$U$2+MatchDay!$U$2+1-COUNTIF($AF136:AF144,"X"),IF(AF144&gt;=97,1,INT(INDIRECT(CONCATENATE("'Height Input'!"&amp;$B133&amp;$C134+8))))),"")</f>
        <v>0</v>
      </c>
      <c r="AK144" s="50">
        <f ca="1">IFERROR(IF(OR(AJ144=0,AJ144=""),0,IF(OR(AJ144&lt;VLOOKUP(BT144,$E136:$AJ143,32,FALSE),VLOOKUP(BT144,$E136:$AJ143,32,FALSE)=0),"A","B")),0)</f>
        <v>0</v>
      </c>
      <c r="AL144" s="139" t="str">
        <f ca="1">IFERROR(IF(OR(AK144=0,AK144="B"),"",RANK(AW144,AW136:AW151,1)),"")</f>
        <v/>
      </c>
      <c r="AM144" s="139" t="str">
        <f ca="1">IFERROR(IF(OR(AK144=0,AK144="A"),"",RANK(AX144,AX136:AX151,1)),"")</f>
        <v/>
      </c>
      <c r="AN144" s="51">
        <f ca="1">IFERROR(IF(AF144="X",0,(INDIRECT(CONCATENATE("'Height Input'!"&amp;$B133&amp;$C134+8))-AJ144)*10),"")</f>
        <v>0</v>
      </c>
      <c r="AO144" s="8"/>
      <c r="AP144" s="9" t="str">
        <f t="shared" ca="1" si="50"/>
        <v/>
      </c>
      <c r="AQ144" s="9" t="str">
        <f ca="1">IF(AR144="","",HLOOKUP(AL144,BC135:BJ152,18,FALSE))</f>
        <v/>
      </c>
      <c r="AR144" s="45" t="str">
        <f ca="1">IF(OR(AL144=0,AL144=""),"",IF(COUNTIFS(AL136:AL151,AL144)&gt;1,"=",""))</f>
        <v/>
      </c>
      <c r="AS144" s="45"/>
      <c r="AT144" s="9" t="str">
        <f t="shared" ca="1" si="51"/>
        <v/>
      </c>
      <c r="AU144" s="9" t="str">
        <f ca="1">IF(AV144="","",HLOOKUP(AM144,BK135:BR152,18,FALSE))</f>
        <v/>
      </c>
      <c r="AV144" s="45" t="str">
        <f ca="1">IF(OR(AM144=0,AM144=""),"",IF(COUNTIFS(AM136:AM151,AM144)&gt;1,"=",""))</f>
        <v/>
      </c>
      <c r="AW144" s="9" t="str">
        <f t="shared" ca="1" si="45"/>
        <v/>
      </c>
      <c r="AX144" s="9" t="str">
        <f t="shared" ca="1" si="46"/>
        <v/>
      </c>
      <c r="AY144" s="47"/>
      <c r="AZ144" s="151" t="str">
        <f t="shared" ca="1" si="47"/>
        <v/>
      </c>
      <c r="BA144" s="151" t="str">
        <f t="shared" ca="1" si="48"/>
        <v/>
      </c>
      <c r="BB144" s="9"/>
      <c r="BC144" s="52" t="str">
        <f ca="1">IF(AL144="","",IF(AL144=BC135,AL144,""))</f>
        <v/>
      </c>
      <c r="BD144" s="52" t="str">
        <f ca="1">IF(AL144="","",IF(AL144=BD135,AL144,""))</f>
        <v/>
      </c>
      <c r="BE144" s="52" t="str">
        <f ca="1">IF(AL144="","",IF(AL144=BE135,AL144,""))</f>
        <v/>
      </c>
      <c r="BF144" s="52" t="str">
        <f ca="1">IF(AL144="","",IF(AL144=BF135,AL144,""))</f>
        <v/>
      </c>
      <c r="BG144" s="52" t="str">
        <f ca="1">IF(AL144="","",IF(AL144=BG135,AL144,""))</f>
        <v/>
      </c>
      <c r="BH144" s="52" t="str">
        <f ca="1">IF(AL144="","",IF(AL144=BH135,AL144,""))</f>
        <v/>
      </c>
      <c r="BI144" s="52" t="str">
        <f ca="1">IF(AL144="","",IF(AL144=BI135,AL144,""))</f>
        <v/>
      </c>
      <c r="BJ144" s="52" t="str">
        <f ca="1">IF(AL144="","",IF(AL144=BJ135,AL144,""))</f>
        <v/>
      </c>
      <c r="BK144" s="52" t="str">
        <f ca="1">IF(AM144="","",IF(AM144=BK135,AM144,""))</f>
        <v/>
      </c>
      <c r="BL144" s="52" t="str">
        <f ca="1">IF(AM144="","",IF(AM144=BL135,AM144,""))</f>
        <v/>
      </c>
      <c r="BM144" s="52" t="str">
        <f ca="1">IF(AM144="","",IF(AM144=BM135,AM144,""))</f>
        <v/>
      </c>
      <c r="BN144" s="52" t="str">
        <f ca="1">IF(AM144="","",IF(AM144=BN135,AM144,""))</f>
        <v/>
      </c>
      <c r="BO144" s="52" t="str">
        <f ca="1">IF(AM144="","",IF(AM144=BO135,AM144,""))</f>
        <v/>
      </c>
      <c r="BP144" s="52" t="str">
        <f ca="1">IF(AM144="","",IF(AM144=BP135,AM144,""))</f>
        <v/>
      </c>
      <c r="BQ144" s="52" t="str">
        <f ca="1">IF(AM144="","",IF(AM144=BQ135,AM144,""))</f>
        <v/>
      </c>
      <c r="BR144" s="52" t="str">
        <f ca="1">IF(AM144="","",IF(AM144=BR135,AM144,""))</f>
        <v/>
      </c>
      <c r="BS144" s="46"/>
      <c r="BT144" s="4">
        <f>IFERROR(IF(A135=0,A144/11,LEFT(A144,1)),"")</f>
        <v>2</v>
      </c>
    </row>
    <row r="145" spans="1:72" s="4" customFormat="1" ht="15.95" customHeight="1" x14ac:dyDescent="0.35">
      <c r="A145" s="8">
        <f>IFERROR(IF(A135=0,A137*11,A137&amp;A137),"-")</f>
        <v>55</v>
      </c>
      <c r="B145" s="10" t="str">
        <f ca="1">IFERROR(IF(OR(AK145=0,AK145="B"),"",RANK(AZ145,AZ136:AZ151,1)),"")</f>
        <v/>
      </c>
      <c r="C145" s="10" t="str">
        <f ca="1">IFERROR(IF(OR(AK145=0,AK145="A"),"",RANK(BA145,BA136:BA151,1)),"")</f>
        <v/>
      </c>
      <c r="D145" s="55">
        <v>10</v>
      </c>
      <c r="E145" s="17">
        <f t="shared" si="49"/>
        <v>55</v>
      </c>
      <c r="F145" s="18">
        <f ca="1">IFERROR(IF(A135=0,HLOOKUP(E145,Declarations!$D$2:$S$102,C133,FALSE),HLOOKUP(VLOOKUP(E145,Teams!$V$2:$W$19,2,FALSE),Declarations!$D$2:$S$102,C133,FALSE)),"")</f>
        <v>0</v>
      </c>
      <c r="G145" s="18" t="str">
        <f t="shared" si="44"/>
        <v>Scun</v>
      </c>
      <c r="H145" s="526"/>
      <c r="I145" s="527"/>
      <c r="J145" s="526"/>
      <c r="K145" s="527"/>
      <c r="L145" s="526"/>
      <c r="M145" s="527"/>
      <c r="N145" s="526"/>
      <c r="O145" s="527"/>
      <c r="P145" s="526"/>
      <c r="Q145" s="527"/>
      <c r="R145" s="526"/>
      <c r="S145" s="527"/>
      <c r="T145" s="526"/>
      <c r="U145" s="527"/>
      <c r="V145" s="526"/>
      <c r="W145" s="527"/>
      <c r="X145" s="526"/>
      <c r="Y145" s="527"/>
      <c r="Z145" s="526"/>
      <c r="AA145" s="527"/>
      <c r="AB145" s="526"/>
      <c r="AC145" s="527"/>
      <c r="AD145" s="526"/>
      <c r="AE145" s="527"/>
      <c r="AF145" s="557">
        <f ca="1">IFERROR(INDIRECT(CONCATENATE("'Height Input'!"&amp;B134&amp;C134+9)),"")</f>
        <v>0</v>
      </c>
      <c r="AG145" s="558"/>
      <c r="AH145" s="48"/>
      <c r="AI145" s="48"/>
      <c r="AJ145" s="49">
        <f ca="1">IFERROR(IF(AF145="X",MatchDay!$U$2+MatchDay!$U$2+1-COUNTIF($AF136:AF145,"X"),IF(AF145&gt;=97,1,INT(INDIRECT(CONCATENATE("'Height Input'!"&amp;$B133&amp;$C134+9))))),"")</f>
        <v>0</v>
      </c>
      <c r="AK145" s="50">
        <f ca="1">IFERROR(IF(OR(AJ145=0,AJ145=""),0,IF(OR(AJ145&lt;VLOOKUP(BT145,$E136:$AJ143,32,FALSE),VLOOKUP(BT145,$E136:$AJ143,32,FALSE)=0),"A","B")),0)</f>
        <v>0</v>
      </c>
      <c r="AL145" s="139" t="str">
        <f ca="1">IFERROR(IF(OR(AK145=0,AK145="B"),"",RANK(AW145,AW136:AW151,1)),"")</f>
        <v/>
      </c>
      <c r="AM145" s="139" t="str">
        <f ca="1">IFERROR(IF(OR(AK145=0,AK145="A"),"",RANK(AX145,AX136:AX151,1)),"")</f>
        <v/>
      </c>
      <c r="AN145" s="51">
        <f ca="1">IFERROR(IF(AF145="X",0,(INDIRECT(CONCATENATE("'Height Input'!"&amp;$B133&amp;$C134+9))-AJ145)*10),"")</f>
        <v>0</v>
      </c>
      <c r="AO145" s="8"/>
      <c r="AP145" s="9" t="str">
        <f t="shared" ca="1" si="50"/>
        <v/>
      </c>
      <c r="AQ145" s="9" t="str">
        <f ca="1">IF(AR145="","",HLOOKUP(AL145,BC135:BJ152,18,FALSE))</f>
        <v/>
      </c>
      <c r="AR145" s="45" t="str">
        <f ca="1">IF(OR(AL145=0,AL145=""),"",IF(COUNTIFS(AL136:AL151,AL145)&gt;1,"=",""))</f>
        <v/>
      </c>
      <c r="AS145" s="45"/>
      <c r="AT145" s="9" t="str">
        <f t="shared" ca="1" si="51"/>
        <v/>
      </c>
      <c r="AU145" s="9" t="str">
        <f ca="1">IF(AV145="","",HLOOKUP(AM145,BK135:BR152,18,FALSE))</f>
        <v/>
      </c>
      <c r="AV145" s="45" t="str">
        <f ca="1">IF(OR(AM145=0,AM145=""),"",IF(COUNTIFS(AM136:AM151,AM145)&gt;1,"=",""))</f>
        <v/>
      </c>
      <c r="AW145" s="9" t="str">
        <f t="shared" ca="1" si="45"/>
        <v/>
      </c>
      <c r="AX145" s="9" t="str">
        <f t="shared" ca="1" si="46"/>
        <v/>
      </c>
      <c r="AY145" s="47"/>
      <c r="AZ145" s="151" t="str">
        <f t="shared" ca="1" si="47"/>
        <v/>
      </c>
      <c r="BA145" s="151" t="str">
        <f t="shared" ca="1" si="48"/>
        <v/>
      </c>
      <c r="BB145" s="9"/>
      <c r="BC145" s="52" t="str">
        <f ca="1">IF(AL145="","",IF(AL145=BC135,AL145,""))</f>
        <v/>
      </c>
      <c r="BD145" s="52" t="str">
        <f ca="1">IF(AL145="","",IF(AL145=BD135,AL145,""))</f>
        <v/>
      </c>
      <c r="BE145" s="52" t="str">
        <f ca="1">IF(AL145="","",IF(AL145=BE135,AL145,""))</f>
        <v/>
      </c>
      <c r="BF145" s="52" t="str">
        <f ca="1">IF(AL145="","",IF(AL145=BF135,AL145,""))</f>
        <v/>
      </c>
      <c r="BG145" s="52" t="str">
        <f ca="1">IF(AL145="","",IF(AL145=BG135,AL145,""))</f>
        <v/>
      </c>
      <c r="BH145" s="52" t="str">
        <f ca="1">IF(AL145="","",IF(AL145=BH135,AL145,""))</f>
        <v/>
      </c>
      <c r="BI145" s="52" t="str">
        <f ca="1">IF(AL145="","",IF(AL145=BI135,AL145,""))</f>
        <v/>
      </c>
      <c r="BJ145" s="52" t="str">
        <f ca="1">IF(AL145="","",IF(AL145=BJ135,AL145,""))</f>
        <v/>
      </c>
      <c r="BK145" s="52" t="str">
        <f ca="1">IF(AM145="","",IF(AM145=BK135,AM145,""))</f>
        <v/>
      </c>
      <c r="BL145" s="52" t="str">
        <f ca="1">IF(AM145="","",IF(AM145=BL135,AM145,""))</f>
        <v/>
      </c>
      <c r="BM145" s="52" t="str">
        <f ca="1">IF(AM145="","",IF(AM145=BM135,AM145,""))</f>
        <v/>
      </c>
      <c r="BN145" s="52" t="str">
        <f ca="1">IF(AM145="","",IF(AM145=BN135,AM145,""))</f>
        <v/>
      </c>
      <c r="BO145" s="52" t="str">
        <f ca="1">IF(AM145="","",IF(AM145=BO135,AM145,""))</f>
        <v/>
      </c>
      <c r="BP145" s="52" t="str">
        <f ca="1">IF(AM145="","",IF(AM145=BP135,AM145,""))</f>
        <v/>
      </c>
      <c r="BQ145" s="52" t="str">
        <f ca="1">IF(AM145="","",IF(AM145=BQ135,AM145,""))</f>
        <v/>
      </c>
      <c r="BR145" s="52" t="str">
        <f ca="1">IF(AM145="","",IF(AM145=BR135,AM145,""))</f>
        <v/>
      </c>
      <c r="BS145" s="46"/>
      <c r="BT145" s="4">
        <f>IFERROR(IF(A135=0,A145/11,LEFT(A145,1)),"")</f>
        <v>5</v>
      </c>
    </row>
    <row r="146" spans="1:72" s="4" customFormat="1" ht="15.95" customHeight="1" x14ac:dyDescent="0.35">
      <c r="A146" s="8">
        <f>IFERROR(IF(A135=0,A138*11,A138&amp;A138),"-")</f>
        <v>33</v>
      </c>
      <c r="B146" s="10">
        <f ca="1">IFERROR(IF(OR(AK146=0,AK146="B"),"",RANK(AZ146,AZ136:AZ151,1)),"")</f>
        <v>2</v>
      </c>
      <c r="C146" s="10" t="str">
        <f ca="1">IFERROR(IF(OR(AK146=0,AK146="A"),"",RANK(BA146,BA136:BA151,1)),"")</f>
        <v/>
      </c>
      <c r="D146" s="55">
        <v>11</v>
      </c>
      <c r="E146" s="17">
        <f t="shared" si="49"/>
        <v>33</v>
      </c>
      <c r="F146" s="18" t="str">
        <f ca="1">IFERROR(IF(A135=0,HLOOKUP(E146,Declarations!$D$2:$S$102,C133,FALSE),HLOOKUP(VLOOKUP(E146,Teams!$V$2:$W$19,2,FALSE),Declarations!$D$2:$S$102,C133,FALSE)),"")</f>
        <v>LEE Isabel</v>
      </c>
      <c r="G146" s="18" t="str">
        <f t="shared" si="44"/>
        <v>York</v>
      </c>
      <c r="H146" s="526"/>
      <c r="I146" s="527"/>
      <c r="J146" s="526"/>
      <c r="K146" s="527"/>
      <c r="L146" s="526"/>
      <c r="M146" s="527"/>
      <c r="N146" s="526"/>
      <c r="O146" s="527"/>
      <c r="P146" s="526"/>
      <c r="Q146" s="527"/>
      <c r="R146" s="526"/>
      <c r="S146" s="527"/>
      <c r="T146" s="526"/>
      <c r="U146" s="527"/>
      <c r="V146" s="526"/>
      <c r="W146" s="527"/>
      <c r="X146" s="526"/>
      <c r="Y146" s="527"/>
      <c r="Z146" s="526"/>
      <c r="AA146" s="527"/>
      <c r="AB146" s="526"/>
      <c r="AC146" s="527"/>
      <c r="AD146" s="526"/>
      <c r="AE146" s="527"/>
      <c r="AF146" s="557" t="str">
        <f ca="1">IFERROR(INDIRECT(CONCATENATE("'Height Input'!"&amp;B134&amp;C134+10)),"")</f>
        <v>X</v>
      </c>
      <c r="AG146" s="558"/>
      <c r="AH146" s="48"/>
      <c r="AI146" s="48"/>
      <c r="AJ146" s="49">
        <f ca="1">IFERROR(IF(AF146="X",MatchDay!$U$2+MatchDay!$U$2+1-COUNTIF($AF136:AF146,"X"),IF(AF146&gt;=97,1,INT(INDIRECT(CONCATENATE("'Height Input'!"&amp;$B133&amp;$C134+10))))),"")</f>
        <v>10</v>
      </c>
      <c r="AK146" s="50" t="str">
        <f ca="1">IFERROR(IF(OR(AJ146=0,AJ146=""),0,IF(OR(AJ146&lt;VLOOKUP(BT146,$E136:$AJ143,32,FALSE),VLOOKUP(BT146,$E136:$AJ143,32,FALSE)=0),"A","B")),0)</f>
        <v>A</v>
      </c>
      <c r="AL146" s="139">
        <f ca="1">IFERROR(IF(OR(AK146=0,AK146="B"),"",RANK(AW146,AW136:AW151,1)),"")</f>
        <v>2</v>
      </c>
      <c r="AM146" s="139" t="str">
        <f ca="1">IFERROR(IF(OR(AK146=0,AK146="A"),"",RANK(AX146,AX136:AX151,1)),"")</f>
        <v/>
      </c>
      <c r="AN146" s="51">
        <f ca="1">IFERROR(IF(AF146="X",0,(INDIRECT(CONCATENATE("'Height Input'!"&amp;$B133&amp;$C134+10))-AJ146)*10),"")</f>
        <v>0</v>
      </c>
      <c r="AO146" s="8"/>
      <c r="AP146" s="9" t="str">
        <f t="shared" ca="1" si="50"/>
        <v/>
      </c>
      <c r="AQ146" s="9" t="str">
        <f ca="1">IF(AR146="","",HLOOKUP(AL146,BC135:BJ152,18,FALSE))</f>
        <v/>
      </c>
      <c r="AR146" s="45" t="str">
        <f ca="1">IF(OR(AL146=0,AL146=""),"",IF(COUNTIFS(AL136:AL151,AL146)&gt;1,"=",""))</f>
        <v/>
      </c>
      <c r="AS146" s="45"/>
      <c r="AT146" s="9" t="str">
        <f t="shared" ca="1" si="51"/>
        <v/>
      </c>
      <c r="AU146" s="9" t="str">
        <f ca="1">IF(AV146="","",HLOOKUP(AM146,BK135:BR152,18,FALSE))</f>
        <v/>
      </c>
      <c r="AV146" s="45" t="str">
        <f ca="1">IF(OR(AM146=0,AM146=""),"",IF(COUNTIFS(AM136:AM151,AM146)&gt;1,"=",""))</f>
        <v/>
      </c>
      <c r="AW146" s="9">
        <f t="shared" ca="1" si="45"/>
        <v>10</v>
      </c>
      <c r="AX146" s="9" t="str">
        <f t="shared" ca="1" si="46"/>
        <v/>
      </c>
      <c r="AY146" s="47"/>
      <c r="AZ146" s="151">
        <f t="shared" ca="1" si="47"/>
        <v>10</v>
      </c>
      <c r="BA146" s="151" t="str">
        <f t="shared" ca="1" si="48"/>
        <v/>
      </c>
      <c r="BB146" s="9"/>
      <c r="BC146" s="52" t="str">
        <f ca="1">IF(AL146="","",IF(AL146=BC135,AL146,""))</f>
        <v/>
      </c>
      <c r="BD146" s="52">
        <f ca="1">IF(AL146="","",IF(AL146=BD135,AL146,""))</f>
        <v>2</v>
      </c>
      <c r="BE146" s="52" t="str">
        <f ca="1">IF(AL146="","",IF(AL146=BE135,AL146,""))</f>
        <v/>
      </c>
      <c r="BF146" s="52" t="str">
        <f ca="1">IF(AL146="","",IF(AL146=BF135,AL146,""))</f>
        <v/>
      </c>
      <c r="BG146" s="52" t="str">
        <f ca="1">IF(AL146="","",IF(AL146=BG135,AL146,""))</f>
        <v/>
      </c>
      <c r="BH146" s="52" t="str">
        <f ca="1">IF(AL146="","",IF(AL146=BH135,AL146,""))</f>
        <v/>
      </c>
      <c r="BI146" s="52" t="str">
        <f ca="1">IF(AL146="","",IF(AL146=BI135,AL146,""))</f>
        <v/>
      </c>
      <c r="BJ146" s="52" t="str">
        <f ca="1">IF(AL146="","",IF(AL146=BJ135,AL146,""))</f>
        <v/>
      </c>
      <c r="BK146" s="52" t="str">
        <f ca="1">IF(AM146="","",IF(AM146=BK135,AM146,""))</f>
        <v/>
      </c>
      <c r="BL146" s="52" t="str">
        <f ca="1">IF(AM146="","",IF(AM146=BL135,AM146,""))</f>
        <v/>
      </c>
      <c r="BM146" s="52" t="str">
        <f ca="1">IF(AM146="","",IF(AM146=BM135,AM146,""))</f>
        <v/>
      </c>
      <c r="BN146" s="52" t="str">
        <f ca="1">IF(AM146="","",IF(AM146=BN135,AM146,""))</f>
        <v/>
      </c>
      <c r="BO146" s="52" t="str">
        <f ca="1">IF(AM146="","",IF(AM146=BO135,AM146,""))</f>
        <v/>
      </c>
      <c r="BP146" s="52" t="str">
        <f ca="1">IF(AM146="","",IF(AM146=BP135,AM146,""))</f>
        <v/>
      </c>
      <c r="BQ146" s="52" t="str">
        <f ca="1">IF(AM146="","",IF(AM146=BQ135,AM146,""))</f>
        <v/>
      </c>
      <c r="BR146" s="52" t="str">
        <f ca="1">IF(AM146="","",IF(AM146=BR135,AM146,""))</f>
        <v/>
      </c>
      <c r="BS146" s="46"/>
      <c r="BT146" s="4">
        <f>IFERROR(IF(A135=0,A146/11,LEFT(A146,1)),"")</f>
        <v>3</v>
      </c>
    </row>
    <row r="147" spans="1:72" s="4" customFormat="1" ht="15.95" customHeight="1" x14ac:dyDescent="0.35">
      <c r="A147" s="8">
        <f>IFERROR(IF(A135=0,A139*11,A139&amp;A139),"-")</f>
        <v>44</v>
      </c>
      <c r="B147" s="10" t="str">
        <f ca="1">IFERROR(IF(OR(AK147=0,AK147="B"),"",RANK(AZ147,AZ136:AZ151,1)),"")</f>
        <v/>
      </c>
      <c r="C147" s="10" t="str">
        <f ca="1">IFERROR(IF(OR(AK147=0,AK147="A"),"",RANK(BA147,BA136:BA151,1)),"")</f>
        <v/>
      </c>
      <c r="D147" s="55">
        <v>12</v>
      </c>
      <c r="E147" s="17">
        <f t="shared" si="49"/>
        <v>44</v>
      </c>
      <c r="F147" s="18" t="str">
        <f ca="1">IFERROR(IF(A135=0,HLOOKUP(E147,Declarations!$D$2:$S$102,C133,FALSE),HLOOKUP(VLOOKUP(E147,Teams!$V$2:$W$19,2,FALSE),Declarations!$D$2:$S$102,C133,FALSE)),"")</f>
        <v>-</v>
      </c>
      <c r="G147" s="18" t="str">
        <f t="shared" si="44"/>
        <v>M'bro</v>
      </c>
      <c r="H147" s="526"/>
      <c r="I147" s="527"/>
      <c r="J147" s="526"/>
      <c r="K147" s="527"/>
      <c r="L147" s="526"/>
      <c r="M147" s="527"/>
      <c r="N147" s="526"/>
      <c r="O147" s="527"/>
      <c r="P147" s="526"/>
      <c r="Q147" s="527"/>
      <c r="R147" s="526"/>
      <c r="S147" s="527"/>
      <c r="T147" s="526"/>
      <c r="U147" s="527"/>
      <c r="V147" s="526"/>
      <c r="W147" s="527"/>
      <c r="X147" s="526"/>
      <c r="Y147" s="527"/>
      <c r="Z147" s="526"/>
      <c r="AA147" s="527"/>
      <c r="AB147" s="526"/>
      <c r="AC147" s="527"/>
      <c r="AD147" s="526"/>
      <c r="AE147" s="527"/>
      <c r="AF147" s="557">
        <f ca="1">IFERROR(INDIRECT(CONCATENATE("'Height Input'!"&amp;B134&amp;C134+11)),"")</f>
        <v>0</v>
      </c>
      <c r="AG147" s="558"/>
      <c r="AH147" s="48"/>
      <c r="AI147" s="48"/>
      <c r="AJ147" s="49">
        <f ca="1">IFERROR(IF(AF147="X",MatchDay!$U$2+MatchDay!$U$2+1-COUNTIF($AF136:AF147,"X"),IF(AF147&gt;=97,1,INT(INDIRECT(CONCATENATE("'Height Input'!"&amp;$B133&amp;$C134+11))))),"")</f>
        <v>0</v>
      </c>
      <c r="AK147" s="50">
        <f ca="1">IFERROR(IF(OR(AJ147=0,AJ147=""),0,IF(OR(AJ147&lt;VLOOKUP(BT147,$E136:$AJ143,32,FALSE),VLOOKUP(BT147,$E136:$AJ143,32,FALSE)=0),"A","B")),0)</f>
        <v>0</v>
      </c>
      <c r="AL147" s="139" t="str">
        <f ca="1">IFERROR(IF(OR(AK147=0,AK147="B"),"",RANK(AW147,AW136:AW151,1)),"")</f>
        <v/>
      </c>
      <c r="AM147" s="139" t="str">
        <f ca="1">IFERROR(IF(OR(AK147=0,AK147="A"),"",RANK(AX147,AX136:AX151,1)),"")</f>
        <v/>
      </c>
      <c r="AN147" s="51">
        <f ca="1">IFERROR(IF(AF147="X",0,(INDIRECT(CONCATENATE("'Height Input'!"&amp;$B133&amp;$C134+11))-AJ147)*10),"")</f>
        <v>0</v>
      </c>
      <c r="AO147" s="8"/>
      <c r="AP147" s="9" t="str">
        <f t="shared" ca="1" si="50"/>
        <v/>
      </c>
      <c r="AQ147" s="9" t="str">
        <f ca="1">IF(AR147="","",HLOOKUP(AL147,BC135:BJ152,18,FALSE))</f>
        <v/>
      </c>
      <c r="AR147" s="45" t="str">
        <f ca="1">IF(OR(AL147=0,AL147=""),"",IF(COUNTIFS(AL136:AL151,AL147)&gt;1,"=",""))</f>
        <v/>
      </c>
      <c r="AS147" s="45"/>
      <c r="AT147" s="9" t="str">
        <f t="shared" ca="1" si="51"/>
        <v/>
      </c>
      <c r="AU147" s="9" t="str">
        <f ca="1">IF(AV147="","",HLOOKUP(AM147,BK135:BR152,18,FALSE))</f>
        <v/>
      </c>
      <c r="AV147" s="45" t="str">
        <f ca="1">IF(OR(AM147=0,AM147=""),"",IF(COUNTIFS(AM136:AM151,AM147)&gt;1,"=",""))</f>
        <v/>
      </c>
      <c r="AW147" s="9" t="str">
        <f t="shared" ca="1" si="45"/>
        <v/>
      </c>
      <c r="AX147" s="9" t="str">
        <f t="shared" ca="1" si="46"/>
        <v/>
      </c>
      <c r="AY147" s="47"/>
      <c r="AZ147" s="151" t="str">
        <f t="shared" ca="1" si="47"/>
        <v/>
      </c>
      <c r="BA147" s="151" t="str">
        <f t="shared" ca="1" si="48"/>
        <v/>
      </c>
      <c r="BB147" s="9"/>
      <c r="BC147" s="52" t="str">
        <f ca="1">IF(AL147="","",IF(AL147=BC135,AL147,""))</f>
        <v/>
      </c>
      <c r="BD147" s="52" t="str">
        <f ca="1">IF(AL147="","",IF(AL147=BD135,AL147,""))</f>
        <v/>
      </c>
      <c r="BE147" s="52" t="str">
        <f ca="1">IF(AL147="","",IF(AL147=BE135,AL147,""))</f>
        <v/>
      </c>
      <c r="BF147" s="52" t="str">
        <f ca="1">IF(AL147="","",IF(AL147=BF135,AL147,""))</f>
        <v/>
      </c>
      <c r="BG147" s="52" t="str">
        <f ca="1">IF(AL147="","",IF(AL147=BG135,AL147,""))</f>
        <v/>
      </c>
      <c r="BH147" s="52" t="str">
        <f ca="1">IF(AL147="","",IF(AL147=BH135,AL147,""))</f>
        <v/>
      </c>
      <c r="BI147" s="52" t="str">
        <f ca="1">IF(AL147="","",IF(AL147=BI135,AL147,""))</f>
        <v/>
      </c>
      <c r="BJ147" s="52" t="str">
        <f ca="1">IF(AL147="","",IF(AL147=BJ135,AL147,""))</f>
        <v/>
      </c>
      <c r="BK147" s="52" t="str">
        <f ca="1">IF(AM147="","",IF(AM147=BK135,AM147,""))</f>
        <v/>
      </c>
      <c r="BL147" s="52" t="str">
        <f ca="1">IF(AM147="","",IF(AM147=BL135,AM147,""))</f>
        <v/>
      </c>
      <c r="BM147" s="52" t="str">
        <f ca="1">IF(AM147="","",IF(AM147=BM135,AM147,""))</f>
        <v/>
      </c>
      <c r="BN147" s="52" t="str">
        <f ca="1">IF(AM147="","",IF(AM147=BN135,AM147,""))</f>
        <v/>
      </c>
      <c r="BO147" s="52" t="str">
        <f ca="1">IF(AM147="","",IF(AM147=BO135,AM147,""))</f>
        <v/>
      </c>
      <c r="BP147" s="52" t="str">
        <f ca="1">IF(AM147="","",IF(AM147=BP135,AM147,""))</f>
        <v/>
      </c>
      <c r="BQ147" s="52" t="str">
        <f ca="1">IF(AM147="","",IF(AM147=BQ135,AM147,""))</f>
        <v/>
      </c>
      <c r="BR147" s="52" t="str">
        <f ca="1">IF(AM147="","",IF(AM147=BR135,AM147,""))</f>
        <v/>
      </c>
      <c r="BS147" s="46"/>
      <c r="BT147" s="4">
        <f>IFERROR(IF(A135=0,A147/11,LEFT(A147,1)),"")</f>
        <v>4</v>
      </c>
    </row>
    <row r="148" spans="1:72" s="4" customFormat="1" ht="15.95" customHeight="1" x14ac:dyDescent="0.35">
      <c r="A148" s="8">
        <f>IFERROR(IF(A135=0,A140*11,A140&amp;A140),"-")</f>
        <v>11</v>
      </c>
      <c r="B148" s="10" t="str">
        <f ca="1">IFERROR(IF(OR(AK148=0,AK148="B"),"",RANK(AZ148,AZ136:AZ151,1)),"")</f>
        <v/>
      </c>
      <c r="C148" s="10">
        <f ca="1">IFERROR(IF(OR(AK148=0,AK148="A"),"",RANK(BA148,BA136:BA151,1)),"")</f>
        <v>1</v>
      </c>
      <c r="D148" s="55">
        <v>13</v>
      </c>
      <c r="E148" s="17">
        <f t="shared" si="49"/>
        <v>11</v>
      </c>
      <c r="F148" s="18" t="str">
        <f ca="1">IFERROR(IF(A135=0,HLOOKUP(E148,Declarations!$D$2:$S$102,C133,FALSE),HLOOKUP(VLOOKUP(E148,Teams!$V$2:$W$19,2,FALSE),Declarations!$D$2:$S$102,C133,FALSE)),"")</f>
        <v>PROCTOR Alicia</v>
      </c>
      <c r="G148" s="18" t="str">
        <f t="shared" si="44"/>
        <v>C'field</v>
      </c>
      <c r="H148" s="526"/>
      <c r="I148" s="527"/>
      <c r="J148" s="526"/>
      <c r="K148" s="527"/>
      <c r="L148" s="526"/>
      <c r="M148" s="527"/>
      <c r="N148" s="526"/>
      <c r="O148" s="527"/>
      <c r="P148" s="526"/>
      <c r="Q148" s="527"/>
      <c r="R148" s="526"/>
      <c r="S148" s="527"/>
      <c r="T148" s="526"/>
      <c r="U148" s="527"/>
      <c r="V148" s="526"/>
      <c r="W148" s="527"/>
      <c r="X148" s="526"/>
      <c r="Y148" s="527"/>
      <c r="Z148" s="526"/>
      <c r="AA148" s="527"/>
      <c r="AB148" s="526"/>
      <c r="AC148" s="527"/>
      <c r="AD148" s="526"/>
      <c r="AE148" s="527"/>
      <c r="AF148" s="557" t="str">
        <f ca="1">IFERROR(INDIRECT(CONCATENATE("'Height Input'!"&amp;B134&amp;C134+12)),"")</f>
        <v>X</v>
      </c>
      <c r="AG148" s="558"/>
      <c r="AH148" s="48"/>
      <c r="AI148" s="48"/>
      <c r="AJ148" s="49">
        <f ca="1">IFERROR(IF(AF148="X",MatchDay!$U$2+MatchDay!$U$2+1-COUNTIF($AF136:AF148,"X"),IF(AF148&gt;=97,1,INT(INDIRECT(CONCATENATE("'Height Input'!"&amp;$B133&amp;$C134+12))))),"")</f>
        <v>9</v>
      </c>
      <c r="AK148" s="50" t="str">
        <f ca="1">IFERROR(IF(OR(AJ148=0,AJ148=""),0,IF(OR(AJ148&lt;VLOOKUP(BT148,$E136:$AJ143,32,FALSE),VLOOKUP(BT148,$E136:$AJ143,32,FALSE)=0),"A","B")),0)</f>
        <v>B</v>
      </c>
      <c r="AL148" s="139" t="str">
        <f ca="1">IFERROR(IF(OR(AK148=0,AK148="B"),"",RANK(AW148,AW136:AW151,1)),"")</f>
        <v/>
      </c>
      <c r="AM148" s="139">
        <f ca="1">IFERROR(IF(OR(AK148=0,AK148="A"),"",RANK(AX148,AX136:AX151,1)),"")</f>
        <v>1</v>
      </c>
      <c r="AN148" s="51">
        <f ca="1">IFERROR(IF(AF148="X",0,(INDIRECT(CONCATENATE("'Height Input'!"&amp;$B133&amp;$C134+12))-AJ148)*10),"")</f>
        <v>0</v>
      </c>
      <c r="AO148" s="8"/>
      <c r="AP148" s="9" t="str">
        <f t="shared" ca="1" si="50"/>
        <v/>
      </c>
      <c r="AQ148" s="9" t="str">
        <f ca="1">IF(AR148="","",HLOOKUP(AL148,BC135:BJ152,18,FALSE))</f>
        <v/>
      </c>
      <c r="AR148" s="45" t="str">
        <f ca="1">IF(OR(AL148=0,AL148=""),"",IF(COUNTIFS(AL136:AL151,AL148)&gt;1,"=",""))</f>
        <v/>
      </c>
      <c r="AS148" s="45"/>
      <c r="AT148" s="9" t="str">
        <f t="shared" ca="1" si="51"/>
        <v/>
      </c>
      <c r="AU148" s="9" t="str">
        <f ca="1">IF(AV148="","",HLOOKUP(AM148,BK135:BR152,18,FALSE))</f>
        <v/>
      </c>
      <c r="AV148" s="45" t="str">
        <f ca="1">IF(OR(AM148=0,AM148=""),"",IF(COUNTIFS(AM136:AM151,AM148)&gt;1,"=",""))</f>
        <v/>
      </c>
      <c r="AW148" s="9" t="str">
        <f t="shared" ca="1" si="45"/>
        <v/>
      </c>
      <c r="AX148" s="9">
        <f t="shared" ca="1" si="46"/>
        <v>9</v>
      </c>
      <c r="AY148" s="47"/>
      <c r="AZ148" s="151" t="str">
        <f t="shared" ca="1" si="47"/>
        <v/>
      </c>
      <c r="BA148" s="151">
        <f t="shared" ca="1" si="48"/>
        <v>9</v>
      </c>
      <c r="BB148" s="9"/>
      <c r="BC148" s="52" t="str">
        <f ca="1">IF(AL148="","",IF(AL148=BC135,AL148,""))</f>
        <v/>
      </c>
      <c r="BD148" s="52" t="str">
        <f ca="1">IF(AL148="","",IF(AL148=BD135,AL148,""))</f>
        <v/>
      </c>
      <c r="BE148" s="52" t="str">
        <f ca="1">IF(AL148="","",IF(AL148=BE135,AL148,""))</f>
        <v/>
      </c>
      <c r="BF148" s="52" t="str">
        <f ca="1">IF(AL148="","",IF(AL148=BF135,AL148,""))</f>
        <v/>
      </c>
      <c r="BG148" s="52" t="str">
        <f ca="1">IF(AL148="","",IF(AL148=BG135,AL148,""))</f>
        <v/>
      </c>
      <c r="BH148" s="52" t="str">
        <f ca="1">IF(AL148="","",IF(AL148=BH135,AL148,""))</f>
        <v/>
      </c>
      <c r="BI148" s="52" t="str">
        <f ca="1">IF(AL148="","",IF(AL148=BI135,AL148,""))</f>
        <v/>
      </c>
      <c r="BJ148" s="52" t="str">
        <f ca="1">IF(AL148="","",IF(AL148=BJ135,AL148,""))</f>
        <v/>
      </c>
      <c r="BK148" s="52">
        <f ca="1">IF(AM148="","",IF(AM148=BK135,AM148,""))</f>
        <v>1</v>
      </c>
      <c r="BL148" s="52" t="str">
        <f ca="1">IF(AM148="","",IF(AM148=BL135,AM148,""))</f>
        <v/>
      </c>
      <c r="BM148" s="52" t="str">
        <f ca="1">IF(AM148="","",IF(AM148=BM135,AM148,""))</f>
        <v/>
      </c>
      <c r="BN148" s="52" t="str">
        <f ca="1">IF(AM148="","",IF(AM148=BN135,AM148,""))</f>
        <v/>
      </c>
      <c r="BO148" s="52" t="str">
        <f ca="1">IF(AM148="","",IF(AM148=BO135,AM148,""))</f>
        <v/>
      </c>
      <c r="BP148" s="52" t="str">
        <f ca="1">IF(AM148="","",IF(AM148=BP135,AM148,""))</f>
        <v/>
      </c>
      <c r="BQ148" s="52" t="str">
        <f ca="1">IF(AM148="","",IF(AM148=BQ135,AM148,""))</f>
        <v/>
      </c>
      <c r="BR148" s="52" t="str">
        <f ca="1">IF(AM148="","",IF(AM148=BR135,AM148,""))</f>
        <v/>
      </c>
      <c r="BS148" s="46"/>
      <c r="BT148" s="4">
        <f>IFERROR(IF(A135=0,A148/11,LEFT(A148,1)),"")</f>
        <v>1</v>
      </c>
    </row>
    <row r="149" spans="1:72" s="4" customFormat="1" ht="15.95" customHeight="1" x14ac:dyDescent="0.35">
      <c r="A149" s="8" t="str">
        <f>IFERROR(IF(A135=0,A141*11,A141&amp;A141),"-")</f>
        <v>-</v>
      </c>
      <c r="B149" s="10" t="str">
        <f ca="1">IFERROR(IF(OR(AK149=0,AK149="B"),"",RANK(AZ149,AZ136:AZ151,1)),"")</f>
        <v/>
      </c>
      <c r="C149" s="10" t="str">
        <f ca="1">IFERROR(IF(OR(AK149=0,AK149="A"),"",RANK(BA149,BA136:BA151,1)),"")</f>
        <v/>
      </c>
      <c r="D149" s="55">
        <v>14</v>
      </c>
      <c r="E149" s="17" t="str">
        <f t="shared" si="49"/>
        <v>-</v>
      </c>
      <c r="F149" s="18" t="str">
        <f>IFERROR(IF(A135=0,HLOOKUP(E149,Declarations!$D$2:$S$102,C133,FALSE),HLOOKUP(VLOOKUP(E149,Teams!$V$2:$W$19,2,FALSE),Declarations!$D$2:$S$102,C133,FALSE)),"")</f>
        <v/>
      </c>
      <c r="G149" s="18" t="str">
        <f t="shared" si="44"/>
        <v/>
      </c>
      <c r="H149" s="526"/>
      <c r="I149" s="527"/>
      <c r="J149" s="526"/>
      <c r="K149" s="527"/>
      <c r="L149" s="526"/>
      <c r="M149" s="527"/>
      <c r="N149" s="526"/>
      <c r="O149" s="527"/>
      <c r="P149" s="526"/>
      <c r="Q149" s="527"/>
      <c r="R149" s="526"/>
      <c r="S149" s="527"/>
      <c r="T149" s="526"/>
      <c r="U149" s="527"/>
      <c r="V149" s="526"/>
      <c r="W149" s="527"/>
      <c r="X149" s="526"/>
      <c r="Y149" s="527"/>
      <c r="Z149" s="526"/>
      <c r="AA149" s="527"/>
      <c r="AB149" s="526"/>
      <c r="AC149" s="527"/>
      <c r="AD149" s="526"/>
      <c r="AE149" s="527"/>
      <c r="AF149" s="557">
        <f ca="1">IFERROR(INDIRECT(CONCATENATE("'Height Input'!"&amp;B134&amp;C134+13)),"")</f>
        <v>0</v>
      </c>
      <c r="AG149" s="558"/>
      <c r="AH149" s="48"/>
      <c r="AI149" s="48"/>
      <c r="AJ149" s="49">
        <f ca="1">IFERROR(IF(AF149="X",MatchDay!$U$2+MatchDay!$U$2+1-COUNTIF($AF136:AF149,"X"),IF(AF149&gt;=97,1,INT(INDIRECT(CONCATENATE("'Height Input'!"&amp;$B133&amp;$C134+13))))),"")</f>
        <v>0</v>
      </c>
      <c r="AK149" s="50">
        <f ca="1">IFERROR(IF(OR(AJ149=0,AJ149=""),0,IF(OR(AJ149&lt;VLOOKUP(BT149,$E136:$AJ143,32,FALSE),VLOOKUP(BT149,$E136:$AJ143,32,FALSE)=0),"A","B")),0)</f>
        <v>0</v>
      </c>
      <c r="AL149" s="139" t="str">
        <f ca="1">IFERROR(IF(OR(AK149=0,AK149="B"),"",RANK(AW149,AW136:AW151,1)),"")</f>
        <v/>
      </c>
      <c r="AM149" s="139" t="str">
        <f ca="1">IFERROR(IF(OR(AK149=0,AK149="A"),"",RANK(AX149,AX136:AX151,1)),"")</f>
        <v/>
      </c>
      <c r="AN149" s="51">
        <f ca="1">IFERROR(IF(AF149="X",0,(INDIRECT(CONCATENATE("'Height Input'!"&amp;$B133&amp;$C134+13))-AJ149)*10),"")</f>
        <v>0</v>
      </c>
      <c r="AO149" s="8"/>
      <c r="AP149" s="9" t="str">
        <f t="shared" ca="1" si="50"/>
        <v/>
      </c>
      <c r="AQ149" s="9" t="str">
        <f ca="1">IF(AR149="","",HLOOKUP(AL149,BC135:BJ152,18,FALSE))</f>
        <v/>
      </c>
      <c r="AR149" s="45" t="str">
        <f ca="1">IF(OR(AL149=0,AL149=""),"",IF(COUNTIFS(AL136:AL151,AL149)&gt;1,"=",""))</f>
        <v/>
      </c>
      <c r="AS149" s="45"/>
      <c r="AT149" s="9" t="str">
        <f t="shared" ca="1" si="51"/>
        <v/>
      </c>
      <c r="AU149" s="9" t="str">
        <f ca="1">IF(AV149="","",HLOOKUP(AM149,BK135:BR152,18,FALSE))</f>
        <v/>
      </c>
      <c r="AV149" s="45" t="str">
        <f ca="1">IF(OR(AM149=0,AM149=""),"",IF(COUNTIFS(AM136:AM151,AM149)&gt;1,"=",""))</f>
        <v/>
      </c>
      <c r="AW149" s="9" t="str">
        <f t="shared" ca="1" si="45"/>
        <v/>
      </c>
      <c r="AX149" s="9" t="str">
        <f t="shared" ca="1" si="46"/>
        <v/>
      </c>
      <c r="AY149" s="47"/>
      <c r="AZ149" s="151" t="str">
        <f t="shared" ca="1" si="47"/>
        <v/>
      </c>
      <c r="BA149" s="151" t="str">
        <f t="shared" ca="1" si="48"/>
        <v/>
      </c>
      <c r="BB149" s="9"/>
      <c r="BC149" s="52" t="str">
        <f ca="1">IF(AL149="","",IF(AL149=BC135,AL149,""))</f>
        <v/>
      </c>
      <c r="BD149" s="52" t="str">
        <f ca="1">IF(AL149="","",IF(AL149=BD135,AL149,""))</f>
        <v/>
      </c>
      <c r="BE149" s="52" t="str">
        <f ca="1">IF(AL149="","",IF(AL149=BE135,AL149,""))</f>
        <v/>
      </c>
      <c r="BF149" s="52" t="str">
        <f ca="1">IF(AL149="","",IF(AL149=BF135,AL149,""))</f>
        <v/>
      </c>
      <c r="BG149" s="52" t="str">
        <f ca="1">IF(AL149="","",IF(AL149=BG135,AL149,""))</f>
        <v/>
      </c>
      <c r="BH149" s="52" t="str">
        <f ca="1">IF(AL149="","",IF(AL149=BH135,AL149,""))</f>
        <v/>
      </c>
      <c r="BI149" s="52" t="str">
        <f ca="1">IF(AL149="","",IF(AL149=BI135,AL149,""))</f>
        <v/>
      </c>
      <c r="BJ149" s="52" t="str">
        <f ca="1">IF(AL149="","",IF(AL149=BJ135,AL149,""))</f>
        <v/>
      </c>
      <c r="BK149" s="52" t="str">
        <f ca="1">IF(AM149="","",IF(AM149=BK135,AM149,""))</f>
        <v/>
      </c>
      <c r="BL149" s="52" t="str">
        <f ca="1">IF(AM149="","",IF(AM149=BL135,AM149,""))</f>
        <v/>
      </c>
      <c r="BM149" s="52" t="str">
        <f ca="1">IF(AM149="","",IF(AM149=BM135,AM149,""))</f>
        <v/>
      </c>
      <c r="BN149" s="52" t="str">
        <f ca="1">IF(AM149="","",IF(AM149=BN135,AM149,""))</f>
        <v/>
      </c>
      <c r="BO149" s="52" t="str">
        <f ca="1">IF(AM149="","",IF(AM149=BO135,AM149,""))</f>
        <v/>
      </c>
      <c r="BP149" s="52" t="str">
        <f ca="1">IF(AM149="","",IF(AM149=BP135,AM149,""))</f>
        <v/>
      </c>
      <c r="BQ149" s="52" t="str">
        <f ca="1">IF(AM149="","",IF(AM149=BQ135,AM149,""))</f>
        <v/>
      </c>
      <c r="BR149" s="52" t="str">
        <f ca="1">IF(AM149="","",IF(AM149=BR135,AM149,""))</f>
        <v/>
      </c>
      <c r="BS149" s="46"/>
      <c r="BT149" s="4" t="str">
        <f>IFERROR(IF(A135=0,A149/11,LEFT(A149,1)),"")</f>
        <v/>
      </c>
    </row>
    <row r="150" spans="1:72" s="4" customFormat="1" ht="15.95" customHeight="1" x14ac:dyDescent="0.35">
      <c r="A150" s="8" t="str">
        <f>IFERROR(IF(A135=0,A142*11,A142&amp;A142),"-")</f>
        <v>-</v>
      </c>
      <c r="B150" s="10" t="str">
        <f ca="1">IFERROR(IF(OR(AK150=0,AK150="B"),"",RANK(AZ150,AZ136:AZ151,1)),"")</f>
        <v/>
      </c>
      <c r="C150" s="10" t="str">
        <f ca="1">IFERROR(IF(OR(AK150=0,AK150="A"),"",RANK(BA150,BA136:BA151,1)),"")</f>
        <v/>
      </c>
      <c r="D150" s="55">
        <v>15</v>
      </c>
      <c r="E150" s="17" t="str">
        <f t="shared" si="49"/>
        <v>-</v>
      </c>
      <c r="F150" s="18" t="str">
        <f>IFERROR(IF(A135=0,HLOOKUP(E150,Declarations!$D$2:$S$102,C133,FALSE),HLOOKUP(VLOOKUP(E150,Teams!$V$2:$W$19,2,FALSE),Declarations!$D$2:$S$102,C133,FALSE)),"")</f>
        <v/>
      </c>
      <c r="G150" s="18" t="str">
        <f t="shared" si="44"/>
        <v/>
      </c>
      <c r="H150" s="526"/>
      <c r="I150" s="527"/>
      <c r="J150" s="526"/>
      <c r="K150" s="527"/>
      <c r="L150" s="526"/>
      <c r="M150" s="527"/>
      <c r="N150" s="526"/>
      <c r="O150" s="527"/>
      <c r="P150" s="526"/>
      <c r="Q150" s="527"/>
      <c r="R150" s="526"/>
      <c r="S150" s="527"/>
      <c r="T150" s="526"/>
      <c r="U150" s="527"/>
      <c r="V150" s="526"/>
      <c r="W150" s="527"/>
      <c r="X150" s="526"/>
      <c r="Y150" s="527"/>
      <c r="Z150" s="526"/>
      <c r="AA150" s="527"/>
      <c r="AB150" s="526"/>
      <c r="AC150" s="527"/>
      <c r="AD150" s="526"/>
      <c r="AE150" s="527"/>
      <c r="AF150" s="557">
        <f ca="1">IFERROR(INDIRECT(CONCATENATE("'Height Input'!"&amp;B134&amp;C134+14)),"")</f>
        <v>0</v>
      </c>
      <c r="AG150" s="558"/>
      <c r="AH150" s="48"/>
      <c r="AI150" s="48"/>
      <c r="AJ150" s="49">
        <f ca="1">IFERROR(IF(AF150="X",MatchDay!$U$2+MatchDay!$U$2+1-COUNTIF($AF136:AF150,"X"),IF(AF150&gt;=97,1,INT(INDIRECT(CONCATENATE("'Height Input'!"&amp;$B133&amp;$C134+14))))),"")</f>
        <v>0</v>
      </c>
      <c r="AK150" s="50">
        <f ca="1">IFERROR(IF(OR(AJ150=0,AJ150=""),0,IF(OR(AJ150&lt;VLOOKUP(BT150,$E136:$AJ143,32,FALSE),VLOOKUP(BT150,$E136:$AJ143,32,FALSE)=0),"A","B")),0)</f>
        <v>0</v>
      </c>
      <c r="AL150" s="139" t="str">
        <f ca="1">IFERROR(IF(OR(AK150=0,AK150="B"),"",RANK(AW150,AW136:AW151,1)),"")</f>
        <v/>
      </c>
      <c r="AM150" s="139" t="str">
        <f ca="1">IFERROR(IF(OR(AK150=0,AK150="A"),"",RANK(AX150,AX136:AX151,1)),"")</f>
        <v/>
      </c>
      <c r="AN150" s="51">
        <f ca="1">IFERROR(IF(AF150="X",0,(INDIRECT(CONCATENATE("'Height Input'!"&amp;$B133&amp;$C134+14))-AJ150)*10),"")</f>
        <v>0</v>
      </c>
      <c r="AO150" s="8"/>
      <c r="AP150" s="9" t="str">
        <f t="shared" ca="1" si="50"/>
        <v/>
      </c>
      <c r="AQ150" s="9" t="str">
        <f ca="1">IF(AR150="","",HLOOKUP(AL150,BC135:BJ152,18,FALSE))</f>
        <v/>
      </c>
      <c r="AR150" s="45" t="str">
        <f ca="1">IF(OR(AL150=0,AL150=""),"",IF(COUNTIFS(AL136:AL151,AL150)&gt;1,"=",""))</f>
        <v/>
      </c>
      <c r="AS150" s="45"/>
      <c r="AT150" s="9" t="str">
        <f t="shared" ca="1" si="51"/>
        <v/>
      </c>
      <c r="AU150" s="9" t="str">
        <f ca="1">IF(AV150="","",HLOOKUP(AM150,BK135:BR152,18,FALSE))</f>
        <v/>
      </c>
      <c r="AV150" s="45" t="str">
        <f ca="1">IF(OR(AM150=0,AM150=""),"",IF(COUNTIFS(AM136:AM151,AM150)&gt;1,"=",""))</f>
        <v/>
      </c>
      <c r="AW150" s="9" t="str">
        <f t="shared" ca="1" si="45"/>
        <v/>
      </c>
      <c r="AX150" s="9" t="str">
        <f t="shared" ca="1" si="46"/>
        <v/>
      </c>
      <c r="AY150" s="47"/>
      <c r="AZ150" s="151" t="str">
        <f t="shared" ca="1" si="47"/>
        <v/>
      </c>
      <c r="BA150" s="151" t="str">
        <f t="shared" ca="1" si="48"/>
        <v/>
      </c>
      <c r="BB150" s="9"/>
      <c r="BC150" s="52" t="str">
        <f ca="1">IF(AL150="","",IF(AL150=BC135,AL150,""))</f>
        <v/>
      </c>
      <c r="BD150" s="52" t="str">
        <f ca="1">IF(AL150="","",IF(AL150=BD135,AL150,""))</f>
        <v/>
      </c>
      <c r="BE150" s="52" t="str">
        <f ca="1">IF(AL150="","",IF(AL150=BE135,AL150,""))</f>
        <v/>
      </c>
      <c r="BF150" s="52" t="str">
        <f ca="1">IF(AL150="","",IF(AL150=BF135,AL150,""))</f>
        <v/>
      </c>
      <c r="BG150" s="52" t="str">
        <f ca="1">IF(AL150="","",IF(AL150=BG135,AL150,""))</f>
        <v/>
      </c>
      <c r="BH150" s="52" t="str">
        <f ca="1">IF(AL150="","",IF(AL150=BH135,AL150,""))</f>
        <v/>
      </c>
      <c r="BI150" s="52" t="str">
        <f ca="1">IF(AL150="","",IF(AL150=BI135,AL150,""))</f>
        <v/>
      </c>
      <c r="BJ150" s="52" t="str">
        <f ca="1">IF(AL150="","",IF(AL150=BJ135,AL150,""))</f>
        <v/>
      </c>
      <c r="BK150" s="52" t="str">
        <f ca="1">IF(AM150="","",IF(AM150=BK135,AM150,""))</f>
        <v/>
      </c>
      <c r="BL150" s="52" t="str">
        <f ca="1">IF(AM150="","",IF(AM150=BL135,AM150,""))</f>
        <v/>
      </c>
      <c r="BM150" s="52" t="str">
        <f ca="1">IF(AM150="","",IF(AM150=BM135,AM150,""))</f>
        <v/>
      </c>
      <c r="BN150" s="52" t="str">
        <f ca="1">IF(AM150="","",IF(AM150=BN135,AM150,""))</f>
        <v/>
      </c>
      <c r="BO150" s="52" t="str">
        <f ca="1">IF(AM150="","",IF(AM150=BO135,AM150,""))</f>
        <v/>
      </c>
      <c r="BP150" s="52" t="str">
        <f ca="1">IF(AM150="","",IF(AM150=BP135,AM150,""))</f>
        <v/>
      </c>
      <c r="BQ150" s="52" t="str">
        <f ca="1">IF(AM150="","",IF(AM150=BQ135,AM150,""))</f>
        <v/>
      </c>
      <c r="BR150" s="52" t="str">
        <f ca="1">IF(AM150="","",IF(AM150=BR135,AM150,""))</f>
        <v/>
      </c>
      <c r="BS150" s="46"/>
      <c r="BT150" s="4" t="str">
        <f>IFERROR(IF(A135=0,A150/11,LEFT(A150,1)),"")</f>
        <v/>
      </c>
    </row>
    <row r="151" spans="1:72" s="4" customFormat="1" ht="15.95" customHeight="1" x14ac:dyDescent="0.35">
      <c r="A151" s="8" t="str">
        <f>IFERROR(IF(A135=0,A143*11,A143&amp;A143),"-")</f>
        <v>-</v>
      </c>
      <c r="B151" s="10" t="str">
        <f ca="1">IFERROR(IF(OR(AK151=0,AK151="B"),"",RANK(AZ151,AZ136:AZ151,1)),"")</f>
        <v/>
      </c>
      <c r="C151" s="10" t="str">
        <f ca="1">IFERROR(IF(OR(AK151=0,AK151="A"),"",RANK(BA151,BA136:BA151,1)),"")</f>
        <v/>
      </c>
      <c r="D151" s="55">
        <v>16</v>
      </c>
      <c r="E151" s="17" t="str">
        <f t="shared" si="49"/>
        <v>-</v>
      </c>
      <c r="F151" s="18" t="str">
        <f>IFERROR(IF(A135=0,HLOOKUP(E151,Declarations!$D$2:$S$102,C133,FALSE),HLOOKUP(VLOOKUP(E151,Teams!$V$2:$W$19,2,FALSE),Declarations!$D$2:$S$102,C133,FALSE)),"")</f>
        <v/>
      </c>
      <c r="G151" s="18" t="str">
        <f t="shared" si="44"/>
        <v/>
      </c>
      <c r="H151" s="526"/>
      <c r="I151" s="527"/>
      <c r="J151" s="526"/>
      <c r="K151" s="527"/>
      <c r="L151" s="526"/>
      <c r="M151" s="527"/>
      <c r="N151" s="526"/>
      <c r="O151" s="527"/>
      <c r="P151" s="526"/>
      <c r="Q151" s="527"/>
      <c r="R151" s="526"/>
      <c r="S151" s="527"/>
      <c r="T151" s="526"/>
      <c r="U151" s="527"/>
      <c r="V151" s="526"/>
      <c r="W151" s="527"/>
      <c r="X151" s="526"/>
      <c r="Y151" s="527"/>
      <c r="Z151" s="526"/>
      <c r="AA151" s="527"/>
      <c r="AB151" s="526"/>
      <c r="AC151" s="527"/>
      <c r="AD151" s="526"/>
      <c r="AE151" s="527"/>
      <c r="AF151" s="557">
        <f ca="1">IFERROR(INDIRECT(CONCATENATE("'Height Input'!"&amp;B134&amp;C134+15)),"")</f>
        <v>0</v>
      </c>
      <c r="AG151" s="558"/>
      <c r="AH151" s="48"/>
      <c r="AI151" s="48"/>
      <c r="AJ151" s="49">
        <f ca="1">IFERROR(IF(AF151="X",MatchDay!$U$2+MatchDay!$U$2+1-COUNTIF($AF136:AF151,"X"),IF(AF151&gt;=97,1,INT(INDIRECT(CONCATENATE("'Height Input'!"&amp;$B133&amp;$C134+15))))),"")</f>
        <v>0</v>
      </c>
      <c r="AK151" s="50">
        <f ca="1">IFERROR(IF(OR(AJ151=0,AJ151=""),0,IF(OR(AJ151&lt;VLOOKUP(BT151,$E136:$AJ143,32,FALSE),VLOOKUP(BT151,$E136:$AJ143,32,FALSE)=0),"A","B")),0)</f>
        <v>0</v>
      </c>
      <c r="AL151" s="139" t="str">
        <f ca="1">IFERROR(IF(OR(AK151=0,AK151="B"),"",RANK(AW151,AW136:AW151,1)),"")</f>
        <v/>
      </c>
      <c r="AM151" s="139" t="str">
        <f ca="1">IFERROR(IF(OR(AK151=0,AK151="A"),"",RANK(AX151,AX136:AX151,1)),"")</f>
        <v/>
      </c>
      <c r="AN151" s="51">
        <f ca="1">IFERROR(IF(AF151="X",0,(INDIRECT(CONCATENATE("'Height Input'!"&amp;$B133&amp;$C134+15))-AJ151)*10),"")</f>
        <v>0</v>
      </c>
      <c r="AO151" s="8"/>
      <c r="AP151" s="9" t="str">
        <f t="shared" ca="1" si="50"/>
        <v/>
      </c>
      <c r="AQ151" s="9" t="str">
        <f ca="1">IF(AR151="","",HLOOKUP(AL151,BC135:BJ152,18,FALSE))</f>
        <v/>
      </c>
      <c r="AR151" s="45" t="str">
        <f ca="1">IF(OR(AL151=0,AL151=""),"",IF(COUNTIFS(AL136:AL151,AL151)&gt;1,"=",""))</f>
        <v/>
      </c>
      <c r="AS151" s="45"/>
      <c r="AT151" s="9" t="str">
        <f t="shared" ca="1" si="51"/>
        <v/>
      </c>
      <c r="AU151" s="9" t="str">
        <f ca="1">IF(AV151="","",HLOOKUP(AM151,BK135:BR152,18,FALSE))</f>
        <v/>
      </c>
      <c r="AV151" s="45" t="str">
        <f ca="1">IF(OR(AM151=0,AM151=""),"",IF(COUNTIFS(AM136:AM151,AM151)&gt;1,"=",""))</f>
        <v/>
      </c>
      <c r="AW151" s="9" t="str">
        <f t="shared" ca="1" si="45"/>
        <v/>
      </c>
      <c r="AX151" s="9" t="str">
        <f t="shared" ca="1" si="46"/>
        <v/>
      </c>
      <c r="AY151" s="47"/>
      <c r="AZ151" s="151" t="str">
        <f t="shared" ca="1" si="47"/>
        <v/>
      </c>
      <c r="BA151" s="151" t="str">
        <f t="shared" ca="1" si="48"/>
        <v/>
      </c>
      <c r="BB151" s="9"/>
      <c r="BC151" s="52" t="str">
        <f ca="1">IF(AL151="","",IF(AL151=BC135,AL151,""))</f>
        <v/>
      </c>
      <c r="BD151" s="52" t="str">
        <f ca="1">IF(AL151="","",IF(AL151=BD135,AL151,""))</f>
        <v/>
      </c>
      <c r="BE151" s="52" t="str">
        <f ca="1">IF(AL151="","",IF(AL151=BE135,AL151,""))</f>
        <v/>
      </c>
      <c r="BF151" s="52" t="str">
        <f ca="1">IF(AL151="","",IF(AL151=BF135,AL151,""))</f>
        <v/>
      </c>
      <c r="BG151" s="52" t="str">
        <f ca="1">IF(AL151="","",IF(AL151=BG135,AL151,""))</f>
        <v/>
      </c>
      <c r="BH151" s="52" t="str">
        <f ca="1">IF(AL151="","",IF(AL151=BH135,AL151,""))</f>
        <v/>
      </c>
      <c r="BI151" s="52" t="str">
        <f ca="1">IF(AL151="","",IF(AL151=BI135,AL151,""))</f>
        <v/>
      </c>
      <c r="BJ151" s="52" t="str">
        <f ca="1">IF(AL151="","",IF(AL151=BJ135,AL151,""))</f>
        <v/>
      </c>
      <c r="BK151" s="52" t="str">
        <f ca="1">IF(AM151="","",IF(AM151=BK135,AM151,""))</f>
        <v/>
      </c>
      <c r="BL151" s="52" t="str">
        <f ca="1">IF(AM151="","",IF(AM151=BL135,AM151,""))</f>
        <v/>
      </c>
      <c r="BM151" s="52" t="str">
        <f ca="1">IF(AM151="","",IF(AM151=BM135,AM151,""))</f>
        <v/>
      </c>
      <c r="BN151" s="52" t="str">
        <f ca="1">IF(AM151="","",IF(AM151=BN135,AM151,""))</f>
        <v/>
      </c>
      <c r="BO151" s="52" t="str">
        <f ca="1">IF(AM151="","",IF(AM151=BO135,AM151,""))</f>
        <v/>
      </c>
      <c r="BP151" s="52" t="str">
        <f ca="1">IF(AM151="","",IF(AM151=BP135,AM151,""))</f>
        <v/>
      </c>
      <c r="BQ151" s="52" t="str">
        <f ca="1">IF(AM151="","",IF(AM151=BQ135,AM151,""))</f>
        <v/>
      </c>
      <c r="BR151" s="52" t="str">
        <f ca="1">IF(AM151="","",IF(AM151=BR135,AM151,""))</f>
        <v/>
      </c>
      <c r="BS151" s="46"/>
      <c r="BT151" s="4" t="str">
        <f>IFERROR(IF(A135=0,A151/11,LEFT(A151,1)),"")</f>
        <v/>
      </c>
    </row>
    <row r="152" spans="1:72" s="4" customFormat="1" ht="10.5" x14ac:dyDescent="0.35">
      <c r="A152" s="8"/>
      <c r="B152" s="1"/>
      <c r="C152" s="1"/>
      <c r="AL152" s="140"/>
      <c r="AM152" s="140"/>
      <c r="AP152" s="47"/>
      <c r="AQ152" s="47"/>
      <c r="AR152" s="47"/>
      <c r="AS152" s="47"/>
      <c r="AT152" s="47"/>
      <c r="AU152" s="47"/>
      <c r="AV152" s="47"/>
      <c r="AW152" s="47"/>
      <c r="AX152" s="47"/>
      <c r="AY152" s="47"/>
      <c r="AZ152" s="153"/>
      <c r="BA152" s="153"/>
      <c r="BB152" s="47"/>
      <c r="BC152" s="9">
        <f ca="1">COUNTIF(BC136:BC151,BC135)</f>
        <v>1</v>
      </c>
      <c r="BD152" s="9">
        <f t="shared" ref="BD152:BR152" ca="1" si="52">COUNTIF(BD136:BD151,BD135)</f>
        <v>1</v>
      </c>
      <c r="BE152" s="9">
        <f t="shared" ca="1" si="52"/>
        <v>0</v>
      </c>
      <c r="BF152" s="9">
        <f t="shared" ca="1" si="52"/>
        <v>0</v>
      </c>
      <c r="BG152" s="9">
        <f t="shared" ca="1" si="52"/>
        <v>0</v>
      </c>
      <c r="BH152" s="9">
        <f t="shared" ca="1" si="52"/>
        <v>0</v>
      </c>
      <c r="BI152" s="9">
        <f t="shared" ca="1" si="52"/>
        <v>0</v>
      </c>
      <c r="BJ152" s="9">
        <f t="shared" ca="1" si="52"/>
        <v>0</v>
      </c>
      <c r="BK152" s="9">
        <f t="shared" ca="1" si="52"/>
        <v>1</v>
      </c>
      <c r="BL152" s="9">
        <f t="shared" ca="1" si="52"/>
        <v>0</v>
      </c>
      <c r="BM152" s="9">
        <f t="shared" ca="1" si="52"/>
        <v>0</v>
      </c>
      <c r="BN152" s="9">
        <f t="shared" ca="1" si="52"/>
        <v>0</v>
      </c>
      <c r="BO152" s="9">
        <f t="shared" ca="1" si="52"/>
        <v>0</v>
      </c>
      <c r="BP152" s="9">
        <f t="shared" ca="1" si="52"/>
        <v>0</v>
      </c>
      <c r="BQ152" s="9">
        <f t="shared" ca="1" si="52"/>
        <v>0</v>
      </c>
      <c r="BR152" s="9">
        <f t="shared" ca="1" si="52"/>
        <v>0</v>
      </c>
    </row>
    <row r="153" spans="1:72" s="4" customFormat="1" ht="11.65" x14ac:dyDescent="0.45">
      <c r="A153" s="8"/>
      <c r="B153" s="1"/>
      <c r="C153" s="1"/>
      <c r="D153" s="512" t="s">
        <v>180</v>
      </c>
      <c r="E153" s="552"/>
      <c r="F153" s="552"/>
      <c r="G153" s="552"/>
      <c r="H153" s="552"/>
      <c r="I153" s="553"/>
      <c r="J153" s="512" t="s">
        <v>181</v>
      </c>
      <c r="K153" s="552"/>
      <c r="L153" s="552"/>
      <c r="M153" s="552"/>
      <c r="N153" s="552"/>
      <c r="O153" s="552"/>
      <c r="P153" s="552"/>
      <c r="Q153" s="552"/>
      <c r="R153" s="552"/>
      <c r="S153" s="552"/>
      <c r="T153" s="552"/>
      <c r="U153" s="552"/>
      <c r="V153" s="552"/>
      <c r="W153" s="552"/>
      <c r="X153" s="552"/>
      <c r="Y153" s="552"/>
      <c r="Z153" s="552"/>
      <c r="AA153" s="553"/>
      <c r="AB153" s="512" t="s">
        <v>182</v>
      </c>
      <c r="AC153" s="552"/>
      <c r="AD153" s="552"/>
      <c r="AE153" s="552"/>
      <c r="AF153" s="552"/>
      <c r="AG153" s="552"/>
      <c r="AH153" s="552"/>
      <c r="AI153" s="552"/>
      <c r="AJ153" s="552"/>
      <c r="AK153" s="552"/>
      <c r="AL153" s="552"/>
      <c r="AM153" s="553"/>
      <c r="AP153" s="8"/>
      <c r="AQ153" s="8"/>
      <c r="AR153" s="8"/>
      <c r="AS153" s="8"/>
      <c r="AT153" s="8"/>
      <c r="AU153" s="8"/>
      <c r="AV153" s="8"/>
      <c r="AW153" s="8"/>
      <c r="AX153" s="8"/>
      <c r="AY153" s="8"/>
      <c r="AZ153" s="152"/>
      <c r="BA153" s="152"/>
      <c r="BB153" s="8"/>
      <c r="BC153" s="8"/>
      <c r="BD153" s="8"/>
      <c r="BE153" s="8"/>
    </row>
    <row r="154" spans="1:72" s="4" customFormat="1" ht="11.65" x14ac:dyDescent="0.45">
      <c r="A154" s="8" t="s">
        <v>55</v>
      </c>
      <c r="B154" s="1"/>
      <c r="C154" s="1"/>
      <c r="D154" s="12" t="s">
        <v>230</v>
      </c>
      <c r="E154" s="55" t="s">
        <v>183</v>
      </c>
      <c r="F154" s="55" t="s">
        <v>165</v>
      </c>
      <c r="G154" s="135" t="s">
        <v>166</v>
      </c>
      <c r="H154" s="554" t="s">
        <v>323</v>
      </c>
      <c r="I154" s="555"/>
      <c r="J154" s="512" t="s">
        <v>230</v>
      </c>
      <c r="K154" s="514"/>
      <c r="L154" s="512" t="s">
        <v>183</v>
      </c>
      <c r="M154" s="553"/>
      <c r="N154" s="580" t="s">
        <v>165</v>
      </c>
      <c r="O154" s="580"/>
      <c r="P154" s="580"/>
      <c r="Q154" s="580"/>
      <c r="R154" s="580"/>
      <c r="S154" s="580"/>
      <c r="T154" s="580" t="s">
        <v>166</v>
      </c>
      <c r="U154" s="580"/>
      <c r="V154" s="580"/>
      <c r="W154" s="580"/>
      <c r="X154" s="580"/>
      <c r="Y154" s="580"/>
      <c r="Z154" s="554" t="s">
        <v>323</v>
      </c>
      <c r="AA154" s="555"/>
      <c r="AB154" s="132"/>
      <c r="AC154" s="133"/>
      <c r="AD154" s="133"/>
      <c r="AE154" s="133"/>
      <c r="AF154" s="133"/>
      <c r="AG154" s="133"/>
      <c r="AH154" s="25"/>
      <c r="AI154" s="25"/>
      <c r="AJ154" s="25"/>
      <c r="AK154" s="25"/>
      <c r="AL154" s="141"/>
      <c r="AM154" s="142"/>
      <c r="AP154" s="8"/>
      <c r="AQ154" s="8"/>
      <c r="AR154" s="8"/>
      <c r="AS154" s="8"/>
      <c r="AT154" s="8"/>
      <c r="AU154" s="8"/>
      <c r="AV154" s="8"/>
      <c r="AW154" s="8"/>
      <c r="AX154" s="8"/>
      <c r="AY154" s="8"/>
      <c r="AZ154" s="152"/>
      <c r="BA154" s="152"/>
      <c r="BB154" s="8"/>
      <c r="BC154" s="8"/>
      <c r="BD154" s="8"/>
      <c r="BE154" s="8"/>
    </row>
    <row r="155" spans="1:72" s="4" customFormat="1" ht="15.95" customHeight="1" x14ac:dyDescent="0.45">
      <c r="A155" s="11">
        <f>IFERROR(VLOOKUP(A132,standards,3,FALSE),"-")</f>
        <v>3.1</v>
      </c>
      <c r="B155" s="1"/>
      <c r="C155" s="10">
        <v>1</v>
      </c>
      <c r="D155" s="19">
        <f ca="1">IFERROR(IF(VLOOKUP(C155,B136:AP151,41,FALSE)="",VLOOKUP(C155,B136:AP151,37,FALSE),VLOOKUP(C155,B136:AP151,37,FALSE)&amp;VLOOKUP(C155,B136:AP151,41,FALSE)),"")</f>
        <v>1</v>
      </c>
      <c r="E155" s="19">
        <f ca="1">IFERROR(IF(OR(AF136=98,AF136=99),AF136,IF(VLOOKUP(C155,B136:AG151,31,FALSE)=0,0,VLOOKUP(C155,B136:AG151,4,FALSE))),0)</f>
        <v>1</v>
      </c>
      <c r="F155" s="27" t="str">
        <f ca="1">IFERROR(VLOOKUP(E155,$E136:$F151,2,FALSE),"")</f>
        <v>MOODY Hannah</v>
      </c>
      <c r="G155" s="18" t="str">
        <f t="shared" ref="G155:G162" ca="1" si="53">IFERROR(VLOOKUP(E155,teamlookup,5,FALSE),"-")</f>
        <v>C'field</v>
      </c>
      <c r="H155" s="542">
        <f ca="1">IFERROR(VLOOKUP(E155,E136:AG151,28,FALSE),0)</f>
        <v>2.5</v>
      </c>
      <c r="I155" s="543"/>
      <c r="J155" s="550">
        <f ca="1">IFERROR(IF(VLOOKUP(C155,C136:AT151,44,FALSE)="",VLOOKUP(C155,C136:AT151,37,FALSE),VLOOKUP(C155,C136:AT151,37,FALSE)&amp;VLOOKUP(C155,C136:AT151,44,FALSE)),"")</f>
        <v>1</v>
      </c>
      <c r="K155" s="551"/>
      <c r="L155" s="550">
        <f ca="1">IFERROR(IF(VLOOKUP(C155,C136:AG151,30,FALSE)=0,"",VLOOKUP(C155,C136:AG151,3,FALSE)),"")</f>
        <v>11</v>
      </c>
      <c r="M155" s="551"/>
      <c r="N155" s="544" t="str">
        <f ca="1">IFERROR(VLOOKUP(L155,E136:F151,2,FALSE),"")</f>
        <v>PROCTOR Alicia</v>
      </c>
      <c r="O155" s="545"/>
      <c r="P155" s="545"/>
      <c r="Q155" s="545"/>
      <c r="R155" s="545"/>
      <c r="S155" s="546"/>
      <c r="T155" s="544" t="str">
        <f t="shared" ref="T155:T162" ca="1" si="54">IFERROR(VLOOKUP(L155,teamlookup,5,FALSE),"-")</f>
        <v>C'field</v>
      </c>
      <c r="U155" s="545"/>
      <c r="V155" s="545"/>
      <c r="W155" s="545"/>
      <c r="X155" s="545"/>
      <c r="Y155" s="546"/>
      <c r="Z155" s="542" t="str">
        <f ca="1">IFERROR(VLOOKUP(L155,E136:AG151,28,FALSE),0)</f>
        <v>X</v>
      </c>
      <c r="AA155" s="543"/>
      <c r="AB155" s="28"/>
      <c r="AC155" s="29"/>
      <c r="AD155" s="29"/>
      <c r="AE155" s="29"/>
      <c r="AF155" s="29"/>
      <c r="AG155" s="29"/>
      <c r="AH155" s="29"/>
      <c r="AI155" s="29"/>
      <c r="AJ155" s="29"/>
      <c r="AK155" s="29"/>
      <c r="AL155" s="143"/>
      <c r="AM155" s="144"/>
      <c r="AP155" s="8"/>
      <c r="AQ155" s="8"/>
      <c r="AR155" s="53"/>
      <c r="AS155" s="8"/>
      <c r="AT155" s="8"/>
      <c r="AU155" s="8"/>
      <c r="AV155" s="8"/>
      <c r="AW155" s="8"/>
      <c r="AX155" s="8"/>
      <c r="AY155" s="8"/>
      <c r="AZ155" s="152"/>
      <c r="BA155" s="152"/>
      <c r="BB155" s="8"/>
      <c r="BC155" s="8"/>
      <c r="BD155" s="8"/>
      <c r="BE155" s="8"/>
    </row>
    <row r="156" spans="1:72" s="4" customFormat="1" ht="15.95" customHeight="1" x14ac:dyDescent="0.45">
      <c r="A156" s="11">
        <f>IFERROR(VLOOKUP(A132,standards,4,FALSE),"-")</f>
        <v>2.8</v>
      </c>
      <c r="B156" s="1"/>
      <c r="C156" s="10">
        <v>2</v>
      </c>
      <c r="D156" s="19">
        <f ca="1">IFERROR(IF(VLOOKUP(C156,B136:AP151,41,FALSE)="",VLOOKUP(C156,B136:AP151,37,FALSE),VLOOKUP(C156,B136:AP151,37,FALSE)&amp;VLOOKUP(C156,B136:AP151,41,FALSE)),"")</f>
        <v>2</v>
      </c>
      <c r="E156" s="19">
        <f ca="1">IFERROR(IF(VLOOKUP(C156,B136:AG151,31,FALSE)=0,0,VLOOKUP(C156,B136:AG151,4,FALSE)),"")</f>
        <v>33</v>
      </c>
      <c r="F156" s="27" t="str">
        <f ca="1">IFERROR(VLOOKUP(E156,$E136:$F151,2,FALSE),"")</f>
        <v>LEE Isabel</v>
      </c>
      <c r="G156" s="18" t="str">
        <f t="shared" ca="1" si="53"/>
        <v>York</v>
      </c>
      <c r="H156" s="542" t="str">
        <f ca="1">IFERROR(VLOOKUP(E156,E136:AG151,28,FALSE),0)</f>
        <v>X</v>
      </c>
      <c r="I156" s="543"/>
      <c r="J156" s="550" t="str">
        <f ca="1">IFERROR(IF(VLOOKUP(C156,C136:AT151,44,FALSE)="",VLOOKUP(C156,C136:AT151,37,FALSE),VLOOKUP(C156,C136:AT151,37,FALSE)&amp;VLOOKUP(C156,C136:AT151,44,FALSE)),"")</f>
        <v/>
      </c>
      <c r="K156" s="551"/>
      <c r="L156" s="550" t="str">
        <f ca="1">IFERROR(IF(VLOOKUP(C156,C136:AG151,30,FALSE)=0,"",VLOOKUP(C156,C136:AG151,3,FALSE)),"")</f>
        <v/>
      </c>
      <c r="M156" s="551"/>
      <c r="N156" s="544" t="str">
        <f ca="1">IFERROR(VLOOKUP(L156,E136:F151,2,FALSE),"")</f>
        <v/>
      </c>
      <c r="O156" s="545"/>
      <c r="P156" s="545"/>
      <c r="Q156" s="545"/>
      <c r="R156" s="545"/>
      <c r="S156" s="546"/>
      <c r="T156" s="544" t="str">
        <f t="shared" ca="1" si="54"/>
        <v>-</v>
      </c>
      <c r="U156" s="545"/>
      <c r="V156" s="545"/>
      <c r="W156" s="545"/>
      <c r="X156" s="545"/>
      <c r="Y156" s="546"/>
      <c r="Z156" s="542">
        <f ca="1">IFERROR(VLOOKUP(L156,E136:AG151,28,FALSE),0)</f>
        <v>0</v>
      </c>
      <c r="AA156" s="543"/>
      <c r="AB156" s="134"/>
      <c r="AC156" s="20"/>
      <c r="AD156" s="20"/>
      <c r="AE156" s="20"/>
      <c r="AF156" s="20"/>
      <c r="AG156" s="20"/>
      <c r="AH156" s="20"/>
      <c r="AI156" s="20"/>
      <c r="AJ156" s="20"/>
      <c r="AK156" s="20"/>
      <c r="AL156" s="145"/>
      <c r="AM156" s="146"/>
      <c r="AP156" s="8"/>
      <c r="AQ156" s="8"/>
      <c r="AR156" s="8"/>
      <c r="AS156" s="8"/>
      <c r="AT156" s="8"/>
      <c r="AU156" s="8"/>
      <c r="AV156" s="8"/>
      <c r="AW156" s="8"/>
      <c r="AX156" s="8"/>
      <c r="AY156" s="8"/>
      <c r="AZ156" s="152"/>
      <c r="BA156" s="152"/>
      <c r="BB156" s="8"/>
      <c r="BC156" s="8"/>
      <c r="BD156" s="8"/>
      <c r="BE156" s="8"/>
    </row>
    <row r="157" spans="1:72" s="4" customFormat="1" ht="15.95" customHeight="1" x14ac:dyDescent="0.45">
      <c r="A157" s="11">
        <f>IFERROR(VLOOKUP(A132,standards,5,FALSE),"-")</f>
        <v>2.5</v>
      </c>
      <c r="B157" s="1"/>
      <c r="C157" s="10">
        <v>3</v>
      </c>
      <c r="D157" s="19" t="str">
        <f ca="1">IFERROR(IF(VLOOKUP(C157,B136:AP151,41,FALSE)="",VLOOKUP(C157,B136:AP151,37,FALSE),VLOOKUP(C157,B136:AP151,37,FALSE)&amp;VLOOKUP(C157,B136:AP151,41,FALSE)),"")</f>
        <v/>
      </c>
      <c r="E157" s="19" t="str">
        <f ca="1">IFERROR(IF(VLOOKUP(C157,B136:AG151,31,FALSE)=0,0,VLOOKUP(C157,B136:AG151,4,FALSE)),"")</f>
        <v/>
      </c>
      <c r="F157" s="27" t="str">
        <f ca="1">IFERROR(VLOOKUP(E157,$E136:$F151,2,FALSE),"")</f>
        <v/>
      </c>
      <c r="G157" s="18" t="str">
        <f t="shared" ca="1" si="53"/>
        <v>-</v>
      </c>
      <c r="H157" s="542">
        <f ca="1">IFERROR(VLOOKUP(E157,E136:AG151,28,FALSE),0)</f>
        <v>0</v>
      </c>
      <c r="I157" s="543"/>
      <c r="J157" s="550" t="str">
        <f ca="1">IFERROR(IF(VLOOKUP(C157,C136:AT151,44,FALSE)="",VLOOKUP(C157,C136:AT151,37,FALSE),VLOOKUP(C157,C136:AT151,37,FALSE)&amp;VLOOKUP(C157,C136:AT151,44,FALSE)),"")</f>
        <v/>
      </c>
      <c r="K157" s="551"/>
      <c r="L157" s="550" t="str">
        <f ca="1">IFERROR(IF(VLOOKUP(C157,C136:AG151,30,FALSE)=0,"",VLOOKUP(C157,C136:AG151,3,FALSE)),"")</f>
        <v/>
      </c>
      <c r="M157" s="551"/>
      <c r="N157" s="544" t="str">
        <f ca="1">IFERROR(VLOOKUP(L157,E136:F151,2,FALSE),"")</f>
        <v/>
      </c>
      <c r="O157" s="545"/>
      <c r="P157" s="545"/>
      <c r="Q157" s="545"/>
      <c r="R157" s="545"/>
      <c r="S157" s="546"/>
      <c r="T157" s="544" t="str">
        <f t="shared" ca="1" si="54"/>
        <v>-</v>
      </c>
      <c r="U157" s="545"/>
      <c r="V157" s="545"/>
      <c r="W157" s="545"/>
      <c r="X157" s="545"/>
      <c r="Y157" s="546"/>
      <c r="Z157" s="542">
        <f ca="1">IFERROR(VLOOKUP(L157,E136:AG151,28,FALSE),0)</f>
        <v>0</v>
      </c>
      <c r="AA157" s="543"/>
      <c r="AB157" s="134"/>
      <c r="AC157" s="20"/>
      <c r="AD157" s="20"/>
      <c r="AE157" s="20"/>
      <c r="AF157" s="20"/>
      <c r="AG157" s="20"/>
      <c r="AH157" s="20"/>
      <c r="AI157" s="20"/>
      <c r="AJ157" s="20"/>
      <c r="AK157" s="20"/>
      <c r="AL157" s="145"/>
      <c r="AM157" s="146"/>
      <c r="AP157" s="8"/>
      <c r="AQ157" s="8"/>
      <c r="AR157" s="8"/>
      <c r="AS157" s="8"/>
      <c r="AT157" s="8"/>
      <c r="AU157" s="8"/>
      <c r="AV157" s="8"/>
      <c r="AW157" s="8"/>
      <c r="AX157" s="8"/>
      <c r="AY157" s="8"/>
      <c r="AZ157" s="152"/>
      <c r="BA157" s="152"/>
      <c r="BB157" s="8"/>
      <c r="BC157" s="8"/>
      <c r="BD157" s="8"/>
      <c r="BE157" s="8"/>
    </row>
    <row r="158" spans="1:72" s="4" customFormat="1" ht="15.95" customHeight="1" x14ac:dyDescent="0.45">
      <c r="A158" s="11">
        <f>IFERROR(VLOOKUP(A132,AAA!A:F,6,FALSE),"-")</f>
        <v>2.2000000000000002</v>
      </c>
      <c r="B158" s="1"/>
      <c r="C158" s="10">
        <v>4</v>
      </c>
      <c r="D158" s="19" t="str">
        <f ca="1">IFERROR(IF(VLOOKUP(C158,B136:AP151,41,FALSE)="",VLOOKUP(C158,B136:AP151,37,FALSE),VLOOKUP(C158,B136:AP151,37,FALSE)&amp;VLOOKUP(C158,B136:AP151,41,FALSE)),"")</f>
        <v/>
      </c>
      <c r="E158" s="19" t="str">
        <f ca="1">IFERROR(IF(VLOOKUP(C158,B136:AG151,31,FALSE)=0,0,VLOOKUP(C158,B136:AG151,4,FALSE)),"")</f>
        <v/>
      </c>
      <c r="F158" s="27" t="str">
        <f ca="1">IFERROR(VLOOKUP(E158,$E136:$F151,2,FALSE),"")</f>
        <v/>
      </c>
      <c r="G158" s="18" t="str">
        <f t="shared" ca="1" si="53"/>
        <v>-</v>
      </c>
      <c r="H158" s="542">
        <f ca="1">IFERROR(VLOOKUP(E158,E136:AG151,28,FALSE),0)</f>
        <v>0</v>
      </c>
      <c r="I158" s="543"/>
      <c r="J158" s="550" t="str">
        <f ca="1">IFERROR(IF(VLOOKUP(C158,C136:AT151,44,FALSE)="",VLOOKUP(C158,C136:AT151,37,FALSE),VLOOKUP(C158,C136:AT151,37,FALSE)&amp;VLOOKUP(C158,C136:AT151,44,FALSE)),"")</f>
        <v/>
      </c>
      <c r="K158" s="551"/>
      <c r="L158" s="550" t="str">
        <f ca="1">IFERROR(IF(VLOOKUP(C158,C136:AG151,30,FALSE)=0,"",VLOOKUP(C158,C136:AG151,3,FALSE)),"")</f>
        <v/>
      </c>
      <c r="M158" s="551"/>
      <c r="N158" s="544" t="str">
        <f ca="1">IFERROR(VLOOKUP(L158,E136:F151,2,FALSE),"")</f>
        <v/>
      </c>
      <c r="O158" s="545"/>
      <c r="P158" s="545"/>
      <c r="Q158" s="545"/>
      <c r="R158" s="545"/>
      <c r="S158" s="546"/>
      <c r="T158" s="544" t="str">
        <f t="shared" ca="1" si="54"/>
        <v>-</v>
      </c>
      <c r="U158" s="545"/>
      <c r="V158" s="545"/>
      <c r="W158" s="545"/>
      <c r="X158" s="545"/>
      <c r="Y158" s="546"/>
      <c r="Z158" s="542">
        <f ca="1">IFERROR(VLOOKUP(L158,E136:AG151,28,FALSE),0)</f>
        <v>0</v>
      </c>
      <c r="AA158" s="543"/>
      <c r="AB158" s="24"/>
      <c r="AC158" s="25"/>
      <c r="AD158" s="25"/>
      <c r="AE158" s="25"/>
      <c r="AF158" s="25"/>
      <c r="AG158" s="25"/>
      <c r="AH158" s="25"/>
      <c r="AI158" s="25"/>
      <c r="AJ158" s="25"/>
      <c r="AK158" s="25"/>
      <c r="AL158" s="141"/>
      <c r="AM158" s="142"/>
      <c r="AP158" s="8"/>
      <c r="AQ158" s="8"/>
      <c r="AR158" s="8"/>
      <c r="AS158" s="8"/>
      <c r="AT158" s="8"/>
      <c r="AU158" s="8"/>
      <c r="AV158" s="8"/>
      <c r="AW158" s="8"/>
      <c r="AX158" s="8"/>
      <c r="AY158" s="8"/>
      <c r="AZ158" s="152"/>
      <c r="BA158" s="152"/>
      <c r="BB158" s="8"/>
      <c r="BC158" s="8"/>
      <c r="BD158" s="8"/>
      <c r="BE158" s="8"/>
    </row>
    <row r="159" spans="1:72" s="4" customFormat="1" ht="15.95" customHeight="1" x14ac:dyDescent="0.45">
      <c r="A159" s="8"/>
      <c r="B159" s="1"/>
      <c r="C159" s="10">
        <v>5</v>
      </c>
      <c r="D159" s="19" t="str">
        <f ca="1">IFERROR(IF(VLOOKUP(C159,B136:AP151,41,FALSE)="",VLOOKUP(C159,B136:AP151,37,FALSE),VLOOKUP(C159,B136:AP151,37,FALSE)&amp;VLOOKUP(C159,B136:AP151,41,FALSE)),"")</f>
        <v/>
      </c>
      <c r="E159" s="19" t="str">
        <f ca="1">IFERROR(IF(VLOOKUP(C159,B136:AG151,31,FALSE)=0,0,VLOOKUP(C159,B136:AG151,4,FALSE)),"")</f>
        <v/>
      </c>
      <c r="F159" s="27" t="str">
        <f ca="1">IFERROR(VLOOKUP(E159,$E136:$F151,2,FALSE),"")</f>
        <v/>
      </c>
      <c r="G159" s="18" t="str">
        <f t="shared" ca="1" si="53"/>
        <v>-</v>
      </c>
      <c r="H159" s="542">
        <f ca="1">IFERROR(VLOOKUP(E159,E136:AG151,28,FALSE),0)</f>
        <v>0</v>
      </c>
      <c r="I159" s="543"/>
      <c r="J159" s="550" t="str">
        <f ca="1">IFERROR(IF(VLOOKUP(C159,C136:AT151,44,FALSE)="",VLOOKUP(C159,C136:AT151,37,FALSE),VLOOKUP(C159,C136:AT151,37,FALSE)&amp;VLOOKUP(C159,C136:AT151,44,FALSE)),"")</f>
        <v/>
      </c>
      <c r="K159" s="551"/>
      <c r="L159" s="550" t="str">
        <f ca="1">IFERROR(IF(VLOOKUP(C159,C136:AG151,30,FALSE)=0,"",VLOOKUP(C159,C136:AG151,3,FALSE)),"")</f>
        <v/>
      </c>
      <c r="M159" s="551"/>
      <c r="N159" s="544" t="str">
        <f ca="1">IFERROR(VLOOKUP(L159,E136:F151,2,FALSE),"")</f>
        <v/>
      </c>
      <c r="O159" s="545"/>
      <c r="P159" s="545"/>
      <c r="Q159" s="545"/>
      <c r="R159" s="545"/>
      <c r="S159" s="546"/>
      <c r="T159" s="544" t="str">
        <f t="shared" ca="1" si="54"/>
        <v>-</v>
      </c>
      <c r="U159" s="545"/>
      <c r="V159" s="545"/>
      <c r="W159" s="545"/>
      <c r="X159" s="545"/>
      <c r="Y159" s="546"/>
      <c r="Z159" s="542">
        <f ca="1">IFERROR(VLOOKUP(L159,E136:AG151,28,FALSE),0)</f>
        <v>0</v>
      </c>
      <c r="AA159" s="543"/>
      <c r="AB159" s="28"/>
      <c r="AC159" s="29"/>
      <c r="AD159" s="29"/>
      <c r="AE159" s="29"/>
      <c r="AF159" s="29"/>
      <c r="AG159" s="29"/>
      <c r="AH159" s="29"/>
      <c r="AI159" s="29"/>
      <c r="AJ159" s="29"/>
      <c r="AK159" s="29"/>
      <c r="AL159" s="143"/>
      <c r="AM159" s="144"/>
      <c r="AP159" s="8"/>
      <c r="AQ159" s="8"/>
      <c r="AR159" s="8"/>
      <c r="AS159" s="8"/>
      <c r="AT159" s="8"/>
      <c r="AU159" s="8"/>
      <c r="AV159" s="8"/>
      <c r="AW159" s="8"/>
      <c r="AX159" s="8"/>
      <c r="AY159" s="8"/>
      <c r="AZ159" s="152"/>
      <c r="BA159" s="152"/>
      <c r="BB159" s="8"/>
      <c r="BC159" s="8"/>
      <c r="BD159" s="8"/>
      <c r="BE159" s="8"/>
    </row>
    <row r="160" spans="1:72" s="4" customFormat="1" ht="15.95" customHeight="1" x14ac:dyDescent="0.45">
      <c r="A160" s="8" t="s">
        <v>204</v>
      </c>
      <c r="B160" s="1"/>
      <c r="C160" s="10">
        <v>6</v>
      </c>
      <c r="D160" s="19" t="str">
        <f ca="1">IFERROR(IF(VLOOKUP(C160,B136:AP151,41,FALSE)="",VLOOKUP(C160,B136:AP151,37,FALSE),VLOOKUP(C160,B136:AP151,37,FALSE)&amp;VLOOKUP(C160,B136:AP151,41,FALSE)),"")</f>
        <v/>
      </c>
      <c r="E160" s="19" t="str">
        <f ca="1">IFERROR(IF(VLOOKUP(C160,B136:AG151,31,FALSE)=0,0,VLOOKUP(C160,B136:AG151,4,FALSE)),"")</f>
        <v/>
      </c>
      <c r="F160" s="27" t="str">
        <f ca="1">IFERROR(VLOOKUP(E160,$E136:$F151,2,FALSE),"")</f>
        <v/>
      </c>
      <c r="G160" s="18" t="str">
        <f t="shared" ca="1" si="53"/>
        <v>-</v>
      </c>
      <c r="H160" s="542">
        <f ca="1">IFERROR(VLOOKUP(E160,E136:AG151,28,FALSE),0)</f>
        <v>0</v>
      </c>
      <c r="I160" s="543"/>
      <c r="J160" s="550" t="str">
        <f ca="1">IFERROR(IF(VLOOKUP(C160,C136:AT151,44,FALSE)="",VLOOKUP(C160,C136:AT151,37,FALSE),VLOOKUP(C160,C136:AT151,37,FALSE)&amp;VLOOKUP(C160,C136:AT151,44,FALSE)),"")</f>
        <v/>
      </c>
      <c r="K160" s="551"/>
      <c r="L160" s="550" t="str">
        <f ca="1">IFERROR(IF(VLOOKUP(C160,C136:AG151,30,FALSE)=0,"",VLOOKUP(C160,C136:AG151,3,FALSE)),"")</f>
        <v/>
      </c>
      <c r="M160" s="551"/>
      <c r="N160" s="544" t="str">
        <f ca="1">IFERROR(VLOOKUP(L160,E136:F151,2,FALSE),"")</f>
        <v/>
      </c>
      <c r="O160" s="545"/>
      <c r="P160" s="545"/>
      <c r="Q160" s="545"/>
      <c r="R160" s="545"/>
      <c r="S160" s="546"/>
      <c r="T160" s="544" t="str">
        <f t="shared" ca="1" si="54"/>
        <v>-</v>
      </c>
      <c r="U160" s="545"/>
      <c r="V160" s="545"/>
      <c r="W160" s="545"/>
      <c r="X160" s="545"/>
      <c r="Y160" s="546"/>
      <c r="Z160" s="542">
        <f ca="1">IFERROR(VLOOKUP(L160,E136:AG151,28,FALSE),0)</f>
        <v>0</v>
      </c>
      <c r="AA160" s="543"/>
      <c r="AB160" s="512" t="s">
        <v>185</v>
      </c>
      <c r="AC160" s="552"/>
      <c r="AD160" s="552"/>
      <c r="AE160" s="552"/>
      <c r="AF160" s="552"/>
      <c r="AG160" s="552"/>
      <c r="AH160" s="552"/>
      <c r="AI160" s="552"/>
      <c r="AJ160" s="552"/>
      <c r="AK160" s="552"/>
      <c r="AL160" s="552"/>
      <c r="AM160" s="553"/>
      <c r="AP160" s="8"/>
      <c r="AQ160" s="8"/>
      <c r="AR160" s="8"/>
      <c r="AS160" s="8"/>
      <c r="AT160" s="8"/>
      <c r="AU160" s="8"/>
      <c r="AV160" s="8"/>
      <c r="AW160" s="8"/>
      <c r="AX160" s="8"/>
      <c r="AY160" s="8"/>
      <c r="AZ160" s="152"/>
      <c r="BA160" s="152"/>
      <c r="BB160" s="8"/>
      <c r="BC160" s="8"/>
      <c r="BD160" s="8"/>
      <c r="BE160" s="8"/>
    </row>
    <row r="161" spans="1:72" s="4" customFormat="1" ht="15.95" customHeight="1" x14ac:dyDescent="0.45">
      <c r="A161" s="8">
        <f>IFERROR(VLOOKUP(A132,records,5,FALSE),"")</f>
        <v>3.42</v>
      </c>
      <c r="B161" s="1"/>
      <c r="C161" s="10">
        <v>7</v>
      </c>
      <c r="D161" s="19" t="str">
        <f ca="1">IFERROR(IF(VLOOKUP(C161,B136:AP151,41,FALSE)="",VLOOKUP(C161,B136:AP151,37,FALSE),VLOOKUP(C161,B136:AP151,37,FALSE)&amp;VLOOKUP(C161,B136:AP151,41,FALSE)),"")</f>
        <v/>
      </c>
      <c r="E161" s="19" t="str">
        <f ca="1">IFERROR(IF(VLOOKUP(C161,B136:AG151,31,FALSE)=0,0,VLOOKUP(C161,B136:AG151,4,FALSE)),"")</f>
        <v/>
      </c>
      <c r="F161" s="27" t="str">
        <f ca="1">IFERROR(VLOOKUP(E161,$E136:$F151,2,FALSE),"")</f>
        <v/>
      </c>
      <c r="G161" s="18" t="str">
        <f t="shared" ca="1" si="53"/>
        <v>-</v>
      </c>
      <c r="H161" s="542">
        <f ca="1">IFERROR(VLOOKUP(E161,E136:AG151,28,FALSE),0)</f>
        <v>0</v>
      </c>
      <c r="I161" s="543"/>
      <c r="J161" s="550" t="str">
        <f ca="1">IFERROR(IF(VLOOKUP(C161,C136:AT151,44,FALSE)="",VLOOKUP(C161,C136:AT151,37,FALSE),VLOOKUP(C161,C136:AT151,37,FALSE)&amp;VLOOKUP(C161,C136:AT151,44,FALSE)),"")</f>
        <v/>
      </c>
      <c r="K161" s="551"/>
      <c r="L161" s="550" t="str">
        <f ca="1">IFERROR(IF(VLOOKUP(C161,C136:AG151,30,FALSE)=0,"",VLOOKUP(C161,C136:AG151,3,FALSE)),"")</f>
        <v/>
      </c>
      <c r="M161" s="551"/>
      <c r="N161" s="544" t="str">
        <f ca="1">IFERROR(VLOOKUP(L161,E136:F151,2,FALSE),"")</f>
        <v/>
      </c>
      <c r="O161" s="545"/>
      <c r="P161" s="545"/>
      <c r="Q161" s="545"/>
      <c r="R161" s="545"/>
      <c r="S161" s="546"/>
      <c r="T161" s="544" t="str">
        <f t="shared" ca="1" si="54"/>
        <v>-</v>
      </c>
      <c r="U161" s="545"/>
      <c r="V161" s="545"/>
      <c r="W161" s="545"/>
      <c r="X161" s="545"/>
      <c r="Y161" s="546"/>
      <c r="Z161" s="542">
        <f ca="1">IFERROR(VLOOKUP(L161,E136:AG151,28,FALSE),0)</f>
        <v>0</v>
      </c>
      <c r="AA161" s="543"/>
      <c r="AB161" s="24"/>
      <c r="AC161" s="25"/>
      <c r="AD161" s="25"/>
      <c r="AE161" s="25"/>
      <c r="AF161" s="25"/>
      <c r="AG161" s="25"/>
      <c r="AH161" s="25"/>
      <c r="AI161" s="25"/>
      <c r="AJ161" s="25"/>
      <c r="AK161" s="25"/>
      <c r="AL161" s="141"/>
      <c r="AM161" s="142"/>
      <c r="AP161" s="8"/>
      <c r="AQ161" s="8"/>
      <c r="AR161" s="8"/>
      <c r="AS161" s="8"/>
      <c r="AT161" s="8"/>
      <c r="AU161" s="8"/>
      <c r="AV161" s="8"/>
      <c r="AW161" s="8"/>
      <c r="AX161" s="8"/>
      <c r="AY161" s="8"/>
      <c r="AZ161" s="152"/>
      <c r="BA161" s="152"/>
      <c r="BB161" s="8"/>
      <c r="BC161" s="8"/>
      <c r="BD161" s="8"/>
      <c r="BE161" s="8"/>
    </row>
    <row r="162" spans="1:72" s="4" customFormat="1" ht="15.95" customHeight="1" x14ac:dyDescent="0.45">
      <c r="A162" s="8"/>
      <c r="B162" s="1"/>
      <c r="C162" s="10">
        <v>8</v>
      </c>
      <c r="D162" s="19" t="str">
        <f ca="1">IFERROR(IF(VLOOKUP(C162,B136:AP151,41,FALSE)="",VLOOKUP(C162,B136:AP151,37,FALSE),VLOOKUP(C162,B136:AP151,37,FALSE)&amp;VLOOKUP(C162,B136:AP151,41,FALSE)),"")</f>
        <v/>
      </c>
      <c r="E162" s="19" t="str">
        <f ca="1">IFERROR(IF(VLOOKUP(C162,B136:AG151,31,FALSE)=0,0,VLOOKUP(C162,B136:AG151,4,FALSE)),"")</f>
        <v/>
      </c>
      <c r="F162" s="27" t="str">
        <f ca="1">IFERROR(VLOOKUP(E162,$E136:$F151,2,FALSE),"")</f>
        <v/>
      </c>
      <c r="G162" s="18" t="str">
        <f t="shared" ca="1" si="53"/>
        <v>-</v>
      </c>
      <c r="H162" s="542">
        <f ca="1">IFERROR(VLOOKUP(E162,E136:AG151,28,FALSE),0)</f>
        <v>0</v>
      </c>
      <c r="I162" s="543"/>
      <c r="J162" s="550" t="str">
        <f ca="1">IFERROR(IF(VLOOKUP(C162,C136:AT151,44,FALSE)="",VLOOKUP(C162,C136:AT151,37,FALSE),VLOOKUP(C162,C136:AT151,37,FALSE)&amp;VLOOKUP(C162,C136:AT151,44,FALSE)),"")</f>
        <v/>
      </c>
      <c r="K162" s="551"/>
      <c r="L162" s="550" t="str">
        <f ca="1">IFERROR(IF(VLOOKUP(C162,C136:AG151,30,FALSE)=0,"",VLOOKUP(C162,C136:AG151,3,FALSE)),"")</f>
        <v/>
      </c>
      <c r="M162" s="551"/>
      <c r="N162" s="544" t="str">
        <f ca="1">IFERROR(VLOOKUP(L162,E136:F151,2,FALSE),"")</f>
        <v/>
      </c>
      <c r="O162" s="545"/>
      <c r="P162" s="545"/>
      <c r="Q162" s="545"/>
      <c r="R162" s="545"/>
      <c r="S162" s="546"/>
      <c r="T162" s="544" t="str">
        <f t="shared" ca="1" si="54"/>
        <v>-</v>
      </c>
      <c r="U162" s="545"/>
      <c r="V162" s="545"/>
      <c r="W162" s="545"/>
      <c r="X162" s="545"/>
      <c r="Y162" s="546"/>
      <c r="Z162" s="542">
        <f ca="1">IFERROR(VLOOKUP(L162,E136:AG151,28,FALSE),0)</f>
        <v>0</v>
      </c>
      <c r="AA162" s="543"/>
      <c r="AB162" s="28"/>
      <c r="AC162" s="29"/>
      <c r="AD162" s="29"/>
      <c r="AE162" s="29"/>
      <c r="AF162" s="29"/>
      <c r="AG162" s="29"/>
      <c r="AH162" s="29"/>
      <c r="AI162" s="29"/>
      <c r="AJ162" s="29"/>
      <c r="AK162" s="29"/>
      <c r="AL162" s="143"/>
      <c r="AM162" s="144"/>
      <c r="AP162" s="8"/>
      <c r="AQ162" s="8"/>
      <c r="AR162" s="8"/>
      <c r="AS162" s="8"/>
      <c r="AT162" s="8"/>
      <c r="AU162" s="8"/>
      <c r="AV162" s="8"/>
      <c r="AW162" s="8"/>
      <c r="AX162" s="8"/>
      <c r="AY162" s="8"/>
      <c r="AZ162" s="152"/>
      <c r="BA162" s="152"/>
      <c r="BB162" s="8"/>
      <c r="BC162" s="8"/>
      <c r="BD162" s="8"/>
      <c r="BE162" s="8"/>
    </row>
    <row r="163" spans="1:72" s="4" customFormat="1" ht="21" x14ac:dyDescent="0.45">
      <c r="A163" s="2" t="str">
        <f>MatchDay!$U$6</f>
        <v>X</v>
      </c>
      <c r="B163" s="10" t="str">
        <f>IFERROR(VLOOKUP($A164,fh,2,FALSE),"")</f>
        <v/>
      </c>
      <c r="C163" s="10" t="str">
        <f>IFERROR(VLOOKUP($A164,fdistance,3,FALSE),"")</f>
        <v/>
      </c>
      <c r="D163" s="502" t="s">
        <v>324</v>
      </c>
      <c r="E163" s="503"/>
      <c r="F163" s="503"/>
      <c r="G163" s="503"/>
      <c r="H163" s="515" t="s">
        <v>187</v>
      </c>
      <c r="I163" s="516"/>
      <c r="J163" s="516"/>
      <c r="K163" s="516"/>
      <c r="L163" s="516"/>
      <c r="M163" s="517"/>
      <c r="N163" s="518" t="str">
        <f>MatchDay!$C$2&amp;" "&amp;MatchDay!$C$3&amp;" "&amp;MatchDay!$C$4</f>
        <v>LOWER NORTH East 1</v>
      </c>
      <c r="O163" s="519"/>
      <c r="P163" s="519"/>
      <c r="Q163" s="519"/>
      <c r="R163" s="519"/>
      <c r="S163" s="519"/>
      <c r="T163" s="519"/>
      <c r="U163" s="519"/>
      <c r="V163" s="519"/>
      <c r="W163" s="519"/>
      <c r="X163" s="519"/>
      <c r="Y163" s="519"/>
      <c r="Z163" s="519"/>
      <c r="AA163" s="519"/>
      <c r="AB163" s="519"/>
      <c r="AC163" s="519"/>
      <c r="AD163" s="519"/>
      <c r="AE163" s="519"/>
      <c r="AF163" s="519"/>
      <c r="AG163" s="519"/>
      <c r="AH163" s="519"/>
      <c r="AI163" s="519"/>
      <c r="AJ163" s="519"/>
      <c r="AK163" s="519"/>
      <c r="AL163" s="519"/>
      <c r="AM163" s="520"/>
      <c r="AP163" s="8"/>
      <c r="AT163" s="8"/>
      <c r="AU163" s="8"/>
      <c r="AV163" s="8"/>
      <c r="AW163" s="8"/>
      <c r="AX163" s="8"/>
      <c r="AY163" s="8"/>
      <c r="AZ163" s="152"/>
      <c r="BA163" s="152"/>
      <c r="BB163" s="8"/>
      <c r="BC163" s="8"/>
      <c r="BD163" s="8"/>
      <c r="BE163" s="8"/>
    </row>
    <row r="164" spans="1:72" s="4" customFormat="1" ht="15.75" customHeight="1" x14ac:dyDescent="0.45">
      <c r="A164" s="1" t="str">
        <f>IFERROR(IF(LEFT(MatchDay!$C$2,1)="L","L"&amp;A166,"U"&amp;A166),"")</f>
        <v>LFH06</v>
      </c>
      <c r="B164" s="8">
        <v>187</v>
      </c>
      <c r="D164" s="504" t="s">
        <v>188</v>
      </c>
      <c r="E164" s="505"/>
      <c r="F164" s="513" t="str">
        <f>IFERROR(UPPER(VLOOKUP(A165,teamlookup,6,FALSE)),"")</f>
        <v/>
      </c>
      <c r="G164" s="514"/>
      <c r="H164" s="504" t="s">
        <v>201</v>
      </c>
      <c r="I164" s="510"/>
      <c r="J164" s="505"/>
      <c r="K164" s="512" t="str">
        <f>MatchDay!$C$8</f>
        <v>@ Doncaster</v>
      </c>
      <c r="L164" s="513"/>
      <c r="M164" s="513"/>
      <c r="N164" s="513"/>
      <c r="O164" s="513"/>
      <c r="P164" s="513"/>
      <c r="Q164" s="513"/>
      <c r="R164" s="513"/>
      <c r="S164" s="513"/>
      <c r="T164" s="513"/>
      <c r="U164" s="513"/>
      <c r="V164" s="513"/>
      <c r="W164" s="513"/>
      <c r="X164" s="513"/>
      <c r="Y164" s="514"/>
      <c r="Z164" s="504" t="s">
        <v>160</v>
      </c>
      <c r="AA164" s="510"/>
      <c r="AB164" s="505"/>
      <c r="AC164" s="521">
        <f>MatchDay!$C$7</f>
        <v>43582</v>
      </c>
      <c r="AD164" s="522"/>
      <c r="AE164" s="522"/>
      <c r="AF164" s="522"/>
      <c r="AG164" s="522"/>
      <c r="AH164" s="522"/>
      <c r="AI164" s="522"/>
      <c r="AJ164" s="522"/>
      <c r="AK164" s="522"/>
      <c r="AL164" s="522"/>
      <c r="AM164" s="523"/>
      <c r="AN164" s="37"/>
      <c r="AP164" s="8"/>
      <c r="AT164" s="8"/>
      <c r="AU164" s="8"/>
      <c r="AV164" s="8"/>
      <c r="AW164" s="8"/>
      <c r="AX164" s="8"/>
      <c r="AY164" s="8"/>
      <c r="AZ164" s="152"/>
      <c r="BA164" s="152"/>
      <c r="BB164" s="8"/>
      <c r="BC164" s="8"/>
      <c r="BD164" s="8"/>
      <c r="BE164" s="8"/>
    </row>
    <row r="165" spans="1:72" s="4" customFormat="1" ht="15.75" customHeight="1" x14ac:dyDescent="0.45">
      <c r="A165" s="5">
        <f>IFERROR(IF(A163=1,VLOOKUP(A164,judges,VLOOKUP(MatchDay!$U$2*10+MatchDay!$C$5,judgesp,5,FALSE),FALSE),VLOOKUP(Distance!A164,judges,VLOOKUP(MatchDay!$U$2*10+MatchDay!$C$5,judges2,5,FALSE),FALSE)),"")</f>
        <v>0</v>
      </c>
      <c r="B165" s="38" t="str">
        <f>IFERROR(VLOOKUP($A166,fheight,2,FALSE),"")</f>
        <v>S</v>
      </c>
      <c r="C165" s="181">
        <f>IFERROR(VLOOKUP(A164,Timetables!$A:$E,5,FALSE)-1,"")</f>
        <v>70</v>
      </c>
      <c r="D165" s="504" t="s">
        <v>161</v>
      </c>
      <c r="E165" s="505"/>
      <c r="F165" s="508" t="str">
        <f>IFERROR(VLOOKUP(A164,timetables,2,FALSE)&amp;" "&amp;VLOOKUP(A164,timetables,3,FALSE),"")</f>
        <v>High Jump U15 Boys</v>
      </c>
      <c r="G165" s="509"/>
      <c r="H165" s="504" t="s">
        <v>162</v>
      </c>
      <c r="I165" s="510"/>
      <c r="J165" s="505"/>
      <c r="K165" s="559">
        <f>IFERROR(IF(A163=1,VLOOKUP(A164,Timetables!$A:$G,6,FALSE),VLOOKUP(A164,Timetables!$A:$G,7,FALSE)),"")</f>
        <v>0.60416666666666663</v>
      </c>
      <c r="L165" s="570"/>
      <c r="M165" s="560"/>
      <c r="N165" s="567" t="s">
        <v>202</v>
      </c>
      <c r="O165" s="568"/>
      <c r="P165" s="568"/>
      <c r="Q165" s="569"/>
      <c r="R165" s="567" t="str">
        <f>IFERROR(VLOOKUP(A164,records,3,FALSE)&amp;", "&amp;VLOOKUP(A164,records,4,FALSE)&amp;", "&amp;VLOOKUP(A164,records,5,FALSE)&amp;", "&amp;VLOOKUP(A164,records,6,FALSE)&amp;", "&amp;VLOOKUP(A164,records,7,FALSE)&amp;" "&amp;VLOOKUP(A164,records,8,FALSE),"")</f>
        <v>David Bazuaye, Victoria Park &amp; Tower Hamlets AC, 1.9, Hemel Hempstead, July 21st 2018</v>
      </c>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9"/>
      <c r="AN165" s="8"/>
      <c r="AP165" s="8"/>
      <c r="AT165" s="8"/>
      <c r="AU165" s="8"/>
      <c r="AV165" s="8"/>
      <c r="AW165" s="8"/>
      <c r="AX165" s="8"/>
      <c r="AY165" s="8"/>
      <c r="AZ165" s="152"/>
      <c r="BA165" s="152"/>
      <c r="BB165" s="8"/>
      <c r="BC165" s="8"/>
      <c r="BD165" s="8"/>
      <c r="BE165" s="8"/>
    </row>
    <row r="166" spans="1:72" s="4" customFormat="1" ht="38.25" customHeight="1" x14ac:dyDescent="0.45">
      <c r="A166" s="5" t="s">
        <v>330</v>
      </c>
      <c r="B166" s="10" t="str">
        <f>IFERROR(VLOOKUP($A166,fheight,3,FALSE),"")</f>
        <v>W</v>
      </c>
      <c r="C166" s="10">
        <f>IFERROR(VLOOKUP($A166,fheight,4,FALSE),"")</f>
        <v>23</v>
      </c>
      <c r="D166" s="39" t="s">
        <v>163</v>
      </c>
      <c r="E166" s="39" t="s">
        <v>164</v>
      </c>
      <c r="F166" s="39" t="s">
        <v>165</v>
      </c>
      <c r="G166" s="40" t="s">
        <v>166</v>
      </c>
      <c r="H166" s="559">
        <v>1.25</v>
      </c>
      <c r="I166" s="570"/>
      <c r="J166" s="559">
        <v>1.3</v>
      </c>
      <c r="K166" s="570"/>
      <c r="L166" s="559">
        <v>1.35</v>
      </c>
      <c r="M166" s="570"/>
      <c r="N166" s="559">
        <v>1.4</v>
      </c>
      <c r="O166" s="570"/>
      <c r="P166" s="559">
        <v>1.45</v>
      </c>
      <c r="Q166" s="570"/>
      <c r="R166" s="559">
        <v>1.5</v>
      </c>
      <c r="S166" s="570"/>
      <c r="T166" s="559"/>
      <c r="U166" s="570"/>
      <c r="V166" s="559"/>
      <c r="W166" s="570"/>
      <c r="X166" s="559"/>
      <c r="Y166" s="570"/>
      <c r="Z166" s="559"/>
      <c r="AA166" s="570"/>
      <c r="AB166" s="559"/>
      <c r="AC166" s="570"/>
      <c r="AD166" s="559"/>
      <c r="AE166" s="570"/>
      <c r="AF166" s="575" t="s">
        <v>319</v>
      </c>
      <c r="AG166" s="576"/>
      <c r="AH166" s="577" t="s">
        <v>320</v>
      </c>
      <c r="AI166" s="577" t="s">
        <v>321</v>
      </c>
      <c r="AJ166" s="563" t="s">
        <v>522</v>
      </c>
      <c r="AK166" s="41"/>
      <c r="AL166" s="571" t="s">
        <v>177</v>
      </c>
      <c r="AM166" s="572"/>
      <c r="AN166" s="42" t="s">
        <v>322</v>
      </c>
      <c r="AP166" s="8"/>
      <c r="AT166" s="8"/>
      <c r="AU166" s="8"/>
      <c r="AV166" s="8"/>
      <c r="AW166" s="8"/>
      <c r="AX166" s="8"/>
      <c r="AY166" s="8"/>
      <c r="AZ166" s="152"/>
      <c r="BA166" s="152"/>
      <c r="BB166" s="8"/>
      <c r="BC166" s="8"/>
      <c r="BD166" s="8"/>
      <c r="BE166" s="8"/>
    </row>
    <row r="167" spans="1:72" s="4" customFormat="1" ht="10.5" x14ac:dyDescent="0.35">
      <c r="A167" s="137">
        <f>IFERROR(SEARCH("U17",F165),0)</f>
        <v>0</v>
      </c>
      <c r="B167" s="1"/>
      <c r="C167" s="1"/>
      <c r="D167" s="43"/>
      <c r="E167" s="43"/>
      <c r="F167" s="58"/>
      <c r="G167" s="57"/>
      <c r="H167" s="554" t="s">
        <v>178</v>
      </c>
      <c r="I167" s="579"/>
      <c r="J167" s="554" t="s">
        <v>178</v>
      </c>
      <c r="K167" s="579"/>
      <c r="L167" s="554" t="s">
        <v>178</v>
      </c>
      <c r="M167" s="579"/>
      <c r="N167" s="554" t="s">
        <v>178</v>
      </c>
      <c r="O167" s="579"/>
      <c r="P167" s="554" t="s">
        <v>178</v>
      </c>
      <c r="Q167" s="579"/>
      <c r="R167" s="554" t="s">
        <v>178</v>
      </c>
      <c r="S167" s="579"/>
      <c r="T167" s="554" t="s">
        <v>178</v>
      </c>
      <c r="U167" s="579"/>
      <c r="V167" s="554" t="s">
        <v>178</v>
      </c>
      <c r="W167" s="579"/>
      <c r="X167" s="554" t="s">
        <v>178</v>
      </c>
      <c r="Y167" s="579"/>
      <c r="Z167" s="554" t="s">
        <v>178</v>
      </c>
      <c r="AA167" s="579"/>
      <c r="AB167" s="554" t="s">
        <v>178</v>
      </c>
      <c r="AC167" s="579"/>
      <c r="AD167" s="554" t="s">
        <v>178</v>
      </c>
      <c r="AE167" s="579"/>
      <c r="AF167" s="554" t="s">
        <v>178</v>
      </c>
      <c r="AG167" s="555"/>
      <c r="AH167" s="578"/>
      <c r="AI167" s="578"/>
      <c r="AJ167" s="564"/>
      <c r="AK167" s="44"/>
      <c r="AL167" s="573"/>
      <c r="AM167" s="574"/>
      <c r="AN167" s="42"/>
      <c r="AP167" s="9"/>
      <c r="AQ167" s="9"/>
      <c r="AR167" s="45"/>
      <c r="AS167" s="45"/>
      <c r="AT167" s="45"/>
      <c r="AU167" s="46"/>
      <c r="AV167" s="45"/>
      <c r="AW167" s="9"/>
      <c r="AX167" s="9"/>
      <c r="AY167" s="47"/>
      <c r="AZ167" s="151"/>
      <c r="BA167" s="151"/>
      <c r="BB167" s="9"/>
      <c r="BC167" s="9">
        <v>1</v>
      </c>
      <c r="BD167" s="9">
        <v>2</v>
      </c>
      <c r="BE167" s="9">
        <v>3</v>
      </c>
      <c r="BF167" s="9">
        <v>4</v>
      </c>
      <c r="BG167" s="9">
        <v>5</v>
      </c>
      <c r="BH167" s="9">
        <v>6</v>
      </c>
      <c r="BI167" s="9">
        <v>7</v>
      </c>
      <c r="BJ167" s="9">
        <v>8</v>
      </c>
      <c r="BK167" s="9">
        <v>1</v>
      </c>
      <c r="BL167" s="9">
        <v>2</v>
      </c>
      <c r="BM167" s="9">
        <v>3</v>
      </c>
      <c r="BN167" s="9">
        <v>4</v>
      </c>
      <c r="BO167" s="9">
        <v>5</v>
      </c>
      <c r="BP167" s="9">
        <v>6</v>
      </c>
      <c r="BQ167" s="9">
        <v>7</v>
      </c>
      <c r="BR167" s="9">
        <v>8</v>
      </c>
      <c r="BS167" s="46"/>
    </row>
    <row r="168" spans="1:72" s="4" customFormat="1" ht="15.95" customHeight="1" x14ac:dyDescent="0.35">
      <c r="A168" s="8">
        <f>IFERROR(IF(D168&gt;MatchDay!$U$2,"-",VLOOKUP(A164,timetables,MatchDay!$U$4,FALSE)),0)</f>
        <v>4</v>
      </c>
      <c r="B168" s="10" t="str">
        <f ca="1">IFERROR(IF(OR(AK168=0,AK168="B"),"",RANK(AZ168,AZ168:AZ183,1)),"")</f>
        <v/>
      </c>
      <c r="C168" s="10" t="str">
        <f ca="1">IFERROR(IF(OR(AK168=0,AK168="A"),"",RANK(BA168,BA168:BA183,1)),"")</f>
        <v/>
      </c>
      <c r="D168" s="56">
        <v>1</v>
      </c>
      <c r="E168" s="17">
        <f>A168</f>
        <v>4</v>
      </c>
      <c r="F168" s="18" t="str">
        <f ca="1">IFERROR(IF(A167=0,HLOOKUP(E168,Declarations!$D$2:$S$102,C165,FALSE),HLOOKUP(VLOOKUP(E168,Teams!$V$2:$W$19,2,FALSE),Declarations!$D$2:$S$102,C165,FALSE)),"")</f>
        <v>-</v>
      </c>
      <c r="G168" s="18" t="str">
        <f t="shared" ref="G168:G183" si="55">IFERROR(VLOOKUP(E168,teamlookup,5,FALSE),"-")</f>
        <v>M'bro</v>
      </c>
      <c r="H168" s="526"/>
      <c r="I168" s="527"/>
      <c r="J168" s="526"/>
      <c r="K168" s="527"/>
      <c r="L168" s="526"/>
      <c r="M168" s="527"/>
      <c r="N168" s="526"/>
      <c r="O168" s="527"/>
      <c r="P168" s="526"/>
      <c r="Q168" s="527"/>
      <c r="R168" s="526"/>
      <c r="S168" s="527"/>
      <c r="T168" s="526"/>
      <c r="U168" s="527"/>
      <c r="V168" s="526"/>
      <c r="W168" s="527"/>
      <c r="X168" s="526"/>
      <c r="Y168" s="527"/>
      <c r="Z168" s="526"/>
      <c r="AA168" s="527"/>
      <c r="AB168" s="526"/>
      <c r="AC168" s="527"/>
      <c r="AD168" s="526"/>
      <c r="AE168" s="527"/>
      <c r="AF168" s="557">
        <f ca="1">IFERROR(INDIRECT(CONCATENATE("'Height Input'!"&amp;B166&amp;C166)),"")</f>
        <v>0</v>
      </c>
      <c r="AG168" s="558"/>
      <c r="AH168" s="48"/>
      <c r="AI168" s="48"/>
      <c r="AJ168" s="49">
        <f ca="1">IFERROR(IF(AF168="X",MatchDay!$U$2+MatchDay!$U$2+1-COUNTIF($AF168:AF168,"X"),IF(AF168&gt;=97,1,INT(INDIRECT(CONCATENATE("'Height Input'!"&amp;$B165&amp;$C166))))),"")</f>
        <v>0</v>
      </c>
      <c r="AK168" s="50">
        <f ca="1">IFERROR(IF(OR(AJ168=0,AJ168=""),0,IF(OR(AJ168&lt;=VLOOKUP(BT168,$E176:$AJ183,32,FALSE),VLOOKUP(BT168,$E176:$AJ183,32,FALSE)=0),"A","B")),0)</f>
        <v>0</v>
      </c>
      <c r="AL168" s="139" t="str">
        <f ca="1">IFERROR(IF(OR(AK168=0,AK168="B"),"",RANK(AW168,AW168:AW183,1)),"")</f>
        <v/>
      </c>
      <c r="AM168" s="139" t="str">
        <f ca="1">IFERROR(IF(OR(AK168=0,AK168="A"),"",RANK(AX168,AX168:AX183,1)),"")</f>
        <v/>
      </c>
      <c r="AN168" s="51">
        <f ca="1">IFERROR(IF(AF168="X",0,(INDIRECT(CONCATENATE("'Height Input'!"&amp;$B165&amp;$C166))-AJ168)*10),"")</f>
        <v>0</v>
      </c>
      <c r="AO168" s="8"/>
      <c r="AP168" s="9" t="str">
        <f ca="1">IF(AQ168="","",IF(AQ168=1,AR168,REPT(AR168,AQ168-1)))</f>
        <v/>
      </c>
      <c r="AQ168" s="9" t="str">
        <f ca="1">IF(AR168="","",HLOOKUP(AL168,BC167:BJ184,18,FALSE))</f>
        <v/>
      </c>
      <c r="AR168" s="45" t="str">
        <f ca="1">IF(OR(AL168=0,AL168=""),"",IF(COUNTIFS(AL168:AL183,AL168)&gt;1,"=",""))</f>
        <v/>
      </c>
      <c r="AS168" s="45"/>
      <c r="AT168" s="9" t="str">
        <f ca="1">IF(AU168="","",IF(AU168=1,AV168,REPT(AV168,AU168-1)))</f>
        <v/>
      </c>
      <c r="AU168" s="9" t="str">
        <f ca="1">IF(AV168="","",HLOOKUP(AM168,BK167:BR184,18,FALSE))</f>
        <v/>
      </c>
      <c r="AV168" s="45" t="str">
        <f ca="1">IF(OR(AM168=0,AM168=""),"",IF(COUNTIFS(AM168:AM183,AM168)&gt;1,"=",""))</f>
        <v/>
      </c>
      <c r="AW168" s="9" t="str">
        <f t="shared" ref="AW168:AW183" ca="1" si="56">IF(OR(AJ168=0,AF168=0,AK168="B"),"",AJ168)</f>
        <v/>
      </c>
      <c r="AX168" s="9" t="str">
        <f t="shared" ref="AX168:AX183" ca="1" si="57">IF(OR(AJ168=0,AF168=0,AK168="A"),"",AJ168)</f>
        <v/>
      </c>
      <c r="AY168" s="47"/>
      <c r="AZ168" s="151" t="str">
        <f t="shared" ref="AZ168:AZ183" ca="1" si="58">IF(AW168="","",AW168+(AN168/10))</f>
        <v/>
      </c>
      <c r="BA168" s="151" t="str">
        <f t="shared" ref="BA168:BA183" ca="1" si="59">IF(AX168="","",AX168+(AN168/10))</f>
        <v/>
      </c>
      <c r="BB168" s="9"/>
      <c r="BC168" s="52" t="str">
        <f ca="1">IF(AL168="","",IF(AL168=BC167,AL168,""))</f>
        <v/>
      </c>
      <c r="BD168" s="52" t="str">
        <f ca="1">IF(AL168="","",IF(AL168=BD167,AL168,""))</f>
        <v/>
      </c>
      <c r="BE168" s="52" t="str">
        <f ca="1">IF(AL168="","",IF(AL168=BE167,AL168,""))</f>
        <v/>
      </c>
      <c r="BF168" s="52" t="str">
        <f ca="1">IF(AL168="","",IF(AL168=BF167,AL168,""))</f>
        <v/>
      </c>
      <c r="BG168" s="52" t="str">
        <f ca="1">IF(AL168="","",IF(AL168=BG167,AL168,""))</f>
        <v/>
      </c>
      <c r="BH168" s="52" t="str">
        <f ca="1">IF(AL168="","",IF(AL168=BH167,AL168,""))</f>
        <v/>
      </c>
      <c r="BI168" s="52" t="str">
        <f ca="1">IF(AL168="","",IF(AL168=BI167,AL168,""))</f>
        <v/>
      </c>
      <c r="BJ168" s="52" t="str">
        <f ca="1">IF(AL168="","",IF(AL168=BJ167,AL168,""))</f>
        <v/>
      </c>
      <c r="BK168" s="52" t="str">
        <f ca="1">IF(AM168="","",IF(AM168=BK167,AM168,""))</f>
        <v/>
      </c>
      <c r="BL168" s="52" t="str">
        <f ca="1">IF(AM168="","",IF(AM168=BL167,AM168,""))</f>
        <v/>
      </c>
      <c r="BM168" s="52" t="str">
        <f ca="1">IF(AM168="","",IF(AM168=BM167,AM168,""))</f>
        <v/>
      </c>
      <c r="BN168" s="52" t="str">
        <f ca="1">IF(AM168="","",IF(AM168=BN167,AM168,""))</f>
        <v/>
      </c>
      <c r="BO168" s="52" t="str">
        <f ca="1">IF(AM168="","",IF(AM168=BO167,AM168,""))</f>
        <v/>
      </c>
      <c r="BP168" s="52" t="str">
        <f ca="1">IF(AM168="","",IF(AM168=BP167,AM168,""))</f>
        <v/>
      </c>
      <c r="BQ168" s="52" t="str">
        <f ca="1">IF(AM168="","",IF(AM168=BQ167,AM168,""))</f>
        <v/>
      </c>
      <c r="BR168" s="52" t="str">
        <f ca="1">IF(AM168="","",IF(AM168=BR167,AM168,""))</f>
        <v/>
      </c>
      <c r="BS168" s="46"/>
      <c r="BT168" s="4">
        <f>IFERROR(IF(A167=0,A168*11,A168&amp;A168),"")</f>
        <v>44</v>
      </c>
    </row>
    <row r="169" spans="1:72" s="4" customFormat="1" ht="15.95" customHeight="1" x14ac:dyDescent="0.35">
      <c r="A169" s="8">
        <f>IFERROR(IF(D169&gt;MatchDay!$U$2,"-",VLOOKUP(A164,timetables,MatchDay!$U$4+1,FALSE)),0)</f>
        <v>2</v>
      </c>
      <c r="B169" s="10">
        <f ca="1">IFERROR(IF(OR(AK169=0,AK169="B"),"",RANK(AZ169,AZ168:AZ183,1)),"")</f>
        <v>3</v>
      </c>
      <c r="C169" s="10" t="str">
        <f ca="1">IFERROR(IF(OR(AK169=0,AK169="A"),"",RANK(BA169,BA168:BA183,1)),"")</f>
        <v/>
      </c>
      <c r="D169" s="55">
        <v>2</v>
      </c>
      <c r="E169" s="17">
        <f t="shared" ref="E169:E183" si="60">A169</f>
        <v>2</v>
      </c>
      <c r="F169" s="18" t="str">
        <f ca="1">IFERROR(IF(A167=0,HLOOKUP(E169,Declarations!$D$2:$S$102,C165,FALSE),HLOOKUP(VLOOKUP(E169,Teams!$V$2:$W$19,2,FALSE),Declarations!$D$2:$S$102,C165,FALSE)),"")</f>
        <v>LANE William</v>
      </c>
      <c r="G169" s="18" t="str">
        <f t="shared" si="55"/>
        <v>Sheff+D</v>
      </c>
      <c r="H169" s="526"/>
      <c r="I169" s="527"/>
      <c r="J169" s="526"/>
      <c r="K169" s="527"/>
      <c r="L169" s="526"/>
      <c r="M169" s="527"/>
      <c r="N169" s="526"/>
      <c r="O169" s="527"/>
      <c r="P169" s="526"/>
      <c r="Q169" s="527"/>
      <c r="R169" s="526"/>
      <c r="S169" s="527"/>
      <c r="T169" s="526"/>
      <c r="U169" s="527"/>
      <c r="V169" s="526"/>
      <c r="W169" s="527"/>
      <c r="X169" s="526"/>
      <c r="Y169" s="527"/>
      <c r="Z169" s="526"/>
      <c r="AA169" s="527"/>
      <c r="AB169" s="526"/>
      <c r="AC169" s="527"/>
      <c r="AD169" s="526"/>
      <c r="AE169" s="527"/>
      <c r="AF169" s="557">
        <f ca="1">IFERROR(INDIRECT(CONCATENATE("'Height Input'!"&amp;B166&amp;C166+1)),"")</f>
        <v>1.25</v>
      </c>
      <c r="AG169" s="558"/>
      <c r="AH169" s="48"/>
      <c r="AI169" s="48"/>
      <c r="AJ169" s="49">
        <f ca="1">IFERROR(IF(AF169="X",MatchDay!$U$2+MatchDay!$U$2+1-COUNTIF($AF168:AF169,"X"),IF(AF169&gt;=97,1,INT(INDIRECT(CONCATENATE("'Height Input'!"&amp;$B165&amp;$C166+1))))),"")</f>
        <v>3</v>
      </c>
      <c r="AK169" s="50" t="str">
        <f ca="1">IFERROR(IF(OR(AJ169=0,AJ169=""),0,IF(OR(AJ169&lt;=VLOOKUP(BT169,$E176:$AJ183,32,FALSE),VLOOKUP(BT169,$E176:$AJ183,32,FALSE)=0),"A","B")),0)</f>
        <v>A</v>
      </c>
      <c r="AL169" s="139">
        <f ca="1">IFERROR(IF(OR(AK169=0,AK169="B"),"",RANK(AW169,AW168:AW183,1)),"")</f>
        <v>3</v>
      </c>
      <c r="AM169" s="139" t="str">
        <f ca="1">IFERROR(IF(OR(AK169=0,AK169="A"),"",RANK(AX169,AX168:AX183,1)),"")</f>
        <v/>
      </c>
      <c r="AN169" s="51">
        <f ca="1">IFERROR(IF(AF169="X",0,(INDIRECT(CONCATENATE("'Height Input'!"&amp;$B165&amp;$C166+1))-AJ169)*10),"")</f>
        <v>0</v>
      </c>
      <c r="AO169" s="8"/>
      <c r="AP169" s="9" t="str">
        <f t="shared" ref="AP169:AP183" ca="1" si="61">IF(AQ169="","",IF(AQ169=1,AR169,REPT(AR169,AQ169-1)))</f>
        <v/>
      </c>
      <c r="AQ169" s="9" t="str">
        <f ca="1">IF(AR169="","",HLOOKUP(AL169,BC167:BJ184,18,FALSE))</f>
        <v/>
      </c>
      <c r="AR169" s="45" t="str">
        <f ca="1">IF(OR(AL169=0,AL169=""),"",IF(COUNTIFS(AL168:AL183,AL169)&gt;1,"=",""))</f>
        <v/>
      </c>
      <c r="AS169" s="45"/>
      <c r="AT169" s="9" t="str">
        <f t="shared" ref="AT169:AT183" ca="1" si="62">IF(AU169="","",IF(AU169=1,AV169,REPT(AV169,AU169-1)))</f>
        <v/>
      </c>
      <c r="AU169" s="9" t="str">
        <f ca="1">IF(AV169="","",HLOOKUP(AM169,BK167:BR184,18,FALSE))</f>
        <v/>
      </c>
      <c r="AV169" s="45" t="str">
        <f ca="1">IF(OR(AM169=0,AM169=""),"",IF(COUNTIFS(AM168:AM183,AM169)&gt;1,"=",""))</f>
        <v/>
      </c>
      <c r="AW169" s="9">
        <f t="shared" ca="1" si="56"/>
        <v>3</v>
      </c>
      <c r="AX169" s="9" t="str">
        <f t="shared" ca="1" si="57"/>
        <v/>
      </c>
      <c r="AY169" s="47"/>
      <c r="AZ169" s="151">
        <f t="shared" ca="1" si="58"/>
        <v>3</v>
      </c>
      <c r="BA169" s="151" t="str">
        <f t="shared" ca="1" si="59"/>
        <v/>
      </c>
      <c r="BB169" s="9"/>
      <c r="BC169" s="52" t="str">
        <f ca="1">IF(AL169="","",IF(AL169=BC167,AL169,""))</f>
        <v/>
      </c>
      <c r="BD169" s="52" t="str">
        <f ca="1">IF(AL169="","",IF(AL169=BD167,AL169,""))</f>
        <v/>
      </c>
      <c r="BE169" s="52">
        <f ca="1">IF(AL169="","",IF(AL169=BE167,AL169,""))</f>
        <v>3</v>
      </c>
      <c r="BF169" s="52" t="str">
        <f ca="1">IF(AL169="","",IF(AL169=BF167,AL169,""))</f>
        <v/>
      </c>
      <c r="BG169" s="52" t="str">
        <f ca="1">IF(AL169="","",IF(AL169=BG167,AL169,""))</f>
        <v/>
      </c>
      <c r="BH169" s="52" t="str">
        <f ca="1">IF(AL169="","",IF(AL169=BH167,AL169,""))</f>
        <v/>
      </c>
      <c r="BI169" s="52" t="str">
        <f ca="1">IF(AL169="","",IF(AL169=BI167,AL169,""))</f>
        <v/>
      </c>
      <c r="BJ169" s="52" t="str">
        <f ca="1">IF(AL169="","",IF(AL169=BJ167,AL169,""))</f>
        <v/>
      </c>
      <c r="BK169" s="52" t="str">
        <f ca="1">IF(AM169="","",IF(AM169=BK167,AM169,""))</f>
        <v/>
      </c>
      <c r="BL169" s="52" t="str">
        <f ca="1">IF(AM169="","",IF(AM169=BL167,AM169,""))</f>
        <v/>
      </c>
      <c r="BM169" s="52" t="str">
        <f ca="1">IF(AM169="","",IF(AM169=BM167,AM169,""))</f>
        <v/>
      </c>
      <c r="BN169" s="52" t="str">
        <f ca="1">IF(AM169="","",IF(AM169=BN167,AM169,""))</f>
        <v/>
      </c>
      <c r="BO169" s="52" t="str">
        <f ca="1">IF(AM169="","",IF(AM169=BO167,AM169,""))</f>
        <v/>
      </c>
      <c r="BP169" s="52" t="str">
        <f ca="1">IF(AM169="","",IF(AM169=BP167,AM169,""))</f>
        <v/>
      </c>
      <c r="BQ169" s="52" t="str">
        <f ca="1">IF(AM169="","",IF(AM169=BQ167,AM169,""))</f>
        <v/>
      </c>
      <c r="BR169" s="52" t="str">
        <f ca="1">IF(AM169="","",IF(AM169=BR167,AM169,""))</f>
        <v/>
      </c>
      <c r="BS169" s="46"/>
      <c r="BT169" s="4">
        <f>IFERROR(IF(A167=0,A169*11,A169&amp;A169),"")</f>
        <v>22</v>
      </c>
    </row>
    <row r="170" spans="1:72" s="4" customFormat="1" ht="15.95" customHeight="1" x14ac:dyDescent="0.35">
      <c r="A170" s="8">
        <f>IFERROR(IF(D170&gt;MatchDay!$U$2,"-",VLOOKUP(A164,timetables,MatchDay!$U$4+2,FALSE)),0)</f>
        <v>5</v>
      </c>
      <c r="B170" s="10" t="str">
        <f ca="1">IFERROR(IF(OR(AK170=0,AK170="B"),"",RANK(AZ170,AZ168:AZ183,1)),"")</f>
        <v/>
      </c>
      <c r="C170" s="10" t="str">
        <f ca="1">IFERROR(IF(OR(AK170=0,AK170="A"),"",RANK(BA170,BA168:BA183,1)),"")</f>
        <v/>
      </c>
      <c r="D170" s="55">
        <v>3</v>
      </c>
      <c r="E170" s="17">
        <f t="shared" si="60"/>
        <v>5</v>
      </c>
      <c r="F170" s="18">
        <f ca="1">IFERROR(IF(A167=0,HLOOKUP(E170,Declarations!$D$2:$S$102,C165,FALSE),HLOOKUP(VLOOKUP(E170,Teams!$V$2:$W$19,2,FALSE),Declarations!$D$2:$S$102,C165,FALSE)),"")</f>
        <v>0</v>
      </c>
      <c r="G170" s="18" t="str">
        <f t="shared" si="55"/>
        <v>Scun</v>
      </c>
      <c r="H170" s="526"/>
      <c r="I170" s="527"/>
      <c r="J170" s="526"/>
      <c r="K170" s="527"/>
      <c r="L170" s="526"/>
      <c r="M170" s="527"/>
      <c r="N170" s="526"/>
      <c r="O170" s="527"/>
      <c r="P170" s="526"/>
      <c r="Q170" s="527"/>
      <c r="R170" s="526"/>
      <c r="S170" s="527"/>
      <c r="T170" s="526"/>
      <c r="U170" s="527"/>
      <c r="V170" s="526"/>
      <c r="W170" s="527"/>
      <c r="X170" s="526"/>
      <c r="Y170" s="527"/>
      <c r="Z170" s="526"/>
      <c r="AA170" s="527"/>
      <c r="AB170" s="526"/>
      <c r="AC170" s="527"/>
      <c r="AD170" s="526"/>
      <c r="AE170" s="527"/>
      <c r="AF170" s="557">
        <f ca="1">IFERROR(INDIRECT(CONCATENATE("'Height Input'!"&amp;B166&amp;C166+2)),"")</f>
        <v>0</v>
      </c>
      <c r="AG170" s="558"/>
      <c r="AH170" s="48"/>
      <c r="AI170" s="48"/>
      <c r="AJ170" s="49">
        <f ca="1">IFERROR(IF(AF170="X",MatchDay!$U$2+MatchDay!$U$2+1-COUNTIF($AF168:AF170,"X"),IF(AF170&gt;=97,1,INT(INDIRECT(CONCATENATE("'Height Input'!"&amp;$B165&amp;$C166+2))))),"")</f>
        <v>0</v>
      </c>
      <c r="AK170" s="50">
        <f ca="1">IFERROR(IF(OR(AJ170=0,AJ170=""),0,IF(OR(AJ170&lt;=VLOOKUP(BT170,$E176:$AJ183,32,FALSE),VLOOKUP(BT170,$E176:$AJ183,32,FALSE)=0),"A","B")),0)</f>
        <v>0</v>
      </c>
      <c r="AL170" s="139" t="str">
        <f ca="1">IFERROR(IF(OR(AK170=0,AK170="B"),"",RANK(AW170,AW168:AW183,1)),"")</f>
        <v/>
      </c>
      <c r="AM170" s="139" t="str">
        <f ca="1">IFERROR(IF(OR(AK170=0,AK170="A"),"",RANK(AX170,AX168:AX183,1)),"")</f>
        <v/>
      </c>
      <c r="AN170" s="51">
        <f ca="1">IFERROR(IF(AF170="X",0,(INDIRECT(CONCATENATE("'Height Input'!"&amp;$B165&amp;$C166+2))-AJ170)*10),"")</f>
        <v>0</v>
      </c>
      <c r="AO170" s="8"/>
      <c r="AP170" s="9" t="str">
        <f t="shared" ca="1" si="61"/>
        <v/>
      </c>
      <c r="AQ170" s="9" t="str">
        <f ca="1">IF(AR170="","",HLOOKUP(AL170,BC167:BJ184,18,FALSE))</f>
        <v/>
      </c>
      <c r="AR170" s="45" t="str">
        <f ca="1">IF(OR(AL170=0,AL170=""),"",IF(COUNTIFS(AL168:AL183,AL170)&gt;1,"=",""))</f>
        <v/>
      </c>
      <c r="AS170" s="45"/>
      <c r="AT170" s="9" t="str">
        <f t="shared" ca="1" si="62"/>
        <v/>
      </c>
      <c r="AU170" s="9" t="str">
        <f ca="1">IF(AV170="","",HLOOKUP(AM170,BK167:BR184,18,FALSE))</f>
        <v/>
      </c>
      <c r="AV170" s="45" t="str">
        <f ca="1">IF(OR(AM170=0,AM170=""),"",IF(COUNTIFS(AM168:AM183,AM170)&gt;1,"=",""))</f>
        <v/>
      </c>
      <c r="AW170" s="9" t="str">
        <f t="shared" ca="1" si="56"/>
        <v/>
      </c>
      <c r="AX170" s="9" t="str">
        <f t="shared" ca="1" si="57"/>
        <v/>
      </c>
      <c r="AY170" s="47"/>
      <c r="AZ170" s="151" t="str">
        <f t="shared" ca="1" si="58"/>
        <v/>
      </c>
      <c r="BA170" s="151" t="str">
        <f t="shared" ca="1" si="59"/>
        <v/>
      </c>
      <c r="BB170" s="9"/>
      <c r="BC170" s="52" t="str">
        <f ca="1">IF(AL170="","",IF(AL170=BC167,AL170,""))</f>
        <v/>
      </c>
      <c r="BD170" s="52" t="str">
        <f ca="1">IF(AL170="","",IF(AL170=BD167,AL170,""))</f>
        <v/>
      </c>
      <c r="BE170" s="52" t="str">
        <f ca="1">IF(AL170="","",IF(AL170=BE167,AL170,""))</f>
        <v/>
      </c>
      <c r="BF170" s="52" t="str">
        <f ca="1">IF(AL170="","",IF(AL170=BF167,AL170,""))</f>
        <v/>
      </c>
      <c r="BG170" s="52" t="str">
        <f ca="1">IF(AL170="","",IF(AL170=BG167,AL170,""))</f>
        <v/>
      </c>
      <c r="BH170" s="52" t="str">
        <f ca="1">IF(AL170="","",IF(AL170=BH167,AL170,""))</f>
        <v/>
      </c>
      <c r="BI170" s="52" t="str">
        <f ca="1">IF(AL170="","",IF(AL170=BI167,AL170,""))</f>
        <v/>
      </c>
      <c r="BJ170" s="52" t="str">
        <f ca="1">IF(AL170="","",IF(AL170=BJ167,AL170,""))</f>
        <v/>
      </c>
      <c r="BK170" s="52" t="str">
        <f ca="1">IF(AM170="","",IF(AM170=BK167,AM170,""))</f>
        <v/>
      </c>
      <c r="BL170" s="52" t="str">
        <f ca="1">IF(AM170="","",IF(AM170=BL167,AM170,""))</f>
        <v/>
      </c>
      <c r="BM170" s="52" t="str">
        <f ca="1">IF(AM170="","",IF(AM170=BM167,AM170,""))</f>
        <v/>
      </c>
      <c r="BN170" s="52" t="str">
        <f ca="1">IF(AM170="","",IF(AM170=BN167,AM170,""))</f>
        <v/>
      </c>
      <c r="BO170" s="52" t="str">
        <f ca="1">IF(AM170="","",IF(AM170=BO167,AM170,""))</f>
        <v/>
      </c>
      <c r="BP170" s="52" t="str">
        <f ca="1">IF(AM170="","",IF(AM170=BP167,AM170,""))</f>
        <v/>
      </c>
      <c r="BQ170" s="52" t="str">
        <f ca="1">IF(AM170="","",IF(AM170=BQ167,AM170,""))</f>
        <v/>
      </c>
      <c r="BR170" s="52" t="str">
        <f ca="1">IF(AM170="","",IF(AM170=BR167,AM170,""))</f>
        <v/>
      </c>
      <c r="BS170" s="46"/>
      <c r="BT170" s="4">
        <f>IFERROR(IF(A167=0,A170*11,A170&amp;A170),"")</f>
        <v>55</v>
      </c>
    </row>
    <row r="171" spans="1:72" s="4" customFormat="1" ht="15.95" customHeight="1" x14ac:dyDescent="0.35">
      <c r="A171" s="8">
        <f>IFERROR(IF(D171&gt;MatchDay!$U$2,"-",VLOOKUP(A164,timetables,MatchDay!$U$4+3,FALSE)),0)</f>
        <v>1</v>
      </c>
      <c r="B171" s="10" t="str">
        <f ca="1">IFERROR(IF(OR(AK171=0,AK171="B"),"",RANK(AZ171,AZ168:AZ183,1)),"")</f>
        <v/>
      </c>
      <c r="C171" s="10">
        <f ca="1">IFERROR(IF(OR(AK171=0,AK171="A"),"",RANK(BA171,BA168:BA183,1)),"")</f>
        <v>1</v>
      </c>
      <c r="D171" s="55">
        <v>4</v>
      </c>
      <c r="E171" s="17">
        <f t="shared" si="60"/>
        <v>1</v>
      </c>
      <c r="F171" s="18" t="str">
        <f ca="1">IFERROR(IF(A167=0,HLOOKUP(E171,Declarations!$D$2:$S$102,C165,FALSE),HLOOKUP(VLOOKUP(E171,Teams!$V$2:$W$19,2,FALSE),Declarations!$D$2:$S$102,C165,FALSE)),"")</f>
        <v>PEERS-WAIN Jacob</v>
      </c>
      <c r="G171" s="18" t="str">
        <f t="shared" si="55"/>
        <v>C'field</v>
      </c>
      <c r="H171" s="526"/>
      <c r="I171" s="527"/>
      <c r="J171" s="526"/>
      <c r="K171" s="527"/>
      <c r="L171" s="526"/>
      <c r="M171" s="527"/>
      <c r="N171" s="526"/>
      <c r="O171" s="527"/>
      <c r="P171" s="526"/>
      <c r="Q171" s="527"/>
      <c r="R171" s="526"/>
      <c r="S171" s="527"/>
      <c r="T171" s="526"/>
      <c r="U171" s="527"/>
      <c r="V171" s="526"/>
      <c r="W171" s="527"/>
      <c r="X171" s="526"/>
      <c r="Y171" s="527"/>
      <c r="Z171" s="526"/>
      <c r="AA171" s="527"/>
      <c r="AB171" s="526"/>
      <c r="AC171" s="527"/>
      <c r="AD171" s="526"/>
      <c r="AE171" s="527"/>
      <c r="AF171" s="557">
        <f ca="1">IFERROR(INDIRECT(CONCATENATE("'Height Input'!"&amp;B166&amp;C166+3)),"")</f>
        <v>1.25</v>
      </c>
      <c r="AG171" s="558"/>
      <c r="AH171" s="48"/>
      <c r="AI171" s="48"/>
      <c r="AJ171" s="49">
        <f ca="1">IFERROR(IF(AF171="X",MatchDay!$U$2+MatchDay!$U$2+1-COUNTIF($AF168:AF171,"X"),IF(AF171&gt;=97,1,INT(INDIRECT(CONCATENATE("'Height Input'!"&amp;$B165&amp;$C166+3))))),"")</f>
        <v>4</v>
      </c>
      <c r="AK171" s="50" t="str">
        <f ca="1">IFERROR(IF(OR(AJ171=0,AJ171=""),0,IF(OR(AJ171&lt;=VLOOKUP(BT171,$E176:$AJ183,32,FALSE),VLOOKUP(BT171,$E176:$AJ183,32,FALSE)=0),"A","B")),0)</f>
        <v>B</v>
      </c>
      <c r="AL171" s="139" t="str">
        <f ca="1">IFERROR(IF(OR(AK171=0,AK171="B"),"",RANK(AW171,AW168:AW183,1)),"")</f>
        <v/>
      </c>
      <c r="AM171" s="139">
        <f ca="1">IFERROR(IF(OR(AK171=0,AK171="A"),"",RANK(AX171,AX168:AX183,1)),"")</f>
        <v>1</v>
      </c>
      <c r="AN171" s="51">
        <f ca="1">IFERROR(IF(AF171="X",0,(INDIRECT(CONCATENATE("'Height Input'!"&amp;$B165&amp;$C166+3))-AJ171)*10),"")</f>
        <v>0</v>
      </c>
      <c r="AO171" s="8"/>
      <c r="AP171" s="9" t="str">
        <f t="shared" ca="1" si="61"/>
        <v/>
      </c>
      <c r="AQ171" s="9" t="str">
        <f ca="1">IF(AR171="","",HLOOKUP(AL171,BC167:BJ184,18,FALSE))</f>
        <v/>
      </c>
      <c r="AR171" s="45" t="str">
        <f ca="1">IF(OR(AL171=0,AL171=""),"",IF(COUNTIFS(AL168:AL183,AL171)&gt;1,"=",""))</f>
        <v/>
      </c>
      <c r="AS171" s="45"/>
      <c r="AT171" s="9" t="str">
        <f t="shared" ca="1" si="62"/>
        <v/>
      </c>
      <c r="AU171" s="9" t="str">
        <f ca="1">IF(AV171="","",HLOOKUP(AM171,BK167:BR184,18,FALSE))</f>
        <v/>
      </c>
      <c r="AV171" s="45" t="str">
        <f ca="1">IF(OR(AM171=0,AM171=""),"",IF(COUNTIFS(AM168:AM183,AM171)&gt;1,"=",""))</f>
        <v/>
      </c>
      <c r="AW171" s="9" t="str">
        <f t="shared" ca="1" si="56"/>
        <v/>
      </c>
      <c r="AX171" s="9">
        <f t="shared" ca="1" si="57"/>
        <v>4</v>
      </c>
      <c r="AY171" s="47"/>
      <c r="AZ171" s="151" t="str">
        <f t="shared" ca="1" si="58"/>
        <v/>
      </c>
      <c r="BA171" s="151">
        <f t="shared" ca="1" si="59"/>
        <v>4</v>
      </c>
      <c r="BB171" s="9"/>
      <c r="BC171" s="52" t="str">
        <f ca="1">IF(AL171="","",IF(AL171=BC167,AL171,""))</f>
        <v/>
      </c>
      <c r="BD171" s="52" t="str">
        <f ca="1">IF(AL171="","",IF(AL171=BD167,AL171,""))</f>
        <v/>
      </c>
      <c r="BE171" s="52" t="str">
        <f ca="1">IF(AL171="","",IF(AL171=BE167,AL171,""))</f>
        <v/>
      </c>
      <c r="BF171" s="52" t="str">
        <f ca="1">IF(AL171="","",IF(AL171=BF167,AL171,""))</f>
        <v/>
      </c>
      <c r="BG171" s="52" t="str">
        <f ca="1">IF(AL171="","",IF(AL171=BG167,AL171,""))</f>
        <v/>
      </c>
      <c r="BH171" s="52" t="str">
        <f ca="1">IF(AL171="","",IF(AL171=BH167,AL171,""))</f>
        <v/>
      </c>
      <c r="BI171" s="52" t="str">
        <f ca="1">IF(AL171="","",IF(AL171=BI167,AL171,""))</f>
        <v/>
      </c>
      <c r="BJ171" s="52" t="str">
        <f ca="1">IF(AL171="","",IF(AL171=BJ167,AL171,""))</f>
        <v/>
      </c>
      <c r="BK171" s="52">
        <f ca="1">IF(AM171="","",IF(AM171=BK167,AM171,""))</f>
        <v>1</v>
      </c>
      <c r="BL171" s="52" t="str">
        <f ca="1">IF(AM171="","",IF(AM171=BL167,AM171,""))</f>
        <v/>
      </c>
      <c r="BM171" s="52" t="str">
        <f ca="1">IF(AM171="","",IF(AM171=BM167,AM171,""))</f>
        <v/>
      </c>
      <c r="BN171" s="52" t="str">
        <f ca="1">IF(AM171="","",IF(AM171=BN167,AM171,""))</f>
        <v/>
      </c>
      <c r="BO171" s="52" t="str">
        <f ca="1">IF(AM171="","",IF(AM171=BO167,AM171,""))</f>
        <v/>
      </c>
      <c r="BP171" s="52" t="str">
        <f ca="1">IF(AM171="","",IF(AM171=BP167,AM171,""))</f>
        <v/>
      </c>
      <c r="BQ171" s="52" t="str">
        <f ca="1">IF(AM171="","",IF(AM171=BQ167,AM171,""))</f>
        <v/>
      </c>
      <c r="BR171" s="52" t="str">
        <f ca="1">IF(AM171="","",IF(AM171=BR167,AM171,""))</f>
        <v/>
      </c>
      <c r="BS171" s="46"/>
      <c r="BT171" s="4">
        <f>IFERROR(IF(A167=0,A171*11,A171&amp;A171),"")</f>
        <v>11</v>
      </c>
    </row>
    <row r="172" spans="1:72" s="4" customFormat="1" ht="15.95" customHeight="1" x14ac:dyDescent="0.35">
      <c r="A172" s="8">
        <f>IFERROR(IF(D172&gt;MatchDay!$U$2,"-",VLOOKUP(A164,timetables,MatchDay!$U$4+4,FALSE)),0)</f>
        <v>3</v>
      </c>
      <c r="B172" s="10">
        <f ca="1">IFERROR(IF(OR(AK172=0,AK172="B"),"",RANK(AZ172,AZ168:AZ183,1)),"")</f>
        <v>1</v>
      </c>
      <c r="C172" s="10" t="str">
        <f ca="1">IFERROR(IF(OR(AK172=0,AK172="A"),"",RANK(BA172,BA168:BA183,1)),"")</f>
        <v/>
      </c>
      <c r="D172" s="55">
        <v>5</v>
      </c>
      <c r="E172" s="17">
        <f t="shared" si="60"/>
        <v>3</v>
      </c>
      <c r="F172" s="18" t="str">
        <f ca="1">IFERROR(IF(A167=0,HLOOKUP(E172,Declarations!$D$2:$S$102,C165,FALSE),HLOOKUP(VLOOKUP(E172,Teams!$V$2:$W$19,2,FALSE),Declarations!$D$2:$S$102,C165,FALSE)),"")</f>
        <v>HENSON Isaac</v>
      </c>
      <c r="G172" s="18" t="str">
        <f t="shared" si="55"/>
        <v>York</v>
      </c>
      <c r="H172" s="526"/>
      <c r="I172" s="527"/>
      <c r="J172" s="526"/>
      <c r="K172" s="527"/>
      <c r="L172" s="526"/>
      <c r="M172" s="527"/>
      <c r="N172" s="526"/>
      <c r="O172" s="527"/>
      <c r="P172" s="526"/>
      <c r="Q172" s="527"/>
      <c r="R172" s="526"/>
      <c r="S172" s="527"/>
      <c r="T172" s="526"/>
      <c r="U172" s="527"/>
      <c r="V172" s="526"/>
      <c r="W172" s="527"/>
      <c r="X172" s="526"/>
      <c r="Y172" s="527"/>
      <c r="Z172" s="526"/>
      <c r="AA172" s="527"/>
      <c r="AB172" s="526"/>
      <c r="AC172" s="527"/>
      <c r="AD172" s="526"/>
      <c r="AE172" s="527"/>
      <c r="AF172" s="557">
        <f ca="1">IFERROR(INDIRECT(CONCATENATE("'Height Input'!"&amp;B166&amp;C166+4)),"")</f>
        <v>1.35</v>
      </c>
      <c r="AG172" s="558"/>
      <c r="AH172" s="48"/>
      <c r="AI172" s="48"/>
      <c r="AJ172" s="49">
        <f ca="1">IFERROR(IF(AF172="X",MatchDay!$U$2+MatchDay!$U$2+1-COUNTIF($AF168:AF172,"X"),IF(AF172&gt;=97,1,INT(INDIRECT(CONCATENATE("'Height Input'!"&amp;$B165&amp;$C166+4))))),"")</f>
        <v>1</v>
      </c>
      <c r="AK172" s="50" t="str">
        <f ca="1">IFERROR(IF(OR(AJ172=0,AJ172=""),0,IF(OR(AJ172&lt;=VLOOKUP(BT172,$E176:$AJ183,32,FALSE),VLOOKUP(BT172,$E176:$AJ183,32,FALSE)=0),"A","B")),0)</f>
        <v>A</v>
      </c>
      <c r="AL172" s="139">
        <f ca="1">IFERROR(IF(OR(AK172=0,AK172="B"),"",RANK(AW172,AW168:AW183,1)),"")</f>
        <v>1</v>
      </c>
      <c r="AM172" s="139" t="str">
        <f ca="1">IFERROR(IF(OR(AK172=0,AK172="A"),"",RANK(AX172,AX168:AX183,1)),"")</f>
        <v/>
      </c>
      <c r="AN172" s="51">
        <f ca="1">IFERROR(IF(AF172="X",0,(INDIRECT(CONCATENATE("'Height Input'!"&amp;$B165&amp;$C166+4))-AJ172)*10),"")</f>
        <v>0</v>
      </c>
      <c r="AO172" s="8"/>
      <c r="AP172" s="9" t="str">
        <f t="shared" ca="1" si="61"/>
        <v/>
      </c>
      <c r="AQ172" s="9" t="str">
        <f ca="1">IF(AR172="","",HLOOKUP(AL172,BC167:BJ184,18,FALSE))</f>
        <v/>
      </c>
      <c r="AR172" s="45" t="str">
        <f ca="1">IF(OR(AL172=0,AL172=""),"",IF(COUNTIFS(AL168:AL183,AL172)&gt;1,"=",""))</f>
        <v/>
      </c>
      <c r="AS172" s="45"/>
      <c r="AT172" s="9" t="str">
        <f t="shared" ca="1" si="62"/>
        <v/>
      </c>
      <c r="AU172" s="9" t="str">
        <f ca="1">IF(AV172="","",HLOOKUP(AM172,BK167:BR184,18,FALSE))</f>
        <v/>
      </c>
      <c r="AV172" s="45" t="str">
        <f ca="1">IF(OR(AM172=0,AM172=""),"",IF(COUNTIFS(AM168:AM183,AM172)&gt;1,"=",""))</f>
        <v/>
      </c>
      <c r="AW172" s="9">
        <f t="shared" ca="1" si="56"/>
        <v>1</v>
      </c>
      <c r="AX172" s="9" t="str">
        <f t="shared" ca="1" si="57"/>
        <v/>
      </c>
      <c r="AY172" s="47"/>
      <c r="AZ172" s="151">
        <f t="shared" ca="1" si="58"/>
        <v>1</v>
      </c>
      <c r="BA172" s="151" t="str">
        <f t="shared" ca="1" si="59"/>
        <v/>
      </c>
      <c r="BB172" s="9"/>
      <c r="BC172" s="52">
        <f ca="1">IF(AL172="","",IF(AL172=BC167,AL172,""))</f>
        <v>1</v>
      </c>
      <c r="BD172" s="52" t="str">
        <f ca="1">IF(AL172="","",IF(AL172=BD167,AL172,""))</f>
        <v/>
      </c>
      <c r="BE172" s="52" t="str">
        <f ca="1">IF(AL172="","",IF(AL172=BE167,AL172,""))</f>
        <v/>
      </c>
      <c r="BF172" s="52" t="str">
        <f ca="1">IF(AL172="","",IF(AL172=BF167,AL172,""))</f>
        <v/>
      </c>
      <c r="BG172" s="52" t="str">
        <f ca="1">IF(AL172="","",IF(AL172=BG167,AL172,""))</f>
        <v/>
      </c>
      <c r="BH172" s="52" t="str">
        <f ca="1">IF(AL172="","",IF(AL172=BH167,AL172,""))</f>
        <v/>
      </c>
      <c r="BI172" s="52" t="str">
        <f ca="1">IF(AL172="","",IF(AL172=BI167,AL172,""))</f>
        <v/>
      </c>
      <c r="BJ172" s="52" t="str">
        <f ca="1">IF(AL172="","",IF(AL172=BJ167,AL172,""))</f>
        <v/>
      </c>
      <c r="BK172" s="52" t="str">
        <f ca="1">IF(AM172="","",IF(AM172=BK167,AM172,""))</f>
        <v/>
      </c>
      <c r="BL172" s="52" t="str">
        <f ca="1">IF(AM172="","",IF(AM172=BL167,AM172,""))</f>
        <v/>
      </c>
      <c r="BM172" s="52" t="str">
        <f ca="1">IF(AM172="","",IF(AM172=BM167,AM172,""))</f>
        <v/>
      </c>
      <c r="BN172" s="52" t="str">
        <f ca="1">IF(AM172="","",IF(AM172=BN167,AM172,""))</f>
        <v/>
      </c>
      <c r="BO172" s="52" t="str">
        <f ca="1">IF(AM172="","",IF(AM172=BO167,AM172,""))</f>
        <v/>
      </c>
      <c r="BP172" s="52" t="str">
        <f ca="1">IF(AM172="","",IF(AM172=BP167,AM172,""))</f>
        <v/>
      </c>
      <c r="BQ172" s="52" t="str">
        <f ca="1">IF(AM172="","",IF(AM172=BQ167,AM172,""))</f>
        <v/>
      </c>
      <c r="BR172" s="52" t="str">
        <f ca="1">IF(AM172="","",IF(AM172=BR167,AM172,""))</f>
        <v/>
      </c>
      <c r="BS172" s="46"/>
      <c r="BT172" s="4">
        <f>IFERROR(IF(A167=0,A172*11,A172&amp;A172),"")</f>
        <v>33</v>
      </c>
    </row>
    <row r="173" spans="1:72" s="4" customFormat="1" ht="15.95" customHeight="1" x14ac:dyDescent="0.35">
      <c r="A173" s="8" t="str">
        <f>IFERROR(IF(D173&gt;MatchDay!$U$2,"-",VLOOKUP(A164,timetables,MatchDay!$U$4+5,FALSE)),0)</f>
        <v>-</v>
      </c>
      <c r="B173" s="10" t="str">
        <f ca="1">IFERROR(IF(OR(AK173=0,AK173="B"),"",RANK(AZ173,AZ168:AZ183,1)),"")</f>
        <v/>
      </c>
      <c r="C173" s="10" t="str">
        <f ca="1">IFERROR(IF(OR(AK173=0,AK173="A"),"",RANK(BA173,BA168:BA183,1)),"")</f>
        <v/>
      </c>
      <c r="D173" s="55">
        <v>6</v>
      </c>
      <c r="E173" s="17" t="str">
        <f t="shared" si="60"/>
        <v>-</v>
      </c>
      <c r="F173" s="18" t="str">
        <f>IFERROR(IF(A167=0,HLOOKUP(E173,Declarations!$D$2:$S$102,C165,FALSE),HLOOKUP(VLOOKUP(E173,Teams!$V$2:$W$19,2,FALSE),Declarations!$D$2:$S$102,C165,FALSE)),"")</f>
        <v/>
      </c>
      <c r="G173" s="18" t="str">
        <f t="shared" si="55"/>
        <v/>
      </c>
      <c r="H173" s="526"/>
      <c r="I173" s="527"/>
      <c r="J173" s="526"/>
      <c r="K173" s="527"/>
      <c r="L173" s="526"/>
      <c r="M173" s="527"/>
      <c r="N173" s="526"/>
      <c r="O173" s="527"/>
      <c r="P173" s="526"/>
      <c r="Q173" s="527"/>
      <c r="R173" s="526"/>
      <c r="S173" s="527"/>
      <c r="T173" s="526"/>
      <c r="U173" s="527"/>
      <c r="V173" s="526"/>
      <c r="W173" s="527"/>
      <c r="X173" s="526"/>
      <c r="Y173" s="527"/>
      <c r="Z173" s="526"/>
      <c r="AA173" s="527"/>
      <c r="AB173" s="526"/>
      <c r="AC173" s="527"/>
      <c r="AD173" s="526"/>
      <c r="AE173" s="527"/>
      <c r="AF173" s="557">
        <f ca="1">IFERROR(INDIRECT(CONCATENATE("'Height Input'!"&amp;B166&amp;C166+5)),"")</f>
        <v>0</v>
      </c>
      <c r="AG173" s="558"/>
      <c r="AH173" s="48"/>
      <c r="AI173" s="48"/>
      <c r="AJ173" s="49">
        <f ca="1">IFERROR(IF(AF173="X",MatchDay!$U$2+MatchDay!$U$2+1-COUNTIF($AF168:AF173,"X"),IF(AF173&gt;=97,1,INT(INDIRECT(CONCATENATE("'Height Input'!"&amp;$B165&amp;$C166+5))))),"")</f>
        <v>0</v>
      </c>
      <c r="AK173" s="50">
        <f ca="1">IFERROR(IF(OR(AJ173=0,AJ173=""),0,IF(OR(AJ173&lt;=VLOOKUP(BT173,$E176:$AJ183,32,FALSE),VLOOKUP(BT173,$E176:$AJ183,32,FALSE)=0),"A","B")),0)</f>
        <v>0</v>
      </c>
      <c r="AL173" s="139" t="str">
        <f ca="1">IFERROR(IF(OR(AK173=0,AK173="B"),"",RANK(AW173,AW168:AW183,1)),"")</f>
        <v/>
      </c>
      <c r="AM173" s="139" t="str">
        <f ca="1">IFERROR(IF(OR(AK173=0,AK173="A"),"",RANK(AX173,AX168:AX183,1)),"")</f>
        <v/>
      </c>
      <c r="AN173" s="51">
        <f ca="1">IFERROR(IF(AF173="X",0,(INDIRECT(CONCATENATE("'Height Input'!"&amp;$B165&amp;$C166+5))-AJ173)*10),"")</f>
        <v>0</v>
      </c>
      <c r="AO173" s="8"/>
      <c r="AP173" s="9" t="str">
        <f t="shared" ca="1" si="61"/>
        <v/>
      </c>
      <c r="AQ173" s="9" t="str">
        <f ca="1">IF(AR173="","",HLOOKUP(AL173,BC167:BJ184,18,FALSE))</f>
        <v/>
      </c>
      <c r="AR173" s="45" t="str">
        <f ca="1">IF(OR(AL173=0,AL173=""),"",IF(COUNTIFS(AL168:AL183,AL173)&gt;1,"=",""))</f>
        <v/>
      </c>
      <c r="AS173" s="45"/>
      <c r="AT173" s="9" t="str">
        <f t="shared" ca="1" si="62"/>
        <v/>
      </c>
      <c r="AU173" s="9" t="str">
        <f ca="1">IF(AV173="","",HLOOKUP(AM173,BK167:BR184,18,FALSE))</f>
        <v/>
      </c>
      <c r="AV173" s="45" t="str">
        <f ca="1">IF(OR(AM173=0,AM173=""),"",IF(COUNTIFS(AM168:AM183,AM173)&gt;1,"=",""))</f>
        <v/>
      </c>
      <c r="AW173" s="9" t="str">
        <f t="shared" ca="1" si="56"/>
        <v/>
      </c>
      <c r="AX173" s="9" t="str">
        <f t="shared" ca="1" si="57"/>
        <v/>
      </c>
      <c r="AY173" s="47"/>
      <c r="AZ173" s="151" t="str">
        <f t="shared" ca="1" si="58"/>
        <v/>
      </c>
      <c r="BA173" s="151" t="str">
        <f t="shared" ca="1" si="59"/>
        <v/>
      </c>
      <c r="BB173" s="9"/>
      <c r="BC173" s="52" t="str">
        <f ca="1">IF(AL173="","",IF(AL173=BC167,AL173,""))</f>
        <v/>
      </c>
      <c r="BD173" s="52" t="str">
        <f ca="1">IF(AL173="","",IF(AL173=BD167,AL173,""))</f>
        <v/>
      </c>
      <c r="BE173" s="52" t="str">
        <f ca="1">IF(AL173="","",IF(AL173=BE167,AL173,""))</f>
        <v/>
      </c>
      <c r="BF173" s="52" t="str">
        <f ca="1">IF(AL173="","",IF(AL173=BF167,AL173,""))</f>
        <v/>
      </c>
      <c r="BG173" s="52" t="str">
        <f ca="1">IF(AL173="","",IF(AL173=BG167,AL173,""))</f>
        <v/>
      </c>
      <c r="BH173" s="52" t="str">
        <f ca="1">IF(AL173="","",IF(AL173=BH167,AL173,""))</f>
        <v/>
      </c>
      <c r="BI173" s="52" t="str">
        <f ca="1">IF(AL173="","",IF(AL173=BI167,AL173,""))</f>
        <v/>
      </c>
      <c r="BJ173" s="52" t="str">
        <f ca="1">IF(AL173="","",IF(AL173=BJ167,AL173,""))</f>
        <v/>
      </c>
      <c r="BK173" s="52" t="str">
        <f ca="1">IF(AM173="","",IF(AM173=BK167,AM173,""))</f>
        <v/>
      </c>
      <c r="BL173" s="52" t="str">
        <f ca="1">IF(AM173="","",IF(AM173=BL167,AM173,""))</f>
        <v/>
      </c>
      <c r="BM173" s="52" t="str">
        <f ca="1">IF(AM173="","",IF(AM173=BM167,AM173,""))</f>
        <v/>
      </c>
      <c r="BN173" s="52" t="str">
        <f ca="1">IF(AM173="","",IF(AM173=BN167,AM173,""))</f>
        <v/>
      </c>
      <c r="BO173" s="52" t="str">
        <f ca="1">IF(AM173="","",IF(AM173=BO167,AM173,""))</f>
        <v/>
      </c>
      <c r="BP173" s="52" t="str">
        <f ca="1">IF(AM173="","",IF(AM173=BP167,AM173,""))</f>
        <v/>
      </c>
      <c r="BQ173" s="52" t="str">
        <f ca="1">IF(AM173="","",IF(AM173=BQ167,AM173,""))</f>
        <v/>
      </c>
      <c r="BR173" s="52" t="str">
        <f ca="1">IF(AM173="","",IF(AM173=BR167,AM173,""))</f>
        <v/>
      </c>
      <c r="BS173" s="46"/>
      <c r="BT173" s="4" t="str">
        <f>IFERROR(IF(A167=0,A173*11,A173&amp;A173),"")</f>
        <v/>
      </c>
    </row>
    <row r="174" spans="1:72" s="4" customFormat="1" ht="15.95" customHeight="1" x14ac:dyDescent="0.35">
      <c r="A174" s="8" t="str">
        <f>IFERROR(IF(D174&gt;MatchDay!$U$2,"-",VLOOKUP(A164,timetables,MatchDay!$U$4+6,FALSE)),0)</f>
        <v>-</v>
      </c>
      <c r="B174" s="10" t="str">
        <f ca="1">IFERROR(IF(OR(AK174=0,AK174="B"),"",RANK(AZ174,AZ168:AZ183,1)),"")</f>
        <v/>
      </c>
      <c r="C174" s="10" t="str">
        <f ca="1">IFERROR(IF(OR(AK174=0,AK174="A"),"",RANK(BA174,BA168:BA183,1)),"")</f>
        <v/>
      </c>
      <c r="D174" s="55">
        <v>7</v>
      </c>
      <c r="E174" s="17" t="str">
        <f t="shared" si="60"/>
        <v>-</v>
      </c>
      <c r="F174" s="18" t="str">
        <f>IFERROR(IF(A167=0,HLOOKUP(E174,Declarations!$D$2:$S$102,C165,FALSE),HLOOKUP(VLOOKUP(E174,Teams!$V$2:$W$19,2,FALSE),Declarations!$D$2:$S$102,C165,FALSE)),"")</f>
        <v/>
      </c>
      <c r="G174" s="18" t="str">
        <f t="shared" si="55"/>
        <v/>
      </c>
      <c r="H174" s="526"/>
      <c r="I174" s="527"/>
      <c r="J174" s="526"/>
      <c r="K174" s="527"/>
      <c r="L174" s="526"/>
      <c r="M174" s="527"/>
      <c r="N174" s="526"/>
      <c r="O174" s="527"/>
      <c r="P174" s="526"/>
      <c r="Q174" s="527"/>
      <c r="R174" s="526"/>
      <c r="S174" s="527"/>
      <c r="T174" s="526"/>
      <c r="U174" s="527"/>
      <c r="V174" s="526"/>
      <c r="W174" s="527"/>
      <c r="X174" s="526"/>
      <c r="Y174" s="527"/>
      <c r="Z174" s="526"/>
      <c r="AA174" s="527"/>
      <c r="AB174" s="526"/>
      <c r="AC174" s="527"/>
      <c r="AD174" s="526"/>
      <c r="AE174" s="527"/>
      <c r="AF174" s="557">
        <f ca="1">IFERROR(INDIRECT(CONCATENATE("'Height Input'!"&amp;B166&amp;C166+6)),"")</f>
        <v>0</v>
      </c>
      <c r="AG174" s="558"/>
      <c r="AH174" s="48"/>
      <c r="AI174" s="48"/>
      <c r="AJ174" s="49">
        <f ca="1">IFERROR(IF(AF174="X",MatchDay!$U$2+MatchDay!$U$2+1-COUNTIF($AF168:AF174,"X"),IF(AF174&gt;=97,1,INT(INDIRECT(CONCATENATE("'Height Input'!"&amp;$B165&amp;$C166+6))))),"")</f>
        <v>0</v>
      </c>
      <c r="AK174" s="50">
        <f ca="1">IFERROR(IF(OR(AJ174=0,AJ174=""),0,IF(OR(AJ174&lt;=VLOOKUP(BT174,$E176:$AJ183,32,FALSE),VLOOKUP(BT174,$E176:$AJ183,32,FALSE)=0),"A","B")),0)</f>
        <v>0</v>
      </c>
      <c r="AL174" s="139" t="str">
        <f ca="1">IFERROR(IF(OR(AK174=0,AK174="B"),"",RANK(AW174,AW168:AW183,1)),"")</f>
        <v/>
      </c>
      <c r="AM174" s="139" t="str">
        <f ca="1">IFERROR(IF(OR(AK174=0,AK174="A"),"",RANK(AX174,AX168:AX183,1)),"")</f>
        <v/>
      </c>
      <c r="AN174" s="51">
        <f ca="1">IFERROR(IF(AF174="X",0,(INDIRECT(CONCATENATE("'Height Input'!"&amp;$B165&amp;$C166+6))-AJ174)*10),"")</f>
        <v>0</v>
      </c>
      <c r="AO174" s="8"/>
      <c r="AP174" s="9" t="str">
        <f t="shared" ca="1" si="61"/>
        <v/>
      </c>
      <c r="AQ174" s="9" t="str">
        <f ca="1">IF(AR174="","",HLOOKUP(AL174,BC167:BJ184,18,FALSE))</f>
        <v/>
      </c>
      <c r="AR174" s="45" t="str">
        <f ca="1">IF(OR(AL174=0,AL174=""),"",IF(COUNTIFS(AL168:AL183,AL174)&gt;1,"=",""))</f>
        <v/>
      </c>
      <c r="AS174" s="45"/>
      <c r="AT174" s="9" t="str">
        <f t="shared" ca="1" si="62"/>
        <v/>
      </c>
      <c r="AU174" s="9" t="str">
        <f ca="1">IF(AV174="","",HLOOKUP(AM174,BK167:BR184,18,FALSE))</f>
        <v/>
      </c>
      <c r="AV174" s="45" t="str">
        <f ca="1">IF(OR(AM174=0,AM174=""),"",IF(COUNTIFS(AM168:AM183,AM174)&gt;1,"=",""))</f>
        <v/>
      </c>
      <c r="AW174" s="9" t="str">
        <f t="shared" ca="1" si="56"/>
        <v/>
      </c>
      <c r="AX174" s="9" t="str">
        <f t="shared" ca="1" si="57"/>
        <v/>
      </c>
      <c r="AY174" s="47"/>
      <c r="AZ174" s="151" t="str">
        <f t="shared" ca="1" si="58"/>
        <v/>
      </c>
      <c r="BA174" s="151" t="str">
        <f t="shared" ca="1" si="59"/>
        <v/>
      </c>
      <c r="BB174" s="9"/>
      <c r="BC174" s="52" t="str">
        <f ca="1">IF(AL174="","",IF(AL174=BC167,AL174,""))</f>
        <v/>
      </c>
      <c r="BD174" s="52" t="str">
        <f ca="1">IF(AL174="","",IF(AL174=BD167,AL174,""))</f>
        <v/>
      </c>
      <c r="BE174" s="52" t="str">
        <f ca="1">IF(AL174="","",IF(AL174=BE167,AL174,""))</f>
        <v/>
      </c>
      <c r="BF174" s="52" t="str">
        <f ca="1">IF(AL174="","",IF(AL174=BF167,AL174,""))</f>
        <v/>
      </c>
      <c r="BG174" s="52" t="str">
        <f ca="1">IF(AL174="","",IF(AL174=BG167,AL174,""))</f>
        <v/>
      </c>
      <c r="BH174" s="52" t="str">
        <f ca="1">IF(AL174="","",IF(AL174=BH167,AL174,""))</f>
        <v/>
      </c>
      <c r="BI174" s="52" t="str">
        <f ca="1">IF(AL174="","",IF(AL174=BI167,AL174,""))</f>
        <v/>
      </c>
      <c r="BJ174" s="52" t="str">
        <f ca="1">IF(AL174="","",IF(AL174=BJ167,AL174,""))</f>
        <v/>
      </c>
      <c r="BK174" s="52" t="str">
        <f ca="1">IF(AM174="","",IF(AM174=BK167,AM174,""))</f>
        <v/>
      </c>
      <c r="BL174" s="52" t="str">
        <f ca="1">IF(AM174="","",IF(AM174=BL167,AM174,""))</f>
        <v/>
      </c>
      <c r="BM174" s="52" t="str">
        <f ca="1">IF(AM174="","",IF(AM174=BM167,AM174,""))</f>
        <v/>
      </c>
      <c r="BN174" s="52" t="str">
        <f ca="1">IF(AM174="","",IF(AM174=BN167,AM174,""))</f>
        <v/>
      </c>
      <c r="BO174" s="52" t="str">
        <f ca="1">IF(AM174="","",IF(AM174=BO167,AM174,""))</f>
        <v/>
      </c>
      <c r="BP174" s="52" t="str">
        <f ca="1">IF(AM174="","",IF(AM174=BP167,AM174,""))</f>
        <v/>
      </c>
      <c r="BQ174" s="52" t="str">
        <f ca="1">IF(AM174="","",IF(AM174=BQ167,AM174,""))</f>
        <v/>
      </c>
      <c r="BR174" s="52" t="str">
        <f ca="1">IF(AM174="","",IF(AM174=BR167,AM174,""))</f>
        <v/>
      </c>
      <c r="BS174" s="46"/>
      <c r="BT174" s="4" t="str">
        <f>IFERROR(IF(A167=0,A174*11,A174&amp;A174),"")</f>
        <v/>
      </c>
    </row>
    <row r="175" spans="1:72" s="4" customFormat="1" ht="15.95" customHeight="1" x14ac:dyDescent="0.35">
      <c r="A175" s="8" t="str">
        <f>IFERROR(IF(D175&gt;MatchDay!$U$2,"-",VLOOKUP(A164,timetables,MatchDay!$U$4+7,FALSE)),0)</f>
        <v>-</v>
      </c>
      <c r="B175" s="10" t="str">
        <f ca="1">IFERROR(IF(OR(AK175=0,AK175="B"),"",RANK(AZ175,AZ168:AZ183,1)),"")</f>
        <v/>
      </c>
      <c r="C175" s="10" t="str">
        <f ca="1">IFERROR(IF(OR(AK175=0,AK175="A"),"",RANK(BA175,BA168:BA183,1)),"")</f>
        <v/>
      </c>
      <c r="D175" s="55">
        <v>8</v>
      </c>
      <c r="E175" s="17" t="str">
        <f t="shared" si="60"/>
        <v>-</v>
      </c>
      <c r="F175" s="18" t="str">
        <f>IFERROR(IF(A167=0,HLOOKUP(E175,Declarations!$D$2:$S$102,C165,FALSE),HLOOKUP(VLOOKUP(E175,Teams!$V$2:$W$19,2,FALSE),Declarations!$D$2:$S$102,C165,FALSE)),"")</f>
        <v/>
      </c>
      <c r="G175" s="18" t="str">
        <f t="shared" si="55"/>
        <v/>
      </c>
      <c r="H175" s="526"/>
      <c r="I175" s="527"/>
      <c r="J175" s="526"/>
      <c r="K175" s="527"/>
      <c r="L175" s="526"/>
      <c r="M175" s="527"/>
      <c r="N175" s="526"/>
      <c r="O175" s="527"/>
      <c r="P175" s="526"/>
      <c r="Q175" s="527"/>
      <c r="R175" s="526"/>
      <c r="S175" s="527"/>
      <c r="T175" s="526"/>
      <c r="U175" s="527"/>
      <c r="V175" s="526"/>
      <c r="W175" s="527"/>
      <c r="X175" s="526"/>
      <c r="Y175" s="527"/>
      <c r="Z175" s="526"/>
      <c r="AA175" s="527"/>
      <c r="AB175" s="526"/>
      <c r="AC175" s="527"/>
      <c r="AD175" s="526"/>
      <c r="AE175" s="527"/>
      <c r="AF175" s="557">
        <f ca="1">IFERROR(INDIRECT(CONCATENATE("'Height Input'!"&amp;B166&amp;C166+7)),"")</f>
        <v>0</v>
      </c>
      <c r="AG175" s="558"/>
      <c r="AH175" s="48"/>
      <c r="AI175" s="48"/>
      <c r="AJ175" s="49">
        <f ca="1">IFERROR(IF(AF175="X",MatchDay!$U$2+MatchDay!$U$2+1-COUNTIF($AF168:AF175,"X"),IF(AF175&gt;=97,1,INT(INDIRECT(CONCATENATE("'Height Input'!"&amp;$B165&amp;$C166+7))))),"")</f>
        <v>0</v>
      </c>
      <c r="AK175" s="50">
        <f ca="1">IFERROR(IF(OR(AJ175=0,AJ175=""),0,IF(OR(AJ175&lt;=VLOOKUP(BT175,$E176:$AJ183,32,FALSE),VLOOKUP(BT175,$E176:$AJ183,32,FALSE)=0),"A","B")),0)</f>
        <v>0</v>
      </c>
      <c r="AL175" s="139" t="str">
        <f ca="1">IFERROR(IF(OR(AK175=0,AK175="B"),"",RANK(AW175,AW168:AW183,1)),"")</f>
        <v/>
      </c>
      <c r="AM175" s="139" t="str">
        <f ca="1">IFERROR(IF(OR(AK175=0,AK175="A"),"",RANK(AX175,AX168:AX183,1)),"")</f>
        <v/>
      </c>
      <c r="AN175" s="51">
        <f ca="1">IFERROR(IF(AF175="X",0,(INDIRECT(CONCATENATE("'Height Input'!"&amp;$B165&amp;$C166+7))-AJ175)*10),"")</f>
        <v>0</v>
      </c>
      <c r="AO175" s="8"/>
      <c r="AP175" s="9" t="str">
        <f t="shared" ca="1" si="61"/>
        <v/>
      </c>
      <c r="AQ175" s="9" t="str">
        <f ca="1">IF(AR175="","",HLOOKUP(AL175,BC167:BJ184,18,FALSE))</f>
        <v/>
      </c>
      <c r="AR175" s="45" t="str">
        <f ca="1">IF(OR(AL175=0,AL175=""),"",IF(COUNTIFS(AL168:AL183,AL175)&gt;1,"=",""))</f>
        <v/>
      </c>
      <c r="AS175" s="45"/>
      <c r="AT175" s="9" t="str">
        <f t="shared" ca="1" si="62"/>
        <v/>
      </c>
      <c r="AU175" s="9" t="str">
        <f ca="1">IF(AV175="","",HLOOKUP(AM175,BK167:BR184,18,FALSE))</f>
        <v/>
      </c>
      <c r="AV175" s="45" t="str">
        <f ca="1">IF(OR(AM175=0,AM175=""),"",IF(COUNTIFS(AM168:AM183,AM175)&gt;1,"=",""))</f>
        <v/>
      </c>
      <c r="AW175" s="9" t="str">
        <f t="shared" ca="1" si="56"/>
        <v/>
      </c>
      <c r="AX175" s="9" t="str">
        <f t="shared" ca="1" si="57"/>
        <v/>
      </c>
      <c r="AY175" s="47"/>
      <c r="AZ175" s="151" t="str">
        <f t="shared" ca="1" si="58"/>
        <v/>
      </c>
      <c r="BA175" s="151" t="str">
        <f t="shared" ca="1" si="59"/>
        <v/>
      </c>
      <c r="BB175" s="9"/>
      <c r="BC175" s="52" t="str">
        <f ca="1">IF(AL175="","",IF(AL175=BC167,AL175,""))</f>
        <v/>
      </c>
      <c r="BD175" s="52" t="str">
        <f ca="1">IF(AL175="","",IF(AL175=BD167,AL175,""))</f>
        <v/>
      </c>
      <c r="BE175" s="52" t="str">
        <f ca="1">IF(AL175="","",IF(AL175=BE167,AL175,""))</f>
        <v/>
      </c>
      <c r="BF175" s="52" t="str">
        <f ca="1">IF(AL175="","",IF(AL175=BF167,AL175,""))</f>
        <v/>
      </c>
      <c r="BG175" s="52" t="str">
        <f ca="1">IF(AL175="","",IF(AL175=BG167,AL175,""))</f>
        <v/>
      </c>
      <c r="BH175" s="52" t="str">
        <f ca="1">IF(AL175="","",IF(AL175=BH167,AL175,""))</f>
        <v/>
      </c>
      <c r="BI175" s="52" t="str">
        <f ca="1">IF(AL175="","",IF(AL175=BI167,AL175,""))</f>
        <v/>
      </c>
      <c r="BJ175" s="52" t="str">
        <f ca="1">IF(AL175="","",IF(AL175=BJ167,AL175,""))</f>
        <v/>
      </c>
      <c r="BK175" s="52" t="str">
        <f ca="1">IF(AM175="","",IF(AM175=BK167,AM175,""))</f>
        <v/>
      </c>
      <c r="BL175" s="52" t="str">
        <f ca="1">IF(AM175="","",IF(AM175=BL167,AM175,""))</f>
        <v/>
      </c>
      <c r="BM175" s="52" t="str">
        <f ca="1">IF(AM175="","",IF(AM175=BM167,AM175,""))</f>
        <v/>
      </c>
      <c r="BN175" s="52" t="str">
        <f ca="1">IF(AM175="","",IF(AM175=BN167,AM175,""))</f>
        <v/>
      </c>
      <c r="BO175" s="52" t="str">
        <f ca="1">IF(AM175="","",IF(AM175=BO167,AM175,""))</f>
        <v/>
      </c>
      <c r="BP175" s="52" t="str">
        <f ca="1">IF(AM175="","",IF(AM175=BP167,AM175,""))</f>
        <v/>
      </c>
      <c r="BQ175" s="52" t="str">
        <f ca="1">IF(AM175="","",IF(AM175=BQ167,AM175,""))</f>
        <v/>
      </c>
      <c r="BR175" s="52" t="str">
        <f ca="1">IF(AM175="","",IF(AM175=BR167,AM175,""))</f>
        <v/>
      </c>
      <c r="BS175" s="46"/>
      <c r="BT175" s="4" t="str">
        <f>IFERROR(IF(A167=0,A175*11,A175&amp;A175),"")</f>
        <v/>
      </c>
    </row>
    <row r="176" spans="1:72" s="4" customFormat="1" ht="15.95" customHeight="1" x14ac:dyDescent="0.35">
      <c r="A176" s="8">
        <f>IFERROR(IF(A167=0,A168*11,A168&amp;A168),"-")</f>
        <v>44</v>
      </c>
      <c r="B176" s="10" t="str">
        <f ca="1">IFERROR(IF(OR(AK176=0,AK176="B"),"",RANK(AZ176,AZ168:AZ183,1)),"")</f>
        <v/>
      </c>
      <c r="C176" s="10" t="str">
        <f ca="1">IFERROR(IF(OR(AK176=0,AK176="A"),"",RANK(BA176,BA168:BA183,1)),"")</f>
        <v/>
      </c>
      <c r="D176" s="55">
        <v>9</v>
      </c>
      <c r="E176" s="17">
        <f t="shared" si="60"/>
        <v>44</v>
      </c>
      <c r="F176" s="18" t="str">
        <f ca="1">IFERROR(IF(A167=0,HLOOKUP(E176,Declarations!$D$2:$S$102,C165,FALSE),HLOOKUP(VLOOKUP(E176,Teams!$V$2:$W$19,2,FALSE),Declarations!$D$2:$S$102,C165,FALSE)),"")</f>
        <v>-</v>
      </c>
      <c r="G176" s="18" t="str">
        <f t="shared" si="55"/>
        <v>M'bro</v>
      </c>
      <c r="H176" s="526"/>
      <c r="I176" s="527"/>
      <c r="J176" s="526"/>
      <c r="K176" s="527"/>
      <c r="L176" s="526"/>
      <c r="M176" s="527"/>
      <c r="N176" s="526"/>
      <c r="O176" s="527"/>
      <c r="P176" s="526"/>
      <c r="Q176" s="527"/>
      <c r="R176" s="526"/>
      <c r="S176" s="527"/>
      <c r="T176" s="526"/>
      <c r="U176" s="527"/>
      <c r="V176" s="526"/>
      <c r="W176" s="527"/>
      <c r="X176" s="526"/>
      <c r="Y176" s="527"/>
      <c r="Z176" s="526"/>
      <c r="AA176" s="527"/>
      <c r="AB176" s="526"/>
      <c r="AC176" s="527"/>
      <c r="AD176" s="526"/>
      <c r="AE176" s="527"/>
      <c r="AF176" s="557">
        <f ca="1">IFERROR(INDIRECT(CONCATENATE("'Height Input'!"&amp;B166&amp;C166+8)),"")</f>
        <v>0</v>
      </c>
      <c r="AG176" s="558"/>
      <c r="AH176" s="48"/>
      <c r="AI176" s="48"/>
      <c r="AJ176" s="49">
        <f ca="1">IFERROR(IF(AF176="X",MatchDay!$U$2+MatchDay!$U$2+1-COUNTIF($AF168:AF176,"X"),IF(AF176&gt;=97,1,INT(INDIRECT(CONCATENATE("'Height Input'!"&amp;$B165&amp;$C166+8))))),"")</f>
        <v>0</v>
      </c>
      <c r="AK176" s="50">
        <f ca="1">IFERROR(IF(OR(AJ176=0,AJ176=""),0,IF(OR(AJ176&lt;VLOOKUP(BT176,$E168:$AJ175,32,FALSE),VLOOKUP(BT176,$E168:$AJ175,32,FALSE)=0),"A","B")),0)</f>
        <v>0</v>
      </c>
      <c r="AL176" s="139" t="str">
        <f ca="1">IFERROR(IF(OR(AK176=0,AK176="B"),"",RANK(AW176,AW168:AW183,1)),"")</f>
        <v/>
      </c>
      <c r="AM176" s="139" t="str">
        <f ca="1">IFERROR(IF(OR(AK176=0,AK176="A"),"",RANK(AX176,AX168:AX183,1)),"")</f>
        <v/>
      </c>
      <c r="AN176" s="51">
        <f ca="1">IFERROR(IF(AF176="X",0,(INDIRECT(CONCATENATE("'Height Input'!"&amp;$B165&amp;$C166+8))-AJ176)*10),"")</f>
        <v>0</v>
      </c>
      <c r="AO176" s="8"/>
      <c r="AP176" s="9" t="str">
        <f t="shared" ca="1" si="61"/>
        <v/>
      </c>
      <c r="AQ176" s="9" t="str">
        <f ca="1">IF(AR176="","",HLOOKUP(AL176,BC167:BJ184,18,FALSE))</f>
        <v/>
      </c>
      <c r="AR176" s="45" t="str">
        <f ca="1">IF(OR(AL176=0,AL176=""),"",IF(COUNTIFS(AL168:AL183,AL176)&gt;1,"=",""))</f>
        <v/>
      </c>
      <c r="AS176" s="45"/>
      <c r="AT176" s="9" t="str">
        <f t="shared" ca="1" si="62"/>
        <v/>
      </c>
      <c r="AU176" s="9" t="str">
        <f ca="1">IF(AV176="","",HLOOKUP(AM176,BK167:BR184,18,FALSE))</f>
        <v/>
      </c>
      <c r="AV176" s="45" t="str">
        <f ca="1">IF(OR(AM176=0,AM176=""),"",IF(COUNTIFS(AM168:AM183,AM176)&gt;1,"=",""))</f>
        <v/>
      </c>
      <c r="AW176" s="9" t="str">
        <f t="shared" ca="1" si="56"/>
        <v/>
      </c>
      <c r="AX176" s="9" t="str">
        <f t="shared" ca="1" si="57"/>
        <v/>
      </c>
      <c r="AY176" s="47"/>
      <c r="AZ176" s="151" t="str">
        <f t="shared" ca="1" si="58"/>
        <v/>
      </c>
      <c r="BA176" s="151" t="str">
        <f t="shared" ca="1" si="59"/>
        <v/>
      </c>
      <c r="BB176" s="9"/>
      <c r="BC176" s="52" t="str">
        <f ca="1">IF(AL176="","",IF(AL176=BC167,AL176,""))</f>
        <v/>
      </c>
      <c r="BD176" s="52" t="str">
        <f ca="1">IF(AL176="","",IF(AL176=BD167,AL176,""))</f>
        <v/>
      </c>
      <c r="BE176" s="52" t="str">
        <f ca="1">IF(AL176="","",IF(AL176=BE167,AL176,""))</f>
        <v/>
      </c>
      <c r="BF176" s="52" t="str">
        <f ca="1">IF(AL176="","",IF(AL176=BF167,AL176,""))</f>
        <v/>
      </c>
      <c r="BG176" s="52" t="str">
        <f ca="1">IF(AL176="","",IF(AL176=BG167,AL176,""))</f>
        <v/>
      </c>
      <c r="BH176" s="52" t="str">
        <f ca="1">IF(AL176="","",IF(AL176=BH167,AL176,""))</f>
        <v/>
      </c>
      <c r="BI176" s="52" t="str">
        <f ca="1">IF(AL176="","",IF(AL176=BI167,AL176,""))</f>
        <v/>
      </c>
      <c r="BJ176" s="52" t="str">
        <f ca="1">IF(AL176="","",IF(AL176=BJ167,AL176,""))</f>
        <v/>
      </c>
      <c r="BK176" s="52" t="str">
        <f ca="1">IF(AM176="","",IF(AM176=BK167,AM176,""))</f>
        <v/>
      </c>
      <c r="BL176" s="52" t="str">
        <f ca="1">IF(AM176="","",IF(AM176=BL167,AM176,""))</f>
        <v/>
      </c>
      <c r="BM176" s="52" t="str">
        <f ca="1">IF(AM176="","",IF(AM176=BM167,AM176,""))</f>
        <v/>
      </c>
      <c r="BN176" s="52" t="str">
        <f ca="1">IF(AM176="","",IF(AM176=BN167,AM176,""))</f>
        <v/>
      </c>
      <c r="BO176" s="52" t="str">
        <f ca="1">IF(AM176="","",IF(AM176=BO167,AM176,""))</f>
        <v/>
      </c>
      <c r="BP176" s="52" t="str">
        <f ca="1">IF(AM176="","",IF(AM176=BP167,AM176,""))</f>
        <v/>
      </c>
      <c r="BQ176" s="52" t="str">
        <f ca="1">IF(AM176="","",IF(AM176=BQ167,AM176,""))</f>
        <v/>
      </c>
      <c r="BR176" s="52" t="str">
        <f ca="1">IF(AM176="","",IF(AM176=BR167,AM176,""))</f>
        <v/>
      </c>
      <c r="BS176" s="46"/>
      <c r="BT176" s="4">
        <f>IFERROR(IF(A167=0,A176/11,LEFT(A176,1)),"")</f>
        <v>4</v>
      </c>
    </row>
    <row r="177" spans="1:72" s="4" customFormat="1" ht="15.95" customHeight="1" x14ac:dyDescent="0.35">
      <c r="A177" s="8">
        <f>IFERROR(IF(A167=0,A169*11,A169&amp;A169),"-")</f>
        <v>22</v>
      </c>
      <c r="B177" s="10" t="str">
        <f ca="1">IFERROR(IF(OR(AK177=0,AK177="B"),"",RANK(AZ177,AZ168:AZ183,1)),"")</f>
        <v/>
      </c>
      <c r="C177" s="10" t="str">
        <f ca="1">IFERROR(IF(OR(AK177=0,AK177="A"),"",RANK(BA177,BA168:BA183,1)),"")</f>
        <v/>
      </c>
      <c r="D177" s="55">
        <v>10</v>
      </c>
      <c r="E177" s="17">
        <f t="shared" si="60"/>
        <v>22</v>
      </c>
      <c r="F177" s="18">
        <f ca="1">IFERROR(IF(A167=0,HLOOKUP(E177,Declarations!$D$2:$S$102,C165,FALSE),HLOOKUP(VLOOKUP(E177,Teams!$V$2:$W$19,2,FALSE),Declarations!$D$2:$S$102,C165,FALSE)),"")</f>
        <v>0</v>
      </c>
      <c r="G177" s="18" t="str">
        <f t="shared" si="55"/>
        <v>Sheff+D</v>
      </c>
      <c r="H177" s="526"/>
      <c r="I177" s="527"/>
      <c r="J177" s="526"/>
      <c r="K177" s="527"/>
      <c r="L177" s="526"/>
      <c r="M177" s="527"/>
      <c r="N177" s="526"/>
      <c r="O177" s="527"/>
      <c r="P177" s="526"/>
      <c r="Q177" s="527"/>
      <c r="R177" s="526"/>
      <c r="S177" s="527"/>
      <c r="T177" s="526"/>
      <c r="U177" s="527"/>
      <c r="V177" s="526"/>
      <c r="W177" s="527"/>
      <c r="X177" s="526"/>
      <c r="Y177" s="527"/>
      <c r="Z177" s="526"/>
      <c r="AA177" s="527"/>
      <c r="AB177" s="526"/>
      <c r="AC177" s="527"/>
      <c r="AD177" s="526"/>
      <c r="AE177" s="527"/>
      <c r="AF177" s="557">
        <f ca="1">IFERROR(INDIRECT(CONCATENATE("'Height Input'!"&amp;B166&amp;C166+9)),"")</f>
        <v>0</v>
      </c>
      <c r="AG177" s="558"/>
      <c r="AH177" s="48"/>
      <c r="AI177" s="48"/>
      <c r="AJ177" s="49">
        <f ca="1">IFERROR(IF(AF177="X",MatchDay!$U$2+MatchDay!$U$2+1-COUNTIF($AF168:AF177,"X"),IF(AF177&gt;=97,1,INT(INDIRECT(CONCATENATE("'Height Input'!"&amp;$B165&amp;$C166+9))))),"")</f>
        <v>0</v>
      </c>
      <c r="AK177" s="50">
        <f ca="1">IFERROR(IF(OR(AJ177=0,AJ177=""),0,IF(OR(AJ177&lt;VLOOKUP(BT177,$E168:$AJ175,32,FALSE),VLOOKUP(BT177,$E168:$AJ175,32,FALSE)=0),"A","B")),0)</f>
        <v>0</v>
      </c>
      <c r="AL177" s="139" t="str">
        <f ca="1">IFERROR(IF(OR(AK177=0,AK177="B"),"",RANK(AW177,AW168:AW183,1)),"")</f>
        <v/>
      </c>
      <c r="AM177" s="139" t="str">
        <f ca="1">IFERROR(IF(OR(AK177=0,AK177="A"),"",RANK(AX177,AX168:AX183,1)),"")</f>
        <v/>
      </c>
      <c r="AN177" s="51">
        <f ca="1">IFERROR(IF(AF177="X",0,(INDIRECT(CONCATENATE("'Height Input'!"&amp;$B165&amp;$C166+9))-AJ177)*10),"")</f>
        <v>0</v>
      </c>
      <c r="AO177" s="8"/>
      <c r="AP177" s="9" t="str">
        <f t="shared" ca="1" si="61"/>
        <v/>
      </c>
      <c r="AQ177" s="9" t="str">
        <f ca="1">IF(AR177="","",HLOOKUP(AL177,BC167:BJ184,18,FALSE))</f>
        <v/>
      </c>
      <c r="AR177" s="45" t="str">
        <f ca="1">IF(OR(AL177=0,AL177=""),"",IF(COUNTIFS(AL168:AL183,AL177)&gt;1,"=",""))</f>
        <v/>
      </c>
      <c r="AS177" s="45"/>
      <c r="AT177" s="9" t="str">
        <f t="shared" ca="1" si="62"/>
        <v/>
      </c>
      <c r="AU177" s="9" t="str">
        <f ca="1">IF(AV177="","",HLOOKUP(AM177,BK167:BR184,18,FALSE))</f>
        <v/>
      </c>
      <c r="AV177" s="45" t="str">
        <f ca="1">IF(OR(AM177=0,AM177=""),"",IF(COUNTIFS(AM168:AM183,AM177)&gt;1,"=",""))</f>
        <v/>
      </c>
      <c r="AW177" s="9" t="str">
        <f t="shared" ca="1" si="56"/>
        <v/>
      </c>
      <c r="AX177" s="9" t="str">
        <f t="shared" ca="1" si="57"/>
        <v/>
      </c>
      <c r="AY177" s="47"/>
      <c r="AZ177" s="151" t="str">
        <f t="shared" ca="1" si="58"/>
        <v/>
      </c>
      <c r="BA177" s="151" t="str">
        <f t="shared" ca="1" si="59"/>
        <v/>
      </c>
      <c r="BB177" s="9"/>
      <c r="BC177" s="52" t="str">
        <f ca="1">IF(AL177="","",IF(AL177=BC167,AL177,""))</f>
        <v/>
      </c>
      <c r="BD177" s="52" t="str">
        <f ca="1">IF(AL177="","",IF(AL177=BD167,AL177,""))</f>
        <v/>
      </c>
      <c r="BE177" s="52" t="str">
        <f ca="1">IF(AL177="","",IF(AL177=BE167,AL177,""))</f>
        <v/>
      </c>
      <c r="BF177" s="52" t="str">
        <f ca="1">IF(AL177="","",IF(AL177=BF167,AL177,""))</f>
        <v/>
      </c>
      <c r="BG177" s="52" t="str">
        <f ca="1">IF(AL177="","",IF(AL177=BG167,AL177,""))</f>
        <v/>
      </c>
      <c r="BH177" s="52" t="str">
        <f ca="1">IF(AL177="","",IF(AL177=BH167,AL177,""))</f>
        <v/>
      </c>
      <c r="BI177" s="52" t="str">
        <f ca="1">IF(AL177="","",IF(AL177=BI167,AL177,""))</f>
        <v/>
      </c>
      <c r="BJ177" s="52" t="str">
        <f ca="1">IF(AL177="","",IF(AL177=BJ167,AL177,""))</f>
        <v/>
      </c>
      <c r="BK177" s="52" t="str">
        <f ca="1">IF(AM177="","",IF(AM177=BK167,AM177,""))</f>
        <v/>
      </c>
      <c r="BL177" s="52" t="str">
        <f ca="1">IF(AM177="","",IF(AM177=BL167,AM177,""))</f>
        <v/>
      </c>
      <c r="BM177" s="52" t="str">
        <f ca="1">IF(AM177="","",IF(AM177=BM167,AM177,""))</f>
        <v/>
      </c>
      <c r="BN177" s="52" t="str">
        <f ca="1">IF(AM177="","",IF(AM177=BN167,AM177,""))</f>
        <v/>
      </c>
      <c r="BO177" s="52" t="str">
        <f ca="1">IF(AM177="","",IF(AM177=BO167,AM177,""))</f>
        <v/>
      </c>
      <c r="BP177" s="52" t="str">
        <f ca="1">IF(AM177="","",IF(AM177=BP167,AM177,""))</f>
        <v/>
      </c>
      <c r="BQ177" s="52" t="str">
        <f ca="1">IF(AM177="","",IF(AM177=BQ167,AM177,""))</f>
        <v/>
      </c>
      <c r="BR177" s="52" t="str">
        <f ca="1">IF(AM177="","",IF(AM177=BR167,AM177,""))</f>
        <v/>
      </c>
      <c r="BS177" s="46"/>
      <c r="BT177" s="4">
        <f>IFERROR(IF(A167=0,A177/11,LEFT(A177,1)),"")</f>
        <v>2</v>
      </c>
    </row>
    <row r="178" spans="1:72" s="4" customFormat="1" ht="15.95" customHeight="1" x14ac:dyDescent="0.35">
      <c r="A178" s="8">
        <f>IFERROR(IF(A167=0,A170*11,A170&amp;A170),"-")</f>
        <v>55</v>
      </c>
      <c r="B178" s="10" t="str">
        <f ca="1">IFERROR(IF(OR(AK178=0,AK178="B"),"",RANK(AZ178,AZ168:AZ183,1)),"")</f>
        <v/>
      </c>
      <c r="C178" s="10" t="str">
        <f ca="1">IFERROR(IF(OR(AK178=0,AK178="A"),"",RANK(BA178,BA168:BA183,1)),"")</f>
        <v/>
      </c>
      <c r="D178" s="55">
        <v>11</v>
      </c>
      <c r="E178" s="17">
        <f t="shared" si="60"/>
        <v>55</v>
      </c>
      <c r="F178" s="18">
        <f ca="1">IFERROR(IF(A167=0,HLOOKUP(E178,Declarations!$D$2:$S$102,C165,FALSE),HLOOKUP(VLOOKUP(E178,Teams!$V$2:$W$19,2,FALSE),Declarations!$D$2:$S$102,C165,FALSE)),"")</f>
        <v>0</v>
      </c>
      <c r="G178" s="18" t="str">
        <f t="shared" si="55"/>
        <v>Scun</v>
      </c>
      <c r="H178" s="526"/>
      <c r="I178" s="527"/>
      <c r="J178" s="526"/>
      <c r="K178" s="527"/>
      <c r="L178" s="526"/>
      <c r="M178" s="527"/>
      <c r="N178" s="526"/>
      <c r="O178" s="527"/>
      <c r="P178" s="526"/>
      <c r="Q178" s="527"/>
      <c r="R178" s="526"/>
      <c r="S178" s="527"/>
      <c r="T178" s="526"/>
      <c r="U178" s="527"/>
      <c r="V178" s="526"/>
      <c r="W178" s="527"/>
      <c r="X178" s="526"/>
      <c r="Y178" s="527"/>
      <c r="Z178" s="526"/>
      <c r="AA178" s="527"/>
      <c r="AB178" s="526"/>
      <c r="AC178" s="527"/>
      <c r="AD178" s="526"/>
      <c r="AE178" s="527"/>
      <c r="AF178" s="557">
        <f ca="1">IFERROR(INDIRECT(CONCATENATE("'Height Input'!"&amp;B166&amp;C166+10)),"")</f>
        <v>0</v>
      </c>
      <c r="AG178" s="558"/>
      <c r="AH178" s="48"/>
      <c r="AI178" s="48"/>
      <c r="AJ178" s="49">
        <f ca="1">IFERROR(IF(AF178="X",MatchDay!$U$2+MatchDay!$U$2+1-COUNTIF($AF168:AF178,"X"),IF(AF178&gt;=97,1,INT(INDIRECT(CONCATENATE("'Height Input'!"&amp;$B165&amp;$C166+10))))),"")</f>
        <v>0</v>
      </c>
      <c r="AK178" s="50">
        <f ca="1">IFERROR(IF(OR(AJ178=0,AJ178=""),0,IF(OR(AJ178&lt;VLOOKUP(BT178,$E168:$AJ175,32,FALSE),VLOOKUP(BT178,$E168:$AJ175,32,FALSE)=0),"A","B")),0)</f>
        <v>0</v>
      </c>
      <c r="AL178" s="139" t="str">
        <f ca="1">IFERROR(IF(OR(AK178=0,AK178="B"),"",RANK(AW178,AW168:AW183,1)),"")</f>
        <v/>
      </c>
      <c r="AM178" s="139" t="str">
        <f ca="1">IFERROR(IF(OR(AK178=0,AK178="A"),"",RANK(AX178,AX168:AX183,1)),"")</f>
        <v/>
      </c>
      <c r="AN178" s="51">
        <f ca="1">IFERROR(IF(AF178="X",0,(INDIRECT(CONCATENATE("'Height Input'!"&amp;$B165&amp;$C166+10))-AJ178)*10),"")</f>
        <v>0</v>
      </c>
      <c r="AO178" s="8"/>
      <c r="AP178" s="9" t="str">
        <f t="shared" ca="1" si="61"/>
        <v/>
      </c>
      <c r="AQ178" s="9" t="str">
        <f ca="1">IF(AR178="","",HLOOKUP(AL178,BC167:BJ184,18,FALSE))</f>
        <v/>
      </c>
      <c r="AR178" s="45" t="str">
        <f ca="1">IF(OR(AL178=0,AL178=""),"",IF(COUNTIFS(AL168:AL183,AL178)&gt;1,"=",""))</f>
        <v/>
      </c>
      <c r="AS178" s="45"/>
      <c r="AT178" s="9" t="str">
        <f t="shared" ca="1" si="62"/>
        <v/>
      </c>
      <c r="AU178" s="9" t="str">
        <f ca="1">IF(AV178="","",HLOOKUP(AM178,BK167:BR184,18,FALSE))</f>
        <v/>
      </c>
      <c r="AV178" s="45" t="str">
        <f ca="1">IF(OR(AM178=0,AM178=""),"",IF(COUNTIFS(AM168:AM183,AM178)&gt;1,"=",""))</f>
        <v/>
      </c>
      <c r="AW178" s="9" t="str">
        <f t="shared" ca="1" si="56"/>
        <v/>
      </c>
      <c r="AX178" s="9" t="str">
        <f t="shared" ca="1" si="57"/>
        <v/>
      </c>
      <c r="AY178" s="47"/>
      <c r="AZ178" s="151" t="str">
        <f t="shared" ca="1" si="58"/>
        <v/>
      </c>
      <c r="BA178" s="151" t="str">
        <f t="shared" ca="1" si="59"/>
        <v/>
      </c>
      <c r="BB178" s="9"/>
      <c r="BC178" s="52" t="str">
        <f ca="1">IF(AL178="","",IF(AL178=BC167,AL178,""))</f>
        <v/>
      </c>
      <c r="BD178" s="52" t="str">
        <f ca="1">IF(AL178="","",IF(AL178=BD167,AL178,""))</f>
        <v/>
      </c>
      <c r="BE178" s="52" t="str">
        <f ca="1">IF(AL178="","",IF(AL178=BE167,AL178,""))</f>
        <v/>
      </c>
      <c r="BF178" s="52" t="str">
        <f ca="1">IF(AL178="","",IF(AL178=BF167,AL178,""))</f>
        <v/>
      </c>
      <c r="BG178" s="52" t="str">
        <f ca="1">IF(AL178="","",IF(AL178=BG167,AL178,""))</f>
        <v/>
      </c>
      <c r="BH178" s="52" t="str">
        <f ca="1">IF(AL178="","",IF(AL178=BH167,AL178,""))</f>
        <v/>
      </c>
      <c r="BI178" s="52" t="str">
        <f ca="1">IF(AL178="","",IF(AL178=BI167,AL178,""))</f>
        <v/>
      </c>
      <c r="BJ178" s="52" t="str">
        <f ca="1">IF(AL178="","",IF(AL178=BJ167,AL178,""))</f>
        <v/>
      </c>
      <c r="BK178" s="52" t="str">
        <f ca="1">IF(AM178="","",IF(AM178=BK167,AM178,""))</f>
        <v/>
      </c>
      <c r="BL178" s="52" t="str">
        <f ca="1">IF(AM178="","",IF(AM178=BL167,AM178,""))</f>
        <v/>
      </c>
      <c r="BM178" s="52" t="str">
        <f ca="1">IF(AM178="","",IF(AM178=BM167,AM178,""))</f>
        <v/>
      </c>
      <c r="BN178" s="52" t="str">
        <f ca="1">IF(AM178="","",IF(AM178=BN167,AM178,""))</f>
        <v/>
      </c>
      <c r="BO178" s="52" t="str">
        <f ca="1">IF(AM178="","",IF(AM178=BO167,AM178,""))</f>
        <v/>
      </c>
      <c r="BP178" s="52" t="str">
        <f ca="1">IF(AM178="","",IF(AM178=BP167,AM178,""))</f>
        <v/>
      </c>
      <c r="BQ178" s="52" t="str">
        <f ca="1">IF(AM178="","",IF(AM178=BQ167,AM178,""))</f>
        <v/>
      </c>
      <c r="BR178" s="52" t="str">
        <f ca="1">IF(AM178="","",IF(AM178=BR167,AM178,""))</f>
        <v/>
      </c>
      <c r="BS178" s="46"/>
      <c r="BT178" s="4">
        <f>IFERROR(IF(A167=0,A178/11,LEFT(A178,1)),"")</f>
        <v>5</v>
      </c>
    </row>
    <row r="179" spans="1:72" s="4" customFormat="1" ht="15.95" customHeight="1" x14ac:dyDescent="0.35">
      <c r="A179" s="8">
        <f>IFERROR(IF(A167=0,A171*11,A171&amp;A171),"-")</f>
        <v>11</v>
      </c>
      <c r="B179" s="10">
        <f ca="1">IFERROR(IF(OR(AK179=0,AK179="B"),"",RANK(AZ179,AZ168:AZ183,1)),"")</f>
        <v>2</v>
      </c>
      <c r="C179" s="10" t="str">
        <f ca="1">IFERROR(IF(OR(AK179=0,AK179="A"),"",RANK(BA179,BA168:BA183,1)),"")</f>
        <v/>
      </c>
      <c r="D179" s="55">
        <v>12</v>
      </c>
      <c r="E179" s="17">
        <f t="shared" si="60"/>
        <v>11</v>
      </c>
      <c r="F179" s="18" t="str">
        <f ca="1">IFERROR(IF(A167=0,HLOOKUP(E179,Declarations!$D$2:$S$102,C165,FALSE),HLOOKUP(VLOOKUP(E179,Teams!$V$2:$W$19,2,FALSE),Declarations!$D$2:$S$102,C165,FALSE)),"")</f>
        <v>FOOT James</v>
      </c>
      <c r="G179" s="18" t="str">
        <f t="shared" si="55"/>
        <v>C'field</v>
      </c>
      <c r="H179" s="526"/>
      <c r="I179" s="527"/>
      <c r="J179" s="526"/>
      <c r="K179" s="527"/>
      <c r="L179" s="526"/>
      <c r="M179" s="527"/>
      <c r="N179" s="526"/>
      <c r="O179" s="527"/>
      <c r="P179" s="526"/>
      <c r="Q179" s="527"/>
      <c r="R179" s="526"/>
      <c r="S179" s="527"/>
      <c r="T179" s="526"/>
      <c r="U179" s="527"/>
      <c r="V179" s="526"/>
      <c r="W179" s="527"/>
      <c r="X179" s="526"/>
      <c r="Y179" s="527"/>
      <c r="Z179" s="526"/>
      <c r="AA179" s="527"/>
      <c r="AB179" s="526"/>
      <c r="AC179" s="527"/>
      <c r="AD179" s="526"/>
      <c r="AE179" s="527"/>
      <c r="AF179" s="557">
        <f ca="1">IFERROR(INDIRECT(CONCATENATE("'Height Input'!"&amp;B166&amp;C166+11)),"")</f>
        <v>1.35</v>
      </c>
      <c r="AG179" s="558"/>
      <c r="AH179" s="48"/>
      <c r="AI179" s="48"/>
      <c r="AJ179" s="49">
        <f ca="1">IFERROR(IF(AF179="X",MatchDay!$U$2+MatchDay!$U$2+1-COUNTIF($AF168:AF179,"X"),IF(AF179&gt;=97,1,INT(INDIRECT(CONCATENATE("'Height Input'!"&amp;$B165&amp;$C166+11))))),"")</f>
        <v>2</v>
      </c>
      <c r="AK179" s="50" t="str">
        <f ca="1">IFERROR(IF(OR(AJ179=0,AJ179=""),0,IF(OR(AJ179&lt;VLOOKUP(BT179,$E168:$AJ175,32,FALSE),VLOOKUP(BT179,$E168:$AJ175,32,FALSE)=0),"A","B")),0)</f>
        <v>A</v>
      </c>
      <c r="AL179" s="139">
        <f ca="1">IFERROR(IF(OR(AK179=0,AK179="B"),"",RANK(AW179,AW168:AW183,1)),"")</f>
        <v>2</v>
      </c>
      <c r="AM179" s="139" t="str">
        <f ca="1">IFERROR(IF(OR(AK179=0,AK179="A"),"",RANK(AX179,AX168:AX183,1)),"")</f>
        <v/>
      </c>
      <c r="AN179" s="51">
        <f ca="1">IFERROR(IF(AF179="X",0,(INDIRECT(CONCATENATE("'Height Input'!"&amp;$B165&amp;$C166+11))-AJ179)*10),"")</f>
        <v>0</v>
      </c>
      <c r="AO179" s="8"/>
      <c r="AP179" s="9" t="str">
        <f t="shared" ca="1" si="61"/>
        <v/>
      </c>
      <c r="AQ179" s="9" t="str">
        <f ca="1">IF(AR179="","",HLOOKUP(AL179,BC167:BJ184,18,FALSE))</f>
        <v/>
      </c>
      <c r="AR179" s="45" t="str">
        <f ca="1">IF(OR(AL179=0,AL179=""),"",IF(COUNTIFS(AL168:AL183,AL179)&gt;1,"=",""))</f>
        <v/>
      </c>
      <c r="AS179" s="45"/>
      <c r="AT179" s="9" t="str">
        <f t="shared" ca="1" si="62"/>
        <v/>
      </c>
      <c r="AU179" s="9" t="str">
        <f ca="1">IF(AV179="","",HLOOKUP(AM179,BK167:BR184,18,FALSE))</f>
        <v/>
      </c>
      <c r="AV179" s="45" t="str">
        <f ca="1">IF(OR(AM179=0,AM179=""),"",IF(COUNTIFS(AM168:AM183,AM179)&gt;1,"=",""))</f>
        <v/>
      </c>
      <c r="AW179" s="9">
        <f t="shared" ca="1" si="56"/>
        <v>2</v>
      </c>
      <c r="AX179" s="9" t="str">
        <f t="shared" ca="1" si="57"/>
        <v/>
      </c>
      <c r="AY179" s="47"/>
      <c r="AZ179" s="151">
        <f t="shared" ca="1" si="58"/>
        <v>2</v>
      </c>
      <c r="BA179" s="151" t="str">
        <f t="shared" ca="1" si="59"/>
        <v/>
      </c>
      <c r="BB179" s="9"/>
      <c r="BC179" s="52" t="str">
        <f ca="1">IF(AL179="","",IF(AL179=BC167,AL179,""))</f>
        <v/>
      </c>
      <c r="BD179" s="52">
        <f ca="1">IF(AL179="","",IF(AL179=BD167,AL179,""))</f>
        <v>2</v>
      </c>
      <c r="BE179" s="52" t="str">
        <f ca="1">IF(AL179="","",IF(AL179=BE167,AL179,""))</f>
        <v/>
      </c>
      <c r="BF179" s="52" t="str">
        <f ca="1">IF(AL179="","",IF(AL179=BF167,AL179,""))</f>
        <v/>
      </c>
      <c r="BG179" s="52" t="str">
        <f ca="1">IF(AL179="","",IF(AL179=BG167,AL179,""))</f>
        <v/>
      </c>
      <c r="BH179" s="52" t="str">
        <f ca="1">IF(AL179="","",IF(AL179=BH167,AL179,""))</f>
        <v/>
      </c>
      <c r="BI179" s="52" t="str">
        <f ca="1">IF(AL179="","",IF(AL179=BI167,AL179,""))</f>
        <v/>
      </c>
      <c r="BJ179" s="52" t="str">
        <f ca="1">IF(AL179="","",IF(AL179=BJ167,AL179,""))</f>
        <v/>
      </c>
      <c r="BK179" s="52" t="str">
        <f ca="1">IF(AM179="","",IF(AM179=BK167,AM179,""))</f>
        <v/>
      </c>
      <c r="BL179" s="52" t="str">
        <f ca="1">IF(AM179="","",IF(AM179=BL167,AM179,""))</f>
        <v/>
      </c>
      <c r="BM179" s="52" t="str">
        <f ca="1">IF(AM179="","",IF(AM179=BM167,AM179,""))</f>
        <v/>
      </c>
      <c r="BN179" s="52" t="str">
        <f ca="1">IF(AM179="","",IF(AM179=BN167,AM179,""))</f>
        <v/>
      </c>
      <c r="BO179" s="52" t="str">
        <f ca="1">IF(AM179="","",IF(AM179=BO167,AM179,""))</f>
        <v/>
      </c>
      <c r="BP179" s="52" t="str">
        <f ca="1">IF(AM179="","",IF(AM179=BP167,AM179,""))</f>
        <v/>
      </c>
      <c r="BQ179" s="52" t="str">
        <f ca="1">IF(AM179="","",IF(AM179=BQ167,AM179,""))</f>
        <v/>
      </c>
      <c r="BR179" s="52" t="str">
        <f ca="1">IF(AM179="","",IF(AM179=BR167,AM179,""))</f>
        <v/>
      </c>
      <c r="BS179" s="46"/>
      <c r="BT179" s="4">
        <f>IFERROR(IF(A167=0,A179/11,LEFT(A179,1)),"")</f>
        <v>1</v>
      </c>
    </row>
    <row r="180" spans="1:72" s="4" customFormat="1" ht="15.95" customHeight="1" x14ac:dyDescent="0.35">
      <c r="A180" s="8">
        <f>IFERROR(IF(A167=0,A172*11,A172&amp;A172),"-")</f>
        <v>33</v>
      </c>
      <c r="B180" s="10" t="str">
        <f ca="1">IFERROR(IF(OR(AK180=0,AK180="B"),"",RANK(AZ180,AZ168:AZ183,1)),"")</f>
        <v/>
      </c>
      <c r="C180" s="10" t="str">
        <f ca="1">IFERROR(IF(OR(AK180=0,AK180="A"),"",RANK(BA180,BA168:BA183,1)),"")</f>
        <v/>
      </c>
      <c r="D180" s="55">
        <v>13</v>
      </c>
      <c r="E180" s="17">
        <f t="shared" si="60"/>
        <v>33</v>
      </c>
      <c r="F180" s="18" t="str">
        <f ca="1">IFERROR(IF(A167=0,HLOOKUP(E180,Declarations!$D$2:$S$102,C165,FALSE),HLOOKUP(VLOOKUP(E180,Teams!$V$2:$W$19,2,FALSE),Declarations!$D$2:$S$102,C165,FALSE)),"")</f>
        <v>-</v>
      </c>
      <c r="G180" s="18" t="str">
        <f t="shared" si="55"/>
        <v>York</v>
      </c>
      <c r="H180" s="526"/>
      <c r="I180" s="527"/>
      <c r="J180" s="526"/>
      <c r="K180" s="527"/>
      <c r="L180" s="526"/>
      <c r="M180" s="527"/>
      <c r="N180" s="526"/>
      <c r="O180" s="527"/>
      <c r="P180" s="526"/>
      <c r="Q180" s="527"/>
      <c r="R180" s="526"/>
      <c r="S180" s="527"/>
      <c r="T180" s="526"/>
      <c r="U180" s="527"/>
      <c r="V180" s="526"/>
      <c r="W180" s="527"/>
      <c r="X180" s="526"/>
      <c r="Y180" s="527"/>
      <c r="Z180" s="526"/>
      <c r="AA180" s="527"/>
      <c r="AB180" s="526"/>
      <c r="AC180" s="527"/>
      <c r="AD180" s="526"/>
      <c r="AE180" s="527"/>
      <c r="AF180" s="557">
        <f ca="1">IFERROR(INDIRECT(CONCATENATE("'Height Input'!"&amp;B166&amp;C166+12)),"")</f>
        <v>0</v>
      </c>
      <c r="AG180" s="558"/>
      <c r="AH180" s="48"/>
      <c r="AI180" s="48"/>
      <c r="AJ180" s="49">
        <f ca="1">IFERROR(IF(AF180="X",MatchDay!$U$2+MatchDay!$U$2+1-COUNTIF($AF168:AF180,"X"),IF(AF180&gt;=97,1,INT(INDIRECT(CONCATENATE("'Height Input'!"&amp;$B165&amp;$C166+12))))),"")</f>
        <v>0</v>
      </c>
      <c r="AK180" s="50">
        <f ca="1">IFERROR(IF(OR(AJ180=0,AJ180=""),0,IF(OR(AJ180&lt;VLOOKUP(BT180,$E168:$AJ175,32,FALSE),VLOOKUP(BT180,$E168:$AJ175,32,FALSE)=0),"A","B")),0)</f>
        <v>0</v>
      </c>
      <c r="AL180" s="139" t="str">
        <f ca="1">IFERROR(IF(OR(AK180=0,AK180="B"),"",RANK(AW180,AW168:AW183,1)),"")</f>
        <v/>
      </c>
      <c r="AM180" s="139" t="str">
        <f ca="1">IFERROR(IF(OR(AK180=0,AK180="A"),"",RANK(AX180,AX168:AX183,1)),"")</f>
        <v/>
      </c>
      <c r="AN180" s="51">
        <f ca="1">IFERROR(IF(AF180="X",0,(INDIRECT(CONCATENATE("'Height Input'!"&amp;$B165&amp;$C166+12))-AJ180)*10),"")</f>
        <v>0</v>
      </c>
      <c r="AO180" s="8"/>
      <c r="AP180" s="9" t="str">
        <f t="shared" ca="1" si="61"/>
        <v/>
      </c>
      <c r="AQ180" s="9" t="str">
        <f ca="1">IF(AR180="","",HLOOKUP(AL180,BC167:BJ184,18,FALSE))</f>
        <v/>
      </c>
      <c r="AR180" s="45" t="str">
        <f ca="1">IF(OR(AL180=0,AL180=""),"",IF(COUNTIFS(AL168:AL183,AL180)&gt;1,"=",""))</f>
        <v/>
      </c>
      <c r="AS180" s="45"/>
      <c r="AT180" s="9" t="str">
        <f t="shared" ca="1" si="62"/>
        <v/>
      </c>
      <c r="AU180" s="9" t="str">
        <f ca="1">IF(AV180="","",HLOOKUP(AM180,BK167:BR184,18,FALSE))</f>
        <v/>
      </c>
      <c r="AV180" s="45" t="str">
        <f ca="1">IF(OR(AM180=0,AM180=""),"",IF(COUNTIFS(AM168:AM183,AM180)&gt;1,"=",""))</f>
        <v/>
      </c>
      <c r="AW180" s="9" t="str">
        <f t="shared" ca="1" si="56"/>
        <v/>
      </c>
      <c r="AX180" s="9" t="str">
        <f t="shared" ca="1" si="57"/>
        <v/>
      </c>
      <c r="AY180" s="47"/>
      <c r="AZ180" s="151" t="str">
        <f t="shared" ca="1" si="58"/>
        <v/>
      </c>
      <c r="BA180" s="151" t="str">
        <f t="shared" ca="1" si="59"/>
        <v/>
      </c>
      <c r="BB180" s="9"/>
      <c r="BC180" s="52" t="str">
        <f ca="1">IF(AL180="","",IF(AL180=BC167,AL180,""))</f>
        <v/>
      </c>
      <c r="BD180" s="52" t="str">
        <f ca="1">IF(AL180="","",IF(AL180=BD167,AL180,""))</f>
        <v/>
      </c>
      <c r="BE180" s="52" t="str">
        <f ca="1">IF(AL180="","",IF(AL180=BE167,AL180,""))</f>
        <v/>
      </c>
      <c r="BF180" s="52" t="str">
        <f ca="1">IF(AL180="","",IF(AL180=BF167,AL180,""))</f>
        <v/>
      </c>
      <c r="BG180" s="52" t="str">
        <f ca="1">IF(AL180="","",IF(AL180=BG167,AL180,""))</f>
        <v/>
      </c>
      <c r="BH180" s="52" t="str">
        <f ca="1">IF(AL180="","",IF(AL180=BH167,AL180,""))</f>
        <v/>
      </c>
      <c r="BI180" s="52" t="str">
        <f ca="1">IF(AL180="","",IF(AL180=BI167,AL180,""))</f>
        <v/>
      </c>
      <c r="BJ180" s="52" t="str">
        <f ca="1">IF(AL180="","",IF(AL180=BJ167,AL180,""))</f>
        <v/>
      </c>
      <c r="BK180" s="52" t="str">
        <f ca="1">IF(AM180="","",IF(AM180=BK167,AM180,""))</f>
        <v/>
      </c>
      <c r="BL180" s="52" t="str">
        <f ca="1">IF(AM180="","",IF(AM180=BL167,AM180,""))</f>
        <v/>
      </c>
      <c r="BM180" s="52" t="str">
        <f ca="1">IF(AM180="","",IF(AM180=BM167,AM180,""))</f>
        <v/>
      </c>
      <c r="BN180" s="52" t="str">
        <f ca="1">IF(AM180="","",IF(AM180=BN167,AM180,""))</f>
        <v/>
      </c>
      <c r="BO180" s="52" t="str">
        <f ca="1">IF(AM180="","",IF(AM180=BO167,AM180,""))</f>
        <v/>
      </c>
      <c r="BP180" s="52" t="str">
        <f ca="1">IF(AM180="","",IF(AM180=BP167,AM180,""))</f>
        <v/>
      </c>
      <c r="BQ180" s="52" t="str">
        <f ca="1">IF(AM180="","",IF(AM180=BQ167,AM180,""))</f>
        <v/>
      </c>
      <c r="BR180" s="52" t="str">
        <f ca="1">IF(AM180="","",IF(AM180=BR167,AM180,""))</f>
        <v/>
      </c>
      <c r="BS180" s="46"/>
      <c r="BT180" s="4">
        <f>IFERROR(IF(A167=0,A180/11,LEFT(A180,1)),"")</f>
        <v>3</v>
      </c>
    </row>
    <row r="181" spans="1:72" s="4" customFormat="1" ht="15.95" customHeight="1" x14ac:dyDescent="0.35">
      <c r="A181" s="8" t="str">
        <f>IFERROR(IF(A167=0,A173*11,A173&amp;A173),"-")</f>
        <v>-</v>
      </c>
      <c r="B181" s="10" t="str">
        <f ca="1">IFERROR(IF(OR(AK181=0,AK181="B"),"",RANK(AZ181,AZ168:AZ183,1)),"")</f>
        <v/>
      </c>
      <c r="C181" s="10" t="str">
        <f ca="1">IFERROR(IF(OR(AK181=0,AK181="A"),"",RANK(BA181,BA168:BA183,1)),"")</f>
        <v/>
      </c>
      <c r="D181" s="55">
        <v>14</v>
      </c>
      <c r="E181" s="17" t="str">
        <f t="shared" si="60"/>
        <v>-</v>
      </c>
      <c r="F181" s="18" t="str">
        <f>IFERROR(IF(A167=0,HLOOKUP(E181,Declarations!$D$2:$S$102,C165,FALSE),HLOOKUP(VLOOKUP(E181,Teams!$V$2:$W$19,2,FALSE),Declarations!$D$2:$S$102,C165,FALSE)),"")</f>
        <v/>
      </c>
      <c r="G181" s="18" t="str">
        <f t="shared" si="55"/>
        <v/>
      </c>
      <c r="H181" s="526"/>
      <c r="I181" s="527"/>
      <c r="J181" s="526"/>
      <c r="K181" s="527"/>
      <c r="L181" s="526"/>
      <c r="M181" s="527"/>
      <c r="N181" s="526"/>
      <c r="O181" s="527"/>
      <c r="P181" s="526"/>
      <c r="Q181" s="527"/>
      <c r="R181" s="526"/>
      <c r="S181" s="527"/>
      <c r="T181" s="526"/>
      <c r="U181" s="527"/>
      <c r="V181" s="526"/>
      <c r="W181" s="527"/>
      <c r="X181" s="526"/>
      <c r="Y181" s="527"/>
      <c r="Z181" s="526"/>
      <c r="AA181" s="527"/>
      <c r="AB181" s="526"/>
      <c r="AC181" s="527"/>
      <c r="AD181" s="526"/>
      <c r="AE181" s="527"/>
      <c r="AF181" s="557">
        <f ca="1">IFERROR(INDIRECT(CONCATENATE("'Height Input'!"&amp;B166&amp;C166+13)),"")</f>
        <v>0</v>
      </c>
      <c r="AG181" s="558"/>
      <c r="AH181" s="48"/>
      <c r="AI181" s="48"/>
      <c r="AJ181" s="49">
        <f ca="1">IFERROR(IF(AF181="X",MatchDay!$U$2+MatchDay!$U$2+1-COUNTIF($AF168:AF181,"X"),IF(AF181&gt;=97,1,INT(INDIRECT(CONCATENATE("'Height Input'!"&amp;$B165&amp;$C166+13))))),"")</f>
        <v>0</v>
      </c>
      <c r="AK181" s="50">
        <f ca="1">IFERROR(IF(OR(AJ181=0,AJ181=""),0,IF(OR(AJ181&lt;VLOOKUP(BT181,$E168:$AJ175,32,FALSE),VLOOKUP(BT181,$E168:$AJ175,32,FALSE)=0),"A","B")),0)</f>
        <v>0</v>
      </c>
      <c r="AL181" s="139" t="str">
        <f ca="1">IFERROR(IF(OR(AK181=0,AK181="B"),"",RANK(AW181,AW168:AW183,1)),"")</f>
        <v/>
      </c>
      <c r="AM181" s="139" t="str">
        <f ca="1">IFERROR(IF(OR(AK181=0,AK181="A"),"",RANK(AX181,AX168:AX183,1)),"")</f>
        <v/>
      </c>
      <c r="AN181" s="51">
        <f ca="1">IFERROR(IF(AF181="X",0,(INDIRECT(CONCATENATE("'Height Input'!"&amp;$B165&amp;$C166+13))-AJ181)*10),"")</f>
        <v>0</v>
      </c>
      <c r="AO181" s="8"/>
      <c r="AP181" s="9" t="str">
        <f t="shared" ca="1" si="61"/>
        <v/>
      </c>
      <c r="AQ181" s="9" t="str">
        <f ca="1">IF(AR181="","",HLOOKUP(AL181,BC167:BJ184,18,FALSE))</f>
        <v/>
      </c>
      <c r="AR181" s="45" t="str">
        <f ca="1">IF(OR(AL181=0,AL181=""),"",IF(COUNTIFS(AL168:AL183,AL181)&gt;1,"=",""))</f>
        <v/>
      </c>
      <c r="AS181" s="45"/>
      <c r="AT181" s="9" t="str">
        <f t="shared" ca="1" si="62"/>
        <v/>
      </c>
      <c r="AU181" s="9" t="str">
        <f ca="1">IF(AV181="","",HLOOKUP(AM181,BK167:BR184,18,FALSE))</f>
        <v/>
      </c>
      <c r="AV181" s="45" t="str">
        <f ca="1">IF(OR(AM181=0,AM181=""),"",IF(COUNTIFS(AM168:AM183,AM181)&gt;1,"=",""))</f>
        <v/>
      </c>
      <c r="AW181" s="9" t="str">
        <f t="shared" ca="1" si="56"/>
        <v/>
      </c>
      <c r="AX181" s="9" t="str">
        <f t="shared" ca="1" si="57"/>
        <v/>
      </c>
      <c r="AY181" s="47"/>
      <c r="AZ181" s="151" t="str">
        <f t="shared" ca="1" si="58"/>
        <v/>
      </c>
      <c r="BA181" s="151" t="str">
        <f t="shared" ca="1" si="59"/>
        <v/>
      </c>
      <c r="BB181" s="9"/>
      <c r="BC181" s="52" t="str">
        <f ca="1">IF(AL181="","",IF(AL181=BC167,AL181,""))</f>
        <v/>
      </c>
      <c r="BD181" s="52" t="str">
        <f ca="1">IF(AL181="","",IF(AL181=BD167,AL181,""))</f>
        <v/>
      </c>
      <c r="BE181" s="52" t="str">
        <f ca="1">IF(AL181="","",IF(AL181=BE167,AL181,""))</f>
        <v/>
      </c>
      <c r="BF181" s="52" t="str">
        <f ca="1">IF(AL181="","",IF(AL181=BF167,AL181,""))</f>
        <v/>
      </c>
      <c r="BG181" s="52" t="str">
        <f ca="1">IF(AL181="","",IF(AL181=BG167,AL181,""))</f>
        <v/>
      </c>
      <c r="BH181" s="52" t="str">
        <f ca="1">IF(AL181="","",IF(AL181=BH167,AL181,""))</f>
        <v/>
      </c>
      <c r="BI181" s="52" t="str">
        <f ca="1">IF(AL181="","",IF(AL181=BI167,AL181,""))</f>
        <v/>
      </c>
      <c r="BJ181" s="52" t="str">
        <f ca="1">IF(AL181="","",IF(AL181=BJ167,AL181,""))</f>
        <v/>
      </c>
      <c r="BK181" s="52" t="str">
        <f ca="1">IF(AM181="","",IF(AM181=BK167,AM181,""))</f>
        <v/>
      </c>
      <c r="BL181" s="52" t="str">
        <f ca="1">IF(AM181="","",IF(AM181=BL167,AM181,""))</f>
        <v/>
      </c>
      <c r="BM181" s="52" t="str">
        <f ca="1">IF(AM181="","",IF(AM181=BM167,AM181,""))</f>
        <v/>
      </c>
      <c r="BN181" s="52" t="str">
        <f ca="1">IF(AM181="","",IF(AM181=BN167,AM181,""))</f>
        <v/>
      </c>
      <c r="BO181" s="52" t="str">
        <f ca="1">IF(AM181="","",IF(AM181=BO167,AM181,""))</f>
        <v/>
      </c>
      <c r="BP181" s="52" t="str">
        <f ca="1">IF(AM181="","",IF(AM181=BP167,AM181,""))</f>
        <v/>
      </c>
      <c r="BQ181" s="52" t="str">
        <f ca="1">IF(AM181="","",IF(AM181=BQ167,AM181,""))</f>
        <v/>
      </c>
      <c r="BR181" s="52" t="str">
        <f ca="1">IF(AM181="","",IF(AM181=BR167,AM181,""))</f>
        <v/>
      </c>
      <c r="BS181" s="46"/>
      <c r="BT181" s="4" t="str">
        <f>IFERROR(IF(A167=0,A181/11,LEFT(A181,1)),"")</f>
        <v/>
      </c>
    </row>
    <row r="182" spans="1:72" s="4" customFormat="1" ht="15.95" customHeight="1" x14ac:dyDescent="0.35">
      <c r="A182" s="8" t="str">
        <f>IFERROR(IF(A167=0,A174*11,A174&amp;A174),"-")</f>
        <v>-</v>
      </c>
      <c r="B182" s="10" t="str">
        <f ca="1">IFERROR(IF(OR(AK182=0,AK182="B"),"",RANK(AZ182,AZ168:AZ183,1)),"")</f>
        <v/>
      </c>
      <c r="C182" s="10" t="str">
        <f ca="1">IFERROR(IF(OR(AK182=0,AK182="A"),"",RANK(BA182,BA168:BA183,1)),"")</f>
        <v/>
      </c>
      <c r="D182" s="55">
        <v>15</v>
      </c>
      <c r="E182" s="17" t="str">
        <f t="shared" si="60"/>
        <v>-</v>
      </c>
      <c r="F182" s="18" t="str">
        <f>IFERROR(IF(A167=0,HLOOKUP(E182,Declarations!$D$2:$S$102,C165,FALSE),HLOOKUP(VLOOKUP(E182,Teams!$V$2:$W$19,2,FALSE),Declarations!$D$2:$S$102,C165,FALSE)),"")</f>
        <v/>
      </c>
      <c r="G182" s="18" t="str">
        <f t="shared" si="55"/>
        <v/>
      </c>
      <c r="H182" s="526"/>
      <c r="I182" s="527"/>
      <c r="J182" s="526"/>
      <c r="K182" s="527"/>
      <c r="L182" s="526"/>
      <c r="M182" s="527"/>
      <c r="N182" s="526"/>
      <c r="O182" s="527"/>
      <c r="P182" s="526"/>
      <c r="Q182" s="527"/>
      <c r="R182" s="526"/>
      <c r="S182" s="527"/>
      <c r="T182" s="526"/>
      <c r="U182" s="527"/>
      <c r="V182" s="526"/>
      <c r="W182" s="527"/>
      <c r="X182" s="526"/>
      <c r="Y182" s="527"/>
      <c r="Z182" s="526"/>
      <c r="AA182" s="527"/>
      <c r="AB182" s="526"/>
      <c r="AC182" s="527"/>
      <c r="AD182" s="526"/>
      <c r="AE182" s="527"/>
      <c r="AF182" s="557">
        <f ca="1">IFERROR(INDIRECT(CONCATENATE("'Height Input'!"&amp;B166&amp;C166+14)),"")</f>
        <v>0</v>
      </c>
      <c r="AG182" s="558"/>
      <c r="AH182" s="48"/>
      <c r="AI182" s="48"/>
      <c r="AJ182" s="49">
        <f ca="1">IFERROR(IF(AF182="X",MatchDay!$U$2+MatchDay!$U$2+1-COUNTIF($AF168:AF182,"X"),IF(AF182&gt;=97,1,INT(INDIRECT(CONCATENATE("'Height Input'!"&amp;$B165&amp;$C166+14))))),"")</f>
        <v>0</v>
      </c>
      <c r="AK182" s="50">
        <f ca="1">IFERROR(IF(OR(AJ182=0,AJ182=""),0,IF(OR(AJ182&lt;VLOOKUP(BT182,$E168:$AJ175,32,FALSE),VLOOKUP(BT182,$E168:$AJ175,32,FALSE)=0),"A","B")),0)</f>
        <v>0</v>
      </c>
      <c r="AL182" s="139" t="str">
        <f ca="1">IFERROR(IF(OR(AK182=0,AK182="B"),"",RANK(AW182,AW168:AW183,1)),"")</f>
        <v/>
      </c>
      <c r="AM182" s="139" t="str">
        <f ca="1">IFERROR(IF(OR(AK182=0,AK182="A"),"",RANK(AX182,AX168:AX183,1)),"")</f>
        <v/>
      </c>
      <c r="AN182" s="51">
        <f ca="1">IFERROR(IF(AF182="X",0,(INDIRECT(CONCATENATE("'Height Input'!"&amp;$B165&amp;$C166+14))-AJ182)*10),"")</f>
        <v>0</v>
      </c>
      <c r="AO182" s="8"/>
      <c r="AP182" s="9" t="str">
        <f t="shared" ca="1" si="61"/>
        <v/>
      </c>
      <c r="AQ182" s="9" t="str">
        <f ca="1">IF(AR182="","",HLOOKUP(AL182,BC167:BJ184,18,FALSE))</f>
        <v/>
      </c>
      <c r="AR182" s="45" t="str">
        <f ca="1">IF(OR(AL182=0,AL182=""),"",IF(COUNTIFS(AL168:AL183,AL182)&gt;1,"=",""))</f>
        <v/>
      </c>
      <c r="AS182" s="45"/>
      <c r="AT182" s="9" t="str">
        <f t="shared" ca="1" si="62"/>
        <v/>
      </c>
      <c r="AU182" s="9" t="str">
        <f ca="1">IF(AV182="","",HLOOKUP(AM182,BK167:BR184,18,FALSE))</f>
        <v/>
      </c>
      <c r="AV182" s="45" t="str">
        <f ca="1">IF(OR(AM182=0,AM182=""),"",IF(COUNTIFS(AM168:AM183,AM182)&gt;1,"=",""))</f>
        <v/>
      </c>
      <c r="AW182" s="9" t="str">
        <f t="shared" ca="1" si="56"/>
        <v/>
      </c>
      <c r="AX182" s="9" t="str">
        <f t="shared" ca="1" si="57"/>
        <v/>
      </c>
      <c r="AY182" s="47"/>
      <c r="AZ182" s="151" t="str">
        <f t="shared" ca="1" si="58"/>
        <v/>
      </c>
      <c r="BA182" s="151" t="str">
        <f t="shared" ca="1" si="59"/>
        <v/>
      </c>
      <c r="BB182" s="9"/>
      <c r="BC182" s="52" t="str">
        <f ca="1">IF(AL182="","",IF(AL182=BC167,AL182,""))</f>
        <v/>
      </c>
      <c r="BD182" s="52" t="str">
        <f ca="1">IF(AL182="","",IF(AL182=BD167,AL182,""))</f>
        <v/>
      </c>
      <c r="BE182" s="52" t="str">
        <f ca="1">IF(AL182="","",IF(AL182=BE167,AL182,""))</f>
        <v/>
      </c>
      <c r="BF182" s="52" t="str">
        <f ca="1">IF(AL182="","",IF(AL182=BF167,AL182,""))</f>
        <v/>
      </c>
      <c r="BG182" s="52" t="str">
        <f ca="1">IF(AL182="","",IF(AL182=BG167,AL182,""))</f>
        <v/>
      </c>
      <c r="BH182" s="52" t="str">
        <f ca="1">IF(AL182="","",IF(AL182=BH167,AL182,""))</f>
        <v/>
      </c>
      <c r="BI182" s="52" t="str">
        <f ca="1">IF(AL182="","",IF(AL182=BI167,AL182,""))</f>
        <v/>
      </c>
      <c r="BJ182" s="52" t="str">
        <f ca="1">IF(AL182="","",IF(AL182=BJ167,AL182,""))</f>
        <v/>
      </c>
      <c r="BK182" s="52" t="str">
        <f ca="1">IF(AM182="","",IF(AM182=BK167,AM182,""))</f>
        <v/>
      </c>
      <c r="BL182" s="52" t="str">
        <f ca="1">IF(AM182="","",IF(AM182=BL167,AM182,""))</f>
        <v/>
      </c>
      <c r="BM182" s="52" t="str">
        <f ca="1">IF(AM182="","",IF(AM182=BM167,AM182,""))</f>
        <v/>
      </c>
      <c r="BN182" s="52" t="str">
        <f ca="1">IF(AM182="","",IF(AM182=BN167,AM182,""))</f>
        <v/>
      </c>
      <c r="BO182" s="52" t="str">
        <f ca="1">IF(AM182="","",IF(AM182=BO167,AM182,""))</f>
        <v/>
      </c>
      <c r="BP182" s="52" t="str">
        <f ca="1">IF(AM182="","",IF(AM182=BP167,AM182,""))</f>
        <v/>
      </c>
      <c r="BQ182" s="52" t="str">
        <f ca="1">IF(AM182="","",IF(AM182=BQ167,AM182,""))</f>
        <v/>
      </c>
      <c r="BR182" s="52" t="str">
        <f ca="1">IF(AM182="","",IF(AM182=BR167,AM182,""))</f>
        <v/>
      </c>
      <c r="BS182" s="46"/>
      <c r="BT182" s="4" t="str">
        <f>IFERROR(IF(A167=0,A182/11,LEFT(A182,1)),"")</f>
        <v/>
      </c>
    </row>
    <row r="183" spans="1:72" s="4" customFormat="1" ht="15.95" customHeight="1" x14ac:dyDescent="0.35">
      <c r="A183" s="8" t="str">
        <f>IFERROR(IF(A167=0,A175*11,A175&amp;A175),"-")</f>
        <v>-</v>
      </c>
      <c r="B183" s="10" t="str">
        <f ca="1">IFERROR(IF(OR(AK183=0,AK183="B"),"",RANK(AZ183,AZ168:AZ183,1)),"")</f>
        <v/>
      </c>
      <c r="C183" s="10" t="str">
        <f ca="1">IFERROR(IF(OR(AK183=0,AK183="A"),"",RANK(BA183,BA168:BA183,1)),"")</f>
        <v/>
      </c>
      <c r="D183" s="55">
        <v>16</v>
      </c>
      <c r="E183" s="17" t="str">
        <f t="shared" si="60"/>
        <v>-</v>
      </c>
      <c r="F183" s="18" t="str">
        <f>IFERROR(IF(A167=0,HLOOKUP(E183,Declarations!$D$2:$S$102,C165,FALSE),HLOOKUP(VLOOKUP(E183,Teams!$V$2:$W$19,2,FALSE),Declarations!$D$2:$S$102,C165,FALSE)),"")</f>
        <v/>
      </c>
      <c r="G183" s="18" t="str">
        <f t="shared" si="55"/>
        <v/>
      </c>
      <c r="H183" s="526"/>
      <c r="I183" s="527"/>
      <c r="J183" s="526"/>
      <c r="K183" s="527"/>
      <c r="L183" s="526"/>
      <c r="M183" s="527"/>
      <c r="N183" s="526"/>
      <c r="O183" s="527"/>
      <c r="P183" s="526"/>
      <c r="Q183" s="527"/>
      <c r="R183" s="526"/>
      <c r="S183" s="527"/>
      <c r="T183" s="526"/>
      <c r="U183" s="527"/>
      <c r="V183" s="526"/>
      <c r="W183" s="527"/>
      <c r="X183" s="526"/>
      <c r="Y183" s="527"/>
      <c r="Z183" s="526"/>
      <c r="AA183" s="527"/>
      <c r="AB183" s="526"/>
      <c r="AC183" s="527"/>
      <c r="AD183" s="526"/>
      <c r="AE183" s="527"/>
      <c r="AF183" s="557">
        <f ca="1">IFERROR(INDIRECT(CONCATENATE("'Height Input'!"&amp;B166&amp;C166+15)),"")</f>
        <v>0</v>
      </c>
      <c r="AG183" s="558"/>
      <c r="AH183" s="48"/>
      <c r="AI183" s="48"/>
      <c r="AJ183" s="49">
        <f ca="1">IFERROR(IF(AF183="X",MatchDay!$U$2+MatchDay!$U$2+1-COUNTIF($AF168:AF183,"X"),IF(AF183&gt;=97,1,INT(INDIRECT(CONCATENATE("'Height Input'!"&amp;$B165&amp;$C166+15))))),"")</f>
        <v>0</v>
      </c>
      <c r="AK183" s="50">
        <f ca="1">IFERROR(IF(OR(AJ183=0,AJ183=""),0,IF(OR(AJ183&lt;VLOOKUP(BT183,$E168:$AJ175,32,FALSE),VLOOKUP(BT183,$E168:$AJ175,32,FALSE)=0),"A","B")),0)</f>
        <v>0</v>
      </c>
      <c r="AL183" s="139" t="str">
        <f ca="1">IFERROR(IF(OR(AK183=0,AK183="B"),"",RANK(AW183,AW168:AW183,1)),"")</f>
        <v/>
      </c>
      <c r="AM183" s="139" t="str">
        <f ca="1">IFERROR(IF(OR(AK183=0,AK183="A"),"",RANK(AX183,AX168:AX183,1)),"")</f>
        <v/>
      </c>
      <c r="AN183" s="51">
        <f ca="1">IFERROR(IF(AF183="X",0,(INDIRECT(CONCATENATE("'Height Input'!"&amp;$B165&amp;$C166+15))-AJ183)*10),"")</f>
        <v>0</v>
      </c>
      <c r="AO183" s="8"/>
      <c r="AP183" s="9" t="str">
        <f t="shared" ca="1" si="61"/>
        <v/>
      </c>
      <c r="AQ183" s="9" t="str">
        <f ca="1">IF(AR183="","",HLOOKUP(AL183,BC167:BJ184,18,FALSE))</f>
        <v/>
      </c>
      <c r="AR183" s="45" t="str">
        <f ca="1">IF(OR(AL183=0,AL183=""),"",IF(COUNTIFS(AL168:AL183,AL183)&gt;1,"=",""))</f>
        <v/>
      </c>
      <c r="AS183" s="45"/>
      <c r="AT183" s="9" t="str">
        <f t="shared" ca="1" si="62"/>
        <v/>
      </c>
      <c r="AU183" s="9" t="str">
        <f ca="1">IF(AV183="","",HLOOKUP(AM183,BK167:BR184,18,FALSE))</f>
        <v/>
      </c>
      <c r="AV183" s="45" t="str">
        <f ca="1">IF(OR(AM183=0,AM183=""),"",IF(COUNTIFS(AM168:AM183,AM183)&gt;1,"=",""))</f>
        <v/>
      </c>
      <c r="AW183" s="9" t="str">
        <f t="shared" ca="1" si="56"/>
        <v/>
      </c>
      <c r="AX183" s="9" t="str">
        <f t="shared" ca="1" si="57"/>
        <v/>
      </c>
      <c r="AY183" s="47"/>
      <c r="AZ183" s="151" t="str">
        <f t="shared" ca="1" si="58"/>
        <v/>
      </c>
      <c r="BA183" s="151" t="str">
        <f t="shared" ca="1" si="59"/>
        <v/>
      </c>
      <c r="BB183" s="9"/>
      <c r="BC183" s="52" t="str">
        <f ca="1">IF(AL183="","",IF(AL183=BC167,AL183,""))</f>
        <v/>
      </c>
      <c r="BD183" s="52" t="str">
        <f ca="1">IF(AL183="","",IF(AL183=BD167,AL183,""))</f>
        <v/>
      </c>
      <c r="BE183" s="52" t="str">
        <f ca="1">IF(AL183="","",IF(AL183=BE167,AL183,""))</f>
        <v/>
      </c>
      <c r="BF183" s="52" t="str">
        <f ca="1">IF(AL183="","",IF(AL183=BF167,AL183,""))</f>
        <v/>
      </c>
      <c r="BG183" s="52" t="str">
        <f ca="1">IF(AL183="","",IF(AL183=BG167,AL183,""))</f>
        <v/>
      </c>
      <c r="BH183" s="52" t="str">
        <f ca="1">IF(AL183="","",IF(AL183=BH167,AL183,""))</f>
        <v/>
      </c>
      <c r="BI183" s="52" t="str">
        <f ca="1">IF(AL183="","",IF(AL183=BI167,AL183,""))</f>
        <v/>
      </c>
      <c r="BJ183" s="52" t="str">
        <f ca="1">IF(AL183="","",IF(AL183=BJ167,AL183,""))</f>
        <v/>
      </c>
      <c r="BK183" s="52" t="str">
        <f ca="1">IF(AM183="","",IF(AM183=BK167,AM183,""))</f>
        <v/>
      </c>
      <c r="BL183" s="52" t="str">
        <f ca="1">IF(AM183="","",IF(AM183=BL167,AM183,""))</f>
        <v/>
      </c>
      <c r="BM183" s="52" t="str">
        <f ca="1">IF(AM183="","",IF(AM183=BM167,AM183,""))</f>
        <v/>
      </c>
      <c r="BN183" s="52" t="str">
        <f ca="1">IF(AM183="","",IF(AM183=BN167,AM183,""))</f>
        <v/>
      </c>
      <c r="BO183" s="52" t="str">
        <f ca="1">IF(AM183="","",IF(AM183=BO167,AM183,""))</f>
        <v/>
      </c>
      <c r="BP183" s="52" t="str">
        <f ca="1">IF(AM183="","",IF(AM183=BP167,AM183,""))</f>
        <v/>
      </c>
      <c r="BQ183" s="52" t="str">
        <f ca="1">IF(AM183="","",IF(AM183=BQ167,AM183,""))</f>
        <v/>
      </c>
      <c r="BR183" s="52" t="str">
        <f ca="1">IF(AM183="","",IF(AM183=BR167,AM183,""))</f>
        <v/>
      </c>
      <c r="BS183" s="46"/>
      <c r="BT183" s="4" t="str">
        <f>IFERROR(IF(A167=0,A183/11,LEFT(A183,1)),"")</f>
        <v/>
      </c>
    </row>
    <row r="184" spans="1:72" s="4" customFormat="1" ht="10.5" x14ac:dyDescent="0.35">
      <c r="A184" s="8"/>
      <c r="B184" s="1"/>
      <c r="C184" s="1"/>
      <c r="AL184" s="140"/>
      <c r="AM184" s="140"/>
      <c r="AP184" s="47"/>
      <c r="AQ184" s="47"/>
      <c r="AR184" s="47"/>
      <c r="AS184" s="47"/>
      <c r="AT184" s="47"/>
      <c r="AU184" s="47"/>
      <c r="AV184" s="47"/>
      <c r="AW184" s="47"/>
      <c r="AX184" s="47"/>
      <c r="AY184" s="47"/>
      <c r="AZ184" s="153"/>
      <c r="BA184" s="153"/>
      <c r="BB184" s="47"/>
      <c r="BC184" s="9">
        <f ca="1">COUNTIF(BC168:BC183,BC167)</f>
        <v>1</v>
      </c>
      <c r="BD184" s="9">
        <f t="shared" ref="BD184:BR184" ca="1" si="63">COUNTIF(BD168:BD183,BD167)</f>
        <v>1</v>
      </c>
      <c r="BE184" s="9">
        <f t="shared" ca="1" si="63"/>
        <v>1</v>
      </c>
      <c r="BF184" s="9">
        <f t="shared" ca="1" si="63"/>
        <v>0</v>
      </c>
      <c r="BG184" s="9">
        <f t="shared" ca="1" si="63"/>
        <v>0</v>
      </c>
      <c r="BH184" s="9">
        <f t="shared" ca="1" si="63"/>
        <v>0</v>
      </c>
      <c r="BI184" s="9">
        <f t="shared" ca="1" si="63"/>
        <v>0</v>
      </c>
      <c r="BJ184" s="9">
        <f t="shared" ca="1" si="63"/>
        <v>0</v>
      </c>
      <c r="BK184" s="9">
        <f t="shared" ca="1" si="63"/>
        <v>1</v>
      </c>
      <c r="BL184" s="9">
        <f t="shared" ca="1" si="63"/>
        <v>0</v>
      </c>
      <c r="BM184" s="9">
        <f t="shared" ca="1" si="63"/>
        <v>0</v>
      </c>
      <c r="BN184" s="9">
        <f t="shared" ca="1" si="63"/>
        <v>0</v>
      </c>
      <c r="BO184" s="9">
        <f t="shared" ca="1" si="63"/>
        <v>0</v>
      </c>
      <c r="BP184" s="9">
        <f t="shared" ca="1" si="63"/>
        <v>0</v>
      </c>
      <c r="BQ184" s="9">
        <f t="shared" ca="1" si="63"/>
        <v>0</v>
      </c>
      <c r="BR184" s="9">
        <f t="shared" ca="1" si="63"/>
        <v>0</v>
      </c>
    </row>
    <row r="185" spans="1:72" s="4" customFormat="1" ht="11.65" x14ac:dyDescent="0.45">
      <c r="A185" s="8"/>
      <c r="B185" s="1"/>
      <c r="C185" s="1"/>
      <c r="D185" s="512" t="s">
        <v>180</v>
      </c>
      <c r="E185" s="552"/>
      <c r="F185" s="552"/>
      <c r="G185" s="552"/>
      <c r="H185" s="552"/>
      <c r="I185" s="553"/>
      <c r="J185" s="512" t="s">
        <v>181</v>
      </c>
      <c r="K185" s="552"/>
      <c r="L185" s="552"/>
      <c r="M185" s="552"/>
      <c r="N185" s="552"/>
      <c r="O185" s="552"/>
      <c r="P185" s="552"/>
      <c r="Q185" s="552"/>
      <c r="R185" s="552"/>
      <c r="S185" s="552"/>
      <c r="T185" s="552"/>
      <c r="U185" s="552"/>
      <c r="V185" s="552"/>
      <c r="W185" s="552"/>
      <c r="X185" s="552"/>
      <c r="Y185" s="552"/>
      <c r="Z185" s="552"/>
      <c r="AA185" s="553"/>
      <c r="AB185" s="512" t="s">
        <v>182</v>
      </c>
      <c r="AC185" s="552"/>
      <c r="AD185" s="552"/>
      <c r="AE185" s="552"/>
      <c r="AF185" s="552"/>
      <c r="AG185" s="552"/>
      <c r="AH185" s="552"/>
      <c r="AI185" s="552"/>
      <c r="AJ185" s="552"/>
      <c r="AK185" s="552"/>
      <c r="AL185" s="552"/>
      <c r="AM185" s="553"/>
      <c r="AP185" s="8"/>
      <c r="AQ185" s="8"/>
      <c r="AR185" s="8"/>
      <c r="AS185" s="8"/>
      <c r="AT185" s="8"/>
      <c r="AU185" s="8"/>
      <c r="AV185" s="8"/>
      <c r="AW185" s="8"/>
      <c r="AX185" s="8"/>
      <c r="AY185" s="8"/>
      <c r="AZ185" s="152"/>
      <c r="BA185" s="152"/>
      <c r="BB185" s="8"/>
      <c r="BC185" s="8"/>
      <c r="BD185" s="8"/>
      <c r="BE185" s="8"/>
    </row>
    <row r="186" spans="1:72" s="4" customFormat="1" ht="11.65" x14ac:dyDescent="0.45">
      <c r="A186" s="8" t="s">
        <v>55</v>
      </c>
      <c r="B186" s="1"/>
      <c r="C186" s="1"/>
      <c r="D186" s="12" t="s">
        <v>230</v>
      </c>
      <c r="E186" s="55" t="s">
        <v>183</v>
      </c>
      <c r="F186" s="55" t="s">
        <v>165</v>
      </c>
      <c r="G186" s="135" t="s">
        <v>166</v>
      </c>
      <c r="H186" s="554" t="s">
        <v>323</v>
      </c>
      <c r="I186" s="555"/>
      <c r="J186" s="512" t="s">
        <v>230</v>
      </c>
      <c r="K186" s="514"/>
      <c r="L186" s="512" t="s">
        <v>183</v>
      </c>
      <c r="M186" s="553"/>
      <c r="N186" s="580" t="s">
        <v>165</v>
      </c>
      <c r="O186" s="580"/>
      <c r="P186" s="580"/>
      <c r="Q186" s="580"/>
      <c r="R186" s="580"/>
      <c r="S186" s="580"/>
      <c r="T186" s="580" t="s">
        <v>166</v>
      </c>
      <c r="U186" s="580"/>
      <c r="V186" s="580"/>
      <c r="W186" s="580"/>
      <c r="X186" s="580"/>
      <c r="Y186" s="580"/>
      <c r="Z186" s="554" t="s">
        <v>323</v>
      </c>
      <c r="AA186" s="555"/>
      <c r="AB186" s="132"/>
      <c r="AC186" s="133"/>
      <c r="AD186" s="133"/>
      <c r="AE186" s="133"/>
      <c r="AF186" s="133"/>
      <c r="AG186" s="133"/>
      <c r="AH186" s="25"/>
      <c r="AI186" s="25"/>
      <c r="AJ186" s="25"/>
      <c r="AK186" s="25"/>
      <c r="AL186" s="141"/>
      <c r="AM186" s="142"/>
      <c r="AP186" s="8"/>
      <c r="AQ186" s="8"/>
      <c r="AR186" s="8"/>
      <c r="AS186" s="8"/>
      <c r="AT186" s="8"/>
      <c r="AU186" s="8"/>
      <c r="AV186" s="8"/>
      <c r="AW186" s="8"/>
      <c r="AX186" s="8"/>
      <c r="AY186" s="8"/>
      <c r="AZ186" s="152"/>
      <c r="BA186" s="152"/>
      <c r="BB186" s="8"/>
      <c r="BC186" s="8"/>
      <c r="BD186" s="8"/>
      <c r="BE186" s="8"/>
    </row>
    <row r="187" spans="1:72" s="4" customFormat="1" ht="15.95" customHeight="1" x14ac:dyDescent="0.45">
      <c r="A187" s="11">
        <f>IFERROR(VLOOKUP(A164,standards,3,FALSE),"-")</f>
        <v>1.72</v>
      </c>
      <c r="B187" s="1"/>
      <c r="C187" s="10">
        <v>1</v>
      </c>
      <c r="D187" s="19">
        <f ca="1">IFERROR(IF(VLOOKUP(C187,B168:AP183,41,FALSE)="",VLOOKUP(C187,B168:AP183,37,FALSE),VLOOKUP(C187,B168:AP183,37,FALSE)&amp;VLOOKUP(C187,B168:AP183,41,FALSE)),"")</f>
        <v>1</v>
      </c>
      <c r="E187" s="19">
        <f ca="1">IFERROR(IF(OR(AF168=98,AF168=99),AF168,IF(VLOOKUP(C187,B168:AG183,31,FALSE)=0,0,VLOOKUP(C187,B168:AG183,4,FALSE))),0)</f>
        <v>3</v>
      </c>
      <c r="F187" s="27" t="str">
        <f ca="1">IFERROR(VLOOKUP(E187,$E168:$F183,2,FALSE),"")</f>
        <v>HENSON Isaac</v>
      </c>
      <c r="G187" s="18" t="str">
        <f t="shared" ref="G187:G194" ca="1" si="64">IFERROR(VLOOKUP(E187,teamlookup,5,FALSE),"-")</f>
        <v>York</v>
      </c>
      <c r="H187" s="542">
        <f ca="1">IFERROR(VLOOKUP(E187,E168:AG183,28,FALSE),0)</f>
        <v>1.35</v>
      </c>
      <c r="I187" s="543"/>
      <c r="J187" s="550">
        <f ca="1">IFERROR(IF(VLOOKUP(C187,C168:AT183,44,FALSE)="",VLOOKUP(C187,C168:AT183,37,FALSE),VLOOKUP(C187,C168:AT183,37,FALSE)&amp;VLOOKUP(C187,C168:AT183,44,FALSE)),"")</f>
        <v>1</v>
      </c>
      <c r="K187" s="551"/>
      <c r="L187" s="550">
        <f ca="1">IFERROR(IF(VLOOKUP(C187,C168:AG183,30,FALSE)=0,"",VLOOKUP(C187,C168:AG183,3,FALSE)),"")</f>
        <v>1</v>
      </c>
      <c r="M187" s="551"/>
      <c r="N187" s="544" t="str">
        <f ca="1">IFERROR(VLOOKUP(L187,E168:F183,2,FALSE),"")</f>
        <v>PEERS-WAIN Jacob</v>
      </c>
      <c r="O187" s="545"/>
      <c r="P187" s="545"/>
      <c r="Q187" s="545"/>
      <c r="R187" s="545"/>
      <c r="S187" s="546"/>
      <c r="T187" s="544" t="str">
        <f t="shared" ref="T187:T194" ca="1" si="65">IFERROR(VLOOKUP(L187,teamlookup,5,FALSE),"-")</f>
        <v>C'field</v>
      </c>
      <c r="U187" s="545"/>
      <c r="V187" s="545"/>
      <c r="W187" s="545"/>
      <c r="X187" s="545"/>
      <c r="Y187" s="546"/>
      <c r="Z187" s="542">
        <f ca="1">IFERROR(VLOOKUP(L187,E168:AG183,28,FALSE),0)</f>
        <v>1.25</v>
      </c>
      <c r="AA187" s="543"/>
      <c r="AB187" s="28"/>
      <c r="AC187" s="29"/>
      <c r="AD187" s="29"/>
      <c r="AE187" s="29"/>
      <c r="AF187" s="29"/>
      <c r="AG187" s="29"/>
      <c r="AH187" s="29"/>
      <c r="AI187" s="29"/>
      <c r="AJ187" s="29"/>
      <c r="AK187" s="29"/>
      <c r="AL187" s="143"/>
      <c r="AM187" s="144"/>
      <c r="AP187" s="8"/>
      <c r="AQ187" s="8"/>
      <c r="AR187" s="53"/>
      <c r="AS187" s="8"/>
      <c r="AT187" s="8"/>
      <c r="AU187" s="8"/>
      <c r="AV187" s="8"/>
      <c r="AW187" s="8"/>
      <c r="AX187" s="8"/>
      <c r="AY187" s="8"/>
      <c r="AZ187" s="152"/>
      <c r="BA187" s="152"/>
      <c r="BB187" s="8"/>
      <c r="BC187" s="8"/>
      <c r="BD187" s="8"/>
      <c r="BE187" s="8"/>
    </row>
    <row r="188" spans="1:72" s="4" customFormat="1" ht="15.95" customHeight="1" x14ac:dyDescent="0.45">
      <c r="A188" s="11">
        <f>IFERROR(VLOOKUP(A164,standards,4,FALSE),"-")</f>
        <v>1.67</v>
      </c>
      <c r="B188" s="1"/>
      <c r="C188" s="10">
        <v>2</v>
      </c>
      <c r="D188" s="19">
        <f ca="1">IFERROR(IF(VLOOKUP(C188,B168:AP183,41,FALSE)="",VLOOKUP(C188,B168:AP183,37,FALSE),VLOOKUP(C188,B168:AP183,37,FALSE)&amp;VLOOKUP(C188,B168:AP183,41,FALSE)),"")</f>
        <v>2</v>
      </c>
      <c r="E188" s="19">
        <f ca="1">IFERROR(IF(VLOOKUP(C188,B168:AG183,31,FALSE)=0,0,VLOOKUP(C188,B168:AG183,4,FALSE)),"")</f>
        <v>11</v>
      </c>
      <c r="F188" s="27" t="str">
        <f ca="1">IFERROR(VLOOKUP(E188,$E168:$F183,2,FALSE),"")</f>
        <v>FOOT James</v>
      </c>
      <c r="G188" s="18" t="str">
        <f t="shared" ca="1" si="64"/>
        <v>C'field</v>
      </c>
      <c r="H188" s="542">
        <f ca="1">IFERROR(VLOOKUP(E188,E168:AG183,28,FALSE),0)</f>
        <v>1.35</v>
      </c>
      <c r="I188" s="543"/>
      <c r="J188" s="550" t="str">
        <f ca="1">IFERROR(IF(VLOOKUP(C188,C168:AT183,44,FALSE)="",VLOOKUP(C188,C168:AT183,37,FALSE),VLOOKUP(C188,C168:AT183,37,FALSE)&amp;VLOOKUP(C188,C168:AT183,44,FALSE)),"")</f>
        <v/>
      </c>
      <c r="K188" s="551"/>
      <c r="L188" s="550" t="str">
        <f ca="1">IFERROR(IF(VLOOKUP(C188,C168:AG183,30,FALSE)=0,"",VLOOKUP(C188,C168:AG183,3,FALSE)),"")</f>
        <v/>
      </c>
      <c r="M188" s="551"/>
      <c r="N188" s="544" t="str">
        <f ca="1">IFERROR(VLOOKUP(L188,E168:F183,2,FALSE),"")</f>
        <v/>
      </c>
      <c r="O188" s="545"/>
      <c r="P188" s="545"/>
      <c r="Q188" s="545"/>
      <c r="R188" s="545"/>
      <c r="S188" s="546"/>
      <c r="T188" s="544" t="str">
        <f t="shared" ca="1" si="65"/>
        <v>-</v>
      </c>
      <c r="U188" s="545"/>
      <c r="V188" s="545"/>
      <c r="W188" s="545"/>
      <c r="X188" s="545"/>
      <c r="Y188" s="546"/>
      <c r="Z188" s="542">
        <f ca="1">IFERROR(VLOOKUP(L188,E168:AG183,28,FALSE),0)</f>
        <v>0</v>
      </c>
      <c r="AA188" s="543"/>
      <c r="AB188" s="134"/>
      <c r="AC188" s="20"/>
      <c r="AD188" s="20"/>
      <c r="AE188" s="20"/>
      <c r="AF188" s="20"/>
      <c r="AG188" s="20"/>
      <c r="AH188" s="20"/>
      <c r="AI188" s="20"/>
      <c r="AJ188" s="20"/>
      <c r="AK188" s="20"/>
      <c r="AL188" s="145"/>
      <c r="AM188" s="146"/>
      <c r="AP188" s="8"/>
      <c r="AQ188" s="8"/>
      <c r="AR188" s="8"/>
      <c r="AS188" s="8"/>
      <c r="AT188" s="8"/>
      <c r="AU188" s="8"/>
      <c r="AV188" s="8"/>
      <c r="AW188" s="8"/>
      <c r="AX188" s="8"/>
      <c r="AY188" s="8"/>
      <c r="AZ188" s="152"/>
      <c r="BA188" s="152"/>
      <c r="BB188" s="8"/>
      <c r="BC188" s="8"/>
      <c r="BD188" s="8"/>
      <c r="BE188" s="8"/>
    </row>
    <row r="189" spans="1:72" s="4" customFormat="1" ht="15.95" customHeight="1" x14ac:dyDescent="0.45">
      <c r="A189" s="11">
        <f>IFERROR(VLOOKUP(A164,standards,5,FALSE),"-")</f>
        <v>1.6</v>
      </c>
      <c r="B189" s="1"/>
      <c r="C189" s="10">
        <v>3</v>
      </c>
      <c r="D189" s="19">
        <f ca="1">IFERROR(IF(VLOOKUP(C189,B168:AP183,41,FALSE)="",VLOOKUP(C189,B168:AP183,37,FALSE),VLOOKUP(C189,B168:AP183,37,FALSE)&amp;VLOOKUP(C189,B168:AP183,41,FALSE)),"")</f>
        <v>3</v>
      </c>
      <c r="E189" s="19">
        <f ca="1">IFERROR(IF(VLOOKUP(C189,B168:AG183,31,FALSE)=0,0,VLOOKUP(C189,B168:AG183,4,FALSE)),"")</f>
        <v>2</v>
      </c>
      <c r="F189" s="27" t="str">
        <f ca="1">IFERROR(VLOOKUP(E189,$E168:$F183,2,FALSE),"")</f>
        <v>LANE William</v>
      </c>
      <c r="G189" s="18" t="str">
        <f t="shared" ca="1" si="64"/>
        <v>Sheff+D</v>
      </c>
      <c r="H189" s="542">
        <f ca="1">IFERROR(VLOOKUP(E189,E168:AG183,28,FALSE),0)</f>
        <v>1.25</v>
      </c>
      <c r="I189" s="543"/>
      <c r="J189" s="550" t="str">
        <f ca="1">IFERROR(IF(VLOOKUP(C189,C168:AT183,44,FALSE)="",VLOOKUP(C189,C168:AT183,37,FALSE),VLOOKUP(C189,C168:AT183,37,FALSE)&amp;VLOOKUP(C189,C168:AT183,44,FALSE)),"")</f>
        <v/>
      </c>
      <c r="K189" s="551"/>
      <c r="L189" s="550" t="str">
        <f ca="1">IFERROR(IF(VLOOKUP(C189,C168:AG183,30,FALSE)=0,"",VLOOKUP(C189,C168:AG183,3,FALSE)),"")</f>
        <v/>
      </c>
      <c r="M189" s="551"/>
      <c r="N189" s="544" t="str">
        <f ca="1">IFERROR(VLOOKUP(L189,E168:F183,2,FALSE),"")</f>
        <v/>
      </c>
      <c r="O189" s="545"/>
      <c r="P189" s="545"/>
      <c r="Q189" s="545"/>
      <c r="R189" s="545"/>
      <c r="S189" s="546"/>
      <c r="T189" s="544" t="str">
        <f t="shared" ca="1" si="65"/>
        <v>-</v>
      </c>
      <c r="U189" s="545"/>
      <c r="V189" s="545"/>
      <c r="W189" s="545"/>
      <c r="X189" s="545"/>
      <c r="Y189" s="546"/>
      <c r="Z189" s="542">
        <f ca="1">IFERROR(VLOOKUP(L189,E168:AG183,28,FALSE),0)</f>
        <v>0</v>
      </c>
      <c r="AA189" s="543"/>
      <c r="AB189" s="134"/>
      <c r="AC189" s="20"/>
      <c r="AD189" s="20"/>
      <c r="AE189" s="20"/>
      <c r="AF189" s="20"/>
      <c r="AG189" s="20"/>
      <c r="AH189" s="20"/>
      <c r="AI189" s="20"/>
      <c r="AJ189" s="20"/>
      <c r="AK189" s="20"/>
      <c r="AL189" s="145"/>
      <c r="AM189" s="146"/>
      <c r="AP189" s="8"/>
      <c r="AQ189" s="8"/>
      <c r="AR189" s="8"/>
      <c r="AS189" s="8"/>
      <c r="AT189" s="8"/>
      <c r="AU189" s="8"/>
      <c r="AV189" s="8"/>
      <c r="AW189" s="8"/>
      <c r="AX189" s="8"/>
      <c r="AY189" s="8"/>
      <c r="AZ189" s="152"/>
      <c r="BA189" s="152"/>
      <c r="BB189" s="8"/>
      <c r="BC189" s="8"/>
      <c r="BD189" s="8"/>
      <c r="BE189" s="8"/>
    </row>
    <row r="190" spans="1:72" s="4" customFormat="1" ht="15.95" customHeight="1" x14ac:dyDescent="0.45">
      <c r="A190" s="11">
        <f>IFERROR(VLOOKUP(A164,AAA!A:F,6,FALSE),"-")</f>
        <v>1.55</v>
      </c>
      <c r="B190" s="1"/>
      <c r="C190" s="10">
        <v>4</v>
      </c>
      <c r="D190" s="19" t="str">
        <f ca="1">IFERROR(IF(VLOOKUP(C190,B168:AP183,41,FALSE)="",VLOOKUP(C190,B168:AP183,37,FALSE),VLOOKUP(C190,B168:AP183,37,FALSE)&amp;VLOOKUP(C190,B168:AP183,41,FALSE)),"")</f>
        <v/>
      </c>
      <c r="E190" s="19" t="str">
        <f ca="1">IFERROR(IF(VLOOKUP(C190,B168:AG183,31,FALSE)=0,0,VLOOKUP(C190,B168:AG183,4,FALSE)),"")</f>
        <v/>
      </c>
      <c r="F190" s="27" t="str">
        <f ca="1">IFERROR(VLOOKUP(E190,$E168:$F183,2,FALSE),"")</f>
        <v/>
      </c>
      <c r="G190" s="18" t="str">
        <f t="shared" ca="1" si="64"/>
        <v>-</v>
      </c>
      <c r="H190" s="542">
        <f ca="1">IFERROR(VLOOKUP(E190,E168:AG183,28,FALSE),0)</f>
        <v>0</v>
      </c>
      <c r="I190" s="543"/>
      <c r="J190" s="550" t="str">
        <f ca="1">IFERROR(IF(VLOOKUP(C190,C168:AT183,44,FALSE)="",VLOOKUP(C190,C168:AT183,37,FALSE),VLOOKUP(C190,C168:AT183,37,FALSE)&amp;VLOOKUP(C190,C168:AT183,44,FALSE)),"")</f>
        <v/>
      </c>
      <c r="K190" s="551"/>
      <c r="L190" s="550" t="str">
        <f ca="1">IFERROR(IF(VLOOKUP(C190,C168:AG183,30,FALSE)=0,"",VLOOKUP(C190,C168:AG183,3,FALSE)),"")</f>
        <v/>
      </c>
      <c r="M190" s="551"/>
      <c r="N190" s="544" t="str">
        <f ca="1">IFERROR(VLOOKUP(L190,E168:F183,2,FALSE),"")</f>
        <v/>
      </c>
      <c r="O190" s="545"/>
      <c r="P190" s="545"/>
      <c r="Q190" s="545"/>
      <c r="R190" s="545"/>
      <c r="S190" s="546"/>
      <c r="T190" s="544" t="str">
        <f t="shared" ca="1" si="65"/>
        <v>-</v>
      </c>
      <c r="U190" s="545"/>
      <c r="V190" s="545"/>
      <c r="W190" s="545"/>
      <c r="X190" s="545"/>
      <c r="Y190" s="546"/>
      <c r="Z190" s="542">
        <f ca="1">IFERROR(VLOOKUP(L190,E168:AG183,28,FALSE),0)</f>
        <v>0</v>
      </c>
      <c r="AA190" s="543"/>
      <c r="AB190" s="24"/>
      <c r="AC190" s="25"/>
      <c r="AD190" s="25"/>
      <c r="AE190" s="25"/>
      <c r="AF190" s="25"/>
      <c r="AG190" s="25"/>
      <c r="AH190" s="25"/>
      <c r="AI190" s="25"/>
      <c r="AJ190" s="25"/>
      <c r="AK190" s="25"/>
      <c r="AL190" s="141"/>
      <c r="AM190" s="142"/>
      <c r="AP190" s="8"/>
      <c r="AQ190" s="8"/>
      <c r="AR190" s="8"/>
      <c r="AS190" s="8"/>
      <c r="AT190" s="8"/>
      <c r="AU190" s="8"/>
      <c r="AV190" s="8"/>
      <c r="AW190" s="8"/>
      <c r="AX190" s="8"/>
      <c r="AY190" s="8"/>
      <c r="AZ190" s="152"/>
      <c r="BA190" s="152"/>
      <c r="BB190" s="8"/>
      <c r="BC190" s="8"/>
      <c r="BD190" s="8"/>
      <c r="BE190" s="8"/>
    </row>
    <row r="191" spans="1:72" s="4" customFormat="1" ht="15.95" customHeight="1" x14ac:dyDescent="0.45">
      <c r="A191" s="8"/>
      <c r="B191" s="1"/>
      <c r="C191" s="10">
        <v>5</v>
      </c>
      <c r="D191" s="19" t="str">
        <f ca="1">IFERROR(IF(VLOOKUP(C191,B168:AP183,41,FALSE)="",VLOOKUP(C191,B168:AP183,37,FALSE),VLOOKUP(C191,B168:AP183,37,FALSE)&amp;VLOOKUP(C191,B168:AP183,41,FALSE)),"")</f>
        <v/>
      </c>
      <c r="E191" s="19" t="str">
        <f ca="1">IFERROR(IF(VLOOKUP(C191,B168:AG183,31,FALSE)=0,0,VLOOKUP(C191,B168:AG183,4,FALSE)),"")</f>
        <v/>
      </c>
      <c r="F191" s="27" t="str">
        <f ca="1">IFERROR(VLOOKUP(E191,$E168:$F183,2,FALSE),"")</f>
        <v/>
      </c>
      <c r="G191" s="18" t="str">
        <f t="shared" ca="1" si="64"/>
        <v>-</v>
      </c>
      <c r="H191" s="542">
        <f ca="1">IFERROR(VLOOKUP(E191,E168:AG183,28,FALSE),0)</f>
        <v>0</v>
      </c>
      <c r="I191" s="543"/>
      <c r="J191" s="550" t="str">
        <f ca="1">IFERROR(IF(VLOOKUP(C191,C168:AT183,44,FALSE)="",VLOOKUP(C191,C168:AT183,37,FALSE),VLOOKUP(C191,C168:AT183,37,FALSE)&amp;VLOOKUP(C191,C168:AT183,44,FALSE)),"")</f>
        <v/>
      </c>
      <c r="K191" s="551"/>
      <c r="L191" s="550" t="str">
        <f ca="1">IFERROR(IF(VLOOKUP(C191,C168:AG183,30,FALSE)=0,"",VLOOKUP(C191,C168:AG183,3,FALSE)),"")</f>
        <v/>
      </c>
      <c r="M191" s="551"/>
      <c r="N191" s="544" t="str">
        <f ca="1">IFERROR(VLOOKUP(L191,E168:F183,2,FALSE),"")</f>
        <v/>
      </c>
      <c r="O191" s="545"/>
      <c r="P191" s="545"/>
      <c r="Q191" s="545"/>
      <c r="R191" s="545"/>
      <c r="S191" s="546"/>
      <c r="T191" s="544" t="str">
        <f t="shared" ca="1" si="65"/>
        <v>-</v>
      </c>
      <c r="U191" s="545"/>
      <c r="V191" s="545"/>
      <c r="W191" s="545"/>
      <c r="X191" s="545"/>
      <c r="Y191" s="546"/>
      <c r="Z191" s="542">
        <f ca="1">IFERROR(VLOOKUP(L191,E168:AG183,28,FALSE),0)</f>
        <v>0</v>
      </c>
      <c r="AA191" s="543"/>
      <c r="AB191" s="28"/>
      <c r="AC191" s="29"/>
      <c r="AD191" s="29"/>
      <c r="AE191" s="29"/>
      <c r="AF191" s="29"/>
      <c r="AG191" s="29"/>
      <c r="AH191" s="29"/>
      <c r="AI191" s="29"/>
      <c r="AJ191" s="29"/>
      <c r="AK191" s="29"/>
      <c r="AL191" s="143"/>
      <c r="AM191" s="144"/>
      <c r="AP191" s="8"/>
      <c r="AQ191" s="8"/>
      <c r="AR191" s="8"/>
      <c r="AS191" s="8"/>
      <c r="AT191" s="8"/>
      <c r="AU191" s="8"/>
      <c r="AV191" s="8"/>
      <c r="AW191" s="8"/>
      <c r="AX191" s="8"/>
      <c r="AY191" s="8"/>
      <c r="AZ191" s="152"/>
      <c r="BA191" s="152"/>
      <c r="BB191" s="8"/>
      <c r="BC191" s="8"/>
      <c r="BD191" s="8"/>
      <c r="BE191" s="8"/>
    </row>
    <row r="192" spans="1:72" s="4" customFormat="1" ht="15.95" customHeight="1" x14ac:dyDescent="0.45">
      <c r="A192" s="8" t="s">
        <v>204</v>
      </c>
      <c r="B192" s="1"/>
      <c r="C192" s="10">
        <v>6</v>
      </c>
      <c r="D192" s="19" t="str">
        <f ca="1">IFERROR(IF(VLOOKUP(C192,B168:AP183,41,FALSE)="",VLOOKUP(C192,B168:AP183,37,FALSE),VLOOKUP(C192,B168:AP183,37,FALSE)&amp;VLOOKUP(C192,B168:AP183,41,FALSE)),"")</f>
        <v/>
      </c>
      <c r="E192" s="19" t="str">
        <f ca="1">IFERROR(IF(VLOOKUP(C192,B168:AG183,31,FALSE)=0,0,VLOOKUP(C192,B168:AG183,4,FALSE)),"")</f>
        <v/>
      </c>
      <c r="F192" s="27" t="str">
        <f ca="1">IFERROR(VLOOKUP(E192,$E168:$F183,2,FALSE),"")</f>
        <v/>
      </c>
      <c r="G192" s="18" t="str">
        <f t="shared" ca="1" si="64"/>
        <v>-</v>
      </c>
      <c r="H192" s="542">
        <f ca="1">IFERROR(VLOOKUP(E192,E168:AG183,28,FALSE),0)</f>
        <v>0</v>
      </c>
      <c r="I192" s="543"/>
      <c r="J192" s="550" t="str">
        <f ca="1">IFERROR(IF(VLOOKUP(C192,C168:AT183,44,FALSE)="",VLOOKUP(C192,C168:AT183,37,FALSE),VLOOKUP(C192,C168:AT183,37,FALSE)&amp;VLOOKUP(C192,C168:AT183,44,FALSE)),"")</f>
        <v/>
      </c>
      <c r="K192" s="551"/>
      <c r="L192" s="550" t="str">
        <f ca="1">IFERROR(IF(VLOOKUP(C192,C168:AG183,30,FALSE)=0,"",VLOOKUP(C192,C168:AG183,3,FALSE)),"")</f>
        <v/>
      </c>
      <c r="M192" s="551"/>
      <c r="N192" s="544" t="str">
        <f ca="1">IFERROR(VLOOKUP(L192,E168:F183,2,FALSE),"")</f>
        <v/>
      </c>
      <c r="O192" s="545"/>
      <c r="P192" s="545"/>
      <c r="Q192" s="545"/>
      <c r="R192" s="545"/>
      <c r="S192" s="546"/>
      <c r="T192" s="544" t="str">
        <f t="shared" ca="1" si="65"/>
        <v>-</v>
      </c>
      <c r="U192" s="545"/>
      <c r="V192" s="545"/>
      <c r="W192" s="545"/>
      <c r="X192" s="545"/>
      <c r="Y192" s="546"/>
      <c r="Z192" s="542">
        <f ca="1">IFERROR(VLOOKUP(L192,E168:AG183,28,FALSE),0)</f>
        <v>0</v>
      </c>
      <c r="AA192" s="543"/>
      <c r="AB192" s="512" t="s">
        <v>185</v>
      </c>
      <c r="AC192" s="552"/>
      <c r="AD192" s="552"/>
      <c r="AE192" s="552"/>
      <c r="AF192" s="552"/>
      <c r="AG192" s="552"/>
      <c r="AH192" s="552"/>
      <c r="AI192" s="552"/>
      <c r="AJ192" s="552"/>
      <c r="AK192" s="552"/>
      <c r="AL192" s="552"/>
      <c r="AM192" s="553"/>
      <c r="AP192" s="8"/>
      <c r="AQ192" s="8"/>
      <c r="AR192" s="8"/>
      <c r="AS192" s="8"/>
      <c r="AT192" s="8"/>
      <c r="AU192" s="8"/>
      <c r="AV192" s="8"/>
      <c r="AW192" s="8"/>
      <c r="AX192" s="8"/>
      <c r="AY192" s="8"/>
      <c r="AZ192" s="152"/>
      <c r="BA192" s="152"/>
      <c r="BB192" s="8"/>
      <c r="BC192" s="8"/>
      <c r="BD192" s="8"/>
      <c r="BE192" s="8"/>
    </row>
    <row r="193" spans="1:57" s="4" customFormat="1" ht="15.95" customHeight="1" x14ac:dyDescent="0.45">
      <c r="A193" s="8">
        <f>IFERROR(VLOOKUP(A164,records,5,FALSE),"")</f>
        <v>1.9</v>
      </c>
      <c r="B193" s="1"/>
      <c r="C193" s="10">
        <v>7</v>
      </c>
      <c r="D193" s="19" t="str">
        <f ca="1">IFERROR(IF(VLOOKUP(C193,B168:AP183,41,FALSE)="",VLOOKUP(C193,B168:AP183,37,FALSE),VLOOKUP(C193,B168:AP183,37,FALSE)&amp;VLOOKUP(C193,B168:AP183,41,FALSE)),"")</f>
        <v/>
      </c>
      <c r="E193" s="19" t="str">
        <f ca="1">IFERROR(IF(VLOOKUP(C193,B168:AG183,31,FALSE)=0,0,VLOOKUP(C193,B168:AG183,4,FALSE)),"")</f>
        <v/>
      </c>
      <c r="F193" s="27" t="str">
        <f ca="1">IFERROR(VLOOKUP(E193,$E168:$F183,2,FALSE),"")</f>
        <v/>
      </c>
      <c r="G193" s="18" t="str">
        <f t="shared" ca="1" si="64"/>
        <v>-</v>
      </c>
      <c r="H193" s="542">
        <f ca="1">IFERROR(VLOOKUP(E193,E168:AG183,28,FALSE),0)</f>
        <v>0</v>
      </c>
      <c r="I193" s="543"/>
      <c r="J193" s="550" t="str">
        <f ca="1">IFERROR(IF(VLOOKUP(C193,C168:AT183,44,FALSE)="",VLOOKUP(C193,C168:AT183,37,FALSE),VLOOKUP(C193,C168:AT183,37,FALSE)&amp;VLOOKUP(C193,C168:AT183,44,FALSE)),"")</f>
        <v/>
      </c>
      <c r="K193" s="551"/>
      <c r="L193" s="550" t="str">
        <f ca="1">IFERROR(IF(VLOOKUP(C193,C168:AG183,30,FALSE)=0,"",VLOOKUP(C193,C168:AG183,3,FALSE)),"")</f>
        <v/>
      </c>
      <c r="M193" s="551"/>
      <c r="N193" s="544" t="str">
        <f ca="1">IFERROR(VLOOKUP(L193,E168:F183,2,FALSE),"")</f>
        <v/>
      </c>
      <c r="O193" s="545"/>
      <c r="P193" s="545"/>
      <c r="Q193" s="545"/>
      <c r="R193" s="545"/>
      <c r="S193" s="546"/>
      <c r="T193" s="544" t="str">
        <f t="shared" ca="1" si="65"/>
        <v>-</v>
      </c>
      <c r="U193" s="545"/>
      <c r="V193" s="545"/>
      <c r="W193" s="545"/>
      <c r="X193" s="545"/>
      <c r="Y193" s="546"/>
      <c r="Z193" s="542">
        <f ca="1">IFERROR(VLOOKUP(L193,E168:AG183,28,FALSE),0)</f>
        <v>0</v>
      </c>
      <c r="AA193" s="543"/>
      <c r="AB193" s="24"/>
      <c r="AC193" s="25"/>
      <c r="AD193" s="25"/>
      <c r="AE193" s="25"/>
      <c r="AF193" s="25"/>
      <c r="AG193" s="25"/>
      <c r="AH193" s="25"/>
      <c r="AI193" s="25"/>
      <c r="AJ193" s="25"/>
      <c r="AK193" s="25"/>
      <c r="AL193" s="141"/>
      <c r="AM193" s="142"/>
      <c r="AP193" s="8"/>
      <c r="AQ193" s="8"/>
      <c r="AR193" s="8"/>
      <c r="AS193" s="8"/>
      <c r="AT193" s="8"/>
      <c r="AU193" s="8"/>
      <c r="AV193" s="8"/>
      <c r="AW193" s="8"/>
      <c r="AX193" s="8"/>
      <c r="AY193" s="8"/>
      <c r="AZ193" s="152"/>
      <c r="BA193" s="152"/>
      <c r="BB193" s="8"/>
      <c r="BC193" s="8"/>
      <c r="BD193" s="8"/>
      <c r="BE193" s="8"/>
    </row>
    <row r="194" spans="1:57" s="4" customFormat="1" ht="15.95" customHeight="1" x14ac:dyDescent="0.45">
      <c r="A194" s="8"/>
      <c r="B194" s="1"/>
      <c r="C194" s="10">
        <v>8</v>
      </c>
      <c r="D194" s="19" t="str">
        <f ca="1">IFERROR(IF(VLOOKUP(C194,B168:AP183,41,FALSE)="",VLOOKUP(C194,B168:AP183,37,FALSE),VLOOKUP(C194,B168:AP183,37,FALSE)&amp;VLOOKUP(C194,B168:AP183,41,FALSE)),"")</f>
        <v/>
      </c>
      <c r="E194" s="19" t="str">
        <f ca="1">IFERROR(IF(VLOOKUP(C194,B168:AG183,31,FALSE)=0,0,VLOOKUP(C194,B168:AG183,4,FALSE)),"")</f>
        <v/>
      </c>
      <c r="F194" s="27" t="str">
        <f ca="1">IFERROR(VLOOKUP(E194,$E168:$F183,2,FALSE),"")</f>
        <v/>
      </c>
      <c r="G194" s="18" t="str">
        <f t="shared" ca="1" si="64"/>
        <v>-</v>
      </c>
      <c r="H194" s="542">
        <f ca="1">IFERROR(VLOOKUP(E194,E168:AG183,28,FALSE),0)</f>
        <v>0</v>
      </c>
      <c r="I194" s="543"/>
      <c r="J194" s="550" t="str">
        <f ca="1">IFERROR(IF(VLOOKUP(C194,C168:AT183,44,FALSE)="",VLOOKUP(C194,C168:AT183,37,FALSE),VLOOKUP(C194,C168:AT183,37,FALSE)&amp;VLOOKUP(C194,C168:AT183,44,FALSE)),"")</f>
        <v/>
      </c>
      <c r="K194" s="551"/>
      <c r="L194" s="550" t="str">
        <f ca="1">IFERROR(IF(VLOOKUP(C194,C168:AG183,30,FALSE)=0,"",VLOOKUP(C194,C168:AG183,3,FALSE)),"")</f>
        <v/>
      </c>
      <c r="M194" s="551"/>
      <c r="N194" s="544" t="str">
        <f ca="1">IFERROR(VLOOKUP(L194,E168:F183,2,FALSE),"")</f>
        <v/>
      </c>
      <c r="O194" s="545"/>
      <c r="P194" s="545"/>
      <c r="Q194" s="545"/>
      <c r="R194" s="545"/>
      <c r="S194" s="546"/>
      <c r="T194" s="544" t="str">
        <f t="shared" ca="1" si="65"/>
        <v>-</v>
      </c>
      <c r="U194" s="545"/>
      <c r="V194" s="545"/>
      <c r="W194" s="545"/>
      <c r="X194" s="545"/>
      <c r="Y194" s="546"/>
      <c r="Z194" s="542">
        <f ca="1">IFERROR(VLOOKUP(L194,E168:AG183,28,FALSE),0)</f>
        <v>0</v>
      </c>
      <c r="AA194" s="543"/>
      <c r="AB194" s="28"/>
      <c r="AC194" s="29"/>
      <c r="AD194" s="29"/>
      <c r="AE194" s="29"/>
      <c r="AF194" s="29"/>
      <c r="AG194" s="29"/>
      <c r="AH194" s="29"/>
      <c r="AI194" s="29"/>
      <c r="AJ194" s="29"/>
      <c r="AK194" s="29"/>
      <c r="AL194" s="143"/>
      <c r="AM194" s="144"/>
      <c r="AP194" s="8"/>
      <c r="AQ194" s="8"/>
      <c r="AR194" s="8"/>
      <c r="AS194" s="8"/>
      <c r="AT194" s="8"/>
      <c r="AU194" s="8"/>
      <c r="AV194" s="8"/>
      <c r="AW194" s="8"/>
      <c r="AX194" s="8"/>
      <c r="AY194" s="8"/>
      <c r="AZ194" s="152"/>
      <c r="BA194" s="152"/>
      <c r="BB194" s="8"/>
      <c r="BC194" s="8"/>
      <c r="BD194" s="8"/>
      <c r="BE194" s="8"/>
    </row>
  </sheetData>
  <sheetProtection algorithmName="SHA-512" hashValue="Y8LXzn2AHbYa8efid07HySww950kgSAsXN2UdW/tMLCGOY5n+dsKWRLzv2FquOnsvjVKL+lSh3dgDpsVbqiJ5g==" saltValue="6B0uJPrfxNW+HdubLIsE4w==" spinCount="100000" sheet="1" objects="1" scenarios="1" formatCells="0" formatColumns="0" formatRows="0" sort="0" autoFilter="0"/>
  <mergeCells count="1866">
    <mergeCell ref="AB192:AM192"/>
    <mergeCell ref="H193:I193"/>
    <mergeCell ref="J193:K193"/>
    <mergeCell ref="L193:M193"/>
    <mergeCell ref="N193:S193"/>
    <mergeCell ref="T193:Y193"/>
    <mergeCell ref="Z193:AA193"/>
    <mergeCell ref="H194:I194"/>
    <mergeCell ref="J194:K194"/>
    <mergeCell ref="L194:M194"/>
    <mergeCell ref="N194:S194"/>
    <mergeCell ref="T194:Y194"/>
    <mergeCell ref="Z194:AA194"/>
    <mergeCell ref="H191:I191"/>
    <mergeCell ref="J191:K191"/>
    <mergeCell ref="L191:M191"/>
    <mergeCell ref="N191:S191"/>
    <mergeCell ref="T191:Y191"/>
    <mergeCell ref="Z191:AA191"/>
    <mergeCell ref="H192:I192"/>
    <mergeCell ref="J192:K192"/>
    <mergeCell ref="L192:M192"/>
    <mergeCell ref="N192:S192"/>
    <mergeCell ref="T192:Y192"/>
    <mergeCell ref="Z192:AA192"/>
    <mergeCell ref="H189:I189"/>
    <mergeCell ref="J189:K189"/>
    <mergeCell ref="L189:M189"/>
    <mergeCell ref="N189:S189"/>
    <mergeCell ref="T189:Y189"/>
    <mergeCell ref="Z189:AA189"/>
    <mergeCell ref="H190:I190"/>
    <mergeCell ref="J190:K190"/>
    <mergeCell ref="L190:M190"/>
    <mergeCell ref="N190:S190"/>
    <mergeCell ref="T190:Y190"/>
    <mergeCell ref="Z190:AA190"/>
    <mergeCell ref="H187:I187"/>
    <mergeCell ref="J187:K187"/>
    <mergeCell ref="L187:M187"/>
    <mergeCell ref="N187:S187"/>
    <mergeCell ref="T187:Y187"/>
    <mergeCell ref="Z187:AA187"/>
    <mergeCell ref="H188:I188"/>
    <mergeCell ref="J188:K188"/>
    <mergeCell ref="L188:M188"/>
    <mergeCell ref="N188:S188"/>
    <mergeCell ref="T188:Y188"/>
    <mergeCell ref="Z188:AA188"/>
    <mergeCell ref="Z183:AA183"/>
    <mergeCell ref="AB183:AC183"/>
    <mergeCell ref="AD183:AE183"/>
    <mergeCell ref="AF183:AG183"/>
    <mergeCell ref="D185:I185"/>
    <mergeCell ref="J185:AA185"/>
    <mergeCell ref="AB185:AM185"/>
    <mergeCell ref="H186:I186"/>
    <mergeCell ref="J186:K186"/>
    <mergeCell ref="L186:M186"/>
    <mergeCell ref="N186:S186"/>
    <mergeCell ref="T186:Y186"/>
    <mergeCell ref="Z186:AA186"/>
    <mergeCell ref="H183:I183"/>
    <mergeCell ref="J183:K183"/>
    <mergeCell ref="L183:M183"/>
    <mergeCell ref="N183:O183"/>
    <mergeCell ref="P183:Q183"/>
    <mergeCell ref="R183:S183"/>
    <mergeCell ref="T183:U183"/>
    <mergeCell ref="V183:W183"/>
    <mergeCell ref="X183:Y183"/>
    <mergeCell ref="Z181:AA181"/>
    <mergeCell ref="AB181:AC181"/>
    <mergeCell ref="AD181:AE181"/>
    <mergeCell ref="AF181:AG181"/>
    <mergeCell ref="H182:I182"/>
    <mergeCell ref="J182:K182"/>
    <mergeCell ref="L182:M182"/>
    <mergeCell ref="N182:O182"/>
    <mergeCell ref="P182:Q182"/>
    <mergeCell ref="R182:S182"/>
    <mergeCell ref="T182:U182"/>
    <mergeCell ref="V182:W182"/>
    <mergeCell ref="X182:Y182"/>
    <mergeCell ref="Z182:AA182"/>
    <mergeCell ref="AB182:AC182"/>
    <mergeCell ref="AD182:AE182"/>
    <mergeCell ref="AF182:AG182"/>
    <mergeCell ref="H181:I181"/>
    <mergeCell ref="J181:K181"/>
    <mergeCell ref="L181:M181"/>
    <mergeCell ref="N181:O181"/>
    <mergeCell ref="P181:Q181"/>
    <mergeCell ref="R181:S181"/>
    <mergeCell ref="T181:U181"/>
    <mergeCell ref="V181:W181"/>
    <mergeCell ref="X181:Y181"/>
    <mergeCell ref="Z179:AA179"/>
    <mergeCell ref="AB179:AC179"/>
    <mergeCell ref="AD179:AE179"/>
    <mergeCell ref="AF179:AG179"/>
    <mergeCell ref="H180:I180"/>
    <mergeCell ref="J180:K180"/>
    <mergeCell ref="L180:M180"/>
    <mergeCell ref="N180:O180"/>
    <mergeCell ref="P180:Q180"/>
    <mergeCell ref="R180:S180"/>
    <mergeCell ref="T180:U180"/>
    <mergeCell ref="V180:W180"/>
    <mergeCell ref="X180:Y180"/>
    <mergeCell ref="Z180:AA180"/>
    <mergeCell ref="AB180:AC180"/>
    <mergeCell ref="AD180:AE180"/>
    <mergeCell ref="AF180:AG180"/>
    <mergeCell ref="H179:I179"/>
    <mergeCell ref="J179:K179"/>
    <mergeCell ref="L179:M179"/>
    <mergeCell ref="N179:O179"/>
    <mergeCell ref="P179:Q179"/>
    <mergeCell ref="R179:S179"/>
    <mergeCell ref="T179:U179"/>
    <mergeCell ref="V179:W179"/>
    <mergeCell ref="X179:Y179"/>
    <mergeCell ref="Z177:AA177"/>
    <mergeCell ref="AB177:AC177"/>
    <mergeCell ref="AD177:AE177"/>
    <mergeCell ref="AF177:AG177"/>
    <mergeCell ref="H178:I178"/>
    <mergeCell ref="J178:K178"/>
    <mergeCell ref="L178:M178"/>
    <mergeCell ref="N178:O178"/>
    <mergeCell ref="P178:Q178"/>
    <mergeCell ref="R178:S178"/>
    <mergeCell ref="T178:U178"/>
    <mergeCell ref="V178:W178"/>
    <mergeCell ref="X178:Y178"/>
    <mergeCell ref="Z178:AA178"/>
    <mergeCell ref="AB178:AC178"/>
    <mergeCell ref="AD178:AE178"/>
    <mergeCell ref="AF178:AG178"/>
    <mergeCell ref="H177:I177"/>
    <mergeCell ref="J177:K177"/>
    <mergeCell ref="L177:M177"/>
    <mergeCell ref="N177:O177"/>
    <mergeCell ref="P177:Q177"/>
    <mergeCell ref="R177:S177"/>
    <mergeCell ref="T177:U177"/>
    <mergeCell ref="V177:W177"/>
    <mergeCell ref="X177:Y177"/>
    <mergeCell ref="Z175:AA175"/>
    <mergeCell ref="AB175:AC175"/>
    <mergeCell ref="AD175:AE175"/>
    <mergeCell ref="AF175:AG175"/>
    <mergeCell ref="H176:I176"/>
    <mergeCell ref="J176:K176"/>
    <mergeCell ref="L176:M176"/>
    <mergeCell ref="N176:O176"/>
    <mergeCell ref="P176:Q176"/>
    <mergeCell ref="R176:S176"/>
    <mergeCell ref="T176:U176"/>
    <mergeCell ref="V176:W176"/>
    <mergeCell ref="X176:Y176"/>
    <mergeCell ref="Z176:AA176"/>
    <mergeCell ref="AB176:AC176"/>
    <mergeCell ref="AD176:AE176"/>
    <mergeCell ref="AF176:AG176"/>
    <mergeCell ref="H175:I175"/>
    <mergeCell ref="J175:K175"/>
    <mergeCell ref="L175:M175"/>
    <mergeCell ref="N175:O175"/>
    <mergeCell ref="P175:Q175"/>
    <mergeCell ref="R175:S175"/>
    <mergeCell ref="T175:U175"/>
    <mergeCell ref="V175:W175"/>
    <mergeCell ref="X175:Y175"/>
    <mergeCell ref="Z173:AA173"/>
    <mergeCell ref="AB173:AC173"/>
    <mergeCell ref="AD173:AE173"/>
    <mergeCell ref="AF173:AG173"/>
    <mergeCell ref="H174:I174"/>
    <mergeCell ref="J174:K174"/>
    <mergeCell ref="L174:M174"/>
    <mergeCell ref="N174:O174"/>
    <mergeCell ref="P174:Q174"/>
    <mergeCell ref="R174:S174"/>
    <mergeCell ref="T174:U174"/>
    <mergeCell ref="V174:W174"/>
    <mergeCell ref="X174:Y174"/>
    <mergeCell ref="Z174:AA174"/>
    <mergeCell ref="AB174:AC174"/>
    <mergeCell ref="AD174:AE174"/>
    <mergeCell ref="AF174:AG174"/>
    <mergeCell ref="H173:I173"/>
    <mergeCell ref="J173:K173"/>
    <mergeCell ref="L173:M173"/>
    <mergeCell ref="N173:O173"/>
    <mergeCell ref="P173:Q173"/>
    <mergeCell ref="R173:S173"/>
    <mergeCell ref="T173:U173"/>
    <mergeCell ref="V173:W173"/>
    <mergeCell ref="X173:Y173"/>
    <mergeCell ref="Z171:AA171"/>
    <mergeCell ref="AB171:AC171"/>
    <mergeCell ref="AD171:AE171"/>
    <mergeCell ref="AF171:AG171"/>
    <mergeCell ref="H172:I172"/>
    <mergeCell ref="J172:K172"/>
    <mergeCell ref="L172:M172"/>
    <mergeCell ref="N172:O172"/>
    <mergeCell ref="P172:Q172"/>
    <mergeCell ref="R172:S172"/>
    <mergeCell ref="T172:U172"/>
    <mergeCell ref="V172:W172"/>
    <mergeCell ref="X172:Y172"/>
    <mergeCell ref="Z172:AA172"/>
    <mergeCell ref="AB172:AC172"/>
    <mergeCell ref="AD172:AE172"/>
    <mergeCell ref="AF172:AG172"/>
    <mergeCell ref="H171:I171"/>
    <mergeCell ref="J171:K171"/>
    <mergeCell ref="L171:M171"/>
    <mergeCell ref="N171:O171"/>
    <mergeCell ref="P171:Q171"/>
    <mergeCell ref="R171:S171"/>
    <mergeCell ref="T171:U171"/>
    <mergeCell ref="V171:W171"/>
    <mergeCell ref="X171:Y171"/>
    <mergeCell ref="Z169:AA169"/>
    <mergeCell ref="AB169:AC169"/>
    <mergeCell ref="AD169:AE169"/>
    <mergeCell ref="AF169:AG169"/>
    <mergeCell ref="H170:I170"/>
    <mergeCell ref="J170:K170"/>
    <mergeCell ref="L170:M170"/>
    <mergeCell ref="N170:O170"/>
    <mergeCell ref="P170:Q170"/>
    <mergeCell ref="R170:S170"/>
    <mergeCell ref="T170:U170"/>
    <mergeCell ref="V170:W170"/>
    <mergeCell ref="X170:Y170"/>
    <mergeCell ref="Z170:AA170"/>
    <mergeCell ref="AB170:AC170"/>
    <mergeCell ref="AD170:AE170"/>
    <mergeCell ref="AF170:AG170"/>
    <mergeCell ref="H169:I169"/>
    <mergeCell ref="J169:K169"/>
    <mergeCell ref="L169:M169"/>
    <mergeCell ref="N169:O169"/>
    <mergeCell ref="P169:Q169"/>
    <mergeCell ref="R169:S169"/>
    <mergeCell ref="T169:U169"/>
    <mergeCell ref="V169:W169"/>
    <mergeCell ref="X169:Y169"/>
    <mergeCell ref="H168:I168"/>
    <mergeCell ref="J168:K168"/>
    <mergeCell ref="L168:M168"/>
    <mergeCell ref="N168:O168"/>
    <mergeCell ref="P168:Q168"/>
    <mergeCell ref="R168:S168"/>
    <mergeCell ref="T168:U168"/>
    <mergeCell ref="V168:W168"/>
    <mergeCell ref="X168:Y168"/>
    <mergeCell ref="Z168:AA168"/>
    <mergeCell ref="AB168:AC168"/>
    <mergeCell ref="AD168:AE168"/>
    <mergeCell ref="AF168:AG168"/>
    <mergeCell ref="H167:I167"/>
    <mergeCell ref="J167:K167"/>
    <mergeCell ref="L167:M167"/>
    <mergeCell ref="N167:O167"/>
    <mergeCell ref="P167:Q167"/>
    <mergeCell ref="R167:S167"/>
    <mergeCell ref="T167:U167"/>
    <mergeCell ref="V167:W167"/>
    <mergeCell ref="X167:Y167"/>
    <mergeCell ref="D165:E165"/>
    <mergeCell ref="F165:G165"/>
    <mergeCell ref="H165:J165"/>
    <mergeCell ref="K165:M165"/>
    <mergeCell ref="N165:Q165"/>
    <mergeCell ref="R165:AM165"/>
    <mergeCell ref="H166:I166"/>
    <mergeCell ref="J166:K166"/>
    <mergeCell ref="L166:M166"/>
    <mergeCell ref="N166:O166"/>
    <mergeCell ref="P166:Q166"/>
    <mergeCell ref="R166:S166"/>
    <mergeCell ref="T166:U166"/>
    <mergeCell ref="V166:W166"/>
    <mergeCell ref="X166:Y166"/>
    <mergeCell ref="Z166:AA166"/>
    <mergeCell ref="AB166:AC166"/>
    <mergeCell ref="AD166:AE166"/>
    <mergeCell ref="AF166:AG166"/>
    <mergeCell ref="AH166:AH167"/>
    <mergeCell ref="AI166:AI167"/>
    <mergeCell ref="AJ166:AJ167"/>
    <mergeCell ref="AL166:AM167"/>
    <mergeCell ref="Z167:AA167"/>
    <mergeCell ref="AB167:AC167"/>
    <mergeCell ref="AD167:AE167"/>
    <mergeCell ref="AF167:AG167"/>
    <mergeCell ref="D163:G163"/>
    <mergeCell ref="H163:M163"/>
    <mergeCell ref="N163:AM163"/>
    <mergeCell ref="D164:E164"/>
    <mergeCell ref="F164:G164"/>
    <mergeCell ref="H164:J164"/>
    <mergeCell ref="K164:Y164"/>
    <mergeCell ref="Z164:AB164"/>
    <mergeCell ref="AC164:AM164"/>
    <mergeCell ref="AB160:AM160"/>
    <mergeCell ref="H161:I161"/>
    <mergeCell ref="J161:K161"/>
    <mergeCell ref="L161:M161"/>
    <mergeCell ref="N161:S161"/>
    <mergeCell ref="T161:Y161"/>
    <mergeCell ref="Z161:AA161"/>
    <mergeCell ref="H162:I162"/>
    <mergeCell ref="J162:K162"/>
    <mergeCell ref="L162:M162"/>
    <mergeCell ref="N162:S162"/>
    <mergeCell ref="T162:Y162"/>
    <mergeCell ref="Z162:AA162"/>
    <mergeCell ref="H159:I159"/>
    <mergeCell ref="J159:K159"/>
    <mergeCell ref="L159:M159"/>
    <mergeCell ref="N159:S159"/>
    <mergeCell ref="T159:Y159"/>
    <mergeCell ref="Z159:AA159"/>
    <mergeCell ref="H160:I160"/>
    <mergeCell ref="J160:K160"/>
    <mergeCell ref="L160:M160"/>
    <mergeCell ref="N160:S160"/>
    <mergeCell ref="T160:Y160"/>
    <mergeCell ref="Z160:AA160"/>
    <mergeCell ref="H157:I157"/>
    <mergeCell ref="J157:K157"/>
    <mergeCell ref="L157:M157"/>
    <mergeCell ref="N157:S157"/>
    <mergeCell ref="T157:Y157"/>
    <mergeCell ref="Z157:AA157"/>
    <mergeCell ref="H158:I158"/>
    <mergeCell ref="J158:K158"/>
    <mergeCell ref="L158:M158"/>
    <mergeCell ref="N158:S158"/>
    <mergeCell ref="T158:Y158"/>
    <mergeCell ref="Z158:AA158"/>
    <mergeCell ref="H155:I155"/>
    <mergeCell ref="J155:K155"/>
    <mergeCell ref="L155:M155"/>
    <mergeCell ref="N155:S155"/>
    <mergeCell ref="T155:Y155"/>
    <mergeCell ref="Z155:AA155"/>
    <mergeCell ref="H156:I156"/>
    <mergeCell ref="J156:K156"/>
    <mergeCell ref="L156:M156"/>
    <mergeCell ref="N156:S156"/>
    <mergeCell ref="T156:Y156"/>
    <mergeCell ref="Z156:AA156"/>
    <mergeCell ref="Z151:AA151"/>
    <mergeCell ref="AB151:AC151"/>
    <mergeCell ref="AD151:AE151"/>
    <mergeCell ref="AF151:AG151"/>
    <mergeCell ref="D153:I153"/>
    <mergeCell ref="J153:AA153"/>
    <mergeCell ref="AB153:AM153"/>
    <mergeCell ref="H154:I154"/>
    <mergeCell ref="J154:K154"/>
    <mergeCell ref="L154:M154"/>
    <mergeCell ref="N154:S154"/>
    <mergeCell ref="T154:Y154"/>
    <mergeCell ref="Z154:AA154"/>
    <mergeCell ref="H151:I151"/>
    <mergeCell ref="J151:K151"/>
    <mergeCell ref="L151:M151"/>
    <mergeCell ref="N151:O151"/>
    <mergeCell ref="P151:Q151"/>
    <mergeCell ref="R151:S151"/>
    <mergeCell ref="T151:U151"/>
    <mergeCell ref="V151:W151"/>
    <mergeCell ref="X151:Y151"/>
    <mergeCell ref="Z149:AA149"/>
    <mergeCell ref="AB149:AC149"/>
    <mergeCell ref="AD149:AE149"/>
    <mergeCell ref="AF149:AG149"/>
    <mergeCell ref="H150:I150"/>
    <mergeCell ref="J150:K150"/>
    <mergeCell ref="L150:M150"/>
    <mergeCell ref="N150:O150"/>
    <mergeCell ref="P150:Q150"/>
    <mergeCell ref="R150:S150"/>
    <mergeCell ref="T150:U150"/>
    <mergeCell ref="V150:W150"/>
    <mergeCell ref="X150:Y150"/>
    <mergeCell ref="Z150:AA150"/>
    <mergeCell ref="AB150:AC150"/>
    <mergeCell ref="AD150:AE150"/>
    <mergeCell ref="AF150:AG150"/>
    <mergeCell ref="H149:I149"/>
    <mergeCell ref="J149:K149"/>
    <mergeCell ref="L149:M149"/>
    <mergeCell ref="N149:O149"/>
    <mergeCell ref="P149:Q149"/>
    <mergeCell ref="R149:S149"/>
    <mergeCell ref="T149:U149"/>
    <mergeCell ref="V149:W149"/>
    <mergeCell ref="X149:Y149"/>
    <mergeCell ref="Z147:AA147"/>
    <mergeCell ref="AB147:AC147"/>
    <mergeCell ref="AD147:AE147"/>
    <mergeCell ref="AF147:AG147"/>
    <mergeCell ref="H148:I148"/>
    <mergeCell ref="J148:K148"/>
    <mergeCell ref="L148:M148"/>
    <mergeCell ref="N148:O148"/>
    <mergeCell ref="P148:Q148"/>
    <mergeCell ref="R148:S148"/>
    <mergeCell ref="T148:U148"/>
    <mergeCell ref="V148:W148"/>
    <mergeCell ref="X148:Y148"/>
    <mergeCell ref="Z148:AA148"/>
    <mergeCell ref="AB148:AC148"/>
    <mergeCell ref="AD148:AE148"/>
    <mergeCell ref="AF148:AG148"/>
    <mergeCell ref="H147:I147"/>
    <mergeCell ref="J147:K147"/>
    <mergeCell ref="L147:M147"/>
    <mergeCell ref="N147:O147"/>
    <mergeCell ref="P147:Q147"/>
    <mergeCell ref="R147:S147"/>
    <mergeCell ref="T147:U147"/>
    <mergeCell ref="V147:W147"/>
    <mergeCell ref="X147:Y147"/>
    <mergeCell ref="Z145:AA145"/>
    <mergeCell ref="AB145:AC145"/>
    <mergeCell ref="AD145:AE145"/>
    <mergeCell ref="AF145:AG145"/>
    <mergeCell ref="H146:I146"/>
    <mergeCell ref="J146:K146"/>
    <mergeCell ref="L146:M146"/>
    <mergeCell ref="N146:O146"/>
    <mergeCell ref="P146:Q146"/>
    <mergeCell ref="R146:S146"/>
    <mergeCell ref="T146:U146"/>
    <mergeCell ref="V146:W146"/>
    <mergeCell ref="X146:Y146"/>
    <mergeCell ref="Z146:AA146"/>
    <mergeCell ref="AB146:AC146"/>
    <mergeCell ref="AD146:AE146"/>
    <mergeCell ref="AF146:AG146"/>
    <mergeCell ref="H145:I145"/>
    <mergeCell ref="J145:K145"/>
    <mergeCell ref="L145:M145"/>
    <mergeCell ref="N145:O145"/>
    <mergeCell ref="P145:Q145"/>
    <mergeCell ref="R145:S145"/>
    <mergeCell ref="T145:U145"/>
    <mergeCell ref="V145:W145"/>
    <mergeCell ref="X145:Y145"/>
    <mergeCell ref="Z143:AA143"/>
    <mergeCell ref="AB143:AC143"/>
    <mergeCell ref="AD143:AE143"/>
    <mergeCell ref="AF143:AG143"/>
    <mergeCell ref="H144:I144"/>
    <mergeCell ref="J144:K144"/>
    <mergeCell ref="L144:M144"/>
    <mergeCell ref="N144:O144"/>
    <mergeCell ref="P144:Q144"/>
    <mergeCell ref="R144:S144"/>
    <mergeCell ref="T144:U144"/>
    <mergeCell ref="V144:W144"/>
    <mergeCell ref="X144:Y144"/>
    <mergeCell ref="Z144:AA144"/>
    <mergeCell ref="AB144:AC144"/>
    <mergeCell ref="AD144:AE144"/>
    <mergeCell ref="AF144:AG144"/>
    <mergeCell ref="H143:I143"/>
    <mergeCell ref="J143:K143"/>
    <mergeCell ref="L143:M143"/>
    <mergeCell ref="N143:O143"/>
    <mergeCell ref="P143:Q143"/>
    <mergeCell ref="R143:S143"/>
    <mergeCell ref="T143:U143"/>
    <mergeCell ref="V143:W143"/>
    <mergeCell ref="X143:Y143"/>
    <mergeCell ref="Z141:AA141"/>
    <mergeCell ref="AB141:AC141"/>
    <mergeCell ref="AD141:AE141"/>
    <mergeCell ref="AF141:AG141"/>
    <mergeCell ref="H142:I142"/>
    <mergeCell ref="J142:K142"/>
    <mergeCell ref="L142:M142"/>
    <mergeCell ref="N142:O142"/>
    <mergeCell ref="P142:Q142"/>
    <mergeCell ref="R142:S142"/>
    <mergeCell ref="T142:U142"/>
    <mergeCell ref="V142:W142"/>
    <mergeCell ref="X142:Y142"/>
    <mergeCell ref="Z142:AA142"/>
    <mergeCell ref="AB142:AC142"/>
    <mergeCell ref="AD142:AE142"/>
    <mergeCell ref="AF142:AG142"/>
    <mergeCell ref="H141:I141"/>
    <mergeCell ref="J141:K141"/>
    <mergeCell ref="L141:M141"/>
    <mergeCell ref="N141:O141"/>
    <mergeCell ref="P141:Q141"/>
    <mergeCell ref="R141:S141"/>
    <mergeCell ref="T141:U141"/>
    <mergeCell ref="V141:W141"/>
    <mergeCell ref="X141:Y141"/>
    <mergeCell ref="Z139:AA139"/>
    <mergeCell ref="AB139:AC139"/>
    <mergeCell ref="AD139:AE139"/>
    <mergeCell ref="AF139:AG139"/>
    <mergeCell ref="H140:I140"/>
    <mergeCell ref="J140:K140"/>
    <mergeCell ref="L140:M140"/>
    <mergeCell ref="N140:O140"/>
    <mergeCell ref="P140:Q140"/>
    <mergeCell ref="R140:S140"/>
    <mergeCell ref="T140:U140"/>
    <mergeCell ref="V140:W140"/>
    <mergeCell ref="X140:Y140"/>
    <mergeCell ref="Z140:AA140"/>
    <mergeCell ref="AB140:AC140"/>
    <mergeCell ref="AD140:AE140"/>
    <mergeCell ref="AF140:AG140"/>
    <mergeCell ref="H139:I139"/>
    <mergeCell ref="J139:K139"/>
    <mergeCell ref="L139:M139"/>
    <mergeCell ref="N139:O139"/>
    <mergeCell ref="P139:Q139"/>
    <mergeCell ref="R139:S139"/>
    <mergeCell ref="T139:U139"/>
    <mergeCell ref="V139:W139"/>
    <mergeCell ref="X139:Y139"/>
    <mergeCell ref="Z137:AA137"/>
    <mergeCell ref="AB137:AC137"/>
    <mergeCell ref="AD137:AE137"/>
    <mergeCell ref="AF137:AG137"/>
    <mergeCell ref="H138:I138"/>
    <mergeCell ref="J138:K138"/>
    <mergeCell ref="L138:M138"/>
    <mergeCell ref="N138:O138"/>
    <mergeCell ref="P138:Q138"/>
    <mergeCell ref="R138:S138"/>
    <mergeCell ref="T138:U138"/>
    <mergeCell ref="V138:W138"/>
    <mergeCell ref="X138:Y138"/>
    <mergeCell ref="Z138:AA138"/>
    <mergeCell ref="AB138:AC138"/>
    <mergeCell ref="AD138:AE138"/>
    <mergeCell ref="AF138:AG138"/>
    <mergeCell ref="H137:I137"/>
    <mergeCell ref="J137:K137"/>
    <mergeCell ref="L137:M137"/>
    <mergeCell ref="N137:O137"/>
    <mergeCell ref="P137:Q137"/>
    <mergeCell ref="R137:S137"/>
    <mergeCell ref="T137:U137"/>
    <mergeCell ref="V137:W137"/>
    <mergeCell ref="X137:Y137"/>
    <mergeCell ref="H136:I136"/>
    <mergeCell ref="J136:K136"/>
    <mergeCell ref="L136:M136"/>
    <mergeCell ref="N136:O136"/>
    <mergeCell ref="P136:Q136"/>
    <mergeCell ref="R136:S136"/>
    <mergeCell ref="T136:U136"/>
    <mergeCell ref="V136:W136"/>
    <mergeCell ref="X136:Y136"/>
    <mergeCell ref="Z136:AA136"/>
    <mergeCell ref="AB136:AC136"/>
    <mergeCell ref="AD136:AE136"/>
    <mergeCell ref="AF136:AG136"/>
    <mergeCell ref="H135:I135"/>
    <mergeCell ref="J135:K135"/>
    <mergeCell ref="L135:M135"/>
    <mergeCell ref="N135:O135"/>
    <mergeCell ref="P135:Q135"/>
    <mergeCell ref="R135:S135"/>
    <mergeCell ref="T135:U135"/>
    <mergeCell ref="V135:W135"/>
    <mergeCell ref="X135:Y135"/>
    <mergeCell ref="D133:E133"/>
    <mergeCell ref="F133:G133"/>
    <mergeCell ref="H133:J133"/>
    <mergeCell ref="K133:M133"/>
    <mergeCell ref="N133:Q133"/>
    <mergeCell ref="R133:AM133"/>
    <mergeCell ref="H134:I134"/>
    <mergeCell ref="J134:K134"/>
    <mergeCell ref="L134:M134"/>
    <mergeCell ref="N134:O134"/>
    <mergeCell ref="P134:Q134"/>
    <mergeCell ref="R134:S134"/>
    <mergeCell ref="T134:U134"/>
    <mergeCell ref="V134:W134"/>
    <mergeCell ref="X134:Y134"/>
    <mergeCell ref="Z134:AA134"/>
    <mergeCell ref="AB134:AC134"/>
    <mergeCell ref="AD134:AE134"/>
    <mergeCell ref="AF134:AG134"/>
    <mergeCell ref="AH134:AH135"/>
    <mergeCell ref="AI134:AI135"/>
    <mergeCell ref="AJ134:AJ135"/>
    <mergeCell ref="AL134:AM135"/>
    <mergeCell ref="Z135:AA135"/>
    <mergeCell ref="AB135:AC135"/>
    <mergeCell ref="AD135:AE135"/>
    <mergeCell ref="AF135:AG135"/>
    <mergeCell ref="D131:G131"/>
    <mergeCell ref="H131:M131"/>
    <mergeCell ref="N131:AM131"/>
    <mergeCell ref="D132:E132"/>
    <mergeCell ref="F132:G132"/>
    <mergeCell ref="H132:J132"/>
    <mergeCell ref="K132:Y132"/>
    <mergeCell ref="Z132:AB132"/>
    <mergeCell ref="AC132:AM132"/>
    <mergeCell ref="AB128:AM128"/>
    <mergeCell ref="H129:I129"/>
    <mergeCell ref="J129:K129"/>
    <mergeCell ref="L129:M129"/>
    <mergeCell ref="N129:S129"/>
    <mergeCell ref="T129:Y129"/>
    <mergeCell ref="Z129:AA129"/>
    <mergeCell ref="H130:I130"/>
    <mergeCell ref="J130:K130"/>
    <mergeCell ref="L130:M130"/>
    <mergeCell ref="N130:S130"/>
    <mergeCell ref="T130:Y130"/>
    <mergeCell ref="Z130:AA130"/>
    <mergeCell ref="H127:I127"/>
    <mergeCell ref="J127:K127"/>
    <mergeCell ref="L127:M127"/>
    <mergeCell ref="N127:S127"/>
    <mergeCell ref="T127:Y127"/>
    <mergeCell ref="Z127:AA127"/>
    <mergeCell ref="H128:I128"/>
    <mergeCell ref="J128:K128"/>
    <mergeCell ref="L128:M128"/>
    <mergeCell ref="N128:S128"/>
    <mergeCell ref="T128:Y128"/>
    <mergeCell ref="Z128:AA128"/>
    <mergeCell ref="H125:I125"/>
    <mergeCell ref="J125:K125"/>
    <mergeCell ref="L125:M125"/>
    <mergeCell ref="N125:S125"/>
    <mergeCell ref="T125:Y125"/>
    <mergeCell ref="Z125:AA125"/>
    <mergeCell ref="H126:I126"/>
    <mergeCell ref="J126:K126"/>
    <mergeCell ref="L126:M126"/>
    <mergeCell ref="N126:S126"/>
    <mergeCell ref="T126:Y126"/>
    <mergeCell ref="Z126:AA126"/>
    <mergeCell ref="H123:I123"/>
    <mergeCell ref="J123:K123"/>
    <mergeCell ref="L123:M123"/>
    <mergeCell ref="N123:S123"/>
    <mergeCell ref="T123:Y123"/>
    <mergeCell ref="Z123:AA123"/>
    <mergeCell ref="H124:I124"/>
    <mergeCell ref="J124:K124"/>
    <mergeCell ref="L124:M124"/>
    <mergeCell ref="N124:S124"/>
    <mergeCell ref="T124:Y124"/>
    <mergeCell ref="Z124:AA124"/>
    <mergeCell ref="Z119:AA119"/>
    <mergeCell ref="AB119:AC119"/>
    <mergeCell ref="AD119:AE119"/>
    <mergeCell ref="AF119:AG119"/>
    <mergeCell ref="D121:I121"/>
    <mergeCell ref="J121:AA121"/>
    <mergeCell ref="AB121:AM121"/>
    <mergeCell ref="H122:I122"/>
    <mergeCell ref="J122:K122"/>
    <mergeCell ref="L122:M122"/>
    <mergeCell ref="N122:S122"/>
    <mergeCell ref="T122:Y122"/>
    <mergeCell ref="Z122:AA122"/>
    <mergeCell ref="H119:I119"/>
    <mergeCell ref="J119:K119"/>
    <mergeCell ref="L119:M119"/>
    <mergeCell ref="N119:O119"/>
    <mergeCell ref="P119:Q119"/>
    <mergeCell ref="R119:S119"/>
    <mergeCell ref="T119:U119"/>
    <mergeCell ref="V119:W119"/>
    <mergeCell ref="X119:Y119"/>
    <mergeCell ref="Z117:AA117"/>
    <mergeCell ref="AB117:AC117"/>
    <mergeCell ref="AD117:AE117"/>
    <mergeCell ref="AF117:AG117"/>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H117:I117"/>
    <mergeCell ref="J117:K117"/>
    <mergeCell ref="L117:M117"/>
    <mergeCell ref="N117:O117"/>
    <mergeCell ref="P117:Q117"/>
    <mergeCell ref="R117:S117"/>
    <mergeCell ref="T117:U117"/>
    <mergeCell ref="V117:W117"/>
    <mergeCell ref="X117:Y117"/>
    <mergeCell ref="Z115:AA115"/>
    <mergeCell ref="AB115:AC115"/>
    <mergeCell ref="AD115:AE115"/>
    <mergeCell ref="AF115:AG115"/>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H115:I115"/>
    <mergeCell ref="J115:K115"/>
    <mergeCell ref="L115:M115"/>
    <mergeCell ref="N115:O115"/>
    <mergeCell ref="P115:Q115"/>
    <mergeCell ref="R115:S115"/>
    <mergeCell ref="T115:U115"/>
    <mergeCell ref="V115:W115"/>
    <mergeCell ref="X115:Y115"/>
    <mergeCell ref="Z113:AA113"/>
    <mergeCell ref="AB113:AC113"/>
    <mergeCell ref="AD113:AE113"/>
    <mergeCell ref="AF113:AG113"/>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H113:I113"/>
    <mergeCell ref="J113:K113"/>
    <mergeCell ref="L113:M113"/>
    <mergeCell ref="N113:O113"/>
    <mergeCell ref="P113:Q113"/>
    <mergeCell ref="R113:S113"/>
    <mergeCell ref="T113:U113"/>
    <mergeCell ref="V113:W113"/>
    <mergeCell ref="X113:Y113"/>
    <mergeCell ref="Z111:AA111"/>
    <mergeCell ref="AB111:AC111"/>
    <mergeCell ref="AD111:AE111"/>
    <mergeCell ref="AF111:AG111"/>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H111:I111"/>
    <mergeCell ref="J111:K111"/>
    <mergeCell ref="L111:M111"/>
    <mergeCell ref="N111:O111"/>
    <mergeCell ref="P111:Q111"/>
    <mergeCell ref="R111:S111"/>
    <mergeCell ref="T111:U111"/>
    <mergeCell ref="V111:W111"/>
    <mergeCell ref="X111:Y111"/>
    <mergeCell ref="Z109:AA109"/>
    <mergeCell ref="AB109:AC109"/>
    <mergeCell ref="AD109:AE109"/>
    <mergeCell ref="AF109:AG109"/>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H109:I109"/>
    <mergeCell ref="J109:K109"/>
    <mergeCell ref="L109:M109"/>
    <mergeCell ref="N109:O109"/>
    <mergeCell ref="P109:Q109"/>
    <mergeCell ref="R109:S109"/>
    <mergeCell ref="T109:U109"/>
    <mergeCell ref="V109:W109"/>
    <mergeCell ref="X109:Y109"/>
    <mergeCell ref="Z107:AA107"/>
    <mergeCell ref="AB107:AC107"/>
    <mergeCell ref="AD107:AE107"/>
    <mergeCell ref="AF107:AG107"/>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H107:I107"/>
    <mergeCell ref="J107:K107"/>
    <mergeCell ref="L107:M107"/>
    <mergeCell ref="N107:O107"/>
    <mergeCell ref="P107:Q107"/>
    <mergeCell ref="R107:S107"/>
    <mergeCell ref="T107:U107"/>
    <mergeCell ref="V107:W107"/>
    <mergeCell ref="X107:Y107"/>
    <mergeCell ref="Z105:AA105"/>
    <mergeCell ref="AB105:AC105"/>
    <mergeCell ref="AD105:AE105"/>
    <mergeCell ref="AF105:AG105"/>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H105:I105"/>
    <mergeCell ref="J105:K105"/>
    <mergeCell ref="L105:M105"/>
    <mergeCell ref="N105:O105"/>
    <mergeCell ref="P105:Q105"/>
    <mergeCell ref="R105:S105"/>
    <mergeCell ref="T105:U105"/>
    <mergeCell ref="V105:W105"/>
    <mergeCell ref="X105:Y105"/>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H103:I103"/>
    <mergeCell ref="J103:K103"/>
    <mergeCell ref="L103:M103"/>
    <mergeCell ref="N103:O103"/>
    <mergeCell ref="P103:Q103"/>
    <mergeCell ref="R103:S103"/>
    <mergeCell ref="T103:U103"/>
    <mergeCell ref="V103:W103"/>
    <mergeCell ref="X103:Y103"/>
    <mergeCell ref="D101:E101"/>
    <mergeCell ref="F101:G101"/>
    <mergeCell ref="H101:J101"/>
    <mergeCell ref="K101:M101"/>
    <mergeCell ref="N101:Q101"/>
    <mergeCell ref="R101:AM101"/>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H103"/>
    <mergeCell ref="AI102:AI103"/>
    <mergeCell ref="AJ102:AJ103"/>
    <mergeCell ref="AL102:AM103"/>
    <mergeCell ref="Z103:AA103"/>
    <mergeCell ref="AB103:AC103"/>
    <mergeCell ref="AD103:AE103"/>
    <mergeCell ref="AF103:AG103"/>
    <mergeCell ref="D99:G99"/>
    <mergeCell ref="H99:M99"/>
    <mergeCell ref="N99:AM99"/>
    <mergeCell ref="D100:E100"/>
    <mergeCell ref="F100:G100"/>
    <mergeCell ref="H100:J100"/>
    <mergeCell ref="K100:Y100"/>
    <mergeCell ref="Z100:AB100"/>
    <mergeCell ref="AC100:AM100"/>
    <mergeCell ref="AB96:AM96"/>
    <mergeCell ref="H97:I97"/>
    <mergeCell ref="J97:K97"/>
    <mergeCell ref="L97:M97"/>
    <mergeCell ref="N97:S97"/>
    <mergeCell ref="T97:Y97"/>
    <mergeCell ref="Z97:AA97"/>
    <mergeCell ref="H98:I98"/>
    <mergeCell ref="J98:K98"/>
    <mergeCell ref="L98:M98"/>
    <mergeCell ref="N98:S98"/>
    <mergeCell ref="T98:Y98"/>
    <mergeCell ref="Z98:AA98"/>
    <mergeCell ref="H95:I95"/>
    <mergeCell ref="J95:K95"/>
    <mergeCell ref="L95:M95"/>
    <mergeCell ref="N95:S95"/>
    <mergeCell ref="T95:Y95"/>
    <mergeCell ref="Z95:AA95"/>
    <mergeCell ref="H96:I96"/>
    <mergeCell ref="J96:K96"/>
    <mergeCell ref="L96:M96"/>
    <mergeCell ref="N96:S96"/>
    <mergeCell ref="T96:Y96"/>
    <mergeCell ref="Z96:AA96"/>
    <mergeCell ref="H93:I93"/>
    <mergeCell ref="J93:K93"/>
    <mergeCell ref="L93:M93"/>
    <mergeCell ref="N93:S93"/>
    <mergeCell ref="T93:Y93"/>
    <mergeCell ref="Z93:AA93"/>
    <mergeCell ref="H94:I94"/>
    <mergeCell ref="J94:K94"/>
    <mergeCell ref="L94:M94"/>
    <mergeCell ref="N94:S94"/>
    <mergeCell ref="T94:Y94"/>
    <mergeCell ref="Z94:AA94"/>
    <mergeCell ref="H91:I91"/>
    <mergeCell ref="J91:K91"/>
    <mergeCell ref="L91:M91"/>
    <mergeCell ref="N91:S91"/>
    <mergeCell ref="T91:Y91"/>
    <mergeCell ref="Z91:AA91"/>
    <mergeCell ref="H92:I92"/>
    <mergeCell ref="J92:K92"/>
    <mergeCell ref="L92:M92"/>
    <mergeCell ref="N92:S92"/>
    <mergeCell ref="T92:Y92"/>
    <mergeCell ref="Z92:AA92"/>
    <mergeCell ref="Z87:AA87"/>
    <mergeCell ref="AB87:AC87"/>
    <mergeCell ref="AD87:AE87"/>
    <mergeCell ref="AF87:AG87"/>
    <mergeCell ref="D89:I89"/>
    <mergeCell ref="J89:AA89"/>
    <mergeCell ref="AB89:AM89"/>
    <mergeCell ref="H90:I90"/>
    <mergeCell ref="J90:K90"/>
    <mergeCell ref="L90:M90"/>
    <mergeCell ref="N90:S90"/>
    <mergeCell ref="T90:Y90"/>
    <mergeCell ref="Z90:AA90"/>
    <mergeCell ref="H87:I87"/>
    <mergeCell ref="J87:K87"/>
    <mergeCell ref="L87:M87"/>
    <mergeCell ref="N87:O87"/>
    <mergeCell ref="P87:Q87"/>
    <mergeCell ref="R87:S87"/>
    <mergeCell ref="T87:U87"/>
    <mergeCell ref="V87:W87"/>
    <mergeCell ref="X87:Y87"/>
    <mergeCell ref="Z85:AA85"/>
    <mergeCell ref="AB85:AC85"/>
    <mergeCell ref="AD85:AE85"/>
    <mergeCell ref="AF85:AG85"/>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H85:I85"/>
    <mergeCell ref="J85:K85"/>
    <mergeCell ref="L85:M85"/>
    <mergeCell ref="N85:O85"/>
    <mergeCell ref="P85:Q85"/>
    <mergeCell ref="R85:S85"/>
    <mergeCell ref="T85:U85"/>
    <mergeCell ref="V85:W85"/>
    <mergeCell ref="X85:Y85"/>
    <mergeCell ref="Z83:AA83"/>
    <mergeCell ref="AB83:AC83"/>
    <mergeCell ref="AD83:AE83"/>
    <mergeCell ref="AF83:AG83"/>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H83:I83"/>
    <mergeCell ref="J83:K83"/>
    <mergeCell ref="L83:M83"/>
    <mergeCell ref="N83:O83"/>
    <mergeCell ref="P83:Q83"/>
    <mergeCell ref="R83:S83"/>
    <mergeCell ref="T83:U83"/>
    <mergeCell ref="V83:W83"/>
    <mergeCell ref="X83:Y83"/>
    <mergeCell ref="Z81:AA81"/>
    <mergeCell ref="AB81:AC81"/>
    <mergeCell ref="AD81:AE81"/>
    <mergeCell ref="AF81:AG81"/>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H81:I81"/>
    <mergeCell ref="J81:K81"/>
    <mergeCell ref="L81:M81"/>
    <mergeCell ref="N81:O81"/>
    <mergeCell ref="P81:Q81"/>
    <mergeCell ref="R81:S81"/>
    <mergeCell ref="T81:U81"/>
    <mergeCell ref="V81:W81"/>
    <mergeCell ref="X81:Y81"/>
    <mergeCell ref="Z79:AA79"/>
    <mergeCell ref="AB79:AC79"/>
    <mergeCell ref="AD79:AE79"/>
    <mergeCell ref="AF79:AG79"/>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H79:I79"/>
    <mergeCell ref="J79:K79"/>
    <mergeCell ref="L79:M79"/>
    <mergeCell ref="N79:O79"/>
    <mergeCell ref="P79:Q79"/>
    <mergeCell ref="R79:S79"/>
    <mergeCell ref="T79:U79"/>
    <mergeCell ref="V79:W79"/>
    <mergeCell ref="X79:Y79"/>
    <mergeCell ref="Z77:AA77"/>
    <mergeCell ref="AB77:AC77"/>
    <mergeCell ref="AD77:AE77"/>
    <mergeCell ref="AF77:AG77"/>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H77:I77"/>
    <mergeCell ref="J77:K77"/>
    <mergeCell ref="L77:M77"/>
    <mergeCell ref="N77:O77"/>
    <mergeCell ref="P77:Q77"/>
    <mergeCell ref="R77:S77"/>
    <mergeCell ref="T77:U77"/>
    <mergeCell ref="V77:W77"/>
    <mergeCell ref="X77:Y77"/>
    <mergeCell ref="Z75:AA75"/>
    <mergeCell ref="AB75:AC75"/>
    <mergeCell ref="AD75:AE75"/>
    <mergeCell ref="AF75:AG75"/>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H75:I75"/>
    <mergeCell ref="J75:K75"/>
    <mergeCell ref="L75:M75"/>
    <mergeCell ref="N75:O75"/>
    <mergeCell ref="P75:Q75"/>
    <mergeCell ref="R75:S75"/>
    <mergeCell ref="T75:U75"/>
    <mergeCell ref="V75:W75"/>
    <mergeCell ref="X75:Y75"/>
    <mergeCell ref="Z73:AA73"/>
    <mergeCell ref="AB73:AC73"/>
    <mergeCell ref="AD73:AE73"/>
    <mergeCell ref="AF73:AG73"/>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H73:I73"/>
    <mergeCell ref="J73:K73"/>
    <mergeCell ref="L73:M73"/>
    <mergeCell ref="N73:O73"/>
    <mergeCell ref="P73:Q73"/>
    <mergeCell ref="R73:S73"/>
    <mergeCell ref="T73:U73"/>
    <mergeCell ref="V73:W73"/>
    <mergeCell ref="X73:Y73"/>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H71:I71"/>
    <mergeCell ref="J71:K71"/>
    <mergeCell ref="L71:M71"/>
    <mergeCell ref="N71:O71"/>
    <mergeCell ref="P71:Q71"/>
    <mergeCell ref="R71:S71"/>
    <mergeCell ref="T71:U71"/>
    <mergeCell ref="V71:W71"/>
    <mergeCell ref="X71:Y71"/>
    <mergeCell ref="D69:E69"/>
    <mergeCell ref="F69:G69"/>
    <mergeCell ref="H69:J69"/>
    <mergeCell ref="K69:M69"/>
    <mergeCell ref="N69:Q69"/>
    <mergeCell ref="R69:AM69"/>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H71"/>
    <mergeCell ref="AI70:AI71"/>
    <mergeCell ref="AJ70:AJ71"/>
    <mergeCell ref="AL70:AM71"/>
    <mergeCell ref="Z71:AA71"/>
    <mergeCell ref="AB71:AC71"/>
    <mergeCell ref="AD71:AE71"/>
    <mergeCell ref="AF71:AG71"/>
    <mergeCell ref="D67:G67"/>
    <mergeCell ref="H67:M67"/>
    <mergeCell ref="N67:AM67"/>
    <mergeCell ref="D68:E68"/>
    <mergeCell ref="F68:G68"/>
    <mergeCell ref="H68:J68"/>
    <mergeCell ref="K68:Y68"/>
    <mergeCell ref="Z68:AB68"/>
    <mergeCell ref="AC68:AM68"/>
    <mergeCell ref="AB64:AM64"/>
    <mergeCell ref="H65:I65"/>
    <mergeCell ref="J65:K65"/>
    <mergeCell ref="L65:M65"/>
    <mergeCell ref="N65:S65"/>
    <mergeCell ref="T65:Y65"/>
    <mergeCell ref="Z65:AA65"/>
    <mergeCell ref="H66:I66"/>
    <mergeCell ref="J66:K66"/>
    <mergeCell ref="L66:M66"/>
    <mergeCell ref="N66:S66"/>
    <mergeCell ref="T66:Y66"/>
    <mergeCell ref="Z66:AA66"/>
    <mergeCell ref="H63:I63"/>
    <mergeCell ref="J63:K63"/>
    <mergeCell ref="L63:M63"/>
    <mergeCell ref="N63:S63"/>
    <mergeCell ref="T63:Y63"/>
    <mergeCell ref="Z63:AA63"/>
    <mergeCell ref="H64:I64"/>
    <mergeCell ref="J64:K64"/>
    <mergeCell ref="L64:M64"/>
    <mergeCell ref="N64:S64"/>
    <mergeCell ref="T64:Y64"/>
    <mergeCell ref="Z64:AA64"/>
    <mergeCell ref="H61:I61"/>
    <mergeCell ref="J61:K61"/>
    <mergeCell ref="L61:M61"/>
    <mergeCell ref="N61:S61"/>
    <mergeCell ref="T61:Y61"/>
    <mergeCell ref="Z61:AA61"/>
    <mergeCell ref="H62:I62"/>
    <mergeCell ref="J62:K62"/>
    <mergeCell ref="L62:M62"/>
    <mergeCell ref="N62:S62"/>
    <mergeCell ref="T62:Y62"/>
    <mergeCell ref="Z62:AA62"/>
    <mergeCell ref="H59:I59"/>
    <mergeCell ref="J59:K59"/>
    <mergeCell ref="L59:M59"/>
    <mergeCell ref="N59:S59"/>
    <mergeCell ref="T59:Y59"/>
    <mergeCell ref="Z59:AA59"/>
    <mergeCell ref="H60:I60"/>
    <mergeCell ref="J60:K60"/>
    <mergeCell ref="L60:M60"/>
    <mergeCell ref="N60:S60"/>
    <mergeCell ref="T60:Y60"/>
    <mergeCell ref="Z60:AA60"/>
    <mergeCell ref="Z55:AA55"/>
    <mergeCell ref="AB55:AC55"/>
    <mergeCell ref="AD55:AE55"/>
    <mergeCell ref="AF55:AG55"/>
    <mergeCell ref="D57:I57"/>
    <mergeCell ref="J57:AA57"/>
    <mergeCell ref="AB57:AM57"/>
    <mergeCell ref="H58:I58"/>
    <mergeCell ref="J58:K58"/>
    <mergeCell ref="L58:M58"/>
    <mergeCell ref="N58:S58"/>
    <mergeCell ref="T58:Y58"/>
    <mergeCell ref="Z58:AA58"/>
    <mergeCell ref="H55:I55"/>
    <mergeCell ref="J55:K55"/>
    <mergeCell ref="L55:M55"/>
    <mergeCell ref="N55:O55"/>
    <mergeCell ref="P55:Q55"/>
    <mergeCell ref="R55:S55"/>
    <mergeCell ref="T55:U55"/>
    <mergeCell ref="V55:W55"/>
    <mergeCell ref="X55:Y55"/>
    <mergeCell ref="Z53:AA53"/>
    <mergeCell ref="AB53:AC53"/>
    <mergeCell ref="AD53:AE53"/>
    <mergeCell ref="AF53:AG53"/>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H53:I53"/>
    <mergeCell ref="J53:K53"/>
    <mergeCell ref="L53:M53"/>
    <mergeCell ref="N53:O53"/>
    <mergeCell ref="P53:Q53"/>
    <mergeCell ref="R53:S53"/>
    <mergeCell ref="T53:U53"/>
    <mergeCell ref="V53:W53"/>
    <mergeCell ref="X53:Y53"/>
    <mergeCell ref="Z51:AA51"/>
    <mergeCell ref="AB51:AC51"/>
    <mergeCell ref="AD51:AE51"/>
    <mergeCell ref="AF51:AG51"/>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H51:I51"/>
    <mergeCell ref="J51:K51"/>
    <mergeCell ref="L51:M51"/>
    <mergeCell ref="N51:O51"/>
    <mergeCell ref="P51:Q51"/>
    <mergeCell ref="R51:S51"/>
    <mergeCell ref="T51:U51"/>
    <mergeCell ref="V51:W51"/>
    <mergeCell ref="X51:Y51"/>
    <mergeCell ref="Z49:AA49"/>
    <mergeCell ref="AB49:AC49"/>
    <mergeCell ref="AD49:AE49"/>
    <mergeCell ref="AF49:AG49"/>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H49:I49"/>
    <mergeCell ref="J49:K49"/>
    <mergeCell ref="L49:M49"/>
    <mergeCell ref="N49:O49"/>
    <mergeCell ref="P49:Q49"/>
    <mergeCell ref="R49:S49"/>
    <mergeCell ref="T49:U49"/>
    <mergeCell ref="V49:W49"/>
    <mergeCell ref="X49:Y49"/>
    <mergeCell ref="Z47:AA47"/>
    <mergeCell ref="AB47:AC47"/>
    <mergeCell ref="AD47:AE47"/>
    <mergeCell ref="AF47:AG47"/>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H47:I47"/>
    <mergeCell ref="J47:K47"/>
    <mergeCell ref="L47:M47"/>
    <mergeCell ref="N47:O47"/>
    <mergeCell ref="P47:Q47"/>
    <mergeCell ref="R47:S47"/>
    <mergeCell ref="T47:U47"/>
    <mergeCell ref="V47:W47"/>
    <mergeCell ref="X47:Y47"/>
    <mergeCell ref="Z45:AA45"/>
    <mergeCell ref="AB45:AC45"/>
    <mergeCell ref="AD45:AE45"/>
    <mergeCell ref="AF45:AG45"/>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H45:I45"/>
    <mergeCell ref="J45:K45"/>
    <mergeCell ref="L45:M45"/>
    <mergeCell ref="N45:O45"/>
    <mergeCell ref="P45:Q45"/>
    <mergeCell ref="R45:S45"/>
    <mergeCell ref="T45:U45"/>
    <mergeCell ref="V45:W45"/>
    <mergeCell ref="X45:Y45"/>
    <mergeCell ref="Z43:AA43"/>
    <mergeCell ref="AB43:AC43"/>
    <mergeCell ref="AD43:AE43"/>
    <mergeCell ref="AF43:AG43"/>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H43:I43"/>
    <mergeCell ref="J43:K43"/>
    <mergeCell ref="L43:M43"/>
    <mergeCell ref="N43:O43"/>
    <mergeCell ref="P43:Q43"/>
    <mergeCell ref="R43:S43"/>
    <mergeCell ref="T43:U43"/>
    <mergeCell ref="V43:W43"/>
    <mergeCell ref="X43:Y43"/>
    <mergeCell ref="Z41:AA41"/>
    <mergeCell ref="AB41:AC41"/>
    <mergeCell ref="AD41:AE41"/>
    <mergeCell ref="AF41:AG41"/>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H41:I41"/>
    <mergeCell ref="J41:K41"/>
    <mergeCell ref="L41:M41"/>
    <mergeCell ref="N41:O41"/>
    <mergeCell ref="P41:Q41"/>
    <mergeCell ref="R41:S41"/>
    <mergeCell ref="T41:U41"/>
    <mergeCell ref="V41:W41"/>
    <mergeCell ref="X41:Y41"/>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H39:I39"/>
    <mergeCell ref="J39:K39"/>
    <mergeCell ref="L39:M39"/>
    <mergeCell ref="N39:O39"/>
    <mergeCell ref="P39:Q39"/>
    <mergeCell ref="R39:S39"/>
    <mergeCell ref="T39:U39"/>
    <mergeCell ref="V39:W39"/>
    <mergeCell ref="X39:Y39"/>
    <mergeCell ref="D37:E37"/>
    <mergeCell ref="F37:G37"/>
    <mergeCell ref="H37:J37"/>
    <mergeCell ref="K37:M37"/>
    <mergeCell ref="N37:Q37"/>
    <mergeCell ref="R37:AM37"/>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H39"/>
    <mergeCell ref="AI38:AI39"/>
    <mergeCell ref="AJ38:AJ39"/>
    <mergeCell ref="AL38:AM39"/>
    <mergeCell ref="Z39:AA39"/>
    <mergeCell ref="AB39:AC39"/>
    <mergeCell ref="AD39:AE39"/>
    <mergeCell ref="AF39:AG39"/>
    <mergeCell ref="D35:G35"/>
    <mergeCell ref="H35:M35"/>
    <mergeCell ref="N35:AM35"/>
    <mergeCell ref="D36:E36"/>
    <mergeCell ref="F36:G36"/>
    <mergeCell ref="H36:J36"/>
    <mergeCell ref="K36:Y36"/>
    <mergeCell ref="Z36:AB36"/>
    <mergeCell ref="AC36:AM36"/>
    <mergeCell ref="D5:E5"/>
    <mergeCell ref="F5:G5"/>
    <mergeCell ref="H5:J5"/>
    <mergeCell ref="K5:M5"/>
    <mergeCell ref="D4:E4"/>
    <mergeCell ref="F4:G4"/>
    <mergeCell ref="H4:J4"/>
    <mergeCell ref="K4:Y4"/>
    <mergeCell ref="Z4:AB4"/>
    <mergeCell ref="H6:I6"/>
    <mergeCell ref="J6:K6"/>
    <mergeCell ref="L6:M6"/>
    <mergeCell ref="N6:O6"/>
    <mergeCell ref="P6:Q6"/>
    <mergeCell ref="R6:S6"/>
    <mergeCell ref="T6:U6"/>
    <mergeCell ref="V6:W6"/>
    <mergeCell ref="AL6:AM7"/>
    <mergeCell ref="H7:I7"/>
    <mergeCell ref="P7:Q7"/>
    <mergeCell ref="R7:S7"/>
    <mergeCell ref="X6:Y6"/>
    <mergeCell ref="Z6:AA6"/>
    <mergeCell ref="AB6:AC6"/>
    <mergeCell ref="AD6:AE6"/>
    <mergeCell ref="AF6:AG6"/>
    <mergeCell ref="AH6:AH7"/>
    <mergeCell ref="AF7:AG7"/>
    <mergeCell ref="T7:U7"/>
    <mergeCell ref="V7:W7"/>
    <mergeCell ref="X7:Y7"/>
    <mergeCell ref="Z7:AA7"/>
    <mergeCell ref="AB7:AC7"/>
    <mergeCell ref="AD7:AE7"/>
    <mergeCell ref="AC4:AM4"/>
    <mergeCell ref="D3:G3"/>
    <mergeCell ref="N5:Q5"/>
    <mergeCell ref="R5:AM5"/>
    <mergeCell ref="AI6:AI7"/>
    <mergeCell ref="AJ6:AJ7"/>
    <mergeCell ref="J7:K7"/>
    <mergeCell ref="L7:M7"/>
    <mergeCell ref="N7:O7"/>
    <mergeCell ref="AF8:AG8"/>
    <mergeCell ref="H9:I9"/>
    <mergeCell ref="J9:K9"/>
    <mergeCell ref="L9:M9"/>
    <mergeCell ref="N9:O9"/>
    <mergeCell ref="P9:Q9"/>
    <mergeCell ref="R9:S9"/>
    <mergeCell ref="T9:U9"/>
    <mergeCell ref="V9:W9"/>
    <mergeCell ref="X9:Y9"/>
    <mergeCell ref="T8:U8"/>
    <mergeCell ref="V8:W8"/>
    <mergeCell ref="X8:Y8"/>
    <mergeCell ref="Z8:AA8"/>
    <mergeCell ref="AB8:AC8"/>
    <mergeCell ref="AD8:AE8"/>
    <mergeCell ref="H8:I8"/>
    <mergeCell ref="J8:K8"/>
    <mergeCell ref="L8:M8"/>
    <mergeCell ref="N8:O8"/>
    <mergeCell ref="P8:Q8"/>
    <mergeCell ref="R8:S8"/>
    <mergeCell ref="Z9:AA9"/>
    <mergeCell ref="AB9:AC9"/>
    <mergeCell ref="AD9:AE9"/>
    <mergeCell ref="AF9:AG9"/>
    <mergeCell ref="H10:I10"/>
    <mergeCell ref="J10:K10"/>
    <mergeCell ref="L10:M10"/>
    <mergeCell ref="N10:O10"/>
    <mergeCell ref="P10:Q10"/>
    <mergeCell ref="R10:S10"/>
    <mergeCell ref="AF10:AG10"/>
    <mergeCell ref="H11:I11"/>
    <mergeCell ref="J11:K11"/>
    <mergeCell ref="L11:M11"/>
    <mergeCell ref="N11:O11"/>
    <mergeCell ref="P11:Q11"/>
    <mergeCell ref="R11:S11"/>
    <mergeCell ref="T11:U11"/>
    <mergeCell ref="V11:W11"/>
    <mergeCell ref="X11:Y11"/>
    <mergeCell ref="T10:U10"/>
    <mergeCell ref="V10:W10"/>
    <mergeCell ref="X10:Y10"/>
    <mergeCell ref="Z10:AA10"/>
    <mergeCell ref="AB10:AC10"/>
    <mergeCell ref="AD10:AE10"/>
    <mergeCell ref="Z11:AA11"/>
    <mergeCell ref="AB11:AC11"/>
    <mergeCell ref="AD11:AE11"/>
    <mergeCell ref="AF11:AG11"/>
    <mergeCell ref="H12:I12"/>
    <mergeCell ref="J12:K12"/>
    <mergeCell ref="L12:M12"/>
    <mergeCell ref="N12:O12"/>
    <mergeCell ref="P12:Q12"/>
    <mergeCell ref="R12:S12"/>
    <mergeCell ref="AF12:AG12"/>
    <mergeCell ref="H13:I13"/>
    <mergeCell ref="J13:K13"/>
    <mergeCell ref="L13:M13"/>
    <mergeCell ref="N13:O13"/>
    <mergeCell ref="P13:Q13"/>
    <mergeCell ref="R13:S13"/>
    <mergeCell ref="T13:U13"/>
    <mergeCell ref="V13:W13"/>
    <mergeCell ref="X13:Y13"/>
    <mergeCell ref="T12:U12"/>
    <mergeCell ref="V12:W12"/>
    <mergeCell ref="X12:Y12"/>
    <mergeCell ref="Z12:AA12"/>
    <mergeCell ref="AB12:AC12"/>
    <mergeCell ref="AD12:AE12"/>
    <mergeCell ref="Z13:AA13"/>
    <mergeCell ref="AB13:AC13"/>
    <mergeCell ref="AD13:AE13"/>
    <mergeCell ref="AF13:AG13"/>
    <mergeCell ref="H14:I14"/>
    <mergeCell ref="J14:K14"/>
    <mergeCell ref="L14:M14"/>
    <mergeCell ref="N14:O14"/>
    <mergeCell ref="P14:Q14"/>
    <mergeCell ref="R14:S14"/>
    <mergeCell ref="AF14:AG14"/>
    <mergeCell ref="H15:I15"/>
    <mergeCell ref="J15:K15"/>
    <mergeCell ref="L15:M15"/>
    <mergeCell ref="N15:O15"/>
    <mergeCell ref="P15:Q15"/>
    <mergeCell ref="R15:S15"/>
    <mergeCell ref="T15:U15"/>
    <mergeCell ref="V15:W15"/>
    <mergeCell ref="X15:Y15"/>
    <mergeCell ref="T14:U14"/>
    <mergeCell ref="V14:W14"/>
    <mergeCell ref="X14:Y14"/>
    <mergeCell ref="Z14:AA14"/>
    <mergeCell ref="AB14:AC14"/>
    <mergeCell ref="AD14:AE14"/>
    <mergeCell ref="Z15:AA15"/>
    <mergeCell ref="AB15:AC15"/>
    <mergeCell ref="AD15:AE15"/>
    <mergeCell ref="AF15:AG15"/>
    <mergeCell ref="H16:I16"/>
    <mergeCell ref="J16:K16"/>
    <mergeCell ref="L16:M16"/>
    <mergeCell ref="N16:O16"/>
    <mergeCell ref="P16:Q16"/>
    <mergeCell ref="R16:S16"/>
    <mergeCell ref="AF16:AG16"/>
    <mergeCell ref="H17:I17"/>
    <mergeCell ref="J17:K17"/>
    <mergeCell ref="L17:M17"/>
    <mergeCell ref="N17:O17"/>
    <mergeCell ref="P17:Q17"/>
    <mergeCell ref="R17:S17"/>
    <mergeCell ref="T17:U17"/>
    <mergeCell ref="V17:W17"/>
    <mergeCell ref="X17:Y17"/>
    <mergeCell ref="T16:U16"/>
    <mergeCell ref="V16:W16"/>
    <mergeCell ref="X16:Y16"/>
    <mergeCell ref="Z16:AA16"/>
    <mergeCell ref="AB16:AC16"/>
    <mergeCell ref="AD16:AE16"/>
    <mergeCell ref="Z17:AA17"/>
    <mergeCell ref="AB17:AC17"/>
    <mergeCell ref="AD17:AE17"/>
    <mergeCell ref="AF17:AG17"/>
    <mergeCell ref="H18:I18"/>
    <mergeCell ref="J18:K18"/>
    <mergeCell ref="L18:M18"/>
    <mergeCell ref="N18:O18"/>
    <mergeCell ref="P18:Q18"/>
    <mergeCell ref="R18:S18"/>
    <mergeCell ref="AF18:AG18"/>
    <mergeCell ref="H19:I19"/>
    <mergeCell ref="J19:K19"/>
    <mergeCell ref="L19:M19"/>
    <mergeCell ref="N19:O19"/>
    <mergeCell ref="P19:Q19"/>
    <mergeCell ref="R19:S19"/>
    <mergeCell ref="T19:U19"/>
    <mergeCell ref="V19:W19"/>
    <mergeCell ref="X19:Y19"/>
    <mergeCell ref="T18:U18"/>
    <mergeCell ref="V18:W18"/>
    <mergeCell ref="X18:Y18"/>
    <mergeCell ref="Z18:AA18"/>
    <mergeCell ref="AB18:AC18"/>
    <mergeCell ref="AD18:AE18"/>
    <mergeCell ref="Z19:AA19"/>
    <mergeCell ref="AB19:AC19"/>
    <mergeCell ref="AD19:AE19"/>
    <mergeCell ref="AF19:AG19"/>
    <mergeCell ref="X22:Y22"/>
    <mergeCell ref="Z22:AA22"/>
    <mergeCell ref="AB22:AC22"/>
    <mergeCell ref="AD22:AE22"/>
    <mergeCell ref="H20:I20"/>
    <mergeCell ref="J20:K20"/>
    <mergeCell ref="L20:M20"/>
    <mergeCell ref="N20:O20"/>
    <mergeCell ref="P20:Q20"/>
    <mergeCell ref="R20:S20"/>
    <mergeCell ref="AF20:AG20"/>
    <mergeCell ref="H21:I21"/>
    <mergeCell ref="J21:K21"/>
    <mergeCell ref="L21:M21"/>
    <mergeCell ref="N21:O21"/>
    <mergeCell ref="P21:Q21"/>
    <mergeCell ref="R21:S21"/>
    <mergeCell ref="T21:U21"/>
    <mergeCell ref="V21:W21"/>
    <mergeCell ref="X21:Y21"/>
    <mergeCell ref="T20:U20"/>
    <mergeCell ref="V20:W20"/>
    <mergeCell ref="X20:Y20"/>
    <mergeCell ref="Z20:AA20"/>
    <mergeCell ref="AB20:AC20"/>
    <mergeCell ref="AD20:AE20"/>
    <mergeCell ref="Z21:AA21"/>
    <mergeCell ref="AB21:AC21"/>
    <mergeCell ref="AD21:AE21"/>
    <mergeCell ref="AF21:AG21"/>
    <mergeCell ref="L31:M31"/>
    <mergeCell ref="N31:S31"/>
    <mergeCell ref="T31:Y31"/>
    <mergeCell ref="Z31:AA31"/>
    <mergeCell ref="H30:I30"/>
    <mergeCell ref="J30:K30"/>
    <mergeCell ref="L30:M30"/>
    <mergeCell ref="H22:I22"/>
    <mergeCell ref="J22:K22"/>
    <mergeCell ref="L22:M22"/>
    <mergeCell ref="N22:O22"/>
    <mergeCell ref="P22:Q22"/>
    <mergeCell ref="R22:S22"/>
    <mergeCell ref="Z23:AA23"/>
    <mergeCell ref="AB23:AC23"/>
    <mergeCell ref="AD23:AE23"/>
    <mergeCell ref="AF23:AG23"/>
    <mergeCell ref="D25:I25"/>
    <mergeCell ref="J25:AA25"/>
    <mergeCell ref="AB25:AM25"/>
    <mergeCell ref="AF22:AG22"/>
    <mergeCell ref="H23:I23"/>
    <mergeCell ref="J23:K23"/>
    <mergeCell ref="L23:M23"/>
    <mergeCell ref="N23:O23"/>
    <mergeCell ref="P23:Q23"/>
    <mergeCell ref="R23:S23"/>
    <mergeCell ref="T23:U23"/>
    <mergeCell ref="V23:W23"/>
    <mergeCell ref="X23:Y23"/>
    <mergeCell ref="T22:U22"/>
    <mergeCell ref="V22:W22"/>
    <mergeCell ref="H26:I26"/>
    <mergeCell ref="J26:K26"/>
    <mergeCell ref="L26:M26"/>
    <mergeCell ref="N26:S26"/>
    <mergeCell ref="T26:Y26"/>
    <mergeCell ref="Z26:AA26"/>
    <mergeCell ref="H29:I29"/>
    <mergeCell ref="J29:K29"/>
    <mergeCell ref="L29:M29"/>
    <mergeCell ref="N29:S29"/>
    <mergeCell ref="T29:Y29"/>
    <mergeCell ref="Z29:AA29"/>
    <mergeCell ref="H28:I28"/>
    <mergeCell ref="J28:K28"/>
    <mergeCell ref="L28:M28"/>
    <mergeCell ref="N28:S28"/>
    <mergeCell ref="T28:Y28"/>
    <mergeCell ref="Z28:AA28"/>
    <mergeCell ref="N30:S30"/>
    <mergeCell ref="T30:Y30"/>
    <mergeCell ref="Z30:AA30"/>
    <mergeCell ref="H3:M3"/>
    <mergeCell ref="N3:AM3"/>
    <mergeCell ref="H34:I34"/>
    <mergeCell ref="J34:K34"/>
    <mergeCell ref="L34:M34"/>
    <mergeCell ref="N34:S34"/>
    <mergeCell ref="T34:Y34"/>
    <mergeCell ref="Z34:AA34"/>
    <mergeCell ref="AB32:AM32"/>
    <mergeCell ref="H33:I33"/>
    <mergeCell ref="J33:K33"/>
    <mergeCell ref="L33:M33"/>
    <mergeCell ref="N33:S33"/>
    <mergeCell ref="T33:Y33"/>
    <mergeCell ref="Z33:AA33"/>
    <mergeCell ref="H32:I32"/>
    <mergeCell ref="J32:K32"/>
    <mergeCell ref="L32:M32"/>
    <mergeCell ref="N32:S32"/>
    <mergeCell ref="T32:Y32"/>
    <mergeCell ref="Z32:AA32"/>
    <mergeCell ref="H31:I31"/>
    <mergeCell ref="J31:K31"/>
    <mergeCell ref="H27:I27"/>
    <mergeCell ref="J27:K27"/>
    <mergeCell ref="L27:M27"/>
    <mergeCell ref="N27:S27"/>
    <mergeCell ref="T27:Y27"/>
    <mergeCell ref="Z27:AA27"/>
  </mergeCells>
  <printOptions horizontalCentered="1"/>
  <pageMargins left="0.31496062992125984" right="0.31496062992125984" top="0.55118110236220474" bottom="0.55118110236220474" header="0.31496062992125984" footer="0.31496062992125984"/>
  <pageSetup paperSize="9" scale="99" orientation="landscape" blackAndWhite="1" r:id="rId1"/>
  <headerFooter>
    <oddFooter>&amp;L&amp;"+,Regular"&amp;8&amp;D &amp;T&amp;C&amp;G&amp;R&amp;"+,Regular"&amp;9&amp;F/&amp;A/Page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EG60"/>
  <sheetViews>
    <sheetView workbookViewId="0">
      <pane xSplit="3" ySplit="2" topLeftCell="BM3" activePane="bottomRight" state="frozen"/>
      <selection activeCell="O3" sqref="O3"/>
      <selection pane="topRight" activeCell="O3" sqref="O3"/>
      <selection pane="bottomLeft" activeCell="O3" sqref="O3"/>
      <selection pane="bottomRight" activeCell="I3" sqref="I3"/>
    </sheetView>
  </sheetViews>
  <sheetFormatPr defaultColWidth="8.86328125" defaultRowHeight="11.65" x14ac:dyDescent="0.35"/>
  <cols>
    <col min="1" max="1" width="8.86328125" style="64"/>
    <col min="2" max="2" width="13.1328125" style="64" bestFit="1" customWidth="1"/>
    <col min="3" max="3" width="12.86328125" style="64" bestFit="1" customWidth="1"/>
    <col min="4" max="4" width="8.86328125" style="64"/>
    <col min="5" max="5" width="13.1328125" style="66" bestFit="1" customWidth="1"/>
    <col min="6" max="7" width="8.86328125" style="65"/>
    <col min="8" max="8" width="8.86328125" style="66"/>
    <col min="9" max="40" width="3.86328125" style="129" customWidth="1"/>
    <col min="41" max="41" width="8.86328125" style="130"/>
    <col min="42" max="69" width="3.86328125" style="129" customWidth="1"/>
    <col min="70" max="70" width="8.86328125" style="130"/>
    <col min="71" max="94" width="3.86328125" style="129" customWidth="1"/>
    <col min="95" max="95" width="8.86328125" style="130"/>
    <col min="96" max="115" width="3.86328125" style="129" customWidth="1"/>
    <col min="116" max="116" width="8.86328125" style="64" customWidth="1"/>
    <col min="117" max="117" width="8.86328125" style="64" hidden="1" customWidth="1"/>
    <col min="118" max="122" width="8.86328125" style="66" hidden="1" customWidth="1"/>
    <col min="123" max="123" width="8.86328125" style="64" hidden="1" customWidth="1"/>
    <col min="124" max="124" width="14" style="64" hidden="1" customWidth="1"/>
    <col min="125" max="127" width="3.73046875" style="64" hidden="1" customWidth="1"/>
    <col min="128" max="128" width="16.73046875" style="64" hidden="1" customWidth="1"/>
    <col min="129" max="129" width="8.86328125" style="64" hidden="1" customWidth="1"/>
    <col min="130" max="132" width="3.73046875" style="64" hidden="1" customWidth="1"/>
    <col min="133" max="133" width="16.265625" style="64" hidden="1" customWidth="1"/>
    <col min="134" max="134" width="8.86328125" style="64" hidden="1" customWidth="1"/>
    <col min="135" max="136" width="0" style="64" hidden="1" customWidth="1"/>
    <col min="137" max="137" width="0" style="65" hidden="1" customWidth="1"/>
    <col min="138" max="16384" width="8.86328125" style="64"/>
  </cols>
  <sheetData>
    <row r="1" spans="1:137" s="89" customFormat="1" x14ac:dyDescent="0.35">
      <c r="D1" s="66" t="s">
        <v>89</v>
      </c>
      <c r="E1" s="66" t="s">
        <v>544</v>
      </c>
      <c r="F1" s="65" t="s">
        <v>30</v>
      </c>
      <c r="G1" s="65" t="s">
        <v>29</v>
      </c>
      <c r="H1" s="66" t="s">
        <v>259</v>
      </c>
      <c r="I1" s="127" t="s">
        <v>49</v>
      </c>
      <c r="J1" s="127"/>
      <c r="K1" s="127"/>
      <c r="L1" s="127"/>
      <c r="M1" s="127"/>
      <c r="N1" s="127"/>
      <c r="O1" s="127"/>
      <c r="P1" s="127"/>
      <c r="Q1" s="128" t="s">
        <v>50</v>
      </c>
      <c r="R1" s="127"/>
      <c r="S1" s="127"/>
      <c r="T1" s="127"/>
      <c r="U1" s="127"/>
      <c r="V1" s="127"/>
      <c r="W1" s="127"/>
      <c r="X1" s="127"/>
      <c r="Y1" s="128" t="s">
        <v>51</v>
      </c>
      <c r="Z1" s="127"/>
      <c r="AA1" s="127"/>
      <c r="AB1" s="127"/>
      <c r="AC1" s="127"/>
      <c r="AD1" s="127"/>
      <c r="AE1" s="127"/>
      <c r="AF1" s="127"/>
      <c r="AG1" s="128" t="s">
        <v>52</v>
      </c>
      <c r="AH1" s="127"/>
      <c r="AI1" s="127"/>
      <c r="AJ1" s="127"/>
      <c r="AK1" s="127"/>
      <c r="AL1" s="127"/>
      <c r="AM1" s="127"/>
      <c r="AN1" s="127"/>
      <c r="AP1" s="127" t="s">
        <v>49</v>
      </c>
      <c r="AQ1" s="127"/>
      <c r="AR1" s="127"/>
      <c r="AS1" s="127"/>
      <c r="AT1" s="127"/>
      <c r="AU1" s="127"/>
      <c r="AV1" s="127"/>
      <c r="AW1" s="128" t="s">
        <v>50</v>
      </c>
      <c r="AX1" s="127"/>
      <c r="AY1" s="127"/>
      <c r="AZ1" s="127"/>
      <c r="BA1" s="127"/>
      <c r="BB1" s="127"/>
      <c r="BC1" s="127"/>
      <c r="BD1" s="128" t="s">
        <v>51</v>
      </c>
      <c r="BE1" s="127"/>
      <c r="BF1" s="127"/>
      <c r="BG1" s="127"/>
      <c r="BH1" s="127"/>
      <c r="BI1" s="127"/>
      <c r="BJ1" s="127"/>
      <c r="BK1" s="128" t="s">
        <v>52</v>
      </c>
      <c r="BL1" s="127"/>
      <c r="BM1" s="127"/>
      <c r="BN1" s="127"/>
      <c r="BO1" s="127"/>
      <c r="BP1" s="127"/>
      <c r="BQ1" s="127"/>
      <c r="BS1" s="127" t="s">
        <v>49</v>
      </c>
      <c r="BT1" s="127"/>
      <c r="BU1" s="127"/>
      <c r="BV1" s="127"/>
      <c r="BW1" s="127"/>
      <c r="BX1" s="127"/>
      <c r="BY1" s="128" t="s">
        <v>50</v>
      </c>
      <c r="BZ1" s="127"/>
      <c r="CA1" s="127"/>
      <c r="CB1" s="127"/>
      <c r="CC1" s="127"/>
      <c r="CD1" s="127"/>
      <c r="CE1" s="128" t="s">
        <v>51</v>
      </c>
      <c r="CF1" s="127"/>
      <c r="CG1" s="127"/>
      <c r="CH1" s="127"/>
      <c r="CI1" s="127"/>
      <c r="CJ1" s="127"/>
      <c r="CK1" s="128" t="s">
        <v>52</v>
      </c>
      <c r="CL1" s="127"/>
      <c r="CM1" s="127"/>
      <c r="CN1" s="127"/>
      <c r="CO1" s="127"/>
      <c r="CP1" s="127"/>
      <c r="CR1" s="127" t="s">
        <v>49</v>
      </c>
      <c r="CS1" s="127"/>
      <c r="CT1" s="127"/>
      <c r="CU1" s="127"/>
      <c r="CV1" s="127"/>
      <c r="CW1" s="128" t="s">
        <v>50</v>
      </c>
      <c r="CX1" s="127"/>
      <c r="CY1" s="127"/>
      <c r="CZ1" s="127"/>
      <c r="DA1" s="127"/>
      <c r="DB1" s="128" t="s">
        <v>51</v>
      </c>
      <c r="DC1" s="127"/>
      <c r="DD1" s="127"/>
      <c r="DE1" s="127"/>
      <c r="DF1" s="127"/>
      <c r="DG1" s="128" t="s">
        <v>52</v>
      </c>
      <c r="DH1" s="127"/>
      <c r="DI1" s="127"/>
      <c r="DJ1" s="127"/>
      <c r="DK1" s="127"/>
      <c r="DO1" s="192"/>
      <c r="EG1" s="65" t="s">
        <v>29</v>
      </c>
    </row>
    <row r="2" spans="1:137" s="70" customFormat="1" ht="23.25" x14ac:dyDescent="0.45">
      <c r="A2" s="70" t="s">
        <v>90</v>
      </c>
      <c r="B2" s="70" t="s">
        <v>1</v>
      </c>
      <c r="C2" s="70" t="s">
        <v>2</v>
      </c>
      <c r="F2" s="193" t="s">
        <v>0</v>
      </c>
      <c r="G2" s="193" t="s">
        <v>0</v>
      </c>
      <c r="H2" s="82"/>
      <c r="I2" s="194">
        <v>1</v>
      </c>
      <c r="J2" s="194">
        <v>2</v>
      </c>
      <c r="K2" s="194">
        <v>3</v>
      </c>
      <c r="L2" s="194">
        <v>4</v>
      </c>
      <c r="M2" s="194">
        <v>5</v>
      </c>
      <c r="N2" s="194">
        <v>6</v>
      </c>
      <c r="O2" s="194">
        <v>7</v>
      </c>
      <c r="P2" s="194">
        <v>8</v>
      </c>
      <c r="Q2" s="195">
        <v>1</v>
      </c>
      <c r="R2" s="194">
        <v>2</v>
      </c>
      <c r="S2" s="194">
        <v>3</v>
      </c>
      <c r="T2" s="194">
        <v>4</v>
      </c>
      <c r="U2" s="194">
        <v>5</v>
      </c>
      <c r="V2" s="194">
        <v>6</v>
      </c>
      <c r="W2" s="194">
        <v>7</v>
      </c>
      <c r="X2" s="194">
        <v>8</v>
      </c>
      <c r="Y2" s="195">
        <v>1</v>
      </c>
      <c r="Z2" s="194">
        <v>2</v>
      </c>
      <c r="AA2" s="194">
        <v>3</v>
      </c>
      <c r="AB2" s="194">
        <v>4</v>
      </c>
      <c r="AC2" s="194">
        <v>5</v>
      </c>
      <c r="AD2" s="194">
        <v>6</v>
      </c>
      <c r="AE2" s="194">
        <v>7</v>
      </c>
      <c r="AF2" s="194">
        <v>8</v>
      </c>
      <c r="AG2" s="195">
        <v>1</v>
      </c>
      <c r="AH2" s="194">
        <v>2</v>
      </c>
      <c r="AI2" s="194">
        <v>3</v>
      </c>
      <c r="AJ2" s="194">
        <v>4</v>
      </c>
      <c r="AK2" s="194">
        <v>5</v>
      </c>
      <c r="AL2" s="194">
        <v>6</v>
      </c>
      <c r="AM2" s="194">
        <v>7</v>
      </c>
      <c r="AN2" s="194">
        <v>8</v>
      </c>
      <c r="AO2" s="196"/>
      <c r="AP2" s="194">
        <v>2</v>
      </c>
      <c r="AQ2" s="194">
        <v>3</v>
      </c>
      <c r="AR2" s="194">
        <v>4</v>
      </c>
      <c r="AS2" s="194">
        <v>5</v>
      </c>
      <c r="AT2" s="194">
        <v>6</v>
      </c>
      <c r="AU2" s="194">
        <v>7</v>
      </c>
      <c r="AV2" s="194">
        <v>8</v>
      </c>
      <c r="AW2" s="195">
        <v>2</v>
      </c>
      <c r="AX2" s="194">
        <v>3</v>
      </c>
      <c r="AY2" s="194">
        <v>4</v>
      </c>
      <c r="AZ2" s="194">
        <v>5</v>
      </c>
      <c r="BA2" s="194">
        <v>6</v>
      </c>
      <c r="BB2" s="194">
        <v>7</v>
      </c>
      <c r="BC2" s="194">
        <v>8</v>
      </c>
      <c r="BD2" s="195">
        <v>2</v>
      </c>
      <c r="BE2" s="194">
        <v>3</v>
      </c>
      <c r="BF2" s="194">
        <v>4</v>
      </c>
      <c r="BG2" s="194">
        <v>5</v>
      </c>
      <c r="BH2" s="194">
        <v>6</v>
      </c>
      <c r="BI2" s="194">
        <v>7</v>
      </c>
      <c r="BJ2" s="194">
        <v>8</v>
      </c>
      <c r="BK2" s="195">
        <v>1</v>
      </c>
      <c r="BL2" s="194">
        <v>2</v>
      </c>
      <c r="BM2" s="194">
        <v>3</v>
      </c>
      <c r="BN2" s="194">
        <v>4</v>
      </c>
      <c r="BO2" s="194">
        <v>5</v>
      </c>
      <c r="BP2" s="194">
        <v>6</v>
      </c>
      <c r="BQ2" s="194">
        <v>7</v>
      </c>
      <c r="BR2" s="196"/>
      <c r="BS2" s="194">
        <v>2</v>
      </c>
      <c r="BT2" s="194">
        <v>3</v>
      </c>
      <c r="BU2" s="194">
        <v>4</v>
      </c>
      <c r="BV2" s="194">
        <v>5</v>
      </c>
      <c r="BW2" s="194">
        <v>6</v>
      </c>
      <c r="BX2" s="194">
        <v>7</v>
      </c>
      <c r="BY2" s="195">
        <v>2</v>
      </c>
      <c r="BZ2" s="194">
        <v>3</v>
      </c>
      <c r="CA2" s="194">
        <v>4</v>
      </c>
      <c r="CB2" s="194">
        <v>5</v>
      </c>
      <c r="CC2" s="194">
        <v>6</v>
      </c>
      <c r="CD2" s="194">
        <v>7</v>
      </c>
      <c r="CE2" s="195">
        <v>2</v>
      </c>
      <c r="CF2" s="194">
        <v>3</v>
      </c>
      <c r="CG2" s="194">
        <v>4</v>
      </c>
      <c r="CH2" s="194">
        <v>5</v>
      </c>
      <c r="CI2" s="194">
        <v>6</v>
      </c>
      <c r="CJ2" s="194">
        <v>7</v>
      </c>
      <c r="CK2" s="195">
        <v>2</v>
      </c>
      <c r="CL2" s="194">
        <v>3</v>
      </c>
      <c r="CM2" s="194">
        <v>4</v>
      </c>
      <c r="CN2" s="194">
        <v>5</v>
      </c>
      <c r="CO2" s="194">
        <v>6</v>
      </c>
      <c r="CP2" s="194">
        <v>7</v>
      </c>
      <c r="CQ2" s="196"/>
      <c r="CR2" s="194">
        <v>3</v>
      </c>
      <c r="CS2" s="194">
        <v>4</v>
      </c>
      <c r="CT2" s="194">
        <v>5</v>
      </c>
      <c r="CU2" s="194">
        <v>6</v>
      </c>
      <c r="CV2" s="194">
        <v>7</v>
      </c>
      <c r="CW2" s="195">
        <v>3</v>
      </c>
      <c r="CX2" s="194">
        <v>4</v>
      </c>
      <c r="CY2" s="194">
        <v>5</v>
      </c>
      <c r="CZ2" s="194">
        <v>6</v>
      </c>
      <c r="DA2" s="194">
        <v>7</v>
      </c>
      <c r="DB2" s="195">
        <v>3</v>
      </c>
      <c r="DC2" s="194">
        <v>4</v>
      </c>
      <c r="DD2" s="194">
        <v>5</v>
      </c>
      <c r="DE2" s="194">
        <v>6</v>
      </c>
      <c r="DF2" s="194">
        <v>7</v>
      </c>
      <c r="DG2" s="195">
        <v>3</v>
      </c>
      <c r="DH2" s="194">
        <v>4</v>
      </c>
      <c r="DI2" s="194">
        <v>5</v>
      </c>
      <c r="DJ2" s="194">
        <v>6</v>
      </c>
      <c r="DK2" s="194">
        <v>7</v>
      </c>
      <c r="DN2" s="82" t="s">
        <v>157</v>
      </c>
      <c r="DO2" s="197" t="s">
        <v>139</v>
      </c>
      <c r="DP2" s="82" t="s">
        <v>131</v>
      </c>
      <c r="DQ2" s="197" t="s">
        <v>140</v>
      </c>
      <c r="DR2" s="82" t="s">
        <v>141</v>
      </c>
      <c r="DT2" s="70" t="s">
        <v>672</v>
      </c>
      <c r="ED2" s="70" t="s">
        <v>682</v>
      </c>
      <c r="EG2" s="193" t="s">
        <v>0</v>
      </c>
    </row>
    <row r="3" spans="1:137" x14ac:dyDescent="0.35">
      <c r="A3" s="64" t="s">
        <v>32</v>
      </c>
      <c r="B3" s="64" t="s">
        <v>3</v>
      </c>
      <c r="C3" s="64" t="s">
        <v>4</v>
      </c>
      <c r="D3" s="66">
        <v>3</v>
      </c>
      <c r="E3" s="66">
        <v>36</v>
      </c>
      <c r="F3" s="429" t="s">
        <v>1386</v>
      </c>
      <c r="G3" s="430" t="s">
        <v>1386</v>
      </c>
      <c r="H3" s="66" t="s">
        <v>215</v>
      </c>
      <c r="I3" s="129">
        <v>4</v>
      </c>
      <c r="J3" s="129">
        <v>6</v>
      </c>
      <c r="K3" s="129">
        <v>7</v>
      </c>
      <c r="L3" s="129">
        <v>5</v>
      </c>
      <c r="M3" s="129">
        <v>1</v>
      </c>
      <c r="N3" s="129">
        <v>3</v>
      </c>
      <c r="O3" s="129">
        <v>2</v>
      </c>
      <c r="P3" s="374">
        <v>8</v>
      </c>
      <c r="Q3" s="129">
        <v>5</v>
      </c>
      <c r="R3" s="129">
        <v>1</v>
      </c>
      <c r="S3" s="129">
        <v>4</v>
      </c>
      <c r="T3" s="129">
        <v>8</v>
      </c>
      <c r="U3" s="129">
        <v>7</v>
      </c>
      <c r="V3" s="129">
        <v>6</v>
      </c>
      <c r="W3" s="129">
        <v>2</v>
      </c>
      <c r="X3" s="374">
        <v>3</v>
      </c>
      <c r="Y3" s="129">
        <v>7</v>
      </c>
      <c r="Z3" s="129">
        <v>8</v>
      </c>
      <c r="AA3" s="129">
        <v>1</v>
      </c>
      <c r="AB3" s="129">
        <v>2</v>
      </c>
      <c r="AC3" s="129">
        <v>3</v>
      </c>
      <c r="AD3" s="129">
        <v>4</v>
      </c>
      <c r="AE3" s="129">
        <v>6</v>
      </c>
      <c r="AF3" s="374">
        <v>5</v>
      </c>
      <c r="AG3" s="129">
        <v>6</v>
      </c>
      <c r="AH3" s="129">
        <v>3</v>
      </c>
      <c r="AI3" s="129">
        <v>2</v>
      </c>
      <c r="AJ3" s="129">
        <v>5</v>
      </c>
      <c r="AK3" s="129">
        <v>1</v>
      </c>
      <c r="AL3" s="129">
        <v>8</v>
      </c>
      <c r="AM3" s="129">
        <v>7</v>
      </c>
      <c r="AN3" s="374">
        <v>4</v>
      </c>
      <c r="AP3" s="129">
        <v>4</v>
      </c>
      <c r="AQ3" s="129">
        <v>6</v>
      </c>
      <c r="AR3" s="129">
        <v>7</v>
      </c>
      <c r="AS3" s="129">
        <v>5</v>
      </c>
      <c r="AT3" s="129">
        <v>1</v>
      </c>
      <c r="AU3" s="129">
        <v>3</v>
      </c>
      <c r="AV3" s="374">
        <v>2</v>
      </c>
      <c r="AW3" s="129">
        <v>5</v>
      </c>
      <c r="AX3" s="129">
        <v>1</v>
      </c>
      <c r="AY3" s="129">
        <v>4</v>
      </c>
      <c r="AZ3" s="129">
        <v>7</v>
      </c>
      <c r="BA3" s="129">
        <v>6</v>
      </c>
      <c r="BB3" s="129">
        <v>2</v>
      </c>
      <c r="BC3" s="374">
        <v>3</v>
      </c>
      <c r="BD3" s="129">
        <v>7</v>
      </c>
      <c r="BE3" s="129">
        <v>1</v>
      </c>
      <c r="BF3" s="129">
        <v>2</v>
      </c>
      <c r="BG3" s="129">
        <v>3</v>
      </c>
      <c r="BH3" s="129">
        <v>4</v>
      </c>
      <c r="BI3" s="129">
        <v>6</v>
      </c>
      <c r="BJ3" s="374">
        <v>5</v>
      </c>
      <c r="BK3" s="129">
        <v>6</v>
      </c>
      <c r="BL3" s="129">
        <v>3</v>
      </c>
      <c r="BM3" s="129">
        <v>2</v>
      </c>
      <c r="BN3" s="129">
        <v>5</v>
      </c>
      <c r="BO3" s="129">
        <v>1</v>
      </c>
      <c r="BP3" s="129">
        <v>7</v>
      </c>
      <c r="BQ3" s="374">
        <v>4</v>
      </c>
      <c r="BS3" s="129">
        <v>4</v>
      </c>
      <c r="BT3" s="129">
        <v>6</v>
      </c>
      <c r="BU3" s="129">
        <v>5</v>
      </c>
      <c r="BV3" s="129">
        <v>1</v>
      </c>
      <c r="BW3" s="129">
        <v>3</v>
      </c>
      <c r="BX3" s="374">
        <v>2</v>
      </c>
      <c r="BY3" s="129">
        <v>5</v>
      </c>
      <c r="BZ3" s="129">
        <v>1</v>
      </c>
      <c r="CA3" s="129">
        <v>4</v>
      </c>
      <c r="CB3" s="129">
        <v>6</v>
      </c>
      <c r="CC3" s="129">
        <v>2</v>
      </c>
      <c r="CD3" s="374">
        <v>3</v>
      </c>
      <c r="CE3" s="129">
        <v>1</v>
      </c>
      <c r="CF3" s="129">
        <v>2</v>
      </c>
      <c r="CG3" s="129">
        <v>3</v>
      </c>
      <c r="CH3" s="129">
        <v>4</v>
      </c>
      <c r="CI3" s="129">
        <v>6</v>
      </c>
      <c r="CJ3" s="374">
        <v>5</v>
      </c>
      <c r="CK3" s="129">
        <v>6</v>
      </c>
      <c r="CL3" s="129">
        <v>3</v>
      </c>
      <c r="CM3" s="129">
        <v>2</v>
      </c>
      <c r="CN3" s="129">
        <v>5</v>
      </c>
      <c r="CO3" s="129">
        <v>1</v>
      </c>
      <c r="CP3" s="374">
        <v>4</v>
      </c>
      <c r="CR3" s="129">
        <v>4</v>
      </c>
      <c r="CS3" s="129">
        <v>5</v>
      </c>
      <c r="CT3" s="129">
        <v>1</v>
      </c>
      <c r="CU3" s="129">
        <v>3</v>
      </c>
      <c r="CV3" s="374">
        <v>2</v>
      </c>
      <c r="CW3" s="129">
        <v>5</v>
      </c>
      <c r="CX3" s="129">
        <v>1</v>
      </c>
      <c r="CY3" s="129">
        <v>4</v>
      </c>
      <c r="CZ3" s="129">
        <v>2</v>
      </c>
      <c r="DA3" s="374">
        <v>3</v>
      </c>
      <c r="DB3" s="129">
        <v>1</v>
      </c>
      <c r="DC3" s="129">
        <v>2</v>
      </c>
      <c r="DD3" s="129">
        <v>3</v>
      </c>
      <c r="DE3" s="129">
        <v>4</v>
      </c>
      <c r="DF3" s="374">
        <v>5</v>
      </c>
      <c r="DG3" s="129">
        <v>3</v>
      </c>
      <c r="DH3" s="129">
        <v>2</v>
      </c>
      <c r="DI3" s="129">
        <v>5</v>
      </c>
      <c r="DJ3" s="129">
        <v>1</v>
      </c>
      <c r="DK3" s="374">
        <v>4</v>
      </c>
      <c r="DN3" s="66">
        <f>DO3*10+DP3</f>
        <v>81</v>
      </c>
      <c r="DO3" s="66">
        <v>8</v>
      </c>
      <c r="DP3" s="66">
        <v>1</v>
      </c>
      <c r="DQ3" s="66" t="s">
        <v>138</v>
      </c>
      <c r="DR3" s="66">
        <v>9</v>
      </c>
      <c r="DT3" s="100" t="str">
        <f>"'Track1'!"</f>
        <v>'Track1'!</v>
      </c>
      <c r="DU3" s="100" t="s">
        <v>673</v>
      </c>
      <c r="DV3" s="100" t="s">
        <v>333</v>
      </c>
      <c r="DW3" s="64">
        <f t="shared" ref="DW3:DW34" ca="1" si="0">IFERROR(MATCH(A3,INDIRECT(CONCATENATE(DT3,DU3)),0),"-")</f>
        <v>2</v>
      </c>
      <c r="DX3" s="64" t="str">
        <f ca="1">IFERROR(CONCATENATE(DT3,DV3,DW3+2),"-")</f>
        <v>'Track1'!C4</v>
      </c>
      <c r="DY3" s="100" t="str">
        <f>"'Track1'!"</f>
        <v>'Track1'!</v>
      </c>
      <c r="DZ3" s="100" t="s">
        <v>673</v>
      </c>
      <c r="EA3" s="100" t="s">
        <v>218</v>
      </c>
      <c r="EB3" s="100">
        <f t="shared" ref="EB3:EB34" ca="1" si="1">IFERROR(MATCH(A3,INDIRECT(CONCATENATE(DY3,DZ3)),0),"-")</f>
        <v>2</v>
      </c>
      <c r="EC3" s="64" t="str">
        <f ca="1">IFERROR(CONCATENATE(DY3,EA3,EB3+2),"-")</f>
        <v>'Track1'!R4</v>
      </c>
      <c r="EG3" s="65">
        <v>11.3</v>
      </c>
    </row>
    <row r="4" spans="1:137" x14ac:dyDescent="0.35">
      <c r="A4" s="64" t="s">
        <v>33</v>
      </c>
      <c r="B4" s="64" t="s">
        <v>5</v>
      </c>
      <c r="C4" s="64" t="s">
        <v>6</v>
      </c>
      <c r="D4" s="66">
        <v>4</v>
      </c>
      <c r="E4" s="66">
        <v>86</v>
      </c>
      <c r="F4" s="429" t="s">
        <v>1387</v>
      </c>
      <c r="G4" s="430" t="s">
        <v>1387</v>
      </c>
      <c r="H4" s="66" t="s">
        <v>215</v>
      </c>
      <c r="I4" s="131">
        <f>I$3</f>
        <v>4</v>
      </c>
      <c r="J4" s="131">
        <f t="shared" ref="J4:AH6" si="2">J$3</f>
        <v>6</v>
      </c>
      <c r="K4" s="131">
        <f t="shared" si="2"/>
        <v>7</v>
      </c>
      <c r="L4" s="131">
        <f t="shared" si="2"/>
        <v>5</v>
      </c>
      <c r="M4" s="131">
        <f t="shared" si="2"/>
        <v>1</v>
      </c>
      <c r="N4" s="131">
        <f t="shared" si="2"/>
        <v>3</v>
      </c>
      <c r="O4" s="131">
        <f t="shared" si="2"/>
        <v>2</v>
      </c>
      <c r="P4" s="375">
        <f t="shared" si="2"/>
        <v>8</v>
      </c>
      <c r="Q4" s="131">
        <f>Q$3</f>
        <v>5</v>
      </c>
      <c r="R4" s="131">
        <f t="shared" si="2"/>
        <v>1</v>
      </c>
      <c r="S4" s="131">
        <f t="shared" si="2"/>
        <v>4</v>
      </c>
      <c r="T4" s="131">
        <f t="shared" si="2"/>
        <v>8</v>
      </c>
      <c r="U4" s="131">
        <f t="shared" si="2"/>
        <v>7</v>
      </c>
      <c r="V4" s="131">
        <f t="shared" si="2"/>
        <v>6</v>
      </c>
      <c r="W4" s="131">
        <f t="shared" si="2"/>
        <v>2</v>
      </c>
      <c r="X4" s="375">
        <f t="shared" si="2"/>
        <v>3</v>
      </c>
      <c r="Y4" s="131">
        <f>Y$3</f>
        <v>7</v>
      </c>
      <c r="Z4" s="131">
        <f t="shared" si="2"/>
        <v>8</v>
      </c>
      <c r="AA4" s="131">
        <f t="shared" si="2"/>
        <v>1</v>
      </c>
      <c r="AB4" s="131">
        <f t="shared" si="2"/>
        <v>2</v>
      </c>
      <c r="AC4" s="131">
        <f t="shared" si="2"/>
        <v>3</v>
      </c>
      <c r="AD4" s="131">
        <f t="shared" si="2"/>
        <v>4</v>
      </c>
      <c r="AE4" s="131">
        <f t="shared" si="2"/>
        <v>6</v>
      </c>
      <c r="AF4" s="375">
        <f t="shared" si="2"/>
        <v>5</v>
      </c>
      <c r="AG4" s="131">
        <f>AG$3</f>
        <v>6</v>
      </c>
      <c r="AH4" s="131">
        <f t="shared" si="2"/>
        <v>3</v>
      </c>
      <c r="AI4" s="131">
        <f t="shared" ref="AG4:AN6" si="3">AI$3</f>
        <v>2</v>
      </c>
      <c r="AJ4" s="131">
        <f t="shared" si="3"/>
        <v>5</v>
      </c>
      <c r="AK4" s="131">
        <f t="shared" si="3"/>
        <v>1</v>
      </c>
      <c r="AL4" s="131">
        <f t="shared" si="3"/>
        <v>8</v>
      </c>
      <c r="AM4" s="131">
        <f t="shared" si="3"/>
        <v>7</v>
      </c>
      <c r="AN4" s="375">
        <f t="shared" si="3"/>
        <v>4</v>
      </c>
      <c r="AP4" s="131">
        <f t="shared" ref="AP4:BE6" si="4">AP$3</f>
        <v>4</v>
      </c>
      <c r="AQ4" s="131">
        <f t="shared" si="4"/>
        <v>6</v>
      </c>
      <c r="AR4" s="131">
        <f t="shared" si="4"/>
        <v>7</v>
      </c>
      <c r="AS4" s="131">
        <f t="shared" si="4"/>
        <v>5</v>
      </c>
      <c r="AT4" s="131">
        <f t="shared" si="4"/>
        <v>1</v>
      </c>
      <c r="AU4" s="131">
        <f t="shared" si="4"/>
        <v>3</v>
      </c>
      <c r="AV4" s="375">
        <f t="shared" si="4"/>
        <v>2</v>
      </c>
      <c r="AW4" s="131">
        <f t="shared" si="4"/>
        <v>5</v>
      </c>
      <c r="AX4" s="131">
        <f t="shared" si="4"/>
        <v>1</v>
      </c>
      <c r="AY4" s="131">
        <f t="shared" si="4"/>
        <v>4</v>
      </c>
      <c r="AZ4" s="131">
        <f t="shared" si="4"/>
        <v>7</v>
      </c>
      <c r="BA4" s="131">
        <f t="shared" si="4"/>
        <v>6</v>
      </c>
      <c r="BB4" s="131">
        <f t="shared" si="4"/>
        <v>2</v>
      </c>
      <c r="BC4" s="375">
        <f t="shared" si="4"/>
        <v>3</v>
      </c>
      <c r="BD4" s="131">
        <f t="shared" si="4"/>
        <v>7</v>
      </c>
      <c r="BE4" s="131">
        <f t="shared" si="4"/>
        <v>1</v>
      </c>
      <c r="BF4" s="131">
        <f t="shared" ref="BD4:BQ6" si="5">BF$3</f>
        <v>2</v>
      </c>
      <c r="BG4" s="131">
        <f t="shared" si="5"/>
        <v>3</v>
      </c>
      <c r="BH4" s="131">
        <f t="shared" si="5"/>
        <v>4</v>
      </c>
      <c r="BI4" s="131">
        <f t="shared" si="5"/>
        <v>6</v>
      </c>
      <c r="BJ4" s="375">
        <f t="shared" si="5"/>
        <v>5</v>
      </c>
      <c r="BK4" s="131">
        <f t="shared" si="5"/>
        <v>6</v>
      </c>
      <c r="BL4" s="131">
        <f t="shared" si="5"/>
        <v>3</v>
      </c>
      <c r="BM4" s="131">
        <f t="shared" si="5"/>
        <v>2</v>
      </c>
      <c r="BN4" s="131">
        <f t="shared" si="5"/>
        <v>5</v>
      </c>
      <c r="BO4" s="131">
        <f t="shared" si="5"/>
        <v>1</v>
      </c>
      <c r="BP4" s="131">
        <f t="shared" si="5"/>
        <v>7</v>
      </c>
      <c r="BQ4" s="375">
        <f t="shared" si="5"/>
        <v>4</v>
      </c>
      <c r="BS4" s="131">
        <f t="shared" ref="BS4:CH6" si="6">BS$3</f>
        <v>4</v>
      </c>
      <c r="BT4" s="131">
        <f t="shared" si="6"/>
        <v>6</v>
      </c>
      <c r="BU4" s="131">
        <f t="shared" si="6"/>
        <v>5</v>
      </c>
      <c r="BV4" s="131">
        <f t="shared" si="6"/>
        <v>1</v>
      </c>
      <c r="BW4" s="131">
        <f t="shared" si="6"/>
        <v>3</v>
      </c>
      <c r="BX4" s="375">
        <f t="shared" si="6"/>
        <v>2</v>
      </c>
      <c r="BY4" s="131">
        <f t="shared" si="6"/>
        <v>5</v>
      </c>
      <c r="BZ4" s="131">
        <f t="shared" si="6"/>
        <v>1</v>
      </c>
      <c r="CA4" s="131">
        <f t="shared" si="6"/>
        <v>4</v>
      </c>
      <c r="CB4" s="131">
        <f t="shared" si="6"/>
        <v>6</v>
      </c>
      <c r="CC4" s="131">
        <f t="shared" si="6"/>
        <v>2</v>
      </c>
      <c r="CD4" s="375">
        <f t="shared" si="6"/>
        <v>3</v>
      </c>
      <c r="CE4" s="131">
        <f t="shared" si="6"/>
        <v>1</v>
      </c>
      <c r="CF4" s="131">
        <f t="shared" si="6"/>
        <v>2</v>
      </c>
      <c r="CG4" s="131">
        <f t="shared" si="6"/>
        <v>3</v>
      </c>
      <c r="CH4" s="131">
        <f t="shared" si="6"/>
        <v>4</v>
      </c>
      <c r="CI4" s="131">
        <f t="shared" ref="CE4:CP6" si="7">CI$3</f>
        <v>6</v>
      </c>
      <c r="CJ4" s="375">
        <f t="shared" si="7"/>
        <v>5</v>
      </c>
      <c r="CK4" s="131">
        <f t="shared" si="7"/>
        <v>6</v>
      </c>
      <c r="CL4" s="131">
        <f t="shared" si="7"/>
        <v>3</v>
      </c>
      <c r="CM4" s="131">
        <f t="shared" si="7"/>
        <v>2</v>
      </c>
      <c r="CN4" s="131">
        <f t="shared" si="7"/>
        <v>5</v>
      </c>
      <c r="CO4" s="131">
        <f t="shared" si="7"/>
        <v>1</v>
      </c>
      <c r="CP4" s="375">
        <f t="shared" si="7"/>
        <v>4</v>
      </c>
      <c r="CR4" s="131">
        <f t="shared" ref="CR4:DG6" si="8">CR$3</f>
        <v>4</v>
      </c>
      <c r="CS4" s="131">
        <f t="shared" si="8"/>
        <v>5</v>
      </c>
      <c r="CT4" s="131">
        <f t="shared" si="8"/>
        <v>1</v>
      </c>
      <c r="CU4" s="131">
        <f t="shared" si="8"/>
        <v>3</v>
      </c>
      <c r="CV4" s="375">
        <f t="shared" si="8"/>
        <v>2</v>
      </c>
      <c r="CW4" s="131">
        <f t="shared" si="8"/>
        <v>5</v>
      </c>
      <c r="CX4" s="131">
        <f t="shared" si="8"/>
        <v>1</v>
      </c>
      <c r="CY4" s="131">
        <f t="shared" si="8"/>
        <v>4</v>
      </c>
      <c r="CZ4" s="131">
        <f t="shared" si="8"/>
        <v>2</v>
      </c>
      <c r="DA4" s="375">
        <f t="shared" si="8"/>
        <v>3</v>
      </c>
      <c r="DB4" s="131">
        <f t="shared" si="8"/>
        <v>1</v>
      </c>
      <c r="DC4" s="131">
        <f t="shared" si="8"/>
        <v>2</v>
      </c>
      <c r="DD4" s="131">
        <f t="shared" si="8"/>
        <v>3</v>
      </c>
      <c r="DE4" s="131">
        <f t="shared" si="8"/>
        <v>4</v>
      </c>
      <c r="DF4" s="375">
        <f t="shared" si="8"/>
        <v>5</v>
      </c>
      <c r="DG4" s="131">
        <f t="shared" si="8"/>
        <v>3</v>
      </c>
      <c r="DH4" s="131">
        <f t="shared" ref="DG4:DK6" si="9">DH$3</f>
        <v>2</v>
      </c>
      <c r="DI4" s="131">
        <f t="shared" si="9"/>
        <v>5</v>
      </c>
      <c r="DJ4" s="131">
        <f t="shared" si="9"/>
        <v>1</v>
      </c>
      <c r="DK4" s="375">
        <f t="shared" si="9"/>
        <v>4</v>
      </c>
      <c r="DN4" s="66">
        <f>$DO$3*10+DP4</f>
        <v>82</v>
      </c>
      <c r="DP4" s="66">
        <v>2</v>
      </c>
      <c r="DQ4" s="66" t="s">
        <v>142</v>
      </c>
      <c r="DR4" s="66">
        <f>DR3+$DO$3</f>
        <v>17</v>
      </c>
      <c r="DT4" s="100" t="str">
        <f t="shared" ref="DT4:DT28" si="10">"'Track1'!"</f>
        <v>'Track1'!</v>
      </c>
      <c r="DU4" s="100" t="s">
        <v>673</v>
      </c>
      <c r="DV4" s="100" t="s">
        <v>333</v>
      </c>
      <c r="DW4" s="64">
        <f t="shared" ca="1" si="0"/>
        <v>13</v>
      </c>
      <c r="DX4" s="64" t="str">
        <f t="shared" ref="DX4:DX60" ca="1" si="11">IFERROR(CONCATENATE(DT4,DV4,DW4+2),"-")</f>
        <v>'Track1'!C15</v>
      </c>
      <c r="DY4" s="100" t="str">
        <f t="shared" ref="DY4:DY28" si="12">"'Track1'!"</f>
        <v>'Track1'!</v>
      </c>
      <c r="DZ4" s="100" t="s">
        <v>673</v>
      </c>
      <c r="EA4" s="100" t="s">
        <v>218</v>
      </c>
      <c r="EB4" s="100">
        <f t="shared" ca="1" si="1"/>
        <v>13</v>
      </c>
      <c r="EC4" s="64" t="str">
        <f t="shared" ref="EC4:EC60" ca="1" si="13">IFERROR(CONCATENATE(DY4,EA4,EB4+2),"-")</f>
        <v>'Track1'!R15</v>
      </c>
      <c r="EG4" s="65">
        <v>11.4</v>
      </c>
    </row>
    <row r="5" spans="1:137" x14ac:dyDescent="0.35">
      <c r="A5" s="64" t="s">
        <v>34</v>
      </c>
      <c r="B5" s="64" t="s">
        <v>5</v>
      </c>
      <c r="C5" s="64" t="s">
        <v>7</v>
      </c>
      <c r="D5" s="66">
        <v>5</v>
      </c>
      <c r="E5" s="66">
        <v>11</v>
      </c>
      <c r="F5" s="429" t="s">
        <v>1388</v>
      </c>
      <c r="G5" s="430" t="s">
        <v>1388</v>
      </c>
      <c r="H5" s="66" t="s">
        <v>215</v>
      </c>
      <c r="I5" s="131">
        <f t="shared" ref="I5:Y6" si="14">I$3</f>
        <v>4</v>
      </c>
      <c r="J5" s="131">
        <f t="shared" si="14"/>
        <v>6</v>
      </c>
      <c r="K5" s="131">
        <f t="shared" si="14"/>
        <v>7</v>
      </c>
      <c r="L5" s="131">
        <f t="shared" si="14"/>
        <v>5</v>
      </c>
      <c r="M5" s="131">
        <f t="shared" si="14"/>
        <v>1</v>
      </c>
      <c r="N5" s="131">
        <f t="shared" si="14"/>
        <v>3</v>
      </c>
      <c r="O5" s="131">
        <f t="shared" si="14"/>
        <v>2</v>
      </c>
      <c r="P5" s="375">
        <f t="shared" si="14"/>
        <v>8</v>
      </c>
      <c r="Q5" s="131">
        <f t="shared" si="14"/>
        <v>5</v>
      </c>
      <c r="R5" s="131">
        <f t="shared" si="14"/>
        <v>1</v>
      </c>
      <c r="S5" s="131">
        <f t="shared" si="14"/>
        <v>4</v>
      </c>
      <c r="T5" s="131">
        <f t="shared" si="14"/>
        <v>8</v>
      </c>
      <c r="U5" s="131">
        <f t="shared" si="14"/>
        <v>7</v>
      </c>
      <c r="V5" s="131">
        <f t="shared" si="14"/>
        <v>6</v>
      </c>
      <c r="W5" s="131">
        <f t="shared" si="14"/>
        <v>2</v>
      </c>
      <c r="X5" s="375">
        <f t="shared" si="14"/>
        <v>3</v>
      </c>
      <c r="Y5" s="131">
        <f t="shared" si="14"/>
        <v>7</v>
      </c>
      <c r="Z5" s="131">
        <f t="shared" si="2"/>
        <v>8</v>
      </c>
      <c r="AA5" s="131">
        <f t="shared" si="2"/>
        <v>1</v>
      </c>
      <c r="AB5" s="131">
        <f t="shared" si="2"/>
        <v>2</v>
      </c>
      <c r="AC5" s="131">
        <f t="shared" si="2"/>
        <v>3</v>
      </c>
      <c r="AD5" s="131">
        <f t="shared" si="2"/>
        <v>4</v>
      </c>
      <c r="AE5" s="131">
        <f t="shared" si="2"/>
        <v>6</v>
      </c>
      <c r="AF5" s="375">
        <f t="shared" si="2"/>
        <v>5</v>
      </c>
      <c r="AG5" s="131">
        <f t="shared" si="2"/>
        <v>6</v>
      </c>
      <c r="AH5" s="131">
        <f t="shared" si="2"/>
        <v>3</v>
      </c>
      <c r="AI5" s="131">
        <f t="shared" si="3"/>
        <v>2</v>
      </c>
      <c r="AJ5" s="131">
        <f t="shared" si="3"/>
        <v>5</v>
      </c>
      <c r="AK5" s="131">
        <f t="shared" si="3"/>
        <v>1</v>
      </c>
      <c r="AL5" s="131">
        <f t="shared" si="3"/>
        <v>8</v>
      </c>
      <c r="AM5" s="131">
        <f t="shared" si="3"/>
        <v>7</v>
      </c>
      <c r="AN5" s="375">
        <f t="shared" si="3"/>
        <v>4</v>
      </c>
      <c r="AP5" s="131">
        <f t="shared" si="4"/>
        <v>4</v>
      </c>
      <c r="AQ5" s="131">
        <f t="shared" si="4"/>
        <v>6</v>
      </c>
      <c r="AR5" s="131">
        <f t="shared" si="4"/>
        <v>7</v>
      </c>
      <c r="AS5" s="131">
        <f t="shared" si="4"/>
        <v>5</v>
      </c>
      <c r="AT5" s="131">
        <f t="shared" si="4"/>
        <v>1</v>
      </c>
      <c r="AU5" s="131">
        <f t="shared" si="4"/>
        <v>3</v>
      </c>
      <c r="AV5" s="375">
        <f t="shared" si="4"/>
        <v>2</v>
      </c>
      <c r="AW5" s="131">
        <f t="shared" si="4"/>
        <v>5</v>
      </c>
      <c r="AX5" s="131">
        <f t="shared" si="4"/>
        <v>1</v>
      </c>
      <c r="AY5" s="131">
        <f t="shared" si="4"/>
        <v>4</v>
      </c>
      <c r="AZ5" s="131">
        <f t="shared" si="4"/>
        <v>7</v>
      </c>
      <c r="BA5" s="131">
        <f t="shared" si="4"/>
        <v>6</v>
      </c>
      <c r="BB5" s="131">
        <f t="shared" si="4"/>
        <v>2</v>
      </c>
      <c r="BC5" s="375">
        <f t="shared" si="4"/>
        <v>3</v>
      </c>
      <c r="BD5" s="131">
        <f t="shared" si="4"/>
        <v>7</v>
      </c>
      <c r="BE5" s="131">
        <f t="shared" si="4"/>
        <v>1</v>
      </c>
      <c r="BF5" s="131">
        <f t="shared" si="5"/>
        <v>2</v>
      </c>
      <c r="BG5" s="131">
        <f t="shared" si="5"/>
        <v>3</v>
      </c>
      <c r="BH5" s="131">
        <f t="shared" si="5"/>
        <v>4</v>
      </c>
      <c r="BI5" s="131">
        <f t="shared" si="5"/>
        <v>6</v>
      </c>
      <c r="BJ5" s="375">
        <f t="shared" si="5"/>
        <v>5</v>
      </c>
      <c r="BK5" s="131">
        <f t="shared" si="5"/>
        <v>6</v>
      </c>
      <c r="BL5" s="131">
        <f t="shared" si="5"/>
        <v>3</v>
      </c>
      <c r="BM5" s="131">
        <f t="shared" si="5"/>
        <v>2</v>
      </c>
      <c r="BN5" s="131">
        <f t="shared" si="5"/>
        <v>5</v>
      </c>
      <c r="BO5" s="131">
        <f t="shared" si="5"/>
        <v>1</v>
      </c>
      <c r="BP5" s="131">
        <f t="shared" si="5"/>
        <v>7</v>
      </c>
      <c r="BQ5" s="375">
        <f t="shared" si="5"/>
        <v>4</v>
      </c>
      <c r="BS5" s="131">
        <f t="shared" si="6"/>
        <v>4</v>
      </c>
      <c r="BT5" s="131">
        <f t="shared" si="6"/>
        <v>6</v>
      </c>
      <c r="BU5" s="131">
        <f t="shared" si="6"/>
        <v>5</v>
      </c>
      <c r="BV5" s="131">
        <f t="shared" si="6"/>
        <v>1</v>
      </c>
      <c r="BW5" s="131">
        <f t="shared" si="6"/>
        <v>3</v>
      </c>
      <c r="BX5" s="375">
        <f t="shared" si="6"/>
        <v>2</v>
      </c>
      <c r="BY5" s="131">
        <f t="shared" si="6"/>
        <v>5</v>
      </c>
      <c r="BZ5" s="131">
        <f t="shared" si="6"/>
        <v>1</v>
      </c>
      <c r="CA5" s="131">
        <f t="shared" si="6"/>
        <v>4</v>
      </c>
      <c r="CB5" s="131">
        <f t="shared" si="6"/>
        <v>6</v>
      </c>
      <c r="CC5" s="131">
        <f t="shared" si="6"/>
        <v>2</v>
      </c>
      <c r="CD5" s="375">
        <f t="shared" si="6"/>
        <v>3</v>
      </c>
      <c r="CE5" s="131">
        <f t="shared" si="7"/>
        <v>1</v>
      </c>
      <c r="CF5" s="131">
        <f t="shared" si="7"/>
        <v>2</v>
      </c>
      <c r="CG5" s="131">
        <f t="shared" si="7"/>
        <v>3</v>
      </c>
      <c r="CH5" s="131">
        <f t="shared" si="7"/>
        <v>4</v>
      </c>
      <c r="CI5" s="131">
        <f t="shared" si="7"/>
        <v>6</v>
      </c>
      <c r="CJ5" s="375">
        <f t="shared" si="7"/>
        <v>5</v>
      </c>
      <c r="CK5" s="131">
        <f t="shared" si="7"/>
        <v>6</v>
      </c>
      <c r="CL5" s="131">
        <f t="shared" si="7"/>
        <v>3</v>
      </c>
      <c r="CM5" s="131">
        <f t="shared" si="7"/>
        <v>2</v>
      </c>
      <c r="CN5" s="131">
        <f t="shared" si="7"/>
        <v>5</v>
      </c>
      <c r="CO5" s="131">
        <f t="shared" si="7"/>
        <v>1</v>
      </c>
      <c r="CP5" s="375">
        <f t="shared" si="7"/>
        <v>4</v>
      </c>
      <c r="CR5" s="131">
        <f t="shared" si="8"/>
        <v>4</v>
      </c>
      <c r="CS5" s="131">
        <f t="shared" si="8"/>
        <v>5</v>
      </c>
      <c r="CT5" s="131">
        <f t="shared" si="8"/>
        <v>1</v>
      </c>
      <c r="CU5" s="131">
        <f t="shared" si="8"/>
        <v>3</v>
      </c>
      <c r="CV5" s="375">
        <f t="shared" si="8"/>
        <v>2</v>
      </c>
      <c r="CW5" s="131">
        <f t="shared" si="8"/>
        <v>5</v>
      </c>
      <c r="CX5" s="131">
        <f t="shared" si="8"/>
        <v>1</v>
      </c>
      <c r="CY5" s="131">
        <f t="shared" si="8"/>
        <v>4</v>
      </c>
      <c r="CZ5" s="131">
        <f t="shared" si="8"/>
        <v>2</v>
      </c>
      <c r="DA5" s="375">
        <f t="shared" si="8"/>
        <v>3</v>
      </c>
      <c r="DB5" s="131">
        <f t="shared" si="8"/>
        <v>1</v>
      </c>
      <c r="DC5" s="131">
        <f t="shared" si="8"/>
        <v>2</v>
      </c>
      <c r="DD5" s="131">
        <f t="shared" si="8"/>
        <v>3</v>
      </c>
      <c r="DE5" s="131">
        <f t="shared" si="8"/>
        <v>4</v>
      </c>
      <c r="DF5" s="375">
        <f t="shared" si="8"/>
        <v>5</v>
      </c>
      <c r="DG5" s="131">
        <f t="shared" si="9"/>
        <v>3</v>
      </c>
      <c r="DH5" s="131">
        <f t="shared" si="9"/>
        <v>2</v>
      </c>
      <c r="DI5" s="131">
        <f t="shared" si="9"/>
        <v>5</v>
      </c>
      <c r="DJ5" s="131">
        <f t="shared" si="9"/>
        <v>1</v>
      </c>
      <c r="DK5" s="375">
        <f t="shared" si="9"/>
        <v>4</v>
      </c>
      <c r="DN5" s="66">
        <f>$DO$3*10+DP5</f>
        <v>83</v>
      </c>
      <c r="DP5" s="66">
        <v>3</v>
      </c>
      <c r="DQ5" s="66" t="s">
        <v>143</v>
      </c>
      <c r="DR5" s="66">
        <f>DR4+$DO$3</f>
        <v>25</v>
      </c>
      <c r="DT5" s="100" t="str">
        <f t="shared" si="10"/>
        <v>'Track1'!</v>
      </c>
      <c r="DU5" s="100" t="s">
        <v>673</v>
      </c>
      <c r="DV5" s="100" t="s">
        <v>333</v>
      </c>
      <c r="DW5" s="64">
        <f t="shared" ca="1" si="0"/>
        <v>24</v>
      </c>
      <c r="DX5" s="64" t="str">
        <f t="shared" ca="1" si="11"/>
        <v>'Track1'!C26</v>
      </c>
      <c r="DY5" s="100" t="str">
        <f t="shared" si="12"/>
        <v>'Track1'!</v>
      </c>
      <c r="DZ5" s="100" t="s">
        <v>673</v>
      </c>
      <c r="EA5" s="100" t="s">
        <v>218</v>
      </c>
      <c r="EB5" s="100">
        <f t="shared" ca="1" si="1"/>
        <v>24</v>
      </c>
      <c r="EC5" s="64" t="str">
        <f t="shared" ca="1" si="13"/>
        <v>'Track1'!R26</v>
      </c>
      <c r="EG5" s="65">
        <v>11.5</v>
      </c>
    </row>
    <row r="6" spans="1:137" x14ac:dyDescent="0.35">
      <c r="A6" s="64" t="s">
        <v>35</v>
      </c>
      <c r="B6" s="64" t="s">
        <v>8</v>
      </c>
      <c r="C6" s="64" t="s">
        <v>9</v>
      </c>
      <c r="D6" s="66">
        <v>6</v>
      </c>
      <c r="E6" s="66">
        <v>61</v>
      </c>
      <c r="F6" s="429" t="s">
        <v>1389</v>
      </c>
      <c r="G6" s="430" t="s">
        <v>1389</v>
      </c>
      <c r="H6" s="66" t="s">
        <v>215</v>
      </c>
      <c r="I6" s="131">
        <f t="shared" si="14"/>
        <v>4</v>
      </c>
      <c r="J6" s="131">
        <f t="shared" si="14"/>
        <v>6</v>
      </c>
      <c r="K6" s="131">
        <f t="shared" si="14"/>
        <v>7</v>
      </c>
      <c r="L6" s="131">
        <f t="shared" si="14"/>
        <v>5</v>
      </c>
      <c r="M6" s="131">
        <f t="shared" si="14"/>
        <v>1</v>
      </c>
      <c r="N6" s="131">
        <f t="shared" si="14"/>
        <v>3</v>
      </c>
      <c r="O6" s="131">
        <f t="shared" si="14"/>
        <v>2</v>
      </c>
      <c r="P6" s="375">
        <f t="shared" si="14"/>
        <v>8</v>
      </c>
      <c r="Q6" s="131">
        <f t="shared" si="14"/>
        <v>5</v>
      </c>
      <c r="R6" s="131">
        <f t="shared" si="14"/>
        <v>1</v>
      </c>
      <c r="S6" s="131">
        <f t="shared" si="14"/>
        <v>4</v>
      </c>
      <c r="T6" s="131">
        <f t="shared" si="14"/>
        <v>8</v>
      </c>
      <c r="U6" s="131">
        <f t="shared" si="14"/>
        <v>7</v>
      </c>
      <c r="V6" s="131">
        <f t="shared" si="14"/>
        <v>6</v>
      </c>
      <c r="W6" s="131">
        <f t="shared" si="14"/>
        <v>2</v>
      </c>
      <c r="X6" s="375">
        <f t="shared" si="14"/>
        <v>3</v>
      </c>
      <c r="Y6" s="131">
        <f t="shared" si="2"/>
        <v>7</v>
      </c>
      <c r="Z6" s="131">
        <f t="shared" si="2"/>
        <v>8</v>
      </c>
      <c r="AA6" s="131">
        <f t="shared" si="2"/>
        <v>1</v>
      </c>
      <c r="AB6" s="131">
        <f t="shared" si="2"/>
        <v>2</v>
      </c>
      <c r="AC6" s="131">
        <f t="shared" si="2"/>
        <v>3</v>
      </c>
      <c r="AD6" s="131">
        <f t="shared" si="2"/>
        <v>4</v>
      </c>
      <c r="AE6" s="131">
        <f t="shared" si="2"/>
        <v>6</v>
      </c>
      <c r="AF6" s="375">
        <f t="shared" si="2"/>
        <v>5</v>
      </c>
      <c r="AG6" s="131">
        <f t="shared" si="3"/>
        <v>6</v>
      </c>
      <c r="AH6" s="131">
        <f t="shared" si="3"/>
        <v>3</v>
      </c>
      <c r="AI6" s="131">
        <f t="shared" si="3"/>
        <v>2</v>
      </c>
      <c r="AJ6" s="131">
        <f t="shared" si="3"/>
        <v>5</v>
      </c>
      <c r="AK6" s="131">
        <f t="shared" si="3"/>
        <v>1</v>
      </c>
      <c r="AL6" s="131">
        <f t="shared" si="3"/>
        <v>8</v>
      </c>
      <c r="AM6" s="131">
        <f t="shared" si="3"/>
        <v>7</v>
      </c>
      <c r="AN6" s="375">
        <f t="shared" si="3"/>
        <v>4</v>
      </c>
      <c r="AP6" s="131">
        <f t="shared" si="4"/>
        <v>4</v>
      </c>
      <c r="AQ6" s="131">
        <f t="shared" si="4"/>
        <v>6</v>
      </c>
      <c r="AR6" s="131">
        <f t="shared" si="4"/>
        <v>7</v>
      </c>
      <c r="AS6" s="131">
        <f t="shared" si="4"/>
        <v>5</v>
      </c>
      <c r="AT6" s="131">
        <f t="shared" si="4"/>
        <v>1</v>
      </c>
      <c r="AU6" s="131">
        <f t="shared" si="4"/>
        <v>3</v>
      </c>
      <c r="AV6" s="375">
        <f t="shared" si="4"/>
        <v>2</v>
      </c>
      <c r="AW6" s="131">
        <f t="shared" si="4"/>
        <v>5</v>
      </c>
      <c r="AX6" s="131">
        <f t="shared" si="4"/>
        <v>1</v>
      </c>
      <c r="AY6" s="131">
        <f t="shared" si="4"/>
        <v>4</v>
      </c>
      <c r="AZ6" s="131">
        <f t="shared" si="4"/>
        <v>7</v>
      </c>
      <c r="BA6" s="131">
        <f t="shared" si="4"/>
        <v>6</v>
      </c>
      <c r="BB6" s="131">
        <f t="shared" si="4"/>
        <v>2</v>
      </c>
      <c r="BC6" s="375">
        <f t="shared" si="4"/>
        <v>3</v>
      </c>
      <c r="BD6" s="131">
        <f t="shared" si="5"/>
        <v>7</v>
      </c>
      <c r="BE6" s="131">
        <f t="shared" si="5"/>
        <v>1</v>
      </c>
      <c r="BF6" s="131">
        <f t="shared" si="5"/>
        <v>2</v>
      </c>
      <c r="BG6" s="131">
        <f t="shared" si="5"/>
        <v>3</v>
      </c>
      <c r="BH6" s="131">
        <f t="shared" si="5"/>
        <v>4</v>
      </c>
      <c r="BI6" s="131">
        <f t="shared" si="5"/>
        <v>6</v>
      </c>
      <c r="BJ6" s="375">
        <f t="shared" si="5"/>
        <v>5</v>
      </c>
      <c r="BK6" s="131">
        <f t="shared" si="5"/>
        <v>6</v>
      </c>
      <c r="BL6" s="131">
        <f t="shared" si="5"/>
        <v>3</v>
      </c>
      <c r="BM6" s="131">
        <f t="shared" si="5"/>
        <v>2</v>
      </c>
      <c r="BN6" s="131">
        <f t="shared" si="5"/>
        <v>5</v>
      </c>
      <c r="BO6" s="131">
        <f t="shared" si="5"/>
        <v>1</v>
      </c>
      <c r="BP6" s="131">
        <f t="shared" si="5"/>
        <v>7</v>
      </c>
      <c r="BQ6" s="375">
        <f t="shared" si="5"/>
        <v>4</v>
      </c>
      <c r="BS6" s="131">
        <f t="shared" si="6"/>
        <v>4</v>
      </c>
      <c r="BT6" s="131">
        <f t="shared" si="6"/>
        <v>6</v>
      </c>
      <c r="BU6" s="131">
        <f t="shared" si="6"/>
        <v>5</v>
      </c>
      <c r="BV6" s="131">
        <f t="shared" si="6"/>
        <v>1</v>
      </c>
      <c r="BW6" s="131">
        <f t="shared" si="6"/>
        <v>3</v>
      </c>
      <c r="BX6" s="375">
        <f t="shared" si="6"/>
        <v>2</v>
      </c>
      <c r="BY6" s="131">
        <f t="shared" si="6"/>
        <v>5</v>
      </c>
      <c r="BZ6" s="131">
        <f t="shared" si="6"/>
        <v>1</v>
      </c>
      <c r="CA6" s="131">
        <f t="shared" si="6"/>
        <v>4</v>
      </c>
      <c r="CB6" s="131">
        <f t="shared" si="6"/>
        <v>6</v>
      </c>
      <c r="CC6" s="131">
        <f t="shared" si="6"/>
        <v>2</v>
      </c>
      <c r="CD6" s="375">
        <f t="shared" si="6"/>
        <v>3</v>
      </c>
      <c r="CE6" s="131">
        <f t="shared" si="7"/>
        <v>1</v>
      </c>
      <c r="CF6" s="131">
        <f t="shared" si="7"/>
        <v>2</v>
      </c>
      <c r="CG6" s="131">
        <f t="shared" si="7"/>
        <v>3</v>
      </c>
      <c r="CH6" s="131">
        <f t="shared" si="7"/>
        <v>4</v>
      </c>
      <c r="CI6" s="131">
        <f t="shared" si="7"/>
        <v>6</v>
      </c>
      <c r="CJ6" s="375">
        <f t="shared" si="7"/>
        <v>5</v>
      </c>
      <c r="CK6" s="131">
        <f t="shared" si="7"/>
        <v>6</v>
      </c>
      <c r="CL6" s="131">
        <f t="shared" si="7"/>
        <v>3</v>
      </c>
      <c r="CM6" s="131">
        <f t="shared" si="7"/>
        <v>2</v>
      </c>
      <c r="CN6" s="131">
        <f t="shared" si="7"/>
        <v>5</v>
      </c>
      <c r="CO6" s="131">
        <f t="shared" si="7"/>
        <v>1</v>
      </c>
      <c r="CP6" s="375">
        <f t="shared" si="7"/>
        <v>4</v>
      </c>
      <c r="CR6" s="131">
        <f t="shared" si="8"/>
        <v>4</v>
      </c>
      <c r="CS6" s="131">
        <f t="shared" si="8"/>
        <v>5</v>
      </c>
      <c r="CT6" s="131">
        <f t="shared" si="8"/>
        <v>1</v>
      </c>
      <c r="CU6" s="131">
        <f t="shared" si="8"/>
        <v>3</v>
      </c>
      <c r="CV6" s="375">
        <f t="shared" si="8"/>
        <v>2</v>
      </c>
      <c r="CW6" s="131">
        <f t="shared" si="8"/>
        <v>5</v>
      </c>
      <c r="CX6" s="131">
        <f t="shared" si="8"/>
        <v>1</v>
      </c>
      <c r="CY6" s="131">
        <f t="shared" si="8"/>
        <v>4</v>
      </c>
      <c r="CZ6" s="131">
        <f t="shared" si="8"/>
        <v>2</v>
      </c>
      <c r="DA6" s="375">
        <f t="shared" si="8"/>
        <v>3</v>
      </c>
      <c r="DB6" s="131">
        <f t="shared" si="8"/>
        <v>1</v>
      </c>
      <c r="DC6" s="131">
        <f t="shared" si="8"/>
        <v>2</v>
      </c>
      <c r="DD6" s="131">
        <f t="shared" si="8"/>
        <v>3</v>
      </c>
      <c r="DE6" s="131">
        <f t="shared" si="8"/>
        <v>4</v>
      </c>
      <c r="DF6" s="375">
        <f t="shared" si="8"/>
        <v>5</v>
      </c>
      <c r="DG6" s="131">
        <f t="shared" si="9"/>
        <v>3</v>
      </c>
      <c r="DH6" s="131">
        <f t="shared" si="9"/>
        <v>2</v>
      </c>
      <c r="DI6" s="131">
        <f t="shared" si="9"/>
        <v>5</v>
      </c>
      <c r="DJ6" s="131">
        <f t="shared" si="9"/>
        <v>1</v>
      </c>
      <c r="DK6" s="375">
        <f t="shared" si="9"/>
        <v>4</v>
      </c>
      <c r="DN6" s="66">
        <f>$DO$3*10+DP6</f>
        <v>84</v>
      </c>
      <c r="DP6" s="66">
        <v>4</v>
      </c>
      <c r="DQ6" s="66" t="s">
        <v>144</v>
      </c>
      <c r="DR6" s="66">
        <f>DR5+$DO$3</f>
        <v>33</v>
      </c>
      <c r="DT6" s="100" t="str">
        <f t="shared" si="10"/>
        <v>'Track1'!</v>
      </c>
      <c r="DU6" s="100" t="s">
        <v>673</v>
      </c>
      <c r="DV6" s="100" t="s">
        <v>333</v>
      </c>
      <c r="DW6" s="64">
        <f t="shared" ca="1" si="0"/>
        <v>35</v>
      </c>
      <c r="DX6" s="64" t="str">
        <f t="shared" ca="1" si="11"/>
        <v>'Track1'!C37</v>
      </c>
      <c r="DY6" s="100" t="str">
        <f t="shared" si="12"/>
        <v>'Track1'!</v>
      </c>
      <c r="DZ6" s="100" t="s">
        <v>673</v>
      </c>
      <c r="EA6" s="100" t="s">
        <v>218</v>
      </c>
      <c r="EB6" s="100">
        <f t="shared" ca="1" si="1"/>
        <v>35</v>
      </c>
      <c r="EC6" s="64" t="str">
        <f t="shared" ca="1" si="13"/>
        <v>'Track1'!R37</v>
      </c>
      <c r="EG6" s="65">
        <v>12</v>
      </c>
    </row>
    <row r="7" spans="1:137" x14ac:dyDescent="0.35">
      <c r="A7" s="64" t="s">
        <v>36</v>
      </c>
      <c r="B7" s="64" t="s">
        <v>10</v>
      </c>
      <c r="C7" s="64" t="s">
        <v>4</v>
      </c>
      <c r="D7" s="66">
        <v>7</v>
      </c>
      <c r="E7" s="66">
        <v>31</v>
      </c>
      <c r="F7" s="429" t="s">
        <v>1390</v>
      </c>
      <c r="G7" s="430" t="s">
        <v>1390</v>
      </c>
      <c r="H7" s="66" t="s">
        <v>215</v>
      </c>
      <c r="I7" s="129">
        <v>2</v>
      </c>
      <c r="J7" s="129">
        <v>5</v>
      </c>
      <c r="K7" s="129">
        <v>3</v>
      </c>
      <c r="L7" s="129">
        <v>4</v>
      </c>
      <c r="M7" s="129">
        <v>8</v>
      </c>
      <c r="N7" s="129">
        <v>7</v>
      </c>
      <c r="O7" s="129">
        <v>6</v>
      </c>
      <c r="P7" s="374">
        <v>1</v>
      </c>
      <c r="Q7" s="129">
        <v>3</v>
      </c>
      <c r="R7" s="129">
        <v>4</v>
      </c>
      <c r="S7" s="129">
        <v>5</v>
      </c>
      <c r="T7" s="129">
        <v>1</v>
      </c>
      <c r="U7" s="129">
        <v>2</v>
      </c>
      <c r="V7" s="129">
        <v>6</v>
      </c>
      <c r="W7" s="129">
        <v>8</v>
      </c>
      <c r="X7" s="374">
        <v>7</v>
      </c>
      <c r="Y7" s="129">
        <v>4</v>
      </c>
      <c r="Z7" s="129">
        <v>2</v>
      </c>
      <c r="AA7" s="129">
        <v>6</v>
      </c>
      <c r="AB7" s="129">
        <v>7</v>
      </c>
      <c r="AC7" s="129">
        <v>3</v>
      </c>
      <c r="AD7" s="129">
        <v>5</v>
      </c>
      <c r="AE7" s="129">
        <v>1</v>
      </c>
      <c r="AF7" s="374">
        <v>8</v>
      </c>
      <c r="AG7" s="129">
        <v>6</v>
      </c>
      <c r="AH7" s="129">
        <v>3</v>
      </c>
      <c r="AI7" s="129">
        <v>8</v>
      </c>
      <c r="AJ7" s="129">
        <v>2</v>
      </c>
      <c r="AK7" s="129">
        <v>1</v>
      </c>
      <c r="AL7" s="129">
        <v>4</v>
      </c>
      <c r="AM7" s="129">
        <v>7</v>
      </c>
      <c r="AN7" s="374">
        <v>5</v>
      </c>
      <c r="AP7" s="129">
        <v>2</v>
      </c>
      <c r="AQ7" s="129">
        <v>5</v>
      </c>
      <c r="AR7" s="129">
        <v>3</v>
      </c>
      <c r="AS7" s="129">
        <v>4</v>
      </c>
      <c r="AT7" s="129">
        <v>7</v>
      </c>
      <c r="AU7" s="129">
        <v>6</v>
      </c>
      <c r="AV7" s="374">
        <v>1</v>
      </c>
      <c r="AW7" s="129">
        <v>3</v>
      </c>
      <c r="AX7" s="129">
        <v>4</v>
      </c>
      <c r="AY7" s="129">
        <v>5</v>
      </c>
      <c r="AZ7" s="129">
        <v>1</v>
      </c>
      <c r="BA7" s="129">
        <v>2</v>
      </c>
      <c r="BB7" s="129">
        <v>6</v>
      </c>
      <c r="BC7" s="374">
        <v>7</v>
      </c>
      <c r="BD7" s="129">
        <v>4</v>
      </c>
      <c r="BE7" s="129">
        <v>2</v>
      </c>
      <c r="BF7" s="129">
        <v>6</v>
      </c>
      <c r="BG7" s="129">
        <v>7</v>
      </c>
      <c r="BH7" s="129">
        <v>3</v>
      </c>
      <c r="BI7" s="129">
        <v>5</v>
      </c>
      <c r="BJ7" s="374">
        <v>1</v>
      </c>
      <c r="BK7" s="129">
        <v>6</v>
      </c>
      <c r="BL7" s="129">
        <v>3</v>
      </c>
      <c r="BM7" s="129">
        <v>2</v>
      </c>
      <c r="BN7" s="129">
        <v>1</v>
      </c>
      <c r="BO7" s="129">
        <v>4</v>
      </c>
      <c r="BP7" s="129">
        <v>7</v>
      </c>
      <c r="BQ7" s="374">
        <v>5</v>
      </c>
      <c r="BS7" s="129">
        <v>2</v>
      </c>
      <c r="BT7" s="129">
        <v>5</v>
      </c>
      <c r="BU7" s="129">
        <v>3</v>
      </c>
      <c r="BV7" s="129">
        <v>4</v>
      </c>
      <c r="BW7" s="129">
        <v>6</v>
      </c>
      <c r="BX7" s="374">
        <v>1</v>
      </c>
      <c r="BY7" s="129">
        <v>3</v>
      </c>
      <c r="BZ7" s="129">
        <v>4</v>
      </c>
      <c r="CA7" s="129">
        <v>5</v>
      </c>
      <c r="CB7" s="129">
        <v>1</v>
      </c>
      <c r="CC7" s="129">
        <v>2</v>
      </c>
      <c r="CD7" s="374">
        <v>6</v>
      </c>
      <c r="CE7" s="129">
        <v>4</v>
      </c>
      <c r="CF7" s="129">
        <v>2</v>
      </c>
      <c r="CG7" s="129">
        <v>6</v>
      </c>
      <c r="CH7" s="129">
        <v>3</v>
      </c>
      <c r="CI7" s="129">
        <v>5</v>
      </c>
      <c r="CJ7" s="374">
        <v>1</v>
      </c>
      <c r="CK7" s="129">
        <v>6</v>
      </c>
      <c r="CL7" s="129">
        <v>3</v>
      </c>
      <c r="CM7" s="129">
        <v>2</v>
      </c>
      <c r="CN7" s="129">
        <v>1</v>
      </c>
      <c r="CO7" s="129">
        <v>4</v>
      </c>
      <c r="CP7" s="374">
        <v>5</v>
      </c>
      <c r="CR7" s="129">
        <v>2</v>
      </c>
      <c r="CS7" s="129">
        <v>5</v>
      </c>
      <c r="CT7" s="129">
        <v>3</v>
      </c>
      <c r="CU7" s="129">
        <v>4</v>
      </c>
      <c r="CV7" s="374">
        <v>1</v>
      </c>
      <c r="CW7" s="129">
        <v>3</v>
      </c>
      <c r="CX7" s="129">
        <v>4</v>
      </c>
      <c r="CY7" s="129">
        <v>5</v>
      </c>
      <c r="CZ7" s="129">
        <v>1</v>
      </c>
      <c r="DA7" s="374">
        <v>2</v>
      </c>
      <c r="DB7" s="129">
        <v>4</v>
      </c>
      <c r="DC7" s="129">
        <v>2</v>
      </c>
      <c r="DD7" s="129">
        <v>3</v>
      </c>
      <c r="DE7" s="129">
        <v>5</v>
      </c>
      <c r="DF7" s="374">
        <v>1</v>
      </c>
      <c r="DG7" s="129">
        <v>3</v>
      </c>
      <c r="DH7" s="129">
        <v>2</v>
      </c>
      <c r="DI7" s="129">
        <v>1</v>
      </c>
      <c r="DJ7" s="129">
        <v>4</v>
      </c>
      <c r="DK7" s="374">
        <v>5</v>
      </c>
      <c r="DN7" s="66">
        <f>$DO$7*10+DP7</f>
        <v>71</v>
      </c>
      <c r="DO7" s="66">
        <v>7</v>
      </c>
      <c r="DP7" s="66">
        <v>1</v>
      </c>
      <c r="DQ7" s="66" t="s">
        <v>145</v>
      </c>
      <c r="DR7" s="66">
        <v>42</v>
      </c>
      <c r="DT7" s="100" t="str">
        <f t="shared" si="10"/>
        <v>'Track1'!</v>
      </c>
      <c r="DU7" s="100" t="s">
        <v>673</v>
      </c>
      <c r="DV7" s="100" t="s">
        <v>333</v>
      </c>
      <c r="DW7" s="64">
        <f t="shared" ca="1" si="0"/>
        <v>46</v>
      </c>
      <c r="DX7" s="64" t="str">
        <f t="shared" ca="1" si="11"/>
        <v>'Track1'!C48</v>
      </c>
      <c r="DY7" s="100" t="str">
        <f t="shared" si="12"/>
        <v>'Track1'!</v>
      </c>
      <c r="DZ7" s="100" t="s">
        <v>673</v>
      </c>
      <c r="EA7" s="100" t="s">
        <v>218</v>
      </c>
      <c r="EB7" s="100">
        <f t="shared" ca="1" si="1"/>
        <v>46</v>
      </c>
      <c r="EC7" s="64" t="str">
        <f t="shared" ca="1" si="13"/>
        <v>'Track1'!R48</v>
      </c>
      <c r="EG7" s="65">
        <v>12.15</v>
      </c>
    </row>
    <row r="8" spans="1:137" x14ac:dyDescent="0.35">
      <c r="A8" s="64" t="s">
        <v>37</v>
      </c>
      <c r="B8" s="64" t="s">
        <v>11</v>
      </c>
      <c r="C8" s="64" t="s">
        <v>6</v>
      </c>
      <c r="D8" s="66">
        <v>8</v>
      </c>
      <c r="E8" s="66">
        <v>81</v>
      </c>
      <c r="F8" s="429" t="s">
        <v>1391</v>
      </c>
      <c r="G8" s="430" t="s">
        <v>1391</v>
      </c>
      <c r="H8" s="66" t="s">
        <v>215</v>
      </c>
      <c r="I8" s="131">
        <f>I7</f>
        <v>2</v>
      </c>
      <c r="J8" s="131">
        <f t="shared" ref="J8:P8" si="15">J7</f>
        <v>5</v>
      </c>
      <c r="K8" s="131">
        <f t="shared" si="15"/>
        <v>3</v>
      </c>
      <c r="L8" s="131">
        <f t="shared" si="15"/>
        <v>4</v>
      </c>
      <c r="M8" s="131">
        <f t="shared" si="15"/>
        <v>8</v>
      </c>
      <c r="N8" s="131">
        <f t="shared" si="15"/>
        <v>7</v>
      </c>
      <c r="O8" s="131">
        <f t="shared" si="15"/>
        <v>6</v>
      </c>
      <c r="P8" s="375">
        <f t="shared" si="15"/>
        <v>1</v>
      </c>
      <c r="Q8" s="131">
        <f>Q7</f>
        <v>3</v>
      </c>
      <c r="R8" s="131">
        <f t="shared" ref="R8" si="16">R7</f>
        <v>4</v>
      </c>
      <c r="S8" s="131">
        <f t="shared" ref="S8" si="17">S7</f>
        <v>5</v>
      </c>
      <c r="T8" s="131">
        <f t="shared" ref="T8" si="18">T7</f>
        <v>1</v>
      </c>
      <c r="U8" s="131">
        <f t="shared" ref="U8" si="19">U7</f>
        <v>2</v>
      </c>
      <c r="V8" s="131">
        <f t="shared" ref="V8" si="20">V7</f>
        <v>6</v>
      </c>
      <c r="W8" s="131">
        <f t="shared" ref="W8" si="21">W7</f>
        <v>8</v>
      </c>
      <c r="X8" s="375">
        <f t="shared" ref="X8" si="22">X7</f>
        <v>7</v>
      </c>
      <c r="Y8" s="131">
        <f>Y7</f>
        <v>4</v>
      </c>
      <c r="Z8" s="131">
        <f t="shared" ref="Z8" si="23">Z7</f>
        <v>2</v>
      </c>
      <c r="AA8" s="131">
        <f t="shared" ref="AA8" si="24">AA7</f>
        <v>6</v>
      </c>
      <c r="AB8" s="131">
        <f t="shared" ref="AB8" si="25">AB7</f>
        <v>7</v>
      </c>
      <c r="AC8" s="131">
        <f t="shared" ref="AC8" si="26">AC7</f>
        <v>3</v>
      </c>
      <c r="AD8" s="131">
        <f t="shared" ref="AD8" si="27">AD7</f>
        <v>5</v>
      </c>
      <c r="AE8" s="131">
        <f t="shared" ref="AE8" si="28">AE7</f>
        <v>1</v>
      </c>
      <c r="AF8" s="375">
        <f t="shared" ref="AF8" si="29">AF7</f>
        <v>8</v>
      </c>
      <c r="AG8" s="131">
        <f>AG7</f>
        <v>6</v>
      </c>
      <c r="AH8" s="131">
        <f t="shared" ref="AH8" si="30">AH7</f>
        <v>3</v>
      </c>
      <c r="AI8" s="131">
        <f t="shared" ref="AI8" si="31">AI7</f>
        <v>8</v>
      </c>
      <c r="AJ8" s="131">
        <f t="shared" ref="AJ8" si="32">AJ7</f>
        <v>2</v>
      </c>
      <c r="AK8" s="131">
        <f t="shared" ref="AK8" si="33">AK7</f>
        <v>1</v>
      </c>
      <c r="AL8" s="131">
        <f t="shared" ref="AL8" si="34">AL7</f>
        <v>4</v>
      </c>
      <c r="AM8" s="131">
        <f t="shared" ref="AM8" si="35">AM7</f>
        <v>7</v>
      </c>
      <c r="AN8" s="375">
        <f t="shared" ref="AN8" si="36">AN7</f>
        <v>5</v>
      </c>
      <c r="AP8" s="131">
        <f t="shared" ref="AP8" si="37">AP7</f>
        <v>2</v>
      </c>
      <c r="AQ8" s="131">
        <f t="shared" ref="AQ8" si="38">AQ7</f>
        <v>5</v>
      </c>
      <c r="AR8" s="131">
        <f t="shared" ref="AR8" si="39">AR7</f>
        <v>3</v>
      </c>
      <c r="AS8" s="131">
        <f t="shared" ref="AS8" si="40">AS7</f>
        <v>4</v>
      </c>
      <c r="AT8" s="131">
        <f t="shared" ref="AT8" si="41">AT7</f>
        <v>7</v>
      </c>
      <c r="AU8" s="131">
        <f t="shared" ref="AU8" si="42">AU7</f>
        <v>6</v>
      </c>
      <c r="AV8" s="375">
        <f t="shared" ref="AV8" si="43">AV7</f>
        <v>1</v>
      </c>
      <c r="AW8" s="131">
        <f t="shared" ref="AW8" si="44">AW7</f>
        <v>3</v>
      </c>
      <c r="AX8" s="131">
        <f t="shared" ref="AX8" si="45">AX7</f>
        <v>4</v>
      </c>
      <c r="AY8" s="131">
        <f t="shared" ref="AY8" si="46">AY7</f>
        <v>5</v>
      </c>
      <c r="AZ8" s="131">
        <f t="shared" ref="AZ8" si="47">AZ7</f>
        <v>1</v>
      </c>
      <c r="BA8" s="131">
        <f t="shared" ref="BA8" si="48">BA7</f>
        <v>2</v>
      </c>
      <c r="BB8" s="131">
        <f t="shared" ref="BB8" si="49">BB7</f>
        <v>6</v>
      </c>
      <c r="BC8" s="375">
        <f t="shared" ref="BC8" si="50">BC7</f>
        <v>7</v>
      </c>
      <c r="BD8" s="131">
        <f t="shared" ref="BD8" si="51">BD7</f>
        <v>4</v>
      </c>
      <c r="BE8" s="131">
        <f t="shared" ref="BE8" si="52">BE7</f>
        <v>2</v>
      </c>
      <c r="BF8" s="131">
        <f t="shared" ref="BF8" si="53">BF7</f>
        <v>6</v>
      </c>
      <c r="BG8" s="131">
        <f t="shared" ref="BG8" si="54">BG7</f>
        <v>7</v>
      </c>
      <c r="BH8" s="131">
        <f t="shared" ref="BH8" si="55">BH7</f>
        <v>3</v>
      </c>
      <c r="BI8" s="131">
        <f t="shared" ref="BI8" si="56">BI7</f>
        <v>5</v>
      </c>
      <c r="BJ8" s="375">
        <f t="shared" ref="BJ8" si="57">BJ7</f>
        <v>1</v>
      </c>
      <c r="BK8" s="131">
        <f t="shared" ref="BK8" si="58">BK7</f>
        <v>6</v>
      </c>
      <c r="BL8" s="131">
        <f t="shared" ref="BL8" si="59">BL7</f>
        <v>3</v>
      </c>
      <c r="BM8" s="131">
        <f t="shared" ref="BM8" si="60">BM7</f>
        <v>2</v>
      </c>
      <c r="BN8" s="131">
        <f t="shared" ref="BN8" si="61">BN7</f>
        <v>1</v>
      </c>
      <c r="BO8" s="131">
        <f t="shared" ref="BO8" si="62">BO7</f>
        <v>4</v>
      </c>
      <c r="BP8" s="131">
        <f t="shared" ref="BP8" si="63">BP7</f>
        <v>7</v>
      </c>
      <c r="BQ8" s="375">
        <f t="shared" ref="BQ8" si="64">BQ7</f>
        <v>5</v>
      </c>
      <c r="BS8" s="131">
        <f t="shared" ref="BS8" si="65">BS7</f>
        <v>2</v>
      </c>
      <c r="BT8" s="131">
        <f t="shared" ref="BT8" si="66">BT7</f>
        <v>5</v>
      </c>
      <c r="BU8" s="131">
        <f t="shared" ref="BU8" si="67">BU7</f>
        <v>3</v>
      </c>
      <c r="BV8" s="131">
        <f t="shared" ref="BV8" si="68">BV7</f>
        <v>4</v>
      </c>
      <c r="BW8" s="131">
        <f t="shared" ref="BW8" si="69">BW7</f>
        <v>6</v>
      </c>
      <c r="BX8" s="375">
        <f t="shared" ref="BX8" si="70">BX7</f>
        <v>1</v>
      </c>
      <c r="BY8" s="131">
        <f t="shared" ref="BY8" si="71">BY7</f>
        <v>3</v>
      </c>
      <c r="BZ8" s="131">
        <f t="shared" ref="BZ8" si="72">BZ7</f>
        <v>4</v>
      </c>
      <c r="CA8" s="131">
        <f t="shared" ref="CA8" si="73">CA7</f>
        <v>5</v>
      </c>
      <c r="CB8" s="131">
        <f t="shared" ref="CB8" si="74">CB7</f>
        <v>1</v>
      </c>
      <c r="CC8" s="131">
        <f t="shared" ref="CC8" si="75">CC7</f>
        <v>2</v>
      </c>
      <c r="CD8" s="375">
        <f t="shared" ref="CD8" si="76">CD7</f>
        <v>6</v>
      </c>
      <c r="CE8" s="131">
        <f t="shared" ref="CE8" si="77">CE7</f>
        <v>4</v>
      </c>
      <c r="CF8" s="131">
        <f t="shared" ref="CF8" si="78">CF7</f>
        <v>2</v>
      </c>
      <c r="CG8" s="131">
        <f t="shared" ref="CG8" si="79">CG7</f>
        <v>6</v>
      </c>
      <c r="CH8" s="131">
        <f t="shared" ref="CH8" si="80">CH7</f>
        <v>3</v>
      </c>
      <c r="CI8" s="131">
        <f t="shared" ref="CI8" si="81">CI7</f>
        <v>5</v>
      </c>
      <c r="CJ8" s="375">
        <f t="shared" ref="CJ8" si="82">CJ7</f>
        <v>1</v>
      </c>
      <c r="CK8" s="131">
        <f t="shared" ref="CK8" si="83">CK7</f>
        <v>6</v>
      </c>
      <c r="CL8" s="131">
        <f t="shared" ref="CL8" si="84">CL7</f>
        <v>3</v>
      </c>
      <c r="CM8" s="131">
        <f t="shared" ref="CM8" si="85">CM7</f>
        <v>2</v>
      </c>
      <c r="CN8" s="131">
        <f t="shared" ref="CN8" si="86">CN7</f>
        <v>1</v>
      </c>
      <c r="CO8" s="131">
        <f t="shared" ref="CO8" si="87">CO7</f>
        <v>4</v>
      </c>
      <c r="CP8" s="375">
        <f t="shared" ref="CP8" si="88">CP7</f>
        <v>5</v>
      </c>
      <c r="CR8" s="131">
        <f t="shared" ref="CR8" si="89">CR7</f>
        <v>2</v>
      </c>
      <c r="CS8" s="131">
        <f t="shared" ref="CS8" si="90">CS7</f>
        <v>5</v>
      </c>
      <c r="CT8" s="131">
        <f t="shared" ref="CT8" si="91">CT7</f>
        <v>3</v>
      </c>
      <c r="CU8" s="131">
        <f t="shared" ref="CU8" si="92">CU7</f>
        <v>4</v>
      </c>
      <c r="CV8" s="375">
        <f t="shared" ref="CV8" si="93">CV7</f>
        <v>1</v>
      </c>
      <c r="CW8" s="131">
        <f t="shared" ref="CW8" si="94">CW7</f>
        <v>3</v>
      </c>
      <c r="CX8" s="131">
        <f t="shared" ref="CX8" si="95">CX7</f>
        <v>4</v>
      </c>
      <c r="CY8" s="131">
        <f t="shared" ref="CY8" si="96">CY7</f>
        <v>5</v>
      </c>
      <c r="CZ8" s="131">
        <f t="shared" ref="CZ8" si="97">CZ7</f>
        <v>1</v>
      </c>
      <c r="DA8" s="375">
        <f t="shared" ref="DA8" si="98">DA7</f>
        <v>2</v>
      </c>
      <c r="DB8" s="131">
        <f t="shared" ref="DB8" si="99">DB7</f>
        <v>4</v>
      </c>
      <c r="DC8" s="131">
        <f t="shared" ref="DC8" si="100">DC7</f>
        <v>2</v>
      </c>
      <c r="DD8" s="131">
        <f t="shared" ref="DD8" si="101">DD7</f>
        <v>3</v>
      </c>
      <c r="DE8" s="131">
        <f t="shared" ref="DE8" si="102">DE7</f>
        <v>5</v>
      </c>
      <c r="DF8" s="375">
        <f t="shared" ref="DF8" si="103">DF7</f>
        <v>1</v>
      </c>
      <c r="DG8" s="131">
        <f t="shared" ref="DG8" si="104">DG7</f>
        <v>3</v>
      </c>
      <c r="DH8" s="131">
        <f t="shared" ref="DH8" si="105">DH7</f>
        <v>2</v>
      </c>
      <c r="DI8" s="131">
        <f t="shared" ref="DI8" si="106">DI7</f>
        <v>1</v>
      </c>
      <c r="DJ8" s="131">
        <f t="shared" ref="DJ8" si="107">DJ7</f>
        <v>4</v>
      </c>
      <c r="DK8" s="375">
        <f t="shared" ref="DK8" si="108">DK7</f>
        <v>5</v>
      </c>
      <c r="DN8" s="66">
        <f>$DO$7*10+DP8</f>
        <v>72</v>
      </c>
      <c r="DP8" s="66">
        <v>2</v>
      </c>
      <c r="DQ8" s="66" t="s">
        <v>146</v>
      </c>
      <c r="DR8" s="66">
        <f>DR7+$DO$7</f>
        <v>49</v>
      </c>
      <c r="DT8" s="100" t="str">
        <f t="shared" si="10"/>
        <v>'Track1'!</v>
      </c>
      <c r="DU8" s="100" t="s">
        <v>673</v>
      </c>
      <c r="DV8" s="100" t="s">
        <v>333</v>
      </c>
      <c r="DW8" s="64">
        <f t="shared" ca="1" si="0"/>
        <v>57</v>
      </c>
      <c r="DX8" s="64" t="str">
        <f t="shared" ca="1" si="11"/>
        <v>'Track1'!C59</v>
      </c>
      <c r="DY8" s="100" t="str">
        <f t="shared" si="12"/>
        <v>'Track1'!</v>
      </c>
      <c r="DZ8" s="100" t="s">
        <v>673</v>
      </c>
      <c r="EA8" s="100" t="s">
        <v>218</v>
      </c>
      <c r="EB8" s="100">
        <f t="shared" ca="1" si="1"/>
        <v>57</v>
      </c>
      <c r="EC8" s="64" t="str">
        <f t="shared" ca="1" si="13"/>
        <v>'Track1'!R59</v>
      </c>
      <c r="EG8" s="65">
        <v>12.25</v>
      </c>
    </row>
    <row r="9" spans="1:137" x14ac:dyDescent="0.35">
      <c r="A9" s="64" t="s">
        <v>38</v>
      </c>
      <c r="B9" s="64" t="s">
        <v>11</v>
      </c>
      <c r="C9" s="64" t="s">
        <v>7</v>
      </c>
      <c r="D9" s="66">
        <v>9</v>
      </c>
      <c r="E9" s="66">
        <v>6</v>
      </c>
      <c r="F9" s="429" t="s">
        <v>1392</v>
      </c>
      <c r="G9" s="430" t="s">
        <v>1392</v>
      </c>
      <c r="H9" s="66" t="s">
        <v>215</v>
      </c>
      <c r="I9" s="131">
        <f>I7</f>
        <v>2</v>
      </c>
      <c r="J9" s="131">
        <f t="shared" ref="J9:P9" si="109">J7</f>
        <v>5</v>
      </c>
      <c r="K9" s="131">
        <f t="shared" si="109"/>
        <v>3</v>
      </c>
      <c r="L9" s="131">
        <f t="shared" si="109"/>
        <v>4</v>
      </c>
      <c r="M9" s="131">
        <f t="shared" si="109"/>
        <v>8</v>
      </c>
      <c r="N9" s="131">
        <f t="shared" si="109"/>
        <v>7</v>
      </c>
      <c r="O9" s="131">
        <f t="shared" si="109"/>
        <v>6</v>
      </c>
      <c r="P9" s="375">
        <f t="shared" si="109"/>
        <v>1</v>
      </c>
      <c r="Q9" s="131">
        <f>Q7</f>
        <v>3</v>
      </c>
      <c r="R9" s="131">
        <f t="shared" ref="R9:X9" si="110">R7</f>
        <v>4</v>
      </c>
      <c r="S9" s="131">
        <f t="shared" si="110"/>
        <v>5</v>
      </c>
      <c r="T9" s="131">
        <f t="shared" si="110"/>
        <v>1</v>
      </c>
      <c r="U9" s="131">
        <f t="shared" si="110"/>
        <v>2</v>
      </c>
      <c r="V9" s="131">
        <f t="shared" si="110"/>
        <v>6</v>
      </c>
      <c r="W9" s="131">
        <f t="shared" si="110"/>
        <v>8</v>
      </c>
      <c r="X9" s="375">
        <f t="shared" si="110"/>
        <v>7</v>
      </c>
      <c r="Y9" s="131">
        <f>Y7</f>
        <v>4</v>
      </c>
      <c r="Z9" s="131">
        <f t="shared" ref="Z9:AF9" si="111">Z7</f>
        <v>2</v>
      </c>
      <c r="AA9" s="131">
        <f t="shared" si="111"/>
        <v>6</v>
      </c>
      <c r="AB9" s="131">
        <f t="shared" si="111"/>
        <v>7</v>
      </c>
      <c r="AC9" s="131">
        <f t="shared" si="111"/>
        <v>3</v>
      </c>
      <c r="AD9" s="131">
        <f t="shared" si="111"/>
        <v>5</v>
      </c>
      <c r="AE9" s="131">
        <f t="shared" si="111"/>
        <v>1</v>
      </c>
      <c r="AF9" s="375">
        <f t="shared" si="111"/>
        <v>8</v>
      </c>
      <c r="AG9" s="131">
        <f>AG7</f>
        <v>6</v>
      </c>
      <c r="AH9" s="131">
        <f t="shared" ref="AH9:AN9" si="112">AH7</f>
        <v>3</v>
      </c>
      <c r="AI9" s="131">
        <f t="shared" si="112"/>
        <v>8</v>
      </c>
      <c r="AJ9" s="131">
        <f t="shared" si="112"/>
        <v>2</v>
      </c>
      <c r="AK9" s="131">
        <f t="shared" si="112"/>
        <v>1</v>
      </c>
      <c r="AL9" s="131">
        <f t="shared" si="112"/>
        <v>4</v>
      </c>
      <c r="AM9" s="131">
        <f t="shared" si="112"/>
        <v>7</v>
      </c>
      <c r="AN9" s="375">
        <f t="shared" si="112"/>
        <v>5</v>
      </c>
      <c r="AP9" s="131">
        <f t="shared" ref="AP9:BQ9" si="113">AP7</f>
        <v>2</v>
      </c>
      <c r="AQ9" s="131">
        <f t="shared" si="113"/>
        <v>5</v>
      </c>
      <c r="AR9" s="131">
        <f t="shared" si="113"/>
        <v>3</v>
      </c>
      <c r="AS9" s="131">
        <f t="shared" si="113"/>
        <v>4</v>
      </c>
      <c r="AT9" s="131">
        <f t="shared" si="113"/>
        <v>7</v>
      </c>
      <c r="AU9" s="131">
        <f t="shared" si="113"/>
        <v>6</v>
      </c>
      <c r="AV9" s="375">
        <f t="shared" si="113"/>
        <v>1</v>
      </c>
      <c r="AW9" s="131">
        <f t="shared" si="113"/>
        <v>3</v>
      </c>
      <c r="AX9" s="131">
        <f t="shared" si="113"/>
        <v>4</v>
      </c>
      <c r="AY9" s="131">
        <f t="shared" si="113"/>
        <v>5</v>
      </c>
      <c r="AZ9" s="131">
        <f t="shared" si="113"/>
        <v>1</v>
      </c>
      <c r="BA9" s="131">
        <f t="shared" si="113"/>
        <v>2</v>
      </c>
      <c r="BB9" s="131">
        <f t="shared" si="113"/>
        <v>6</v>
      </c>
      <c r="BC9" s="375">
        <f t="shared" si="113"/>
        <v>7</v>
      </c>
      <c r="BD9" s="131">
        <f t="shared" si="113"/>
        <v>4</v>
      </c>
      <c r="BE9" s="131">
        <f t="shared" si="113"/>
        <v>2</v>
      </c>
      <c r="BF9" s="131">
        <f t="shared" si="113"/>
        <v>6</v>
      </c>
      <c r="BG9" s="131">
        <f t="shared" si="113"/>
        <v>7</v>
      </c>
      <c r="BH9" s="131">
        <f t="shared" si="113"/>
        <v>3</v>
      </c>
      <c r="BI9" s="131">
        <f t="shared" si="113"/>
        <v>5</v>
      </c>
      <c r="BJ9" s="375">
        <f t="shared" si="113"/>
        <v>1</v>
      </c>
      <c r="BK9" s="131">
        <f t="shared" si="113"/>
        <v>6</v>
      </c>
      <c r="BL9" s="131">
        <f t="shared" si="113"/>
        <v>3</v>
      </c>
      <c r="BM9" s="131">
        <f t="shared" si="113"/>
        <v>2</v>
      </c>
      <c r="BN9" s="131">
        <f t="shared" si="113"/>
        <v>1</v>
      </c>
      <c r="BO9" s="131">
        <f t="shared" si="113"/>
        <v>4</v>
      </c>
      <c r="BP9" s="131">
        <f t="shared" si="113"/>
        <v>7</v>
      </c>
      <c r="BQ9" s="375">
        <f t="shared" si="113"/>
        <v>5</v>
      </c>
      <c r="BS9" s="131">
        <f t="shared" ref="BS9:CP9" si="114">BS7</f>
        <v>2</v>
      </c>
      <c r="BT9" s="131">
        <f t="shared" si="114"/>
        <v>5</v>
      </c>
      <c r="BU9" s="131">
        <f t="shared" si="114"/>
        <v>3</v>
      </c>
      <c r="BV9" s="131">
        <f t="shared" si="114"/>
        <v>4</v>
      </c>
      <c r="BW9" s="131">
        <f t="shared" si="114"/>
        <v>6</v>
      </c>
      <c r="BX9" s="375">
        <f t="shared" si="114"/>
        <v>1</v>
      </c>
      <c r="BY9" s="131">
        <f t="shared" si="114"/>
        <v>3</v>
      </c>
      <c r="BZ9" s="131">
        <f t="shared" si="114"/>
        <v>4</v>
      </c>
      <c r="CA9" s="131">
        <f t="shared" si="114"/>
        <v>5</v>
      </c>
      <c r="CB9" s="131">
        <f t="shared" si="114"/>
        <v>1</v>
      </c>
      <c r="CC9" s="131">
        <f t="shared" si="114"/>
        <v>2</v>
      </c>
      <c r="CD9" s="375">
        <f t="shared" si="114"/>
        <v>6</v>
      </c>
      <c r="CE9" s="131">
        <f t="shared" si="114"/>
        <v>4</v>
      </c>
      <c r="CF9" s="131">
        <f t="shared" si="114"/>
        <v>2</v>
      </c>
      <c r="CG9" s="131">
        <f t="shared" si="114"/>
        <v>6</v>
      </c>
      <c r="CH9" s="131">
        <f t="shared" si="114"/>
        <v>3</v>
      </c>
      <c r="CI9" s="131">
        <f t="shared" si="114"/>
        <v>5</v>
      </c>
      <c r="CJ9" s="375">
        <f t="shared" si="114"/>
        <v>1</v>
      </c>
      <c r="CK9" s="131">
        <f t="shared" si="114"/>
        <v>6</v>
      </c>
      <c r="CL9" s="131">
        <f t="shared" si="114"/>
        <v>3</v>
      </c>
      <c r="CM9" s="131">
        <f t="shared" si="114"/>
        <v>2</v>
      </c>
      <c r="CN9" s="131">
        <f t="shared" si="114"/>
        <v>1</v>
      </c>
      <c r="CO9" s="131">
        <f t="shared" si="114"/>
        <v>4</v>
      </c>
      <c r="CP9" s="375">
        <f t="shared" si="114"/>
        <v>5</v>
      </c>
      <c r="CR9" s="131">
        <f t="shared" ref="CR9:DK9" si="115">CR7</f>
        <v>2</v>
      </c>
      <c r="CS9" s="131">
        <f t="shared" si="115"/>
        <v>5</v>
      </c>
      <c r="CT9" s="131">
        <f t="shared" si="115"/>
        <v>3</v>
      </c>
      <c r="CU9" s="131">
        <f t="shared" si="115"/>
        <v>4</v>
      </c>
      <c r="CV9" s="375">
        <f t="shared" si="115"/>
        <v>1</v>
      </c>
      <c r="CW9" s="131">
        <f t="shared" si="115"/>
        <v>3</v>
      </c>
      <c r="CX9" s="131">
        <f t="shared" si="115"/>
        <v>4</v>
      </c>
      <c r="CY9" s="131">
        <f t="shared" si="115"/>
        <v>5</v>
      </c>
      <c r="CZ9" s="131">
        <f t="shared" si="115"/>
        <v>1</v>
      </c>
      <c r="DA9" s="375">
        <f t="shared" si="115"/>
        <v>2</v>
      </c>
      <c r="DB9" s="131">
        <f t="shared" si="115"/>
        <v>4</v>
      </c>
      <c r="DC9" s="131">
        <f t="shared" si="115"/>
        <v>2</v>
      </c>
      <c r="DD9" s="131">
        <f t="shared" si="115"/>
        <v>3</v>
      </c>
      <c r="DE9" s="131">
        <f t="shared" si="115"/>
        <v>5</v>
      </c>
      <c r="DF9" s="375">
        <f t="shared" si="115"/>
        <v>1</v>
      </c>
      <c r="DG9" s="131">
        <f t="shared" si="115"/>
        <v>3</v>
      </c>
      <c r="DH9" s="131">
        <f t="shared" si="115"/>
        <v>2</v>
      </c>
      <c r="DI9" s="131">
        <f t="shared" si="115"/>
        <v>1</v>
      </c>
      <c r="DJ9" s="131">
        <f t="shared" si="115"/>
        <v>4</v>
      </c>
      <c r="DK9" s="375">
        <f t="shared" si="115"/>
        <v>5</v>
      </c>
      <c r="DN9" s="66">
        <f>$DO$7*10+DP9</f>
        <v>73</v>
      </c>
      <c r="DP9" s="66">
        <v>3</v>
      </c>
      <c r="DQ9" s="66" t="s">
        <v>147</v>
      </c>
      <c r="DR9" s="66">
        <f>DR8+$DO$7</f>
        <v>56</v>
      </c>
      <c r="DT9" s="100" t="str">
        <f t="shared" si="10"/>
        <v>'Track1'!</v>
      </c>
      <c r="DU9" s="100" t="s">
        <v>673</v>
      </c>
      <c r="DV9" s="100" t="s">
        <v>333</v>
      </c>
      <c r="DW9" s="64">
        <f t="shared" ca="1" si="0"/>
        <v>68</v>
      </c>
      <c r="DX9" s="64" t="str">
        <f t="shared" ca="1" si="11"/>
        <v>'Track1'!C70</v>
      </c>
      <c r="DY9" s="100" t="str">
        <f t="shared" si="12"/>
        <v>'Track1'!</v>
      </c>
      <c r="DZ9" s="100" t="s">
        <v>673</v>
      </c>
      <c r="EA9" s="100" t="s">
        <v>218</v>
      </c>
      <c r="EB9" s="100">
        <f t="shared" ca="1" si="1"/>
        <v>68</v>
      </c>
      <c r="EC9" s="64" t="str">
        <f t="shared" ca="1" si="13"/>
        <v>'Track1'!R70</v>
      </c>
      <c r="EG9" s="65">
        <v>12.35</v>
      </c>
    </row>
    <row r="10" spans="1:137" x14ac:dyDescent="0.35">
      <c r="A10" s="64" t="s">
        <v>39</v>
      </c>
      <c r="B10" s="64" t="s">
        <v>11</v>
      </c>
      <c r="C10" s="64" t="s">
        <v>9</v>
      </c>
      <c r="D10" s="66">
        <v>10</v>
      </c>
      <c r="E10" s="66">
        <v>56</v>
      </c>
      <c r="F10" s="429" t="s">
        <v>1393</v>
      </c>
      <c r="G10" s="430" t="s">
        <v>1393</v>
      </c>
      <c r="H10" s="66" t="s">
        <v>215</v>
      </c>
      <c r="I10" s="131">
        <f>I7</f>
        <v>2</v>
      </c>
      <c r="J10" s="131">
        <f t="shared" ref="J10:P10" si="116">J7</f>
        <v>5</v>
      </c>
      <c r="K10" s="131">
        <f t="shared" si="116"/>
        <v>3</v>
      </c>
      <c r="L10" s="131">
        <f t="shared" si="116"/>
        <v>4</v>
      </c>
      <c r="M10" s="131">
        <f t="shared" si="116"/>
        <v>8</v>
      </c>
      <c r="N10" s="131">
        <f t="shared" si="116"/>
        <v>7</v>
      </c>
      <c r="O10" s="131">
        <f t="shared" si="116"/>
        <v>6</v>
      </c>
      <c r="P10" s="375">
        <f t="shared" si="116"/>
        <v>1</v>
      </c>
      <c r="Q10" s="131">
        <f>Q7</f>
        <v>3</v>
      </c>
      <c r="R10" s="131">
        <f t="shared" ref="R10:X10" si="117">R7</f>
        <v>4</v>
      </c>
      <c r="S10" s="131">
        <f t="shared" si="117"/>
        <v>5</v>
      </c>
      <c r="T10" s="131">
        <f t="shared" si="117"/>
        <v>1</v>
      </c>
      <c r="U10" s="131">
        <f t="shared" si="117"/>
        <v>2</v>
      </c>
      <c r="V10" s="131">
        <f t="shared" si="117"/>
        <v>6</v>
      </c>
      <c r="W10" s="131">
        <f t="shared" si="117"/>
        <v>8</v>
      </c>
      <c r="X10" s="375">
        <f t="shared" si="117"/>
        <v>7</v>
      </c>
      <c r="Y10" s="131">
        <f>Y7</f>
        <v>4</v>
      </c>
      <c r="Z10" s="131">
        <f t="shared" ref="Z10:AF10" si="118">Z7</f>
        <v>2</v>
      </c>
      <c r="AA10" s="131">
        <f t="shared" si="118"/>
        <v>6</v>
      </c>
      <c r="AB10" s="131">
        <f t="shared" si="118"/>
        <v>7</v>
      </c>
      <c r="AC10" s="131">
        <f t="shared" si="118"/>
        <v>3</v>
      </c>
      <c r="AD10" s="131">
        <f t="shared" si="118"/>
        <v>5</v>
      </c>
      <c r="AE10" s="131">
        <f t="shared" si="118"/>
        <v>1</v>
      </c>
      <c r="AF10" s="375">
        <f t="shared" si="118"/>
        <v>8</v>
      </c>
      <c r="AG10" s="131">
        <f>AG7</f>
        <v>6</v>
      </c>
      <c r="AH10" s="131">
        <f t="shared" ref="AH10:AN10" si="119">AH7</f>
        <v>3</v>
      </c>
      <c r="AI10" s="131">
        <f t="shared" si="119"/>
        <v>8</v>
      </c>
      <c r="AJ10" s="131">
        <f t="shared" si="119"/>
        <v>2</v>
      </c>
      <c r="AK10" s="131">
        <f t="shared" si="119"/>
        <v>1</v>
      </c>
      <c r="AL10" s="131">
        <f t="shared" si="119"/>
        <v>4</v>
      </c>
      <c r="AM10" s="131">
        <f t="shared" si="119"/>
        <v>7</v>
      </c>
      <c r="AN10" s="375">
        <f t="shared" si="119"/>
        <v>5</v>
      </c>
      <c r="AP10" s="131">
        <f t="shared" ref="AP10:BQ10" si="120">AP7</f>
        <v>2</v>
      </c>
      <c r="AQ10" s="131">
        <f t="shared" si="120"/>
        <v>5</v>
      </c>
      <c r="AR10" s="131">
        <f t="shared" si="120"/>
        <v>3</v>
      </c>
      <c r="AS10" s="131">
        <f t="shared" si="120"/>
        <v>4</v>
      </c>
      <c r="AT10" s="131">
        <f t="shared" si="120"/>
        <v>7</v>
      </c>
      <c r="AU10" s="131">
        <f t="shared" si="120"/>
        <v>6</v>
      </c>
      <c r="AV10" s="375">
        <f t="shared" si="120"/>
        <v>1</v>
      </c>
      <c r="AW10" s="131">
        <f t="shared" si="120"/>
        <v>3</v>
      </c>
      <c r="AX10" s="131">
        <f t="shared" si="120"/>
        <v>4</v>
      </c>
      <c r="AY10" s="131">
        <f t="shared" si="120"/>
        <v>5</v>
      </c>
      <c r="AZ10" s="131">
        <f t="shared" si="120"/>
        <v>1</v>
      </c>
      <c r="BA10" s="131">
        <f t="shared" si="120"/>
        <v>2</v>
      </c>
      <c r="BB10" s="131">
        <f t="shared" si="120"/>
        <v>6</v>
      </c>
      <c r="BC10" s="375">
        <f t="shared" si="120"/>
        <v>7</v>
      </c>
      <c r="BD10" s="131">
        <f t="shared" si="120"/>
        <v>4</v>
      </c>
      <c r="BE10" s="131">
        <f t="shared" si="120"/>
        <v>2</v>
      </c>
      <c r="BF10" s="131">
        <f t="shared" si="120"/>
        <v>6</v>
      </c>
      <c r="BG10" s="131">
        <f t="shared" si="120"/>
        <v>7</v>
      </c>
      <c r="BH10" s="131">
        <f t="shared" si="120"/>
        <v>3</v>
      </c>
      <c r="BI10" s="131">
        <f t="shared" si="120"/>
        <v>5</v>
      </c>
      <c r="BJ10" s="375">
        <f t="shared" si="120"/>
        <v>1</v>
      </c>
      <c r="BK10" s="131">
        <f t="shared" si="120"/>
        <v>6</v>
      </c>
      <c r="BL10" s="131">
        <f t="shared" si="120"/>
        <v>3</v>
      </c>
      <c r="BM10" s="131">
        <f t="shared" si="120"/>
        <v>2</v>
      </c>
      <c r="BN10" s="131">
        <f t="shared" si="120"/>
        <v>1</v>
      </c>
      <c r="BO10" s="131">
        <f t="shared" si="120"/>
        <v>4</v>
      </c>
      <c r="BP10" s="131">
        <f t="shared" si="120"/>
        <v>7</v>
      </c>
      <c r="BQ10" s="375">
        <f t="shared" si="120"/>
        <v>5</v>
      </c>
      <c r="BS10" s="131">
        <f t="shared" ref="BS10:CP10" si="121">BS7</f>
        <v>2</v>
      </c>
      <c r="BT10" s="131">
        <f t="shared" si="121"/>
        <v>5</v>
      </c>
      <c r="BU10" s="131">
        <f t="shared" si="121"/>
        <v>3</v>
      </c>
      <c r="BV10" s="131">
        <f t="shared" si="121"/>
        <v>4</v>
      </c>
      <c r="BW10" s="131">
        <f t="shared" si="121"/>
        <v>6</v>
      </c>
      <c r="BX10" s="375">
        <f t="shared" si="121"/>
        <v>1</v>
      </c>
      <c r="BY10" s="131">
        <f t="shared" si="121"/>
        <v>3</v>
      </c>
      <c r="BZ10" s="131">
        <f t="shared" si="121"/>
        <v>4</v>
      </c>
      <c r="CA10" s="131">
        <f t="shared" si="121"/>
        <v>5</v>
      </c>
      <c r="CB10" s="131">
        <f t="shared" si="121"/>
        <v>1</v>
      </c>
      <c r="CC10" s="131">
        <f t="shared" si="121"/>
        <v>2</v>
      </c>
      <c r="CD10" s="375">
        <f t="shared" si="121"/>
        <v>6</v>
      </c>
      <c r="CE10" s="131">
        <f t="shared" si="121"/>
        <v>4</v>
      </c>
      <c r="CF10" s="131">
        <f t="shared" si="121"/>
        <v>2</v>
      </c>
      <c r="CG10" s="131">
        <f t="shared" si="121"/>
        <v>6</v>
      </c>
      <c r="CH10" s="131">
        <f t="shared" si="121"/>
        <v>3</v>
      </c>
      <c r="CI10" s="131">
        <f t="shared" si="121"/>
        <v>5</v>
      </c>
      <c r="CJ10" s="375">
        <f t="shared" si="121"/>
        <v>1</v>
      </c>
      <c r="CK10" s="131">
        <f t="shared" si="121"/>
        <v>6</v>
      </c>
      <c r="CL10" s="131">
        <f t="shared" si="121"/>
        <v>3</v>
      </c>
      <c r="CM10" s="131">
        <f t="shared" si="121"/>
        <v>2</v>
      </c>
      <c r="CN10" s="131">
        <f t="shared" si="121"/>
        <v>1</v>
      </c>
      <c r="CO10" s="131">
        <f t="shared" si="121"/>
        <v>4</v>
      </c>
      <c r="CP10" s="375">
        <f t="shared" si="121"/>
        <v>5</v>
      </c>
      <c r="CR10" s="131">
        <f t="shared" ref="CR10:DK10" si="122">CR7</f>
        <v>2</v>
      </c>
      <c r="CS10" s="131">
        <f t="shared" si="122"/>
        <v>5</v>
      </c>
      <c r="CT10" s="131">
        <f t="shared" si="122"/>
        <v>3</v>
      </c>
      <c r="CU10" s="131">
        <f t="shared" si="122"/>
        <v>4</v>
      </c>
      <c r="CV10" s="375">
        <f t="shared" si="122"/>
        <v>1</v>
      </c>
      <c r="CW10" s="131">
        <f t="shared" si="122"/>
        <v>3</v>
      </c>
      <c r="CX10" s="131">
        <f t="shared" si="122"/>
        <v>4</v>
      </c>
      <c r="CY10" s="131">
        <f t="shared" si="122"/>
        <v>5</v>
      </c>
      <c r="CZ10" s="131">
        <f t="shared" si="122"/>
        <v>1</v>
      </c>
      <c r="DA10" s="375">
        <f t="shared" si="122"/>
        <v>2</v>
      </c>
      <c r="DB10" s="131">
        <f t="shared" si="122"/>
        <v>4</v>
      </c>
      <c r="DC10" s="131">
        <f t="shared" si="122"/>
        <v>2</v>
      </c>
      <c r="DD10" s="131">
        <f t="shared" si="122"/>
        <v>3</v>
      </c>
      <c r="DE10" s="131">
        <f t="shared" si="122"/>
        <v>5</v>
      </c>
      <c r="DF10" s="375">
        <f t="shared" si="122"/>
        <v>1</v>
      </c>
      <c r="DG10" s="131">
        <f t="shared" si="122"/>
        <v>3</v>
      </c>
      <c r="DH10" s="131">
        <f t="shared" si="122"/>
        <v>2</v>
      </c>
      <c r="DI10" s="131">
        <f t="shared" si="122"/>
        <v>1</v>
      </c>
      <c r="DJ10" s="131">
        <f t="shared" si="122"/>
        <v>4</v>
      </c>
      <c r="DK10" s="375">
        <f t="shared" si="122"/>
        <v>5</v>
      </c>
      <c r="DN10" s="66">
        <f>$DO$7*10+DP10</f>
        <v>74</v>
      </c>
      <c r="DP10" s="66">
        <v>4</v>
      </c>
      <c r="DQ10" s="66" t="s">
        <v>148</v>
      </c>
      <c r="DR10" s="66">
        <f>DR9+$DO$7</f>
        <v>63</v>
      </c>
      <c r="DT10" s="100" t="str">
        <f t="shared" si="10"/>
        <v>'Track1'!</v>
      </c>
      <c r="DU10" s="100" t="s">
        <v>673</v>
      </c>
      <c r="DV10" s="100" t="s">
        <v>333</v>
      </c>
      <c r="DW10" s="64">
        <f t="shared" ca="1" si="0"/>
        <v>79</v>
      </c>
      <c r="DX10" s="64" t="str">
        <f t="shared" ca="1" si="11"/>
        <v>'Track1'!C81</v>
      </c>
      <c r="DY10" s="100" t="str">
        <f t="shared" si="12"/>
        <v>'Track1'!</v>
      </c>
      <c r="DZ10" s="100" t="s">
        <v>673</v>
      </c>
      <c r="EA10" s="100" t="s">
        <v>218</v>
      </c>
      <c r="EB10" s="100">
        <f t="shared" ca="1" si="1"/>
        <v>79</v>
      </c>
      <c r="EC10" s="64" t="str">
        <f t="shared" ca="1" si="13"/>
        <v>'Track1'!R81</v>
      </c>
      <c r="EG10" s="65">
        <v>12.45</v>
      </c>
    </row>
    <row r="11" spans="1:137" x14ac:dyDescent="0.35">
      <c r="A11" s="64" t="s">
        <v>506</v>
      </c>
      <c r="B11" s="64" t="s">
        <v>12</v>
      </c>
      <c r="C11" s="64" t="s">
        <v>4</v>
      </c>
      <c r="D11" s="66">
        <v>11</v>
      </c>
      <c r="E11" s="66">
        <v>33</v>
      </c>
      <c r="F11" s="429" t="s">
        <v>1394</v>
      </c>
      <c r="G11" s="430" t="s">
        <v>1394</v>
      </c>
      <c r="I11" s="129">
        <v>3</v>
      </c>
      <c r="J11" s="129">
        <v>8</v>
      </c>
      <c r="K11" s="129">
        <v>5</v>
      </c>
      <c r="L11" s="129">
        <v>2</v>
      </c>
      <c r="M11" s="129">
        <v>6</v>
      </c>
      <c r="N11" s="129">
        <v>7</v>
      </c>
      <c r="O11" s="129">
        <v>4</v>
      </c>
      <c r="P11" s="374">
        <v>1</v>
      </c>
      <c r="Q11" s="129">
        <v>5</v>
      </c>
      <c r="R11" s="129">
        <v>8</v>
      </c>
      <c r="S11" s="129">
        <v>1</v>
      </c>
      <c r="T11" s="129">
        <v>3</v>
      </c>
      <c r="U11" s="129">
        <v>4</v>
      </c>
      <c r="V11" s="129">
        <v>2</v>
      </c>
      <c r="W11" s="129">
        <v>7</v>
      </c>
      <c r="X11" s="374">
        <v>6</v>
      </c>
      <c r="Y11" s="129">
        <v>4</v>
      </c>
      <c r="Z11" s="129">
        <v>5</v>
      </c>
      <c r="AA11" s="129">
        <v>1</v>
      </c>
      <c r="AB11" s="129">
        <v>8</v>
      </c>
      <c r="AC11" s="129">
        <v>7</v>
      </c>
      <c r="AD11" s="129">
        <v>6</v>
      </c>
      <c r="AE11" s="129">
        <v>2</v>
      </c>
      <c r="AF11" s="374">
        <v>3</v>
      </c>
      <c r="AG11" s="129">
        <v>2</v>
      </c>
      <c r="AH11" s="129">
        <v>6</v>
      </c>
      <c r="AI11" s="129">
        <v>4</v>
      </c>
      <c r="AJ11" s="129">
        <v>5</v>
      </c>
      <c r="AK11" s="129">
        <v>3</v>
      </c>
      <c r="AL11" s="129">
        <v>8</v>
      </c>
      <c r="AM11" s="129">
        <v>1</v>
      </c>
      <c r="AN11" s="374">
        <v>7</v>
      </c>
      <c r="AP11" s="129">
        <v>3</v>
      </c>
      <c r="AQ11" s="129">
        <v>5</v>
      </c>
      <c r="AR11" s="129">
        <v>2</v>
      </c>
      <c r="AS11" s="129">
        <v>6</v>
      </c>
      <c r="AT11" s="129">
        <v>7</v>
      </c>
      <c r="AU11" s="129">
        <v>4</v>
      </c>
      <c r="AV11" s="374">
        <v>1</v>
      </c>
      <c r="AW11" s="129">
        <v>5</v>
      </c>
      <c r="AX11" s="129">
        <v>1</v>
      </c>
      <c r="AY11" s="129">
        <v>3</v>
      </c>
      <c r="AZ11" s="129">
        <v>4</v>
      </c>
      <c r="BA11" s="129">
        <v>2</v>
      </c>
      <c r="BB11" s="129">
        <v>7</v>
      </c>
      <c r="BC11" s="374">
        <v>6</v>
      </c>
      <c r="BD11" s="129">
        <v>4</v>
      </c>
      <c r="BE11" s="129">
        <v>5</v>
      </c>
      <c r="BF11" s="129">
        <v>1</v>
      </c>
      <c r="BG11" s="129">
        <v>7</v>
      </c>
      <c r="BH11" s="129">
        <v>6</v>
      </c>
      <c r="BI11" s="129">
        <v>2</v>
      </c>
      <c r="BJ11" s="374">
        <v>3</v>
      </c>
      <c r="BK11" s="129">
        <v>2</v>
      </c>
      <c r="BL11" s="129">
        <v>6</v>
      </c>
      <c r="BM11" s="129">
        <v>4</v>
      </c>
      <c r="BN11" s="129">
        <v>5</v>
      </c>
      <c r="BO11" s="129">
        <v>3</v>
      </c>
      <c r="BP11" s="129">
        <v>1</v>
      </c>
      <c r="BQ11" s="374">
        <v>7</v>
      </c>
      <c r="BS11" s="129">
        <v>3</v>
      </c>
      <c r="BT11" s="129">
        <v>5</v>
      </c>
      <c r="BU11" s="129">
        <v>2</v>
      </c>
      <c r="BV11" s="129">
        <v>6</v>
      </c>
      <c r="BW11" s="129">
        <v>4</v>
      </c>
      <c r="BX11" s="374">
        <v>1</v>
      </c>
      <c r="BY11" s="129">
        <v>5</v>
      </c>
      <c r="BZ11" s="129">
        <v>1</v>
      </c>
      <c r="CA11" s="129">
        <v>3</v>
      </c>
      <c r="CB11" s="129">
        <v>4</v>
      </c>
      <c r="CC11" s="129">
        <v>2</v>
      </c>
      <c r="CD11" s="374">
        <v>6</v>
      </c>
      <c r="CE11" s="129">
        <v>4</v>
      </c>
      <c r="CF11" s="129">
        <v>5</v>
      </c>
      <c r="CG11" s="129">
        <v>1</v>
      </c>
      <c r="CH11" s="129">
        <v>6</v>
      </c>
      <c r="CI11" s="129">
        <v>2</v>
      </c>
      <c r="CJ11" s="374">
        <v>3</v>
      </c>
      <c r="CK11" s="129">
        <v>2</v>
      </c>
      <c r="CL11" s="129">
        <v>6</v>
      </c>
      <c r="CM11" s="129">
        <v>4</v>
      </c>
      <c r="CN11" s="129">
        <v>5</v>
      </c>
      <c r="CO11" s="129">
        <v>3</v>
      </c>
      <c r="CP11" s="374">
        <v>1</v>
      </c>
      <c r="CR11" s="129">
        <v>3</v>
      </c>
      <c r="CS11" s="129">
        <v>5</v>
      </c>
      <c r="CT11" s="129">
        <v>2</v>
      </c>
      <c r="CU11" s="129">
        <v>4</v>
      </c>
      <c r="CV11" s="374">
        <v>1</v>
      </c>
      <c r="CW11" s="129">
        <v>5</v>
      </c>
      <c r="CX11" s="129">
        <v>1</v>
      </c>
      <c r="CY11" s="129">
        <v>3</v>
      </c>
      <c r="CZ11" s="129">
        <v>4</v>
      </c>
      <c r="DA11" s="374">
        <v>2</v>
      </c>
      <c r="DB11" s="129">
        <v>4</v>
      </c>
      <c r="DC11" s="129">
        <v>5</v>
      </c>
      <c r="DD11" s="129">
        <v>1</v>
      </c>
      <c r="DE11" s="129">
        <v>2</v>
      </c>
      <c r="DF11" s="374">
        <v>3</v>
      </c>
      <c r="DG11" s="129">
        <v>2</v>
      </c>
      <c r="DH11" s="129">
        <v>4</v>
      </c>
      <c r="DI11" s="129">
        <v>5</v>
      </c>
      <c r="DJ11" s="129">
        <v>3</v>
      </c>
      <c r="DK11" s="374">
        <v>1</v>
      </c>
      <c r="DN11" s="66">
        <f>$DO$11*10+DP11</f>
        <v>61</v>
      </c>
      <c r="DO11" s="66">
        <v>6</v>
      </c>
      <c r="DP11" s="66">
        <v>1</v>
      </c>
      <c r="DQ11" s="66" t="s">
        <v>149</v>
      </c>
      <c r="DR11" s="66">
        <v>71</v>
      </c>
      <c r="DT11" s="100" t="str">
        <f t="shared" si="10"/>
        <v>'Track1'!</v>
      </c>
      <c r="DU11" s="100" t="s">
        <v>673</v>
      </c>
      <c r="DV11" s="100" t="s">
        <v>333</v>
      </c>
      <c r="DW11" s="64">
        <f t="shared" ca="1" si="0"/>
        <v>200</v>
      </c>
      <c r="DX11" s="64" t="str">
        <f t="shared" ca="1" si="11"/>
        <v>'Track1'!C202</v>
      </c>
      <c r="DY11" s="100" t="str">
        <f t="shared" si="12"/>
        <v>'Track1'!</v>
      </c>
      <c r="DZ11" s="100" t="s">
        <v>673</v>
      </c>
      <c r="EA11" s="100" t="s">
        <v>218</v>
      </c>
      <c r="EB11" s="100">
        <f t="shared" ca="1" si="1"/>
        <v>200</v>
      </c>
      <c r="EC11" s="64" t="str">
        <f t="shared" ca="1" si="13"/>
        <v>'Track1'!R202</v>
      </c>
      <c r="EG11" s="65">
        <v>13</v>
      </c>
    </row>
    <row r="12" spans="1:137" x14ac:dyDescent="0.35">
      <c r="A12" s="64" t="s">
        <v>507</v>
      </c>
      <c r="B12" s="64" t="s">
        <v>12</v>
      </c>
      <c r="C12" s="64" t="s">
        <v>6</v>
      </c>
      <c r="D12" s="66">
        <v>12</v>
      </c>
      <c r="E12" s="66">
        <v>83</v>
      </c>
      <c r="F12" s="430">
        <v>0.55208333333333337</v>
      </c>
      <c r="G12" s="430">
        <v>0.55208333333333337</v>
      </c>
      <c r="I12" s="131">
        <f>I$11</f>
        <v>3</v>
      </c>
      <c r="J12" s="131">
        <f t="shared" ref="J12:AH18" si="123">J$11</f>
        <v>8</v>
      </c>
      <c r="K12" s="131">
        <f t="shared" si="123"/>
        <v>5</v>
      </c>
      <c r="L12" s="131">
        <f t="shared" si="123"/>
        <v>2</v>
      </c>
      <c r="M12" s="131">
        <f t="shared" si="123"/>
        <v>6</v>
      </c>
      <c r="N12" s="131">
        <f t="shared" si="123"/>
        <v>7</v>
      </c>
      <c r="O12" s="131">
        <f t="shared" si="123"/>
        <v>4</v>
      </c>
      <c r="P12" s="375">
        <f t="shared" si="123"/>
        <v>1</v>
      </c>
      <c r="Q12" s="131">
        <f>Q$11</f>
        <v>5</v>
      </c>
      <c r="R12" s="131">
        <f t="shared" si="123"/>
        <v>8</v>
      </c>
      <c r="S12" s="131">
        <f t="shared" si="123"/>
        <v>1</v>
      </c>
      <c r="T12" s="131">
        <f t="shared" si="123"/>
        <v>3</v>
      </c>
      <c r="U12" s="131">
        <f t="shared" si="123"/>
        <v>4</v>
      </c>
      <c r="V12" s="131">
        <f t="shared" si="123"/>
        <v>2</v>
      </c>
      <c r="W12" s="131">
        <f t="shared" si="123"/>
        <v>7</v>
      </c>
      <c r="X12" s="375">
        <f t="shared" si="123"/>
        <v>6</v>
      </c>
      <c r="Y12" s="131">
        <f>Y$11</f>
        <v>4</v>
      </c>
      <c r="Z12" s="131">
        <f t="shared" si="123"/>
        <v>5</v>
      </c>
      <c r="AA12" s="131">
        <f t="shared" si="123"/>
        <v>1</v>
      </c>
      <c r="AB12" s="131">
        <f t="shared" si="123"/>
        <v>8</v>
      </c>
      <c r="AC12" s="131">
        <f t="shared" si="123"/>
        <v>7</v>
      </c>
      <c r="AD12" s="131">
        <f t="shared" si="123"/>
        <v>6</v>
      </c>
      <c r="AE12" s="131">
        <f t="shared" si="123"/>
        <v>2</v>
      </c>
      <c r="AF12" s="375">
        <f t="shared" si="123"/>
        <v>3</v>
      </c>
      <c r="AG12" s="131">
        <f>AG$11</f>
        <v>2</v>
      </c>
      <c r="AH12" s="131">
        <f t="shared" si="123"/>
        <v>6</v>
      </c>
      <c r="AI12" s="131">
        <f t="shared" ref="AG12:AN18" si="124">AI$11</f>
        <v>4</v>
      </c>
      <c r="AJ12" s="131">
        <f t="shared" si="124"/>
        <v>5</v>
      </c>
      <c r="AK12" s="131">
        <f t="shared" si="124"/>
        <v>3</v>
      </c>
      <c r="AL12" s="131">
        <f t="shared" si="124"/>
        <v>8</v>
      </c>
      <c r="AM12" s="131">
        <f t="shared" si="124"/>
        <v>1</v>
      </c>
      <c r="AN12" s="375">
        <f t="shared" si="124"/>
        <v>7</v>
      </c>
      <c r="AP12" s="131">
        <f t="shared" ref="AP12:BE18" si="125">AP$11</f>
        <v>3</v>
      </c>
      <c r="AQ12" s="131">
        <f t="shared" si="125"/>
        <v>5</v>
      </c>
      <c r="AR12" s="131">
        <f t="shared" si="125"/>
        <v>2</v>
      </c>
      <c r="AS12" s="131">
        <f t="shared" si="125"/>
        <v>6</v>
      </c>
      <c r="AT12" s="131">
        <f t="shared" si="125"/>
        <v>7</v>
      </c>
      <c r="AU12" s="131">
        <f t="shared" si="125"/>
        <v>4</v>
      </c>
      <c r="AV12" s="375">
        <f t="shared" si="125"/>
        <v>1</v>
      </c>
      <c r="AW12" s="131">
        <f t="shared" si="125"/>
        <v>5</v>
      </c>
      <c r="AX12" s="131">
        <f t="shared" si="125"/>
        <v>1</v>
      </c>
      <c r="AY12" s="131">
        <f t="shared" si="125"/>
        <v>3</v>
      </c>
      <c r="AZ12" s="131">
        <f t="shared" si="125"/>
        <v>4</v>
      </c>
      <c r="BA12" s="131">
        <f t="shared" si="125"/>
        <v>2</v>
      </c>
      <c r="BB12" s="131">
        <f t="shared" si="125"/>
        <v>7</v>
      </c>
      <c r="BC12" s="375">
        <f t="shared" si="125"/>
        <v>6</v>
      </c>
      <c r="BD12" s="131">
        <f t="shared" si="125"/>
        <v>4</v>
      </c>
      <c r="BE12" s="131">
        <f t="shared" si="125"/>
        <v>5</v>
      </c>
      <c r="BF12" s="131">
        <f t="shared" ref="BD12:BQ18" si="126">BF$11</f>
        <v>1</v>
      </c>
      <c r="BG12" s="131">
        <f t="shared" si="126"/>
        <v>7</v>
      </c>
      <c r="BH12" s="131">
        <f t="shared" si="126"/>
        <v>6</v>
      </c>
      <c r="BI12" s="131">
        <f t="shared" si="126"/>
        <v>2</v>
      </c>
      <c r="BJ12" s="375">
        <f t="shared" si="126"/>
        <v>3</v>
      </c>
      <c r="BK12" s="131">
        <f t="shared" si="126"/>
        <v>2</v>
      </c>
      <c r="BL12" s="131">
        <f t="shared" si="126"/>
        <v>6</v>
      </c>
      <c r="BM12" s="131">
        <f t="shared" si="126"/>
        <v>4</v>
      </c>
      <c r="BN12" s="131">
        <f t="shared" si="126"/>
        <v>5</v>
      </c>
      <c r="BO12" s="131">
        <f t="shared" si="126"/>
        <v>3</v>
      </c>
      <c r="BP12" s="131">
        <f t="shared" si="126"/>
        <v>1</v>
      </c>
      <c r="BQ12" s="375">
        <f t="shared" si="126"/>
        <v>7</v>
      </c>
      <c r="BS12" s="131">
        <f t="shared" ref="BS12:CH18" si="127">BS$11</f>
        <v>3</v>
      </c>
      <c r="BT12" s="131">
        <f t="shared" si="127"/>
        <v>5</v>
      </c>
      <c r="BU12" s="131">
        <f t="shared" si="127"/>
        <v>2</v>
      </c>
      <c r="BV12" s="131">
        <f t="shared" si="127"/>
        <v>6</v>
      </c>
      <c r="BW12" s="131">
        <f t="shared" si="127"/>
        <v>4</v>
      </c>
      <c r="BX12" s="375">
        <f t="shared" si="127"/>
        <v>1</v>
      </c>
      <c r="BY12" s="131">
        <f t="shared" si="127"/>
        <v>5</v>
      </c>
      <c r="BZ12" s="131">
        <f t="shared" si="127"/>
        <v>1</v>
      </c>
      <c r="CA12" s="131">
        <f t="shared" si="127"/>
        <v>3</v>
      </c>
      <c r="CB12" s="131">
        <f t="shared" si="127"/>
        <v>4</v>
      </c>
      <c r="CC12" s="131">
        <f t="shared" si="127"/>
        <v>2</v>
      </c>
      <c r="CD12" s="375">
        <f t="shared" si="127"/>
        <v>6</v>
      </c>
      <c r="CE12" s="131">
        <f t="shared" si="127"/>
        <v>4</v>
      </c>
      <c r="CF12" s="131">
        <f t="shared" si="127"/>
        <v>5</v>
      </c>
      <c r="CG12" s="131">
        <f t="shared" si="127"/>
        <v>1</v>
      </c>
      <c r="CH12" s="131">
        <f t="shared" si="127"/>
        <v>6</v>
      </c>
      <c r="CI12" s="131">
        <f t="shared" ref="CE12:CP18" si="128">CI$11</f>
        <v>2</v>
      </c>
      <c r="CJ12" s="375">
        <f t="shared" si="128"/>
        <v>3</v>
      </c>
      <c r="CK12" s="131">
        <f t="shared" si="128"/>
        <v>2</v>
      </c>
      <c r="CL12" s="131">
        <f t="shared" si="128"/>
        <v>6</v>
      </c>
      <c r="CM12" s="131">
        <f t="shared" si="128"/>
        <v>4</v>
      </c>
      <c r="CN12" s="131">
        <f t="shared" si="128"/>
        <v>5</v>
      </c>
      <c r="CO12" s="131">
        <f t="shared" si="128"/>
        <v>3</v>
      </c>
      <c r="CP12" s="375">
        <f t="shared" si="128"/>
        <v>1</v>
      </c>
      <c r="CR12" s="131">
        <f t="shared" ref="CR12:DG18" si="129">CR$11</f>
        <v>3</v>
      </c>
      <c r="CS12" s="131">
        <f t="shared" si="129"/>
        <v>5</v>
      </c>
      <c r="CT12" s="131">
        <f t="shared" si="129"/>
        <v>2</v>
      </c>
      <c r="CU12" s="131">
        <f t="shared" si="129"/>
        <v>4</v>
      </c>
      <c r="CV12" s="375">
        <f t="shared" si="129"/>
        <v>1</v>
      </c>
      <c r="CW12" s="131">
        <f t="shared" si="129"/>
        <v>5</v>
      </c>
      <c r="CX12" s="131">
        <f t="shared" si="129"/>
        <v>1</v>
      </c>
      <c r="CY12" s="131">
        <f t="shared" si="129"/>
        <v>3</v>
      </c>
      <c r="CZ12" s="131">
        <f t="shared" si="129"/>
        <v>4</v>
      </c>
      <c r="DA12" s="375">
        <f t="shared" si="129"/>
        <v>2</v>
      </c>
      <c r="DB12" s="131">
        <f t="shared" si="129"/>
        <v>4</v>
      </c>
      <c r="DC12" s="131">
        <f t="shared" si="129"/>
        <v>5</v>
      </c>
      <c r="DD12" s="131">
        <f t="shared" si="129"/>
        <v>1</v>
      </c>
      <c r="DE12" s="131">
        <f t="shared" si="129"/>
        <v>2</v>
      </c>
      <c r="DF12" s="375">
        <f t="shared" si="129"/>
        <v>3</v>
      </c>
      <c r="DG12" s="131">
        <f t="shared" si="129"/>
        <v>2</v>
      </c>
      <c r="DH12" s="131">
        <f t="shared" ref="DG12:DK18" si="130">DH$11</f>
        <v>4</v>
      </c>
      <c r="DI12" s="131">
        <f t="shared" si="130"/>
        <v>5</v>
      </c>
      <c r="DJ12" s="131">
        <f t="shared" si="130"/>
        <v>3</v>
      </c>
      <c r="DK12" s="375">
        <f t="shared" si="130"/>
        <v>1</v>
      </c>
      <c r="DN12" s="66">
        <f>$DO$11*10+DP12</f>
        <v>62</v>
      </c>
      <c r="DP12" s="66">
        <v>2</v>
      </c>
      <c r="DQ12" s="66" t="s">
        <v>150</v>
      </c>
      <c r="DR12" s="66">
        <f>DR11+$DO$11</f>
        <v>77</v>
      </c>
      <c r="DT12" s="100" t="str">
        <f t="shared" si="10"/>
        <v>'Track1'!</v>
      </c>
      <c r="DU12" s="100" t="s">
        <v>673</v>
      </c>
      <c r="DV12" s="100" t="s">
        <v>333</v>
      </c>
      <c r="DW12" s="64">
        <f t="shared" ca="1" si="0"/>
        <v>211</v>
      </c>
      <c r="DX12" s="64" t="str">
        <f t="shared" ca="1" si="11"/>
        <v>'Track1'!C213</v>
      </c>
      <c r="DY12" s="100" t="str">
        <f t="shared" si="12"/>
        <v>'Track1'!</v>
      </c>
      <c r="DZ12" s="100" t="s">
        <v>673</v>
      </c>
      <c r="EA12" s="100" t="s">
        <v>218</v>
      </c>
      <c r="EB12" s="100">
        <f t="shared" ca="1" si="1"/>
        <v>211</v>
      </c>
      <c r="EC12" s="64" t="str">
        <f t="shared" ca="1" si="13"/>
        <v>'Track1'!R213</v>
      </c>
      <c r="EG12" s="65">
        <v>13.1</v>
      </c>
    </row>
    <row r="13" spans="1:137" x14ac:dyDescent="0.35">
      <c r="A13" s="64" t="s">
        <v>508</v>
      </c>
      <c r="B13" s="64" t="s">
        <v>12</v>
      </c>
      <c r="C13" s="64" t="s">
        <v>7</v>
      </c>
      <c r="D13" s="66">
        <v>13</v>
      </c>
      <c r="E13" s="66">
        <v>8</v>
      </c>
      <c r="F13" s="430">
        <v>0.5625</v>
      </c>
      <c r="G13" s="430">
        <v>0.5625</v>
      </c>
      <c r="I13" s="131">
        <f t="shared" ref="I13:Y18" si="131">I$11</f>
        <v>3</v>
      </c>
      <c r="J13" s="131">
        <f t="shared" si="131"/>
        <v>8</v>
      </c>
      <c r="K13" s="131">
        <f t="shared" si="131"/>
        <v>5</v>
      </c>
      <c r="L13" s="131">
        <f t="shared" si="131"/>
        <v>2</v>
      </c>
      <c r="M13" s="131">
        <f t="shared" si="131"/>
        <v>6</v>
      </c>
      <c r="N13" s="131">
        <f t="shared" si="131"/>
        <v>7</v>
      </c>
      <c r="O13" s="131">
        <f t="shared" si="131"/>
        <v>4</v>
      </c>
      <c r="P13" s="375">
        <f t="shared" si="131"/>
        <v>1</v>
      </c>
      <c r="Q13" s="131">
        <f t="shared" si="131"/>
        <v>5</v>
      </c>
      <c r="R13" s="131">
        <f t="shared" si="131"/>
        <v>8</v>
      </c>
      <c r="S13" s="131">
        <f t="shared" si="131"/>
        <v>1</v>
      </c>
      <c r="T13" s="131">
        <f t="shared" si="131"/>
        <v>3</v>
      </c>
      <c r="U13" s="131">
        <f t="shared" si="131"/>
        <v>4</v>
      </c>
      <c r="V13" s="131">
        <f t="shared" si="131"/>
        <v>2</v>
      </c>
      <c r="W13" s="131">
        <f t="shared" si="131"/>
        <v>7</v>
      </c>
      <c r="X13" s="375">
        <f t="shared" si="131"/>
        <v>6</v>
      </c>
      <c r="Y13" s="131">
        <f t="shared" si="131"/>
        <v>4</v>
      </c>
      <c r="Z13" s="131">
        <f t="shared" si="123"/>
        <v>5</v>
      </c>
      <c r="AA13" s="131">
        <f t="shared" si="123"/>
        <v>1</v>
      </c>
      <c r="AB13" s="131">
        <f t="shared" si="123"/>
        <v>8</v>
      </c>
      <c r="AC13" s="131">
        <f t="shared" si="123"/>
        <v>7</v>
      </c>
      <c r="AD13" s="131">
        <f t="shared" si="123"/>
        <v>6</v>
      </c>
      <c r="AE13" s="131">
        <f t="shared" si="123"/>
        <v>2</v>
      </c>
      <c r="AF13" s="375">
        <f t="shared" si="123"/>
        <v>3</v>
      </c>
      <c r="AG13" s="131">
        <f t="shared" si="123"/>
        <v>2</v>
      </c>
      <c r="AH13" s="131">
        <f t="shared" si="123"/>
        <v>6</v>
      </c>
      <c r="AI13" s="131">
        <f t="shared" si="124"/>
        <v>4</v>
      </c>
      <c r="AJ13" s="131">
        <f t="shared" si="124"/>
        <v>5</v>
      </c>
      <c r="AK13" s="131">
        <f t="shared" si="124"/>
        <v>3</v>
      </c>
      <c r="AL13" s="131">
        <f t="shared" si="124"/>
        <v>8</v>
      </c>
      <c r="AM13" s="131">
        <f t="shared" si="124"/>
        <v>1</v>
      </c>
      <c r="AN13" s="375">
        <f t="shared" si="124"/>
        <v>7</v>
      </c>
      <c r="AP13" s="131">
        <f t="shared" si="125"/>
        <v>3</v>
      </c>
      <c r="AQ13" s="131">
        <f t="shared" si="125"/>
        <v>5</v>
      </c>
      <c r="AR13" s="131">
        <f t="shared" si="125"/>
        <v>2</v>
      </c>
      <c r="AS13" s="131">
        <f t="shared" si="125"/>
        <v>6</v>
      </c>
      <c r="AT13" s="131">
        <f t="shared" si="125"/>
        <v>7</v>
      </c>
      <c r="AU13" s="131">
        <f t="shared" si="125"/>
        <v>4</v>
      </c>
      <c r="AV13" s="375">
        <f t="shared" si="125"/>
        <v>1</v>
      </c>
      <c r="AW13" s="131">
        <f t="shared" si="125"/>
        <v>5</v>
      </c>
      <c r="AX13" s="131">
        <f t="shared" si="125"/>
        <v>1</v>
      </c>
      <c r="AY13" s="131">
        <f t="shared" si="125"/>
        <v>3</v>
      </c>
      <c r="AZ13" s="131">
        <f t="shared" si="125"/>
        <v>4</v>
      </c>
      <c r="BA13" s="131">
        <f t="shared" si="125"/>
        <v>2</v>
      </c>
      <c r="BB13" s="131">
        <f t="shared" si="125"/>
        <v>7</v>
      </c>
      <c r="BC13" s="375">
        <f t="shared" si="125"/>
        <v>6</v>
      </c>
      <c r="BD13" s="131">
        <f t="shared" si="125"/>
        <v>4</v>
      </c>
      <c r="BE13" s="131">
        <f t="shared" si="125"/>
        <v>5</v>
      </c>
      <c r="BF13" s="131">
        <f t="shared" si="126"/>
        <v>1</v>
      </c>
      <c r="BG13" s="131">
        <f t="shared" si="126"/>
        <v>7</v>
      </c>
      <c r="BH13" s="131">
        <f t="shared" si="126"/>
        <v>6</v>
      </c>
      <c r="BI13" s="131">
        <f t="shared" si="126"/>
        <v>2</v>
      </c>
      <c r="BJ13" s="375">
        <f t="shared" si="126"/>
        <v>3</v>
      </c>
      <c r="BK13" s="131">
        <f t="shared" si="126"/>
        <v>2</v>
      </c>
      <c r="BL13" s="131">
        <f t="shared" si="126"/>
        <v>6</v>
      </c>
      <c r="BM13" s="131">
        <f t="shared" si="126"/>
        <v>4</v>
      </c>
      <c r="BN13" s="131">
        <f t="shared" si="126"/>
        <v>5</v>
      </c>
      <c r="BO13" s="131">
        <f t="shared" si="126"/>
        <v>3</v>
      </c>
      <c r="BP13" s="131">
        <f t="shared" si="126"/>
        <v>1</v>
      </c>
      <c r="BQ13" s="375">
        <f t="shared" si="126"/>
        <v>7</v>
      </c>
      <c r="BS13" s="131">
        <f t="shared" si="127"/>
        <v>3</v>
      </c>
      <c r="BT13" s="131">
        <f t="shared" si="127"/>
        <v>5</v>
      </c>
      <c r="BU13" s="131">
        <f t="shared" si="127"/>
        <v>2</v>
      </c>
      <c r="BV13" s="131">
        <f t="shared" si="127"/>
        <v>6</v>
      </c>
      <c r="BW13" s="131">
        <f t="shared" si="127"/>
        <v>4</v>
      </c>
      <c r="BX13" s="375">
        <f t="shared" si="127"/>
        <v>1</v>
      </c>
      <c r="BY13" s="131">
        <f t="shared" si="127"/>
        <v>5</v>
      </c>
      <c r="BZ13" s="131">
        <f t="shared" si="127"/>
        <v>1</v>
      </c>
      <c r="CA13" s="131">
        <f t="shared" si="127"/>
        <v>3</v>
      </c>
      <c r="CB13" s="131">
        <f t="shared" si="127"/>
        <v>4</v>
      </c>
      <c r="CC13" s="131">
        <f t="shared" si="127"/>
        <v>2</v>
      </c>
      <c r="CD13" s="375">
        <f t="shared" si="127"/>
        <v>6</v>
      </c>
      <c r="CE13" s="131">
        <f t="shared" si="128"/>
        <v>4</v>
      </c>
      <c r="CF13" s="131">
        <f t="shared" si="128"/>
        <v>5</v>
      </c>
      <c r="CG13" s="131">
        <f t="shared" si="128"/>
        <v>1</v>
      </c>
      <c r="CH13" s="131">
        <f t="shared" si="128"/>
        <v>6</v>
      </c>
      <c r="CI13" s="131">
        <f t="shared" si="128"/>
        <v>2</v>
      </c>
      <c r="CJ13" s="375">
        <f t="shared" si="128"/>
        <v>3</v>
      </c>
      <c r="CK13" s="131">
        <f t="shared" si="128"/>
        <v>2</v>
      </c>
      <c r="CL13" s="131">
        <f t="shared" si="128"/>
        <v>6</v>
      </c>
      <c r="CM13" s="131">
        <f t="shared" si="128"/>
        <v>4</v>
      </c>
      <c r="CN13" s="131">
        <f t="shared" si="128"/>
        <v>5</v>
      </c>
      <c r="CO13" s="131">
        <f t="shared" si="128"/>
        <v>3</v>
      </c>
      <c r="CP13" s="375">
        <f t="shared" si="128"/>
        <v>1</v>
      </c>
      <c r="CR13" s="131">
        <f t="shared" si="129"/>
        <v>3</v>
      </c>
      <c r="CS13" s="131">
        <f t="shared" si="129"/>
        <v>5</v>
      </c>
      <c r="CT13" s="131">
        <f t="shared" si="129"/>
        <v>2</v>
      </c>
      <c r="CU13" s="131">
        <f t="shared" si="129"/>
        <v>4</v>
      </c>
      <c r="CV13" s="375">
        <f t="shared" si="129"/>
        <v>1</v>
      </c>
      <c r="CW13" s="131">
        <f t="shared" si="129"/>
        <v>5</v>
      </c>
      <c r="CX13" s="131">
        <f t="shared" si="129"/>
        <v>1</v>
      </c>
      <c r="CY13" s="131">
        <f t="shared" si="129"/>
        <v>3</v>
      </c>
      <c r="CZ13" s="131">
        <f t="shared" si="129"/>
        <v>4</v>
      </c>
      <c r="DA13" s="375">
        <f t="shared" si="129"/>
        <v>2</v>
      </c>
      <c r="DB13" s="131">
        <f t="shared" si="129"/>
        <v>4</v>
      </c>
      <c r="DC13" s="131">
        <f t="shared" si="129"/>
        <v>5</v>
      </c>
      <c r="DD13" s="131">
        <f t="shared" si="129"/>
        <v>1</v>
      </c>
      <c r="DE13" s="131">
        <f t="shared" si="129"/>
        <v>2</v>
      </c>
      <c r="DF13" s="375">
        <f t="shared" si="129"/>
        <v>3</v>
      </c>
      <c r="DG13" s="131">
        <f t="shared" si="130"/>
        <v>2</v>
      </c>
      <c r="DH13" s="131">
        <f t="shared" si="130"/>
        <v>4</v>
      </c>
      <c r="DI13" s="131">
        <f t="shared" si="130"/>
        <v>5</v>
      </c>
      <c r="DJ13" s="131">
        <f t="shared" si="130"/>
        <v>3</v>
      </c>
      <c r="DK13" s="375">
        <f t="shared" si="130"/>
        <v>1</v>
      </c>
      <c r="DN13" s="66">
        <f>$DO$11*10+DP13</f>
        <v>63</v>
      </c>
      <c r="DP13" s="66">
        <v>3</v>
      </c>
      <c r="DQ13" s="66" t="s">
        <v>151</v>
      </c>
      <c r="DR13" s="66">
        <f>DR12+$DO$11</f>
        <v>83</v>
      </c>
      <c r="DT13" s="100" t="str">
        <f t="shared" si="10"/>
        <v>'Track1'!</v>
      </c>
      <c r="DU13" s="100" t="s">
        <v>673</v>
      </c>
      <c r="DV13" s="100" t="s">
        <v>333</v>
      </c>
      <c r="DW13" s="64">
        <f t="shared" ca="1" si="0"/>
        <v>222</v>
      </c>
      <c r="DX13" s="64" t="str">
        <f t="shared" ca="1" si="11"/>
        <v>'Track1'!C224</v>
      </c>
      <c r="DY13" s="100" t="str">
        <f t="shared" si="12"/>
        <v>'Track1'!</v>
      </c>
      <c r="DZ13" s="100" t="s">
        <v>673</v>
      </c>
      <c r="EA13" s="100" t="s">
        <v>218</v>
      </c>
      <c r="EB13" s="100">
        <f t="shared" ca="1" si="1"/>
        <v>222</v>
      </c>
      <c r="EC13" s="64" t="str">
        <f t="shared" ca="1" si="13"/>
        <v>'Track1'!R224</v>
      </c>
      <c r="EG13" s="65">
        <v>13.2</v>
      </c>
    </row>
    <row r="14" spans="1:137" x14ac:dyDescent="0.35">
      <c r="A14" s="64" t="s">
        <v>509</v>
      </c>
      <c r="B14" s="64" t="s">
        <v>12</v>
      </c>
      <c r="C14" s="64" t="s">
        <v>9</v>
      </c>
      <c r="D14" s="66">
        <v>14</v>
      </c>
      <c r="E14" s="66">
        <v>58</v>
      </c>
      <c r="F14" s="430">
        <v>0.57291666666666663</v>
      </c>
      <c r="G14" s="430">
        <v>0.57291666666666663</v>
      </c>
      <c r="I14" s="131">
        <f t="shared" si="131"/>
        <v>3</v>
      </c>
      <c r="J14" s="131">
        <f t="shared" si="131"/>
        <v>8</v>
      </c>
      <c r="K14" s="131">
        <f t="shared" si="131"/>
        <v>5</v>
      </c>
      <c r="L14" s="131">
        <f t="shared" si="131"/>
        <v>2</v>
      </c>
      <c r="M14" s="131">
        <f t="shared" si="131"/>
        <v>6</v>
      </c>
      <c r="N14" s="131">
        <f t="shared" si="131"/>
        <v>7</v>
      </c>
      <c r="O14" s="131">
        <f t="shared" si="131"/>
        <v>4</v>
      </c>
      <c r="P14" s="375">
        <f t="shared" si="131"/>
        <v>1</v>
      </c>
      <c r="Q14" s="131">
        <f t="shared" si="131"/>
        <v>5</v>
      </c>
      <c r="R14" s="131">
        <f t="shared" si="131"/>
        <v>8</v>
      </c>
      <c r="S14" s="131">
        <f t="shared" si="131"/>
        <v>1</v>
      </c>
      <c r="T14" s="131">
        <f t="shared" si="131"/>
        <v>3</v>
      </c>
      <c r="U14" s="131">
        <f t="shared" si="131"/>
        <v>4</v>
      </c>
      <c r="V14" s="131">
        <f t="shared" si="131"/>
        <v>2</v>
      </c>
      <c r="W14" s="131">
        <f t="shared" si="131"/>
        <v>7</v>
      </c>
      <c r="X14" s="375">
        <f t="shared" si="131"/>
        <v>6</v>
      </c>
      <c r="Y14" s="131">
        <f t="shared" si="123"/>
        <v>4</v>
      </c>
      <c r="Z14" s="131">
        <f t="shared" si="123"/>
        <v>5</v>
      </c>
      <c r="AA14" s="131">
        <f t="shared" si="123"/>
        <v>1</v>
      </c>
      <c r="AB14" s="131">
        <f t="shared" si="123"/>
        <v>8</v>
      </c>
      <c r="AC14" s="131">
        <f t="shared" si="123"/>
        <v>7</v>
      </c>
      <c r="AD14" s="131">
        <f t="shared" si="123"/>
        <v>6</v>
      </c>
      <c r="AE14" s="131">
        <f t="shared" si="123"/>
        <v>2</v>
      </c>
      <c r="AF14" s="375">
        <f t="shared" si="123"/>
        <v>3</v>
      </c>
      <c r="AG14" s="131">
        <f t="shared" si="124"/>
        <v>2</v>
      </c>
      <c r="AH14" s="131">
        <f t="shared" si="124"/>
        <v>6</v>
      </c>
      <c r="AI14" s="131">
        <f t="shared" si="124"/>
        <v>4</v>
      </c>
      <c r="AJ14" s="131">
        <f t="shared" si="124"/>
        <v>5</v>
      </c>
      <c r="AK14" s="131">
        <f t="shared" si="124"/>
        <v>3</v>
      </c>
      <c r="AL14" s="131">
        <f t="shared" si="124"/>
        <v>8</v>
      </c>
      <c r="AM14" s="131">
        <f t="shared" si="124"/>
        <v>1</v>
      </c>
      <c r="AN14" s="375">
        <f t="shared" si="124"/>
        <v>7</v>
      </c>
      <c r="AP14" s="131">
        <f t="shared" si="125"/>
        <v>3</v>
      </c>
      <c r="AQ14" s="131">
        <f t="shared" si="125"/>
        <v>5</v>
      </c>
      <c r="AR14" s="131">
        <f t="shared" si="125"/>
        <v>2</v>
      </c>
      <c r="AS14" s="131">
        <f t="shared" si="125"/>
        <v>6</v>
      </c>
      <c r="AT14" s="131">
        <f t="shared" si="125"/>
        <v>7</v>
      </c>
      <c r="AU14" s="131">
        <f t="shared" si="125"/>
        <v>4</v>
      </c>
      <c r="AV14" s="375">
        <f t="shared" si="125"/>
        <v>1</v>
      </c>
      <c r="AW14" s="131">
        <f t="shared" si="125"/>
        <v>5</v>
      </c>
      <c r="AX14" s="131">
        <f t="shared" si="125"/>
        <v>1</v>
      </c>
      <c r="AY14" s="131">
        <f t="shared" si="125"/>
        <v>3</v>
      </c>
      <c r="AZ14" s="131">
        <f t="shared" si="125"/>
        <v>4</v>
      </c>
      <c r="BA14" s="131">
        <f t="shared" si="125"/>
        <v>2</v>
      </c>
      <c r="BB14" s="131">
        <f t="shared" si="125"/>
        <v>7</v>
      </c>
      <c r="BC14" s="375">
        <f t="shared" si="125"/>
        <v>6</v>
      </c>
      <c r="BD14" s="131">
        <f t="shared" si="126"/>
        <v>4</v>
      </c>
      <c r="BE14" s="131">
        <f t="shared" si="126"/>
        <v>5</v>
      </c>
      <c r="BF14" s="131">
        <f t="shared" si="126"/>
        <v>1</v>
      </c>
      <c r="BG14" s="131">
        <f t="shared" si="126"/>
        <v>7</v>
      </c>
      <c r="BH14" s="131">
        <f t="shared" si="126"/>
        <v>6</v>
      </c>
      <c r="BI14" s="131">
        <f t="shared" si="126"/>
        <v>2</v>
      </c>
      <c r="BJ14" s="375">
        <f t="shared" si="126"/>
        <v>3</v>
      </c>
      <c r="BK14" s="131">
        <f t="shared" si="126"/>
        <v>2</v>
      </c>
      <c r="BL14" s="131">
        <f t="shared" si="126"/>
        <v>6</v>
      </c>
      <c r="BM14" s="131">
        <f t="shared" si="126"/>
        <v>4</v>
      </c>
      <c r="BN14" s="131">
        <f t="shared" si="126"/>
        <v>5</v>
      </c>
      <c r="BO14" s="131">
        <f t="shared" si="126"/>
        <v>3</v>
      </c>
      <c r="BP14" s="131">
        <f t="shared" si="126"/>
        <v>1</v>
      </c>
      <c r="BQ14" s="375">
        <f t="shared" si="126"/>
        <v>7</v>
      </c>
      <c r="BS14" s="131">
        <f t="shared" si="127"/>
        <v>3</v>
      </c>
      <c r="BT14" s="131">
        <f t="shared" si="127"/>
        <v>5</v>
      </c>
      <c r="BU14" s="131">
        <f t="shared" si="127"/>
        <v>2</v>
      </c>
      <c r="BV14" s="131">
        <f t="shared" si="127"/>
        <v>6</v>
      </c>
      <c r="BW14" s="131">
        <f t="shared" si="127"/>
        <v>4</v>
      </c>
      <c r="BX14" s="375">
        <f t="shared" si="127"/>
        <v>1</v>
      </c>
      <c r="BY14" s="131">
        <f t="shared" si="127"/>
        <v>5</v>
      </c>
      <c r="BZ14" s="131">
        <f t="shared" si="127"/>
        <v>1</v>
      </c>
      <c r="CA14" s="131">
        <f t="shared" si="127"/>
        <v>3</v>
      </c>
      <c r="CB14" s="131">
        <f t="shared" si="127"/>
        <v>4</v>
      </c>
      <c r="CC14" s="131">
        <f t="shared" si="127"/>
        <v>2</v>
      </c>
      <c r="CD14" s="375">
        <f t="shared" si="127"/>
        <v>6</v>
      </c>
      <c r="CE14" s="131">
        <f t="shared" si="128"/>
        <v>4</v>
      </c>
      <c r="CF14" s="131">
        <f t="shared" si="128"/>
        <v>5</v>
      </c>
      <c r="CG14" s="131">
        <f t="shared" si="128"/>
        <v>1</v>
      </c>
      <c r="CH14" s="131">
        <f t="shared" si="128"/>
        <v>6</v>
      </c>
      <c r="CI14" s="131">
        <f t="shared" si="128"/>
        <v>2</v>
      </c>
      <c r="CJ14" s="375">
        <f t="shared" si="128"/>
        <v>3</v>
      </c>
      <c r="CK14" s="131">
        <f t="shared" si="128"/>
        <v>2</v>
      </c>
      <c r="CL14" s="131">
        <f t="shared" si="128"/>
        <v>6</v>
      </c>
      <c r="CM14" s="131">
        <f t="shared" si="128"/>
        <v>4</v>
      </c>
      <c r="CN14" s="131">
        <f t="shared" si="128"/>
        <v>5</v>
      </c>
      <c r="CO14" s="131">
        <f t="shared" si="128"/>
        <v>3</v>
      </c>
      <c r="CP14" s="375">
        <f t="shared" si="128"/>
        <v>1</v>
      </c>
      <c r="CR14" s="131">
        <f t="shared" si="129"/>
        <v>3</v>
      </c>
      <c r="CS14" s="131">
        <f t="shared" si="129"/>
        <v>5</v>
      </c>
      <c r="CT14" s="131">
        <f t="shared" si="129"/>
        <v>2</v>
      </c>
      <c r="CU14" s="131">
        <f t="shared" si="129"/>
        <v>4</v>
      </c>
      <c r="CV14" s="375">
        <f t="shared" si="129"/>
        <v>1</v>
      </c>
      <c r="CW14" s="131">
        <f t="shared" si="129"/>
        <v>5</v>
      </c>
      <c r="CX14" s="131">
        <f t="shared" si="129"/>
        <v>1</v>
      </c>
      <c r="CY14" s="131">
        <f t="shared" si="129"/>
        <v>3</v>
      </c>
      <c r="CZ14" s="131">
        <f t="shared" si="129"/>
        <v>4</v>
      </c>
      <c r="DA14" s="375">
        <f t="shared" si="129"/>
        <v>2</v>
      </c>
      <c r="DB14" s="131">
        <f t="shared" si="129"/>
        <v>4</v>
      </c>
      <c r="DC14" s="131">
        <f t="shared" si="129"/>
        <v>5</v>
      </c>
      <c r="DD14" s="131">
        <f t="shared" si="129"/>
        <v>1</v>
      </c>
      <c r="DE14" s="131">
        <f t="shared" si="129"/>
        <v>2</v>
      </c>
      <c r="DF14" s="375">
        <f t="shared" si="129"/>
        <v>3</v>
      </c>
      <c r="DG14" s="131">
        <f t="shared" si="130"/>
        <v>2</v>
      </c>
      <c r="DH14" s="131">
        <f t="shared" si="130"/>
        <v>4</v>
      </c>
      <c r="DI14" s="131">
        <f t="shared" si="130"/>
        <v>5</v>
      </c>
      <c r="DJ14" s="131">
        <f t="shared" si="130"/>
        <v>3</v>
      </c>
      <c r="DK14" s="375">
        <f t="shared" si="130"/>
        <v>1</v>
      </c>
      <c r="DN14" s="66">
        <f>$DO$11*10+DP14</f>
        <v>64</v>
      </c>
      <c r="DP14" s="66">
        <v>4</v>
      </c>
      <c r="DQ14" s="66" t="s">
        <v>152</v>
      </c>
      <c r="DR14" s="66">
        <f>DR13+$DO$11</f>
        <v>89</v>
      </c>
      <c r="DT14" s="100" t="str">
        <f t="shared" si="10"/>
        <v>'Track1'!</v>
      </c>
      <c r="DU14" s="100" t="s">
        <v>673</v>
      </c>
      <c r="DV14" s="100" t="s">
        <v>333</v>
      </c>
      <c r="DW14" s="64">
        <f t="shared" ca="1" si="0"/>
        <v>233</v>
      </c>
      <c r="DX14" s="64" t="str">
        <f t="shared" ca="1" si="11"/>
        <v>'Track1'!C235</v>
      </c>
      <c r="DY14" s="100" t="str">
        <f t="shared" si="12"/>
        <v>'Track1'!</v>
      </c>
      <c r="DZ14" s="100" t="s">
        <v>673</v>
      </c>
      <c r="EA14" s="100" t="s">
        <v>218</v>
      </c>
      <c r="EB14" s="100">
        <f t="shared" ca="1" si="1"/>
        <v>233</v>
      </c>
      <c r="EC14" s="64" t="str">
        <f t="shared" ca="1" si="13"/>
        <v>'Track1'!R235</v>
      </c>
      <c r="EG14" s="65">
        <v>13.3</v>
      </c>
    </row>
    <row r="15" spans="1:137" x14ac:dyDescent="0.35">
      <c r="A15" s="64" t="s">
        <v>510</v>
      </c>
      <c r="B15" s="64" t="s">
        <v>13</v>
      </c>
      <c r="C15" s="64" t="s">
        <v>4</v>
      </c>
      <c r="D15" s="66">
        <v>15</v>
      </c>
      <c r="E15" s="66">
        <v>34</v>
      </c>
      <c r="F15" s="430">
        <v>0.54861111111111105</v>
      </c>
      <c r="G15" s="430">
        <v>0.54861111111111105</v>
      </c>
      <c r="I15" s="131">
        <f t="shared" si="131"/>
        <v>3</v>
      </c>
      <c r="J15" s="131">
        <f t="shared" si="131"/>
        <v>8</v>
      </c>
      <c r="K15" s="131">
        <f t="shared" si="131"/>
        <v>5</v>
      </c>
      <c r="L15" s="131">
        <f t="shared" si="131"/>
        <v>2</v>
      </c>
      <c r="M15" s="131">
        <f t="shared" si="131"/>
        <v>6</v>
      </c>
      <c r="N15" s="131">
        <f t="shared" si="131"/>
        <v>7</v>
      </c>
      <c r="O15" s="131">
        <f t="shared" si="131"/>
        <v>4</v>
      </c>
      <c r="P15" s="375">
        <f t="shared" si="131"/>
        <v>1</v>
      </c>
      <c r="Q15" s="131">
        <f t="shared" si="131"/>
        <v>5</v>
      </c>
      <c r="R15" s="131">
        <f t="shared" si="131"/>
        <v>8</v>
      </c>
      <c r="S15" s="131">
        <f t="shared" si="131"/>
        <v>1</v>
      </c>
      <c r="T15" s="131">
        <f t="shared" si="131"/>
        <v>3</v>
      </c>
      <c r="U15" s="131">
        <f t="shared" si="131"/>
        <v>4</v>
      </c>
      <c r="V15" s="131">
        <f t="shared" si="131"/>
        <v>2</v>
      </c>
      <c r="W15" s="131">
        <f t="shared" si="131"/>
        <v>7</v>
      </c>
      <c r="X15" s="375">
        <f t="shared" si="131"/>
        <v>6</v>
      </c>
      <c r="Y15" s="131">
        <f t="shared" si="123"/>
        <v>4</v>
      </c>
      <c r="Z15" s="131">
        <f t="shared" si="123"/>
        <v>5</v>
      </c>
      <c r="AA15" s="131">
        <f t="shared" si="123"/>
        <v>1</v>
      </c>
      <c r="AB15" s="131">
        <f t="shared" si="123"/>
        <v>8</v>
      </c>
      <c r="AC15" s="131">
        <f t="shared" si="123"/>
        <v>7</v>
      </c>
      <c r="AD15" s="131">
        <f t="shared" si="123"/>
        <v>6</v>
      </c>
      <c r="AE15" s="131">
        <f t="shared" si="123"/>
        <v>2</v>
      </c>
      <c r="AF15" s="375">
        <f t="shared" si="123"/>
        <v>3</v>
      </c>
      <c r="AG15" s="131">
        <f t="shared" si="124"/>
        <v>2</v>
      </c>
      <c r="AH15" s="131">
        <f t="shared" si="124"/>
        <v>6</v>
      </c>
      <c r="AI15" s="131">
        <f t="shared" si="124"/>
        <v>4</v>
      </c>
      <c r="AJ15" s="131">
        <f t="shared" si="124"/>
        <v>5</v>
      </c>
      <c r="AK15" s="131">
        <f t="shared" si="124"/>
        <v>3</v>
      </c>
      <c r="AL15" s="131">
        <f t="shared" si="124"/>
        <v>8</v>
      </c>
      <c r="AM15" s="131">
        <f t="shared" si="124"/>
        <v>1</v>
      </c>
      <c r="AN15" s="375">
        <f t="shared" si="124"/>
        <v>7</v>
      </c>
      <c r="AP15" s="131">
        <f t="shared" si="125"/>
        <v>3</v>
      </c>
      <c r="AQ15" s="131">
        <f t="shared" si="125"/>
        <v>5</v>
      </c>
      <c r="AR15" s="131">
        <f t="shared" si="125"/>
        <v>2</v>
      </c>
      <c r="AS15" s="131">
        <f t="shared" si="125"/>
        <v>6</v>
      </c>
      <c r="AT15" s="131">
        <f t="shared" si="125"/>
        <v>7</v>
      </c>
      <c r="AU15" s="131">
        <f t="shared" si="125"/>
        <v>4</v>
      </c>
      <c r="AV15" s="375">
        <f t="shared" si="125"/>
        <v>1</v>
      </c>
      <c r="AW15" s="131">
        <f t="shared" si="125"/>
        <v>5</v>
      </c>
      <c r="AX15" s="131">
        <f t="shared" si="125"/>
        <v>1</v>
      </c>
      <c r="AY15" s="131">
        <f t="shared" si="125"/>
        <v>3</v>
      </c>
      <c r="AZ15" s="131">
        <f t="shared" si="125"/>
        <v>4</v>
      </c>
      <c r="BA15" s="131">
        <f t="shared" si="125"/>
        <v>2</v>
      </c>
      <c r="BB15" s="131">
        <f t="shared" si="125"/>
        <v>7</v>
      </c>
      <c r="BC15" s="375">
        <f t="shared" si="125"/>
        <v>6</v>
      </c>
      <c r="BD15" s="131">
        <f t="shared" si="126"/>
        <v>4</v>
      </c>
      <c r="BE15" s="131">
        <f t="shared" si="126"/>
        <v>5</v>
      </c>
      <c r="BF15" s="131">
        <f t="shared" si="126"/>
        <v>1</v>
      </c>
      <c r="BG15" s="131">
        <f t="shared" si="126"/>
        <v>7</v>
      </c>
      <c r="BH15" s="131">
        <f t="shared" si="126"/>
        <v>6</v>
      </c>
      <c r="BI15" s="131">
        <f t="shared" si="126"/>
        <v>2</v>
      </c>
      <c r="BJ15" s="375">
        <f t="shared" si="126"/>
        <v>3</v>
      </c>
      <c r="BK15" s="131">
        <f t="shared" si="126"/>
        <v>2</v>
      </c>
      <c r="BL15" s="131">
        <f t="shared" si="126"/>
        <v>6</v>
      </c>
      <c r="BM15" s="131">
        <f t="shared" si="126"/>
        <v>4</v>
      </c>
      <c r="BN15" s="131">
        <f t="shared" si="126"/>
        <v>5</v>
      </c>
      <c r="BO15" s="131">
        <f t="shared" si="126"/>
        <v>3</v>
      </c>
      <c r="BP15" s="131">
        <f t="shared" si="126"/>
        <v>1</v>
      </c>
      <c r="BQ15" s="375">
        <f t="shared" si="126"/>
        <v>7</v>
      </c>
      <c r="BS15" s="131">
        <f t="shared" si="127"/>
        <v>3</v>
      </c>
      <c r="BT15" s="131">
        <f t="shared" si="127"/>
        <v>5</v>
      </c>
      <c r="BU15" s="131">
        <f t="shared" si="127"/>
        <v>2</v>
      </c>
      <c r="BV15" s="131">
        <f t="shared" si="127"/>
        <v>6</v>
      </c>
      <c r="BW15" s="131">
        <f t="shared" si="127"/>
        <v>4</v>
      </c>
      <c r="BX15" s="375">
        <f t="shared" si="127"/>
        <v>1</v>
      </c>
      <c r="BY15" s="131">
        <f t="shared" si="127"/>
        <v>5</v>
      </c>
      <c r="BZ15" s="131">
        <f t="shared" si="127"/>
        <v>1</v>
      </c>
      <c r="CA15" s="131">
        <f t="shared" si="127"/>
        <v>3</v>
      </c>
      <c r="CB15" s="131">
        <f t="shared" si="127"/>
        <v>4</v>
      </c>
      <c r="CC15" s="131">
        <f t="shared" si="127"/>
        <v>2</v>
      </c>
      <c r="CD15" s="375">
        <f t="shared" si="127"/>
        <v>6</v>
      </c>
      <c r="CE15" s="131">
        <f t="shared" si="128"/>
        <v>4</v>
      </c>
      <c r="CF15" s="131">
        <f t="shared" si="128"/>
        <v>5</v>
      </c>
      <c r="CG15" s="131">
        <f t="shared" si="128"/>
        <v>1</v>
      </c>
      <c r="CH15" s="131">
        <f t="shared" si="128"/>
        <v>6</v>
      </c>
      <c r="CI15" s="131">
        <f t="shared" si="128"/>
        <v>2</v>
      </c>
      <c r="CJ15" s="375">
        <f t="shared" si="128"/>
        <v>3</v>
      </c>
      <c r="CK15" s="131">
        <f t="shared" si="128"/>
        <v>2</v>
      </c>
      <c r="CL15" s="131">
        <f t="shared" si="128"/>
        <v>6</v>
      </c>
      <c r="CM15" s="131">
        <f t="shared" si="128"/>
        <v>4</v>
      </c>
      <c r="CN15" s="131">
        <f t="shared" si="128"/>
        <v>5</v>
      </c>
      <c r="CO15" s="131">
        <f t="shared" si="128"/>
        <v>3</v>
      </c>
      <c r="CP15" s="375">
        <f t="shared" si="128"/>
        <v>1</v>
      </c>
      <c r="CR15" s="131">
        <f t="shared" si="129"/>
        <v>3</v>
      </c>
      <c r="CS15" s="131">
        <f t="shared" si="129"/>
        <v>5</v>
      </c>
      <c r="CT15" s="131">
        <f t="shared" si="129"/>
        <v>2</v>
      </c>
      <c r="CU15" s="131">
        <f t="shared" si="129"/>
        <v>4</v>
      </c>
      <c r="CV15" s="375">
        <f t="shared" si="129"/>
        <v>1</v>
      </c>
      <c r="CW15" s="131">
        <f t="shared" si="129"/>
        <v>5</v>
      </c>
      <c r="CX15" s="131">
        <f t="shared" si="129"/>
        <v>1</v>
      </c>
      <c r="CY15" s="131">
        <f t="shared" si="129"/>
        <v>3</v>
      </c>
      <c r="CZ15" s="131">
        <f t="shared" si="129"/>
        <v>4</v>
      </c>
      <c r="DA15" s="375">
        <f t="shared" si="129"/>
        <v>2</v>
      </c>
      <c r="DB15" s="131">
        <f t="shared" si="129"/>
        <v>4</v>
      </c>
      <c r="DC15" s="131">
        <f t="shared" si="129"/>
        <v>5</v>
      </c>
      <c r="DD15" s="131">
        <f t="shared" si="129"/>
        <v>1</v>
      </c>
      <c r="DE15" s="131">
        <f t="shared" si="129"/>
        <v>2</v>
      </c>
      <c r="DF15" s="375">
        <f t="shared" si="129"/>
        <v>3</v>
      </c>
      <c r="DG15" s="131">
        <f t="shared" si="130"/>
        <v>2</v>
      </c>
      <c r="DH15" s="131">
        <f t="shared" si="130"/>
        <v>4</v>
      </c>
      <c r="DI15" s="131">
        <f t="shared" si="130"/>
        <v>5</v>
      </c>
      <c r="DJ15" s="131">
        <f t="shared" si="130"/>
        <v>3</v>
      </c>
      <c r="DK15" s="375">
        <f t="shared" si="130"/>
        <v>1</v>
      </c>
      <c r="DN15" s="66">
        <f>$DO$15*10+DP15</f>
        <v>51</v>
      </c>
      <c r="DO15" s="66">
        <v>5</v>
      </c>
      <c r="DP15" s="66">
        <v>1</v>
      </c>
      <c r="DQ15" s="66" t="s">
        <v>153</v>
      </c>
      <c r="DR15" s="66">
        <v>96</v>
      </c>
      <c r="DT15" s="100" t="str">
        <f t="shared" si="10"/>
        <v>'Track1'!</v>
      </c>
      <c r="DU15" s="100" t="s">
        <v>673</v>
      </c>
      <c r="DV15" s="100" t="s">
        <v>333</v>
      </c>
      <c r="DW15" s="64">
        <f t="shared" ca="1" si="0"/>
        <v>244</v>
      </c>
      <c r="DX15" s="64" t="str">
        <f t="shared" ca="1" si="11"/>
        <v>'Track1'!C246</v>
      </c>
      <c r="DY15" s="100" t="str">
        <f t="shared" si="12"/>
        <v>'Track1'!</v>
      </c>
      <c r="DZ15" s="100" t="s">
        <v>673</v>
      </c>
      <c r="EA15" s="100" t="s">
        <v>218</v>
      </c>
      <c r="EB15" s="100">
        <f t="shared" ca="1" si="1"/>
        <v>244</v>
      </c>
      <c r="EC15" s="64" t="str">
        <f t="shared" ca="1" si="13"/>
        <v>'Track1'!R246</v>
      </c>
      <c r="EG15" s="65">
        <v>13.4</v>
      </c>
    </row>
    <row r="16" spans="1:137" x14ac:dyDescent="0.35">
      <c r="A16" s="64" t="s">
        <v>511</v>
      </c>
      <c r="B16" s="64" t="s">
        <v>13</v>
      </c>
      <c r="C16" s="64" t="s">
        <v>6</v>
      </c>
      <c r="D16" s="66">
        <v>16</v>
      </c>
      <c r="E16" s="66">
        <v>84</v>
      </c>
      <c r="F16" s="430">
        <v>0.55902777777777779</v>
      </c>
      <c r="G16" s="430">
        <v>0.55902777777777779</v>
      </c>
      <c r="I16" s="131">
        <f t="shared" si="131"/>
        <v>3</v>
      </c>
      <c r="J16" s="131">
        <f t="shared" si="131"/>
        <v>8</v>
      </c>
      <c r="K16" s="131">
        <f t="shared" si="131"/>
        <v>5</v>
      </c>
      <c r="L16" s="131">
        <f t="shared" si="131"/>
        <v>2</v>
      </c>
      <c r="M16" s="131">
        <f t="shared" si="131"/>
        <v>6</v>
      </c>
      <c r="N16" s="131">
        <f t="shared" si="131"/>
        <v>7</v>
      </c>
      <c r="O16" s="131">
        <f t="shared" si="131"/>
        <v>4</v>
      </c>
      <c r="P16" s="375">
        <f t="shared" si="131"/>
        <v>1</v>
      </c>
      <c r="Q16" s="131">
        <f t="shared" si="131"/>
        <v>5</v>
      </c>
      <c r="R16" s="131">
        <f t="shared" si="131"/>
        <v>8</v>
      </c>
      <c r="S16" s="131">
        <f t="shared" si="131"/>
        <v>1</v>
      </c>
      <c r="T16" s="131">
        <f t="shared" si="131"/>
        <v>3</v>
      </c>
      <c r="U16" s="131">
        <f t="shared" si="131"/>
        <v>4</v>
      </c>
      <c r="V16" s="131">
        <f t="shared" si="131"/>
        <v>2</v>
      </c>
      <c r="W16" s="131">
        <f t="shared" si="131"/>
        <v>7</v>
      </c>
      <c r="X16" s="375">
        <f t="shared" si="131"/>
        <v>6</v>
      </c>
      <c r="Y16" s="131">
        <f t="shared" si="123"/>
        <v>4</v>
      </c>
      <c r="Z16" s="131">
        <f t="shared" si="123"/>
        <v>5</v>
      </c>
      <c r="AA16" s="131">
        <f t="shared" si="123"/>
        <v>1</v>
      </c>
      <c r="AB16" s="131">
        <f t="shared" si="123"/>
        <v>8</v>
      </c>
      <c r="AC16" s="131">
        <f t="shared" si="123"/>
        <v>7</v>
      </c>
      <c r="AD16" s="131">
        <f t="shared" si="123"/>
        <v>6</v>
      </c>
      <c r="AE16" s="131">
        <f t="shared" si="123"/>
        <v>2</v>
      </c>
      <c r="AF16" s="375">
        <f t="shared" si="123"/>
        <v>3</v>
      </c>
      <c r="AG16" s="131">
        <f t="shared" si="124"/>
        <v>2</v>
      </c>
      <c r="AH16" s="131">
        <f t="shared" si="124"/>
        <v>6</v>
      </c>
      <c r="AI16" s="131">
        <f t="shared" si="124"/>
        <v>4</v>
      </c>
      <c r="AJ16" s="131">
        <f t="shared" si="124"/>
        <v>5</v>
      </c>
      <c r="AK16" s="131">
        <f t="shared" si="124"/>
        <v>3</v>
      </c>
      <c r="AL16" s="131">
        <f t="shared" si="124"/>
        <v>8</v>
      </c>
      <c r="AM16" s="131">
        <f t="shared" si="124"/>
        <v>1</v>
      </c>
      <c r="AN16" s="375">
        <f t="shared" si="124"/>
        <v>7</v>
      </c>
      <c r="AP16" s="131">
        <f t="shared" si="125"/>
        <v>3</v>
      </c>
      <c r="AQ16" s="131">
        <f t="shared" si="125"/>
        <v>5</v>
      </c>
      <c r="AR16" s="131">
        <f t="shared" si="125"/>
        <v>2</v>
      </c>
      <c r="AS16" s="131">
        <f t="shared" si="125"/>
        <v>6</v>
      </c>
      <c r="AT16" s="131">
        <f t="shared" si="125"/>
        <v>7</v>
      </c>
      <c r="AU16" s="131">
        <f t="shared" si="125"/>
        <v>4</v>
      </c>
      <c r="AV16" s="375">
        <f t="shared" si="125"/>
        <v>1</v>
      </c>
      <c r="AW16" s="131">
        <f t="shared" si="125"/>
        <v>5</v>
      </c>
      <c r="AX16" s="131">
        <f t="shared" si="125"/>
        <v>1</v>
      </c>
      <c r="AY16" s="131">
        <f t="shared" si="125"/>
        <v>3</v>
      </c>
      <c r="AZ16" s="131">
        <f t="shared" si="125"/>
        <v>4</v>
      </c>
      <c r="BA16" s="131">
        <f t="shared" si="125"/>
        <v>2</v>
      </c>
      <c r="BB16" s="131">
        <f t="shared" si="125"/>
        <v>7</v>
      </c>
      <c r="BC16" s="375">
        <f t="shared" si="125"/>
        <v>6</v>
      </c>
      <c r="BD16" s="131">
        <f t="shared" si="126"/>
        <v>4</v>
      </c>
      <c r="BE16" s="131">
        <f t="shared" si="126"/>
        <v>5</v>
      </c>
      <c r="BF16" s="131">
        <f t="shared" si="126"/>
        <v>1</v>
      </c>
      <c r="BG16" s="131">
        <f t="shared" si="126"/>
        <v>7</v>
      </c>
      <c r="BH16" s="131">
        <f t="shared" si="126"/>
        <v>6</v>
      </c>
      <c r="BI16" s="131">
        <f t="shared" si="126"/>
        <v>2</v>
      </c>
      <c r="BJ16" s="375">
        <f t="shared" si="126"/>
        <v>3</v>
      </c>
      <c r="BK16" s="131">
        <f t="shared" si="126"/>
        <v>2</v>
      </c>
      <c r="BL16" s="131">
        <f t="shared" si="126"/>
        <v>6</v>
      </c>
      <c r="BM16" s="131">
        <f t="shared" si="126"/>
        <v>4</v>
      </c>
      <c r="BN16" s="131">
        <f t="shared" si="126"/>
        <v>5</v>
      </c>
      <c r="BO16" s="131">
        <f t="shared" si="126"/>
        <v>3</v>
      </c>
      <c r="BP16" s="131">
        <f t="shared" si="126"/>
        <v>1</v>
      </c>
      <c r="BQ16" s="375">
        <f t="shared" si="126"/>
        <v>7</v>
      </c>
      <c r="BS16" s="131">
        <f t="shared" si="127"/>
        <v>3</v>
      </c>
      <c r="BT16" s="131">
        <f t="shared" si="127"/>
        <v>5</v>
      </c>
      <c r="BU16" s="131">
        <f t="shared" si="127"/>
        <v>2</v>
      </c>
      <c r="BV16" s="131">
        <f t="shared" si="127"/>
        <v>6</v>
      </c>
      <c r="BW16" s="131">
        <f t="shared" si="127"/>
        <v>4</v>
      </c>
      <c r="BX16" s="375">
        <f t="shared" si="127"/>
        <v>1</v>
      </c>
      <c r="BY16" s="131">
        <f t="shared" si="127"/>
        <v>5</v>
      </c>
      <c r="BZ16" s="131">
        <f t="shared" si="127"/>
        <v>1</v>
      </c>
      <c r="CA16" s="131">
        <f t="shared" si="127"/>
        <v>3</v>
      </c>
      <c r="CB16" s="131">
        <f t="shared" si="127"/>
        <v>4</v>
      </c>
      <c r="CC16" s="131">
        <f t="shared" si="127"/>
        <v>2</v>
      </c>
      <c r="CD16" s="375">
        <f t="shared" si="127"/>
        <v>6</v>
      </c>
      <c r="CE16" s="131">
        <f t="shared" si="128"/>
        <v>4</v>
      </c>
      <c r="CF16" s="131">
        <f t="shared" si="128"/>
        <v>5</v>
      </c>
      <c r="CG16" s="131">
        <f t="shared" si="128"/>
        <v>1</v>
      </c>
      <c r="CH16" s="131">
        <f t="shared" si="128"/>
        <v>6</v>
      </c>
      <c r="CI16" s="131">
        <f t="shared" si="128"/>
        <v>2</v>
      </c>
      <c r="CJ16" s="375">
        <f t="shared" si="128"/>
        <v>3</v>
      </c>
      <c r="CK16" s="131">
        <f t="shared" si="128"/>
        <v>2</v>
      </c>
      <c r="CL16" s="131">
        <f t="shared" si="128"/>
        <v>6</v>
      </c>
      <c r="CM16" s="131">
        <f t="shared" si="128"/>
        <v>4</v>
      </c>
      <c r="CN16" s="131">
        <f t="shared" si="128"/>
        <v>5</v>
      </c>
      <c r="CO16" s="131">
        <f t="shared" si="128"/>
        <v>3</v>
      </c>
      <c r="CP16" s="375">
        <f t="shared" si="128"/>
        <v>1</v>
      </c>
      <c r="CR16" s="131">
        <f t="shared" si="129"/>
        <v>3</v>
      </c>
      <c r="CS16" s="131">
        <f t="shared" si="129"/>
        <v>5</v>
      </c>
      <c r="CT16" s="131">
        <f t="shared" si="129"/>
        <v>2</v>
      </c>
      <c r="CU16" s="131">
        <f t="shared" si="129"/>
        <v>4</v>
      </c>
      <c r="CV16" s="375">
        <f t="shared" si="129"/>
        <v>1</v>
      </c>
      <c r="CW16" s="131">
        <f t="shared" si="129"/>
        <v>5</v>
      </c>
      <c r="CX16" s="131">
        <f t="shared" si="129"/>
        <v>1</v>
      </c>
      <c r="CY16" s="131">
        <f t="shared" si="129"/>
        <v>3</v>
      </c>
      <c r="CZ16" s="131">
        <f t="shared" si="129"/>
        <v>4</v>
      </c>
      <c r="DA16" s="375">
        <f t="shared" si="129"/>
        <v>2</v>
      </c>
      <c r="DB16" s="131">
        <f t="shared" si="129"/>
        <v>4</v>
      </c>
      <c r="DC16" s="131">
        <f t="shared" si="129"/>
        <v>5</v>
      </c>
      <c r="DD16" s="131">
        <f t="shared" si="129"/>
        <v>1</v>
      </c>
      <c r="DE16" s="131">
        <f t="shared" si="129"/>
        <v>2</v>
      </c>
      <c r="DF16" s="375">
        <f t="shared" si="129"/>
        <v>3</v>
      </c>
      <c r="DG16" s="131">
        <f t="shared" si="130"/>
        <v>2</v>
      </c>
      <c r="DH16" s="131">
        <f t="shared" si="130"/>
        <v>4</v>
      </c>
      <c r="DI16" s="131">
        <f t="shared" si="130"/>
        <v>5</v>
      </c>
      <c r="DJ16" s="131">
        <f t="shared" si="130"/>
        <v>3</v>
      </c>
      <c r="DK16" s="375">
        <f t="shared" si="130"/>
        <v>1</v>
      </c>
      <c r="DN16" s="66">
        <f>$DO$15*10+DP16</f>
        <v>52</v>
      </c>
      <c r="DP16" s="66">
        <v>2</v>
      </c>
      <c r="DQ16" s="66" t="s">
        <v>154</v>
      </c>
      <c r="DR16" s="66">
        <f>DR15+$DO$15</f>
        <v>101</v>
      </c>
      <c r="DT16" s="100" t="str">
        <f t="shared" si="10"/>
        <v>'Track1'!</v>
      </c>
      <c r="DU16" s="100" t="s">
        <v>673</v>
      </c>
      <c r="DV16" s="100" t="s">
        <v>333</v>
      </c>
      <c r="DW16" s="64">
        <f t="shared" ca="1" si="0"/>
        <v>255</v>
      </c>
      <c r="DX16" s="64" t="str">
        <f t="shared" ca="1" si="11"/>
        <v>'Track1'!C257</v>
      </c>
      <c r="DY16" s="100" t="str">
        <f t="shared" si="12"/>
        <v>'Track1'!</v>
      </c>
      <c r="DZ16" s="100" t="s">
        <v>673</v>
      </c>
      <c r="EA16" s="100" t="s">
        <v>218</v>
      </c>
      <c r="EB16" s="100">
        <f t="shared" ca="1" si="1"/>
        <v>255</v>
      </c>
      <c r="EC16" s="64" t="str">
        <f t="shared" ca="1" si="13"/>
        <v>'Track1'!R257</v>
      </c>
      <c r="EG16" s="65">
        <v>13.45</v>
      </c>
    </row>
    <row r="17" spans="1:137" x14ac:dyDescent="0.35">
      <c r="A17" s="64" t="s">
        <v>512</v>
      </c>
      <c r="B17" s="64" t="s">
        <v>13</v>
      </c>
      <c r="C17" s="64" t="s">
        <v>7</v>
      </c>
      <c r="D17" s="66">
        <v>17</v>
      </c>
      <c r="E17" s="66">
        <v>9</v>
      </c>
      <c r="F17" s="430">
        <v>0.56944444444444442</v>
      </c>
      <c r="G17" s="430">
        <v>0.56944444444444442</v>
      </c>
      <c r="I17" s="131">
        <f t="shared" si="131"/>
        <v>3</v>
      </c>
      <c r="J17" s="131">
        <f t="shared" si="131"/>
        <v>8</v>
      </c>
      <c r="K17" s="131">
        <f t="shared" si="131"/>
        <v>5</v>
      </c>
      <c r="L17" s="131">
        <f t="shared" si="131"/>
        <v>2</v>
      </c>
      <c r="M17" s="131">
        <f t="shared" si="131"/>
        <v>6</v>
      </c>
      <c r="N17" s="131">
        <f t="shared" si="131"/>
        <v>7</v>
      </c>
      <c r="O17" s="131">
        <f t="shared" si="131"/>
        <v>4</v>
      </c>
      <c r="P17" s="375">
        <f t="shared" si="131"/>
        <v>1</v>
      </c>
      <c r="Q17" s="131">
        <f t="shared" si="131"/>
        <v>5</v>
      </c>
      <c r="R17" s="131">
        <f t="shared" si="131"/>
        <v>8</v>
      </c>
      <c r="S17" s="131">
        <f t="shared" si="131"/>
        <v>1</v>
      </c>
      <c r="T17" s="131">
        <f t="shared" si="131"/>
        <v>3</v>
      </c>
      <c r="U17" s="131">
        <f t="shared" si="131"/>
        <v>4</v>
      </c>
      <c r="V17" s="131">
        <f t="shared" si="131"/>
        <v>2</v>
      </c>
      <c r="W17" s="131">
        <f t="shared" si="131"/>
        <v>7</v>
      </c>
      <c r="X17" s="375">
        <f t="shared" si="131"/>
        <v>6</v>
      </c>
      <c r="Y17" s="131">
        <f t="shared" si="123"/>
        <v>4</v>
      </c>
      <c r="Z17" s="131">
        <f t="shared" si="123"/>
        <v>5</v>
      </c>
      <c r="AA17" s="131">
        <f t="shared" si="123"/>
        <v>1</v>
      </c>
      <c r="AB17" s="131">
        <f t="shared" si="123"/>
        <v>8</v>
      </c>
      <c r="AC17" s="131">
        <f t="shared" si="123"/>
        <v>7</v>
      </c>
      <c r="AD17" s="131">
        <f t="shared" si="123"/>
        <v>6</v>
      </c>
      <c r="AE17" s="131">
        <f t="shared" si="123"/>
        <v>2</v>
      </c>
      <c r="AF17" s="375">
        <f t="shared" si="123"/>
        <v>3</v>
      </c>
      <c r="AG17" s="131">
        <f t="shared" si="124"/>
        <v>2</v>
      </c>
      <c r="AH17" s="131">
        <f t="shared" si="124"/>
        <v>6</v>
      </c>
      <c r="AI17" s="131">
        <f t="shared" si="124"/>
        <v>4</v>
      </c>
      <c r="AJ17" s="131">
        <f t="shared" si="124"/>
        <v>5</v>
      </c>
      <c r="AK17" s="131">
        <f t="shared" si="124"/>
        <v>3</v>
      </c>
      <c r="AL17" s="131">
        <f t="shared" si="124"/>
        <v>8</v>
      </c>
      <c r="AM17" s="131">
        <f t="shared" si="124"/>
        <v>1</v>
      </c>
      <c r="AN17" s="375">
        <f t="shared" si="124"/>
        <v>7</v>
      </c>
      <c r="AP17" s="131">
        <f t="shared" si="125"/>
        <v>3</v>
      </c>
      <c r="AQ17" s="131">
        <f t="shared" si="125"/>
        <v>5</v>
      </c>
      <c r="AR17" s="131">
        <f t="shared" si="125"/>
        <v>2</v>
      </c>
      <c r="AS17" s="131">
        <f t="shared" si="125"/>
        <v>6</v>
      </c>
      <c r="AT17" s="131">
        <f t="shared" si="125"/>
        <v>7</v>
      </c>
      <c r="AU17" s="131">
        <f t="shared" si="125"/>
        <v>4</v>
      </c>
      <c r="AV17" s="375">
        <f t="shared" si="125"/>
        <v>1</v>
      </c>
      <c r="AW17" s="131">
        <f t="shared" si="125"/>
        <v>5</v>
      </c>
      <c r="AX17" s="131">
        <f t="shared" si="125"/>
        <v>1</v>
      </c>
      <c r="AY17" s="131">
        <f t="shared" si="125"/>
        <v>3</v>
      </c>
      <c r="AZ17" s="131">
        <f t="shared" si="125"/>
        <v>4</v>
      </c>
      <c r="BA17" s="131">
        <f t="shared" si="125"/>
        <v>2</v>
      </c>
      <c r="BB17" s="131">
        <f t="shared" si="125"/>
        <v>7</v>
      </c>
      <c r="BC17" s="375">
        <f t="shared" si="125"/>
        <v>6</v>
      </c>
      <c r="BD17" s="131">
        <f t="shared" si="126"/>
        <v>4</v>
      </c>
      <c r="BE17" s="131">
        <f t="shared" si="126"/>
        <v>5</v>
      </c>
      <c r="BF17" s="131">
        <f t="shared" si="126"/>
        <v>1</v>
      </c>
      <c r="BG17" s="131">
        <f t="shared" si="126"/>
        <v>7</v>
      </c>
      <c r="BH17" s="131">
        <f t="shared" si="126"/>
        <v>6</v>
      </c>
      <c r="BI17" s="131">
        <f t="shared" si="126"/>
        <v>2</v>
      </c>
      <c r="BJ17" s="375">
        <f t="shared" si="126"/>
        <v>3</v>
      </c>
      <c r="BK17" s="131">
        <f t="shared" si="126"/>
        <v>2</v>
      </c>
      <c r="BL17" s="131">
        <f t="shared" si="126"/>
        <v>6</v>
      </c>
      <c r="BM17" s="131">
        <f t="shared" si="126"/>
        <v>4</v>
      </c>
      <c r="BN17" s="131">
        <f t="shared" si="126"/>
        <v>5</v>
      </c>
      <c r="BO17" s="131">
        <f t="shared" si="126"/>
        <v>3</v>
      </c>
      <c r="BP17" s="131">
        <f t="shared" si="126"/>
        <v>1</v>
      </c>
      <c r="BQ17" s="375">
        <f t="shared" si="126"/>
        <v>7</v>
      </c>
      <c r="BS17" s="131">
        <f t="shared" si="127"/>
        <v>3</v>
      </c>
      <c r="BT17" s="131">
        <f t="shared" si="127"/>
        <v>5</v>
      </c>
      <c r="BU17" s="131">
        <f t="shared" si="127"/>
        <v>2</v>
      </c>
      <c r="BV17" s="131">
        <f t="shared" si="127"/>
        <v>6</v>
      </c>
      <c r="BW17" s="131">
        <f t="shared" si="127"/>
        <v>4</v>
      </c>
      <c r="BX17" s="375">
        <f t="shared" si="127"/>
        <v>1</v>
      </c>
      <c r="BY17" s="131">
        <f t="shared" si="127"/>
        <v>5</v>
      </c>
      <c r="BZ17" s="131">
        <f t="shared" si="127"/>
        <v>1</v>
      </c>
      <c r="CA17" s="131">
        <f t="shared" si="127"/>
        <v>3</v>
      </c>
      <c r="CB17" s="131">
        <f t="shared" si="127"/>
        <v>4</v>
      </c>
      <c r="CC17" s="131">
        <f t="shared" si="127"/>
        <v>2</v>
      </c>
      <c r="CD17" s="375">
        <f t="shared" si="127"/>
        <v>6</v>
      </c>
      <c r="CE17" s="131">
        <f t="shared" si="128"/>
        <v>4</v>
      </c>
      <c r="CF17" s="131">
        <f t="shared" si="128"/>
        <v>5</v>
      </c>
      <c r="CG17" s="131">
        <f t="shared" si="128"/>
        <v>1</v>
      </c>
      <c r="CH17" s="131">
        <f t="shared" si="128"/>
        <v>6</v>
      </c>
      <c r="CI17" s="131">
        <f t="shared" si="128"/>
        <v>2</v>
      </c>
      <c r="CJ17" s="375">
        <f t="shared" si="128"/>
        <v>3</v>
      </c>
      <c r="CK17" s="131">
        <f t="shared" si="128"/>
        <v>2</v>
      </c>
      <c r="CL17" s="131">
        <f t="shared" si="128"/>
        <v>6</v>
      </c>
      <c r="CM17" s="131">
        <f t="shared" si="128"/>
        <v>4</v>
      </c>
      <c r="CN17" s="131">
        <f t="shared" si="128"/>
        <v>5</v>
      </c>
      <c r="CO17" s="131">
        <f t="shared" si="128"/>
        <v>3</v>
      </c>
      <c r="CP17" s="375">
        <f t="shared" si="128"/>
        <v>1</v>
      </c>
      <c r="CR17" s="131">
        <f t="shared" si="129"/>
        <v>3</v>
      </c>
      <c r="CS17" s="131">
        <f t="shared" si="129"/>
        <v>5</v>
      </c>
      <c r="CT17" s="131">
        <f t="shared" si="129"/>
        <v>2</v>
      </c>
      <c r="CU17" s="131">
        <f t="shared" si="129"/>
        <v>4</v>
      </c>
      <c r="CV17" s="375">
        <f t="shared" si="129"/>
        <v>1</v>
      </c>
      <c r="CW17" s="131">
        <f t="shared" si="129"/>
        <v>5</v>
      </c>
      <c r="CX17" s="131">
        <f t="shared" si="129"/>
        <v>1</v>
      </c>
      <c r="CY17" s="131">
        <f t="shared" si="129"/>
        <v>3</v>
      </c>
      <c r="CZ17" s="131">
        <f t="shared" si="129"/>
        <v>4</v>
      </c>
      <c r="DA17" s="375">
        <f t="shared" si="129"/>
        <v>2</v>
      </c>
      <c r="DB17" s="131">
        <f t="shared" si="129"/>
        <v>4</v>
      </c>
      <c r="DC17" s="131">
        <f t="shared" si="129"/>
        <v>5</v>
      </c>
      <c r="DD17" s="131">
        <f t="shared" si="129"/>
        <v>1</v>
      </c>
      <c r="DE17" s="131">
        <f t="shared" si="129"/>
        <v>2</v>
      </c>
      <c r="DF17" s="375">
        <f t="shared" si="129"/>
        <v>3</v>
      </c>
      <c r="DG17" s="131">
        <f t="shared" si="130"/>
        <v>2</v>
      </c>
      <c r="DH17" s="131">
        <f t="shared" si="130"/>
        <v>4</v>
      </c>
      <c r="DI17" s="131">
        <f t="shared" si="130"/>
        <v>5</v>
      </c>
      <c r="DJ17" s="131">
        <f t="shared" si="130"/>
        <v>3</v>
      </c>
      <c r="DK17" s="375">
        <f t="shared" si="130"/>
        <v>1</v>
      </c>
      <c r="DN17" s="66">
        <f>$DO$15*10+DP17</f>
        <v>53</v>
      </c>
      <c r="DP17" s="66">
        <v>3</v>
      </c>
      <c r="DQ17" s="66" t="s">
        <v>155</v>
      </c>
      <c r="DR17" s="66">
        <f>DR16+$DO$15</f>
        <v>106</v>
      </c>
      <c r="DT17" s="100" t="str">
        <f t="shared" si="10"/>
        <v>'Track1'!</v>
      </c>
      <c r="DU17" s="100" t="s">
        <v>673</v>
      </c>
      <c r="DV17" s="100" t="s">
        <v>333</v>
      </c>
      <c r="DW17" s="64">
        <f t="shared" ca="1" si="0"/>
        <v>266</v>
      </c>
      <c r="DX17" s="64" t="str">
        <f t="shared" ca="1" si="11"/>
        <v>'Track1'!C268</v>
      </c>
      <c r="DY17" s="100" t="str">
        <f t="shared" si="12"/>
        <v>'Track1'!</v>
      </c>
      <c r="DZ17" s="100" t="s">
        <v>673</v>
      </c>
      <c r="EA17" s="100" t="s">
        <v>218</v>
      </c>
      <c r="EB17" s="100">
        <f t="shared" ca="1" si="1"/>
        <v>266</v>
      </c>
      <c r="EC17" s="64" t="str">
        <f t="shared" ca="1" si="13"/>
        <v>'Track1'!R268</v>
      </c>
      <c r="EG17" s="65">
        <v>13.5</v>
      </c>
    </row>
    <row r="18" spans="1:137" x14ac:dyDescent="0.35">
      <c r="A18" s="64" t="s">
        <v>513</v>
      </c>
      <c r="B18" s="64" t="s">
        <v>13</v>
      </c>
      <c r="C18" s="64" t="s">
        <v>9</v>
      </c>
      <c r="D18" s="66">
        <v>18</v>
      </c>
      <c r="E18" s="66">
        <v>59</v>
      </c>
      <c r="F18" s="430">
        <v>0.57986111111111105</v>
      </c>
      <c r="G18" s="430">
        <v>0.57986111111111105</v>
      </c>
      <c r="I18" s="131">
        <f t="shared" si="131"/>
        <v>3</v>
      </c>
      <c r="J18" s="131">
        <f t="shared" si="131"/>
        <v>8</v>
      </c>
      <c r="K18" s="131">
        <f t="shared" si="131"/>
        <v>5</v>
      </c>
      <c r="L18" s="131">
        <f t="shared" si="131"/>
        <v>2</v>
      </c>
      <c r="M18" s="131">
        <f t="shared" si="131"/>
        <v>6</v>
      </c>
      <c r="N18" s="131">
        <f t="shared" si="131"/>
        <v>7</v>
      </c>
      <c r="O18" s="131">
        <f t="shared" si="131"/>
        <v>4</v>
      </c>
      <c r="P18" s="375">
        <f t="shared" si="131"/>
        <v>1</v>
      </c>
      <c r="Q18" s="131">
        <f t="shared" si="131"/>
        <v>5</v>
      </c>
      <c r="R18" s="131">
        <f t="shared" si="131"/>
        <v>8</v>
      </c>
      <c r="S18" s="131">
        <f t="shared" si="131"/>
        <v>1</v>
      </c>
      <c r="T18" s="131">
        <f t="shared" si="131"/>
        <v>3</v>
      </c>
      <c r="U18" s="131">
        <f t="shared" si="131"/>
        <v>4</v>
      </c>
      <c r="V18" s="131">
        <f t="shared" si="131"/>
        <v>2</v>
      </c>
      <c r="W18" s="131">
        <f t="shared" si="131"/>
        <v>7</v>
      </c>
      <c r="X18" s="375">
        <f t="shared" si="131"/>
        <v>6</v>
      </c>
      <c r="Y18" s="131">
        <f t="shared" si="123"/>
        <v>4</v>
      </c>
      <c r="Z18" s="131">
        <f t="shared" si="123"/>
        <v>5</v>
      </c>
      <c r="AA18" s="131">
        <f t="shared" si="123"/>
        <v>1</v>
      </c>
      <c r="AB18" s="131">
        <f t="shared" si="123"/>
        <v>8</v>
      </c>
      <c r="AC18" s="131">
        <f t="shared" si="123"/>
        <v>7</v>
      </c>
      <c r="AD18" s="131">
        <f t="shared" si="123"/>
        <v>6</v>
      </c>
      <c r="AE18" s="131">
        <f t="shared" si="123"/>
        <v>2</v>
      </c>
      <c r="AF18" s="375">
        <f t="shared" si="123"/>
        <v>3</v>
      </c>
      <c r="AG18" s="131">
        <f t="shared" si="124"/>
        <v>2</v>
      </c>
      <c r="AH18" s="131">
        <f t="shared" si="124"/>
        <v>6</v>
      </c>
      <c r="AI18" s="131">
        <f t="shared" si="124"/>
        <v>4</v>
      </c>
      <c r="AJ18" s="131">
        <f t="shared" si="124"/>
        <v>5</v>
      </c>
      <c r="AK18" s="131">
        <f t="shared" si="124"/>
        <v>3</v>
      </c>
      <c r="AL18" s="131">
        <f t="shared" si="124"/>
        <v>8</v>
      </c>
      <c r="AM18" s="131">
        <f t="shared" si="124"/>
        <v>1</v>
      </c>
      <c r="AN18" s="375">
        <f t="shared" si="124"/>
        <v>7</v>
      </c>
      <c r="AP18" s="131">
        <f t="shared" si="125"/>
        <v>3</v>
      </c>
      <c r="AQ18" s="131">
        <f t="shared" si="125"/>
        <v>5</v>
      </c>
      <c r="AR18" s="131">
        <f t="shared" si="125"/>
        <v>2</v>
      </c>
      <c r="AS18" s="131">
        <f t="shared" si="125"/>
        <v>6</v>
      </c>
      <c r="AT18" s="131">
        <f t="shared" si="125"/>
        <v>7</v>
      </c>
      <c r="AU18" s="131">
        <f t="shared" si="125"/>
        <v>4</v>
      </c>
      <c r="AV18" s="375">
        <f t="shared" si="125"/>
        <v>1</v>
      </c>
      <c r="AW18" s="131">
        <f t="shared" si="125"/>
        <v>5</v>
      </c>
      <c r="AX18" s="131">
        <f t="shared" si="125"/>
        <v>1</v>
      </c>
      <c r="AY18" s="131">
        <f t="shared" si="125"/>
        <v>3</v>
      </c>
      <c r="AZ18" s="131">
        <f t="shared" si="125"/>
        <v>4</v>
      </c>
      <c r="BA18" s="131">
        <f t="shared" si="125"/>
        <v>2</v>
      </c>
      <c r="BB18" s="131">
        <f t="shared" si="125"/>
        <v>7</v>
      </c>
      <c r="BC18" s="375">
        <f t="shared" si="125"/>
        <v>6</v>
      </c>
      <c r="BD18" s="131">
        <f t="shared" si="126"/>
        <v>4</v>
      </c>
      <c r="BE18" s="131">
        <f t="shared" si="126"/>
        <v>5</v>
      </c>
      <c r="BF18" s="131">
        <f t="shared" si="126"/>
        <v>1</v>
      </c>
      <c r="BG18" s="131">
        <f t="shared" si="126"/>
        <v>7</v>
      </c>
      <c r="BH18" s="131">
        <f t="shared" si="126"/>
        <v>6</v>
      </c>
      <c r="BI18" s="131">
        <f t="shared" si="126"/>
        <v>2</v>
      </c>
      <c r="BJ18" s="375">
        <f t="shared" si="126"/>
        <v>3</v>
      </c>
      <c r="BK18" s="131">
        <f t="shared" si="126"/>
        <v>2</v>
      </c>
      <c r="BL18" s="131">
        <f t="shared" si="126"/>
        <v>6</v>
      </c>
      <c r="BM18" s="131">
        <f t="shared" si="126"/>
        <v>4</v>
      </c>
      <c r="BN18" s="131">
        <f t="shared" si="126"/>
        <v>5</v>
      </c>
      <c r="BO18" s="131">
        <f t="shared" si="126"/>
        <v>3</v>
      </c>
      <c r="BP18" s="131">
        <f t="shared" si="126"/>
        <v>1</v>
      </c>
      <c r="BQ18" s="375">
        <f t="shared" si="126"/>
        <v>7</v>
      </c>
      <c r="BS18" s="131">
        <f t="shared" si="127"/>
        <v>3</v>
      </c>
      <c r="BT18" s="131">
        <f t="shared" si="127"/>
        <v>5</v>
      </c>
      <c r="BU18" s="131">
        <f t="shared" si="127"/>
        <v>2</v>
      </c>
      <c r="BV18" s="131">
        <f t="shared" si="127"/>
        <v>6</v>
      </c>
      <c r="BW18" s="131">
        <f t="shared" si="127"/>
        <v>4</v>
      </c>
      <c r="BX18" s="375">
        <f t="shared" si="127"/>
        <v>1</v>
      </c>
      <c r="BY18" s="131">
        <f t="shared" si="127"/>
        <v>5</v>
      </c>
      <c r="BZ18" s="131">
        <f t="shared" si="127"/>
        <v>1</v>
      </c>
      <c r="CA18" s="131">
        <f t="shared" si="127"/>
        <v>3</v>
      </c>
      <c r="CB18" s="131">
        <f t="shared" si="127"/>
        <v>4</v>
      </c>
      <c r="CC18" s="131">
        <f t="shared" si="127"/>
        <v>2</v>
      </c>
      <c r="CD18" s="375">
        <f t="shared" si="127"/>
        <v>6</v>
      </c>
      <c r="CE18" s="131">
        <f t="shared" si="128"/>
        <v>4</v>
      </c>
      <c r="CF18" s="131">
        <f t="shared" si="128"/>
        <v>5</v>
      </c>
      <c r="CG18" s="131">
        <f t="shared" si="128"/>
        <v>1</v>
      </c>
      <c r="CH18" s="131">
        <f t="shared" si="128"/>
        <v>6</v>
      </c>
      <c r="CI18" s="131">
        <f t="shared" si="128"/>
        <v>2</v>
      </c>
      <c r="CJ18" s="375">
        <f t="shared" si="128"/>
        <v>3</v>
      </c>
      <c r="CK18" s="131">
        <f t="shared" si="128"/>
        <v>2</v>
      </c>
      <c r="CL18" s="131">
        <f t="shared" si="128"/>
        <v>6</v>
      </c>
      <c r="CM18" s="131">
        <f t="shared" si="128"/>
        <v>4</v>
      </c>
      <c r="CN18" s="131">
        <f t="shared" si="128"/>
        <v>5</v>
      </c>
      <c r="CO18" s="131">
        <f t="shared" si="128"/>
        <v>3</v>
      </c>
      <c r="CP18" s="375">
        <f t="shared" si="128"/>
        <v>1</v>
      </c>
      <c r="CR18" s="131">
        <f t="shared" si="129"/>
        <v>3</v>
      </c>
      <c r="CS18" s="131">
        <f t="shared" si="129"/>
        <v>5</v>
      </c>
      <c r="CT18" s="131">
        <f t="shared" si="129"/>
        <v>2</v>
      </c>
      <c r="CU18" s="131">
        <f t="shared" si="129"/>
        <v>4</v>
      </c>
      <c r="CV18" s="375">
        <f t="shared" si="129"/>
        <v>1</v>
      </c>
      <c r="CW18" s="131">
        <f t="shared" si="129"/>
        <v>5</v>
      </c>
      <c r="CX18" s="131">
        <f t="shared" si="129"/>
        <v>1</v>
      </c>
      <c r="CY18" s="131">
        <f t="shared" si="129"/>
        <v>3</v>
      </c>
      <c r="CZ18" s="131">
        <f t="shared" si="129"/>
        <v>4</v>
      </c>
      <c r="DA18" s="375">
        <f t="shared" si="129"/>
        <v>2</v>
      </c>
      <c r="DB18" s="131">
        <f t="shared" si="129"/>
        <v>4</v>
      </c>
      <c r="DC18" s="131">
        <f t="shared" si="129"/>
        <v>5</v>
      </c>
      <c r="DD18" s="131">
        <f t="shared" si="129"/>
        <v>1</v>
      </c>
      <c r="DE18" s="131">
        <f t="shared" si="129"/>
        <v>2</v>
      </c>
      <c r="DF18" s="375">
        <f t="shared" si="129"/>
        <v>3</v>
      </c>
      <c r="DG18" s="131">
        <f t="shared" si="130"/>
        <v>2</v>
      </c>
      <c r="DH18" s="131">
        <f t="shared" si="130"/>
        <v>4</v>
      </c>
      <c r="DI18" s="131">
        <f t="shared" si="130"/>
        <v>5</v>
      </c>
      <c r="DJ18" s="131">
        <f t="shared" si="130"/>
        <v>3</v>
      </c>
      <c r="DK18" s="375">
        <f t="shared" si="130"/>
        <v>1</v>
      </c>
      <c r="DN18" s="66">
        <f>$DO$15*10+DP18</f>
        <v>54</v>
      </c>
      <c r="DP18" s="66">
        <v>4</v>
      </c>
      <c r="DQ18" s="66" t="s">
        <v>156</v>
      </c>
      <c r="DR18" s="66">
        <f>DR17+$DO$15</f>
        <v>111</v>
      </c>
      <c r="DT18" s="100" t="str">
        <f t="shared" si="10"/>
        <v>'Track1'!</v>
      </c>
      <c r="DU18" s="100" t="s">
        <v>673</v>
      </c>
      <c r="DV18" s="100" t="s">
        <v>333</v>
      </c>
      <c r="DW18" s="64">
        <f t="shared" ca="1" si="0"/>
        <v>277</v>
      </c>
      <c r="DX18" s="64" t="str">
        <f t="shared" ca="1" si="11"/>
        <v>'Track1'!C279</v>
      </c>
      <c r="DY18" s="100" t="str">
        <f t="shared" si="12"/>
        <v>'Track1'!</v>
      </c>
      <c r="DZ18" s="100" t="s">
        <v>673</v>
      </c>
      <c r="EA18" s="100" t="s">
        <v>218</v>
      </c>
      <c r="EB18" s="100">
        <f t="shared" ca="1" si="1"/>
        <v>277</v>
      </c>
      <c r="EC18" s="64" t="str">
        <f t="shared" ca="1" si="13"/>
        <v>'Track1'!R279</v>
      </c>
      <c r="EG18" s="65">
        <v>13.55</v>
      </c>
    </row>
    <row r="19" spans="1:137" x14ac:dyDescent="0.35">
      <c r="A19" s="64" t="s">
        <v>40</v>
      </c>
      <c r="B19" s="64" t="s">
        <v>14</v>
      </c>
      <c r="C19" s="64" t="s">
        <v>4</v>
      </c>
      <c r="D19" s="66">
        <v>19</v>
      </c>
      <c r="E19" s="66">
        <v>29</v>
      </c>
      <c r="F19" s="429" t="s">
        <v>1397</v>
      </c>
      <c r="G19" s="430" t="s">
        <v>1397</v>
      </c>
      <c r="H19" s="66" t="s">
        <v>215</v>
      </c>
      <c r="I19" s="129">
        <v>7</v>
      </c>
      <c r="J19" s="129">
        <v>1</v>
      </c>
      <c r="K19" s="129">
        <v>5</v>
      </c>
      <c r="L19" s="129">
        <v>4</v>
      </c>
      <c r="M19" s="129">
        <v>6</v>
      </c>
      <c r="N19" s="129">
        <v>2</v>
      </c>
      <c r="O19" s="129">
        <v>8</v>
      </c>
      <c r="P19" s="374">
        <v>3</v>
      </c>
      <c r="Q19" s="129">
        <v>6</v>
      </c>
      <c r="R19" s="129">
        <v>5</v>
      </c>
      <c r="S19" s="129">
        <v>2</v>
      </c>
      <c r="T19" s="129">
        <v>1</v>
      </c>
      <c r="U19" s="129">
        <v>8</v>
      </c>
      <c r="V19" s="129">
        <v>3</v>
      </c>
      <c r="W19" s="129">
        <v>7</v>
      </c>
      <c r="X19" s="374">
        <v>4</v>
      </c>
      <c r="Y19" s="129">
        <v>8</v>
      </c>
      <c r="Z19" s="129">
        <v>5</v>
      </c>
      <c r="AA19" s="129">
        <v>6</v>
      </c>
      <c r="AB19" s="129">
        <v>3</v>
      </c>
      <c r="AC19" s="129">
        <v>7</v>
      </c>
      <c r="AD19" s="129">
        <v>4</v>
      </c>
      <c r="AE19" s="129">
        <v>2</v>
      </c>
      <c r="AF19" s="374">
        <v>1</v>
      </c>
      <c r="AG19" s="129">
        <v>4</v>
      </c>
      <c r="AH19" s="129">
        <v>3</v>
      </c>
      <c r="AI19" s="129">
        <v>7</v>
      </c>
      <c r="AJ19" s="129">
        <v>8</v>
      </c>
      <c r="AK19" s="129">
        <v>5</v>
      </c>
      <c r="AL19" s="129">
        <v>1</v>
      </c>
      <c r="AM19" s="129">
        <v>6</v>
      </c>
      <c r="AN19" s="374">
        <v>2</v>
      </c>
      <c r="AP19" s="129">
        <v>7</v>
      </c>
      <c r="AQ19" s="129">
        <v>1</v>
      </c>
      <c r="AR19" s="129">
        <v>5</v>
      </c>
      <c r="AS19" s="129">
        <v>4</v>
      </c>
      <c r="AT19" s="129">
        <v>6</v>
      </c>
      <c r="AU19" s="129">
        <v>2</v>
      </c>
      <c r="AV19" s="374">
        <v>3</v>
      </c>
      <c r="AW19" s="129">
        <v>6</v>
      </c>
      <c r="AX19" s="129">
        <v>5</v>
      </c>
      <c r="AY19" s="129">
        <v>2</v>
      </c>
      <c r="AZ19" s="129">
        <v>1</v>
      </c>
      <c r="BA19" s="129">
        <v>3</v>
      </c>
      <c r="BB19" s="129">
        <v>7</v>
      </c>
      <c r="BC19" s="374">
        <v>4</v>
      </c>
      <c r="BD19" s="129">
        <v>5</v>
      </c>
      <c r="BE19" s="129">
        <v>6</v>
      </c>
      <c r="BF19" s="129">
        <v>3</v>
      </c>
      <c r="BG19" s="129">
        <v>7</v>
      </c>
      <c r="BH19" s="129">
        <v>4</v>
      </c>
      <c r="BI19" s="129">
        <v>2</v>
      </c>
      <c r="BJ19" s="374">
        <v>1</v>
      </c>
      <c r="BK19" s="129">
        <v>4</v>
      </c>
      <c r="BL19" s="129">
        <v>3</v>
      </c>
      <c r="BM19" s="129">
        <v>7</v>
      </c>
      <c r="BN19" s="129">
        <v>5</v>
      </c>
      <c r="BO19" s="129">
        <v>1</v>
      </c>
      <c r="BP19" s="129">
        <v>6</v>
      </c>
      <c r="BQ19" s="374">
        <v>2</v>
      </c>
      <c r="BS19" s="129">
        <v>1</v>
      </c>
      <c r="BT19" s="129">
        <v>5</v>
      </c>
      <c r="BU19" s="129">
        <v>4</v>
      </c>
      <c r="BV19" s="129">
        <v>6</v>
      </c>
      <c r="BW19" s="129">
        <v>2</v>
      </c>
      <c r="BX19" s="374">
        <v>3</v>
      </c>
      <c r="BY19" s="129">
        <v>6</v>
      </c>
      <c r="BZ19" s="129">
        <v>5</v>
      </c>
      <c r="CA19" s="129">
        <v>2</v>
      </c>
      <c r="CB19" s="129">
        <v>1</v>
      </c>
      <c r="CC19" s="129">
        <v>3</v>
      </c>
      <c r="CD19" s="374">
        <v>4</v>
      </c>
      <c r="CE19" s="129">
        <v>5</v>
      </c>
      <c r="CF19" s="129">
        <v>6</v>
      </c>
      <c r="CG19" s="129">
        <v>3</v>
      </c>
      <c r="CH19" s="129">
        <v>4</v>
      </c>
      <c r="CI19" s="129">
        <v>2</v>
      </c>
      <c r="CJ19" s="374">
        <v>1</v>
      </c>
      <c r="CK19" s="129">
        <v>4</v>
      </c>
      <c r="CL19" s="129">
        <v>3</v>
      </c>
      <c r="CM19" s="129">
        <v>5</v>
      </c>
      <c r="CN19" s="129">
        <v>1</v>
      </c>
      <c r="CO19" s="129">
        <v>6</v>
      </c>
      <c r="CP19" s="374">
        <v>2</v>
      </c>
      <c r="CR19" s="129">
        <v>1</v>
      </c>
      <c r="CS19" s="129">
        <v>5</v>
      </c>
      <c r="CT19" s="129">
        <v>4</v>
      </c>
      <c r="CU19" s="129">
        <v>2</v>
      </c>
      <c r="CV19" s="374">
        <v>3</v>
      </c>
      <c r="CW19" s="129">
        <v>5</v>
      </c>
      <c r="CX19" s="129">
        <v>2</v>
      </c>
      <c r="CY19" s="129">
        <v>1</v>
      </c>
      <c r="CZ19" s="129">
        <v>3</v>
      </c>
      <c r="DA19" s="374">
        <v>4</v>
      </c>
      <c r="DB19" s="129">
        <v>5</v>
      </c>
      <c r="DC19" s="129">
        <v>3</v>
      </c>
      <c r="DD19" s="129">
        <v>4</v>
      </c>
      <c r="DE19" s="129">
        <v>2</v>
      </c>
      <c r="DF19" s="374">
        <v>1</v>
      </c>
      <c r="DG19" s="129">
        <v>4</v>
      </c>
      <c r="DH19" s="129">
        <v>3</v>
      </c>
      <c r="DI19" s="129">
        <v>5</v>
      </c>
      <c r="DJ19" s="129">
        <v>1</v>
      </c>
      <c r="DK19" s="374">
        <v>2</v>
      </c>
      <c r="DT19" s="100" t="str">
        <f t="shared" si="10"/>
        <v>'Track1'!</v>
      </c>
      <c r="DU19" s="100" t="s">
        <v>673</v>
      </c>
      <c r="DV19" s="100" t="s">
        <v>333</v>
      </c>
      <c r="DW19" s="64">
        <f t="shared" ca="1" si="0"/>
        <v>90</v>
      </c>
      <c r="DX19" s="64" t="str">
        <f t="shared" ca="1" si="11"/>
        <v>'Track1'!C92</v>
      </c>
      <c r="DY19" s="100" t="str">
        <f t="shared" si="12"/>
        <v>'Track1'!</v>
      </c>
      <c r="DZ19" s="100" t="s">
        <v>673</v>
      </c>
      <c r="EA19" s="100" t="s">
        <v>218</v>
      </c>
      <c r="EB19" s="100">
        <f t="shared" ca="1" si="1"/>
        <v>90</v>
      </c>
      <c r="EC19" s="64" t="str">
        <f t="shared" ca="1" si="13"/>
        <v>'Track1'!R92</v>
      </c>
      <c r="EG19" s="65">
        <v>14</v>
      </c>
    </row>
    <row r="20" spans="1:137" x14ac:dyDescent="0.35">
      <c r="A20" s="64" t="s">
        <v>41</v>
      </c>
      <c r="B20" s="64" t="s">
        <v>15</v>
      </c>
      <c r="C20" s="64" t="s">
        <v>4</v>
      </c>
      <c r="D20" s="66">
        <v>20</v>
      </c>
      <c r="E20" s="66">
        <v>30</v>
      </c>
      <c r="F20" s="429" t="s">
        <v>1398</v>
      </c>
      <c r="G20" s="430" t="s">
        <v>1398</v>
      </c>
      <c r="H20" s="66" t="s">
        <v>215</v>
      </c>
      <c r="I20" s="131">
        <f>I19</f>
        <v>7</v>
      </c>
      <c r="J20" s="131">
        <f t="shared" ref="J20:P20" si="132">J19</f>
        <v>1</v>
      </c>
      <c r="K20" s="131">
        <f t="shared" si="132"/>
        <v>5</v>
      </c>
      <c r="L20" s="131">
        <f t="shared" si="132"/>
        <v>4</v>
      </c>
      <c r="M20" s="131">
        <f t="shared" si="132"/>
        <v>6</v>
      </c>
      <c r="N20" s="131">
        <f t="shared" si="132"/>
        <v>2</v>
      </c>
      <c r="O20" s="131">
        <f t="shared" si="132"/>
        <v>8</v>
      </c>
      <c r="P20" s="375">
        <f t="shared" si="132"/>
        <v>3</v>
      </c>
      <c r="Q20" s="131">
        <f>Q19</f>
        <v>6</v>
      </c>
      <c r="R20" s="131">
        <f t="shared" ref="R20" si="133">R19</f>
        <v>5</v>
      </c>
      <c r="S20" s="131">
        <f t="shared" ref="S20" si="134">S19</f>
        <v>2</v>
      </c>
      <c r="T20" s="131">
        <f t="shared" ref="T20" si="135">T19</f>
        <v>1</v>
      </c>
      <c r="U20" s="131">
        <f t="shared" ref="U20" si="136">U19</f>
        <v>8</v>
      </c>
      <c r="V20" s="131">
        <f t="shared" ref="V20" si="137">V19</f>
        <v>3</v>
      </c>
      <c r="W20" s="131">
        <f t="shared" ref="W20" si="138">W19</f>
        <v>7</v>
      </c>
      <c r="X20" s="375">
        <f t="shared" ref="X20" si="139">X19</f>
        <v>4</v>
      </c>
      <c r="Y20" s="131">
        <f>Y19</f>
        <v>8</v>
      </c>
      <c r="Z20" s="131">
        <f t="shared" ref="Z20" si="140">Z19</f>
        <v>5</v>
      </c>
      <c r="AA20" s="131">
        <f t="shared" ref="AA20" si="141">AA19</f>
        <v>6</v>
      </c>
      <c r="AB20" s="131">
        <f t="shared" ref="AB20" si="142">AB19</f>
        <v>3</v>
      </c>
      <c r="AC20" s="131">
        <f t="shared" ref="AC20" si="143">AC19</f>
        <v>7</v>
      </c>
      <c r="AD20" s="131">
        <f t="shared" ref="AD20" si="144">AD19</f>
        <v>4</v>
      </c>
      <c r="AE20" s="131">
        <f t="shared" ref="AE20" si="145">AE19</f>
        <v>2</v>
      </c>
      <c r="AF20" s="375">
        <f t="shared" ref="AF20" si="146">AF19</f>
        <v>1</v>
      </c>
      <c r="AG20" s="131">
        <f>AG19</f>
        <v>4</v>
      </c>
      <c r="AH20" s="131">
        <f t="shared" ref="AH20" si="147">AH19</f>
        <v>3</v>
      </c>
      <c r="AI20" s="131">
        <f t="shared" ref="AI20" si="148">AI19</f>
        <v>7</v>
      </c>
      <c r="AJ20" s="131">
        <f t="shared" ref="AJ20" si="149">AJ19</f>
        <v>8</v>
      </c>
      <c r="AK20" s="131">
        <f t="shared" ref="AK20" si="150">AK19</f>
        <v>5</v>
      </c>
      <c r="AL20" s="131">
        <f t="shared" ref="AL20" si="151">AL19</f>
        <v>1</v>
      </c>
      <c r="AM20" s="131">
        <f t="shared" ref="AM20" si="152">AM19</f>
        <v>6</v>
      </c>
      <c r="AN20" s="375">
        <f t="shared" ref="AN20" si="153">AN19</f>
        <v>2</v>
      </c>
      <c r="AP20" s="131">
        <f t="shared" ref="AP20" si="154">AP19</f>
        <v>7</v>
      </c>
      <c r="AQ20" s="131">
        <f t="shared" ref="AQ20" si="155">AQ19</f>
        <v>1</v>
      </c>
      <c r="AR20" s="131">
        <f t="shared" ref="AR20" si="156">AR19</f>
        <v>5</v>
      </c>
      <c r="AS20" s="131">
        <f t="shared" ref="AS20" si="157">AS19</f>
        <v>4</v>
      </c>
      <c r="AT20" s="131">
        <f t="shared" ref="AT20" si="158">AT19</f>
        <v>6</v>
      </c>
      <c r="AU20" s="131">
        <f t="shared" ref="AU20" si="159">AU19</f>
        <v>2</v>
      </c>
      <c r="AV20" s="375">
        <f t="shared" ref="AV20" si="160">AV19</f>
        <v>3</v>
      </c>
      <c r="AW20" s="131">
        <f t="shared" ref="AW20" si="161">AW19</f>
        <v>6</v>
      </c>
      <c r="AX20" s="131">
        <f t="shared" ref="AX20" si="162">AX19</f>
        <v>5</v>
      </c>
      <c r="AY20" s="131">
        <f t="shared" ref="AY20" si="163">AY19</f>
        <v>2</v>
      </c>
      <c r="AZ20" s="131">
        <f t="shared" ref="AZ20" si="164">AZ19</f>
        <v>1</v>
      </c>
      <c r="BA20" s="131">
        <f t="shared" ref="BA20" si="165">BA19</f>
        <v>3</v>
      </c>
      <c r="BB20" s="131">
        <f t="shared" ref="BB20" si="166">BB19</f>
        <v>7</v>
      </c>
      <c r="BC20" s="375">
        <f t="shared" ref="BC20" si="167">BC19</f>
        <v>4</v>
      </c>
      <c r="BD20" s="131">
        <f t="shared" ref="BD20" si="168">BD19</f>
        <v>5</v>
      </c>
      <c r="BE20" s="131">
        <f t="shared" ref="BE20" si="169">BE19</f>
        <v>6</v>
      </c>
      <c r="BF20" s="131">
        <f t="shared" ref="BF20" si="170">BF19</f>
        <v>3</v>
      </c>
      <c r="BG20" s="131">
        <f t="shared" ref="BG20" si="171">BG19</f>
        <v>7</v>
      </c>
      <c r="BH20" s="131">
        <f t="shared" ref="BH20" si="172">BH19</f>
        <v>4</v>
      </c>
      <c r="BI20" s="131">
        <f t="shared" ref="BI20" si="173">BI19</f>
        <v>2</v>
      </c>
      <c r="BJ20" s="375">
        <f t="shared" ref="BJ20" si="174">BJ19</f>
        <v>1</v>
      </c>
      <c r="BK20" s="131">
        <f t="shared" ref="BK20" si="175">BK19</f>
        <v>4</v>
      </c>
      <c r="BL20" s="131">
        <f t="shared" ref="BL20" si="176">BL19</f>
        <v>3</v>
      </c>
      <c r="BM20" s="131">
        <f t="shared" ref="BM20" si="177">BM19</f>
        <v>7</v>
      </c>
      <c r="BN20" s="131">
        <f t="shared" ref="BN20" si="178">BN19</f>
        <v>5</v>
      </c>
      <c r="BO20" s="131">
        <f t="shared" ref="BO20" si="179">BO19</f>
        <v>1</v>
      </c>
      <c r="BP20" s="131">
        <f t="shared" ref="BP20" si="180">BP19</f>
        <v>6</v>
      </c>
      <c r="BQ20" s="375">
        <f t="shared" ref="BQ20" si="181">BQ19</f>
        <v>2</v>
      </c>
      <c r="BS20" s="131">
        <f t="shared" ref="BS20" si="182">BS19</f>
        <v>1</v>
      </c>
      <c r="BT20" s="131">
        <f t="shared" ref="BT20" si="183">BT19</f>
        <v>5</v>
      </c>
      <c r="BU20" s="131">
        <f t="shared" ref="BU20" si="184">BU19</f>
        <v>4</v>
      </c>
      <c r="BV20" s="131">
        <f t="shared" ref="BV20" si="185">BV19</f>
        <v>6</v>
      </c>
      <c r="BW20" s="131">
        <f t="shared" ref="BW20" si="186">BW19</f>
        <v>2</v>
      </c>
      <c r="BX20" s="375">
        <f t="shared" ref="BX20" si="187">BX19</f>
        <v>3</v>
      </c>
      <c r="BY20" s="131">
        <f t="shared" ref="BY20" si="188">BY19</f>
        <v>6</v>
      </c>
      <c r="BZ20" s="131">
        <f t="shared" ref="BZ20" si="189">BZ19</f>
        <v>5</v>
      </c>
      <c r="CA20" s="131">
        <f t="shared" ref="CA20" si="190">CA19</f>
        <v>2</v>
      </c>
      <c r="CB20" s="131">
        <f t="shared" ref="CB20" si="191">CB19</f>
        <v>1</v>
      </c>
      <c r="CC20" s="131">
        <f t="shared" ref="CC20" si="192">CC19</f>
        <v>3</v>
      </c>
      <c r="CD20" s="375">
        <f t="shared" ref="CD20" si="193">CD19</f>
        <v>4</v>
      </c>
      <c r="CE20" s="131">
        <f t="shared" ref="CE20" si="194">CE19</f>
        <v>5</v>
      </c>
      <c r="CF20" s="131">
        <f t="shared" ref="CF20" si="195">CF19</f>
        <v>6</v>
      </c>
      <c r="CG20" s="131">
        <f t="shared" ref="CG20" si="196">CG19</f>
        <v>3</v>
      </c>
      <c r="CH20" s="131">
        <f t="shared" ref="CH20" si="197">CH19</f>
        <v>4</v>
      </c>
      <c r="CI20" s="131">
        <f t="shared" ref="CI20" si="198">CI19</f>
        <v>2</v>
      </c>
      <c r="CJ20" s="375">
        <f t="shared" ref="CJ20" si="199">CJ19</f>
        <v>1</v>
      </c>
      <c r="CK20" s="131">
        <f t="shared" ref="CK20" si="200">CK19</f>
        <v>4</v>
      </c>
      <c r="CL20" s="131">
        <f t="shared" ref="CL20" si="201">CL19</f>
        <v>3</v>
      </c>
      <c r="CM20" s="131">
        <f t="shared" ref="CM20" si="202">CM19</f>
        <v>5</v>
      </c>
      <c r="CN20" s="131">
        <f t="shared" ref="CN20" si="203">CN19</f>
        <v>1</v>
      </c>
      <c r="CO20" s="131">
        <f t="shared" ref="CO20" si="204">CO19</f>
        <v>6</v>
      </c>
      <c r="CP20" s="375">
        <f t="shared" ref="CP20" si="205">CP19</f>
        <v>2</v>
      </c>
      <c r="CR20" s="131">
        <f t="shared" ref="CR20" si="206">CR19</f>
        <v>1</v>
      </c>
      <c r="CS20" s="131">
        <f t="shared" ref="CS20" si="207">CS19</f>
        <v>5</v>
      </c>
      <c r="CT20" s="131">
        <f t="shared" ref="CT20" si="208">CT19</f>
        <v>4</v>
      </c>
      <c r="CU20" s="131">
        <f t="shared" ref="CU20" si="209">CU19</f>
        <v>2</v>
      </c>
      <c r="CV20" s="375">
        <f t="shared" ref="CV20" si="210">CV19</f>
        <v>3</v>
      </c>
      <c r="CW20" s="131">
        <f t="shared" ref="CW20" si="211">CW19</f>
        <v>5</v>
      </c>
      <c r="CX20" s="131">
        <f t="shared" ref="CX20" si="212">CX19</f>
        <v>2</v>
      </c>
      <c r="CY20" s="131">
        <f t="shared" ref="CY20" si="213">CY19</f>
        <v>1</v>
      </c>
      <c r="CZ20" s="131">
        <f t="shared" ref="CZ20" si="214">CZ19</f>
        <v>3</v>
      </c>
      <c r="DA20" s="375">
        <f t="shared" ref="DA20" si="215">DA19</f>
        <v>4</v>
      </c>
      <c r="DB20" s="131">
        <f t="shared" ref="DB20" si="216">DB19</f>
        <v>5</v>
      </c>
      <c r="DC20" s="131">
        <f t="shared" ref="DC20" si="217">DC19</f>
        <v>3</v>
      </c>
      <c r="DD20" s="131">
        <f t="shared" ref="DD20" si="218">DD19</f>
        <v>4</v>
      </c>
      <c r="DE20" s="131">
        <f t="shared" ref="DE20" si="219">DE19</f>
        <v>2</v>
      </c>
      <c r="DF20" s="375">
        <f t="shared" ref="DF20" si="220">DF19</f>
        <v>1</v>
      </c>
      <c r="DG20" s="131">
        <f t="shared" ref="DG20" si="221">DG19</f>
        <v>4</v>
      </c>
      <c r="DH20" s="131">
        <f t="shared" ref="DH20" si="222">DH19</f>
        <v>3</v>
      </c>
      <c r="DI20" s="131">
        <f t="shared" ref="DI20" si="223">DI19</f>
        <v>5</v>
      </c>
      <c r="DJ20" s="131">
        <f t="shared" ref="DJ20" si="224">DJ19</f>
        <v>1</v>
      </c>
      <c r="DK20" s="375">
        <f t="shared" ref="DK20" si="225">DK19</f>
        <v>2</v>
      </c>
      <c r="DT20" s="100" t="str">
        <f t="shared" si="10"/>
        <v>'Track1'!</v>
      </c>
      <c r="DU20" s="100" t="s">
        <v>673</v>
      </c>
      <c r="DV20" s="100" t="s">
        <v>333</v>
      </c>
      <c r="DW20" s="64">
        <f t="shared" ca="1" si="0"/>
        <v>134</v>
      </c>
      <c r="DX20" s="64" t="str">
        <f t="shared" ca="1" si="11"/>
        <v>'Track1'!C136</v>
      </c>
      <c r="DY20" s="100" t="str">
        <f t="shared" si="12"/>
        <v>'Track1'!</v>
      </c>
      <c r="DZ20" s="100" t="s">
        <v>673</v>
      </c>
      <c r="EA20" s="100" t="s">
        <v>218</v>
      </c>
      <c r="EB20" s="100">
        <f t="shared" ca="1" si="1"/>
        <v>134</v>
      </c>
      <c r="EC20" s="64" t="str">
        <f t="shared" ca="1" si="13"/>
        <v>'Track1'!R136</v>
      </c>
      <c r="EG20" s="65">
        <v>14.1</v>
      </c>
    </row>
    <row r="21" spans="1:137" x14ac:dyDescent="0.35">
      <c r="A21" s="64" t="s">
        <v>42</v>
      </c>
      <c r="B21" s="64" t="s">
        <v>16</v>
      </c>
      <c r="C21" s="64" t="s">
        <v>6</v>
      </c>
      <c r="D21" s="66">
        <v>21</v>
      </c>
      <c r="E21" s="66">
        <v>79</v>
      </c>
      <c r="F21" s="430">
        <v>0.59375</v>
      </c>
      <c r="G21" s="430">
        <v>0.59375</v>
      </c>
      <c r="H21" s="66" t="s">
        <v>215</v>
      </c>
      <c r="I21" s="131">
        <f>I19</f>
        <v>7</v>
      </c>
      <c r="J21" s="131">
        <f t="shared" ref="J21:P21" si="226">J19</f>
        <v>1</v>
      </c>
      <c r="K21" s="131">
        <f t="shared" si="226"/>
        <v>5</v>
      </c>
      <c r="L21" s="131">
        <f t="shared" si="226"/>
        <v>4</v>
      </c>
      <c r="M21" s="131">
        <f t="shared" si="226"/>
        <v>6</v>
      </c>
      <c r="N21" s="131">
        <f t="shared" si="226"/>
        <v>2</v>
      </c>
      <c r="O21" s="131">
        <f t="shared" si="226"/>
        <v>8</v>
      </c>
      <c r="P21" s="375">
        <f t="shared" si="226"/>
        <v>3</v>
      </c>
      <c r="Q21" s="131">
        <f>Q19</f>
        <v>6</v>
      </c>
      <c r="R21" s="131">
        <f t="shared" ref="R21:X21" si="227">R19</f>
        <v>5</v>
      </c>
      <c r="S21" s="131">
        <f t="shared" si="227"/>
        <v>2</v>
      </c>
      <c r="T21" s="131">
        <f t="shared" si="227"/>
        <v>1</v>
      </c>
      <c r="U21" s="131">
        <f t="shared" si="227"/>
        <v>8</v>
      </c>
      <c r="V21" s="131">
        <f t="shared" si="227"/>
        <v>3</v>
      </c>
      <c r="W21" s="131">
        <f t="shared" si="227"/>
        <v>7</v>
      </c>
      <c r="X21" s="375">
        <f t="shared" si="227"/>
        <v>4</v>
      </c>
      <c r="Y21" s="131">
        <f>Y19</f>
        <v>8</v>
      </c>
      <c r="Z21" s="131">
        <f t="shared" ref="Z21:AF21" si="228">Z19</f>
        <v>5</v>
      </c>
      <c r="AA21" s="131">
        <f t="shared" si="228"/>
        <v>6</v>
      </c>
      <c r="AB21" s="131">
        <f t="shared" si="228"/>
        <v>3</v>
      </c>
      <c r="AC21" s="131">
        <f t="shared" si="228"/>
        <v>7</v>
      </c>
      <c r="AD21" s="131">
        <f t="shared" si="228"/>
        <v>4</v>
      </c>
      <c r="AE21" s="131">
        <f t="shared" si="228"/>
        <v>2</v>
      </c>
      <c r="AF21" s="375">
        <f t="shared" si="228"/>
        <v>1</v>
      </c>
      <c r="AG21" s="131">
        <f>AG19</f>
        <v>4</v>
      </c>
      <c r="AH21" s="131">
        <f t="shared" ref="AH21:AN21" si="229">AH19</f>
        <v>3</v>
      </c>
      <c r="AI21" s="131">
        <f t="shared" si="229"/>
        <v>7</v>
      </c>
      <c r="AJ21" s="131">
        <f t="shared" si="229"/>
        <v>8</v>
      </c>
      <c r="AK21" s="131">
        <f t="shared" si="229"/>
        <v>5</v>
      </c>
      <c r="AL21" s="131">
        <f t="shared" si="229"/>
        <v>1</v>
      </c>
      <c r="AM21" s="131">
        <f t="shared" si="229"/>
        <v>6</v>
      </c>
      <c r="AN21" s="375">
        <f t="shared" si="229"/>
        <v>2</v>
      </c>
      <c r="AP21" s="131">
        <f t="shared" ref="AP21:BQ21" si="230">AP19</f>
        <v>7</v>
      </c>
      <c r="AQ21" s="131">
        <f t="shared" si="230"/>
        <v>1</v>
      </c>
      <c r="AR21" s="131">
        <f t="shared" si="230"/>
        <v>5</v>
      </c>
      <c r="AS21" s="131">
        <f t="shared" si="230"/>
        <v>4</v>
      </c>
      <c r="AT21" s="131">
        <f t="shared" si="230"/>
        <v>6</v>
      </c>
      <c r="AU21" s="131">
        <f t="shared" si="230"/>
        <v>2</v>
      </c>
      <c r="AV21" s="375">
        <f t="shared" si="230"/>
        <v>3</v>
      </c>
      <c r="AW21" s="131">
        <f t="shared" si="230"/>
        <v>6</v>
      </c>
      <c r="AX21" s="131">
        <f t="shared" si="230"/>
        <v>5</v>
      </c>
      <c r="AY21" s="131">
        <f t="shared" si="230"/>
        <v>2</v>
      </c>
      <c r="AZ21" s="131">
        <f t="shared" si="230"/>
        <v>1</v>
      </c>
      <c r="BA21" s="131">
        <f t="shared" si="230"/>
        <v>3</v>
      </c>
      <c r="BB21" s="131">
        <f t="shared" si="230"/>
        <v>7</v>
      </c>
      <c r="BC21" s="375">
        <f t="shared" si="230"/>
        <v>4</v>
      </c>
      <c r="BD21" s="131">
        <f t="shared" si="230"/>
        <v>5</v>
      </c>
      <c r="BE21" s="131">
        <f t="shared" si="230"/>
        <v>6</v>
      </c>
      <c r="BF21" s="131">
        <f t="shared" si="230"/>
        <v>3</v>
      </c>
      <c r="BG21" s="131">
        <f t="shared" si="230"/>
        <v>7</v>
      </c>
      <c r="BH21" s="131">
        <f t="shared" si="230"/>
        <v>4</v>
      </c>
      <c r="BI21" s="131">
        <f t="shared" si="230"/>
        <v>2</v>
      </c>
      <c r="BJ21" s="375">
        <f t="shared" si="230"/>
        <v>1</v>
      </c>
      <c r="BK21" s="131">
        <f t="shared" si="230"/>
        <v>4</v>
      </c>
      <c r="BL21" s="131">
        <f t="shared" si="230"/>
        <v>3</v>
      </c>
      <c r="BM21" s="131">
        <f t="shared" si="230"/>
        <v>7</v>
      </c>
      <c r="BN21" s="131">
        <f t="shared" si="230"/>
        <v>5</v>
      </c>
      <c r="BO21" s="131">
        <f t="shared" si="230"/>
        <v>1</v>
      </c>
      <c r="BP21" s="131">
        <f t="shared" si="230"/>
        <v>6</v>
      </c>
      <c r="BQ21" s="375">
        <f t="shared" si="230"/>
        <v>2</v>
      </c>
      <c r="BS21" s="131">
        <f t="shared" ref="BS21:CP21" si="231">BS19</f>
        <v>1</v>
      </c>
      <c r="BT21" s="131">
        <f t="shared" si="231"/>
        <v>5</v>
      </c>
      <c r="BU21" s="131">
        <f t="shared" si="231"/>
        <v>4</v>
      </c>
      <c r="BV21" s="131">
        <f t="shared" si="231"/>
        <v>6</v>
      </c>
      <c r="BW21" s="131">
        <f t="shared" si="231"/>
        <v>2</v>
      </c>
      <c r="BX21" s="375">
        <f t="shared" si="231"/>
        <v>3</v>
      </c>
      <c r="BY21" s="131">
        <f t="shared" si="231"/>
        <v>6</v>
      </c>
      <c r="BZ21" s="131">
        <f t="shared" si="231"/>
        <v>5</v>
      </c>
      <c r="CA21" s="131">
        <f t="shared" si="231"/>
        <v>2</v>
      </c>
      <c r="CB21" s="131">
        <f t="shared" si="231"/>
        <v>1</v>
      </c>
      <c r="CC21" s="131">
        <f t="shared" si="231"/>
        <v>3</v>
      </c>
      <c r="CD21" s="375">
        <f t="shared" si="231"/>
        <v>4</v>
      </c>
      <c r="CE21" s="131">
        <f t="shared" si="231"/>
        <v>5</v>
      </c>
      <c r="CF21" s="131">
        <f t="shared" si="231"/>
        <v>6</v>
      </c>
      <c r="CG21" s="131">
        <f t="shared" si="231"/>
        <v>3</v>
      </c>
      <c r="CH21" s="131">
        <f t="shared" si="231"/>
        <v>4</v>
      </c>
      <c r="CI21" s="131">
        <f t="shared" si="231"/>
        <v>2</v>
      </c>
      <c r="CJ21" s="375">
        <f t="shared" si="231"/>
        <v>1</v>
      </c>
      <c r="CK21" s="131">
        <f t="shared" si="231"/>
        <v>4</v>
      </c>
      <c r="CL21" s="131">
        <f t="shared" si="231"/>
        <v>3</v>
      </c>
      <c r="CM21" s="131">
        <f t="shared" si="231"/>
        <v>5</v>
      </c>
      <c r="CN21" s="131">
        <f t="shared" si="231"/>
        <v>1</v>
      </c>
      <c r="CO21" s="131">
        <f t="shared" si="231"/>
        <v>6</v>
      </c>
      <c r="CP21" s="375">
        <f t="shared" si="231"/>
        <v>2</v>
      </c>
      <c r="CR21" s="131">
        <f t="shared" ref="CR21:DK21" si="232">CR19</f>
        <v>1</v>
      </c>
      <c r="CS21" s="131">
        <f t="shared" si="232"/>
        <v>5</v>
      </c>
      <c r="CT21" s="131">
        <f t="shared" si="232"/>
        <v>4</v>
      </c>
      <c r="CU21" s="131">
        <f t="shared" si="232"/>
        <v>2</v>
      </c>
      <c r="CV21" s="375">
        <f t="shared" si="232"/>
        <v>3</v>
      </c>
      <c r="CW21" s="131">
        <f t="shared" si="232"/>
        <v>5</v>
      </c>
      <c r="CX21" s="131">
        <f t="shared" si="232"/>
        <v>2</v>
      </c>
      <c r="CY21" s="131">
        <f t="shared" si="232"/>
        <v>1</v>
      </c>
      <c r="CZ21" s="131">
        <f t="shared" si="232"/>
        <v>3</v>
      </c>
      <c r="DA21" s="375">
        <f t="shared" si="232"/>
        <v>4</v>
      </c>
      <c r="DB21" s="131">
        <f t="shared" si="232"/>
        <v>5</v>
      </c>
      <c r="DC21" s="131">
        <f t="shared" si="232"/>
        <v>3</v>
      </c>
      <c r="DD21" s="131">
        <f t="shared" si="232"/>
        <v>4</v>
      </c>
      <c r="DE21" s="131">
        <f t="shared" si="232"/>
        <v>2</v>
      </c>
      <c r="DF21" s="375">
        <f t="shared" si="232"/>
        <v>1</v>
      </c>
      <c r="DG21" s="131">
        <f t="shared" si="232"/>
        <v>4</v>
      </c>
      <c r="DH21" s="131">
        <f t="shared" si="232"/>
        <v>3</v>
      </c>
      <c r="DI21" s="131">
        <f t="shared" si="232"/>
        <v>5</v>
      </c>
      <c r="DJ21" s="131">
        <f t="shared" si="232"/>
        <v>1</v>
      </c>
      <c r="DK21" s="375">
        <f t="shared" si="232"/>
        <v>2</v>
      </c>
      <c r="DT21" s="100" t="str">
        <f t="shared" si="10"/>
        <v>'Track1'!</v>
      </c>
      <c r="DU21" s="100" t="s">
        <v>673</v>
      </c>
      <c r="DV21" s="100" t="s">
        <v>333</v>
      </c>
      <c r="DW21" s="64">
        <f t="shared" ca="1" si="0"/>
        <v>101</v>
      </c>
      <c r="DX21" s="64" t="str">
        <f t="shared" ca="1" si="11"/>
        <v>'Track1'!C103</v>
      </c>
      <c r="DY21" s="100" t="str">
        <f t="shared" si="12"/>
        <v>'Track1'!</v>
      </c>
      <c r="DZ21" s="100" t="s">
        <v>673</v>
      </c>
      <c r="EA21" s="100" t="s">
        <v>218</v>
      </c>
      <c r="EB21" s="100">
        <f t="shared" ca="1" si="1"/>
        <v>101</v>
      </c>
      <c r="EC21" s="64" t="str">
        <f t="shared" ca="1" si="13"/>
        <v>'Track1'!R103</v>
      </c>
      <c r="EG21" s="65">
        <v>14.15</v>
      </c>
    </row>
    <row r="22" spans="1:137" x14ac:dyDescent="0.35">
      <c r="A22" s="64" t="s">
        <v>43</v>
      </c>
      <c r="B22" s="64" t="s">
        <v>16</v>
      </c>
      <c r="C22" s="64" t="s">
        <v>7</v>
      </c>
      <c r="D22" s="66">
        <v>22</v>
      </c>
      <c r="E22" s="66">
        <v>4</v>
      </c>
      <c r="F22" s="430">
        <v>0.60416666666666663</v>
      </c>
      <c r="G22" s="430">
        <v>0.60416666666666663</v>
      </c>
      <c r="H22" s="66" t="s">
        <v>215</v>
      </c>
      <c r="I22" s="131">
        <f>I19</f>
        <v>7</v>
      </c>
      <c r="J22" s="131">
        <f t="shared" ref="J22:P22" si="233">J19</f>
        <v>1</v>
      </c>
      <c r="K22" s="131">
        <f t="shared" si="233"/>
        <v>5</v>
      </c>
      <c r="L22" s="131">
        <f t="shared" si="233"/>
        <v>4</v>
      </c>
      <c r="M22" s="131">
        <f t="shared" si="233"/>
        <v>6</v>
      </c>
      <c r="N22" s="131">
        <f t="shared" si="233"/>
        <v>2</v>
      </c>
      <c r="O22" s="131">
        <f t="shared" si="233"/>
        <v>8</v>
      </c>
      <c r="P22" s="375">
        <f t="shared" si="233"/>
        <v>3</v>
      </c>
      <c r="Q22" s="131">
        <f>Q19</f>
        <v>6</v>
      </c>
      <c r="R22" s="131">
        <f t="shared" ref="R22:X22" si="234">R19</f>
        <v>5</v>
      </c>
      <c r="S22" s="131">
        <f t="shared" si="234"/>
        <v>2</v>
      </c>
      <c r="T22" s="131">
        <f t="shared" si="234"/>
        <v>1</v>
      </c>
      <c r="U22" s="131">
        <f t="shared" si="234"/>
        <v>8</v>
      </c>
      <c r="V22" s="131">
        <f t="shared" si="234"/>
        <v>3</v>
      </c>
      <c r="W22" s="131">
        <f t="shared" si="234"/>
        <v>7</v>
      </c>
      <c r="X22" s="375">
        <f t="shared" si="234"/>
        <v>4</v>
      </c>
      <c r="Y22" s="131">
        <f>Y19</f>
        <v>8</v>
      </c>
      <c r="Z22" s="131">
        <f t="shared" ref="Z22:AF22" si="235">Z19</f>
        <v>5</v>
      </c>
      <c r="AA22" s="131">
        <f t="shared" si="235"/>
        <v>6</v>
      </c>
      <c r="AB22" s="131">
        <f t="shared" si="235"/>
        <v>3</v>
      </c>
      <c r="AC22" s="131">
        <f t="shared" si="235"/>
        <v>7</v>
      </c>
      <c r="AD22" s="131">
        <f t="shared" si="235"/>
        <v>4</v>
      </c>
      <c r="AE22" s="131">
        <f t="shared" si="235"/>
        <v>2</v>
      </c>
      <c r="AF22" s="375">
        <f t="shared" si="235"/>
        <v>1</v>
      </c>
      <c r="AG22" s="131">
        <f>AG19</f>
        <v>4</v>
      </c>
      <c r="AH22" s="131">
        <f t="shared" ref="AH22:AN22" si="236">AH19</f>
        <v>3</v>
      </c>
      <c r="AI22" s="131">
        <f t="shared" si="236"/>
        <v>7</v>
      </c>
      <c r="AJ22" s="131">
        <f t="shared" si="236"/>
        <v>8</v>
      </c>
      <c r="AK22" s="131">
        <f t="shared" si="236"/>
        <v>5</v>
      </c>
      <c r="AL22" s="131">
        <f t="shared" si="236"/>
        <v>1</v>
      </c>
      <c r="AM22" s="131">
        <f t="shared" si="236"/>
        <v>6</v>
      </c>
      <c r="AN22" s="375">
        <f t="shared" si="236"/>
        <v>2</v>
      </c>
      <c r="AP22" s="131">
        <f t="shared" ref="AP22:BQ22" si="237">AP19</f>
        <v>7</v>
      </c>
      <c r="AQ22" s="131">
        <f t="shared" si="237"/>
        <v>1</v>
      </c>
      <c r="AR22" s="131">
        <f t="shared" si="237"/>
        <v>5</v>
      </c>
      <c r="AS22" s="131">
        <f t="shared" si="237"/>
        <v>4</v>
      </c>
      <c r="AT22" s="131">
        <f t="shared" si="237"/>
        <v>6</v>
      </c>
      <c r="AU22" s="131">
        <f t="shared" si="237"/>
        <v>2</v>
      </c>
      <c r="AV22" s="375">
        <f t="shared" si="237"/>
        <v>3</v>
      </c>
      <c r="AW22" s="131">
        <f t="shared" si="237"/>
        <v>6</v>
      </c>
      <c r="AX22" s="131">
        <f t="shared" si="237"/>
        <v>5</v>
      </c>
      <c r="AY22" s="131">
        <f t="shared" si="237"/>
        <v>2</v>
      </c>
      <c r="AZ22" s="131">
        <f t="shared" si="237"/>
        <v>1</v>
      </c>
      <c r="BA22" s="131">
        <f t="shared" si="237"/>
        <v>3</v>
      </c>
      <c r="BB22" s="131">
        <f t="shared" si="237"/>
        <v>7</v>
      </c>
      <c r="BC22" s="375">
        <f t="shared" si="237"/>
        <v>4</v>
      </c>
      <c r="BD22" s="131">
        <f t="shared" si="237"/>
        <v>5</v>
      </c>
      <c r="BE22" s="131">
        <f t="shared" si="237"/>
        <v>6</v>
      </c>
      <c r="BF22" s="131">
        <f t="shared" si="237"/>
        <v>3</v>
      </c>
      <c r="BG22" s="131">
        <f t="shared" si="237"/>
        <v>7</v>
      </c>
      <c r="BH22" s="131">
        <f t="shared" si="237"/>
        <v>4</v>
      </c>
      <c r="BI22" s="131">
        <f t="shared" si="237"/>
        <v>2</v>
      </c>
      <c r="BJ22" s="375">
        <f t="shared" si="237"/>
        <v>1</v>
      </c>
      <c r="BK22" s="131">
        <f t="shared" si="237"/>
        <v>4</v>
      </c>
      <c r="BL22" s="131">
        <f t="shared" si="237"/>
        <v>3</v>
      </c>
      <c r="BM22" s="131">
        <f t="shared" si="237"/>
        <v>7</v>
      </c>
      <c r="BN22" s="131">
        <f t="shared" si="237"/>
        <v>5</v>
      </c>
      <c r="BO22" s="131">
        <f t="shared" si="237"/>
        <v>1</v>
      </c>
      <c r="BP22" s="131">
        <f t="shared" si="237"/>
        <v>6</v>
      </c>
      <c r="BQ22" s="375">
        <f t="shared" si="237"/>
        <v>2</v>
      </c>
      <c r="BS22" s="131">
        <f t="shared" ref="BS22:CP22" si="238">BS19</f>
        <v>1</v>
      </c>
      <c r="BT22" s="131">
        <f t="shared" si="238"/>
        <v>5</v>
      </c>
      <c r="BU22" s="131">
        <f t="shared" si="238"/>
        <v>4</v>
      </c>
      <c r="BV22" s="131">
        <f t="shared" si="238"/>
        <v>6</v>
      </c>
      <c r="BW22" s="131">
        <f t="shared" si="238"/>
        <v>2</v>
      </c>
      <c r="BX22" s="375">
        <f t="shared" si="238"/>
        <v>3</v>
      </c>
      <c r="BY22" s="131">
        <f t="shared" si="238"/>
        <v>6</v>
      </c>
      <c r="BZ22" s="131">
        <f t="shared" si="238"/>
        <v>5</v>
      </c>
      <c r="CA22" s="131">
        <f t="shared" si="238"/>
        <v>2</v>
      </c>
      <c r="CB22" s="131">
        <f t="shared" si="238"/>
        <v>1</v>
      </c>
      <c r="CC22" s="131">
        <f t="shared" si="238"/>
        <v>3</v>
      </c>
      <c r="CD22" s="375">
        <f t="shared" si="238"/>
        <v>4</v>
      </c>
      <c r="CE22" s="131">
        <f t="shared" si="238"/>
        <v>5</v>
      </c>
      <c r="CF22" s="131">
        <f t="shared" si="238"/>
        <v>6</v>
      </c>
      <c r="CG22" s="131">
        <f t="shared" si="238"/>
        <v>3</v>
      </c>
      <c r="CH22" s="131">
        <f t="shared" si="238"/>
        <v>4</v>
      </c>
      <c r="CI22" s="131">
        <f t="shared" si="238"/>
        <v>2</v>
      </c>
      <c r="CJ22" s="375">
        <f t="shared" si="238"/>
        <v>1</v>
      </c>
      <c r="CK22" s="131">
        <f t="shared" si="238"/>
        <v>4</v>
      </c>
      <c r="CL22" s="131">
        <f t="shared" si="238"/>
        <v>3</v>
      </c>
      <c r="CM22" s="131">
        <f t="shared" si="238"/>
        <v>5</v>
      </c>
      <c r="CN22" s="131">
        <f t="shared" si="238"/>
        <v>1</v>
      </c>
      <c r="CO22" s="131">
        <f t="shared" si="238"/>
        <v>6</v>
      </c>
      <c r="CP22" s="375">
        <f t="shared" si="238"/>
        <v>2</v>
      </c>
      <c r="CR22" s="131">
        <f t="shared" ref="CR22:DK22" si="239">CR19</f>
        <v>1</v>
      </c>
      <c r="CS22" s="131">
        <f t="shared" si="239"/>
        <v>5</v>
      </c>
      <c r="CT22" s="131">
        <f t="shared" si="239"/>
        <v>4</v>
      </c>
      <c r="CU22" s="131">
        <f t="shared" si="239"/>
        <v>2</v>
      </c>
      <c r="CV22" s="375">
        <f t="shared" si="239"/>
        <v>3</v>
      </c>
      <c r="CW22" s="131">
        <f t="shared" si="239"/>
        <v>5</v>
      </c>
      <c r="CX22" s="131">
        <f t="shared" si="239"/>
        <v>2</v>
      </c>
      <c r="CY22" s="131">
        <f t="shared" si="239"/>
        <v>1</v>
      </c>
      <c r="CZ22" s="131">
        <f t="shared" si="239"/>
        <v>3</v>
      </c>
      <c r="DA22" s="375">
        <f t="shared" si="239"/>
        <v>4</v>
      </c>
      <c r="DB22" s="131">
        <f t="shared" si="239"/>
        <v>5</v>
      </c>
      <c r="DC22" s="131">
        <f t="shared" si="239"/>
        <v>3</v>
      </c>
      <c r="DD22" s="131">
        <f t="shared" si="239"/>
        <v>4</v>
      </c>
      <c r="DE22" s="131">
        <f t="shared" si="239"/>
        <v>2</v>
      </c>
      <c r="DF22" s="375">
        <f t="shared" si="239"/>
        <v>1</v>
      </c>
      <c r="DG22" s="131">
        <f t="shared" si="239"/>
        <v>4</v>
      </c>
      <c r="DH22" s="131">
        <f t="shared" si="239"/>
        <v>3</v>
      </c>
      <c r="DI22" s="131">
        <f t="shared" si="239"/>
        <v>5</v>
      </c>
      <c r="DJ22" s="131">
        <f t="shared" si="239"/>
        <v>1</v>
      </c>
      <c r="DK22" s="375">
        <f t="shared" si="239"/>
        <v>2</v>
      </c>
      <c r="DT22" s="100" t="str">
        <f t="shared" si="10"/>
        <v>'Track1'!</v>
      </c>
      <c r="DU22" s="100" t="s">
        <v>673</v>
      </c>
      <c r="DV22" s="100" t="s">
        <v>333</v>
      </c>
      <c r="DW22" s="64">
        <f t="shared" ca="1" si="0"/>
        <v>112</v>
      </c>
      <c r="DX22" s="64" t="str">
        <f t="shared" ca="1" si="11"/>
        <v>'Track1'!C114</v>
      </c>
      <c r="DY22" s="100" t="str">
        <f t="shared" si="12"/>
        <v>'Track1'!</v>
      </c>
      <c r="DZ22" s="100" t="s">
        <v>673</v>
      </c>
      <c r="EA22" s="100" t="s">
        <v>218</v>
      </c>
      <c r="EB22" s="100">
        <f t="shared" ca="1" si="1"/>
        <v>112</v>
      </c>
      <c r="EC22" s="64" t="str">
        <f t="shared" ca="1" si="13"/>
        <v>'Track1'!R114</v>
      </c>
      <c r="EG22" s="65">
        <v>14.2</v>
      </c>
    </row>
    <row r="23" spans="1:137" x14ac:dyDescent="0.35">
      <c r="A23" s="64" t="s">
        <v>44</v>
      </c>
      <c r="B23" s="64" t="s">
        <v>16</v>
      </c>
      <c r="C23" s="64" t="s">
        <v>9</v>
      </c>
      <c r="D23" s="66">
        <v>23</v>
      </c>
      <c r="E23" s="66">
        <v>54</v>
      </c>
      <c r="F23" s="430">
        <v>0.61458333333333337</v>
      </c>
      <c r="G23" s="430">
        <v>0.61458333333333337</v>
      </c>
      <c r="H23" s="66" t="s">
        <v>215</v>
      </c>
      <c r="I23" s="131">
        <f>I19</f>
        <v>7</v>
      </c>
      <c r="J23" s="131">
        <f t="shared" ref="J23:P23" si="240">J19</f>
        <v>1</v>
      </c>
      <c r="K23" s="131">
        <f t="shared" si="240"/>
        <v>5</v>
      </c>
      <c r="L23" s="131">
        <f t="shared" si="240"/>
        <v>4</v>
      </c>
      <c r="M23" s="131">
        <f t="shared" si="240"/>
        <v>6</v>
      </c>
      <c r="N23" s="131">
        <f t="shared" si="240"/>
        <v>2</v>
      </c>
      <c r="O23" s="131">
        <f t="shared" si="240"/>
        <v>8</v>
      </c>
      <c r="P23" s="375">
        <f t="shared" si="240"/>
        <v>3</v>
      </c>
      <c r="Q23" s="131">
        <f>Q19</f>
        <v>6</v>
      </c>
      <c r="R23" s="131">
        <f t="shared" ref="R23:X23" si="241">R19</f>
        <v>5</v>
      </c>
      <c r="S23" s="131">
        <f t="shared" si="241"/>
        <v>2</v>
      </c>
      <c r="T23" s="131">
        <f t="shared" si="241"/>
        <v>1</v>
      </c>
      <c r="U23" s="131">
        <f t="shared" si="241"/>
        <v>8</v>
      </c>
      <c r="V23" s="131">
        <f t="shared" si="241"/>
        <v>3</v>
      </c>
      <c r="W23" s="131">
        <f t="shared" si="241"/>
        <v>7</v>
      </c>
      <c r="X23" s="375">
        <f t="shared" si="241"/>
        <v>4</v>
      </c>
      <c r="Y23" s="131">
        <f>Y19</f>
        <v>8</v>
      </c>
      <c r="Z23" s="131">
        <f t="shared" ref="Z23:AF23" si="242">Z19</f>
        <v>5</v>
      </c>
      <c r="AA23" s="131">
        <f t="shared" si="242"/>
        <v>6</v>
      </c>
      <c r="AB23" s="131">
        <f t="shared" si="242"/>
        <v>3</v>
      </c>
      <c r="AC23" s="131">
        <f t="shared" si="242"/>
        <v>7</v>
      </c>
      <c r="AD23" s="131">
        <f t="shared" si="242"/>
        <v>4</v>
      </c>
      <c r="AE23" s="131">
        <f t="shared" si="242"/>
        <v>2</v>
      </c>
      <c r="AF23" s="375">
        <f t="shared" si="242"/>
        <v>1</v>
      </c>
      <c r="AG23" s="131">
        <f>AG19</f>
        <v>4</v>
      </c>
      <c r="AH23" s="131">
        <f t="shared" ref="AH23:AN23" si="243">AH19</f>
        <v>3</v>
      </c>
      <c r="AI23" s="131">
        <f t="shared" si="243"/>
        <v>7</v>
      </c>
      <c r="AJ23" s="131">
        <f t="shared" si="243"/>
        <v>8</v>
      </c>
      <c r="AK23" s="131">
        <f t="shared" si="243"/>
        <v>5</v>
      </c>
      <c r="AL23" s="131">
        <f t="shared" si="243"/>
        <v>1</v>
      </c>
      <c r="AM23" s="131">
        <f t="shared" si="243"/>
        <v>6</v>
      </c>
      <c r="AN23" s="375">
        <f t="shared" si="243"/>
        <v>2</v>
      </c>
      <c r="AP23" s="131">
        <f t="shared" ref="AP23:BQ23" si="244">AP19</f>
        <v>7</v>
      </c>
      <c r="AQ23" s="131">
        <f t="shared" si="244"/>
        <v>1</v>
      </c>
      <c r="AR23" s="131">
        <f t="shared" si="244"/>
        <v>5</v>
      </c>
      <c r="AS23" s="131">
        <f t="shared" si="244"/>
        <v>4</v>
      </c>
      <c r="AT23" s="131">
        <f t="shared" si="244"/>
        <v>6</v>
      </c>
      <c r="AU23" s="131">
        <f t="shared" si="244"/>
        <v>2</v>
      </c>
      <c r="AV23" s="375">
        <f t="shared" si="244"/>
        <v>3</v>
      </c>
      <c r="AW23" s="131">
        <f t="shared" si="244"/>
        <v>6</v>
      </c>
      <c r="AX23" s="131">
        <f t="shared" si="244"/>
        <v>5</v>
      </c>
      <c r="AY23" s="131">
        <f t="shared" si="244"/>
        <v>2</v>
      </c>
      <c r="AZ23" s="131">
        <f t="shared" si="244"/>
        <v>1</v>
      </c>
      <c r="BA23" s="131">
        <f t="shared" si="244"/>
        <v>3</v>
      </c>
      <c r="BB23" s="131">
        <f t="shared" si="244"/>
        <v>7</v>
      </c>
      <c r="BC23" s="375">
        <f t="shared" si="244"/>
        <v>4</v>
      </c>
      <c r="BD23" s="131">
        <f t="shared" si="244"/>
        <v>5</v>
      </c>
      <c r="BE23" s="131">
        <f t="shared" si="244"/>
        <v>6</v>
      </c>
      <c r="BF23" s="131">
        <f t="shared" si="244"/>
        <v>3</v>
      </c>
      <c r="BG23" s="131">
        <f t="shared" si="244"/>
        <v>7</v>
      </c>
      <c r="BH23" s="131">
        <f t="shared" si="244"/>
        <v>4</v>
      </c>
      <c r="BI23" s="131">
        <f t="shared" si="244"/>
        <v>2</v>
      </c>
      <c r="BJ23" s="375">
        <f t="shared" si="244"/>
        <v>1</v>
      </c>
      <c r="BK23" s="131">
        <f t="shared" si="244"/>
        <v>4</v>
      </c>
      <c r="BL23" s="131">
        <f t="shared" si="244"/>
        <v>3</v>
      </c>
      <c r="BM23" s="131">
        <f t="shared" si="244"/>
        <v>7</v>
      </c>
      <c r="BN23" s="131">
        <f t="shared" si="244"/>
        <v>5</v>
      </c>
      <c r="BO23" s="131">
        <f t="shared" si="244"/>
        <v>1</v>
      </c>
      <c r="BP23" s="131">
        <f t="shared" si="244"/>
        <v>6</v>
      </c>
      <c r="BQ23" s="375">
        <f t="shared" si="244"/>
        <v>2</v>
      </c>
      <c r="BS23" s="131">
        <f t="shared" ref="BS23:CP23" si="245">BS19</f>
        <v>1</v>
      </c>
      <c r="BT23" s="131">
        <f t="shared" si="245"/>
        <v>5</v>
      </c>
      <c r="BU23" s="131">
        <f t="shared" si="245"/>
        <v>4</v>
      </c>
      <c r="BV23" s="131">
        <f t="shared" si="245"/>
        <v>6</v>
      </c>
      <c r="BW23" s="131">
        <f t="shared" si="245"/>
        <v>2</v>
      </c>
      <c r="BX23" s="375">
        <f t="shared" si="245"/>
        <v>3</v>
      </c>
      <c r="BY23" s="131">
        <f t="shared" si="245"/>
        <v>6</v>
      </c>
      <c r="BZ23" s="131">
        <f t="shared" si="245"/>
        <v>5</v>
      </c>
      <c r="CA23" s="131">
        <f t="shared" si="245"/>
        <v>2</v>
      </c>
      <c r="CB23" s="131">
        <f t="shared" si="245"/>
        <v>1</v>
      </c>
      <c r="CC23" s="131">
        <f t="shared" si="245"/>
        <v>3</v>
      </c>
      <c r="CD23" s="375">
        <f t="shared" si="245"/>
        <v>4</v>
      </c>
      <c r="CE23" s="131">
        <f t="shared" si="245"/>
        <v>5</v>
      </c>
      <c r="CF23" s="131">
        <f t="shared" si="245"/>
        <v>6</v>
      </c>
      <c r="CG23" s="131">
        <f t="shared" si="245"/>
        <v>3</v>
      </c>
      <c r="CH23" s="131">
        <f t="shared" si="245"/>
        <v>4</v>
      </c>
      <c r="CI23" s="131">
        <f t="shared" si="245"/>
        <v>2</v>
      </c>
      <c r="CJ23" s="375">
        <f t="shared" si="245"/>
        <v>1</v>
      </c>
      <c r="CK23" s="131">
        <f t="shared" si="245"/>
        <v>4</v>
      </c>
      <c r="CL23" s="131">
        <f t="shared" si="245"/>
        <v>3</v>
      </c>
      <c r="CM23" s="131">
        <f t="shared" si="245"/>
        <v>5</v>
      </c>
      <c r="CN23" s="131">
        <f t="shared" si="245"/>
        <v>1</v>
      </c>
      <c r="CO23" s="131">
        <f t="shared" si="245"/>
        <v>6</v>
      </c>
      <c r="CP23" s="375">
        <f t="shared" si="245"/>
        <v>2</v>
      </c>
      <c r="CR23" s="131">
        <f t="shared" ref="CR23:DK23" si="246">CR19</f>
        <v>1</v>
      </c>
      <c r="CS23" s="131">
        <f t="shared" si="246"/>
        <v>5</v>
      </c>
      <c r="CT23" s="131">
        <f t="shared" si="246"/>
        <v>4</v>
      </c>
      <c r="CU23" s="131">
        <f t="shared" si="246"/>
        <v>2</v>
      </c>
      <c r="CV23" s="375">
        <f t="shared" si="246"/>
        <v>3</v>
      </c>
      <c r="CW23" s="131">
        <f t="shared" si="246"/>
        <v>5</v>
      </c>
      <c r="CX23" s="131">
        <f t="shared" si="246"/>
        <v>2</v>
      </c>
      <c r="CY23" s="131">
        <f t="shared" si="246"/>
        <v>1</v>
      </c>
      <c r="CZ23" s="131">
        <f t="shared" si="246"/>
        <v>3</v>
      </c>
      <c r="DA23" s="375">
        <f t="shared" si="246"/>
        <v>4</v>
      </c>
      <c r="DB23" s="131">
        <f t="shared" si="246"/>
        <v>5</v>
      </c>
      <c r="DC23" s="131">
        <f t="shared" si="246"/>
        <v>3</v>
      </c>
      <c r="DD23" s="131">
        <f t="shared" si="246"/>
        <v>4</v>
      </c>
      <c r="DE23" s="131">
        <f t="shared" si="246"/>
        <v>2</v>
      </c>
      <c r="DF23" s="375">
        <f t="shared" si="246"/>
        <v>1</v>
      </c>
      <c r="DG23" s="131">
        <f t="shared" si="246"/>
        <v>4</v>
      </c>
      <c r="DH23" s="131">
        <f t="shared" si="246"/>
        <v>3</v>
      </c>
      <c r="DI23" s="131">
        <f t="shared" si="246"/>
        <v>5</v>
      </c>
      <c r="DJ23" s="131">
        <f t="shared" si="246"/>
        <v>1</v>
      </c>
      <c r="DK23" s="375">
        <f t="shared" si="246"/>
        <v>2</v>
      </c>
      <c r="DT23" s="100" t="str">
        <f t="shared" si="10"/>
        <v>'Track1'!</v>
      </c>
      <c r="DU23" s="100" t="s">
        <v>673</v>
      </c>
      <c r="DV23" s="100" t="s">
        <v>333</v>
      </c>
      <c r="DW23" s="64">
        <f t="shared" ca="1" si="0"/>
        <v>123</v>
      </c>
      <c r="DX23" s="64" t="str">
        <f t="shared" ca="1" si="11"/>
        <v>'Track1'!C125</v>
      </c>
      <c r="DY23" s="100" t="str">
        <f t="shared" si="12"/>
        <v>'Track1'!</v>
      </c>
      <c r="DZ23" s="100" t="s">
        <v>673</v>
      </c>
      <c r="EA23" s="100" t="s">
        <v>218</v>
      </c>
      <c r="EB23" s="100">
        <f t="shared" ca="1" si="1"/>
        <v>123</v>
      </c>
      <c r="EC23" s="64" t="str">
        <f t="shared" ca="1" si="13"/>
        <v>'Track1'!R125</v>
      </c>
      <c r="EG23" s="65">
        <v>14.25</v>
      </c>
    </row>
    <row r="24" spans="1:137" x14ac:dyDescent="0.35">
      <c r="A24" s="64" t="s">
        <v>45</v>
      </c>
      <c r="B24" s="64" t="s">
        <v>17</v>
      </c>
      <c r="C24" s="64" t="s">
        <v>6</v>
      </c>
      <c r="D24" s="66">
        <v>24</v>
      </c>
      <c r="E24" s="66">
        <v>80</v>
      </c>
      <c r="F24" s="430">
        <v>0.60069444444444442</v>
      </c>
      <c r="G24" s="430">
        <v>0.60069444444444442</v>
      </c>
      <c r="H24" s="66" t="s">
        <v>215</v>
      </c>
      <c r="I24" s="131">
        <f>I19</f>
        <v>7</v>
      </c>
      <c r="J24" s="131">
        <f t="shared" ref="J24:P24" si="247">J19</f>
        <v>1</v>
      </c>
      <c r="K24" s="131">
        <f t="shared" si="247"/>
        <v>5</v>
      </c>
      <c r="L24" s="131">
        <f t="shared" si="247"/>
        <v>4</v>
      </c>
      <c r="M24" s="131">
        <f t="shared" si="247"/>
        <v>6</v>
      </c>
      <c r="N24" s="131">
        <f t="shared" si="247"/>
        <v>2</v>
      </c>
      <c r="O24" s="131">
        <f t="shared" si="247"/>
        <v>8</v>
      </c>
      <c r="P24" s="375">
        <f t="shared" si="247"/>
        <v>3</v>
      </c>
      <c r="Q24" s="131">
        <f>Q19</f>
        <v>6</v>
      </c>
      <c r="R24" s="131">
        <f t="shared" ref="R24:X24" si="248">R19</f>
        <v>5</v>
      </c>
      <c r="S24" s="131">
        <f t="shared" si="248"/>
        <v>2</v>
      </c>
      <c r="T24" s="131">
        <f t="shared" si="248"/>
        <v>1</v>
      </c>
      <c r="U24" s="131">
        <f t="shared" si="248"/>
        <v>8</v>
      </c>
      <c r="V24" s="131">
        <f t="shared" si="248"/>
        <v>3</v>
      </c>
      <c r="W24" s="131">
        <f t="shared" si="248"/>
        <v>7</v>
      </c>
      <c r="X24" s="375">
        <f t="shared" si="248"/>
        <v>4</v>
      </c>
      <c r="Y24" s="131">
        <f>Y19</f>
        <v>8</v>
      </c>
      <c r="Z24" s="131">
        <f t="shared" ref="Z24:AF24" si="249">Z19</f>
        <v>5</v>
      </c>
      <c r="AA24" s="131">
        <f t="shared" si="249"/>
        <v>6</v>
      </c>
      <c r="AB24" s="131">
        <f t="shared" si="249"/>
        <v>3</v>
      </c>
      <c r="AC24" s="131">
        <f t="shared" si="249"/>
        <v>7</v>
      </c>
      <c r="AD24" s="131">
        <f t="shared" si="249"/>
        <v>4</v>
      </c>
      <c r="AE24" s="131">
        <f t="shared" si="249"/>
        <v>2</v>
      </c>
      <c r="AF24" s="375">
        <f t="shared" si="249"/>
        <v>1</v>
      </c>
      <c r="AG24" s="131">
        <f>AG19</f>
        <v>4</v>
      </c>
      <c r="AH24" s="131">
        <f t="shared" ref="AH24:AN24" si="250">AH19</f>
        <v>3</v>
      </c>
      <c r="AI24" s="131">
        <f t="shared" si="250"/>
        <v>7</v>
      </c>
      <c r="AJ24" s="131">
        <f t="shared" si="250"/>
        <v>8</v>
      </c>
      <c r="AK24" s="131">
        <f t="shared" si="250"/>
        <v>5</v>
      </c>
      <c r="AL24" s="131">
        <f t="shared" si="250"/>
        <v>1</v>
      </c>
      <c r="AM24" s="131">
        <f t="shared" si="250"/>
        <v>6</v>
      </c>
      <c r="AN24" s="375">
        <f t="shared" si="250"/>
        <v>2</v>
      </c>
      <c r="AP24" s="131">
        <f t="shared" ref="AP24:BQ24" si="251">AP19</f>
        <v>7</v>
      </c>
      <c r="AQ24" s="131">
        <f t="shared" si="251"/>
        <v>1</v>
      </c>
      <c r="AR24" s="131">
        <f t="shared" si="251"/>
        <v>5</v>
      </c>
      <c r="AS24" s="131">
        <f t="shared" si="251"/>
        <v>4</v>
      </c>
      <c r="AT24" s="131">
        <f t="shared" si="251"/>
        <v>6</v>
      </c>
      <c r="AU24" s="131">
        <f t="shared" si="251"/>
        <v>2</v>
      </c>
      <c r="AV24" s="375">
        <f t="shared" si="251"/>
        <v>3</v>
      </c>
      <c r="AW24" s="131">
        <f t="shared" si="251"/>
        <v>6</v>
      </c>
      <c r="AX24" s="131">
        <f t="shared" si="251"/>
        <v>5</v>
      </c>
      <c r="AY24" s="131">
        <f t="shared" si="251"/>
        <v>2</v>
      </c>
      <c r="AZ24" s="131">
        <f t="shared" si="251"/>
        <v>1</v>
      </c>
      <c r="BA24" s="131">
        <f t="shared" si="251"/>
        <v>3</v>
      </c>
      <c r="BB24" s="131">
        <f t="shared" si="251"/>
        <v>7</v>
      </c>
      <c r="BC24" s="375">
        <f t="shared" si="251"/>
        <v>4</v>
      </c>
      <c r="BD24" s="131">
        <f t="shared" si="251"/>
        <v>5</v>
      </c>
      <c r="BE24" s="131">
        <f t="shared" si="251"/>
        <v>6</v>
      </c>
      <c r="BF24" s="131">
        <f t="shared" si="251"/>
        <v>3</v>
      </c>
      <c r="BG24" s="131">
        <f t="shared" si="251"/>
        <v>7</v>
      </c>
      <c r="BH24" s="131">
        <f t="shared" si="251"/>
        <v>4</v>
      </c>
      <c r="BI24" s="131">
        <f t="shared" si="251"/>
        <v>2</v>
      </c>
      <c r="BJ24" s="375">
        <f t="shared" si="251"/>
        <v>1</v>
      </c>
      <c r="BK24" s="131">
        <f t="shared" si="251"/>
        <v>4</v>
      </c>
      <c r="BL24" s="131">
        <f t="shared" si="251"/>
        <v>3</v>
      </c>
      <c r="BM24" s="131">
        <f t="shared" si="251"/>
        <v>7</v>
      </c>
      <c r="BN24" s="131">
        <f t="shared" si="251"/>
        <v>5</v>
      </c>
      <c r="BO24" s="131">
        <f t="shared" si="251"/>
        <v>1</v>
      </c>
      <c r="BP24" s="131">
        <f t="shared" si="251"/>
        <v>6</v>
      </c>
      <c r="BQ24" s="375">
        <f t="shared" si="251"/>
        <v>2</v>
      </c>
      <c r="BS24" s="131">
        <f t="shared" ref="BS24:CP24" si="252">BS19</f>
        <v>1</v>
      </c>
      <c r="BT24" s="131">
        <f t="shared" si="252"/>
        <v>5</v>
      </c>
      <c r="BU24" s="131">
        <f t="shared" si="252"/>
        <v>4</v>
      </c>
      <c r="BV24" s="131">
        <f t="shared" si="252"/>
        <v>6</v>
      </c>
      <c r="BW24" s="131">
        <f t="shared" si="252"/>
        <v>2</v>
      </c>
      <c r="BX24" s="375">
        <f t="shared" si="252"/>
        <v>3</v>
      </c>
      <c r="BY24" s="131">
        <f t="shared" si="252"/>
        <v>6</v>
      </c>
      <c r="BZ24" s="131">
        <f t="shared" si="252"/>
        <v>5</v>
      </c>
      <c r="CA24" s="131">
        <f t="shared" si="252"/>
        <v>2</v>
      </c>
      <c r="CB24" s="131">
        <f t="shared" si="252"/>
        <v>1</v>
      </c>
      <c r="CC24" s="131">
        <f t="shared" si="252"/>
        <v>3</v>
      </c>
      <c r="CD24" s="375">
        <f t="shared" si="252"/>
        <v>4</v>
      </c>
      <c r="CE24" s="131">
        <f t="shared" si="252"/>
        <v>5</v>
      </c>
      <c r="CF24" s="131">
        <f t="shared" si="252"/>
        <v>6</v>
      </c>
      <c r="CG24" s="131">
        <f t="shared" si="252"/>
        <v>3</v>
      </c>
      <c r="CH24" s="131">
        <f t="shared" si="252"/>
        <v>4</v>
      </c>
      <c r="CI24" s="131">
        <f t="shared" si="252"/>
        <v>2</v>
      </c>
      <c r="CJ24" s="375">
        <f t="shared" si="252"/>
        <v>1</v>
      </c>
      <c r="CK24" s="131">
        <f t="shared" si="252"/>
        <v>4</v>
      </c>
      <c r="CL24" s="131">
        <f t="shared" si="252"/>
        <v>3</v>
      </c>
      <c r="CM24" s="131">
        <f t="shared" si="252"/>
        <v>5</v>
      </c>
      <c r="CN24" s="131">
        <f t="shared" si="252"/>
        <v>1</v>
      </c>
      <c r="CO24" s="131">
        <f t="shared" si="252"/>
        <v>6</v>
      </c>
      <c r="CP24" s="375">
        <f t="shared" si="252"/>
        <v>2</v>
      </c>
      <c r="CR24" s="131">
        <f t="shared" ref="CR24:DK24" si="253">CR19</f>
        <v>1</v>
      </c>
      <c r="CS24" s="131">
        <f t="shared" si="253"/>
        <v>5</v>
      </c>
      <c r="CT24" s="131">
        <f t="shared" si="253"/>
        <v>4</v>
      </c>
      <c r="CU24" s="131">
        <f t="shared" si="253"/>
        <v>2</v>
      </c>
      <c r="CV24" s="375">
        <f t="shared" si="253"/>
        <v>3</v>
      </c>
      <c r="CW24" s="131">
        <f t="shared" si="253"/>
        <v>5</v>
      </c>
      <c r="CX24" s="131">
        <f t="shared" si="253"/>
        <v>2</v>
      </c>
      <c r="CY24" s="131">
        <f t="shared" si="253"/>
        <v>1</v>
      </c>
      <c r="CZ24" s="131">
        <f t="shared" si="253"/>
        <v>3</v>
      </c>
      <c r="DA24" s="375">
        <f t="shared" si="253"/>
        <v>4</v>
      </c>
      <c r="DB24" s="131">
        <f t="shared" si="253"/>
        <v>5</v>
      </c>
      <c r="DC24" s="131">
        <f t="shared" si="253"/>
        <v>3</v>
      </c>
      <c r="DD24" s="131">
        <f t="shared" si="253"/>
        <v>4</v>
      </c>
      <c r="DE24" s="131">
        <f t="shared" si="253"/>
        <v>2</v>
      </c>
      <c r="DF24" s="375">
        <f t="shared" si="253"/>
        <v>1</v>
      </c>
      <c r="DG24" s="131">
        <f t="shared" si="253"/>
        <v>4</v>
      </c>
      <c r="DH24" s="131">
        <f t="shared" si="253"/>
        <v>3</v>
      </c>
      <c r="DI24" s="131">
        <f t="shared" si="253"/>
        <v>5</v>
      </c>
      <c r="DJ24" s="131">
        <f t="shared" si="253"/>
        <v>1</v>
      </c>
      <c r="DK24" s="375">
        <f t="shared" si="253"/>
        <v>2</v>
      </c>
      <c r="DT24" s="100" t="str">
        <f t="shared" si="10"/>
        <v>'Track1'!</v>
      </c>
      <c r="DU24" s="100" t="s">
        <v>673</v>
      </c>
      <c r="DV24" s="100" t="s">
        <v>333</v>
      </c>
      <c r="DW24" s="64">
        <f t="shared" ca="1" si="0"/>
        <v>145</v>
      </c>
      <c r="DX24" s="64" t="str">
        <f t="shared" ca="1" si="11"/>
        <v>'Track1'!C147</v>
      </c>
      <c r="DY24" s="100" t="str">
        <f t="shared" si="12"/>
        <v>'Track1'!</v>
      </c>
      <c r="DZ24" s="100" t="s">
        <v>673</v>
      </c>
      <c r="EA24" s="100" t="s">
        <v>218</v>
      </c>
      <c r="EB24" s="100">
        <f t="shared" ca="1" si="1"/>
        <v>145</v>
      </c>
      <c r="EC24" s="64" t="str">
        <f t="shared" ca="1" si="13"/>
        <v>'Track1'!R147</v>
      </c>
      <c r="EG24" s="65">
        <v>14.3</v>
      </c>
    </row>
    <row r="25" spans="1:137" x14ac:dyDescent="0.35">
      <c r="A25" s="64" t="s">
        <v>46</v>
      </c>
      <c r="B25" s="64" t="s">
        <v>17</v>
      </c>
      <c r="C25" s="64" t="s">
        <v>7</v>
      </c>
      <c r="D25" s="66">
        <v>25</v>
      </c>
      <c r="E25" s="66">
        <v>5</v>
      </c>
      <c r="F25" s="430">
        <v>0.61111111111111105</v>
      </c>
      <c r="G25" s="430">
        <v>0.61111111111111105</v>
      </c>
      <c r="H25" s="66" t="s">
        <v>215</v>
      </c>
      <c r="I25" s="131">
        <f>I19</f>
        <v>7</v>
      </c>
      <c r="J25" s="131">
        <f t="shared" ref="J25:P25" si="254">J19</f>
        <v>1</v>
      </c>
      <c r="K25" s="131">
        <f t="shared" si="254"/>
        <v>5</v>
      </c>
      <c r="L25" s="131">
        <f t="shared" si="254"/>
        <v>4</v>
      </c>
      <c r="M25" s="131">
        <f t="shared" si="254"/>
        <v>6</v>
      </c>
      <c r="N25" s="131">
        <f t="shared" si="254"/>
        <v>2</v>
      </c>
      <c r="O25" s="131">
        <f t="shared" si="254"/>
        <v>8</v>
      </c>
      <c r="P25" s="375">
        <f t="shared" si="254"/>
        <v>3</v>
      </c>
      <c r="Q25" s="131">
        <f>Q19</f>
        <v>6</v>
      </c>
      <c r="R25" s="131">
        <f t="shared" ref="R25:X25" si="255">R19</f>
        <v>5</v>
      </c>
      <c r="S25" s="131">
        <f t="shared" si="255"/>
        <v>2</v>
      </c>
      <c r="T25" s="131">
        <f t="shared" si="255"/>
        <v>1</v>
      </c>
      <c r="U25" s="131">
        <f t="shared" si="255"/>
        <v>8</v>
      </c>
      <c r="V25" s="131">
        <f t="shared" si="255"/>
        <v>3</v>
      </c>
      <c r="W25" s="131">
        <f t="shared" si="255"/>
        <v>7</v>
      </c>
      <c r="X25" s="375">
        <f t="shared" si="255"/>
        <v>4</v>
      </c>
      <c r="Y25" s="131">
        <f>Y19</f>
        <v>8</v>
      </c>
      <c r="Z25" s="131">
        <f t="shared" ref="Z25:AF25" si="256">Z19</f>
        <v>5</v>
      </c>
      <c r="AA25" s="131">
        <f t="shared" si="256"/>
        <v>6</v>
      </c>
      <c r="AB25" s="131">
        <f t="shared" si="256"/>
        <v>3</v>
      </c>
      <c r="AC25" s="131">
        <f t="shared" si="256"/>
        <v>7</v>
      </c>
      <c r="AD25" s="131">
        <f t="shared" si="256"/>
        <v>4</v>
      </c>
      <c r="AE25" s="131">
        <f t="shared" si="256"/>
        <v>2</v>
      </c>
      <c r="AF25" s="375">
        <f t="shared" si="256"/>
        <v>1</v>
      </c>
      <c r="AG25" s="131">
        <f>AG19</f>
        <v>4</v>
      </c>
      <c r="AH25" s="131">
        <f t="shared" ref="AH25:AN25" si="257">AH19</f>
        <v>3</v>
      </c>
      <c r="AI25" s="131">
        <f t="shared" si="257"/>
        <v>7</v>
      </c>
      <c r="AJ25" s="131">
        <f t="shared" si="257"/>
        <v>8</v>
      </c>
      <c r="AK25" s="131">
        <f t="shared" si="257"/>
        <v>5</v>
      </c>
      <c r="AL25" s="131">
        <f t="shared" si="257"/>
        <v>1</v>
      </c>
      <c r="AM25" s="131">
        <f t="shared" si="257"/>
        <v>6</v>
      </c>
      <c r="AN25" s="375">
        <f t="shared" si="257"/>
        <v>2</v>
      </c>
      <c r="AP25" s="131">
        <f t="shared" ref="AP25:BQ25" si="258">AP19</f>
        <v>7</v>
      </c>
      <c r="AQ25" s="131">
        <f t="shared" si="258"/>
        <v>1</v>
      </c>
      <c r="AR25" s="131">
        <f t="shared" si="258"/>
        <v>5</v>
      </c>
      <c r="AS25" s="131">
        <f t="shared" si="258"/>
        <v>4</v>
      </c>
      <c r="AT25" s="131">
        <f t="shared" si="258"/>
        <v>6</v>
      </c>
      <c r="AU25" s="131">
        <f t="shared" si="258"/>
        <v>2</v>
      </c>
      <c r="AV25" s="375">
        <f t="shared" si="258"/>
        <v>3</v>
      </c>
      <c r="AW25" s="131">
        <f t="shared" si="258"/>
        <v>6</v>
      </c>
      <c r="AX25" s="131">
        <f t="shared" si="258"/>
        <v>5</v>
      </c>
      <c r="AY25" s="131">
        <f t="shared" si="258"/>
        <v>2</v>
      </c>
      <c r="AZ25" s="131">
        <f t="shared" si="258"/>
        <v>1</v>
      </c>
      <c r="BA25" s="131">
        <f t="shared" si="258"/>
        <v>3</v>
      </c>
      <c r="BB25" s="131">
        <f t="shared" si="258"/>
        <v>7</v>
      </c>
      <c r="BC25" s="375">
        <f t="shared" si="258"/>
        <v>4</v>
      </c>
      <c r="BD25" s="131">
        <f t="shared" si="258"/>
        <v>5</v>
      </c>
      <c r="BE25" s="131">
        <f t="shared" si="258"/>
        <v>6</v>
      </c>
      <c r="BF25" s="131">
        <f t="shared" si="258"/>
        <v>3</v>
      </c>
      <c r="BG25" s="131">
        <f t="shared" si="258"/>
        <v>7</v>
      </c>
      <c r="BH25" s="131">
        <f t="shared" si="258"/>
        <v>4</v>
      </c>
      <c r="BI25" s="131">
        <f t="shared" si="258"/>
        <v>2</v>
      </c>
      <c r="BJ25" s="375">
        <f t="shared" si="258"/>
        <v>1</v>
      </c>
      <c r="BK25" s="131">
        <f t="shared" si="258"/>
        <v>4</v>
      </c>
      <c r="BL25" s="131">
        <f t="shared" si="258"/>
        <v>3</v>
      </c>
      <c r="BM25" s="131">
        <f t="shared" si="258"/>
        <v>7</v>
      </c>
      <c r="BN25" s="131">
        <f t="shared" si="258"/>
        <v>5</v>
      </c>
      <c r="BO25" s="131">
        <f t="shared" si="258"/>
        <v>1</v>
      </c>
      <c r="BP25" s="131">
        <f t="shared" si="258"/>
        <v>6</v>
      </c>
      <c r="BQ25" s="375">
        <f t="shared" si="258"/>
        <v>2</v>
      </c>
      <c r="BS25" s="131">
        <f t="shared" ref="BS25:CP25" si="259">BS19</f>
        <v>1</v>
      </c>
      <c r="BT25" s="131">
        <f t="shared" si="259"/>
        <v>5</v>
      </c>
      <c r="BU25" s="131">
        <f t="shared" si="259"/>
        <v>4</v>
      </c>
      <c r="BV25" s="131">
        <f t="shared" si="259"/>
        <v>6</v>
      </c>
      <c r="BW25" s="131">
        <f t="shared" si="259"/>
        <v>2</v>
      </c>
      <c r="BX25" s="375">
        <f t="shared" si="259"/>
        <v>3</v>
      </c>
      <c r="BY25" s="131">
        <f t="shared" si="259"/>
        <v>6</v>
      </c>
      <c r="BZ25" s="131">
        <f t="shared" si="259"/>
        <v>5</v>
      </c>
      <c r="CA25" s="131">
        <f t="shared" si="259"/>
        <v>2</v>
      </c>
      <c r="CB25" s="131">
        <f t="shared" si="259"/>
        <v>1</v>
      </c>
      <c r="CC25" s="131">
        <f t="shared" si="259"/>
        <v>3</v>
      </c>
      <c r="CD25" s="375">
        <f t="shared" si="259"/>
        <v>4</v>
      </c>
      <c r="CE25" s="131">
        <f t="shared" si="259"/>
        <v>5</v>
      </c>
      <c r="CF25" s="131">
        <f t="shared" si="259"/>
        <v>6</v>
      </c>
      <c r="CG25" s="131">
        <f t="shared" si="259"/>
        <v>3</v>
      </c>
      <c r="CH25" s="131">
        <f t="shared" si="259"/>
        <v>4</v>
      </c>
      <c r="CI25" s="131">
        <f t="shared" si="259"/>
        <v>2</v>
      </c>
      <c r="CJ25" s="375">
        <f t="shared" si="259"/>
        <v>1</v>
      </c>
      <c r="CK25" s="131">
        <f t="shared" si="259"/>
        <v>4</v>
      </c>
      <c r="CL25" s="131">
        <f t="shared" si="259"/>
        <v>3</v>
      </c>
      <c r="CM25" s="131">
        <f t="shared" si="259"/>
        <v>5</v>
      </c>
      <c r="CN25" s="131">
        <f t="shared" si="259"/>
        <v>1</v>
      </c>
      <c r="CO25" s="131">
        <f t="shared" si="259"/>
        <v>6</v>
      </c>
      <c r="CP25" s="375">
        <f t="shared" si="259"/>
        <v>2</v>
      </c>
      <c r="CR25" s="131">
        <f t="shared" ref="CR25:DK25" si="260">CR19</f>
        <v>1</v>
      </c>
      <c r="CS25" s="131">
        <f t="shared" si="260"/>
        <v>5</v>
      </c>
      <c r="CT25" s="131">
        <f t="shared" si="260"/>
        <v>4</v>
      </c>
      <c r="CU25" s="131">
        <f t="shared" si="260"/>
        <v>2</v>
      </c>
      <c r="CV25" s="375">
        <f t="shared" si="260"/>
        <v>3</v>
      </c>
      <c r="CW25" s="131">
        <f t="shared" si="260"/>
        <v>5</v>
      </c>
      <c r="CX25" s="131">
        <f t="shared" si="260"/>
        <v>2</v>
      </c>
      <c r="CY25" s="131">
        <f t="shared" si="260"/>
        <v>1</v>
      </c>
      <c r="CZ25" s="131">
        <f t="shared" si="260"/>
        <v>3</v>
      </c>
      <c r="DA25" s="375">
        <f t="shared" si="260"/>
        <v>4</v>
      </c>
      <c r="DB25" s="131">
        <f t="shared" si="260"/>
        <v>5</v>
      </c>
      <c r="DC25" s="131">
        <f t="shared" si="260"/>
        <v>3</v>
      </c>
      <c r="DD25" s="131">
        <f t="shared" si="260"/>
        <v>4</v>
      </c>
      <c r="DE25" s="131">
        <f t="shared" si="260"/>
        <v>2</v>
      </c>
      <c r="DF25" s="375">
        <f t="shared" si="260"/>
        <v>1</v>
      </c>
      <c r="DG25" s="131">
        <f t="shared" si="260"/>
        <v>4</v>
      </c>
      <c r="DH25" s="131">
        <f t="shared" si="260"/>
        <v>3</v>
      </c>
      <c r="DI25" s="131">
        <f t="shared" si="260"/>
        <v>5</v>
      </c>
      <c r="DJ25" s="131">
        <f t="shared" si="260"/>
        <v>1</v>
      </c>
      <c r="DK25" s="375">
        <f t="shared" si="260"/>
        <v>2</v>
      </c>
      <c r="DT25" s="100" t="str">
        <f t="shared" si="10"/>
        <v>'Track1'!</v>
      </c>
      <c r="DU25" s="100" t="s">
        <v>673</v>
      </c>
      <c r="DV25" s="100" t="s">
        <v>333</v>
      </c>
      <c r="DW25" s="64">
        <f t="shared" ca="1" si="0"/>
        <v>156</v>
      </c>
      <c r="DX25" s="64" t="str">
        <f t="shared" ca="1" si="11"/>
        <v>'Track1'!C158</v>
      </c>
      <c r="DY25" s="100" t="str">
        <f t="shared" si="12"/>
        <v>'Track1'!</v>
      </c>
      <c r="DZ25" s="100" t="s">
        <v>673</v>
      </c>
      <c r="EA25" s="100" t="s">
        <v>218</v>
      </c>
      <c r="EB25" s="100">
        <f t="shared" ca="1" si="1"/>
        <v>156</v>
      </c>
      <c r="EC25" s="64" t="str">
        <f t="shared" ca="1" si="13"/>
        <v>'Track1'!R158</v>
      </c>
      <c r="EG25" s="65">
        <v>14.4</v>
      </c>
    </row>
    <row r="26" spans="1:137" x14ac:dyDescent="0.35">
      <c r="A26" s="64" t="s">
        <v>47</v>
      </c>
      <c r="B26" s="64" t="s">
        <v>17</v>
      </c>
      <c r="C26" s="64" t="s">
        <v>9</v>
      </c>
      <c r="D26" s="66">
        <v>26</v>
      </c>
      <c r="E26" s="66">
        <v>55</v>
      </c>
      <c r="F26" s="430">
        <v>0.62152777777777779</v>
      </c>
      <c r="G26" s="430">
        <v>0.62152777777777779</v>
      </c>
      <c r="H26" s="66" t="s">
        <v>215</v>
      </c>
      <c r="I26" s="131">
        <f>I19</f>
        <v>7</v>
      </c>
      <c r="J26" s="131">
        <f t="shared" ref="J26:P26" si="261">J19</f>
        <v>1</v>
      </c>
      <c r="K26" s="131">
        <f t="shared" si="261"/>
        <v>5</v>
      </c>
      <c r="L26" s="131">
        <f t="shared" si="261"/>
        <v>4</v>
      </c>
      <c r="M26" s="131">
        <f t="shared" si="261"/>
        <v>6</v>
      </c>
      <c r="N26" s="131">
        <f t="shared" si="261"/>
        <v>2</v>
      </c>
      <c r="O26" s="131">
        <f t="shared" si="261"/>
        <v>8</v>
      </c>
      <c r="P26" s="375">
        <f t="shared" si="261"/>
        <v>3</v>
      </c>
      <c r="Q26" s="131">
        <f>Q19</f>
        <v>6</v>
      </c>
      <c r="R26" s="131">
        <f t="shared" ref="R26:X26" si="262">R19</f>
        <v>5</v>
      </c>
      <c r="S26" s="131">
        <f t="shared" si="262"/>
        <v>2</v>
      </c>
      <c r="T26" s="131">
        <f t="shared" si="262"/>
        <v>1</v>
      </c>
      <c r="U26" s="131">
        <f t="shared" si="262"/>
        <v>8</v>
      </c>
      <c r="V26" s="131">
        <f t="shared" si="262"/>
        <v>3</v>
      </c>
      <c r="W26" s="131">
        <f t="shared" si="262"/>
        <v>7</v>
      </c>
      <c r="X26" s="375">
        <f t="shared" si="262"/>
        <v>4</v>
      </c>
      <c r="Y26" s="131">
        <f>Y19</f>
        <v>8</v>
      </c>
      <c r="Z26" s="131">
        <f t="shared" ref="Z26:AF26" si="263">Z19</f>
        <v>5</v>
      </c>
      <c r="AA26" s="131">
        <f t="shared" si="263"/>
        <v>6</v>
      </c>
      <c r="AB26" s="131">
        <f t="shared" si="263"/>
        <v>3</v>
      </c>
      <c r="AC26" s="131">
        <f t="shared" si="263"/>
        <v>7</v>
      </c>
      <c r="AD26" s="131">
        <f t="shared" si="263"/>
        <v>4</v>
      </c>
      <c r="AE26" s="131">
        <f t="shared" si="263"/>
        <v>2</v>
      </c>
      <c r="AF26" s="375">
        <f t="shared" si="263"/>
        <v>1</v>
      </c>
      <c r="AG26" s="131">
        <f>AG19</f>
        <v>4</v>
      </c>
      <c r="AH26" s="131">
        <f t="shared" ref="AH26:AN26" si="264">AH19</f>
        <v>3</v>
      </c>
      <c r="AI26" s="131">
        <f t="shared" si="264"/>
        <v>7</v>
      </c>
      <c r="AJ26" s="131">
        <f t="shared" si="264"/>
        <v>8</v>
      </c>
      <c r="AK26" s="131">
        <f t="shared" si="264"/>
        <v>5</v>
      </c>
      <c r="AL26" s="131">
        <f t="shared" si="264"/>
        <v>1</v>
      </c>
      <c r="AM26" s="131">
        <f t="shared" si="264"/>
        <v>6</v>
      </c>
      <c r="AN26" s="375">
        <f t="shared" si="264"/>
        <v>2</v>
      </c>
      <c r="AP26" s="131">
        <f t="shared" ref="AP26:BQ26" si="265">AP19</f>
        <v>7</v>
      </c>
      <c r="AQ26" s="131">
        <f t="shared" si="265"/>
        <v>1</v>
      </c>
      <c r="AR26" s="131">
        <f t="shared" si="265"/>
        <v>5</v>
      </c>
      <c r="AS26" s="131">
        <f t="shared" si="265"/>
        <v>4</v>
      </c>
      <c r="AT26" s="131">
        <f t="shared" si="265"/>
        <v>6</v>
      </c>
      <c r="AU26" s="131">
        <f t="shared" si="265"/>
        <v>2</v>
      </c>
      <c r="AV26" s="375">
        <f t="shared" si="265"/>
        <v>3</v>
      </c>
      <c r="AW26" s="131">
        <f t="shared" si="265"/>
        <v>6</v>
      </c>
      <c r="AX26" s="131">
        <f t="shared" si="265"/>
        <v>5</v>
      </c>
      <c r="AY26" s="131">
        <f t="shared" si="265"/>
        <v>2</v>
      </c>
      <c r="AZ26" s="131">
        <f t="shared" si="265"/>
        <v>1</v>
      </c>
      <c r="BA26" s="131">
        <f t="shared" si="265"/>
        <v>3</v>
      </c>
      <c r="BB26" s="131">
        <f t="shared" si="265"/>
        <v>7</v>
      </c>
      <c r="BC26" s="375">
        <f t="shared" si="265"/>
        <v>4</v>
      </c>
      <c r="BD26" s="131">
        <f t="shared" si="265"/>
        <v>5</v>
      </c>
      <c r="BE26" s="131">
        <f t="shared" si="265"/>
        <v>6</v>
      </c>
      <c r="BF26" s="131">
        <f t="shared" si="265"/>
        <v>3</v>
      </c>
      <c r="BG26" s="131">
        <f t="shared" si="265"/>
        <v>7</v>
      </c>
      <c r="BH26" s="131">
        <f t="shared" si="265"/>
        <v>4</v>
      </c>
      <c r="BI26" s="131">
        <f t="shared" si="265"/>
        <v>2</v>
      </c>
      <c r="BJ26" s="375">
        <f t="shared" si="265"/>
        <v>1</v>
      </c>
      <c r="BK26" s="131">
        <f t="shared" si="265"/>
        <v>4</v>
      </c>
      <c r="BL26" s="131">
        <f t="shared" si="265"/>
        <v>3</v>
      </c>
      <c r="BM26" s="131">
        <f t="shared" si="265"/>
        <v>7</v>
      </c>
      <c r="BN26" s="131">
        <f t="shared" si="265"/>
        <v>5</v>
      </c>
      <c r="BO26" s="131">
        <f t="shared" si="265"/>
        <v>1</v>
      </c>
      <c r="BP26" s="131">
        <f t="shared" si="265"/>
        <v>6</v>
      </c>
      <c r="BQ26" s="375">
        <f t="shared" si="265"/>
        <v>2</v>
      </c>
      <c r="BS26" s="131">
        <f t="shared" ref="BS26:CP26" si="266">BS19</f>
        <v>1</v>
      </c>
      <c r="BT26" s="131">
        <f t="shared" si="266"/>
        <v>5</v>
      </c>
      <c r="BU26" s="131">
        <f t="shared" si="266"/>
        <v>4</v>
      </c>
      <c r="BV26" s="131">
        <f t="shared" si="266"/>
        <v>6</v>
      </c>
      <c r="BW26" s="131">
        <f t="shared" si="266"/>
        <v>2</v>
      </c>
      <c r="BX26" s="375">
        <f t="shared" si="266"/>
        <v>3</v>
      </c>
      <c r="BY26" s="131">
        <f t="shared" si="266"/>
        <v>6</v>
      </c>
      <c r="BZ26" s="131">
        <f t="shared" si="266"/>
        <v>5</v>
      </c>
      <c r="CA26" s="131">
        <f t="shared" si="266"/>
        <v>2</v>
      </c>
      <c r="CB26" s="131">
        <f t="shared" si="266"/>
        <v>1</v>
      </c>
      <c r="CC26" s="131">
        <f t="shared" si="266"/>
        <v>3</v>
      </c>
      <c r="CD26" s="375">
        <f t="shared" si="266"/>
        <v>4</v>
      </c>
      <c r="CE26" s="131">
        <f t="shared" si="266"/>
        <v>5</v>
      </c>
      <c r="CF26" s="131">
        <f t="shared" si="266"/>
        <v>6</v>
      </c>
      <c r="CG26" s="131">
        <f t="shared" si="266"/>
        <v>3</v>
      </c>
      <c r="CH26" s="131">
        <f t="shared" si="266"/>
        <v>4</v>
      </c>
      <c r="CI26" s="131">
        <f t="shared" si="266"/>
        <v>2</v>
      </c>
      <c r="CJ26" s="375">
        <f t="shared" si="266"/>
        <v>1</v>
      </c>
      <c r="CK26" s="131">
        <f t="shared" si="266"/>
        <v>4</v>
      </c>
      <c r="CL26" s="131">
        <f t="shared" si="266"/>
        <v>3</v>
      </c>
      <c r="CM26" s="131">
        <f t="shared" si="266"/>
        <v>5</v>
      </c>
      <c r="CN26" s="131">
        <f t="shared" si="266"/>
        <v>1</v>
      </c>
      <c r="CO26" s="131">
        <f t="shared" si="266"/>
        <v>6</v>
      </c>
      <c r="CP26" s="375">
        <f t="shared" si="266"/>
        <v>2</v>
      </c>
      <c r="CR26" s="131">
        <f t="shared" ref="CR26:DK26" si="267">CR19</f>
        <v>1</v>
      </c>
      <c r="CS26" s="131">
        <f t="shared" si="267"/>
        <v>5</v>
      </c>
      <c r="CT26" s="131">
        <f t="shared" si="267"/>
        <v>4</v>
      </c>
      <c r="CU26" s="131">
        <f t="shared" si="267"/>
        <v>2</v>
      </c>
      <c r="CV26" s="375">
        <f t="shared" si="267"/>
        <v>3</v>
      </c>
      <c r="CW26" s="131">
        <f t="shared" si="267"/>
        <v>5</v>
      </c>
      <c r="CX26" s="131">
        <f t="shared" si="267"/>
        <v>2</v>
      </c>
      <c r="CY26" s="131">
        <f t="shared" si="267"/>
        <v>1</v>
      </c>
      <c r="CZ26" s="131">
        <f t="shared" si="267"/>
        <v>3</v>
      </c>
      <c r="DA26" s="375">
        <f t="shared" si="267"/>
        <v>4</v>
      </c>
      <c r="DB26" s="131">
        <f t="shared" si="267"/>
        <v>5</v>
      </c>
      <c r="DC26" s="131">
        <f t="shared" si="267"/>
        <v>3</v>
      </c>
      <c r="DD26" s="131">
        <f t="shared" si="267"/>
        <v>4</v>
      </c>
      <c r="DE26" s="131">
        <f t="shared" si="267"/>
        <v>2</v>
      </c>
      <c r="DF26" s="375">
        <f t="shared" si="267"/>
        <v>1</v>
      </c>
      <c r="DG26" s="131">
        <f t="shared" si="267"/>
        <v>4</v>
      </c>
      <c r="DH26" s="131">
        <f t="shared" si="267"/>
        <v>3</v>
      </c>
      <c r="DI26" s="131">
        <f t="shared" si="267"/>
        <v>5</v>
      </c>
      <c r="DJ26" s="131">
        <f t="shared" si="267"/>
        <v>1</v>
      </c>
      <c r="DK26" s="375">
        <f t="shared" si="267"/>
        <v>2</v>
      </c>
      <c r="DT26" s="100" t="str">
        <f t="shared" si="10"/>
        <v>'Track1'!</v>
      </c>
      <c r="DU26" s="100" t="s">
        <v>673</v>
      </c>
      <c r="DV26" s="100" t="s">
        <v>333</v>
      </c>
      <c r="DW26" s="64">
        <f t="shared" ca="1" si="0"/>
        <v>167</v>
      </c>
      <c r="DX26" s="64" t="str">
        <f t="shared" ca="1" si="11"/>
        <v>'Track1'!C169</v>
      </c>
      <c r="DY26" s="100" t="str">
        <f t="shared" si="12"/>
        <v>'Track1'!</v>
      </c>
      <c r="DZ26" s="100" t="s">
        <v>673</v>
      </c>
      <c r="EA26" s="100" t="s">
        <v>218</v>
      </c>
      <c r="EB26" s="100">
        <f t="shared" ca="1" si="1"/>
        <v>167</v>
      </c>
      <c r="EC26" s="64" t="str">
        <f t="shared" ca="1" si="13"/>
        <v>'Track1'!R169</v>
      </c>
      <c r="EG26" s="65">
        <v>14.5</v>
      </c>
    </row>
    <row r="27" spans="1:137" x14ac:dyDescent="0.35">
      <c r="A27" s="64" t="s">
        <v>48</v>
      </c>
      <c r="B27" s="64" t="s">
        <v>18</v>
      </c>
      <c r="C27" s="64" t="s">
        <v>7</v>
      </c>
      <c r="D27" s="66">
        <v>27</v>
      </c>
      <c r="E27" s="66">
        <v>7</v>
      </c>
      <c r="F27" s="429" t="s">
        <v>1401</v>
      </c>
      <c r="G27" s="430" t="s">
        <v>1401</v>
      </c>
      <c r="I27" s="129">
        <v>8</v>
      </c>
      <c r="J27" s="129">
        <v>3</v>
      </c>
      <c r="K27" s="129">
        <v>1</v>
      </c>
      <c r="L27" s="129">
        <v>6</v>
      </c>
      <c r="M27" s="129">
        <v>4</v>
      </c>
      <c r="N27" s="129">
        <v>2</v>
      </c>
      <c r="O27" s="129">
        <v>7</v>
      </c>
      <c r="P27" s="374">
        <v>5</v>
      </c>
      <c r="Q27" s="129">
        <v>1</v>
      </c>
      <c r="R27" s="129">
        <v>2</v>
      </c>
      <c r="S27" s="129">
        <v>5</v>
      </c>
      <c r="T27" s="129">
        <v>7</v>
      </c>
      <c r="U27" s="129">
        <v>3</v>
      </c>
      <c r="V27" s="129">
        <v>8</v>
      </c>
      <c r="W27" s="129">
        <v>6</v>
      </c>
      <c r="X27" s="374">
        <v>4</v>
      </c>
      <c r="Y27" s="129">
        <v>7</v>
      </c>
      <c r="Z27" s="129">
        <v>4</v>
      </c>
      <c r="AA27" s="129">
        <v>3</v>
      </c>
      <c r="AB27" s="129">
        <v>8</v>
      </c>
      <c r="AC27" s="129">
        <v>5</v>
      </c>
      <c r="AD27" s="129">
        <v>6</v>
      </c>
      <c r="AE27" s="129">
        <v>1</v>
      </c>
      <c r="AF27" s="374">
        <v>2</v>
      </c>
      <c r="AG27" s="129">
        <v>6</v>
      </c>
      <c r="AH27" s="129">
        <v>5</v>
      </c>
      <c r="AI27" s="129">
        <v>2</v>
      </c>
      <c r="AJ27" s="129">
        <v>1</v>
      </c>
      <c r="AK27" s="129">
        <v>4</v>
      </c>
      <c r="AL27" s="129">
        <v>7</v>
      </c>
      <c r="AM27" s="129">
        <v>8</v>
      </c>
      <c r="AN27" s="374">
        <v>3</v>
      </c>
      <c r="AP27" s="129">
        <v>3</v>
      </c>
      <c r="AQ27" s="129">
        <v>1</v>
      </c>
      <c r="AR27" s="129">
        <v>6</v>
      </c>
      <c r="AS27" s="129">
        <v>4</v>
      </c>
      <c r="AT27" s="129">
        <v>2</v>
      </c>
      <c r="AU27" s="129">
        <v>7</v>
      </c>
      <c r="AV27" s="374">
        <v>5</v>
      </c>
      <c r="AW27" s="129">
        <v>1</v>
      </c>
      <c r="AX27" s="129">
        <v>2</v>
      </c>
      <c r="AY27" s="129">
        <v>5</v>
      </c>
      <c r="AZ27" s="129">
        <v>7</v>
      </c>
      <c r="BA27" s="129">
        <v>3</v>
      </c>
      <c r="BB27" s="129">
        <v>6</v>
      </c>
      <c r="BC27" s="374">
        <v>4</v>
      </c>
      <c r="BD27" s="129">
        <v>7</v>
      </c>
      <c r="BE27" s="129">
        <v>4</v>
      </c>
      <c r="BF27" s="129">
        <v>3</v>
      </c>
      <c r="BG27" s="129">
        <v>5</v>
      </c>
      <c r="BH27" s="129">
        <v>6</v>
      </c>
      <c r="BI27" s="129">
        <v>1</v>
      </c>
      <c r="BJ27" s="374">
        <v>2</v>
      </c>
      <c r="BK27" s="129">
        <v>6</v>
      </c>
      <c r="BL27" s="129">
        <v>5</v>
      </c>
      <c r="BM27" s="129">
        <v>2</v>
      </c>
      <c r="BN27" s="129">
        <v>1</v>
      </c>
      <c r="BO27" s="129">
        <v>4</v>
      </c>
      <c r="BP27" s="129">
        <v>7</v>
      </c>
      <c r="BQ27" s="374">
        <v>3</v>
      </c>
      <c r="BS27" s="129">
        <v>3</v>
      </c>
      <c r="BT27" s="129">
        <v>1</v>
      </c>
      <c r="BU27" s="129">
        <v>6</v>
      </c>
      <c r="BV27" s="129">
        <v>4</v>
      </c>
      <c r="BW27" s="129">
        <v>2</v>
      </c>
      <c r="BX27" s="374">
        <v>5</v>
      </c>
      <c r="BY27" s="129">
        <v>1</v>
      </c>
      <c r="BZ27" s="129">
        <v>2</v>
      </c>
      <c r="CA27" s="129">
        <v>5</v>
      </c>
      <c r="CB27" s="129">
        <v>3</v>
      </c>
      <c r="CC27" s="129">
        <v>6</v>
      </c>
      <c r="CD27" s="374">
        <v>4</v>
      </c>
      <c r="CE27" s="129">
        <v>4</v>
      </c>
      <c r="CF27" s="129">
        <v>3</v>
      </c>
      <c r="CG27" s="129">
        <v>5</v>
      </c>
      <c r="CH27" s="129">
        <v>6</v>
      </c>
      <c r="CI27" s="129">
        <v>1</v>
      </c>
      <c r="CJ27" s="374">
        <v>2</v>
      </c>
      <c r="CK27" s="129">
        <v>6</v>
      </c>
      <c r="CL27" s="129">
        <v>5</v>
      </c>
      <c r="CM27" s="129">
        <v>2</v>
      </c>
      <c r="CN27" s="129">
        <v>1</v>
      </c>
      <c r="CO27" s="129">
        <v>4</v>
      </c>
      <c r="CP27" s="374">
        <v>3</v>
      </c>
      <c r="CR27" s="129">
        <v>3</v>
      </c>
      <c r="CS27" s="129">
        <v>1</v>
      </c>
      <c r="CT27" s="129">
        <v>4</v>
      </c>
      <c r="CU27" s="129">
        <v>2</v>
      </c>
      <c r="CV27" s="374">
        <v>5</v>
      </c>
      <c r="CW27" s="129">
        <v>1</v>
      </c>
      <c r="CX27" s="129">
        <v>2</v>
      </c>
      <c r="CY27" s="129">
        <v>5</v>
      </c>
      <c r="CZ27" s="129">
        <v>3</v>
      </c>
      <c r="DA27" s="374">
        <v>4</v>
      </c>
      <c r="DB27" s="129">
        <v>4</v>
      </c>
      <c r="DC27" s="129">
        <v>3</v>
      </c>
      <c r="DD27" s="129">
        <v>5</v>
      </c>
      <c r="DE27" s="129">
        <v>1</v>
      </c>
      <c r="DF27" s="374">
        <v>2</v>
      </c>
      <c r="DG27" s="129">
        <v>5</v>
      </c>
      <c r="DH27" s="129">
        <v>2</v>
      </c>
      <c r="DI27" s="129">
        <v>1</v>
      </c>
      <c r="DJ27" s="129">
        <v>4</v>
      </c>
      <c r="DK27" s="374">
        <v>3</v>
      </c>
      <c r="DT27" s="100" t="str">
        <f t="shared" si="10"/>
        <v>'Track1'!</v>
      </c>
      <c r="DU27" s="100" t="s">
        <v>673</v>
      </c>
      <c r="DV27" s="100" t="s">
        <v>333</v>
      </c>
      <c r="DW27" s="64">
        <f t="shared" ca="1" si="0"/>
        <v>178</v>
      </c>
      <c r="DX27" s="64" t="str">
        <f t="shared" ca="1" si="11"/>
        <v>'Track1'!C180</v>
      </c>
      <c r="DY27" s="100" t="str">
        <f t="shared" si="12"/>
        <v>'Track1'!</v>
      </c>
      <c r="DZ27" s="100" t="s">
        <v>673</v>
      </c>
      <c r="EA27" s="100" t="s">
        <v>218</v>
      </c>
      <c r="EB27" s="100">
        <f t="shared" ca="1" si="1"/>
        <v>178</v>
      </c>
      <c r="EC27" s="64" t="str">
        <f t="shared" ca="1" si="13"/>
        <v>'Track1'!R180</v>
      </c>
      <c r="EG27" s="65">
        <v>15</v>
      </c>
    </row>
    <row r="28" spans="1:137" x14ac:dyDescent="0.35">
      <c r="A28" s="64" t="s">
        <v>514</v>
      </c>
      <c r="B28" s="64" t="s">
        <v>18</v>
      </c>
      <c r="C28" s="64" t="s">
        <v>9</v>
      </c>
      <c r="D28" s="66">
        <v>28</v>
      </c>
      <c r="E28" s="66">
        <v>57</v>
      </c>
      <c r="F28" s="429" t="s">
        <v>1402</v>
      </c>
      <c r="G28" s="430" t="s">
        <v>1402</v>
      </c>
      <c r="I28" s="131">
        <f>I$27</f>
        <v>8</v>
      </c>
      <c r="J28" s="131">
        <f t="shared" ref="J28:AH32" si="268">J$27</f>
        <v>3</v>
      </c>
      <c r="K28" s="131">
        <f t="shared" si="268"/>
        <v>1</v>
      </c>
      <c r="L28" s="131">
        <f t="shared" si="268"/>
        <v>6</v>
      </c>
      <c r="M28" s="131">
        <f t="shared" si="268"/>
        <v>4</v>
      </c>
      <c r="N28" s="131">
        <f t="shared" si="268"/>
        <v>2</v>
      </c>
      <c r="O28" s="131">
        <f t="shared" si="268"/>
        <v>7</v>
      </c>
      <c r="P28" s="375">
        <f t="shared" si="268"/>
        <v>5</v>
      </c>
      <c r="Q28" s="131">
        <f>Q$27</f>
        <v>1</v>
      </c>
      <c r="R28" s="131">
        <f t="shared" si="268"/>
        <v>2</v>
      </c>
      <c r="S28" s="131">
        <f t="shared" si="268"/>
        <v>5</v>
      </c>
      <c r="T28" s="131">
        <f t="shared" si="268"/>
        <v>7</v>
      </c>
      <c r="U28" s="131">
        <f t="shared" si="268"/>
        <v>3</v>
      </c>
      <c r="V28" s="131">
        <f t="shared" si="268"/>
        <v>8</v>
      </c>
      <c r="W28" s="131">
        <f t="shared" si="268"/>
        <v>6</v>
      </c>
      <c r="X28" s="375">
        <f t="shared" si="268"/>
        <v>4</v>
      </c>
      <c r="Y28" s="131">
        <f>Y$27</f>
        <v>7</v>
      </c>
      <c r="Z28" s="131">
        <f t="shared" si="268"/>
        <v>4</v>
      </c>
      <c r="AA28" s="131">
        <f t="shared" si="268"/>
        <v>3</v>
      </c>
      <c r="AB28" s="131">
        <f t="shared" si="268"/>
        <v>8</v>
      </c>
      <c r="AC28" s="131">
        <f t="shared" si="268"/>
        <v>5</v>
      </c>
      <c r="AD28" s="131">
        <f t="shared" si="268"/>
        <v>6</v>
      </c>
      <c r="AE28" s="131">
        <f t="shared" si="268"/>
        <v>1</v>
      </c>
      <c r="AF28" s="375">
        <f t="shared" si="268"/>
        <v>2</v>
      </c>
      <c r="AG28" s="131">
        <f>AG$27</f>
        <v>6</v>
      </c>
      <c r="AH28" s="131">
        <f t="shared" si="268"/>
        <v>5</v>
      </c>
      <c r="AI28" s="131">
        <f t="shared" ref="AG28:AN32" si="269">AI$27</f>
        <v>2</v>
      </c>
      <c r="AJ28" s="131">
        <f t="shared" si="269"/>
        <v>1</v>
      </c>
      <c r="AK28" s="131">
        <f t="shared" si="269"/>
        <v>4</v>
      </c>
      <c r="AL28" s="131">
        <f t="shared" si="269"/>
        <v>7</v>
      </c>
      <c r="AM28" s="131">
        <f t="shared" si="269"/>
        <v>8</v>
      </c>
      <c r="AN28" s="375">
        <f t="shared" si="269"/>
        <v>3</v>
      </c>
      <c r="AP28" s="131">
        <f t="shared" ref="AP28:BE32" si="270">AP$27</f>
        <v>3</v>
      </c>
      <c r="AQ28" s="131">
        <f t="shared" si="270"/>
        <v>1</v>
      </c>
      <c r="AR28" s="131">
        <f t="shared" si="270"/>
        <v>6</v>
      </c>
      <c r="AS28" s="131">
        <f t="shared" si="270"/>
        <v>4</v>
      </c>
      <c r="AT28" s="131">
        <f t="shared" si="270"/>
        <v>2</v>
      </c>
      <c r="AU28" s="131">
        <f t="shared" si="270"/>
        <v>7</v>
      </c>
      <c r="AV28" s="375">
        <f t="shared" si="270"/>
        <v>5</v>
      </c>
      <c r="AW28" s="131">
        <f t="shared" si="270"/>
        <v>1</v>
      </c>
      <c r="AX28" s="131">
        <f t="shared" si="270"/>
        <v>2</v>
      </c>
      <c r="AY28" s="131">
        <f t="shared" si="270"/>
        <v>5</v>
      </c>
      <c r="AZ28" s="131">
        <f t="shared" si="270"/>
        <v>7</v>
      </c>
      <c r="BA28" s="131">
        <f t="shared" si="270"/>
        <v>3</v>
      </c>
      <c r="BB28" s="131">
        <f t="shared" si="270"/>
        <v>6</v>
      </c>
      <c r="BC28" s="375">
        <f t="shared" si="270"/>
        <v>4</v>
      </c>
      <c r="BD28" s="131">
        <f t="shared" si="270"/>
        <v>7</v>
      </c>
      <c r="BE28" s="131">
        <f t="shared" si="270"/>
        <v>4</v>
      </c>
      <c r="BF28" s="131">
        <f t="shared" ref="BD28:BQ32" si="271">BF$27</f>
        <v>3</v>
      </c>
      <c r="BG28" s="131">
        <f t="shared" si="271"/>
        <v>5</v>
      </c>
      <c r="BH28" s="131">
        <f t="shared" si="271"/>
        <v>6</v>
      </c>
      <c r="BI28" s="131">
        <f t="shared" si="271"/>
        <v>1</v>
      </c>
      <c r="BJ28" s="375">
        <f t="shared" si="271"/>
        <v>2</v>
      </c>
      <c r="BK28" s="131">
        <f t="shared" si="271"/>
        <v>6</v>
      </c>
      <c r="BL28" s="131">
        <f t="shared" si="271"/>
        <v>5</v>
      </c>
      <c r="BM28" s="131">
        <f t="shared" si="271"/>
        <v>2</v>
      </c>
      <c r="BN28" s="131">
        <f t="shared" si="271"/>
        <v>1</v>
      </c>
      <c r="BO28" s="131">
        <f t="shared" si="271"/>
        <v>4</v>
      </c>
      <c r="BP28" s="131">
        <f t="shared" si="271"/>
        <v>7</v>
      </c>
      <c r="BQ28" s="375">
        <f t="shared" si="271"/>
        <v>3</v>
      </c>
      <c r="BS28" s="131">
        <f t="shared" ref="BS28:CH32" si="272">BS$27</f>
        <v>3</v>
      </c>
      <c r="BT28" s="131">
        <f t="shared" si="272"/>
        <v>1</v>
      </c>
      <c r="BU28" s="131">
        <f t="shared" si="272"/>
        <v>6</v>
      </c>
      <c r="BV28" s="131">
        <f t="shared" si="272"/>
        <v>4</v>
      </c>
      <c r="BW28" s="131">
        <f t="shared" si="272"/>
        <v>2</v>
      </c>
      <c r="BX28" s="375">
        <f t="shared" si="272"/>
        <v>5</v>
      </c>
      <c r="BY28" s="131">
        <f t="shared" si="272"/>
        <v>1</v>
      </c>
      <c r="BZ28" s="131">
        <f t="shared" si="272"/>
        <v>2</v>
      </c>
      <c r="CA28" s="131">
        <f t="shared" si="272"/>
        <v>5</v>
      </c>
      <c r="CB28" s="131">
        <f t="shared" si="272"/>
        <v>3</v>
      </c>
      <c r="CC28" s="131">
        <f t="shared" si="272"/>
        <v>6</v>
      </c>
      <c r="CD28" s="375">
        <f t="shared" si="272"/>
        <v>4</v>
      </c>
      <c r="CE28" s="131">
        <f t="shared" si="272"/>
        <v>4</v>
      </c>
      <c r="CF28" s="131">
        <f t="shared" si="272"/>
        <v>3</v>
      </c>
      <c r="CG28" s="131">
        <f t="shared" si="272"/>
        <v>5</v>
      </c>
      <c r="CH28" s="131">
        <f t="shared" si="272"/>
        <v>6</v>
      </c>
      <c r="CI28" s="131">
        <f t="shared" ref="CE28:CP32" si="273">CI$27</f>
        <v>1</v>
      </c>
      <c r="CJ28" s="375">
        <f t="shared" si="273"/>
        <v>2</v>
      </c>
      <c r="CK28" s="131">
        <f t="shared" si="273"/>
        <v>6</v>
      </c>
      <c r="CL28" s="131">
        <f t="shared" si="273"/>
        <v>5</v>
      </c>
      <c r="CM28" s="131">
        <f t="shared" si="273"/>
        <v>2</v>
      </c>
      <c r="CN28" s="131">
        <f t="shared" si="273"/>
        <v>1</v>
      </c>
      <c r="CO28" s="131">
        <f t="shared" si="273"/>
        <v>4</v>
      </c>
      <c r="CP28" s="375">
        <f t="shared" si="273"/>
        <v>3</v>
      </c>
      <c r="CR28" s="131">
        <f t="shared" ref="CR28:DG32" si="274">CR$27</f>
        <v>3</v>
      </c>
      <c r="CS28" s="131">
        <f t="shared" si="274"/>
        <v>1</v>
      </c>
      <c r="CT28" s="131">
        <f t="shared" si="274"/>
        <v>4</v>
      </c>
      <c r="CU28" s="131">
        <f t="shared" si="274"/>
        <v>2</v>
      </c>
      <c r="CV28" s="375">
        <f t="shared" si="274"/>
        <v>5</v>
      </c>
      <c r="CW28" s="131">
        <f t="shared" si="274"/>
        <v>1</v>
      </c>
      <c r="CX28" s="131">
        <f t="shared" si="274"/>
        <v>2</v>
      </c>
      <c r="CY28" s="131">
        <f t="shared" si="274"/>
        <v>5</v>
      </c>
      <c r="CZ28" s="131">
        <f t="shared" si="274"/>
        <v>3</v>
      </c>
      <c r="DA28" s="375">
        <f t="shared" si="274"/>
        <v>4</v>
      </c>
      <c r="DB28" s="131">
        <f t="shared" si="274"/>
        <v>4</v>
      </c>
      <c r="DC28" s="131">
        <f t="shared" si="274"/>
        <v>3</v>
      </c>
      <c r="DD28" s="131">
        <f t="shared" si="274"/>
        <v>5</v>
      </c>
      <c r="DE28" s="131">
        <f t="shared" si="274"/>
        <v>1</v>
      </c>
      <c r="DF28" s="375">
        <f t="shared" si="274"/>
        <v>2</v>
      </c>
      <c r="DG28" s="131">
        <f t="shared" si="274"/>
        <v>5</v>
      </c>
      <c r="DH28" s="131">
        <f t="shared" ref="DG28:DK32" si="275">DH$27</f>
        <v>2</v>
      </c>
      <c r="DI28" s="131">
        <f t="shared" si="275"/>
        <v>1</v>
      </c>
      <c r="DJ28" s="131">
        <f t="shared" si="275"/>
        <v>4</v>
      </c>
      <c r="DK28" s="375">
        <f t="shared" si="275"/>
        <v>3</v>
      </c>
      <c r="DT28" s="100" t="str">
        <f t="shared" si="10"/>
        <v>'Track1'!</v>
      </c>
      <c r="DU28" s="100" t="s">
        <v>673</v>
      </c>
      <c r="DV28" s="100" t="s">
        <v>333</v>
      </c>
      <c r="DW28" s="64">
        <f t="shared" ca="1" si="0"/>
        <v>189</v>
      </c>
      <c r="DX28" s="64" t="str">
        <f t="shared" ca="1" si="11"/>
        <v>'Track1'!C191</v>
      </c>
      <c r="DY28" s="100" t="str">
        <f t="shared" si="12"/>
        <v>'Track1'!</v>
      </c>
      <c r="DZ28" s="100" t="s">
        <v>673</v>
      </c>
      <c r="EA28" s="100" t="s">
        <v>218</v>
      </c>
      <c r="EB28" s="100">
        <f t="shared" ca="1" si="1"/>
        <v>189</v>
      </c>
      <c r="EC28" s="64" t="str">
        <f t="shared" ca="1" si="13"/>
        <v>'Track1'!R191</v>
      </c>
      <c r="EG28" s="65">
        <v>15.1</v>
      </c>
    </row>
    <row r="29" spans="1:137" x14ac:dyDescent="0.35">
      <c r="A29" s="64" t="s">
        <v>309</v>
      </c>
      <c r="B29" s="64" t="s">
        <v>19</v>
      </c>
      <c r="C29" s="64" t="s">
        <v>4</v>
      </c>
      <c r="D29" s="66">
        <v>29</v>
      </c>
      <c r="E29" s="66">
        <v>35</v>
      </c>
      <c r="F29" s="429" t="s">
        <v>1403</v>
      </c>
      <c r="G29" s="430" t="s">
        <v>1403</v>
      </c>
      <c r="I29" s="131">
        <f t="shared" ref="I29:Y32" si="276">I$27</f>
        <v>8</v>
      </c>
      <c r="J29" s="131">
        <f t="shared" si="276"/>
        <v>3</v>
      </c>
      <c r="K29" s="131">
        <f t="shared" si="276"/>
        <v>1</v>
      </c>
      <c r="L29" s="131">
        <f t="shared" si="276"/>
        <v>6</v>
      </c>
      <c r="M29" s="131">
        <f t="shared" si="276"/>
        <v>4</v>
      </c>
      <c r="N29" s="131">
        <f t="shared" si="276"/>
        <v>2</v>
      </c>
      <c r="O29" s="131">
        <f t="shared" si="276"/>
        <v>7</v>
      </c>
      <c r="P29" s="375">
        <f t="shared" si="276"/>
        <v>5</v>
      </c>
      <c r="Q29" s="131">
        <f t="shared" si="276"/>
        <v>1</v>
      </c>
      <c r="R29" s="131">
        <f t="shared" si="276"/>
        <v>2</v>
      </c>
      <c r="S29" s="131">
        <f t="shared" si="276"/>
        <v>5</v>
      </c>
      <c r="T29" s="131">
        <f t="shared" si="276"/>
        <v>7</v>
      </c>
      <c r="U29" s="131">
        <f t="shared" si="276"/>
        <v>3</v>
      </c>
      <c r="V29" s="131">
        <f t="shared" si="276"/>
        <v>8</v>
      </c>
      <c r="W29" s="131">
        <f t="shared" si="276"/>
        <v>6</v>
      </c>
      <c r="X29" s="375">
        <f t="shared" si="276"/>
        <v>4</v>
      </c>
      <c r="Y29" s="131">
        <f t="shared" si="276"/>
        <v>7</v>
      </c>
      <c r="Z29" s="131">
        <f t="shared" si="268"/>
        <v>4</v>
      </c>
      <c r="AA29" s="131">
        <f t="shared" si="268"/>
        <v>3</v>
      </c>
      <c r="AB29" s="131">
        <f t="shared" si="268"/>
        <v>8</v>
      </c>
      <c r="AC29" s="131">
        <f t="shared" si="268"/>
        <v>5</v>
      </c>
      <c r="AD29" s="131">
        <f t="shared" si="268"/>
        <v>6</v>
      </c>
      <c r="AE29" s="131">
        <f t="shared" si="268"/>
        <v>1</v>
      </c>
      <c r="AF29" s="375">
        <f t="shared" si="268"/>
        <v>2</v>
      </c>
      <c r="AG29" s="131">
        <f t="shared" si="268"/>
        <v>6</v>
      </c>
      <c r="AH29" s="131">
        <f t="shared" si="268"/>
        <v>5</v>
      </c>
      <c r="AI29" s="131">
        <f t="shared" si="269"/>
        <v>2</v>
      </c>
      <c r="AJ29" s="131">
        <f t="shared" si="269"/>
        <v>1</v>
      </c>
      <c r="AK29" s="131">
        <f t="shared" si="269"/>
        <v>4</v>
      </c>
      <c r="AL29" s="131">
        <f t="shared" si="269"/>
        <v>7</v>
      </c>
      <c r="AM29" s="131">
        <f t="shared" si="269"/>
        <v>8</v>
      </c>
      <c r="AN29" s="375">
        <f t="shared" si="269"/>
        <v>3</v>
      </c>
      <c r="AP29" s="131">
        <f t="shared" si="270"/>
        <v>3</v>
      </c>
      <c r="AQ29" s="131">
        <f t="shared" si="270"/>
        <v>1</v>
      </c>
      <c r="AR29" s="131">
        <f t="shared" si="270"/>
        <v>6</v>
      </c>
      <c r="AS29" s="131">
        <f t="shared" si="270"/>
        <v>4</v>
      </c>
      <c r="AT29" s="131">
        <f t="shared" si="270"/>
        <v>2</v>
      </c>
      <c r="AU29" s="131">
        <f t="shared" si="270"/>
        <v>7</v>
      </c>
      <c r="AV29" s="375">
        <f t="shared" si="270"/>
        <v>5</v>
      </c>
      <c r="AW29" s="131">
        <f t="shared" si="270"/>
        <v>1</v>
      </c>
      <c r="AX29" s="131">
        <f t="shared" si="270"/>
        <v>2</v>
      </c>
      <c r="AY29" s="131">
        <f t="shared" si="270"/>
        <v>5</v>
      </c>
      <c r="AZ29" s="131">
        <f t="shared" si="270"/>
        <v>7</v>
      </c>
      <c r="BA29" s="131">
        <f t="shared" si="270"/>
        <v>3</v>
      </c>
      <c r="BB29" s="131">
        <f t="shared" si="270"/>
        <v>6</v>
      </c>
      <c r="BC29" s="375">
        <f t="shared" si="270"/>
        <v>4</v>
      </c>
      <c r="BD29" s="131">
        <f t="shared" si="270"/>
        <v>7</v>
      </c>
      <c r="BE29" s="131">
        <f t="shared" si="270"/>
        <v>4</v>
      </c>
      <c r="BF29" s="131">
        <f t="shared" si="271"/>
        <v>3</v>
      </c>
      <c r="BG29" s="131">
        <f t="shared" si="271"/>
        <v>5</v>
      </c>
      <c r="BH29" s="131">
        <f t="shared" si="271"/>
        <v>6</v>
      </c>
      <c r="BI29" s="131">
        <f t="shared" si="271"/>
        <v>1</v>
      </c>
      <c r="BJ29" s="375">
        <f t="shared" si="271"/>
        <v>2</v>
      </c>
      <c r="BK29" s="131">
        <f t="shared" si="271"/>
        <v>6</v>
      </c>
      <c r="BL29" s="131">
        <f t="shared" si="271"/>
        <v>5</v>
      </c>
      <c r="BM29" s="131">
        <f t="shared" si="271"/>
        <v>2</v>
      </c>
      <c r="BN29" s="131">
        <f t="shared" si="271"/>
        <v>1</v>
      </c>
      <c r="BO29" s="131">
        <f t="shared" si="271"/>
        <v>4</v>
      </c>
      <c r="BP29" s="131">
        <f t="shared" si="271"/>
        <v>7</v>
      </c>
      <c r="BQ29" s="375">
        <f t="shared" si="271"/>
        <v>3</v>
      </c>
      <c r="BS29" s="131">
        <f t="shared" si="272"/>
        <v>3</v>
      </c>
      <c r="BT29" s="131">
        <f t="shared" si="272"/>
        <v>1</v>
      </c>
      <c r="BU29" s="131">
        <f t="shared" si="272"/>
        <v>6</v>
      </c>
      <c r="BV29" s="131">
        <f t="shared" si="272"/>
        <v>4</v>
      </c>
      <c r="BW29" s="131">
        <f t="shared" si="272"/>
        <v>2</v>
      </c>
      <c r="BX29" s="375">
        <f t="shared" si="272"/>
        <v>5</v>
      </c>
      <c r="BY29" s="131">
        <f t="shared" si="272"/>
        <v>1</v>
      </c>
      <c r="BZ29" s="131">
        <f t="shared" si="272"/>
        <v>2</v>
      </c>
      <c r="CA29" s="131">
        <f t="shared" si="272"/>
        <v>5</v>
      </c>
      <c r="CB29" s="131">
        <f t="shared" si="272"/>
        <v>3</v>
      </c>
      <c r="CC29" s="131">
        <f t="shared" si="272"/>
        <v>6</v>
      </c>
      <c r="CD29" s="375">
        <f t="shared" si="272"/>
        <v>4</v>
      </c>
      <c r="CE29" s="131">
        <f t="shared" si="273"/>
        <v>4</v>
      </c>
      <c r="CF29" s="131">
        <f t="shared" si="273"/>
        <v>3</v>
      </c>
      <c r="CG29" s="131">
        <f t="shared" si="273"/>
        <v>5</v>
      </c>
      <c r="CH29" s="131">
        <f t="shared" si="273"/>
        <v>6</v>
      </c>
      <c r="CI29" s="131">
        <f t="shared" si="273"/>
        <v>1</v>
      </c>
      <c r="CJ29" s="375">
        <f t="shared" si="273"/>
        <v>2</v>
      </c>
      <c r="CK29" s="131">
        <f t="shared" si="273"/>
        <v>6</v>
      </c>
      <c r="CL29" s="131">
        <f t="shared" si="273"/>
        <v>5</v>
      </c>
      <c r="CM29" s="131">
        <f t="shared" si="273"/>
        <v>2</v>
      </c>
      <c r="CN29" s="131">
        <f t="shared" si="273"/>
        <v>1</v>
      </c>
      <c r="CO29" s="131">
        <f t="shared" si="273"/>
        <v>4</v>
      </c>
      <c r="CP29" s="375">
        <f t="shared" si="273"/>
        <v>3</v>
      </c>
      <c r="CR29" s="131">
        <f t="shared" si="274"/>
        <v>3</v>
      </c>
      <c r="CS29" s="131">
        <f t="shared" si="274"/>
        <v>1</v>
      </c>
      <c r="CT29" s="131">
        <f t="shared" si="274"/>
        <v>4</v>
      </c>
      <c r="CU29" s="131">
        <f t="shared" si="274"/>
        <v>2</v>
      </c>
      <c r="CV29" s="375">
        <f t="shared" si="274"/>
        <v>5</v>
      </c>
      <c r="CW29" s="131">
        <f t="shared" si="274"/>
        <v>1</v>
      </c>
      <c r="CX29" s="131">
        <f t="shared" si="274"/>
        <v>2</v>
      </c>
      <c r="CY29" s="131">
        <f t="shared" si="274"/>
        <v>5</v>
      </c>
      <c r="CZ29" s="131">
        <f t="shared" si="274"/>
        <v>3</v>
      </c>
      <c r="DA29" s="375">
        <f t="shared" si="274"/>
        <v>4</v>
      </c>
      <c r="DB29" s="131">
        <f t="shared" si="274"/>
        <v>4</v>
      </c>
      <c r="DC29" s="131">
        <f t="shared" si="274"/>
        <v>3</v>
      </c>
      <c r="DD29" s="131">
        <f t="shared" si="274"/>
        <v>5</v>
      </c>
      <c r="DE29" s="131">
        <f t="shared" si="274"/>
        <v>1</v>
      </c>
      <c r="DF29" s="375">
        <f t="shared" si="274"/>
        <v>2</v>
      </c>
      <c r="DG29" s="131">
        <f t="shared" si="275"/>
        <v>5</v>
      </c>
      <c r="DH29" s="131">
        <f t="shared" si="275"/>
        <v>2</v>
      </c>
      <c r="DI29" s="131">
        <f t="shared" si="275"/>
        <v>1</v>
      </c>
      <c r="DJ29" s="131">
        <f t="shared" si="275"/>
        <v>4</v>
      </c>
      <c r="DK29" s="375">
        <f t="shared" si="275"/>
        <v>3</v>
      </c>
      <c r="DT29" s="64" t="str">
        <f>"'Middle D'!"</f>
        <v>'Middle D'!</v>
      </c>
      <c r="DU29" s="100" t="s">
        <v>673</v>
      </c>
      <c r="DV29" s="100" t="s">
        <v>223</v>
      </c>
      <c r="DW29" s="64">
        <f t="shared" ca="1" si="0"/>
        <v>1</v>
      </c>
      <c r="DX29" s="64" t="str">
        <f ca="1">IFERROR(CONCATENATE(DT29,DV29,DW29+1),"-")</f>
        <v>'Middle D'!E2</v>
      </c>
      <c r="DY29" s="100" t="str">
        <f>"'Track2'!"</f>
        <v>'Track2'!</v>
      </c>
      <c r="DZ29" s="100" t="s">
        <v>673</v>
      </c>
      <c r="EA29" s="100" t="s">
        <v>218</v>
      </c>
      <c r="EB29" s="100">
        <f t="shared" ca="1" si="1"/>
        <v>2</v>
      </c>
      <c r="EC29" s="64" t="str">
        <f t="shared" ca="1" si="13"/>
        <v>'Track2'!R4</v>
      </c>
      <c r="EG29" s="65">
        <v>15.2</v>
      </c>
    </row>
    <row r="30" spans="1:137" x14ac:dyDescent="0.35">
      <c r="A30" s="64" t="s">
        <v>310</v>
      </c>
      <c r="B30" s="64" t="s">
        <v>20</v>
      </c>
      <c r="C30" s="64" t="s">
        <v>6</v>
      </c>
      <c r="D30" s="66">
        <v>30</v>
      </c>
      <c r="E30" s="66">
        <v>85</v>
      </c>
      <c r="F30" s="429" t="s">
        <v>1404</v>
      </c>
      <c r="G30" s="430" t="s">
        <v>1404</v>
      </c>
      <c r="I30" s="131">
        <f t="shared" si="276"/>
        <v>8</v>
      </c>
      <c r="J30" s="131">
        <f t="shared" si="276"/>
        <v>3</v>
      </c>
      <c r="K30" s="131">
        <f t="shared" si="276"/>
        <v>1</v>
      </c>
      <c r="L30" s="131">
        <f t="shared" si="276"/>
        <v>6</v>
      </c>
      <c r="M30" s="131">
        <f t="shared" si="276"/>
        <v>4</v>
      </c>
      <c r="N30" s="131">
        <f t="shared" si="276"/>
        <v>2</v>
      </c>
      <c r="O30" s="131">
        <f t="shared" si="276"/>
        <v>7</v>
      </c>
      <c r="P30" s="375">
        <f t="shared" si="276"/>
        <v>5</v>
      </c>
      <c r="Q30" s="131">
        <f t="shared" si="276"/>
        <v>1</v>
      </c>
      <c r="R30" s="131">
        <f t="shared" si="276"/>
        <v>2</v>
      </c>
      <c r="S30" s="131">
        <f t="shared" si="276"/>
        <v>5</v>
      </c>
      <c r="T30" s="131">
        <f t="shared" si="276"/>
        <v>7</v>
      </c>
      <c r="U30" s="131">
        <f t="shared" si="276"/>
        <v>3</v>
      </c>
      <c r="V30" s="131">
        <f t="shared" si="276"/>
        <v>8</v>
      </c>
      <c r="W30" s="131">
        <f t="shared" si="276"/>
        <v>6</v>
      </c>
      <c r="X30" s="375">
        <f t="shared" si="276"/>
        <v>4</v>
      </c>
      <c r="Y30" s="131">
        <f t="shared" si="268"/>
        <v>7</v>
      </c>
      <c r="Z30" s="131">
        <f t="shared" si="268"/>
        <v>4</v>
      </c>
      <c r="AA30" s="131">
        <f t="shared" si="268"/>
        <v>3</v>
      </c>
      <c r="AB30" s="131">
        <f t="shared" si="268"/>
        <v>8</v>
      </c>
      <c r="AC30" s="131">
        <f t="shared" si="268"/>
        <v>5</v>
      </c>
      <c r="AD30" s="131">
        <f t="shared" si="268"/>
        <v>6</v>
      </c>
      <c r="AE30" s="131">
        <f t="shared" si="268"/>
        <v>1</v>
      </c>
      <c r="AF30" s="375">
        <f t="shared" si="268"/>
        <v>2</v>
      </c>
      <c r="AG30" s="131">
        <f t="shared" si="269"/>
        <v>6</v>
      </c>
      <c r="AH30" s="131">
        <f t="shared" si="269"/>
        <v>5</v>
      </c>
      <c r="AI30" s="131">
        <f t="shared" si="269"/>
        <v>2</v>
      </c>
      <c r="AJ30" s="131">
        <f t="shared" si="269"/>
        <v>1</v>
      </c>
      <c r="AK30" s="131">
        <f t="shared" si="269"/>
        <v>4</v>
      </c>
      <c r="AL30" s="131">
        <f t="shared" si="269"/>
        <v>7</v>
      </c>
      <c r="AM30" s="131">
        <f t="shared" si="269"/>
        <v>8</v>
      </c>
      <c r="AN30" s="375">
        <f t="shared" si="269"/>
        <v>3</v>
      </c>
      <c r="AP30" s="131">
        <f t="shared" si="270"/>
        <v>3</v>
      </c>
      <c r="AQ30" s="131">
        <f t="shared" si="270"/>
        <v>1</v>
      </c>
      <c r="AR30" s="131">
        <f t="shared" si="270"/>
        <v>6</v>
      </c>
      <c r="AS30" s="131">
        <f t="shared" si="270"/>
        <v>4</v>
      </c>
      <c r="AT30" s="131">
        <f t="shared" si="270"/>
        <v>2</v>
      </c>
      <c r="AU30" s="131">
        <f t="shared" si="270"/>
        <v>7</v>
      </c>
      <c r="AV30" s="375">
        <f t="shared" si="270"/>
        <v>5</v>
      </c>
      <c r="AW30" s="131">
        <f t="shared" si="270"/>
        <v>1</v>
      </c>
      <c r="AX30" s="131">
        <f t="shared" si="270"/>
        <v>2</v>
      </c>
      <c r="AY30" s="131">
        <f t="shared" si="270"/>
        <v>5</v>
      </c>
      <c r="AZ30" s="131">
        <f t="shared" si="270"/>
        <v>7</v>
      </c>
      <c r="BA30" s="131">
        <f t="shared" si="270"/>
        <v>3</v>
      </c>
      <c r="BB30" s="131">
        <f t="shared" si="270"/>
        <v>6</v>
      </c>
      <c r="BC30" s="375">
        <f t="shared" si="270"/>
        <v>4</v>
      </c>
      <c r="BD30" s="131">
        <f t="shared" si="271"/>
        <v>7</v>
      </c>
      <c r="BE30" s="131">
        <f t="shared" si="271"/>
        <v>4</v>
      </c>
      <c r="BF30" s="131">
        <f t="shared" si="271"/>
        <v>3</v>
      </c>
      <c r="BG30" s="131">
        <f t="shared" si="271"/>
        <v>5</v>
      </c>
      <c r="BH30" s="131">
        <f t="shared" si="271"/>
        <v>6</v>
      </c>
      <c r="BI30" s="131">
        <f t="shared" si="271"/>
        <v>1</v>
      </c>
      <c r="BJ30" s="375">
        <f t="shared" si="271"/>
        <v>2</v>
      </c>
      <c r="BK30" s="131">
        <f t="shared" si="271"/>
        <v>6</v>
      </c>
      <c r="BL30" s="131">
        <f t="shared" si="271"/>
        <v>5</v>
      </c>
      <c r="BM30" s="131">
        <f t="shared" si="271"/>
        <v>2</v>
      </c>
      <c r="BN30" s="131">
        <f t="shared" si="271"/>
        <v>1</v>
      </c>
      <c r="BO30" s="131">
        <f t="shared" si="271"/>
        <v>4</v>
      </c>
      <c r="BP30" s="131">
        <f t="shared" si="271"/>
        <v>7</v>
      </c>
      <c r="BQ30" s="375">
        <f t="shared" si="271"/>
        <v>3</v>
      </c>
      <c r="BS30" s="131">
        <f t="shared" si="272"/>
        <v>3</v>
      </c>
      <c r="BT30" s="131">
        <f t="shared" si="272"/>
        <v>1</v>
      </c>
      <c r="BU30" s="131">
        <f t="shared" si="272"/>
        <v>6</v>
      </c>
      <c r="BV30" s="131">
        <f t="shared" si="272"/>
        <v>4</v>
      </c>
      <c r="BW30" s="131">
        <f t="shared" si="272"/>
        <v>2</v>
      </c>
      <c r="BX30" s="375">
        <f t="shared" si="272"/>
        <v>5</v>
      </c>
      <c r="BY30" s="131">
        <f t="shared" si="272"/>
        <v>1</v>
      </c>
      <c r="BZ30" s="131">
        <f t="shared" si="272"/>
        <v>2</v>
      </c>
      <c r="CA30" s="131">
        <f t="shared" si="272"/>
        <v>5</v>
      </c>
      <c r="CB30" s="131">
        <f t="shared" si="272"/>
        <v>3</v>
      </c>
      <c r="CC30" s="131">
        <f t="shared" si="272"/>
        <v>6</v>
      </c>
      <c r="CD30" s="375">
        <f t="shared" si="272"/>
        <v>4</v>
      </c>
      <c r="CE30" s="131">
        <f t="shared" si="273"/>
        <v>4</v>
      </c>
      <c r="CF30" s="131">
        <f t="shared" si="273"/>
        <v>3</v>
      </c>
      <c r="CG30" s="131">
        <f t="shared" si="273"/>
        <v>5</v>
      </c>
      <c r="CH30" s="131">
        <f t="shared" si="273"/>
        <v>6</v>
      </c>
      <c r="CI30" s="131">
        <f t="shared" si="273"/>
        <v>1</v>
      </c>
      <c r="CJ30" s="375">
        <f t="shared" si="273"/>
        <v>2</v>
      </c>
      <c r="CK30" s="131">
        <f t="shared" si="273"/>
        <v>6</v>
      </c>
      <c r="CL30" s="131">
        <f t="shared" si="273"/>
        <v>5</v>
      </c>
      <c r="CM30" s="131">
        <f t="shared" si="273"/>
        <v>2</v>
      </c>
      <c r="CN30" s="131">
        <f t="shared" si="273"/>
        <v>1</v>
      </c>
      <c r="CO30" s="131">
        <f t="shared" si="273"/>
        <v>4</v>
      </c>
      <c r="CP30" s="375">
        <f t="shared" si="273"/>
        <v>3</v>
      </c>
      <c r="CR30" s="131">
        <f t="shared" si="274"/>
        <v>3</v>
      </c>
      <c r="CS30" s="131">
        <f t="shared" si="274"/>
        <v>1</v>
      </c>
      <c r="CT30" s="131">
        <f t="shared" si="274"/>
        <v>4</v>
      </c>
      <c r="CU30" s="131">
        <f t="shared" si="274"/>
        <v>2</v>
      </c>
      <c r="CV30" s="375">
        <f t="shared" si="274"/>
        <v>5</v>
      </c>
      <c r="CW30" s="131">
        <f t="shared" si="274"/>
        <v>1</v>
      </c>
      <c r="CX30" s="131">
        <f t="shared" si="274"/>
        <v>2</v>
      </c>
      <c r="CY30" s="131">
        <f t="shared" si="274"/>
        <v>5</v>
      </c>
      <c r="CZ30" s="131">
        <f t="shared" si="274"/>
        <v>3</v>
      </c>
      <c r="DA30" s="375">
        <f t="shared" si="274"/>
        <v>4</v>
      </c>
      <c r="DB30" s="131">
        <f t="shared" si="274"/>
        <v>4</v>
      </c>
      <c r="DC30" s="131">
        <f t="shared" si="274"/>
        <v>3</v>
      </c>
      <c r="DD30" s="131">
        <f t="shared" si="274"/>
        <v>5</v>
      </c>
      <c r="DE30" s="131">
        <f t="shared" si="274"/>
        <v>1</v>
      </c>
      <c r="DF30" s="375">
        <f t="shared" si="274"/>
        <v>2</v>
      </c>
      <c r="DG30" s="131">
        <f t="shared" si="275"/>
        <v>5</v>
      </c>
      <c r="DH30" s="131">
        <f t="shared" si="275"/>
        <v>2</v>
      </c>
      <c r="DI30" s="131">
        <f t="shared" si="275"/>
        <v>1</v>
      </c>
      <c r="DJ30" s="131">
        <f t="shared" si="275"/>
        <v>4</v>
      </c>
      <c r="DK30" s="375">
        <f t="shared" si="275"/>
        <v>3</v>
      </c>
      <c r="DT30" s="64" t="str">
        <f>"'Middle D'!"</f>
        <v>'Middle D'!</v>
      </c>
      <c r="DU30" s="100" t="s">
        <v>673</v>
      </c>
      <c r="DV30" s="100" t="s">
        <v>223</v>
      </c>
      <c r="DW30" s="64">
        <f t="shared" ca="1" si="0"/>
        <v>37</v>
      </c>
      <c r="DX30" s="64" t="str">
        <f ca="1">IFERROR(CONCATENATE(DT30,DV30,DW30+1),"-")</f>
        <v>'Middle D'!E38</v>
      </c>
      <c r="DY30" s="100" t="str">
        <f>"'Track2'!"</f>
        <v>'Track2'!</v>
      </c>
      <c r="DZ30" s="100" t="s">
        <v>673</v>
      </c>
      <c r="EA30" s="100" t="s">
        <v>218</v>
      </c>
      <c r="EB30" s="100">
        <f t="shared" ca="1" si="1"/>
        <v>13</v>
      </c>
      <c r="EC30" s="64" t="str">
        <f t="shared" ca="1" si="13"/>
        <v>'Track2'!R15</v>
      </c>
      <c r="EG30" s="65">
        <v>15.3</v>
      </c>
    </row>
    <row r="31" spans="1:137" x14ac:dyDescent="0.35">
      <c r="A31" s="64" t="s">
        <v>311</v>
      </c>
      <c r="B31" s="64" t="s">
        <v>20</v>
      </c>
      <c r="C31" s="64" t="s">
        <v>7</v>
      </c>
      <c r="D31" s="66">
        <v>31</v>
      </c>
      <c r="E31" s="66">
        <v>10</v>
      </c>
      <c r="F31" s="429" t="s">
        <v>1405</v>
      </c>
      <c r="G31" s="430" t="s">
        <v>1405</v>
      </c>
      <c r="I31" s="131">
        <f t="shared" si="276"/>
        <v>8</v>
      </c>
      <c r="J31" s="131">
        <f t="shared" si="276"/>
        <v>3</v>
      </c>
      <c r="K31" s="131">
        <f t="shared" si="276"/>
        <v>1</v>
      </c>
      <c r="L31" s="131">
        <f t="shared" si="276"/>
        <v>6</v>
      </c>
      <c r="M31" s="131">
        <f t="shared" si="276"/>
        <v>4</v>
      </c>
      <c r="N31" s="131">
        <f t="shared" si="276"/>
        <v>2</v>
      </c>
      <c r="O31" s="131">
        <f t="shared" si="276"/>
        <v>7</v>
      </c>
      <c r="P31" s="375">
        <f t="shared" si="276"/>
        <v>5</v>
      </c>
      <c r="Q31" s="131">
        <f t="shared" si="276"/>
        <v>1</v>
      </c>
      <c r="R31" s="131">
        <f t="shared" si="276"/>
        <v>2</v>
      </c>
      <c r="S31" s="131">
        <f t="shared" si="276"/>
        <v>5</v>
      </c>
      <c r="T31" s="131">
        <f t="shared" si="276"/>
        <v>7</v>
      </c>
      <c r="U31" s="131">
        <f t="shared" si="276"/>
        <v>3</v>
      </c>
      <c r="V31" s="131">
        <f t="shared" si="276"/>
        <v>8</v>
      </c>
      <c r="W31" s="131">
        <f t="shared" si="276"/>
        <v>6</v>
      </c>
      <c r="X31" s="375">
        <f t="shared" si="276"/>
        <v>4</v>
      </c>
      <c r="Y31" s="131">
        <f t="shared" si="268"/>
        <v>7</v>
      </c>
      <c r="Z31" s="131">
        <f t="shared" si="268"/>
        <v>4</v>
      </c>
      <c r="AA31" s="131">
        <f t="shared" si="268"/>
        <v>3</v>
      </c>
      <c r="AB31" s="131">
        <f t="shared" si="268"/>
        <v>8</v>
      </c>
      <c r="AC31" s="131">
        <f t="shared" si="268"/>
        <v>5</v>
      </c>
      <c r="AD31" s="131">
        <f t="shared" si="268"/>
        <v>6</v>
      </c>
      <c r="AE31" s="131">
        <f t="shared" si="268"/>
        <v>1</v>
      </c>
      <c r="AF31" s="375">
        <f t="shared" si="268"/>
        <v>2</v>
      </c>
      <c r="AG31" s="131">
        <f t="shared" si="269"/>
        <v>6</v>
      </c>
      <c r="AH31" s="131">
        <f t="shared" si="269"/>
        <v>5</v>
      </c>
      <c r="AI31" s="131">
        <f t="shared" si="269"/>
        <v>2</v>
      </c>
      <c r="AJ31" s="131">
        <f t="shared" si="269"/>
        <v>1</v>
      </c>
      <c r="AK31" s="131">
        <f t="shared" si="269"/>
        <v>4</v>
      </c>
      <c r="AL31" s="131">
        <f t="shared" si="269"/>
        <v>7</v>
      </c>
      <c r="AM31" s="131">
        <f t="shared" si="269"/>
        <v>8</v>
      </c>
      <c r="AN31" s="375">
        <f t="shared" si="269"/>
        <v>3</v>
      </c>
      <c r="AP31" s="131">
        <f t="shared" si="270"/>
        <v>3</v>
      </c>
      <c r="AQ31" s="131">
        <f t="shared" si="270"/>
        <v>1</v>
      </c>
      <c r="AR31" s="131">
        <f t="shared" si="270"/>
        <v>6</v>
      </c>
      <c r="AS31" s="131">
        <f t="shared" si="270"/>
        <v>4</v>
      </c>
      <c r="AT31" s="131">
        <f t="shared" si="270"/>
        <v>2</v>
      </c>
      <c r="AU31" s="131">
        <f t="shared" si="270"/>
        <v>7</v>
      </c>
      <c r="AV31" s="375">
        <f t="shared" si="270"/>
        <v>5</v>
      </c>
      <c r="AW31" s="131">
        <f t="shared" si="270"/>
        <v>1</v>
      </c>
      <c r="AX31" s="131">
        <f t="shared" si="270"/>
        <v>2</v>
      </c>
      <c r="AY31" s="131">
        <f t="shared" si="270"/>
        <v>5</v>
      </c>
      <c r="AZ31" s="131">
        <f t="shared" si="270"/>
        <v>7</v>
      </c>
      <c r="BA31" s="131">
        <f t="shared" si="270"/>
        <v>3</v>
      </c>
      <c r="BB31" s="131">
        <f t="shared" si="270"/>
        <v>6</v>
      </c>
      <c r="BC31" s="375">
        <f t="shared" si="270"/>
        <v>4</v>
      </c>
      <c r="BD31" s="131">
        <f t="shared" si="271"/>
        <v>7</v>
      </c>
      <c r="BE31" s="131">
        <f t="shared" si="271"/>
        <v>4</v>
      </c>
      <c r="BF31" s="131">
        <f t="shared" si="271"/>
        <v>3</v>
      </c>
      <c r="BG31" s="131">
        <f t="shared" si="271"/>
        <v>5</v>
      </c>
      <c r="BH31" s="131">
        <f t="shared" si="271"/>
        <v>6</v>
      </c>
      <c r="BI31" s="131">
        <f t="shared" si="271"/>
        <v>1</v>
      </c>
      <c r="BJ31" s="375">
        <f t="shared" si="271"/>
        <v>2</v>
      </c>
      <c r="BK31" s="131">
        <f t="shared" si="271"/>
        <v>6</v>
      </c>
      <c r="BL31" s="131">
        <f t="shared" si="271"/>
        <v>5</v>
      </c>
      <c r="BM31" s="131">
        <f t="shared" si="271"/>
        <v>2</v>
      </c>
      <c r="BN31" s="131">
        <f t="shared" si="271"/>
        <v>1</v>
      </c>
      <c r="BO31" s="131">
        <f t="shared" si="271"/>
        <v>4</v>
      </c>
      <c r="BP31" s="131">
        <f t="shared" si="271"/>
        <v>7</v>
      </c>
      <c r="BQ31" s="375">
        <f t="shared" si="271"/>
        <v>3</v>
      </c>
      <c r="BS31" s="131">
        <f t="shared" si="272"/>
        <v>3</v>
      </c>
      <c r="BT31" s="131">
        <f t="shared" si="272"/>
        <v>1</v>
      </c>
      <c r="BU31" s="131">
        <f t="shared" si="272"/>
        <v>6</v>
      </c>
      <c r="BV31" s="131">
        <f t="shared" si="272"/>
        <v>4</v>
      </c>
      <c r="BW31" s="131">
        <f t="shared" si="272"/>
        <v>2</v>
      </c>
      <c r="BX31" s="375">
        <f t="shared" si="272"/>
        <v>5</v>
      </c>
      <c r="BY31" s="131">
        <f t="shared" si="272"/>
        <v>1</v>
      </c>
      <c r="BZ31" s="131">
        <f t="shared" si="272"/>
        <v>2</v>
      </c>
      <c r="CA31" s="131">
        <f t="shared" si="272"/>
        <v>5</v>
      </c>
      <c r="CB31" s="131">
        <f t="shared" si="272"/>
        <v>3</v>
      </c>
      <c r="CC31" s="131">
        <f t="shared" si="272"/>
        <v>6</v>
      </c>
      <c r="CD31" s="375">
        <f t="shared" si="272"/>
        <v>4</v>
      </c>
      <c r="CE31" s="131">
        <f t="shared" si="273"/>
        <v>4</v>
      </c>
      <c r="CF31" s="131">
        <f t="shared" si="273"/>
        <v>3</v>
      </c>
      <c r="CG31" s="131">
        <f t="shared" si="273"/>
        <v>5</v>
      </c>
      <c r="CH31" s="131">
        <f t="shared" si="273"/>
        <v>6</v>
      </c>
      <c r="CI31" s="131">
        <f t="shared" si="273"/>
        <v>1</v>
      </c>
      <c r="CJ31" s="375">
        <f t="shared" si="273"/>
        <v>2</v>
      </c>
      <c r="CK31" s="131">
        <f t="shared" si="273"/>
        <v>6</v>
      </c>
      <c r="CL31" s="131">
        <f t="shared" si="273"/>
        <v>5</v>
      </c>
      <c r="CM31" s="131">
        <f t="shared" si="273"/>
        <v>2</v>
      </c>
      <c r="CN31" s="131">
        <f t="shared" si="273"/>
        <v>1</v>
      </c>
      <c r="CO31" s="131">
        <f t="shared" si="273"/>
        <v>4</v>
      </c>
      <c r="CP31" s="375">
        <f t="shared" si="273"/>
        <v>3</v>
      </c>
      <c r="CR31" s="131">
        <f t="shared" si="274"/>
        <v>3</v>
      </c>
      <c r="CS31" s="131">
        <f t="shared" si="274"/>
        <v>1</v>
      </c>
      <c r="CT31" s="131">
        <f t="shared" si="274"/>
        <v>4</v>
      </c>
      <c r="CU31" s="131">
        <f t="shared" si="274"/>
        <v>2</v>
      </c>
      <c r="CV31" s="375">
        <f t="shared" si="274"/>
        <v>5</v>
      </c>
      <c r="CW31" s="131">
        <f t="shared" si="274"/>
        <v>1</v>
      </c>
      <c r="CX31" s="131">
        <f t="shared" si="274"/>
        <v>2</v>
      </c>
      <c r="CY31" s="131">
        <f t="shared" si="274"/>
        <v>5</v>
      </c>
      <c r="CZ31" s="131">
        <f t="shared" si="274"/>
        <v>3</v>
      </c>
      <c r="DA31" s="375">
        <f t="shared" si="274"/>
        <v>4</v>
      </c>
      <c r="DB31" s="131">
        <f t="shared" si="274"/>
        <v>4</v>
      </c>
      <c r="DC31" s="131">
        <f t="shared" si="274"/>
        <v>3</v>
      </c>
      <c r="DD31" s="131">
        <f t="shared" si="274"/>
        <v>5</v>
      </c>
      <c r="DE31" s="131">
        <f t="shared" si="274"/>
        <v>1</v>
      </c>
      <c r="DF31" s="375">
        <f t="shared" si="274"/>
        <v>2</v>
      </c>
      <c r="DG31" s="131">
        <f t="shared" si="275"/>
        <v>5</v>
      </c>
      <c r="DH31" s="131">
        <f t="shared" si="275"/>
        <v>2</v>
      </c>
      <c r="DI31" s="131">
        <f t="shared" si="275"/>
        <v>1</v>
      </c>
      <c r="DJ31" s="131">
        <f t="shared" si="275"/>
        <v>4</v>
      </c>
      <c r="DK31" s="375">
        <f t="shared" si="275"/>
        <v>3</v>
      </c>
      <c r="DT31" s="64" t="str">
        <f>"'Middle D'!"</f>
        <v>'Middle D'!</v>
      </c>
      <c r="DU31" s="100" t="s">
        <v>673</v>
      </c>
      <c r="DV31" s="100" t="s">
        <v>223</v>
      </c>
      <c r="DW31" s="64">
        <f t="shared" ca="1" si="0"/>
        <v>73</v>
      </c>
      <c r="DX31" s="64" t="str">
        <f ca="1">IFERROR(CONCATENATE(DT31,DV31,DW31+1),"-")</f>
        <v>'Middle D'!E74</v>
      </c>
      <c r="DY31" s="100" t="str">
        <f>"'Track2'!"</f>
        <v>'Track2'!</v>
      </c>
      <c r="DZ31" s="100" t="s">
        <v>673</v>
      </c>
      <c r="EA31" s="100" t="s">
        <v>218</v>
      </c>
      <c r="EB31" s="100">
        <f t="shared" ca="1" si="1"/>
        <v>24</v>
      </c>
      <c r="EC31" s="64" t="str">
        <f t="shared" ca="1" si="13"/>
        <v>'Track2'!R26</v>
      </c>
      <c r="EG31" s="65">
        <v>15.4</v>
      </c>
    </row>
    <row r="32" spans="1:137" x14ac:dyDescent="0.35">
      <c r="A32" s="64" t="s">
        <v>312</v>
      </c>
      <c r="B32" s="64" t="s">
        <v>20</v>
      </c>
      <c r="C32" s="64" t="s">
        <v>9</v>
      </c>
      <c r="D32" s="66">
        <v>32</v>
      </c>
      <c r="E32" s="66">
        <v>60</v>
      </c>
      <c r="F32" s="429" t="s">
        <v>1406</v>
      </c>
      <c r="G32" s="430" t="s">
        <v>1406</v>
      </c>
      <c r="I32" s="131">
        <f t="shared" si="276"/>
        <v>8</v>
      </c>
      <c r="J32" s="131">
        <f t="shared" si="276"/>
        <v>3</v>
      </c>
      <c r="K32" s="131">
        <f t="shared" si="276"/>
        <v>1</v>
      </c>
      <c r="L32" s="131">
        <f t="shared" si="276"/>
        <v>6</v>
      </c>
      <c r="M32" s="131">
        <f t="shared" si="276"/>
        <v>4</v>
      </c>
      <c r="N32" s="131">
        <f t="shared" si="276"/>
        <v>2</v>
      </c>
      <c r="O32" s="131">
        <f t="shared" si="276"/>
        <v>7</v>
      </c>
      <c r="P32" s="375">
        <f t="shared" si="276"/>
        <v>5</v>
      </c>
      <c r="Q32" s="131">
        <f t="shared" si="276"/>
        <v>1</v>
      </c>
      <c r="R32" s="131">
        <f t="shared" si="276"/>
        <v>2</v>
      </c>
      <c r="S32" s="131">
        <f t="shared" si="276"/>
        <v>5</v>
      </c>
      <c r="T32" s="131">
        <f t="shared" si="276"/>
        <v>7</v>
      </c>
      <c r="U32" s="131">
        <f t="shared" si="276"/>
        <v>3</v>
      </c>
      <c r="V32" s="131">
        <f t="shared" si="276"/>
        <v>8</v>
      </c>
      <c r="W32" s="131">
        <f t="shared" si="276"/>
        <v>6</v>
      </c>
      <c r="X32" s="375">
        <f t="shared" si="276"/>
        <v>4</v>
      </c>
      <c r="Y32" s="131">
        <f t="shared" si="268"/>
        <v>7</v>
      </c>
      <c r="Z32" s="131">
        <f t="shared" si="268"/>
        <v>4</v>
      </c>
      <c r="AA32" s="131">
        <f t="shared" si="268"/>
        <v>3</v>
      </c>
      <c r="AB32" s="131">
        <f t="shared" si="268"/>
        <v>8</v>
      </c>
      <c r="AC32" s="131">
        <f t="shared" si="268"/>
        <v>5</v>
      </c>
      <c r="AD32" s="131">
        <f t="shared" si="268"/>
        <v>6</v>
      </c>
      <c r="AE32" s="131">
        <f t="shared" si="268"/>
        <v>1</v>
      </c>
      <c r="AF32" s="375">
        <f t="shared" si="268"/>
        <v>2</v>
      </c>
      <c r="AG32" s="131">
        <f t="shared" si="269"/>
        <v>6</v>
      </c>
      <c r="AH32" s="131">
        <f t="shared" si="269"/>
        <v>5</v>
      </c>
      <c r="AI32" s="131">
        <f t="shared" si="269"/>
        <v>2</v>
      </c>
      <c r="AJ32" s="131">
        <f t="shared" si="269"/>
        <v>1</v>
      </c>
      <c r="AK32" s="131">
        <f t="shared" si="269"/>
        <v>4</v>
      </c>
      <c r="AL32" s="131">
        <f t="shared" si="269"/>
        <v>7</v>
      </c>
      <c r="AM32" s="131">
        <f t="shared" si="269"/>
        <v>8</v>
      </c>
      <c r="AN32" s="375">
        <f t="shared" si="269"/>
        <v>3</v>
      </c>
      <c r="AP32" s="131">
        <f t="shared" si="270"/>
        <v>3</v>
      </c>
      <c r="AQ32" s="131">
        <f t="shared" si="270"/>
        <v>1</v>
      </c>
      <c r="AR32" s="131">
        <f t="shared" si="270"/>
        <v>6</v>
      </c>
      <c r="AS32" s="131">
        <f t="shared" si="270"/>
        <v>4</v>
      </c>
      <c r="AT32" s="131">
        <f t="shared" si="270"/>
        <v>2</v>
      </c>
      <c r="AU32" s="131">
        <f t="shared" si="270"/>
        <v>7</v>
      </c>
      <c r="AV32" s="375">
        <f t="shared" si="270"/>
        <v>5</v>
      </c>
      <c r="AW32" s="131">
        <f t="shared" si="270"/>
        <v>1</v>
      </c>
      <c r="AX32" s="131">
        <f t="shared" si="270"/>
        <v>2</v>
      </c>
      <c r="AY32" s="131">
        <f t="shared" si="270"/>
        <v>5</v>
      </c>
      <c r="AZ32" s="131">
        <f t="shared" si="270"/>
        <v>7</v>
      </c>
      <c r="BA32" s="131">
        <f t="shared" si="270"/>
        <v>3</v>
      </c>
      <c r="BB32" s="131">
        <f t="shared" si="270"/>
        <v>6</v>
      </c>
      <c r="BC32" s="375">
        <f t="shared" si="270"/>
        <v>4</v>
      </c>
      <c r="BD32" s="131">
        <f t="shared" si="271"/>
        <v>7</v>
      </c>
      <c r="BE32" s="131">
        <f t="shared" si="271"/>
        <v>4</v>
      </c>
      <c r="BF32" s="131">
        <f t="shared" si="271"/>
        <v>3</v>
      </c>
      <c r="BG32" s="131">
        <f t="shared" si="271"/>
        <v>5</v>
      </c>
      <c r="BH32" s="131">
        <f t="shared" si="271"/>
        <v>6</v>
      </c>
      <c r="BI32" s="131">
        <f t="shared" si="271"/>
        <v>1</v>
      </c>
      <c r="BJ32" s="375">
        <f t="shared" si="271"/>
        <v>2</v>
      </c>
      <c r="BK32" s="131">
        <f t="shared" si="271"/>
        <v>6</v>
      </c>
      <c r="BL32" s="131">
        <f t="shared" si="271"/>
        <v>5</v>
      </c>
      <c r="BM32" s="131">
        <f t="shared" si="271"/>
        <v>2</v>
      </c>
      <c r="BN32" s="131">
        <f t="shared" si="271"/>
        <v>1</v>
      </c>
      <c r="BO32" s="131">
        <f t="shared" si="271"/>
        <v>4</v>
      </c>
      <c r="BP32" s="131">
        <f t="shared" si="271"/>
        <v>7</v>
      </c>
      <c r="BQ32" s="375">
        <f t="shared" si="271"/>
        <v>3</v>
      </c>
      <c r="BS32" s="131">
        <f t="shared" si="272"/>
        <v>3</v>
      </c>
      <c r="BT32" s="131">
        <f t="shared" si="272"/>
        <v>1</v>
      </c>
      <c r="BU32" s="131">
        <f t="shared" si="272"/>
        <v>6</v>
      </c>
      <c r="BV32" s="131">
        <f t="shared" si="272"/>
        <v>4</v>
      </c>
      <c r="BW32" s="131">
        <f t="shared" si="272"/>
        <v>2</v>
      </c>
      <c r="BX32" s="375">
        <f t="shared" si="272"/>
        <v>5</v>
      </c>
      <c r="BY32" s="131">
        <f t="shared" si="272"/>
        <v>1</v>
      </c>
      <c r="BZ32" s="131">
        <f t="shared" si="272"/>
        <v>2</v>
      </c>
      <c r="CA32" s="131">
        <f t="shared" si="272"/>
        <v>5</v>
      </c>
      <c r="CB32" s="131">
        <f t="shared" si="272"/>
        <v>3</v>
      </c>
      <c r="CC32" s="131">
        <f t="shared" si="272"/>
        <v>6</v>
      </c>
      <c r="CD32" s="375">
        <f t="shared" si="272"/>
        <v>4</v>
      </c>
      <c r="CE32" s="131">
        <f t="shared" si="273"/>
        <v>4</v>
      </c>
      <c r="CF32" s="131">
        <f t="shared" si="273"/>
        <v>3</v>
      </c>
      <c r="CG32" s="131">
        <f t="shared" si="273"/>
        <v>5</v>
      </c>
      <c r="CH32" s="131">
        <f t="shared" si="273"/>
        <v>6</v>
      </c>
      <c r="CI32" s="131">
        <f t="shared" si="273"/>
        <v>1</v>
      </c>
      <c r="CJ32" s="375">
        <f t="shared" si="273"/>
        <v>2</v>
      </c>
      <c r="CK32" s="131">
        <f t="shared" si="273"/>
        <v>6</v>
      </c>
      <c r="CL32" s="131">
        <f t="shared" si="273"/>
        <v>5</v>
      </c>
      <c r="CM32" s="131">
        <f t="shared" si="273"/>
        <v>2</v>
      </c>
      <c r="CN32" s="131">
        <f t="shared" si="273"/>
        <v>1</v>
      </c>
      <c r="CO32" s="131">
        <f t="shared" si="273"/>
        <v>4</v>
      </c>
      <c r="CP32" s="375">
        <f t="shared" si="273"/>
        <v>3</v>
      </c>
      <c r="CR32" s="131">
        <f t="shared" si="274"/>
        <v>3</v>
      </c>
      <c r="CS32" s="131">
        <f t="shared" si="274"/>
        <v>1</v>
      </c>
      <c r="CT32" s="131">
        <f t="shared" si="274"/>
        <v>4</v>
      </c>
      <c r="CU32" s="131">
        <f t="shared" si="274"/>
        <v>2</v>
      </c>
      <c r="CV32" s="375">
        <f t="shared" si="274"/>
        <v>5</v>
      </c>
      <c r="CW32" s="131">
        <f t="shared" si="274"/>
        <v>1</v>
      </c>
      <c r="CX32" s="131">
        <f t="shared" si="274"/>
        <v>2</v>
      </c>
      <c r="CY32" s="131">
        <f t="shared" si="274"/>
        <v>5</v>
      </c>
      <c r="CZ32" s="131">
        <f t="shared" si="274"/>
        <v>3</v>
      </c>
      <c r="DA32" s="375">
        <f t="shared" si="274"/>
        <v>4</v>
      </c>
      <c r="DB32" s="131">
        <f t="shared" si="274"/>
        <v>4</v>
      </c>
      <c r="DC32" s="131">
        <f t="shared" si="274"/>
        <v>3</v>
      </c>
      <c r="DD32" s="131">
        <f t="shared" si="274"/>
        <v>5</v>
      </c>
      <c r="DE32" s="131">
        <f t="shared" si="274"/>
        <v>1</v>
      </c>
      <c r="DF32" s="375">
        <f t="shared" si="274"/>
        <v>2</v>
      </c>
      <c r="DG32" s="131">
        <f t="shared" si="275"/>
        <v>5</v>
      </c>
      <c r="DH32" s="131">
        <f t="shared" si="275"/>
        <v>2</v>
      </c>
      <c r="DI32" s="131">
        <f t="shared" si="275"/>
        <v>1</v>
      </c>
      <c r="DJ32" s="131">
        <f t="shared" si="275"/>
        <v>4</v>
      </c>
      <c r="DK32" s="375">
        <f t="shared" si="275"/>
        <v>3</v>
      </c>
      <c r="DT32" s="64" t="str">
        <f>"'Middle D'!"</f>
        <v>'Middle D'!</v>
      </c>
      <c r="DU32" s="100" t="s">
        <v>673</v>
      </c>
      <c r="DV32" s="100" t="s">
        <v>223</v>
      </c>
      <c r="DW32" s="64">
        <f t="shared" ca="1" si="0"/>
        <v>109</v>
      </c>
      <c r="DX32" s="64" t="str">
        <f ca="1">IFERROR(CONCATENATE(DT32,DV32,DW32+1),"-")</f>
        <v>'Middle D'!E110</v>
      </c>
      <c r="DY32" s="100" t="str">
        <f>"'Track2'!"</f>
        <v>'Track2'!</v>
      </c>
      <c r="DZ32" s="100" t="s">
        <v>673</v>
      </c>
      <c r="EA32" s="100" t="s">
        <v>218</v>
      </c>
      <c r="EB32" s="100">
        <f t="shared" ca="1" si="1"/>
        <v>35</v>
      </c>
      <c r="EC32" s="64" t="str">
        <f t="shared" ca="1" si="13"/>
        <v>'Track2'!R37</v>
      </c>
      <c r="EG32" s="65">
        <v>15.5</v>
      </c>
    </row>
    <row r="33" spans="1:137" x14ac:dyDescent="0.35">
      <c r="A33" s="64" t="s">
        <v>315</v>
      </c>
      <c r="B33" s="67" t="s">
        <v>87</v>
      </c>
      <c r="C33" s="64" t="s">
        <v>4</v>
      </c>
      <c r="D33" s="66">
        <v>33</v>
      </c>
      <c r="E33" s="66">
        <v>48</v>
      </c>
      <c r="F33" s="429" t="s">
        <v>1407</v>
      </c>
      <c r="G33" s="430" t="s">
        <v>1407</v>
      </c>
      <c r="I33" s="129">
        <v>5</v>
      </c>
      <c r="J33" s="129">
        <v>8</v>
      </c>
      <c r="K33" s="129">
        <v>6</v>
      </c>
      <c r="L33" s="129">
        <v>4</v>
      </c>
      <c r="M33" s="129">
        <v>2</v>
      </c>
      <c r="N33" s="129">
        <v>7</v>
      </c>
      <c r="O33" s="129">
        <v>3</v>
      </c>
      <c r="P33" s="374">
        <v>1</v>
      </c>
      <c r="Q33" s="129">
        <v>3</v>
      </c>
      <c r="R33" s="129">
        <v>2</v>
      </c>
      <c r="S33" s="129">
        <v>7</v>
      </c>
      <c r="T33" s="129">
        <v>5</v>
      </c>
      <c r="U33" s="129">
        <v>4</v>
      </c>
      <c r="V33" s="129">
        <v>1</v>
      </c>
      <c r="W33" s="129">
        <v>6</v>
      </c>
      <c r="X33" s="374">
        <v>8</v>
      </c>
      <c r="Y33" s="129">
        <v>7</v>
      </c>
      <c r="Z33" s="129">
        <v>2</v>
      </c>
      <c r="AA33" s="129">
        <v>1</v>
      </c>
      <c r="AB33" s="129">
        <v>3</v>
      </c>
      <c r="AC33" s="129">
        <v>5</v>
      </c>
      <c r="AD33" s="129">
        <v>6</v>
      </c>
      <c r="AE33" s="129">
        <v>8</v>
      </c>
      <c r="AF33" s="374">
        <v>4</v>
      </c>
      <c r="AG33" s="129">
        <v>4</v>
      </c>
      <c r="AH33" s="129">
        <v>3</v>
      </c>
      <c r="AI33" s="129">
        <v>6</v>
      </c>
      <c r="AJ33" s="129">
        <v>8</v>
      </c>
      <c r="AK33" s="129">
        <v>1</v>
      </c>
      <c r="AL33" s="129">
        <v>2</v>
      </c>
      <c r="AM33" s="129">
        <v>7</v>
      </c>
      <c r="AN33" s="374">
        <v>5</v>
      </c>
      <c r="AP33" s="129">
        <v>5</v>
      </c>
      <c r="AQ33" s="129">
        <v>6</v>
      </c>
      <c r="AR33" s="129">
        <v>4</v>
      </c>
      <c r="AS33" s="129">
        <v>2</v>
      </c>
      <c r="AT33" s="129">
        <v>7</v>
      </c>
      <c r="AU33" s="129">
        <v>3</v>
      </c>
      <c r="AV33" s="374">
        <v>1</v>
      </c>
      <c r="AW33" s="129">
        <v>3</v>
      </c>
      <c r="AX33" s="129">
        <v>2</v>
      </c>
      <c r="AY33" s="129">
        <v>7</v>
      </c>
      <c r="AZ33" s="129">
        <v>5</v>
      </c>
      <c r="BA33" s="129">
        <v>4</v>
      </c>
      <c r="BB33" s="129">
        <v>1</v>
      </c>
      <c r="BC33" s="374">
        <v>6</v>
      </c>
      <c r="BD33" s="129">
        <v>7</v>
      </c>
      <c r="BE33" s="129">
        <v>2</v>
      </c>
      <c r="BF33" s="129">
        <v>1</v>
      </c>
      <c r="BG33" s="129">
        <v>3</v>
      </c>
      <c r="BH33" s="129">
        <v>5</v>
      </c>
      <c r="BI33" s="129">
        <v>6</v>
      </c>
      <c r="BJ33" s="374">
        <v>4</v>
      </c>
      <c r="BK33" s="129">
        <v>4</v>
      </c>
      <c r="BL33" s="129">
        <v>3</v>
      </c>
      <c r="BM33" s="129">
        <v>6</v>
      </c>
      <c r="BN33" s="129">
        <v>1</v>
      </c>
      <c r="BO33" s="129">
        <v>2</v>
      </c>
      <c r="BP33" s="129">
        <v>7</v>
      </c>
      <c r="BQ33" s="374">
        <v>5</v>
      </c>
      <c r="BS33" s="129">
        <v>5</v>
      </c>
      <c r="BT33" s="129">
        <v>6</v>
      </c>
      <c r="BU33" s="129">
        <v>4</v>
      </c>
      <c r="BV33" s="129">
        <v>2</v>
      </c>
      <c r="BW33" s="129">
        <v>3</v>
      </c>
      <c r="BX33" s="374">
        <v>1</v>
      </c>
      <c r="BY33" s="129">
        <v>3</v>
      </c>
      <c r="BZ33" s="129">
        <v>2</v>
      </c>
      <c r="CA33" s="129">
        <v>5</v>
      </c>
      <c r="CB33" s="129">
        <v>4</v>
      </c>
      <c r="CC33" s="129">
        <v>1</v>
      </c>
      <c r="CD33" s="374">
        <v>6</v>
      </c>
      <c r="CE33" s="129">
        <v>2</v>
      </c>
      <c r="CF33" s="129">
        <v>1</v>
      </c>
      <c r="CG33" s="129">
        <v>3</v>
      </c>
      <c r="CH33" s="129">
        <v>5</v>
      </c>
      <c r="CI33" s="129">
        <v>6</v>
      </c>
      <c r="CJ33" s="374">
        <v>4</v>
      </c>
      <c r="CK33" s="129">
        <v>4</v>
      </c>
      <c r="CL33" s="129">
        <v>3</v>
      </c>
      <c r="CM33" s="129">
        <v>6</v>
      </c>
      <c r="CN33" s="129">
        <v>1</v>
      </c>
      <c r="CO33" s="129">
        <v>2</v>
      </c>
      <c r="CP33" s="374">
        <v>5</v>
      </c>
      <c r="CR33" s="129">
        <v>5</v>
      </c>
      <c r="CS33" s="129">
        <v>4</v>
      </c>
      <c r="CT33" s="129">
        <v>2</v>
      </c>
      <c r="CU33" s="129">
        <v>3</v>
      </c>
      <c r="CV33" s="374">
        <v>1</v>
      </c>
      <c r="CW33" s="129">
        <v>3</v>
      </c>
      <c r="CX33" s="129">
        <v>2</v>
      </c>
      <c r="CY33" s="129">
        <v>5</v>
      </c>
      <c r="CZ33" s="129">
        <v>4</v>
      </c>
      <c r="DA33" s="374">
        <v>1</v>
      </c>
      <c r="DB33" s="129">
        <v>2</v>
      </c>
      <c r="DC33" s="129">
        <v>1</v>
      </c>
      <c r="DD33" s="129">
        <v>3</v>
      </c>
      <c r="DE33" s="129">
        <v>5</v>
      </c>
      <c r="DF33" s="374">
        <v>4</v>
      </c>
      <c r="DG33" s="129">
        <v>4</v>
      </c>
      <c r="DH33" s="129">
        <v>3</v>
      </c>
      <c r="DI33" s="129">
        <v>1</v>
      </c>
      <c r="DJ33" s="129">
        <v>2</v>
      </c>
      <c r="DK33" s="374">
        <v>5</v>
      </c>
      <c r="DT33" s="64" t="str">
        <f t="shared" ref="DT33:DT38" si="277">"'Relays'!"</f>
        <v>'Relays'!</v>
      </c>
      <c r="DU33" s="100" t="s">
        <v>673</v>
      </c>
      <c r="DV33" s="100" t="s">
        <v>333</v>
      </c>
      <c r="DW33" s="64">
        <f t="shared" ca="1" si="0"/>
        <v>2</v>
      </c>
      <c r="DX33" s="64" t="str">
        <f t="shared" ca="1" si="11"/>
        <v>'Relays'!C4</v>
      </c>
      <c r="DY33" s="64" t="str">
        <f t="shared" ref="DY33:DY38" si="278">"'Relays'!"</f>
        <v>'Relays'!</v>
      </c>
      <c r="DZ33" s="100" t="s">
        <v>673</v>
      </c>
      <c r="EA33" s="100" t="s">
        <v>222</v>
      </c>
      <c r="EB33" s="100">
        <f t="shared" ca="1" si="1"/>
        <v>2</v>
      </c>
      <c r="EC33" s="64" t="str">
        <f t="shared" ca="1" si="13"/>
        <v>'Relays'!M4</v>
      </c>
      <c r="EG33" s="65">
        <v>16</v>
      </c>
    </row>
    <row r="34" spans="1:137" x14ac:dyDescent="0.35">
      <c r="A34" s="64" t="s">
        <v>316</v>
      </c>
      <c r="B34" s="67" t="s">
        <v>87</v>
      </c>
      <c r="C34" s="64" t="s">
        <v>6</v>
      </c>
      <c r="D34" s="66">
        <v>34</v>
      </c>
      <c r="E34" s="66">
        <v>98</v>
      </c>
      <c r="F34" s="429" t="s">
        <v>1408</v>
      </c>
      <c r="G34" s="430" t="s">
        <v>1408</v>
      </c>
      <c r="I34" s="131">
        <f>I$33</f>
        <v>5</v>
      </c>
      <c r="J34" s="131">
        <f t="shared" ref="J34:AH36" si="279">J$33</f>
        <v>8</v>
      </c>
      <c r="K34" s="131">
        <f t="shared" si="279"/>
        <v>6</v>
      </c>
      <c r="L34" s="131">
        <f t="shared" si="279"/>
        <v>4</v>
      </c>
      <c r="M34" s="131">
        <f t="shared" si="279"/>
        <v>2</v>
      </c>
      <c r="N34" s="131">
        <f t="shared" si="279"/>
        <v>7</v>
      </c>
      <c r="O34" s="131">
        <f t="shared" si="279"/>
        <v>3</v>
      </c>
      <c r="P34" s="375">
        <f t="shared" si="279"/>
        <v>1</v>
      </c>
      <c r="Q34" s="131">
        <f>Q$33</f>
        <v>3</v>
      </c>
      <c r="R34" s="131">
        <f t="shared" si="279"/>
        <v>2</v>
      </c>
      <c r="S34" s="131">
        <f t="shared" si="279"/>
        <v>7</v>
      </c>
      <c r="T34" s="131">
        <f t="shared" si="279"/>
        <v>5</v>
      </c>
      <c r="U34" s="131">
        <f t="shared" si="279"/>
        <v>4</v>
      </c>
      <c r="V34" s="131">
        <f t="shared" si="279"/>
        <v>1</v>
      </c>
      <c r="W34" s="131">
        <f t="shared" si="279"/>
        <v>6</v>
      </c>
      <c r="X34" s="375">
        <f t="shared" si="279"/>
        <v>8</v>
      </c>
      <c r="Y34" s="131">
        <f>Y$33</f>
        <v>7</v>
      </c>
      <c r="Z34" s="131">
        <f t="shared" si="279"/>
        <v>2</v>
      </c>
      <c r="AA34" s="131">
        <f t="shared" si="279"/>
        <v>1</v>
      </c>
      <c r="AB34" s="131">
        <f t="shared" si="279"/>
        <v>3</v>
      </c>
      <c r="AC34" s="131">
        <f t="shared" si="279"/>
        <v>5</v>
      </c>
      <c r="AD34" s="131">
        <f t="shared" si="279"/>
        <v>6</v>
      </c>
      <c r="AE34" s="131">
        <f t="shared" si="279"/>
        <v>8</v>
      </c>
      <c r="AF34" s="375">
        <f t="shared" si="279"/>
        <v>4</v>
      </c>
      <c r="AG34" s="131">
        <f>AG$33</f>
        <v>4</v>
      </c>
      <c r="AH34" s="131">
        <f t="shared" si="279"/>
        <v>3</v>
      </c>
      <c r="AI34" s="131">
        <f t="shared" ref="AG34:AN36" si="280">AI$33</f>
        <v>6</v>
      </c>
      <c r="AJ34" s="131">
        <f t="shared" si="280"/>
        <v>8</v>
      </c>
      <c r="AK34" s="131">
        <f t="shared" si="280"/>
        <v>1</v>
      </c>
      <c r="AL34" s="131">
        <f t="shared" si="280"/>
        <v>2</v>
      </c>
      <c r="AM34" s="131">
        <f t="shared" si="280"/>
        <v>7</v>
      </c>
      <c r="AN34" s="375">
        <f t="shared" si="280"/>
        <v>5</v>
      </c>
      <c r="AP34" s="131">
        <f t="shared" ref="AP34:BE36" si="281">AP$33</f>
        <v>5</v>
      </c>
      <c r="AQ34" s="131">
        <f t="shared" si="281"/>
        <v>6</v>
      </c>
      <c r="AR34" s="131">
        <f t="shared" si="281"/>
        <v>4</v>
      </c>
      <c r="AS34" s="131">
        <f t="shared" si="281"/>
        <v>2</v>
      </c>
      <c r="AT34" s="131">
        <f t="shared" si="281"/>
        <v>7</v>
      </c>
      <c r="AU34" s="131">
        <f t="shared" si="281"/>
        <v>3</v>
      </c>
      <c r="AV34" s="375">
        <f t="shared" si="281"/>
        <v>1</v>
      </c>
      <c r="AW34" s="131">
        <f t="shared" si="281"/>
        <v>3</v>
      </c>
      <c r="AX34" s="131">
        <f t="shared" si="281"/>
        <v>2</v>
      </c>
      <c r="AY34" s="131">
        <f t="shared" si="281"/>
        <v>7</v>
      </c>
      <c r="AZ34" s="131">
        <f t="shared" si="281"/>
        <v>5</v>
      </c>
      <c r="BA34" s="131">
        <f t="shared" si="281"/>
        <v>4</v>
      </c>
      <c r="BB34" s="131">
        <f t="shared" si="281"/>
        <v>1</v>
      </c>
      <c r="BC34" s="375">
        <f t="shared" si="281"/>
        <v>6</v>
      </c>
      <c r="BD34" s="131">
        <f t="shared" si="281"/>
        <v>7</v>
      </c>
      <c r="BE34" s="131">
        <f t="shared" si="281"/>
        <v>2</v>
      </c>
      <c r="BF34" s="131">
        <f t="shared" ref="BD34:BQ36" si="282">BF$33</f>
        <v>1</v>
      </c>
      <c r="BG34" s="131">
        <f t="shared" si="282"/>
        <v>3</v>
      </c>
      <c r="BH34" s="131">
        <f t="shared" si="282"/>
        <v>5</v>
      </c>
      <c r="BI34" s="131">
        <f t="shared" si="282"/>
        <v>6</v>
      </c>
      <c r="BJ34" s="375">
        <f t="shared" si="282"/>
        <v>4</v>
      </c>
      <c r="BK34" s="131">
        <f t="shared" si="282"/>
        <v>4</v>
      </c>
      <c r="BL34" s="131">
        <f t="shared" si="282"/>
        <v>3</v>
      </c>
      <c r="BM34" s="131">
        <f t="shared" si="282"/>
        <v>6</v>
      </c>
      <c r="BN34" s="131">
        <f t="shared" si="282"/>
        <v>1</v>
      </c>
      <c r="BO34" s="131">
        <f t="shared" si="282"/>
        <v>2</v>
      </c>
      <c r="BP34" s="131">
        <f t="shared" si="282"/>
        <v>7</v>
      </c>
      <c r="BQ34" s="375">
        <f t="shared" si="282"/>
        <v>5</v>
      </c>
      <c r="BS34" s="131">
        <f t="shared" ref="BS34:CH36" si="283">BS$33</f>
        <v>5</v>
      </c>
      <c r="BT34" s="131">
        <f t="shared" si="283"/>
        <v>6</v>
      </c>
      <c r="BU34" s="131">
        <f t="shared" si="283"/>
        <v>4</v>
      </c>
      <c r="BV34" s="131">
        <f t="shared" si="283"/>
        <v>2</v>
      </c>
      <c r="BW34" s="131">
        <f t="shared" si="283"/>
        <v>3</v>
      </c>
      <c r="BX34" s="375">
        <f t="shared" si="283"/>
        <v>1</v>
      </c>
      <c r="BY34" s="131">
        <f t="shared" si="283"/>
        <v>3</v>
      </c>
      <c r="BZ34" s="131">
        <f t="shared" si="283"/>
        <v>2</v>
      </c>
      <c r="CA34" s="131">
        <f t="shared" si="283"/>
        <v>5</v>
      </c>
      <c r="CB34" s="131">
        <f t="shared" si="283"/>
        <v>4</v>
      </c>
      <c r="CC34" s="131">
        <f t="shared" si="283"/>
        <v>1</v>
      </c>
      <c r="CD34" s="375">
        <f t="shared" si="283"/>
        <v>6</v>
      </c>
      <c r="CE34" s="131">
        <f t="shared" si="283"/>
        <v>2</v>
      </c>
      <c r="CF34" s="131">
        <f t="shared" si="283"/>
        <v>1</v>
      </c>
      <c r="CG34" s="131">
        <f t="shared" si="283"/>
        <v>3</v>
      </c>
      <c r="CH34" s="131">
        <f t="shared" si="283"/>
        <v>5</v>
      </c>
      <c r="CI34" s="131">
        <f t="shared" ref="CE34:CP36" si="284">CI$33</f>
        <v>6</v>
      </c>
      <c r="CJ34" s="375">
        <f t="shared" si="284"/>
        <v>4</v>
      </c>
      <c r="CK34" s="131">
        <f t="shared" si="284"/>
        <v>4</v>
      </c>
      <c r="CL34" s="131">
        <f t="shared" si="284"/>
        <v>3</v>
      </c>
      <c r="CM34" s="131">
        <f t="shared" si="284"/>
        <v>6</v>
      </c>
      <c r="CN34" s="131">
        <f t="shared" si="284"/>
        <v>1</v>
      </c>
      <c r="CO34" s="131">
        <f t="shared" si="284"/>
        <v>2</v>
      </c>
      <c r="CP34" s="375">
        <f t="shared" si="284"/>
        <v>5</v>
      </c>
      <c r="CR34" s="131">
        <f t="shared" ref="CR34:DG36" si="285">CR$33</f>
        <v>5</v>
      </c>
      <c r="CS34" s="131">
        <f t="shared" si="285"/>
        <v>4</v>
      </c>
      <c r="CT34" s="131">
        <f t="shared" si="285"/>
        <v>2</v>
      </c>
      <c r="CU34" s="131">
        <f t="shared" si="285"/>
        <v>3</v>
      </c>
      <c r="CV34" s="375">
        <f t="shared" si="285"/>
        <v>1</v>
      </c>
      <c r="CW34" s="131">
        <f t="shared" si="285"/>
        <v>3</v>
      </c>
      <c r="CX34" s="131">
        <f t="shared" si="285"/>
        <v>2</v>
      </c>
      <c r="CY34" s="131">
        <f t="shared" si="285"/>
        <v>5</v>
      </c>
      <c r="CZ34" s="131">
        <f t="shared" si="285"/>
        <v>4</v>
      </c>
      <c r="DA34" s="375">
        <f t="shared" si="285"/>
        <v>1</v>
      </c>
      <c r="DB34" s="131">
        <f t="shared" si="285"/>
        <v>2</v>
      </c>
      <c r="DC34" s="131">
        <f t="shared" si="285"/>
        <v>1</v>
      </c>
      <c r="DD34" s="131">
        <f t="shared" si="285"/>
        <v>3</v>
      </c>
      <c r="DE34" s="131">
        <f t="shared" si="285"/>
        <v>5</v>
      </c>
      <c r="DF34" s="375">
        <f t="shared" si="285"/>
        <v>4</v>
      </c>
      <c r="DG34" s="131">
        <f t="shared" si="285"/>
        <v>4</v>
      </c>
      <c r="DH34" s="131">
        <f t="shared" ref="DG34:DK36" si="286">DH$33</f>
        <v>3</v>
      </c>
      <c r="DI34" s="131">
        <f t="shared" si="286"/>
        <v>1</v>
      </c>
      <c r="DJ34" s="131">
        <f t="shared" si="286"/>
        <v>2</v>
      </c>
      <c r="DK34" s="375">
        <f t="shared" si="286"/>
        <v>5</v>
      </c>
      <c r="DT34" s="64" t="str">
        <f t="shared" si="277"/>
        <v>'Relays'!</v>
      </c>
      <c r="DU34" s="100" t="s">
        <v>673</v>
      </c>
      <c r="DV34" s="100" t="s">
        <v>333</v>
      </c>
      <c r="DW34" s="64">
        <f t="shared" ca="1" si="0"/>
        <v>13</v>
      </c>
      <c r="DX34" s="64" t="str">
        <f t="shared" ca="1" si="11"/>
        <v>'Relays'!C15</v>
      </c>
      <c r="DY34" s="64" t="str">
        <f t="shared" si="278"/>
        <v>'Relays'!</v>
      </c>
      <c r="DZ34" s="100" t="s">
        <v>673</v>
      </c>
      <c r="EA34" s="100" t="s">
        <v>222</v>
      </c>
      <c r="EB34" s="100">
        <f t="shared" ca="1" si="1"/>
        <v>13</v>
      </c>
      <c r="EC34" s="64" t="str">
        <f t="shared" ca="1" si="13"/>
        <v>'Relays'!M15</v>
      </c>
      <c r="EG34" s="65">
        <v>16.05</v>
      </c>
    </row>
    <row r="35" spans="1:137" x14ac:dyDescent="0.35">
      <c r="A35" s="64" t="s">
        <v>317</v>
      </c>
      <c r="B35" s="67" t="s">
        <v>87</v>
      </c>
      <c r="C35" s="64" t="s">
        <v>7</v>
      </c>
      <c r="D35" s="66">
        <v>35</v>
      </c>
      <c r="E35" s="66">
        <v>23</v>
      </c>
      <c r="F35" s="429" t="s">
        <v>1409</v>
      </c>
      <c r="G35" s="430" t="s">
        <v>1409</v>
      </c>
      <c r="I35" s="131">
        <f t="shared" ref="I35:Y36" si="287">I$33</f>
        <v>5</v>
      </c>
      <c r="J35" s="131">
        <f t="shared" si="287"/>
        <v>8</v>
      </c>
      <c r="K35" s="131">
        <f t="shared" si="287"/>
        <v>6</v>
      </c>
      <c r="L35" s="131">
        <f t="shared" si="287"/>
        <v>4</v>
      </c>
      <c r="M35" s="131">
        <f t="shared" si="287"/>
        <v>2</v>
      </c>
      <c r="N35" s="131">
        <f t="shared" si="287"/>
        <v>7</v>
      </c>
      <c r="O35" s="131">
        <f t="shared" si="287"/>
        <v>3</v>
      </c>
      <c r="P35" s="375">
        <f t="shared" si="287"/>
        <v>1</v>
      </c>
      <c r="Q35" s="131">
        <f t="shared" si="287"/>
        <v>3</v>
      </c>
      <c r="R35" s="131">
        <f t="shared" si="287"/>
        <v>2</v>
      </c>
      <c r="S35" s="131">
        <f t="shared" si="287"/>
        <v>7</v>
      </c>
      <c r="T35" s="131">
        <f t="shared" si="287"/>
        <v>5</v>
      </c>
      <c r="U35" s="131">
        <f t="shared" si="287"/>
        <v>4</v>
      </c>
      <c r="V35" s="131">
        <f t="shared" si="287"/>
        <v>1</v>
      </c>
      <c r="W35" s="131">
        <f t="shared" si="287"/>
        <v>6</v>
      </c>
      <c r="X35" s="375">
        <f t="shared" si="287"/>
        <v>8</v>
      </c>
      <c r="Y35" s="131">
        <f t="shared" si="287"/>
        <v>7</v>
      </c>
      <c r="Z35" s="131">
        <f t="shared" si="279"/>
        <v>2</v>
      </c>
      <c r="AA35" s="131">
        <f t="shared" si="279"/>
        <v>1</v>
      </c>
      <c r="AB35" s="131">
        <f t="shared" si="279"/>
        <v>3</v>
      </c>
      <c r="AC35" s="131">
        <f t="shared" si="279"/>
        <v>5</v>
      </c>
      <c r="AD35" s="131">
        <f t="shared" si="279"/>
        <v>6</v>
      </c>
      <c r="AE35" s="131">
        <f t="shared" si="279"/>
        <v>8</v>
      </c>
      <c r="AF35" s="375">
        <f t="shared" si="279"/>
        <v>4</v>
      </c>
      <c r="AG35" s="131">
        <f t="shared" si="279"/>
        <v>4</v>
      </c>
      <c r="AH35" s="131">
        <f t="shared" si="279"/>
        <v>3</v>
      </c>
      <c r="AI35" s="131">
        <f t="shared" si="280"/>
        <v>6</v>
      </c>
      <c r="AJ35" s="131">
        <f t="shared" si="280"/>
        <v>8</v>
      </c>
      <c r="AK35" s="131">
        <f t="shared" si="280"/>
        <v>1</v>
      </c>
      <c r="AL35" s="131">
        <f t="shared" si="280"/>
        <v>2</v>
      </c>
      <c r="AM35" s="131">
        <f t="shared" si="280"/>
        <v>7</v>
      </c>
      <c r="AN35" s="375">
        <f t="shared" si="280"/>
        <v>5</v>
      </c>
      <c r="AP35" s="131">
        <f t="shared" si="281"/>
        <v>5</v>
      </c>
      <c r="AQ35" s="131">
        <f t="shared" si="281"/>
        <v>6</v>
      </c>
      <c r="AR35" s="131">
        <f t="shared" si="281"/>
        <v>4</v>
      </c>
      <c r="AS35" s="131">
        <f t="shared" si="281"/>
        <v>2</v>
      </c>
      <c r="AT35" s="131">
        <f t="shared" si="281"/>
        <v>7</v>
      </c>
      <c r="AU35" s="131">
        <f t="shared" si="281"/>
        <v>3</v>
      </c>
      <c r="AV35" s="375">
        <f t="shared" si="281"/>
        <v>1</v>
      </c>
      <c r="AW35" s="131">
        <f t="shared" si="281"/>
        <v>3</v>
      </c>
      <c r="AX35" s="131">
        <f t="shared" si="281"/>
        <v>2</v>
      </c>
      <c r="AY35" s="131">
        <f t="shared" si="281"/>
        <v>7</v>
      </c>
      <c r="AZ35" s="131">
        <f t="shared" si="281"/>
        <v>5</v>
      </c>
      <c r="BA35" s="131">
        <f t="shared" si="281"/>
        <v>4</v>
      </c>
      <c r="BB35" s="131">
        <f t="shared" si="281"/>
        <v>1</v>
      </c>
      <c r="BC35" s="375">
        <f t="shared" si="281"/>
        <v>6</v>
      </c>
      <c r="BD35" s="131">
        <f t="shared" si="281"/>
        <v>7</v>
      </c>
      <c r="BE35" s="131">
        <f t="shared" si="281"/>
        <v>2</v>
      </c>
      <c r="BF35" s="131">
        <f t="shared" si="282"/>
        <v>1</v>
      </c>
      <c r="BG35" s="131">
        <f t="shared" si="282"/>
        <v>3</v>
      </c>
      <c r="BH35" s="131">
        <f t="shared" si="282"/>
        <v>5</v>
      </c>
      <c r="BI35" s="131">
        <f t="shared" si="282"/>
        <v>6</v>
      </c>
      <c r="BJ35" s="375">
        <f t="shared" si="282"/>
        <v>4</v>
      </c>
      <c r="BK35" s="131">
        <f t="shared" si="282"/>
        <v>4</v>
      </c>
      <c r="BL35" s="131">
        <f t="shared" si="282"/>
        <v>3</v>
      </c>
      <c r="BM35" s="131">
        <f t="shared" si="282"/>
        <v>6</v>
      </c>
      <c r="BN35" s="131">
        <f t="shared" si="282"/>
        <v>1</v>
      </c>
      <c r="BO35" s="131">
        <f t="shared" si="282"/>
        <v>2</v>
      </c>
      <c r="BP35" s="131">
        <f t="shared" si="282"/>
        <v>7</v>
      </c>
      <c r="BQ35" s="375">
        <f t="shared" si="282"/>
        <v>5</v>
      </c>
      <c r="BS35" s="131">
        <f t="shared" si="283"/>
        <v>5</v>
      </c>
      <c r="BT35" s="131">
        <f t="shared" si="283"/>
        <v>6</v>
      </c>
      <c r="BU35" s="131">
        <f t="shared" si="283"/>
        <v>4</v>
      </c>
      <c r="BV35" s="131">
        <f t="shared" si="283"/>
        <v>2</v>
      </c>
      <c r="BW35" s="131">
        <f t="shared" si="283"/>
        <v>3</v>
      </c>
      <c r="BX35" s="375">
        <f t="shared" si="283"/>
        <v>1</v>
      </c>
      <c r="BY35" s="131">
        <f t="shared" si="283"/>
        <v>3</v>
      </c>
      <c r="BZ35" s="131">
        <f t="shared" si="283"/>
        <v>2</v>
      </c>
      <c r="CA35" s="131">
        <f t="shared" si="283"/>
        <v>5</v>
      </c>
      <c r="CB35" s="131">
        <f t="shared" si="283"/>
        <v>4</v>
      </c>
      <c r="CC35" s="131">
        <f t="shared" si="283"/>
        <v>1</v>
      </c>
      <c r="CD35" s="375">
        <f t="shared" si="283"/>
        <v>6</v>
      </c>
      <c r="CE35" s="131">
        <f t="shared" si="284"/>
        <v>2</v>
      </c>
      <c r="CF35" s="131">
        <f t="shared" si="284"/>
        <v>1</v>
      </c>
      <c r="CG35" s="131">
        <f t="shared" si="284"/>
        <v>3</v>
      </c>
      <c r="CH35" s="131">
        <f t="shared" si="284"/>
        <v>5</v>
      </c>
      <c r="CI35" s="131">
        <f t="shared" si="284"/>
        <v>6</v>
      </c>
      <c r="CJ35" s="375">
        <f t="shared" si="284"/>
        <v>4</v>
      </c>
      <c r="CK35" s="131">
        <f t="shared" si="284"/>
        <v>4</v>
      </c>
      <c r="CL35" s="131">
        <f t="shared" si="284"/>
        <v>3</v>
      </c>
      <c r="CM35" s="131">
        <f t="shared" si="284"/>
        <v>6</v>
      </c>
      <c r="CN35" s="131">
        <f t="shared" si="284"/>
        <v>1</v>
      </c>
      <c r="CO35" s="131">
        <f t="shared" si="284"/>
        <v>2</v>
      </c>
      <c r="CP35" s="375">
        <f t="shared" si="284"/>
        <v>5</v>
      </c>
      <c r="CR35" s="131">
        <f t="shared" si="285"/>
        <v>5</v>
      </c>
      <c r="CS35" s="131">
        <f t="shared" si="285"/>
        <v>4</v>
      </c>
      <c r="CT35" s="131">
        <f t="shared" si="285"/>
        <v>2</v>
      </c>
      <c r="CU35" s="131">
        <f t="shared" si="285"/>
        <v>3</v>
      </c>
      <c r="CV35" s="375">
        <f t="shared" si="285"/>
        <v>1</v>
      </c>
      <c r="CW35" s="131">
        <f t="shared" si="285"/>
        <v>3</v>
      </c>
      <c r="CX35" s="131">
        <f t="shared" si="285"/>
        <v>2</v>
      </c>
      <c r="CY35" s="131">
        <f t="shared" si="285"/>
        <v>5</v>
      </c>
      <c r="CZ35" s="131">
        <f t="shared" si="285"/>
        <v>4</v>
      </c>
      <c r="DA35" s="375">
        <f t="shared" si="285"/>
        <v>1</v>
      </c>
      <c r="DB35" s="131">
        <f t="shared" si="285"/>
        <v>2</v>
      </c>
      <c r="DC35" s="131">
        <f t="shared" si="285"/>
        <v>1</v>
      </c>
      <c r="DD35" s="131">
        <f t="shared" si="285"/>
        <v>3</v>
      </c>
      <c r="DE35" s="131">
        <f t="shared" si="285"/>
        <v>5</v>
      </c>
      <c r="DF35" s="375">
        <f t="shared" si="285"/>
        <v>4</v>
      </c>
      <c r="DG35" s="131">
        <f t="shared" si="286"/>
        <v>4</v>
      </c>
      <c r="DH35" s="131">
        <f t="shared" si="286"/>
        <v>3</v>
      </c>
      <c r="DI35" s="131">
        <f t="shared" si="286"/>
        <v>1</v>
      </c>
      <c r="DJ35" s="131">
        <f t="shared" si="286"/>
        <v>2</v>
      </c>
      <c r="DK35" s="375">
        <f t="shared" si="286"/>
        <v>5</v>
      </c>
      <c r="DT35" s="64" t="str">
        <f t="shared" si="277"/>
        <v>'Relays'!</v>
      </c>
      <c r="DU35" s="100" t="s">
        <v>673</v>
      </c>
      <c r="DV35" s="100" t="s">
        <v>333</v>
      </c>
      <c r="DW35" s="64">
        <f t="shared" ref="DW35:DW60" ca="1" si="288">IFERROR(MATCH(A35,INDIRECT(CONCATENATE(DT35,DU35)),0),"-")</f>
        <v>24</v>
      </c>
      <c r="DX35" s="64" t="str">
        <f t="shared" ca="1" si="11"/>
        <v>'Relays'!C26</v>
      </c>
      <c r="DY35" s="64" t="str">
        <f t="shared" si="278"/>
        <v>'Relays'!</v>
      </c>
      <c r="DZ35" s="100" t="s">
        <v>673</v>
      </c>
      <c r="EA35" s="100" t="s">
        <v>222</v>
      </c>
      <c r="EB35" s="100">
        <f t="shared" ref="EB35:EB60" ca="1" si="289">IFERROR(MATCH(A35,INDIRECT(CONCATENATE(DY35,DZ35)),0),"-")</f>
        <v>24</v>
      </c>
      <c r="EC35" s="64" t="str">
        <f t="shared" ca="1" si="13"/>
        <v>'Relays'!M26</v>
      </c>
      <c r="EG35" s="65">
        <v>16.100000000000001</v>
      </c>
    </row>
    <row r="36" spans="1:137" x14ac:dyDescent="0.35">
      <c r="A36" s="64" t="s">
        <v>318</v>
      </c>
      <c r="B36" s="67" t="s">
        <v>87</v>
      </c>
      <c r="C36" s="64" t="s">
        <v>9</v>
      </c>
      <c r="D36" s="66">
        <v>36</v>
      </c>
      <c r="E36" s="66">
        <v>73</v>
      </c>
      <c r="F36" s="429" t="s">
        <v>1410</v>
      </c>
      <c r="G36" s="430" t="s">
        <v>1410</v>
      </c>
      <c r="I36" s="131">
        <f t="shared" si="287"/>
        <v>5</v>
      </c>
      <c r="J36" s="131">
        <f t="shared" si="287"/>
        <v>8</v>
      </c>
      <c r="K36" s="131">
        <f t="shared" si="287"/>
        <v>6</v>
      </c>
      <c r="L36" s="131">
        <f t="shared" si="287"/>
        <v>4</v>
      </c>
      <c r="M36" s="131">
        <f t="shared" si="287"/>
        <v>2</v>
      </c>
      <c r="N36" s="131">
        <f t="shared" si="287"/>
        <v>7</v>
      </c>
      <c r="O36" s="131">
        <f t="shared" si="287"/>
        <v>3</v>
      </c>
      <c r="P36" s="375">
        <f t="shared" si="287"/>
        <v>1</v>
      </c>
      <c r="Q36" s="131">
        <f t="shared" si="287"/>
        <v>3</v>
      </c>
      <c r="R36" s="131">
        <f t="shared" si="287"/>
        <v>2</v>
      </c>
      <c r="S36" s="131">
        <f t="shared" si="287"/>
        <v>7</v>
      </c>
      <c r="T36" s="131">
        <f t="shared" si="287"/>
        <v>5</v>
      </c>
      <c r="U36" s="131">
        <f t="shared" si="287"/>
        <v>4</v>
      </c>
      <c r="V36" s="131">
        <f t="shared" si="287"/>
        <v>1</v>
      </c>
      <c r="W36" s="131">
        <f t="shared" si="287"/>
        <v>6</v>
      </c>
      <c r="X36" s="375">
        <f t="shared" si="287"/>
        <v>8</v>
      </c>
      <c r="Y36" s="131">
        <f t="shared" si="279"/>
        <v>7</v>
      </c>
      <c r="Z36" s="131">
        <f t="shared" si="279"/>
        <v>2</v>
      </c>
      <c r="AA36" s="131">
        <f t="shared" si="279"/>
        <v>1</v>
      </c>
      <c r="AB36" s="131">
        <f t="shared" si="279"/>
        <v>3</v>
      </c>
      <c r="AC36" s="131">
        <f t="shared" si="279"/>
        <v>5</v>
      </c>
      <c r="AD36" s="131">
        <f t="shared" si="279"/>
        <v>6</v>
      </c>
      <c r="AE36" s="131">
        <f t="shared" si="279"/>
        <v>8</v>
      </c>
      <c r="AF36" s="375">
        <f t="shared" si="279"/>
        <v>4</v>
      </c>
      <c r="AG36" s="131">
        <f t="shared" si="280"/>
        <v>4</v>
      </c>
      <c r="AH36" s="131">
        <f t="shared" si="280"/>
        <v>3</v>
      </c>
      <c r="AI36" s="131">
        <f t="shared" si="280"/>
        <v>6</v>
      </c>
      <c r="AJ36" s="131">
        <f t="shared" si="280"/>
        <v>8</v>
      </c>
      <c r="AK36" s="131">
        <f t="shared" si="280"/>
        <v>1</v>
      </c>
      <c r="AL36" s="131">
        <f t="shared" si="280"/>
        <v>2</v>
      </c>
      <c r="AM36" s="131">
        <f t="shared" si="280"/>
        <v>7</v>
      </c>
      <c r="AN36" s="375">
        <f t="shared" si="280"/>
        <v>5</v>
      </c>
      <c r="AP36" s="131">
        <f t="shared" si="281"/>
        <v>5</v>
      </c>
      <c r="AQ36" s="131">
        <f t="shared" si="281"/>
        <v>6</v>
      </c>
      <c r="AR36" s="131">
        <f t="shared" si="281"/>
        <v>4</v>
      </c>
      <c r="AS36" s="131">
        <f t="shared" si="281"/>
        <v>2</v>
      </c>
      <c r="AT36" s="131">
        <f t="shared" si="281"/>
        <v>7</v>
      </c>
      <c r="AU36" s="131">
        <f t="shared" si="281"/>
        <v>3</v>
      </c>
      <c r="AV36" s="375">
        <f t="shared" si="281"/>
        <v>1</v>
      </c>
      <c r="AW36" s="131">
        <f t="shared" si="281"/>
        <v>3</v>
      </c>
      <c r="AX36" s="131">
        <f t="shared" si="281"/>
        <v>2</v>
      </c>
      <c r="AY36" s="131">
        <f t="shared" si="281"/>
        <v>7</v>
      </c>
      <c r="AZ36" s="131">
        <f t="shared" si="281"/>
        <v>5</v>
      </c>
      <c r="BA36" s="131">
        <f t="shared" si="281"/>
        <v>4</v>
      </c>
      <c r="BB36" s="131">
        <f t="shared" si="281"/>
        <v>1</v>
      </c>
      <c r="BC36" s="375">
        <f t="shared" si="281"/>
        <v>6</v>
      </c>
      <c r="BD36" s="131">
        <f t="shared" si="282"/>
        <v>7</v>
      </c>
      <c r="BE36" s="131">
        <f t="shared" si="282"/>
        <v>2</v>
      </c>
      <c r="BF36" s="131">
        <f t="shared" si="282"/>
        <v>1</v>
      </c>
      <c r="BG36" s="131">
        <f t="shared" si="282"/>
        <v>3</v>
      </c>
      <c r="BH36" s="131">
        <f t="shared" si="282"/>
        <v>5</v>
      </c>
      <c r="BI36" s="131">
        <f t="shared" si="282"/>
        <v>6</v>
      </c>
      <c r="BJ36" s="375">
        <f t="shared" si="282"/>
        <v>4</v>
      </c>
      <c r="BK36" s="131">
        <f t="shared" si="282"/>
        <v>4</v>
      </c>
      <c r="BL36" s="131">
        <f t="shared" si="282"/>
        <v>3</v>
      </c>
      <c r="BM36" s="131">
        <f t="shared" si="282"/>
        <v>6</v>
      </c>
      <c r="BN36" s="131">
        <f t="shared" si="282"/>
        <v>1</v>
      </c>
      <c r="BO36" s="131">
        <f t="shared" si="282"/>
        <v>2</v>
      </c>
      <c r="BP36" s="131">
        <f t="shared" si="282"/>
        <v>7</v>
      </c>
      <c r="BQ36" s="375">
        <f t="shared" si="282"/>
        <v>5</v>
      </c>
      <c r="BS36" s="131">
        <f t="shared" si="283"/>
        <v>5</v>
      </c>
      <c r="BT36" s="131">
        <f t="shared" si="283"/>
        <v>6</v>
      </c>
      <c r="BU36" s="131">
        <f t="shared" si="283"/>
        <v>4</v>
      </c>
      <c r="BV36" s="131">
        <f t="shared" si="283"/>
        <v>2</v>
      </c>
      <c r="BW36" s="131">
        <f t="shared" si="283"/>
        <v>3</v>
      </c>
      <c r="BX36" s="375">
        <f t="shared" si="283"/>
        <v>1</v>
      </c>
      <c r="BY36" s="131">
        <f t="shared" si="283"/>
        <v>3</v>
      </c>
      <c r="BZ36" s="131">
        <f t="shared" si="283"/>
        <v>2</v>
      </c>
      <c r="CA36" s="131">
        <f t="shared" si="283"/>
        <v>5</v>
      </c>
      <c r="CB36" s="131">
        <f t="shared" si="283"/>
        <v>4</v>
      </c>
      <c r="CC36" s="131">
        <f t="shared" si="283"/>
        <v>1</v>
      </c>
      <c r="CD36" s="375">
        <f t="shared" si="283"/>
        <v>6</v>
      </c>
      <c r="CE36" s="131">
        <f t="shared" si="284"/>
        <v>2</v>
      </c>
      <c r="CF36" s="131">
        <f t="shared" si="284"/>
        <v>1</v>
      </c>
      <c r="CG36" s="131">
        <f t="shared" si="284"/>
        <v>3</v>
      </c>
      <c r="CH36" s="131">
        <f t="shared" si="284"/>
        <v>5</v>
      </c>
      <c r="CI36" s="131">
        <f t="shared" si="284"/>
        <v>6</v>
      </c>
      <c r="CJ36" s="375">
        <f t="shared" si="284"/>
        <v>4</v>
      </c>
      <c r="CK36" s="131">
        <f t="shared" si="284"/>
        <v>4</v>
      </c>
      <c r="CL36" s="131">
        <f t="shared" si="284"/>
        <v>3</v>
      </c>
      <c r="CM36" s="131">
        <f t="shared" si="284"/>
        <v>6</v>
      </c>
      <c r="CN36" s="131">
        <f t="shared" si="284"/>
        <v>1</v>
      </c>
      <c r="CO36" s="131">
        <f t="shared" si="284"/>
        <v>2</v>
      </c>
      <c r="CP36" s="375">
        <f t="shared" si="284"/>
        <v>5</v>
      </c>
      <c r="CR36" s="131">
        <f t="shared" si="285"/>
        <v>5</v>
      </c>
      <c r="CS36" s="131">
        <f t="shared" si="285"/>
        <v>4</v>
      </c>
      <c r="CT36" s="131">
        <f t="shared" si="285"/>
        <v>2</v>
      </c>
      <c r="CU36" s="131">
        <f t="shared" si="285"/>
        <v>3</v>
      </c>
      <c r="CV36" s="375">
        <f t="shared" si="285"/>
        <v>1</v>
      </c>
      <c r="CW36" s="131">
        <f t="shared" si="285"/>
        <v>3</v>
      </c>
      <c r="CX36" s="131">
        <f t="shared" si="285"/>
        <v>2</v>
      </c>
      <c r="CY36" s="131">
        <f t="shared" si="285"/>
        <v>5</v>
      </c>
      <c r="CZ36" s="131">
        <f t="shared" si="285"/>
        <v>4</v>
      </c>
      <c r="DA36" s="375">
        <f t="shared" si="285"/>
        <v>1</v>
      </c>
      <c r="DB36" s="131">
        <f t="shared" si="285"/>
        <v>2</v>
      </c>
      <c r="DC36" s="131">
        <f t="shared" si="285"/>
        <v>1</v>
      </c>
      <c r="DD36" s="131">
        <f t="shared" si="285"/>
        <v>3</v>
      </c>
      <c r="DE36" s="131">
        <f t="shared" si="285"/>
        <v>5</v>
      </c>
      <c r="DF36" s="375">
        <f t="shared" si="285"/>
        <v>4</v>
      </c>
      <c r="DG36" s="131">
        <f t="shared" si="286"/>
        <v>4</v>
      </c>
      <c r="DH36" s="131">
        <f t="shared" si="286"/>
        <v>3</v>
      </c>
      <c r="DI36" s="131">
        <f t="shared" si="286"/>
        <v>1</v>
      </c>
      <c r="DJ36" s="131">
        <f t="shared" si="286"/>
        <v>2</v>
      </c>
      <c r="DK36" s="375">
        <f t="shared" si="286"/>
        <v>5</v>
      </c>
      <c r="DT36" s="64" t="str">
        <f t="shared" si="277"/>
        <v>'Relays'!</v>
      </c>
      <c r="DU36" s="100" t="s">
        <v>673</v>
      </c>
      <c r="DV36" s="100" t="s">
        <v>333</v>
      </c>
      <c r="DW36" s="64">
        <f t="shared" ca="1" si="288"/>
        <v>35</v>
      </c>
      <c r="DX36" s="64" t="str">
        <f t="shared" ca="1" si="11"/>
        <v>'Relays'!C37</v>
      </c>
      <c r="DY36" s="64" t="str">
        <f t="shared" si="278"/>
        <v>'Relays'!</v>
      </c>
      <c r="DZ36" s="100" t="s">
        <v>673</v>
      </c>
      <c r="EA36" s="100" t="s">
        <v>222</v>
      </c>
      <c r="EB36" s="100">
        <f t="shared" ca="1" si="289"/>
        <v>35</v>
      </c>
      <c r="EC36" s="64" t="str">
        <f t="shared" ca="1" si="13"/>
        <v>'Relays'!M37</v>
      </c>
      <c r="EG36" s="65">
        <v>16.149999999999999</v>
      </c>
    </row>
    <row r="37" spans="1:137" x14ac:dyDescent="0.35">
      <c r="A37" s="64" t="s">
        <v>313</v>
      </c>
      <c r="B37" s="64" t="s">
        <v>88</v>
      </c>
      <c r="C37" s="64" t="s">
        <v>7</v>
      </c>
      <c r="D37" s="66">
        <v>37</v>
      </c>
      <c r="E37" s="66">
        <v>25</v>
      </c>
      <c r="F37" s="429" t="s">
        <v>1411</v>
      </c>
      <c r="G37" s="430" t="s">
        <v>1411</v>
      </c>
      <c r="I37" s="129">
        <v>3</v>
      </c>
      <c r="J37" s="129">
        <v>5</v>
      </c>
      <c r="K37" s="129">
        <v>2</v>
      </c>
      <c r="L37" s="129">
        <v>1</v>
      </c>
      <c r="M37" s="129">
        <v>6</v>
      </c>
      <c r="N37" s="129">
        <v>4</v>
      </c>
      <c r="O37" s="129">
        <v>7</v>
      </c>
      <c r="P37" s="374">
        <v>8</v>
      </c>
      <c r="Q37" s="129">
        <v>2</v>
      </c>
      <c r="R37" s="129">
        <v>3</v>
      </c>
      <c r="S37" s="129">
        <v>4</v>
      </c>
      <c r="T37" s="129">
        <v>8</v>
      </c>
      <c r="U37" s="129">
        <v>7</v>
      </c>
      <c r="V37" s="129">
        <v>1</v>
      </c>
      <c r="W37" s="129">
        <v>6</v>
      </c>
      <c r="X37" s="374">
        <v>5</v>
      </c>
      <c r="Y37" s="129">
        <v>1</v>
      </c>
      <c r="Z37" s="129">
        <v>8</v>
      </c>
      <c r="AA37" s="129">
        <v>7</v>
      </c>
      <c r="AB37" s="129">
        <v>4</v>
      </c>
      <c r="AC37" s="129">
        <v>6</v>
      </c>
      <c r="AD37" s="129">
        <v>5</v>
      </c>
      <c r="AE37" s="129">
        <v>2</v>
      </c>
      <c r="AF37" s="374">
        <v>3</v>
      </c>
      <c r="AG37" s="129">
        <v>7</v>
      </c>
      <c r="AH37" s="129">
        <v>4</v>
      </c>
      <c r="AI37" s="129">
        <v>5</v>
      </c>
      <c r="AJ37" s="129">
        <v>3</v>
      </c>
      <c r="AK37" s="129">
        <v>6</v>
      </c>
      <c r="AL37" s="129">
        <v>8</v>
      </c>
      <c r="AM37" s="129">
        <v>1</v>
      </c>
      <c r="AN37" s="374">
        <v>2</v>
      </c>
      <c r="AP37" s="129">
        <v>3</v>
      </c>
      <c r="AQ37" s="129">
        <v>5</v>
      </c>
      <c r="AR37" s="129">
        <v>2</v>
      </c>
      <c r="AS37" s="129">
        <v>1</v>
      </c>
      <c r="AT37" s="129">
        <v>6</v>
      </c>
      <c r="AU37" s="129">
        <v>4</v>
      </c>
      <c r="AV37" s="374">
        <v>7</v>
      </c>
      <c r="AW37" s="129">
        <v>2</v>
      </c>
      <c r="AX37" s="129">
        <v>3</v>
      </c>
      <c r="AY37" s="129">
        <v>4</v>
      </c>
      <c r="AZ37" s="129">
        <v>7</v>
      </c>
      <c r="BA37" s="129">
        <v>1</v>
      </c>
      <c r="BB37" s="129">
        <v>6</v>
      </c>
      <c r="BC37" s="374">
        <v>5</v>
      </c>
      <c r="BD37" s="129">
        <v>1</v>
      </c>
      <c r="BE37" s="129">
        <v>7</v>
      </c>
      <c r="BF37" s="129">
        <v>4</v>
      </c>
      <c r="BG37" s="129">
        <v>6</v>
      </c>
      <c r="BH37" s="129">
        <v>5</v>
      </c>
      <c r="BI37" s="129">
        <v>2</v>
      </c>
      <c r="BJ37" s="374">
        <v>3</v>
      </c>
      <c r="BK37" s="129">
        <v>7</v>
      </c>
      <c r="BL37" s="129">
        <v>4</v>
      </c>
      <c r="BM37" s="129">
        <v>5</v>
      </c>
      <c r="BN37" s="129">
        <v>3</v>
      </c>
      <c r="BO37" s="129">
        <v>6</v>
      </c>
      <c r="BP37" s="129">
        <v>1</v>
      </c>
      <c r="BQ37" s="374">
        <v>2</v>
      </c>
      <c r="BS37" s="129">
        <v>3</v>
      </c>
      <c r="BT37" s="129">
        <v>5</v>
      </c>
      <c r="BU37" s="129">
        <v>2</v>
      </c>
      <c r="BV37" s="129">
        <v>1</v>
      </c>
      <c r="BW37" s="129">
        <v>6</v>
      </c>
      <c r="BX37" s="374">
        <v>4</v>
      </c>
      <c r="BY37" s="129">
        <v>2</v>
      </c>
      <c r="BZ37" s="129">
        <v>3</v>
      </c>
      <c r="CA37" s="129">
        <v>4</v>
      </c>
      <c r="CB37" s="129">
        <v>1</v>
      </c>
      <c r="CC37" s="129">
        <v>6</v>
      </c>
      <c r="CD37" s="374">
        <v>5</v>
      </c>
      <c r="CE37" s="129">
        <v>1</v>
      </c>
      <c r="CF37" s="129">
        <v>4</v>
      </c>
      <c r="CG37" s="129">
        <v>6</v>
      </c>
      <c r="CH37" s="129">
        <v>5</v>
      </c>
      <c r="CI37" s="129">
        <v>2</v>
      </c>
      <c r="CJ37" s="374">
        <v>3</v>
      </c>
      <c r="CK37" s="129">
        <v>4</v>
      </c>
      <c r="CL37" s="129">
        <v>5</v>
      </c>
      <c r="CM37" s="129">
        <v>3</v>
      </c>
      <c r="CN37" s="129">
        <v>6</v>
      </c>
      <c r="CO37" s="129">
        <v>1</v>
      </c>
      <c r="CP37" s="374">
        <v>2</v>
      </c>
      <c r="CR37" s="129">
        <v>3</v>
      </c>
      <c r="CS37" s="129">
        <v>5</v>
      </c>
      <c r="CT37" s="129">
        <v>2</v>
      </c>
      <c r="CU37" s="129">
        <v>1</v>
      </c>
      <c r="CV37" s="374">
        <v>4</v>
      </c>
      <c r="CW37" s="129">
        <v>2</v>
      </c>
      <c r="CX37" s="129">
        <v>3</v>
      </c>
      <c r="CY37" s="129">
        <v>4</v>
      </c>
      <c r="CZ37" s="129">
        <v>1</v>
      </c>
      <c r="DA37" s="374">
        <v>5</v>
      </c>
      <c r="DB37" s="129">
        <v>1</v>
      </c>
      <c r="DC37" s="129">
        <v>4</v>
      </c>
      <c r="DD37" s="129">
        <v>5</v>
      </c>
      <c r="DE37" s="129">
        <v>2</v>
      </c>
      <c r="DF37" s="374">
        <v>3</v>
      </c>
      <c r="DG37" s="129">
        <v>4</v>
      </c>
      <c r="DH37" s="129">
        <v>5</v>
      </c>
      <c r="DI37" s="129">
        <v>3</v>
      </c>
      <c r="DJ37" s="129">
        <v>1</v>
      </c>
      <c r="DK37" s="374">
        <v>2</v>
      </c>
      <c r="DT37" s="64" t="str">
        <f t="shared" si="277"/>
        <v>'Relays'!</v>
      </c>
      <c r="DU37" s="100" t="s">
        <v>673</v>
      </c>
      <c r="DV37" s="100" t="s">
        <v>333</v>
      </c>
      <c r="DW37" s="64">
        <f t="shared" ca="1" si="288"/>
        <v>46</v>
      </c>
      <c r="DX37" s="64" t="str">
        <f t="shared" ca="1" si="11"/>
        <v>'Relays'!C48</v>
      </c>
      <c r="DY37" s="64" t="str">
        <f t="shared" si="278"/>
        <v>'Relays'!</v>
      </c>
      <c r="DZ37" s="100" t="s">
        <v>673</v>
      </c>
      <c r="EA37" s="100" t="s">
        <v>222</v>
      </c>
      <c r="EB37" s="100">
        <f t="shared" ca="1" si="289"/>
        <v>46</v>
      </c>
      <c r="EC37" s="64" t="str">
        <f t="shared" ca="1" si="13"/>
        <v>'Relays'!M48</v>
      </c>
      <c r="EG37" s="65">
        <v>16.2</v>
      </c>
    </row>
    <row r="38" spans="1:137" x14ac:dyDescent="0.35">
      <c r="A38" s="64" t="s">
        <v>314</v>
      </c>
      <c r="B38" s="64" t="s">
        <v>88</v>
      </c>
      <c r="C38" s="64" t="s">
        <v>9</v>
      </c>
      <c r="D38" s="66">
        <v>38</v>
      </c>
      <c r="E38" s="66">
        <v>75</v>
      </c>
      <c r="F38" s="429" t="s">
        <v>1412</v>
      </c>
      <c r="G38" s="430" t="s">
        <v>1412</v>
      </c>
      <c r="I38" s="131">
        <f>I37</f>
        <v>3</v>
      </c>
      <c r="J38" s="131">
        <f t="shared" ref="J38:P38" si="290">J37</f>
        <v>5</v>
      </c>
      <c r="K38" s="131">
        <f t="shared" si="290"/>
        <v>2</v>
      </c>
      <c r="L38" s="131">
        <f t="shared" si="290"/>
        <v>1</v>
      </c>
      <c r="M38" s="131">
        <f t="shared" si="290"/>
        <v>6</v>
      </c>
      <c r="N38" s="131">
        <f t="shared" si="290"/>
        <v>4</v>
      </c>
      <c r="O38" s="131">
        <f t="shared" si="290"/>
        <v>7</v>
      </c>
      <c r="P38" s="375">
        <f t="shared" si="290"/>
        <v>8</v>
      </c>
      <c r="Q38" s="131">
        <f>Q37</f>
        <v>2</v>
      </c>
      <c r="R38" s="131">
        <f t="shared" ref="R38" si="291">R37</f>
        <v>3</v>
      </c>
      <c r="S38" s="131">
        <f t="shared" ref="S38" si="292">S37</f>
        <v>4</v>
      </c>
      <c r="T38" s="131">
        <f t="shared" ref="T38" si="293">T37</f>
        <v>8</v>
      </c>
      <c r="U38" s="131">
        <f t="shared" ref="U38" si="294">U37</f>
        <v>7</v>
      </c>
      <c r="V38" s="131">
        <f t="shared" ref="V38" si="295">V37</f>
        <v>1</v>
      </c>
      <c r="W38" s="131">
        <f t="shared" ref="W38" si="296">W37</f>
        <v>6</v>
      </c>
      <c r="X38" s="375">
        <f t="shared" ref="X38" si="297">X37</f>
        <v>5</v>
      </c>
      <c r="Y38" s="131">
        <f>Y37</f>
        <v>1</v>
      </c>
      <c r="Z38" s="131">
        <f t="shared" ref="Z38" si="298">Z37</f>
        <v>8</v>
      </c>
      <c r="AA38" s="131">
        <f t="shared" ref="AA38" si="299">AA37</f>
        <v>7</v>
      </c>
      <c r="AB38" s="131">
        <f t="shared" ref="AB38" si="300">AB37</f>
        <v>4</v>
      </c>
      <c r="AC38" s="131">
        <f t="shared" ref="AC38" si="301">AC37</f>
        <v>6</v>
      </c>
      <c r="AD38" s="131">
        <f t="shared" ref="AD38" si="302">AD37</f>
        <v>5</v>
      </c>
      <c r="AE38" s="131">
        <f t="shared" ref="AE38" si="303">AE37</f>
        <v>2</v>
      </c>
      <c r="AF38" s="375">
        <f t="shared" ref="AF38" si="304">AF37</f>
        <v>3</v>
      </c>
      <c r="AG38" s="131">
        <f>AG37</f>
        <v>7</v>
      </c>
      <c r="AH38" s="131">
        <f t="shared" ref="AH38" si="305">AH37</f>
        <v>4</v>
      </c>
      <c r="AI38" s="131">
        <f t="shared" ref="AI38" si="306">AI37</f>
        <v>5</v>
      </c>
      <c r="AJ38" s="131">
        <f t="shared" ref="AJ38" si="307">AJ37</f>
        <v>3</v>
      </c>
      <c r="AK38" s="131">
        <f t="shared" ref="AK38" si="308">AK37</f>
        <v>6</v>
      </c>
      <c r="AL38" s="131">
        <f t="shared" ref="AL38" si="309">AL37</f>
        <v>8</v>
      </c>
      <c r="AM38" s="131">
        <f t="shared" ref="AM38" si="310">AM37</f>
        <v>1</v>
      </c>
      <c r="AN38" s="375">
        <f t="shared" ref="AN38" si="311">AN37</f>
        <v>2</v>
      </c>
      <c r="AP38" s="131">
        <f t="shared" ref="AP38" si="312">AP37</f>
        <v>3</v>
      </c>
      <c r="AQ38" s="131">
        <f t="shared" ref="AQ38" si="313">AQ37</f>
        <v>5</v>
      </c>
      <c r="AR38" s="131">
        <f t="shared" ref="AR38" si="314">AR37</f>
        <v>2</v>
      </c>
      <c r="AS38" s="131">
        <f t="shared" ref="AS38" si="315">AS37</f>
        <v>1</v>
      </c>
      <c r="AT38" s="131">
        <f t="shared" ref="AT38" si="316">AT37</f>
        <v>6</v>
      </c>
      <c r="AU38" s="131">
        <f t="shared" ref="AU38" si="317">AU37</f>
        <v>4</v>
      </c>
      <c r="AV38" s="375">
        <f t="shared" ref="AV38" si="318">AV37</f>
        <v>7</v>
      </c>
      <c r="AW38" s="131">
        <f t="shared" ref="AW38" si="319">AW37</f>
        <v>2</v>
      </c>
      <c r="AX38" s="131">
        <f t="shared" ref="AX38" si="320">AX37</f>
        <v>3</v>
      </c>
      <c r="AY38" s="131">
        <f t="shared" ref="AY38" si="321">AY37</f>
        <v>4</v>
      </c>
      <c r="AZ38" s="131">
        <f t="shared" ref="AZ38" si="322">AZ37</f>
        <v>7</v>
      </c>
      <c r="BA38" s="131">
        <f t="shared" ref="BA38" si="323">BA37</f>
        <v>1</v>
      </c>
      <c r="BB38" s="131">
        <f t="shared" ref="BB38" si="324">BB37</f>
        <v>6</v>
      </c>
      <c r="BC38" s="375">
        <f t="shared" ref="BC38" si="325">BC37</f>
        <v>5</v>
      </c>
      <c r="BD38" s="131">
        <f t="shared" ref="BD38" si="326">BD37</f>
        <v>1</v>
      </c>
      <c r="BE38" s="131">
        <f t="shared" ref="BE38" si="327">BE37</f>
        <v>7</v>
      </c>
      <c r="BF38" s="131">
        <f t="shared" ref="BF38" si="328">BF37</f>
        <v>4</v>
      </c>
      <c r="BG38" s="131">
        <f t="shared" ref="BG38" si="329">BG37</f>
        <v>6</v>
      </c>
      <c r="BH38" s="131">
        <f t="shared" ref="BH38" si="330">BH37</f>
        <v>5</v>
      </c>
      <c r="BI38" s="131">
        <f t="shared" ref="BI38" si="331">BI37</f>
        <v>2</v>
      </c>
      <c r="BJ38" s="375">
        <f t="shared" ref="BJ38" si="332">BJ37</f>
        <v>3</v>
      </c>
      <c r="BK38" s="131">
        <f t="shared" ref="BK38" si="333">BK37</f>
        <v>7</v>
      </c>
      <c r="BL38" s="131">
        <f t="shared" ref="BL38" si="334">BL37</f>
        <v>4</v>
      </c>
      <c r="BM38" s="131">
        <f t="shared" ref="BM38" si="335">BM37</f>
        <v>5</v>
      </c>
      <c r="BN38" s="131">
        <f t="shared" ref="BN38" si="336">BN37</f>
        <v>3</v>
      </c>
      <c r="BO38" s="131">
        <f t="shared" ref="BO38" si="337">BO37</f>
        <v>6</v>
      </c>
      <c r="BP38" s="131">
        <f t="shared" ref="BP38" si="338">BP37</f>
        <v>1</v>
      </c>
      <c r="BQ38" s="375">
        <f t="shared" ref="BQ38" si="339">BQ37</f>
        <v>2</v>
      </c>
      <c r="BS38" s="131">
        <f t="shared" ref="BS38" si="340">BS37</f>
        <v>3</v>
      </c>
      <c r="BT38" s="131">
        <f t="shared" ref="BT38" si="341">BT37</f>
        <v>5</v>
      </c>
      <c r="BU38" s="131">
        <f t="shared" ref="BU38" si="342">BU37</f>
        <v>2</v>
      </c>
      <c r="BV38" s="131">
        <f t="shared" ref="BV38" si="343">BV37</f>
        <v>1</v>
      </c>
      <c r="BW38" s="131">
        <f t="shared" ref="BW38" si="344">BW37</f>
        <v>6</v>
      </c>
      <c r="BX38" s="375">
        <f t="shared" ref="BX38" si="345">BX37</f>
        <v>4</v>
      </c>
      <c r="BY38" s="131">
        <f t="shared" ref="BY38" si="346">BY37</f>
        <v>2</v>
      </c>
      <c r="BZ38" s="131">
        <f t="shared" ref="BZ38" si="347">BZ37</f>
        <v>3</v>
      </c>
      <c r="CA38" s="131">
        <f t="shared" ref="CA38" si="348">CA37</f>
        <v>4</v>
      </c>
      <c r="CB38" s="131">
        <f t="shared" ref="CB38" si="349">CB37</f>
        <v>1</v>
      </c>
      <c r="CC38" s="131">
        <f t="shared" ref="CC38" si="350">CC37</f>
        <v>6</v>
      </c>
      <c r="CD38" s="375">
        <f t="shared" ref="CD38" si="351">CD37</f>
        <v>5</v>
      </c>
      <c r="CE38" s="131">
        <f t="shared" ref="CE38" si="352">CE37</f>
        <v>1</v>
      </c>
      <c r="CF38" s="131">
        <f t="shared" ref="CF38" si="353">CF37</f>
        <v>4</v>
      </c>
      <c r="CG38" s="131">
        <f t="shared" ref="CG38" si="354">CG37</f>
        <v>6</v>
      </c>
      <c r="CH38" s="131">
        <f t="shared" ref="CH38" si="355">CH37</f>
        <v>5</v>
      </c>
      <c r="CI38" s="131">
        <f t="shared" ref="CI38" si="356">CI37</f>
        <v>2</v>
      </c>
      <c r="CJ38" s="375">
        <f t="shared" ref="CJ38" si="357">CJ37</f>
        <v>3</v>
      </c>
      <c r="CK38" s="131">
        <f t="shared" ref="CK38" si="358">CK37</f>
        <v>4</v>
      </c>
      <c r="CL38" s="131">
        <f t="shared" ref="CL38" si="359">CL37</f>
        <v>5</v>
      </c>
      <c r="CM38" s="131">
        <f t="shared" ref="CM38" si="360">CM37</f>
        <v>3</v>
      </c>
      <c r="CN38" s="131">
        <f t="shared" ref="CN38" si="361">CN37</f>
        <v>6</v>
      </c>
      <c r="CO38" s="131">
        <f t="shared" ref="CO38" si="362">CO37</f>
        <v>1</v>
      </c>
      <c r="CP38" s="375">
        <f t="shared" ref="CP38" si="363">CP37</f>
        <v>2</v>
      </c>
      <c r="CR38" s="131">
        <f t="shared" ref="CR38" si="364">CR37</f>
        <v>3</v>
      </c>
      <c r="CS38" s="131">
        <f t="shared" ref="CS38" si="365">CS37</f>
        <v>5</v>
      </c>
      <c r="CT38" s="131">
        <f t="shared" ref="CT38" si="366">CT37</f>
        <v>2</v>
      </c>
      <c r="CU38" s="131">
        <f t="shared" ref="CU38" si="367">CU37</f>
        <v>1</v>
      </c>
      <c r="CV38" s="375">
        <f t="shared" ref="CV38" si="368">CV37</f>
        <v>4</v>
      </c>
      <c r="CW38" s="131">
        <f t="shared" ref="CW38" si="369">CW37</f>
        <v>2</v>
      </c>
      <c r="CX38" s="131">
        <f t="shared" ref="CX38" si="370">CX37</f>
        <v>3</v>
      </c>
      <c r="CY38" s="131">
        <f t="shared" ref="CY38" si="371">CY37</f>
        <v>4</v>
      </c>
      <c r="CZ38" s="131">
        <f t="shared" ref="CZ38" si="372">CZ37</f>
        <v>1</v>
      </c>
      <c r="DA38" s="375">
        <f t="shared" ref="DA38" si="373">DA37</f>
        <v>5</v>
      </c>
      <c r="DB38" s="131">
        <f t="shared" ref="DB38" si="374">DB37</f>
        <v>1</v>
      </c>
      <c r="DC38" s="131">
        <f t="shared" ref="DC38" si="375">DC37</f>
        <v>4</v>
      </c>
      <c r="DD38" s="131">
        <f t="shared" ref="DD38" si="376">DD37</f>
        <v>5</v>
      </c>
      <c r="DE38" s="131">
        <f t="shared" ref="DE38" si="377">DE37</f>
        <v>2</v>
      </c>
      <c r="DF38" s="375">
        <f t="shared" ref="DF38" si="378">DF37</f>
        <v>3</v>
      </c>
      <c r="DG38" s="131">
        <f t="shared" ref="DG38" si="379">DG37</f>
        <v>4</v>
      </c>
      <c r="DH38" s="131">
        <f t="shared" ref="DH38" si="380">DH37</f>
        <v>5</v>
      </c>
      <c r="DI38" s="131">
        <f t="shared" ref="DI38" si="381">DI37</f>
        <v>3</v>
      </c>
      <c r="DJ38" s="131">
        <f t="shared" ref="DJ38" si="382">DJ37</f>
        <v>1</v>
      </c>
      <c r="DK38" s="375">
        <f t="shared" ref="DK38" si="383">DK37</f>
        <v>2</v>
      </c>
      <c r="DT38" s="64" t="str">
        <f t="shared" si="277"/>
        <v>'Relays'!</v>
      </c>
      <c r="DU38" s="100" t="s">
        <v>673</v>
      </c>
      <c r="DV38" s="100" t="s">
        <v>333</v>
      </c>
      <c r="DW38" s="64">
        <f t="shared" ca="1" si="288"/>
        <v>57</v>
      </c>
      <c r="DX38" s="64" t="str">
        <f t="shared" ca="1" si="11"/>
        <v>'Relays'!C59</v>
      </c>
      <c r="DY38" s="64" t="str">
        <f t="shared" si="278"/>
        <v>'Relays'!</v>
      </c>
      <c r="DZ38" s="100" t="s">
        <v>673</v>
      </c>
      <c r="EA38" s="100" t="s">
        <v>222</v>
      </c>
      <c r="EB38" s="100">
        <f t="shared" ca="1" si="289"/>
        <v>57</v>
      </c>
      <c r="EC38" s="64" t="str">
        <f t="shared" ca="1" si="13"/>
        <v>'Relays'!M59</v>
      </c>
      <c r="EG38" s="65">
        <v>16.25</v>
      </c>
    </row>
    <row r="39" spans="1:137" x14ac:dyDescent="0.35">
      <c r="A39" s="64" t="s">
        <v>231</v>
      </c>
      <c r="B39" s="64" t="s">
        <v>21</v>
      </c>
      <c r="C39" s="64" t="s">
        <v>9</v>
      </c>
      <c r="D39" s="66">
        <v>39</v>
      </c>
      <c r="E39" s="66">
        <v>66</v>
      </c>
      <c r="F39" s="429" t="s">
        <v>1413</v>
      </c>
      <c r="G39" s="430">
        <v>0.47916666666666669</v>
      </c>
      <c r="I39" s="131">
        <f t="shared" ref="I39:Y40" si="384">I$3</f>
        <v>4</v>
      </c>
      <c r="J39" s="131">
        <f t="shared" si="384"/>
        <v>6</v>
      </c>
      <c r="K39" s="131">
        <f t="shared" si="384"/>
        <v>7</v>
      </c>
      <c r="L39" s="131">
        <f t="shared" si="384"/>
        <v>5</v>
      </c>
      <c r="M39" s="131">
        <f t="shared" si="384"/>
        <v>1</v>
      </c>
      <c r="N39" s="131">
        <f t="shared" si="384"/>
        <v>3</v>
      </c>
      <c r="O39" s="131">
        <f t="shared" si="384"/>
        <v>2</v>
      </c>
      <c r="P39" s="375">
        <f t="shared" si="384"/>
        <v>8</v>
      </c>
      <c r="Q39" s="131">
        <f t="shared" si="384"/>
        <v>5</v>
      </c>
      <c r="R39" s="131">
        <f t="shared" si="384"/>
        <v>1</v>
      </c>
      <c r="S39" s="131">
        <f t="shared" si="384"/>
        <v>4</v>
      </c>
      <c r="T39" s="131">
        <f t="shared" si="384"/>
        <v>8</v>
      </c>
      <c r="U39" s="131">
        <f t="shared" si="384"/>
        <v>7</v>
      </c>
      <c r="V39" s="131">
        <f t="shared" si="384"/>
        <v>6</v>
      </c>
      <c r="W39" s="131">
        <f t="shared" si="384"/>
        <v>2</v>
      </c>
      <c r="X39" s="375">
        <f t="shared" si="384"/>
        <v>3</v>
      </c>
      <c r="Y39" s="131">
        <f t="shared" si="384"/>
        <v>7</v>
      </c>
      <c r="Z39" s="131">
        <f t="shared" ref="Y39:AN40" si="385">Z$3</f>
        <v>8</v>
      </c>
      <c r="AA39" s="131">
        <f t="shared" si="385"/>
        <v>1</v>
      </c>
      <c r="AB39" s="131">
        <f t="shared" si="385"/>
        <v>2</v>
      </c>
      <c r="AC39" s="131">
        <f t="shared" si="385"/>
        <v>3</v>
      </c>
      <c r="AD39" s="131">
        <f t="shared" si="385"/>
        <v>4</v>
      </c>
      <c r="AE39" s="131">
        <f t="shared" si="385"/>
        <v>6</v>
      </c>
      <c r="AF39" s="375">
        <f t="shared" si="385"/>
        <v>5</v>
      </c>
      <c r="AG39" s="131">
        <f t="shared" si="385"/>
        <v>6</v>
      </c>
      <c r="AH39" s="131">
        <f t="shared" si="385"/>
        <v>3</v>
      </c>
      <c r="AI39" s="131">
        <f t="shared" si="385"/>
        <v>2</v>
      </c>
      <c r="AJ39" s="131">
        <f t="shared" si="385"/>
        <v>5</v>
      </c>
      <c r="AK39" s="131">
        <f t="shared" si="385"/>
        <v>1</v>
      </c>
      <c r="AL39" s="131">
        <f t="shared" si="385"/>
        <v>8</v>
      </c>
      <c r="AM39" s="131">
        <f t="shared" si="385"/>
        <v>7</v>
      </c>
      <c r="AN39" s="375">
        <f t="shared" si="385"/>
        <v>4</v>
      </c>
      <c r="AP39" s="131">
        <f t="shared" ref="AP39:BE40" si="386">AP$3</f>
        <v>4</v>
      </c>
      <c r="AQ39" s="131">
        <f t="shared" si="386"/>
        <v>6</v>
      </c>
      <c r="AR39" s="131">
        <f t="shared" si="386"/>
        <v>7</v>
      </c>
      <c r="AS39" s="131">
        <f t="shared" si="386"/>
        <v>5</v>
      </c>
      <c r="AT39" s="131">
        <f t="shared" si="386"/>
        <v>1</v>
      </c>
      <c r="AU39" s="131">
        <f t="shared" si="386"/>
        <v>3</v>
      </c>
      <c r="AV39" s="375">
        <f t="shared" si="386"/>
        <v>2</v>
      </c>
      <c r="AW39" s="131">
        <f t="shared" si="386"/>
        <v>5</v>
      </c>
      <c r="AX39" s="131">
        <f t="shared" si="386"/>
        <v>1</v>
      </c>
      <c r="AY39" s="131">
        <f t="shared" si="386"/>
        <v>4</v>
      </c>
      <c r="AZ39" s="131">
        <f t="shared" si="386"/>
        <v>7</v>
      </c>
      <c r="BA39" s="131">
        <f t="shared" si="386"/>
        <v>6</v>
      </c>
      <c r="BB39" s="131">
        <f t="shared" si="386"/>
        <v>2</v>
      </c>
      <c r="BC39" s="375">
        <f t="shared" si="386"/>
        <v>3</v>
      </c>
      <c r="BD39" s="131">
        <f t="shared" si="386"/>
        <v>7</v>
      </c>
      <c r="BE39" s="131">
        <f t="shared" si="386"/>
        <v>1</v>
      </c>
      <c r="BF39" s="131">
        <f t="shared" ref="BD39:BQ40" si="387">BF$3</f>
        <v>2</v>
      </c>
      <c r="BG39" s="131">
        <f t="shared" si="387"/>
        <v>3</v>
      </c>
      <c r="BH39" s="131">
        <f t="shared" si="387"/>
        <v>4</v>
      </c>
      <c r="BI39" s="131">
        <f t="shared" si="387"/>
        <v>6</v>
      </c>
      <c r="BJ39" s="375">
        <f t="shared" si="387"/>
        <v>5</v>
      </c>
      <c r="BK39" s="131">
        <f t="shared" si="387"/>
        <v>6</v>
      </c>
      <c r="BL39" s="131">
        <f t="shared" si="387"/>
        <v>3</v>
      </c>
      <c r="BM39" s="131">
        <f t="shared" si="387"/>
        <v>2</v>
      </c>
      <c r="BN39" s="131">
        <f t="shared" si="387"/>
        <v>5</v>
      </c>
      <c r="BO39" s="131">
        <f t="shared" si="387"/>
        <v>1</v>
      </c>
      <c r="BP39" s="131">
        <f t="shared" si="387"/>
        <v>7</v>
      </c>
      <c r="BQ39" s="375">
        <f t="shared" si="387"/>
        <v>4</v>
      </c>
      <c r="BS39" s="131">
        <f t="shared" ref="BS39:CH40" si="388">BS$3</f>
        <v>4</v>
      </c>
      <c r="BT39" s="131">
        <f t="shared" si="388"/>
        <v>6</v>
      </c>
      <c r="BU39" s="131">
        <f t="shared" si="388"/>
        <v>5</v>
      </c>
      <c r="BV39" s="131">
        <f t="shared" si="388"/>
        <v>1</v>
      </c>
      <c r="BW39" s="131">
        <f t="shared" si="388"/>
        <v>3</v>
      </c>
      <c r="BX39" s="375">
        <f t="shared" si="388"/>
        <v>2</v>
      </c>
      <c r="BY39" s="131">
        <f t="shared" si="388"/>
        <v>5</v>
      </c>
      <c r="BZ39" s="131">
        <f t="shared" si="388"/>
        <v>1</v>
      </c>
      <c r="CA39" s="131">
        <f t="shared" si="388"/>
        <v>4</v>
      </c>
      <c r="CB39" s="131">
        <f t="shared" si="388"/>
        <v>6</v>
      </c>
      <c r="CC39" s="131">
        <f t="shared" si="388"/>
        <v>2</v>
      </c>
      <c r="CD39" s="375">
        <f t="shared" si="388"/>
        <v>3</v>
      </c>
      <c r="CE39" s="131">
        <f t="shared" si="388"/>
        <v>1</v>
      </c>
      <c r="CF39" s="131">
        <f t="shared" si="388"/>
        <v>2</v>
      </c>
      <c r="CG39" s="131">
        <f t="shared" si="388"/>
        <v>3</v>
      </c>
      <c r="CH39" s="131">
        <f t="shared" si="388"/>
        <v>4</v>
      </c>
      <c r="CI39" s="131">
        <f t="shared" ref="CE39:CJ40" si="389">CI$3</f>
        <v>6</v>
      </c>
      <c r="CJ39" s="375">
        <f t="shared" si="389"/>
        <v>5</v>
      </c>
      <c r="CK39" s="131">
        <f t="shared" ref="CK39:CP40" si="390">CK$3</f>
        <v>6</v>
      </c>
      <c r="CL39" s="131">
        <f t="shared" si="390"/>
        <v>3</v>
      </c>
      <c r="CM39" s="131">
        <f t="shared" si="390"/>
        <v>2</v>
      </c>
      <c r="CN39" s="131">
        <f t="shared" si="390"/>
        <v>5</v>
      </c>
      <c r="CO39" s="131">
        <f t="shared" si="390"/>
        <v>1</v>
      </c>
      <c r="CP39" s="375">
        <f t="shared" si="390"/>
        <v>4</v>
      </c>
      <c r="CR39" s="131">
        <f t="shared" ref="CR39:DG40" si="391">CR$3</f>
        <v>4</v>
      </c>
      <c r="CS39" s="131">
        <f t="shared" si="391"/>
        <v>5</v>
      </c>
      <c r="CT39" s="131">
        <f t="shared" si="391"/>
        <v>1</v>
      </c>
      <c r="CU39" s="131">
        <f t="shared" si="391"/>
        <v>3</v>
      </c>
      <c r="CV39" s="375">
        <f t="shared" si="391"/>
        <v>2</v>
      </c>
      <c r="CW39" s="131">
        <f t="shared" si="391"/>
        <v>5</v>
      </c>
      <c r="CX39" s="131">
        <f t="shared" si="391"/>
        <v>1</v>
      </c>
      <c r="CY39" s="131">
        <f t="shared" si="391"/>
        <v>4</v>
      </c>
      <c r="CZ39" s="131">
        <f t="shared" si="391"/>
        <v>2</v>
      </c>
      <c r="DA39" s="375">
        <f t="shared" si="391"/>
        <v>3</v>
      </c>
      <c r="DB39" s="131">
        <f t="shared" si="391"/>
        <v>1</v>
      </c>
      <c r="DC39" s="131">
        <f t="shared" si="391"/>
        <v>2</v>
      </c>
      <c r="DD39" s="131">
        <f t="shared" si="391"/>
        <v>3</v>
      </c>
      <c r="DE39" s="131">
        <f t="shared" si="391"/>
        <v>4</v>
      </c>
      <c r="DF39" s="375">
        <f t="shared" si="391"/>
        <v>5</v>
      </c>
      <c r="DG39" s="131">
        <f t="shared" si="391"/>
        <v>3</v>
      </c>
      <c r="DH39" s="131">
        <f t="shared" ref="DG39:DK40" si="392">DH$3</f>
        <v>2</v>
      </c>
      <c r="DI39" s="131">
        <f t="shared" si="392"/>
        <v>5</v>
      </c>
      <c r="DJ39" s="131">
        <f t="shared" si="392"/>
        <v>1</v>
      </c>
      <c r="DK39" s="375">
        <f t="shared" si="392"/>
        <v>4</v>
      </c>
      <c r="DT39" s="64" t="str">
        <f>"'Distance Input'!"</f>
        <v>'Distance Input'!</v>
      </c>
      <c r="DU39" s="100" t="s">
        <v>673</v>
      </c>
      <c r="DV39" s="100" t="s">
        <v>333</v>
      </c>
      <c r="DW39" s="64">
        <f t="shared" ca="1" si="288"/>
        <v>2</v>
      </c>
      <c r="DX39" s="64" t="str">
        <f t="shared" ca="1" si="11"/>
        <v>'Distance Input'!C4</v>
      </c>
      <c r="DY39" s="64" t="str">
        <f>"'Field'!"</f>
        <v>'Field'!</v>
      </c>
      <c r="DZ39" s="100" t="s">
        <v>673</v>
      </c>
      <c r="EA39" s="100" t="s">
        <v>218</v>
      </c>
      <c r="EB39" s="100">
        <f t="shared" ca="1" si="289"/>
        <v>2</v>
      </c>
      <c r="EC39" s="64" t="str">
        <f t="shared" ca="1" si="13"/>
        <v>'Field'!R4</v>
      </c>
      <c r="ED39" s="64" t="s">
        <v>681</v>
      </c>
      <c r="EG39" s="65">
        <v>11.3</v>
      </c>
    </row>
    <row r="40" spans="1:137" x14ac:dyDescent="0.35">
      <c r="A40" s="64" t="s">
        <v>232</v>
      </c>
      <c r="B40" s="64" t="s">
        <v>21</v>
      </c>
      <c r="C40" s="64" t="s">
        <v>7</v>
      </c>
      <c r="D40" s="66">
        <v>40</v>
      </c>
      <c r="E40" s="66">
        <v>16</v>
      </c>
      <c r="F40" s="429" t="s">
        <v>1387</v>
      </c>
      <c r="G40" s="430">
        <v>0.47916666666666669</v>
      </c>
      <c r="I40" s="131">
        <f t="shared" si="384"/>
        <v>4</v>
      </c>
      <c r="J40" s="131">
        <f t="shared" si="384"/>
        <v>6</v>
      </c>
      <c r="K40" s="131">
        <f t="shared" si="384"/>
        <v>7</v>
      </c>
      <c r="L40" s="131">
        <f t="shared" si="384"/>
        <v>5</v>
      </c>
      <c r="M40" s="131">
        <f t="shared" si="384"/>
        <v>1</v>
      </c>
      <c r="N40" s="131">
        <f t="shared" si="384"/>
        <v>3</v>
      </c>
      <c r="O40" s="131">
        <f t="shared" si="384"/>
        <v>2</v>
      </c>
      <c r="P40" s="375">
        <f t="shared" si="384"/>
        <v>8</v>
      </c>
      <c r="Q40" s="131">
        <f t="shared" si="384"/>
        <v>5</v>
      </c>
      <c r="R40" s="131">
        <f t="shared" si="384"/>
        <v>1</v>
      </c>
      <c r="S40" s="131">
        <f t="shared" si="384"/>
        <v>4</v>
      </c>
      <c r="T40" s="131">
        <f t="shared" si="384"/>
        <v>8</v>
      </c>
      <c r="U40" s="131">
        <f t="shared" si="384"/>
        <v>7</v>
      </c>
      <c r="V40" s="131">
        <f t="shared" si="384"/>
        <v>6</v>
      </c>
      <c r="W40" s="131">
        <f t="shared" si="384"/>
        <v>2</v>
      </c>
      <c r="X40" s="375">
        <f t="shared" si="384"/>
        <v>3</v>
      </c>
      <c r="Y40" s="131">
        <f t="shared" si="385"/>
        <v>7</v>
      </c>
      <c r="Z40" s="131">
        <f t="shared" si="385"/>
        <v>8</v>
      </c>
      <c r="AA40" s="131">
        <f t="shared" si="385"/>
        <v>1</v>
      </c>
      <c r="AB40" s="131">
        <f t="shared" si="385"/>
        <v>2</v>
      </c>
      <c r="AC40" s="131">
        <f t="shared" si="385"/>
        <v>3</v>
      </c>
      <c r="AD40" s="131">
        <f t="shared" si="385"/>
        <v>4</v>
      </c>
      <c r="AE40" s="131">
        <f t="shared" si="385"/>
        <v>6</v>
      </c>
      <c r="AF40" s="375">
        <f t="shared" si="385"/>
        <v>5</v>
      </c>
      <c r="AG40" s="131">
        <f t="shared" si="385"/>
        <v>6</v>
      </c>
      <c r="AH40" s="131">
        <f t="shared" si="385"/>
        <v>3</v>
      </c>
      <c r="AI40" s="131">
        <f t="shared" si="385"/>
        <v>2</v>
      </c>
      <c r="AJ40" s="131">
        <f t="shared" si="385"/>
        <v>5</v>
      </c>
      <c r="AK40" s="131">
        <f t="shared" si="385"/>
        <v>1</v>
      </c>
      <c r="AL40" s="131">
        <f t="shared" si="385"/>
        <v>8</v>
      </c>
      <c r="AM40" s="131">
        <f t="shared" si="385"/>
        <v>7</v>
      </c>
      <c r="AN40" s="375">
        <f t="shared" si="385"/>
        <v>4</v>
      </c>
      <c r="AP40" s="131">
        <f t="shared" si="386"/>
        <v>4</v>
      </c>
      <c r="AQ40" s="131">
        <f t="shared" si="386"/>
        <v>6</v>
      </c>
      <c r="AR40" s="131">
        <f t="shared" si="386"/>
        <v>7</v>
      </c>
      <c r="AS40" s="131">
        <f t="shared" si="386"/>
        <v>5</v>
      </c>
      <c r="AT40" s="131">
        <f t="shared" si="386"/>
        <v>1</v>
      </c>
      <c r="AU40" s="131">
        <f t="shared" si="386"/>
        <v>3</v>
      </c>
      <c r="AV40" s="375">
        <f t="shared" si="386"/>
        <v>2</v>
      </c>
      <c r="AW40" s="131">
        <f t="shared" si="386"/>
        <v>5</v>
      </c>
      <c r="AX40" s="131">
        <f t="shared" si="386"/>
        <v>1</v>
      </c>
      <c r="AY40" s="131">
        <f t="shared" si="386"/>
        <v>4</v>
      </c>
      <c r="AZ40" s="131">
        <f t="shared" si="386"/>
        <v>7</v>
      </c>
      <c r="BA40" s="131">
        <f t="shared" si="386"/>
        <v>6</v>
      </c>
      <c r="BB40" s="131">
        <f t="shared" si="386"/>
        <v>2</v>
      </c>
      <c r="BC40" s="375">
        <f t="shared" si="386"/>
        <v>3</v>
      </c>
      <c r="BD40" s="131">
        <f t="shared" si="387"/>
        <v>7</v>
      </c>
      <c r="BE40" s="131">
        <f t="shared" si="387"/>
        <v>1</v>
      </c>
      <c r="BF40" s="131">
        <f t="shared" si="387"/>
        <v>2</v>
      </c>
      <c r="BG40" s="131">
        <f t="shared" si="387"/>
        <v>3</v>
      </c>
      <c r="BH40" s="131">
        <f t="shared" si="387"/>
        <v>4</v>
      </c>
      <c r="BI40" s="131">
        <f t="shared" si="387"/>
        <v>6</v>
      </c>
      <c r="BJ40" s="375">
        <f t="shared" si="387"/>
        <v>5</v>
      </c>
      <c r="BK40" s="131">
        <f t="shared" si="387"/>
        <v>6</v>
      </c>
      <c r="BL40" s="131">
        <f t="shared" si="387"/>
        <v>3</v>
      </c>
      <c r="BM40" s="131">
        <f t="shared" si="387"/>
        <v>2</v>
      </c>
      <c r="BN40" s="131">
        <f t="shared" si="387"/>
        <v>5</v>
      </c>
      <c r="BO40" s="131">
        <f t="shared" si="387"/>
        <v>1</v>
      </c>
      <c r="BP40" s="131">
        <f t="shared" si="387"/>
        <v>7</v>
      </c>
      <c r="BQ40" s="375">
        <f t="shared" si="387"/>
        <v>4</v>
      </c>
      <c r="BS40" s="131">
        <f t="shared" si="388"/>
        <v>4</v>
      </c>
      <c r="BT40" s="131">
        <f t="shared" si="388"/>
        <v>6</v>
      </c>
      <c r="BU40" s="131">
        <f t="shared" si="388"/>
        <v>5</v>
      </c>
      <c r="BV40" s="131">
        <f t="shared" si="388"/>
        <v>1</v>
      </c>
      <c r="BW40" s="131">
        <f t="shared" si="388"/>
        <v>3</v>
      </c>
      <c r="BX40" s="375">
        <f t="shared" si="388"/>
        <v>2</v>
      </c>
      <c r="BY40" s="131">
        <f t="shared" si="388"/>
        <v>5</v>
      </c>
      <c r="BZ40" s="131">
        <f t="shared" si="388"/>
        <v>1</v>
      </c>
      <c r="CA40" s="131">
        <f t="shared" si="388"/>
        <v>4</v>
      </c>
      <c r="CB40" s="131">
        <f t="shared" si="388"/>
        <v>6</v>
      </c>
      <c r="CC40" s="131">
        <f t="shared" si="388"/>
        <v>2</v>
      </c>
      <c r="CD40" s="375">
        <f t="shared" si="388"/>
        <v>3</v>
      </c>
      <c r="CE40" s="131">
        <f t="shared" si="389"/>
        <v>1</v>
      </c>
      <c r="CF40" s="131">
        <f t="shared" si="389"/>
        <v>2</v>
      </c>
      <c r="CG40" s="131">
        <f t="shared" si="389"/>
        <v>3</v>
      </c>
      <c r="CH40" s="131">
        <f t="shared" si="389"/>
        <v>4</v>
      </c>
      <c r="CI40" s="131">
        <f t="shared" si="389"/>
        <v>6</v>
      </c>
      <c r="CJ40" s="375">
        <f t="shared" si="389"/>
        <v>5</v>
      </c>
      <c r="CK40" s="131">
        <f t="shared" si="390"/>
        <v>6</v>
      </c>
      <c r="CL40" s="131">
        <f t="shared" si="390"/>
        <v>3</v>
      </c>
      <c r="CM40" s="131">
        <f t="shared" si="390"/>
        <v>2</v>
      </c>
      <c r="CN40" s="131">
        <f t="shared" si="390"/>
        <v>5</v>
      </c>
      <c r="CO40" s="131">
        <f t="shared" si="390"/>
        <v>1</v>
      </c>
      <c r="CP40" s="375">
        <f t="shared" si="390"/>
        <v>4</v>
      </c>
      <c r="CR40" s="131">
        <f t="shared" si="391"/>
        <v>4</v>
      </c>
      <c r="CS40" s="131">
        <f t="shared" si="391"/>
        <v>5</v>
      </c>
      <c r="CT40" s="131">
        <f t="shared" si="391"/>
        <v>1</v>
      </c>
      <c r="CU40" s="131">
        <f t="shared" si="391"/>
        <v>3</v>
      </c>
      <c r="CV40" s="375">
        <f t="shared" si="391"/>
        <v>2</v>
      </c>
      <c r="CW40" s="131">
        <f t="shared" si="391"/>
        <v>5</v>
      </c>
      <c r="CX40" s="131">
        <f t="shared" si="391"/>
        <v>1</v>
      </c>
      <c r="CY40" s="131">
        <f t="shared" si="391"/>
        <v>4</v>
      </c>
      <c r="CZ40" s="131">
        <f t="shared" si="391"/>
        <v>2</v>
      </c>
      <c r="DA40" s="375">
        <f t="shared" si="391"/>
        <v>3</v>
      </c>
      <c r="DB40" s="131">
        <f t="shared" si="391"/>
        <v>1</v>
      </c>
      <c r="DC40" s="131">
        <f t="shared" si="391"/>
        <v>2</v>
      </c>
      <c r="DD40" s="131">
        <f t="shared" si="391"/>
        <v>3</v>
      </c>
      <c r="DE40" s="131">
        <f t="shared" si="391"/>
        <v>4</v>
      </c>
      <c r="DF40" s="375">
        <f t="shared" si="391"/>
        <v>5</v>
      </c>
      <c r="DG40" s="131">
        <f t="shared" si="392"/>
        <v>3</v>
      </c>
      <c r="DH40" s="131">
        <f t="shared" si="392"/>
        <v>2</v>
      </c>
      <c r="DI40" s="131">
        <f t="shared" si="392"/>
        <v>5</v>
      </c>
      <c r="DJ40" s="131">
        <f t="shared" si="392"/>
        <v>1</v>
      </c>
      <c r="DK40" s="375">
        <f t="shared" si="392"/>
        <v>4</v>
      </c>
      <c r="DT40" s="64" t="str">
        <f t="shared" ref="DT40:DT45" si="393">"'Distance Input'!"</f>
        <v>'Distance Input'!</v>
      </c>
      <c r="DU40" s="100" t="s">
        <v>674</v>
      </c>
      <c r="DV40" s="100" t="s">
        <v>219</v>
      </c>
      <c r="DW40" s="64">
        <f t="shared" ca="1" si="288"/>
        <v>2</v>
      </c>
      <c r="DX40" s="64" t="str">
        <f t="shared" ca="1" si="11"/>
        <v>'Distance Input'!J4</v>
      </c>
      <c r="DY40" s="64" t="str">
        <f t="shared" ref="DY40:DY60" si="394">"'Field'!"</f>
        <v>'Field'!</v>
      </c>
      <c r="DZ40" s="100" t="s">
        <v>673</v>
      </c>
      <c r="EA40" s="100" t="s">
        <v>218</v>
      </c>
      <c r="EB40" s="100">
        <f t="shared" ca="1" si="289"/>
        <v>13</v>
      </c>
      <c r="EC40" s="64" t="str">
        <f t="shared" ca="1" si="13"/>
        <v>'Field'!R15</v>
      </c>
      <c r="ED40" s="64" t="s">
        <v>683</v>
      </c>
      <c r="EG40" s="65">
        <v>11.3</v>
      </c>
    </row>
    <row r="41" spans="1:137" x14ac:dyDescent="0.35">
      <c r="A41" s="64" t="s">
        <v>297</v>
      </c>
      <c r="B41" s="64" t="s">
        <v>22</v>
      </c>
      <c r="C41" s="64" t="s">
        <v>6</v>
      </c>
      <c r="D41" s="66">
        <v>41</v>
      </c>
      <c r="E41" s="66">
        <v>94</v>
      </c>
      <c r="F41" s="429" t="s">
        <v>1404</v>
      </c>
      <c r="G41" s="430">
        <v>0.47916666666666669</v>
      </c>
      <c r="I41" s="131">
        <f>I19</f>
        <v>7</v>
      </c>
      <c r="J41" s="131">
        <f t="shared" ref="J41:P41" si="395">J19</f>
        <v>1</v>
      </c>
      <c r="K41" s="131">
        <f t="shared" si="395"/>
        <v>5</v>
      </c>
      <c r="L41" s="131">
        <f t="shared" si="395"/>
        <v>4</v>
      </c>
      <c r="M41" s="131">
        <f t="shared" si="395"/>
        <v>6</v>
      </c>
      <c r="N41" s="131">
        <f t="shared" si="395"/>
        <v>2</v>
      </c>
      <c r="O41" s="131">
        <f t="shared" si="395"/>
        <v>8</v>
      </c>
      <c r="P41" s="375">
        <f t="shared" si="395"/>
        <v>3</v>
      </c>
      <c r="Q41" s="131">
        <f>Q19</f>
        <v>6</v>
      </c>
      <c r="R41" s="131">
        <f t="shared" ref="R41:X41" si="396">R19</f>
        <v>5</v>
      </c>
      <c r="S41" s="131">
        <f t="shared" si="396"/>
        <v>2</v>
      </c>
      <c r="T41" s="131">
        <f t="shared" si="396"/>
        <v>1</v>
      </c>
      <c r="U41" s="131">
        <f t="shared" si="396"/>
        <v>8</v>
      </c>
      <c r="V41" s="131">
        <f t="shared" si="396"/>
        <v>3</v>
      </c>
      <c r="W41" s="131">
        <f t="shared" si="396"/>
        <v>7</v>
      </c>
      <c r="X41" s="375">
        <f t="shared" si="396"/>
        <v>4</v>
      </c>
      <c r="Y41" s="131">
        <f>Y19</f>
        <v>8</v>
      </c>
      <c r="Z41" s="131">
        <f t="shared" ref="Z41:AF41" si="397">Z19</f>
        <v>5</v>
      </c>
      <c r="AA41" s="131">
        <f t="shared" si="397"/>
        <v>6</v>
      </c>
      <c r="AB41" s="131">
        <f t="shared" si="397"/>
        <v>3</v>
      </c>
      <c r="AC41" s="131">
        <f t="shared" si="397"/>
        <v>7</v>
      </c>
      <c r="AD41" s="131">
        <f t="shared" si="397"/>
        <v>4</v>
      </c>
      <c r="AE41" s="131">
        <f t="shared" si="397"/>
        <v>2</v>
      </c>
      <c r="AF41" s="375">
        <f t="shared" si="397"/>
        <v>1</v>
      </c>
      <c r="AG41" s="131">
        <f>AG19</f>
        <v>4</v>
      </c>
      <c r="AH41" s="131">
        <f t="shared" ref="AH41:AN41" si="398">AH19</f>
        <v>3</v>
      </c>
      <c r="AI41" s="131">
        <f t="shared" si="398"/>
        <v>7</v>
      </c>
      <c r="AJ41" s="131">
        <f t="shared" si="398"/>
        <v>8</v>
      </c>
      <c r="AK41" s="131">
        <f t="shared" si="398"/>
        <v>5</v>
      </c>
      <c r="AL41" s="131">
        <f t="shared" si="398"/>
        <v>1</v>
      </c>
      <c r="AM41" s="131">
        <f t="shared" si="398"/>
        <v>6</v>
      </c>
      <c r="AN41" s="375">
        <f t="shared" si="398"/>
        <v>2</v>
      </c>
      <c r="AP41" s="131">
        <f t="shared" ref="AP41:BQ41" si="399">AP19</f>
        <v>7</v>
      </c>
      <c r="AQ41" s="131">
        <f t="shared" si="399"/>
        <v>1</v>
      </c>
      <c r="AR41" s="131">
        <f t="shared" si="399"/>
        <v>5</v>
      </c>
      <c r="AS41" s="131">
        <f t="shared" si="399"/>
        <v>4</v>
      </c>
      <c r="AT41" s="131">
        <f t="shared" si="399"/>
        <v>6</v>
      </c>
      <c r="AU41" s="131">
        <f t="shared" si="399"/>
        <v>2</v>
      </c>
      <c r="AV41" s="375">
        <f t="shared" si="399"/>
        <v>3</v>
      </c>
      <c r="AW41" s="131">
        <f t="shared" si="399"/>
        <v>6</v>
      </c>
      <c r="AX41" s="131">
        <f t="shared" si="399"/>
        <v>5</v>
      </c>
      <c r="AY41" s="131">
        <f t="shared" si="399"/>
        <v>2</v>
      </c>
      <c r="AZ41" s="131">
        <f t="shared" si="399"/>
        <v>1</v>
      </c>
      <c r="BA41" s="131">
        <f t="shared" si="399"/>
        <v>3</v>
      </c>
      <c r="BB41" s="131">
        <f t="shared" si="399"/>
        <v>7</v>
      </c>
      <c r="BC41" s="375">
        <f t="shared" si="399"/>
        <v>4</v>
      </c>
      <c r="BD41" s="131">
        <f t="shared" si="399"/>
        <v>5</v>
      </c>
      <c r="BE41" s="131">
        <f t="shared" si="399"/>
        <v>6</v>
      </c>
      <c r="BF41" s="131">
        <f t="shared" si="399"/>
        <v>3</v>
      </c>
      <c r="BG41" s="131">
        <f t="shared" si="399"/>
        <v>7</v>
      </c>
      <c r="BH41" s="131">
        <f t="shared" si="399"/>
        <v>4</v>
      </c>
      <c r="BI41" s="131">
        <f t="shared" si="399"/>
        <v>2</v>
      </c>
      <c r="BJ41" s="375">
        <f t="shared" si="399"/>
        <v>1</v>
      </c>
      <c r="BK41" s="131">
        <f t="shared" si="399"/>
        <v>4</v>
      </c>
      <c r="BL41" s="131">
        <f t="shared" si="399"/>
        <v>3</v>
      </c>
      <c r="BM41" s="131">
        <f t="shared" si="399"/>
        <v>7</v>
      </c>
      <c r="BN41" s="131">
        <f t="shared" si="399"/>
        <v>5</v>
      </c>
      <c r="BO41" s="131">
        <f t="shared" si="399"/>
        <v>1</v>
      </c>
      <c r="BP41" s="131">
        <f t="shared" si="399"/>
        <v>6</v>
      </c>
      <c r="BQ41" s="375">
        <f t="shared" si="399"/>
        <v>2</v>
      </c>
      <c r="BS41" s="131">
        <f t="shared" ref="BS41:CJ41" si="400">BS19</f>
        <v>1</v>
      </c>
      <c r="BT41" s="131">
        <f t="shared" si="400"/>
        <v>5</v>
      </c>
      <c r="BU41" s="131">
        <f t="shared" si="400"/>
        <v>4</v>
      </c>
      <c r="BV41" s="131">
        <f t="shared" si="400"/>
        <v>6</v>
      </c>
      <c r="BW41" s="131">
        <f t="shared" si="400"/>
        <v>2</v>
      </c>
      <c r="BX41" s="375">
        <f t="shared" si="400"/>
        <v>3</v>
      </c>
      <c r="BY41" s="131">
        <f t="shared" si="400"/>
        <v>6</v>
      </c>
      <c r="BZ41" s="131">
        <f t="shared" si="400"/>
        <v>5</v>
      </c>
      <c r="CA41" s="131">
        <f t="shared" si="400"/>
        <v>2</v>
      </c>
      <c r="CB41" s="131">
        <f t="shared" si="400"/>
        <v>1</v>
      </c>
      <c r="CC41" s="131">
        <f t="shared" si="400"/>
        <v>3</v>
      </c>
      <c r="CD41" s="375">
        <f t="shared" si="400"/>
        <v>4</v>
      </c>
      <c r="CE41" s="131">
        <f t="shared" si="400"/>
        <v>5</v>
      </c>
      <c r="CF41" s="131">
        <f t="shared" si="400"/>
        <v>6</v>
      </c>
      <c r="CG41" s="131">
        <f t="shared" si="400"/>
        <v>3</v>
      </c>
      <c r="CH41" s="131">
        <f t="shared" si="400"/>
        <v>4</v>
      </c>
      <c r="CI41" s="131">
        <f t="shared" si="400"/>
        <v>2</v>
      </c>
      <c r="CJ41" s="375">
        <f t="shared" si="400"/>
        <v>1</v>
      </c>
      <c r="CK41" s="131">
        <f t="shared" ref="CK41:CP41" si="401">CK19</f>
        <v>4</v>
      </c>
      <c r="CL41" s="131">
        <f t="shared" si="401"/>
        <v>3</v>
      </c>
      <c r="CM41" s="131">
        <f t="shared" si="401"/>
        <v>5</v>
      </c>
      <c r="CN41" s="131">
        <f t="shared" si="401"/>
        <v>1</v>
      </c>
      <c r="CO41" s="131">
        <f t="shared" si="401"/>
        <v>6</v>
      </c>
      <c r="CP41" s="375">
        <f t="shared" si="401"/>
        <v>2</v>
      </c>
      <c r="CR41" s="131">
        <f t="shared" ref="CR41:DK41" si="402">CR19</f>
        <v>1</v>
      </c>
      <c r="CS41" s="131">
        <f t="shared" si="402"/>
        <v>5</v>
      </c>
      <c r="CT41" s="131">
        <f t="shared" si="402"/>
        <v>4</v>
      </c>
      <c r="CU41" s="131">
        <f t="shared" si="402"/>
        <v>2</v>
      </c>
      <c r="CV41" s="375">
        <f t="shared" si="402"/>
        <v>3</v>
      </c>
      <c r="CW41" s="131">
        <f t="shared" si="402"/>
        <v>5</v>
      </c>
      <c r="CX41" s="131">
        <f t="shared" si="402"/>
        <v>2</v>
      </c>
      <c r="CY41" s="131">
        <f t="shared" si="402"/>
        <v>1</v>
      </c>
      <c r="CZ41" s="131">
        <f t="shared" si="402"/>
        <v>3</v>
      </c>
      <c r="DA41" s="375">
        <f t="shared" si="402"/>
        <v>4</v>
      </c>
      <c r="DB41" s="131">
        <f t="shared" si="402"/>
        <v>5</v>
      </c>
      <c r="DC41" s="131">
        <f t="shared" si="402"/>
        <v>3</v>
      </c>
      <c r="DD41" s="131">
        <f t="shared" si="402"/>
        <v>4</v>
      </c>
      <c r="DE41" s="131">
        <f t="shared" si="402"/>
        <v>2</v>
      </c>
      <c r="DF41" s="375">
        <f t="shared" si="402"/>
        <v>1</v>
      </c>
      <c r="DG41" s="131">
        <f t="shared" si="402"/>
        <v>4</v>
      </c>
      <c r="DH41" s="131">
        <f t="shared" si="402"/>
        <v>3</v>
      </c>
      <c r="DI41" s="131">
        <f t="shared" si="402"/>
        <v>5</v>
      </c>
      <c r="DJ41" s="131">
        <f t="shared" si="402"/>
        <v>1</v>
      </c>
      <c r="DK41" s="375">
        <f t="shared" si="402"/>
        <v>2</v>
      </c>
      <c r="DT41" s="64" t="str">
        <f t="shared" si="393"/>
        <v>'Distance Input'!</v>
      </c>
      <c r="DU41" s="100" t="s">
        <v>675</v>
      </c>
      <c r="DV41" s="100" t="s">
        <v>142</v>
      </c>
      <c r="DW41" s="64">
        <f t="shared" ca="1" si="288"/>
        <v>2</v>
      </c>
      <c r="DX41" s="64" t="str">
        <f t="shared" ca="1" si="11"/>
        <v>'Distance Input'!Q4</v>
      </c>
      <c r="DY41" s="64" t="str">
        <f t="shared" si="394"/>
        <v>'Field'!</v>
      </c>
      <c r="DZ41" s="100" t="s">
        <v>673</v>
      </c>
      <c r="EA41" s="100" t="s">
        <v>218</v>
      </c>
      <c r="EB41" s="100">
        <f t="shared" ca="1" si="289"/>
        <v>134</v>
      </c>
      <c r="EC41" s="64" t="str">
        <f t="shared" ca="1" si="13"/>
        <v>'Field'!R136</v>
      </c>
      <c r="ED41" s="64" t="s">
        <v>699</v>
      </c>
      <c r="EG41" s="65">
        <v>11.3</v>
      </c>
    </row>
    <row r="42" spans="1:137" x14ac:dyDescent="0.35">
      <c r="A42" s="64" t="s">
        <v>233</v>
      </c>
      <c r="B42" s="64" t="s">
        <v>23</v>
      </c>
      <c r="C42" s="64" t="s">
        <v>7</v>
      </c>
      <c r="D42" s="66">
        <v>42</v>
      </c>
      <c r="E42" s="66">
        <v>21</v>
      </c>
      <c r="F42" s="429" t="s">
        <v>1404</v>
      </c>
      <c r="G42" s="430">
        <v>0.48958333333333331</v>
      </c>
      <c r="I42" s="368">
        <v>7</v>
      </c>
      <c r="J42" s="368">
        <v>6</v>
      </c>
      <c r="K42" s="368">
        <v>4</v>
      </c>
      <c r="L42" s="368">
        <v>2</v>
      </c>
      <c r="M42" s="368">
        <v>5</v>
      </c>
      <c r="N42" s="368">
        <v>1</v>
      </c>
      <c r="O42" s="368">
        <v>8</v>
      </c>
      <c r="P42" s="376">
        <v>3</v>
      </c>
      <c r="Q42" s="368">
        <v>1</v>
      </c>
      <c r="R42" s="368">
        <v>4</v>
      </c>
      <c r="S42" s="368">
        <v>7</v>
      </c>
      <c r="T42" s="368">
        <v>8</v>
      </c>
      <c r="U42" s="368">
        <v>3</v>
      </c>
      <c r="V42" s="368">
        <v>2</v>
      </c>
      <c r="W42" s="368">
        <v>5</v>
      </c>
      <c r="X42" s="376">
        <v>6</v>
      </c>
      <c r="Y42" s="368">
        <v>8</v>
      </c>
      <c r="Z42" s="368">
        <v>2</v>
      </c>
      <c r="AA42" s="368">
        <v>5</v>
      </c>
      <c r="AB42" s="368">
        <v>1</v>
      </c>
      <c r="AC42" s="368">
        <v>6</v>
      </c>
      <c r="AD42" s="368">
        <v>3</v>
      </c>
      <c r="AE42" s="368">
        <v>7</v>
      </c>
      <c r="AF42" s="376">
        <v>4</v>
      </c>
      <c r="AG42" s="368">
        <v>6</v>
      </c>
      <c r="AH42" s="368">
        <v>1</v>
      </c>
      <c r="AI42" s="368">
        <v>5</v>
      </c>
      <c r="AJ42" s="368">
        <v>3</v>
      </c>
      <c r="AK42" s="368">
        <v>7</v>
      </c>
      <c r="AL42" s="368">
        <v>8</v>
      </c>
      <c r="AM42" s="368">
        <v>4</v>
      </c>
      <c r="AN42" s="376">
        <v>2</v>
      </c>
      <c r="AP42" s="368">
        <v>7</v>
      </c>
      <c r="AQ42" s="368">
        <v>6</v>
      </c>
      <c r="AR42" s="368">
        <v>4</v>
      </c>
      <c r="AS42" s="368">
        <v>2</v>
      </c>
      <c r="AT42" s="368">
        <v>5</v>
      </c>
      <c r="AU42" s="368">
        <v>1</v>
      </c>
      <c r="AV42" s="376">
        <v>3</v>
      </c>
      <c r="AW42" s="368">
        <v>1</v>
      </c>
      <c r="AX42" s="368">
        <v>4</v>
      </c>
      <c r="AY42" s="368">
        <v>7</v>
      </c>
      <c r="AZ42" s="368">
        <v>3</v>
      </c>
      <c r="BA42" s="368">
        <v>2</v>
      </c>
      <c r="BB42" s="368">
        <v>5</v>
      </c>
      <c r="BC42" s="376">
        <v>6</v>
      </c>
      <c r="BD42" s="368">
        <v>2</v>
      </c>
      <c r="BE42" s="368">
        <v>5</v>
      </c>
      <c r="BF42" s="368">
        <v>1</v>
      </c>
      <c r="BG42" s="368">
        <v>6</v>
      </c>
      <c r="BH42" s="368">
        <v>3</v>
      </c>
      <c r="BI42" s="368">
        <v>7</v>
      </c>
      <c r="BJ42" s="376">
        <v>4</v>
      </c>
      <c r="BK42" s="368">
        <v>6</v>
      </c>
      <c r="BL42" s="368">
        <v>1</v>
      </c>
      <c r="BM42" s="368">
        <v>5</v>
      </c>
      <c r="BN42" s="368">
        <v>3</v>
      </c>
      <c r="BO42" s="368">
        <v>7</v>
      </c>
      <c r="BP42" s="368">
        <v>4</v>
      </c>
      <c r="BQ42" s="376">
        <v>2</v>
      </c>
      <c r="BS42" s="368">
        <v>6</v>
      </c>
      <c r="BT42" s="368">
        <v>4</v>
      </c>
      <c r="BU42" s="368">
        <v>2</v>
      </c>
      <c r="BV42" s="368">
        <v>5</v>
      </c>
      <c r="BW42" s="368">
        <v>1</v>
      </c>
      <c r="BX42" s="376">
        <v>3</v>
      </c>
      <c r="BY42" s="368">
        <v>1</v>
      </c>
      <c r="BZ42" s="368">
        <v>4</v>
      </c>
      <c r="CA42" s="368">
        <v>3</v>
      </c>
      <c r="CB42" s="368">
        <v>2</v>
      </c>
      <c r="CC42" s="368">
        <v>5</v>
      </c>
      <c r="CD42" s="376">
        <v>6</v>
      </c>
      <c r="CE42" s="368">
        <v>2</v>
      </c>
      <c r="CF42" s="368">
        <v>5</v>
      </c>
      <c r="CG42" s="368">
        <v>1</v>
      </c>
      <c r="CH42" s="368">
        <v>6</v>
      </c>
      <c r="CI42" s="368">
        <v>3</v>
      </c>
      <c r="CJ42" s="376">
        <v>4</v>
      </c>
      <c r="CK42" s="368">
        <v>6</v>
      </c>
      <c r="CL42" s="368">
        <v>1</v>
      </c>
      <c r="CM42" s="368">
        <v>5</v>
      </c>
      <c r="CN42" s="368">
        <v>3</v>
      </c>
      <c r="CO42" s="368">
        <v>4</v>
      </c>
      <c r="CP42" s="376">
        <v>2</v>
      </c>
      <c r="CR42" s="368">
        <v>4</v>
      </c>
      <c r="CS42" s="368">
        <v>2</v>
      </c>
      <c r="CT42" s="368">
        <v>5</v>
      </c>
      <c r="CU42" s="368">
        <v>1</v>
      </c>
      <c r="CV42" s="376">
        <v>3</v>
      </c>
      <c r="CW42" s="368">
        <v>1</v>
      </c>
      <c r="CX42" s="368">
        <v>4</v>
      </c>
      <c r="CY42" s="368">
        <v>3</v>
      </c>
      <c r="CZ42" s="368">
        <v>2</v>
      </c>
      <c r="DA42" s="376">
        <v>5</v>
      </c>
      <c r="DB42" s="368">
        <v>2</v>
      </c>
      <c r="DC42" s="368">
        <v>5</v>
      </c>
      <c r="DD42" s="368">
        <v>1</v>
      </c>
      <c r="DE42" s="368">
        <v>3</v>
      </c>
      <c r="DF42" s="376">
        <v>4</v>
      </c>
      <c r="DG42" s="368">
        <v>1</v>
      </c>
      <c r="DH42" s="368">
        <v>5</v>
      </c>
      <c r="DI42" s="368">
        <v>3</v>
      </c>
      <c r="DJ42" s="368">
        <v>4</v>
      </c>
      <c r="DK42" s="376">
        <v>2</v>
      </c>
      <c r="DT42" s="64" t="str">
        <f>"'Height Input'!"</f>
        <v>'Height Input'!</v>
      </c>
      <c r="DU42" s="100" t="s">
        <v>678</v>
      </c>
      <c r="DV42" s="100" t="s">
        <v>333</v>
      </c>
      <c r="DW42" s="64">
        <f t="shared" ca="1" si="288"/>
        <v>2</v>
      </c>
      <c r="DX42" s="64" t="str">
        <f t="shared" ca="1" si="11"/>
        <v>'Height Input'!C4</v>
      </c>
      <c r="DY42" s="64" t="str">
        <f t="shared" si="394"/>
        <v>'Field'!</v>
      </c>
      <c r="DZ42" s="100" t="s">
        <v>673</v>
      </c>
      <c r="EA42" s="100" t="s">
        <v>218</v>
      </c>
      <c r="EB42" s="100">
        <f t="shared" ca="1" si="289"/>
        <v>178</v>
      </c>
      <c r="EC42" s="64" t="str">
        <f t="shared" ca="1" si="13"/>
        <v>'Field'!R180</v>
      </c>
      <c r="ED42" s="64" t="s">
        <v>685</v>
      </c>
      <c r="EG42" s="65">
        <v>11.45</v>
      </c>
    </row>
    <row r="43" spans="1:137" x14ac:dyDescent="0.35">
      <c r="A43" s="64" t="s">
        <v>236</v>
      </c>
      <c r="B43" s="64" t="s">
        <v>24</v>
      </c>
      <c r="C43" s="64" t="s">
        <v>4</v>
      </c>
      <c r="D43" s="66">
        <v>43</v>
      </c>
      <c r="E43" s="66">
        <v>43</v>
      </c>
      <c r="F43" s="429" t="s">
        <v>1394</v>
      </c>
      <c r="G43" s="430">
        <v>0.48958333333333331</v>
      </c>
      <c r="I43" s="131">
        <f>I$27</f>
        <v>8</v>
      </c>
      <c r="J43" s="131">
        <f t="shared" ref="J43:BU43" si="403">J$27</f>
        <v>3</v>
      </c>
      <c r="K43" s="131">
        <f t="shared" si="403"/>
        <v>1</v>
      </c>
      <c r="L43" s="131">
        <f t="shared" si="403"/>
        <v>6</v>
      </c>
      <c r="M43" s="131">
        <f t="shared" si="403"/>
        <v>4</v>
      </c>
      <c r="N43" s="131">
        <f t="shared" si="403"/>
        <v>2</v>
      </c>
      <c r="O43" s="131">
        <f t="shared" si="403"/>
        <v>7</v>
      </c>
      <c r="P43" s="375">
        <f t="shared" si="403"/>
        <v>5</v>
      </c>
      <c r="Q43" s="131">
        <f>Q$27</f>
        <v>1</v>
      </c>
      <c r="R43" s="131">
        <f t="shared" si="403"/>
        <v>2</v>
      </c>
      <c r="S43" s="131">
        <f t="shared" si="403"/>
        <v>5</v>
      </c>
      <c r="T43" s="131">
        <f t="shared" si="403"/>
        <v>7</v>
      </c>
      <c r="U43" s="131">
        <f t="shared" si="403"/>
        <v>3</v>
      </c>
      <c r="V43" s="131">
        <f t="shared" si="403"/>
        <v>8</v>
      </c>
      <c r="W43" s="131">
        <f t="shared" si="403"/>
        <v>6</v>
      </c>
      <c r="X43" s="375">
        <f t="shared" si="403"/>
        <v>4</v>
      </c>
      <c r="Y43" s="131">
        <f>Y$27</f>
        <v>7</v>
      </c>
      <c r="Z43" s="131">
        <f t="shared" si="403"/>
        <v>4</v>
      </c>
      <c r="AA43" s="131">
        <f t="shared" si="403"/>
        <v>3</v>
      </c>
      <c r="AB43" s="131">
        <f t="shared" si="403"/>
        <v>8</v>
      </c>
      <c r="AC43" s="131">
        <f t="shared" si="403"/>
        <v>5</v>
      </c>
      <c r="AD43" s="131">
        <f t="shared" si="403"/>
        <v>6</v>
      </c>
      <c r="AE43" s="131">
        <f t="shared" si="403"/>
        <v>1</v>
      </c>
      <c r="AF43" s="375">
        <f t="shared" si="403"/>
        <v>2</v>
      </c>
      <c r="AG43" s="131">
        <f>AG$27</f>
        <v>6</v>
      </c>
      <c r="AH43" s="131">
        <f t="shared" si="403"/>
        <v>5</v>
      </c>
      <c r="AI43" s="131">
        <f t="shared" si="403"/>
        <v>2</v>
      </c>
      <c r="AJ43" s="131">
        <f t="shared" si="403"/>
        <v>1</v>
      </c>
      <c r="AK43" s="131">
        <f t="shared" si="403"/>
        <v>4</v>
      </c>
      <c r="AL43" s="131">
        <f t="shared" si="403"/>
        <v>7</v>
      </c>
      <c r="AM43" s="131">
        <f t="shared" si="403"/>
        <v>8</v>
      </c>
      <c r="AN43" s="375">
        <f t="shared" si="403"/>
        <v>3</v>
      </c>
      <c r="AP43" s="131">
        <f t="shared" si="403"/>
        <v>3</v>
      </c>
      <c r="AQ43" s="131">
        <f t="shared" si="403"/>
        <v>1</v>
      </c>
      <c r="AR43" s="131">
        <f t="shared" si="403"/>
        <v>6</v>
      </c>
      <c r="AS43" s="131">
        <f t="shared" si="403"/>
        <v>4</v>
      </c>
      <c r="AT43" s="131">
        <f t="shared" si="403"/>
        <v>2</v>
      </c>
      <c r="AU43" s="131">
        <f t="shared" si="403"/>
        <v>7</v>
      </c>
      <c r="AV43" s="375">
        <f t="shared" si="403"/>
        <v>5</v>
      </c>
      <c r="AW43" s="131">
        <f t="shared" si="403"/>
        <v>1</v>
      </c>
      <c r="AX43" s="131">
        <f t="shared" si="403"/>
        <v>2</v>
      </c>
      <c r="AY43" s="131">
        <f t="shared" si="403"/>
        <v>5</v>
      </c>
      <c r="AZ43" s="131">
        <f t="shared" si="403"/>
        <v>7</v>
      </c>
      <c r="BA43" s="131">
        <f t="shared" si="403"/>
        <v>3</v>
      </c>
      <c r="BB43" s="131">
        <f t="shared" si="403"/>
        <v>6</v>
      </c>
      <c r="BC43" s="375">
        <f t="shared" si="403"/>
        <v>4</v>
      </c>
      <c r="BD43" s="131">
        <f t="shared" si="403"/>
        <v>7</v>
      </c>
      <c r="BE43" s="131">
        <f t="shared" si="403"/>
        <v>4</v>
      </c>
      <c r="BF43" s="131">
        <f t="shared" si="403"/>
        <v>3</v>
      </c>
      <c r="BG43" s="131">
        <f t="shared" si="403"/>
        <v>5</v>
      </c>
      <c r="BH43" s="131">
        <f t="shared" si="403"/>
        <v>6</v>
      </c>
      <c r="BI43" s="131">
        <f t="shared" si="403"/>
        <v>1</v>
      </c>
      <c r="BJ43" s="375">
        <f t="shared" si="403"/>
        <v>2</v>
      </c>
      <c r="BK43" s="131">
        <f t="shared" si="403"/>
        <v>6</v>
      </c>
      <c r="BL43" s="131">
        <f t="shared" si="403"/>
        <v>5</v>
      </c>
      <c r="BM43" s="131">
        <f t="shared" si="403"/>
        <v>2</v>
      </c>
      <c r="BN43" s="131">
        <f t="shared" si="403"/>
        <v>1</v>
      </c>
      <c r="BO43" s="131">
        <f t="shared" si="403"/>
        <v>4</v>
      </c>
      <c r="BP43" s="131">
        <f t="shared" si="403"/>
        <v>7</v>
      </c>
      <c r="BQ43" s="375">
        <f t="shared" si="403"/>
        <v>3</v>
      </c>
      <c r="BS43" s="131">
        <f t="shared" si="403"/>
        <v>3</v>
      </c>
      <c r="BT43" s="131">
        <f t="shared" si="403"/>
        <v>1</v>
      </c>
      <c r="BU43" s="131">
        <f t="shared" si="403"/>
        <v>6</v>
      </c>
      <c r="BV43" s="131">
        <f t="shared" ref="BV43:CJ43" si="404">BV$27</f>
        <v>4</v>
      </c>
      <c r="BW43" s="131">
        <f t="shared" si="404"/>
        <v>2</v>
      </c>
      <c r="BX43" s="375">
        <f t="shared" si="404"/>
        <v>5</v>
      </c>
      <c r="BY43" s="131">
        <f t="shared" si="404"/>
        <v>1</v>
      </c>
      <c r="BZ43" s="131">
        <f t="shared" si="404"/>
        <v>2</v>
      </c>
      <c r="CA43" s="131">
        <f t="shared" si="404"/>
        <v>5</v>
      </c>
      <c r="CB43" s="131">
        <f t="shared" si="404"/>
        <v>3</v>
      </c>
      <c r="CC43" s="131">
        <f t="shared" si="404"/>
        <v>6</v>
      </c>
      <c r="CD43" s="375">
        <f t="shared" si="404"/>
        <v>4</v>
      </c>
      <c r="CE43" s="131">
        <f t="shared" si="404"/>
        <v>4</v>
      </c>
      <c r="CF43" s="131">
        <f t="shared" si="404"/>
        <v>3</v>
      </c>
      <c r="CG43" s="131">
        <f t="shared" si="404"/>
        <v>5</v>
      </c>
      <c r="CH43" s="131">
        <f t="shared" si="404"/>
        <v>6</v>
      </c>
      <c r="CI43" s="131">
        <f t="shared" si="404"/>
        <v>1</v>
      </c>
      <c r="CJ43" s="375">
        <f t="shared" si="404"/>
        <v>2</v>
      </c>
      <c r="CK43" s="131">
        <f t="shared" ref="CK43:CP43" si="405">CK$27</f>
        <v>6</v>
      </c>
      <c r="CL43" s="131">
        <f t="shared" si="405"/>
        <v>5</v>
      </c>
      <c r="CM43" s="131">
        <f t="shared" si="405"/>
        <v>2</v>
      </c>
      <c r="CN43" s="131">
        <f t="shared" si="405"/>
        <v>1</v>
      </c>
      <c r="CO43" s="131">
        <f t="shared" si="405"/>
        <v>4</v>
      </c>
      <c r="CP43" s="375">
        <f t="shared" si="405"/>
        <v>3</v>
      </c>
      <c r="CR43" s="131">
        <f t="shared" ref="CR43:DK43" si="406">CR$27</f>
        <v>3</v>
      </c>
      <c r="CS43" s="131">
        <f t="shared" si="406"/>
        <v>1</v>
      </c>
      <c r="CT43" s="131">
        <f t="shared" si="406"/>
        <v>4</v>
      </c>
      <c r="CU43" s="131">
        <f t="shared" si="406"/>
        <v>2</v>
      </c>
      <c r="CV43" s="375">
        <f t="shared" si="406"/>
        <v>5</v>
      </c>
      <c r="CW43" s="131">
        <f t="shared" si="406"/>
        <v>1</v>
      </c>
      <c r="CX43" s="131">
        <f t="shared" si="406"/>
        <v>2</v>
      </c>
      <c r="CY43" s="131">
        <f t="shared" si="406"/>
        <v>5</v>
      </c>
      <c r="CZ43" s="131">
        <f t="shared" si="406"/>
        <v>3</v>
      </c>
      <c r="DA43" s="375">
        <f t="shared" si="406"/>
        <v>4</v>
      </c>
      <c r="DB43" s="131">
        <f t="shared" si="406"/>
        <v>4</v>
      </c>
      <c r="DC43" s="131">
        <f t="shared" si="406"/>
        <v>3</v>
      </c>
      <c r="DD43" s="131">
        <f t="shared" si="406"/>
        <v>5</v>
      </c>
      <c r="DE43" s="131">
        <f t="shared" si="406"/>
        <v>1</v>
      </c>
      <c r="DF43" s="375">
        <f t="shared" si="406"/>
        <v>2</v>
      </c>
      <c r="DG43" s="131">
        <f t="shared" si="406"/>
        <v>5</v>
      </c>
      <c r="DH43" s="131">
        <f t="shared" si="406"/>
        <v>2</v>
      </c>
      <c r="DI43" s="131">
        <f t="shared" si="406"/>
        <v>1</v>
      </c>
      <c r="DJ43" s="131">
        <f t="shared" si="406"/>
        <v>4</v>
      </c>
      <c r="DK43" s="375">
        <f t="shared" si="406"/>
        <v>3</v>
      </c>
      <c r="DT43" s="64" t="str">
        <f t="shared" si="393"/>
        <v>'Distance Input'!</v>
      </c>
      <c r="DU43" s="100" t="s">
        <v>673</v>
      </c>
      <c r="DV43" s="100" t="s">
        <v>333</v>
      </c>
      <c r="DW43" s="64">
        <f t="shared" ca="1" si="288"/>
        <v>21</v>
      </c>
      <c r="DX43" s="64" t="str">
        <f t="shared" ca="1" si="11"/>
        <v>'Distance Input'!C23</v>
      </c>
      <c r="DY43" s="64" t="str">
        <f t="shared" si="394"/>
        <v>'Field'!</v>
      </c>
      <c r="DZ43" s="100" t="s">
        <v>673</v>
      </c>
      <c r="EA43" s="100" t="s">
        <v>218</v>
      </c>
      <c r="EB43" s="100">
        <f t="shared" ca="1" si="289"/>
        <v>24</v>
      </c>
      <c r="EC43" s="64" t="str">
        <f t="shared" ca="1" si="13"/>
        <v>'Field'!R26</v>
      </c>
      <c r="ED43" s="64" t="s">
        <v>684</v>
      </c>
      <c r="EG43" s="65">
        <v>11.45</v>
      </c>
    </row>
    <row r="44" spans="1:137" x14ac:dyDescent="0.35">
      <c r="A44" s="64" t="s">
        <v>237</v>
      </c>
      <c r="B44" s="64" t="s">
        <v>25</v>
      </c>
      <c r="C44" s="64" t="s">
        <v>9</v>
      </c>
      <c r="D44" s="66">
        <v>44</v>
      </c>
      <c r="E44" s="66">
        <v>65</v>
      </c>
      <c r="F44" s="429" t="s">
        <v>1416</v>
      </c>
      <c r="G44" s="430">
        <v>0.52083333333333337</v>
      </c>
      <c r="I44" s="131">
        <f>I$11</f>
        <v>3</v>
      </c>
      <c r="J44" s="131">
        <f t="shared" ref="J44:BU44" si="407">J$11</f>
        <v>8</v>
      </c>
      <c r="K44" s="131">
        <f t="shared" si="407"/>
        <v>5</v>
      </c>
      <c r="L44" s="131">
        <f t="shared" si="407"/>
        <v>2</v>
      </c>
      <c r="M44" s="131">
        <f t="shared" si="407"/>
        <v>6</v>
      </c>
      <c r="N44" s="131">
        <f t="shared" si="407"/>
        <v>7</v>
      </c>
      <c r="O44" s="131">
        <f t="shared" si="407"/>
        <v>4</v>
      </c>
      <c r="P44" s="375">
        <f t="shared" si="407"/>
        <v>1</v>
      </c>
      <c r="Q44" s="131">
        <f>Q$11</f>
        <v>5</v>
      </c>
      <c r="R44" s="131">
        <f t="shared" si="407"/>
        <v>8</v>
      </c>
      <c r="S44" s="131">
        <f t="shared" si="407"/>
        <v>1</v>
      </c>
      <c r="T44" s="131">
        <f t="shared" si="407"/>
        <v>3</v>
      </c>
      <c r="U44" s="131">
        <f t="shared" si="407"/>
        <v>4</v>
      </c>
      <c r="V44" s="131">
        <f t="shared" si="407"/>
        <v>2</v>
      </c>
      <c r="W44" s="131">
        <f t="shared" si="407"/>
        <v>7</v>
      </c>
      <c r="X44" s="375">
        <f t="shared" si="407"/>
        <v>6</v>
      </c>
      <c r="Y44" s="131">
        <f>Y$11</f>
        <v>4</v>
      </c>
      <c r="Z44" s="131">
        <f t="shared" si="407"/>
        <v>5</v>
      </c>
      <c r="AA44" s="131">
        <f t="shared" si="407"/>
        <v>1</v>
      </c>
      <c r="AB44" s="131">
        <f t="shared" si="407"/>
        <v>8</v>
      </c>
      <c r="AC44" s="131">
        <f t="shared" si="407"/>
        <v>7</v>
      </c>
      <c r="AD44" s="131">
        <f t="shared" si="407"/>
        <v>6</v>
      </c>
      <c r="AE44" s="131">
        <f t="shared" si="407"/>
        <v>2</v>
      </c>
      <c r="AF44" s="375">
        <f t="shared" si="407"/>
        <v>3</v>
      </c>
      <c r="AG44" s="131">
        <f>AG$11</f>
        <v>2</v>
      </c>
      <c r="AH44" s="131">
        <f t="shared" si="407"/>
        <v>6</v>
      </c>
      <c r="AI44" s="131">
        <f t="shared" si="407"/>
        <v>4</v>
      </c>
      <c r="AJ44" s="131">
        <f t="shared" si="407"/>
        <v>5</v>
      </c>
      <c r="AK44" s="131">
        <f t="shared" si="407"/>
        <v>3</v>
      </c>
      <c r="AL44" s="131">
        <f t="shared" si="407"/>
        <v>8</v>
      </c>
      <c r="AM44" s="131">
        <f t="shared" si="407"/>
        <v>1</v>
      </c>
      <c r="AN44" s="375">
        <f t="shared" si="407"/>
        <v>7</v>
      </c>
      <c r="AP44" s="131">
        <f t="shared" si="407"/>
        <v>3</v>
      </c>
      <c r="AQ44" s="131">
        <f t="shared" si="407"/>
        <v>5</v>
      </c>
      <c r="AR44" s="131">
        <f t="shared" si="407"/>
        <v>2</v>
      </c>
      <c r="AS44" s="131">
        <f t="shared" si="407"/>
        <v>6</v>
      </c>
      <c r="AT44" s="131">
        <f t="shared" si="407"/>
        <v>7</v>
      </c>
      <c r="AU44" s="131">
        <f t="shared" si="407"/>
        <v>4</v>
      </c>
      <c r="AV44" s="375">
        <f t="shared" si="407"/>
        <v>1</v>
      </c>
      <c r="AW44" s="131">
        <f t="shared" si="407"/>
        <v>5</v>
      </c>
      <c r="AX44" s="131">
        <f t="shared" si="407"/>
        <v>1</v>
      </c>
      <c r="AY44" s="131">
        <f t="shared" si="407"/>
        <v>3</v>
      </c>
      <c r="AZ44" s="131">
        <f t="shared" si="407"/>
        <v>4</v>
      </c>
      <c r="BA44" s="131">
        <f t="shared" si="407"/>
        <v>2</v>
      </c>
      <c r="BB44" s="131">
        <f t="shared" si="407"/>
        <v>7</v>
      </c>
      <c r="BC44" s="375">
        <f t="shared" si="407"/>
        <v>6</v>
      </c>
      <c r="BD44" s="131">
        <f t="shared" si="407"/>
        <v>4</v>
      </c>
      <c r="BE44" s="131">
        <f t="shared" si="407"/>
        <v>5</v>
      </c>
      <c r="BF44" s="131">
        <f t="shared" si="407"/>
        <v>1</v>
      </c>
      <c r="BG44" s="131">
        <f t="shared" si="407"/>
        <v>7</v>
      </c>
      <c r="BH44" s="131">
        <f t="shared" si="407"/>
        <v>6</v>
      </c>
      <c r="BI44" s="131">
        <f t="shared" si="407"/>
        <v>2</v>
      </c>
      <c r="BJ44" s="375">
        <f t="shared" si="407"/>
        <v>3</v>
      </c>
      <c r="BK44" s="131">
        <f t="shared" si="407"/>
        <v>2</v>
      </c>
      <c r="BL44" s="131">
        <f t="shared" si="407"/>
        <v>6</v>
      </c>
      <c r="BM44" s="131">
        <f t="shared" si="407"/>
        <v>4</v>
      </c>
      <c r="BN44" s="131">
        <f t="shared" si="407"/>
        <v>5</v>
      </c>
      <c r="BO44" s="131">
        <f t="shared" si="407"/>
        <v>3</v>
      </c>
      <c r="BP44" s="131">
        <f t="shared" si="407"/>
        <v>1</v>
      </c>
      <c r="BQ44" s="375">
        <f t="shared" si="407"/>
        <v>7</v>
      </c>
      <c r="BS44" s="131">
        <f t="shared" si="407"/>
        <v>3</v>
      </c>
      <c r="BT44" s="131">
        <f t="shared" si="407"/>
        <v>5</v>
      </c>
      <c r="BU44" s="131">
        <f t="shared" si="407"/>
        <v>2</v>
      </c>
      <c r="BV44" s="131">
        <f t="shared" ref="BV44:CJ44" si="408">BV$11</f>
        <v>6</v>
      </c>
      <c r="BW44" s="131">
        <f t="shared" si="408"/>
        <v>4</v>
      </c>
      <c r="BX44" s="375">
        <f t="shared" si="408"/>
        <v>1</v>
      </c>
      <c r="BY44" s="131">
        <f t="shared" si="408"/>
        <v>5</v>
      </c>
      <c r="BZ44" s="131">
        <f t="shared" si="408"/>
        <v>1</v>
      </c>
      <c r="CA44" s="131">
        <f t="shared" si="408"/>
        <v>3</v>
      </c>
      <c r="CB44" s="131">
        <f t="shared" si="408"/>
        <v>4</v>
      </c>
      <c r="CC44" s="131">
        <f t="shared" si="408"/>
        <v>2</v>
      </c>
      <c r="CD44" s="375">
        <f t="shared" si="408"/>
        <v>6</v>
      </c>
      <c r="CE44" s="131">
        <f t="shared" si="408"/>
        <v>4</v>
      </c>
      <c r="CF44" s="131">
        <f t="shared" si="408"/>
        <v>5</v>
      </c>
      <c r="CG44" s="131">
        <f t="shared" si="408"/>
        <v>1</v>
      </c>
      <c r="CH44" s="131">
        <f t="shared" si="408"/>
        <v>6</v>
      </c>
      <c r="CI44" s="131">
        <f t="shared" si="408"/>
        <v>2</v>
      </c>
      <c r="CJ44" s="375">
        <f t="shared" si="408"/>
        <v>3</v>
      </c>
      <c r="CK44" s="131">
        <f t="shared" ref="CK44:CP44" si="409">CK$11</f>
        <v>2</v>
      </c>
      <c r="CL44" s="131">
        <f t="shared" si="409"/>
        <v>6</v>
      </c>
      <c r="CM44" s="131">
        <f t="shared" si="409"/>
        <v>4</v>
      </c>
      <c r="CN44" s="131">
        <f t="shared" si="409"/>
        <v>5</v>
      </c>
      <c r="CO44" s="131">
        <f t="shared" si="409"/>
        <v>3</v>
      </c>
      <c r="CP44" s="375">
        <f t="shared" si="409"/>
        <v>1</v>
      </c>
      <c r="CR44" s="131">
        <f t="shared" ref="CR44:DK44" si="410">CR$11</f>
        <v>3</v>
      </c>
      <c r="CS44" s="131">
        <f t="shared" si="410"/>
        <v>5</v>
      </c>
      <c r="CT44" s="131">
        <f t="shared" si="410"/>
        <v>2</v>
      </c>
      <c r="CU44" s="131">
        <f t="shared" si="410"/>
        <v>4</v>
      </c>
      <c r="CV44" s="375">
        <f t="shared" si="410"/>
        <v>1</v>
      </c>
      <c r="CW44" s="131">
        <f t="shared" si="410"/>
        <v>5</v>
      </c>
      <c r="CX44" s="131">
        <f t="shared" si="410"/>
        <v>1</v>
      </c>
      <c r="CY44" s="131">
        <f t="shared" si="410"/>
        <v>3</v>
      </c>
      <c r="CZ44" s="131">
        <f t="shared" si="410"/>
        <v>4</v>
      </c>
      <c r="DA44" s="375">
        <f t="shared" si="410"/>
        <v>2</v>
      </c>
      <c r="DB44" s="131">
        <f t="shared" si="410"/>
        <v>4</v>
      </c>
      <c r="DC44" s="131">
        <f t="shared" si="410"/>
        <v>5</v>
      </c>
      <c r="DD44" s="131">
        <f t="shared" si="410"/>
        <v>1</v>
      </c>
      <c r="DE44" s="131">
        <f t="shared" si="410"/>
        <v>2</v>
      </c>
      <c r="DF44" s="375">
        <f t="shared" si="410"/>
        <v>3</v>
      </c>
      <c r="DG44" s="131">
        <f t="shared" si="410"/>
        <v>2</v>
      </c>
      <c r="DH44" s="131">
        <f t="shared" si="410"/>
        <v>4</v>
      </c>
      <c r="DI44" s="131">
        <f t="shared" si="410"/>
        <v>5</v>
      </c>
      <c r="DJ44" s="131">
        <f t="shared" si="410"/>
        <v>3</v>
      </c>
      <c r="DK44" s="375">
        <f t="shared" si="410"/>
        <v>1</v>
      </c>
      <c r="DT44" s="64" t="str">
        <f t="shared" si="393"/>
        <v>'Distance Input'!</v>
      </c>
      <c r="DU44" s="100" t="s">
        <v>674</v>
      </c>
      <c r="DV44" s="100" t="s">
        <v>219</v>
      </c>
      <c r="DW44" s="64">
        <f t="shared" ca="1" si="288"/>
        <v>21</v>
      </c>
      <c r="DX44" s="64" t="str">
        <f t="shared" ca="1" si="11"/>
        <v>'Distance Input'!J23</v>
      </c>
      <c r="DY44" s="64" t="str">
        <f t="shared" si="394"/>
        <v>'Field'!</v>
      </c>
      <c r="DZ44" s="100" t="s">
        <v>673</v>
      </c>
      <c r="EA44" s="100" t="s">
        <v>218</v>
      </c>
      <c r="EB44" s="100">
        <f t="shared" ca="1" si="289"/>
        <v>35</v>
      </c>
      <c r="EC44" s="64" t="str">
        <f t="shared" ca="1" si="13"/>
        <v>'Field'!R37</v>
      </c>
      <c r="ED44" s="64" t="s">
        <v>686</v>
      </c>
      <c r="EG44" s="65">
        <v>12.3</v>
      </c>
    </row>
    <row r="45" spans="1:137" x14ac:dyDescent="0.35">
      <c r="A45" s="64" t="s">
        <v>298</v>
      </c>
      <c r="B45" s="64" t="s">
        <v>22</v>
      </c>
      <c r="C45" s="64" t="s">
        <v>7</v>
      </c>
      <c r="D45" s="66">
        <v>45</v>
      </c>
      <c r="E45" s="66">
        <v>19</v>
      </c>
      <c r="F45" s="429" t="s">
        <v>1414</v>
      </c>
      <c r="G45" s="430">
        <v>0.54166666666666663</v>
      </c>
      <c r="I45" s="131">
        <f>I19</f>
        <v>7</v>
      </c>
      <c r="J45" s="131">
        <f t="shared" ref="J45:P45" si="411">J19</f>
        <v>1</v>
      </c>
      <c r="K45" s="131">
        <f t="shared" si="411"/>
        <v>5</v>
      </c>
      <c r="L45" s="131">
        <f t="shared" si="411"/>
        <v>4</v>
      </c>
      <c r="M45" s="131">
        <f t="shared" si="411"/>
        <v>6</v>
      </c>
      <c r="N45" s="131">
        <f t="shared" si="411"/>
        <v>2</v>
      </c>
      <c r="O45" s="131">
        <f t="shared" si="411"/>
        <v>8</v>
      </c>
      <c r="P45" s="375">
        <f t="shared" si="411"/>
        <v>3</v>
      </c>
      <c r="Q45" s="131">
        <f>Q19</f>
        <v>6</v>
      </c>
      <c r="R45" s="131">
        <f t="shared" ref="R45:X45" si="412">R19</f>
        <v>5</v>
      </c>
      <c r="S45" s="131">
        <f t="shared" si="412"/>
        <v>2</v>
      </c>
      <c r="T45" s="131">
        <f t="shared" si="412"/>
        <v>1</v>
      </c>
      <c r="U45" s="131">
        <f t="shared" si="412"/>
        <v>8</v>
      </c>
      <c r="V45" s="131">
        <f t="shared" si="412"/>
        <v>3</v>
      </c>
      <c r="W45" s="131">
        <f t="shared" si="412"/>
        <v>7</v>
      </c>
      <c r="X45" s="375">
        <f t="shared" si="412"/>
        <v>4</v>
      </c>
      <c r="Y45" s="131">
        <f>Y19</f>
        <v>8</v>
      </c>
      <c r="Z45" s="131">
        <f t="shared" ref="Z45:AF45" si="413">Z19</f>
        <v>5</v>
      </c>
      <c r="AA45" s="131">
        <f t="shared" si="413"/>
        <v>6</v>
      </c>
      <c r="AB45" s="131">
        <f t="shared" si="413"/>
        <v>3</v>
      </c>
      <c r="AC45" s="131">
        <f t="shared" si="413"/>
        <v>7</v>
      </c>
      <c r="AD45" s="131">
        <f t="shared" si="413"/>
        <v>4</v>
      </c>
      <c r="AE45" s="131">
        <f t="shared" si="413"/>
        <v>2</v>
      </c>
      <c r="AF45" s="375">
        <f t="shared" si="413"/>
        <v>1</v>
      </c>
      <c r="AG45" s="131">
        <f>AG19</f>
        <v>4</v>
      </c>
      <c r="AH45" s="131">
        <f t="shared" ref="AH45:AN45" si="414">AH19</f>
        <v>3</v>
      </c>
      <c r="AI45" s="131">
        <f t="shared" si="414"/>
        <v>7</v>
      </c>
      <c r="AJ45" s="131">
        <f t="shared" si="414"/>
        <v>8</v>
      </c>
      <c r="AK45" s="131">
        <f t="shared" si="414"/>
        <v>5</v>
      </c>
      <c r="AL45" s="131">
        <f t="shared" si="414"/>
        <v>1</v>
      </c>
      <c r="AM45" s="131">
        <f t="shared" si="414"/>
        <v>6</v>
      </c>
      <c r="AN45" s="375">
        <f t="shared" si="414"/>
        <v>2</v>
      </c>
      <c r="AP45" s="131">
        <f t="shared" ref="AP45:BQ45" si="415">AP19</f>
        <v>7</v>
      </c>
      <c r="AQ45" s="131">
        <f t="shared" si="415"/>
        <v>1</v>
      </c>
      <c r="AR45" s="131">
        <f t="shared" si="415"/>
        <v>5</v>
      </c>
      <c r="AS45" s="131">
        <f t="shared" si="415"/>
        <v>4</v>
      </c>
      <c r="AT45" s="131">
        <f t="shared" si="415"/>
        <v>6</v>
      </c>
      <c r="AU45" s="131">
        <f t="shared" si="415"/>
        <v>2</v>
      </c>
      <c r="AV45" s="375">
        <f t="shared" si="415"/>
        <v>3</v>
      </c>
      <c r="AW45" s="131">
        <f t="shared" si="415"/>
        <v>6</v>
      </c>
      <c r="AX45" s="131">
        <f t="shared" si="415"/>
        <v>5</v>
      </c>
      <c r="AY45" s="131">
        <f t="shared" si="415"/>
        <v>2</v>
      </c>
      <c r="AZ45" s="131">
        <f t="shared" si="415"/>
        <v>1</v>
      </c>
      <c r="BA45" s="131">
        <f t="shared" si="415"/>
        <v>3</v>
      </c>
      <c r="BB45" s="131">
        <f t="shared" si="415"/>
        <v>7</v>
      </c>
      <c r="BC45" s="375">
        <f t="shared" si="415"/>
        <v>4</v>
      </c>
      <c r="BD45" s="131">
        <f t="shared" si="415"/>
        <v>5</v>
      </c>
      <c r="BE45" s="131">
        <f t="shared" si="415"/>
        <v>6</v>
      </c>
      <c r="BF45" s="131">
        <f t="shared" si="415"/>
        <v>3</v>
      </c>
      <c r="BG45" s="131">
        <f t="shared" si="415"/>
        <v>7</v>
      </c>
      <c r="BH45" s="131">
        <f t="shared" si="415"/>
        <v>4</v>
      </c>
      <c r="BI45" s="131">
        <f t="shared" si="415"/>
        <v>2</v>
      </c>
      <c r="BJ45" s="375">
        <f t="shared" si="415"/>
        <v>1</v>
      </c>
      <c r="BK45" s="131">
        <f t="shared" si="415"/>
        <v>4</v>
      </c>
      <c r="BL45" s="131">
        <f t="shared" si="415"/>
        <v>3</v>
      </c>
      <c r="BM45" s="131">
        <f t="shared" si="415"/>
        <v>7</v>
      </c>
      <c r="BN45" s="131">
        <f t="shared" si="415"/>
        <v>5</v>
      </c>
      <c r="BO45" s="131">
        <f t="shared" si="415"/>
        <v>1</v>
      </c>
      <c r="BP45" s="131">
        <f t="shared" si="415"/>
        <v>6</v>
      </c>
      <c r="BQ45" s="375">
        <f t="shared" si="415"/>
        <v>2</v>
      </c>
      <c r="BS45" s="131">
        <f t="shared" ref="BS45:CJ45" si="416">BS19</f>
        <v>1</v>
      </c>
      <c r="BT45" s="131">
        <f t="shared" si="416"/>
        <v>5</v>
      </c>
      <c r="BU45" s="131">
        <f t="shared" si="416"/>
        <v>4</v>
      </c>
      <c r="BV45" s="131">
        <f t="shared" si="416"/>
        <v>6</v>
      </c>
      <c r="BW45" s="131">
        <f t="shared" si="416"/>
        <v>2</v>
      </c>
      <c r="BX45" s="375">
        <f t="shared" si="416"/>
        <v>3</v>
      </c>
      <c r="BY45" s="131">
        <f t="shared" si="416"/>
        <v>6</v>
      </c>
      <c r="BZ45" s="131">
        <f t="shared" si="416"/>
        <v>5</v>
      </c>
      <c r="CA45" s="131">
        <f t="shared" si="416"/>
        <v>2</v>
      </c>
      <c r="CB45" s="131">
        <f t="shared" si="416"/>
        <v>1</v>
      </c>
      <c r="CC45" s="131">
        <f t="shared" si="416"/>
        <v>3</v>
      </c>
      <c r="CD45" s="375">
        <f t="shared" si="416"/>
        <v>4</v>
      </c>
      <c r="CE45" s="131">
        <f t="shared" si="416"/>
        <v>5</v>
      </c>
      <c r="CF45" s="131">
        <f t="shared" si="416"/>
        <v>6</v>
      </c>
      <c r="CG45" s="131">
        <f t="shared" si="416"/>
        <v>3</v>
      </c>
      <c r="CH45" s="131">
        <f t="shared" si="416"/>
        <v>4</v>
      </c>
      <c r="CI45" s="131">
        <f t="shared" si="416"/>
        <v>2</v>
      </c>
      <c r="CJ45" s="375">
        <f t="shared" si="416"/>
        <v>1</v>
      </c>
      <c r="CK45" s="131">
        <f t="shared" ref="CK45:CP45" si="417">CK19</f>
        <v>4</v>
      </c>
      <c r="CL45" s="131">
        <f t="shared" si="417"/>
        <v>3</v>
      </c>
      <c r="CM45" s="131">
        <f t="shared" si="417"/>
        <v>5</v>
      </c>
      <c r="CN45" s="131">
        <f t="shared" si="417"/>
        <v>1</v>
      </c>
      <c r="CO45" s="131">
        <f t="shared" si="417"/>
        <v>6</v>
      </c>
      <c r="CP45" s="375">
        <f t="shared" si="417"/>
        <v>2</v>
      </c>
      <c r="CR45" s="131">
        <f t="shared" ref="CR45:DK45" si="418">CR19</f>
        <v>1</v>
      </c>
      <c r="CS45" s="131">
        <f t="shared" si="418"/>
        <v>5</v>
      </c>
      <c r="CT45" s="131">
        <f t="shared" si="418"/>
        <v>4</v>
      </c>
      <c r="CU45" s="131">
        <f t="shared" si="418"/>
        <v>2</v>
      </c>
      <c r="CV45" s="375">
        <f t="shared" si="418"/>
        <v>3</v>
      </c>
      <c r="CW45" s="131">
        <f t="shared" si="418"/>
        <v>5</v>
      </c>
      <c r="CX45" s="131">
        <f t="shared" si="418"/>
        <v>2</v>
      </c>
      <c r="CY45" s="131">
        <f t="shared" si="418"/>
        <v>1</v>
      </c>
      <c r="CZ45" s="131">
        <f t="shared" si="418"/>
        <v>3</v>
      </c>
      <c r="DA45" s="375">
        <f t="shared" si="418"/>
        <v>4</v>
      </c>
      <c r="DB45" s="131">
        <f t="shared" si="418"/>
        <v>5</v>
      </c>
      <c r="DC45" s="131">
        <f t="shared" si="418"/>
        <v>3</v>
      </c>
      <c r="DD45" s="131">
        <f t="shared" si="418"/>
        <v>4</v>
      </c>
      <c r="DE45" s="131">
        <f t="shared" si="418"/>
        <v>2</v>
      </c>
      <c r="DF45" s="375">
        <f t="shared" si="418"/>
        <v>1</v>
      </c>
      <c r="DG45" s="131">
        <f t="shared" si="418"/>
        <v>4</v>
      </c>
      <c r="DH45" s="131">
        <f t="shared" si="418"/>
        <v>3</v>
      </c>
      <c r="DI45" s="131">
        <f t="shared" si="418"/>
        <v>5</v>
      </c>
      <c r="DJ45" s="131">
        <f t="shared" si="418"/>
        <v>1</v>
      </c>
      <c r="DK45" s="375">
        <f t="shared" si="418"/>
        <v>2</v>
      </c>
      <c r="DT45" s="64" t="str">
        <f t="shared" si="393"/>
        <v>'Distance Input'!</v>
      </c>
      <c r="DU45" s="100" t="s">
        <v>675</v>
      </c>
      <c r="DV45" s="100" t="s">
        <v>142</v>
      </c>
      <c r="DW45" s="64">
        <f t="shared" ca="1" si="288"/>
        <v>21</v>
      </c>
      <c r="DX45" s="64" t="str">
        <f t="shared" ca="1" si="11"/>
        <v>'Distance Input'!Q23</v>
      </c>
      <c r="DY45" s="64" t="str">
        <f t="shared" si="394"/>
        <v>'Field'!</v>
      </c>
      <c r="DZ45" s="100" t="s">
        <v>673</v>
      </c>
      <c r="EA45" s="100" t="s">
        <v>218</v>
      </c>
      <c r="EB45" s="100">
        <f t="shared" ca="1" si="289"/>
        <v>145</v>
      </c>
      <c r="EC45" s="64" t="str">
        <f t="shared" ca="1" si="13"/>
        <v>'Field'!R147</v>
      </c>
      <c r="ED45" s="64" t="s">
        <v>700</v>
      </c>
      <c r="EG45" s="65">
        <v>13</v>
      </c>
    </row>
    <row r="46" spans="1:137" x14ac:dyDescent="0.35">
      <c r="A46" s="64" t="s">
        <v>234</v>
      </c>
      <c r="B46" s="64" t="s">
        <v>23</v>
      </c>
      <c r="C46" s="64" t="s">
        <v>6</v>
      </c>
      <c r="D46" s="66">
        <v>46</v>
      </c>
      <c r="E46" s="66">
        <v>96</v>
      </c>
      <c r="F46" s="429" t="s">
        <v>1394</v>
      </c>
      <c r="G46" s="430" t="s">
        <v>1394</v>
      </c>
      <c r="I46" s="131">
        <f>I$42</f>
        <v>7</v>
      </c>
      <c r="J46" s="131">
        <f t="shared" ref="J46:Z47" si="419">J$42</f>
        <v>6</v>
      </c>
      <c r="K46" s="131">
        <f t="shared" si="419"/>
        <v>4</v>
      </c>
      <c r="L46" s="131">
        <f t="shared" si="419"/>
        <v>2</v>
      </c>
      <c r="M46" s="131">
        <f t="shared" si="419"/>
        <v>5</v>
      </c>
      <c r="N46" s="131">
        <f t="shared" si="419"/>
        <v>1</v>
      </c>
      <c r="O46" s="131">
        <f t="shared" si="419"/>
        <v>8</v>
      </c>
      <c r="P46" s="375">
        <f t="shared" si="419"/>
        <v>3</v>
      </c>
      <c r="Q46" s="131">
        <f>Q$42</f>
        <v>1</v>
      </c>
      <c r="R46" s="131">
        <f t="shared" si="419"/>
        <v>4</v>
      </c>
      <c r="S46" s="131">
        <f t="shared" si="419"/>
        <v>7</v>
      </c>
      <c r="T46" s="131">
        <f t="shared" si="419"/>
        <v>8</v>
      </c>
      <c r="U46" s="131">
        <f t="shared" si="419"/>
        <v>3</v>
      </c>
      <c r="V46" s="131">
        <f t="shared" si="419"/>
        <v>2</v>
      </c>
      <c r="W46" s="131">
        <f t="shared" si="419"/>
        <v>5</v>
      </c>
      <c r="X46" s="375">
        <f t="shared" si="419"/>
        <v>6</v>
      </c>
      <c r="Y46" s="131">
        <f>Y$42</f>
        <v>8</v>
      </c>
      <c r="Z46" s="131">
        <f t="shared" si="419"/>
        <v>2</v>
      </c>
      <c r="AA46" s="131">
        <f t="shared" ref="Z46:AF47" si="420">AA$42</f>
        <v>5</v>
      </c>
      <c r="AB46" s="131">
        <f t="shared" si="420"/>
        <v>1</v>
      </c>
      <c r="AC46" s="131">
        <f t="shared" si="420"/>
        <v>6</v>
      </c>
      <c r="AD46" s="131">
        <f t="shared" si="420"/>
        <v>3</v>
      </c>
      <c r="AE46" s="131">
        <f t="shared" si="420"/>
        <v>7</v>
      </c>
      <c r="AF46" s="375">
        <f t="shared" si="420"/>
        <v>4</v>
      </c>
      <c r="AG46" s="131">
        <f>AG$42</f>
        <v>6</v>
      </c>
      <c r="AH46" s="131">
        <f t="shared" ref="AH46:AN47" si="421">AH$42</f>
        <v>1</v>
      </c>
      <c r="AI46" s="131">
        <f t="shared" si="421"/>
        <v>5</v>
      </c>
      <c r="AJ46" s="131">
        <f t="shared" si="421"/>
        <v>3</v>
      </c>
      <c r="AK46" s="131">
        <f t="shared" si="421"/>
        <v>7</v>
      </c>
      <c r="AL46" s="131">
        <f t="shared" si="421"/>
        <v>8</v>
      </c>
      <c r="AM46" s="131">
        <f t="shared" si="421"/>
        <v>4</v>
      </c>
      <c r="AN46" s="375">
        <f t="shared" si="421"/>
        <v>2</v>
      </c>
      <c r="AP46" s="131">
        <f t="shared" ref="AP46:BE47" si="422">AP$42</f>
        <v>7</v>
      </c>
      <c r="AQ46" s="131">
        <f t="shared" si="422"/>
        <v>6</v>
      </c>
      <c r="AR46" s="131">
        <f t="shared" si="422"/>
        <v>4</v>
      </c>
      <c r="AS46" s="131">
        <f t="shared" si="422"/>
        <v>2</v>
      </c>
      <c r="AT46" s="131">
        <f t="shared" si="422"/>
        <v>5</v>
      </c>
      <c r="AU46" s="131">
        <f t="shared" si="422"/>
        <v>1</v>
      </c>
      <c r="AV46" s="375">
        <f t="shared" si="422"/>
        <v>3</v>
      </c>
      <c r="AW46" s="131">
        <f t="shared" si="422"/>
        <v>1</v>
      </c>
      <c r="AX46" s="131">
        <f t="shared" si="422"/>
        <v>4</v>
      </c>
      <c r="AY46" s="131">
        <f t="shared" si="422"/>
        <v>7</v>
      </c>
      <c r="AZ46" s="131">
        <f t="shared" si="422"/>
        <v>3</v>
      </c>
      <c r="BA46" s="131">
        <f t="shared" si="422"/>
        <v>2</v>
      </c>
      <c r="BB46" s="131">
        <f t="shared" si="422"/>
        <v>5</v>
      </c>
      <c r="BC46" s="375">
        <f t="shared" si="422"/>
        <v>6</v>
      </c>
      <c r="BD46" s="131">
        <f t="shared" si="422"/>
        <v>2</v>
      </c>
      <c r="BE46" s="131">
        <f t="shared" si="422"/>
        <v>5</v>
      </c>
      <c r="BF46" s="131">
        <f t="shared" ref="BD46:BQ47" si="423">BF$42</f>
        <v>1</v>
      </c>
      <c r="BG46" s="131">
        <f t="shared" si="423"/>
        <v>6</v>
      </c>
      <c r="BH46" s="131">
        <f t="shared" si="423"/>
        <v>3</v>
      </c>
      <c r="BI46" s="131">
        <f t="shared" si="423"/>
        <v>7</v>
      </c>
      <c r="BJ46" s="375">
        <f t="shared" si="423"/>
        <v>4</v>
      </c>
      <c r="BK46" s="131">
        <f t="shared" si="423"/>
        <v>6</v>
      </c>
      <c r="BL46" s="131">
        <f t="shared" si="423"/>
        <v>1</v>
      </c>
      <c r="BM46" s="131">
        <f t="shared" si="423"/>
        <v>5</v>
      </c>
      <c r="BN46" s="131">
        <f t="shared" si="423"/>
        <v>3</v>
      </c>
      <c r="BO46" s="131">
        <f t="shared" si="423"/>
        <v>7</v>
      </c>
      <c r="BP46" s="131">
        <f t="shared" si="423"/>
        <v>4</v>
      </c>
      <c r="BQ46" s="375">
        <f t="shared" si="423"/>
        <v>2</v>
      </c>
      <c r="BS46" s="131">
        <f t="shared" ref="BS46:CH47" si="424">BS$42</f>
        <v>6</v>
      </c>
      <c r="BT46" s="131">
        <f t="shared" si="424"/>
        <v>4</v>
      </c>
      <c r="BU46" s="131">
        <f t="shared" si="424"/>
        <v>2</v>
      </c>
      <c r="BV46" s="131">
        <f t="shared" si="424"/>
        <v>5</v>
      </c>
      <c r="BW46" s="131">
        <f t="shared" si="424"/>
        <v>1</v>
      </c>
      <c r="BX46" s="375">
        <f t="shared" si="424"/>
        <v>3</v>
      </c>
      <c r="BY46" s="131">
        <f t="shared" si="424"/>
        <v>1</v>
      </c>
      <c r="BZ46" s="131">
        <f t="shared" si="424"/>
        <v>4</v>
      </c>
      <c r="CA46" s="131">
        <f t="shared" si="424"/>
        <v>3</v>
      </c>
      <c r="CB46" s="131">
        <f t="shared" si="424"/>
        <v>2</v>
      </c>
      <c r="CC46" s="131">
        <f t="shared" si="424"/>
        <v>5</v>
      </c>
      <c r="CD46" s="375">
        <f t="shared" si="424"/>
        <v>6</v>
      </c>
      <c r="CE46" s="131">
        <f t="shared" si="424"/>
        <v>2</v>
      </c>
      <c r="CF46" s="131">
        <f t="shared" si="424"/>
        <v>5</v>
      </c>
      <c r="CG46" s="131">
        <f t="shared" si="424"/>
        <v>1</v>
      </c>
      <c r="CH46" s="131">
        <f t="shared" si="424"/>
        <v>6</v>
      </c>
      <c r="CI46" s="131">
        <f t="shared" ref="CE46:CJ47" si="425">CI$42</f>
        <v>3</v>
      </c>
      <c r="CJ46" s="375">
        <f t="shared" si="425"/>
        <v>4</v>
      </c>
      <c r="CK46" s="131">
        <f t="shared" ref="CK46:CP47" si="426">CK$42</f>
        <v>6</v>
      </c>
      <c r="CL46" s="131">
        <f t="shared" si="426"/>
        <v>1</v>
      </c>
      <c r="CM46" s="131">
        <f t="shared" si="426"/>
        <v>5</v>
      </c>
      <c r="CN46" s="131">
        <f t="shared" si="426"/>
        <v>3</v>
      </c>
      <c r="CO46" s="131">
        <f t="shared" si="426"/>
        <v>4</v>
      </c>
      <c r="CP46" s="375">
        <f t="shared" si="426"/>
        <v>2</v>
      </c>
      <c r="CR46" s="131">
        <f t="shared" ref="CR46:DG47" si="427">CR$42</f>
        <v>4</v>
      </c>
      <c r="CS46" s="131">
        <f t="shared" si="427"/>
        <v>2</v>
      </c>
      <c r="CT46" s="131">
        <f t="shared" si="427"/>
        <v>5</v>
      </c>
      <c r="CU46" s="131">
        <f t="shared" si="427"/>
        <v>1</v>
      </c>
      <c r="CV46" s="375">
        <f t="shared" si="427"/>
        <v>3</v>
      </c>
      <c r="CW46" s="131">
        <f t="shared" si="427"/>
        <v>1</v>
      </c>
      <c r="CX46" s="131">
        <f t="shared" si="427"/>
        <v>4</v>
      </c>
      <c r="CY46" s="131">
        <f t="shared" si="427"/>
        <v>3</v>
      </c>
      <c r="CZ46" s="131">
        <f t="shared" si="427"/>
        <v>2</v>
      </c>
      <c r="DA46" s="375">
        <f t="shared" si="427"/>
        <v>5</v>
      </c>
      <c r="DB46" s="131">
        <f t="shared" si="427"/>
        <v>2</v>
      </c>
      <c r="DC46" s="131">
        <f t="shared" si="427"/>
        <v>5</v>
      </c>
      <c r="DD46" s="131">
        <f t="shared" si="427"/>
        <v>1</v>
      </c>
      <c r="DE46" s="131">
        <f t="shared" si="427"/>
        <v>3</v>
      </c>
      <c r="DF46" s="375">
        <f t="shared" si="427"/>
        <v>4</v>
      </c>
      <c r="DG46" s="131">
        <f t="shared" si="427"/>
        <v>1</v>
      </c>
      <c r="DH46" s="131">
        <f t="shared" ref="DG46:DK47" si="428">DH$42</f>
        <v>5</v>
      </c>
      <c r="DI46" s="131">
        <f t="shared" si="428"/>
        <v>3</v>
      </c>
      <c r="DJ46" s="131">
        <f t="shared" si="428"/>
        <v>4</v>
      </c>
      <c r="DK46" s="375">
        <f t="shared" si="428"/>
        <v>2</v>
      </c>
      <c r="DT46" s="64" t="str">
        <f>"'Height Input'!"</f>
        <v>'Height Input'!</v>
      </c>
      <c r="DU46" s="100" t="s">
        <v>676</v>
      </c>
      <c r="DV46" s="100" t="s">
        <v>220</v>
      </c>
      <c r="DW46" s="64">
        <f t="shared" ca="1" si="288"/>
        <v>2</v>
      </c>
      <c r="DX46" s="64" t="str">
        <f t="shared" ca="1" si="11"/>
        <v>'Height Input'!K4</v>
      </c>
      <c r="DY46" s="64" t="str">
        <f t="shared" si="394"/>
        <v>'Field'!</v>
      </c>
      <c r="DZ46" s="100" t="s">
        <v>673</v>
      </c>
      <c r="EA46" s="100" t="s">
        <v>218</v>
      </c>
      <c r="EB46" s="100">
        <f t="shared" ca="1" si="289"/>
        <v>189</v>
      </c>
      <c r="EC46" s="64" t="str">
        <f t="shared" ca="1" si="13"/>
        <v>'Field'!R191</v>
      </c>
      <c r="ED46" s="64" t="s">
        <v>689</v>
      </c>
      <c r="EG46" s="65">
        <v>13</v>
      </c>
    </row>
    <row r="47" spans="1:137" x14ac:dyDescent="0.35">
      <c r="A47" s="64" t="s">
        <v>238</v>
      </c>
      <c r="B47" s="64" t="s">
        <v>23</v>
      </c>
      <c r="C47" s="64" t="s">
        <v>4</v>
      </c>
      <c r="D47" s="66">
        <v>47</v>
      </c>
      <c r="E47" s="66">
        <v>46</v>
      </c>
      <c r="F47" s="429" t="s">
        <v>1415</v>
      </c>
      <c r="G47" s="430" t="s">
        <v>1394</v>
      </c>
      <c r="I47" s="131">
        <f>I$42</f>
        <v>7</v>
      </c>
      <c r="J47" s="131">
        <f t="shared" si="419"/>
        <v>6</v>
      </c>
      <c r="K47" s="131">
        <f t="shared" si="419"/>
        <v>4</v>
      </c>
      <c r="L47" s="131">
        <f t="shared" si="419"/>
        <v>2</v>
      </c>
      <c r="M47" s="131">
        <f t="shared" si="419"/>
        <v>5</v>
      </c>
      <c r="N47" s="131">
        <f t="shared" si="419"/>
        <v>1</v>
      </c>
      <c r="O47" s="131">
        <f t="shared" si="419"/>
        <v>8</v>
      </c>
      <c r="P47" s="375">
        <f t="shared" si="419"/>
        <v>3</v>
      </c>
      <c r="Q47" s="131">
        <f>Q$42</f>
        <v>1</v>
      </c>
      <c r="R47" s="131">
        <f t="shared" si="419"/>
        <v>4</v>
      </c>
      <c r="S47" s="131">
        <f t="shared" si="419"/>
        <v>7</v>
      </c>
      <c r="T47" s="131">
        <f t="shared" si="419"/>
        <v>8</v>
      </c>
      <c r="U47" s="131">
        <f t="shared" si="419"/>
        <v>3</v>
      </c>
      <c r="V47" s="131">
        <f t="shared" si="419"/>
        <v>2</v>
      </c>
      <c r="W47" s="131">
        <f t="shared" si="419"/>
        <v>5</v>
      </c>
      <c r="X47" s="375">
        <f t="shared" si="419"/>
        <v>6</v>
      </c>
      <c r="Y47" s="131">
        <f>Y$42</f>
        <v>8</v>
      </c>
      <c r="Z47" s="131">
        <f t="shared" si="420"/>
        <v>2</v>
      </c>
      <c r="AA47" s="131">
        <f t="shared" si="420"/>
        <v>5</v>
      </c>
      <c r="AB47" s="131">
        <f t="shared" si="420"/>
        <v>1</v>
      </c>
      <c r="AC47" s="131">
        <f t="shared" si="420"/>
        <v>6</v>
      </c>
      <c r="AD47" s="131">
        <f t="shared" si="420"/>
        <v>3</v>
      </c>
      <c r="AE47" s="131">
        <f t="shared" si="420"/>
        <v>7</v>
      </c>
      <c r="AF47" s="375">
        <f t="shared" si="420"/>
        <v>4</v>
      </c>
      <c r="AG47" s="131">
        <f>AG$42</f>
        <v>6</v>
      </c>
      <c r="AH47" s="131">
        <f t="shared" si="421"/>
        <v>1</v>
      </c>
      <c r="AI47" s="131">
        <f t="shared" si="421"/>
        <v>5</v>
      </c>
      <c r="AJ47" s="131">
        <f t="shared" si="421"/>
        <v>3</v>
      </c>
      <c r="AK47" s="131">
        <f t="shared" si="421"/>
        <v>7</v>
      </c>
      <c r="AL47" s="131">
        <f t="shared" si="421"/>
        <v>8</v>
      </c>
      <c r="AM47" s="131">
        <f t="shared" si="421"/>
        <v>4</v>
      </c>
      <c r="AN47" s="375">
        <f t="shared" si="421"/>
        <v>2</v>
      </c>
      <c r="AP47" s="131">
        <f t="shared" si="422"/>
        <v>7</v>
      </c>
      <c r="AQ47" s="131">
        <f t="shared" si="422"/>
        <v>6</v>
      </c>
      <c r="AR47" s="131">
        <f t="shared" si="422"/>
        <v>4</v>
      </c>
      <c r="AS47" s="131">
        <f t="shared" si="422"/>
        <v>2</v>
      </c>
      <c r="AT47" s="131">
        <f t="shared" si="422"/>
        <v>5</v>
      </c>
      <c r="AU47" s="131">
        <f t="shared" si="422"/>
        <v>1</v>
      </c>
      <c r="AV47" s="375">
        <f t="shared" si="422"/>
        <v>3</v>
      </c>
      <c r="AW47" s="131">
        <f t="shared" si="422"/>
        <v>1</v>
      </c>
      <c r="AX47" s="131">
        <f t="shared" si="422"/>
        <v>4</v>
      </c>
      <c r="AY47" s="131">
        <f t="shared" si="422"/>
        <v>7</v>
      </c>
      <c r="AZ47" s="131">
        <f t="shared" si="422"/>
        <v>3</v>
      </c>
      <c r="BA47" s="131">
        <f t="shared" si="422"/>
        <v>2</v>
      </c>
      <c r="BB47" s="131">
        <f t="shared" si="422"/>
        <v>5</v>
      </c>
      <c r="BC47" s="375">
        <f t="shared" si="422"/>
        <v>6</v>
      </c>
      <c r="BD47" s="131">
        <f t="shared" si="423"/>
        <v>2</v>
      </c>
      <c r="BE47" s="131">
        <f t="shared" si="423"/>
        <v>5</v>
      </c>
      <c r="BF47" s="131">
        <f t="shared" si="423"/>
        <v>1</v>
      </c>
      <c r="BG47" s="131">
        <f t="shared" si="423"/>
        <v>6</v>
      </c>
      <c r="BH47" s="131">
        <f t="shared" si="423"/>
        <v>3</v>
      </c>
      <c r="BI47" s="131">
        <f t="shared" si="423"/>
        <v>7</v>
      </c>
      <c r="BJ47" s="375">
        <f t="shared" si="423"/>
        <v>4</v>
      </c>
      <c r="BK47" s="131">
        <f t="shared" si="423"/>
        <v>6</v>
      </c>
      <c r="BL47" s="131">
        <f t="shared" si="423"/>
        <v>1</v>
      </c>
      <c r="BM47" s="131">
        <f t="shared" si="423"/>
        <v>5</v>
      </c>
      <c r="BN47" s="131">
        <f t="shared" si="423"/>
        <v>3</v>
      </c>
      <c r="BO47" s="131">
        <f t="shared" si="423"/>
        <v>7</v>
      </c>
      <c r="BP47" s="131">
        <f t="shared" si="423"/>
        <v>4</v>
      </c>
      <c r="BQ47" s="375">
        <f t="shared" si="423"/>
        <v>2</v>
      </c>
      <c r="BS47" s="131">
        <f t="shared" si="424"/>
        <v>6</v>
      </c>
      <c r="BT47" s="131">
        <f t="shared" si="424"/>
        <v>4</v>
      </c>
      <c r="BU47" s="131">
        <f t="shared" si="424"/>
        <v>2</v>
      </c>
      <c r="BV47" s="131">
        <f t="shared" si="424"/>
        <v>5</v>
      </c>
      <c r="BW47" s="131">
        <f t="shared" si="424"/>
        <v>1</v>
      </c>
      <c r="BX47" s="375">
        <f t="shared" si="424"/>
        <v>3</v>
      </c>
      <c r="BY47" s="131">
        <f t="shared" si="424"/>
        <v>1</v>
      </c>
      <c r="BZ47" s="131">
        <f t="shared" si="424"/>
        <v>4</v>
      </c>
      <c r="CA47" s="131">
        <f t="shared" si="424"/>
        <v>3</v>
      </c>
      <c r="CB47" s="131">
        <f t="shared" si="424"/>
        <v>2</v>
      </c>
      <c r="CC47" s="131">
        <f t="shared" si="424"/>
        <v>5</v>
      </c>
      <c r="CD47" s="375">
        <f t="shared" si="424"/>
        <v>6</v>
      </c>
      <c r="CE47" s="131">
        <f t="shared" si="425"/>
        <v>2</v>
      </c>
      <c r="CF47" s="131">
        <f t="shared" si="425"/>
        <v>5</v>
      </c>
      <c r="CG47" s="131">
        <f t="shared" si="425"/>
        <v>1</v>
      </c>
      <c r="CH47" s="131">
        <f t="shared" si="425"/>
        <v>6</v>
      </c>
      <c r="CI47" s="131">
        <f t="shared" si="425"/>
        <v>3</v>
      </c>
      <c r="CJ47" s="375">
        <f t="shared" si="425"/>
        <v>4</v>
      </c>
      <c r="CK47" s="131">
        <f t="shared" si="426"/>
        <v>6</v>
      </c>
      <c r="CL47" s="131">
        <f t="shared" si="426"/>
        <v>1</v>
      </c>
      <c r="CM47" s="131">
        <f t="shared" si="426"/>
        <v>5</v>
      </c>
      <c r="CN47" s="131">
        <f t="shared" si="426"/>
        <v>3</v>
      </c>
      <c r="CO47" s="131">
        <f t="shared" si="426"/>
        <v>4</v>
      </c>
      <c r="CP47" s="375">
        <f t="shared" si="426"/>
        <v>2</v>
      </c>
      <c r="CR47" s="131">
        <f t="shared" si="427"/>
        <v>4</v>
      </c>
      <c r="CS47" s="131">
        <f t="shared" si="427"/>
        <v>2</v>
      </c>
      <c r="CT47" s="131">
        <f t="shared" si="427"/>
        <v>5</v>
      </c>
      <c r="CU47" s="131">
        <f t="shared" si="427"/>
        <v>1</v>
      </c>
      <c r="CV47" s="375">
        <f t="shared" si="427"/>
        <v>3</v>
      </c>
      <c r="CW47" s="131">
        <f t="shared" si="427"/>
        <v>1</v>
      </c>
      <c r="CX47" s="131">
        <f t="shared" si="427"/>
        <v>4</v>
      </c>
      <c r="CY47" s="131">
        <f t="shared" si="427"/>
        <v>3</v>
      </c>
      <c r="CZ47" s="131">
        <f t="shared" si="427"/>
        <v>2</v>
      </c>
      <c r="DA47" s="375">
        <f t="shared" si="427"/>
        <v>5</v>
      </c>
      <c r="DB47" s="131">
        <f t="shared" si="427"/>
        <v>2</v>
      </c>
      <c r="DC47" s="131">
        <f t="shared" si="427"/>
        <v>5</v>
      </c>
      <c r="DD47" s="131">
        <f t="shared" si="427"/>
        <v>1</v>
      </c>
      <c r="DE47" s="131">
        <f t="shared" si="427"/>
        <v>3</v>
      </c>
      <c r="DF47" s="375">
        <f t="shared" si="427"/>
        <v>4</v>
      </c>
      <c r="DG47" s="131">
        <f t="shared" si="428"/>
        <v>1</v>
      </c>
      <c r="DH47" s="131">
        <f t="shared" si="428"/>
        <v>5</v>
      </c>
      <c r="DI47" s="131">
        <f t="shared" si="428"/>
        <v>3</v>
      </c>
      <c r="DJ47" s="131">
        <f t="shared" si="428"/>
        <v>4</v>
      </c>
      <c r="DK47" s="375">
        <f t="shared" si="428"/>
        <v>2</v>
      </c>
      <c r="DT47" s="64" t="str">
        <f>"'Height Input'!"</f>
        <v>'Height Input'!</v>
      </c>
      <c r="DU47" s="100" t="s">
        <v>677</v>
      </c>
      <c r="DV47" s="100" t="s">
        <v>334</v>
      </c>
      <c r="DW47" s="64">
        <f t="shared" ca="1" si="288"/>
        <v>2</v>
      </c>
      <c r="DX47" s="64" t="str">
        <f t="shared" ca="1" si="11"/>
        <v>'Height Input'!S4</v>
      </c>
      <c r="DY47" s="64" t="str">
        <f t="shared" si="394"/>
        <v>'Field'!</v>
      </c>
      <c r="DZ47" s="100" t="s">
        <v>673</v>
      </c>
      <c r="EA47" s="100" t="s">
        <v>218</v>
      </c>
      <c r="EB47" s="100">
        <f t="shared" ca="1" si="289"/>
        <v>200</v>
      </c>
      <c r="EC47" s="64" t="str">
        <f t="shared" ca="1" si="13"/>
        <v>'Field'!R202</v>
      </c>
      <c r="ED47" s="64" t="s">
        <v>690</v>
      </c>
      <c r="EG47" s="65">
        <v>13</v>
      </c>
    </row>
    <row r="48" spans="1:137" x14ac:dyDescent="0.35">
      <c r="A48" s="64" t="s">
        <v>239</v>
      </c>
      <c r="B48" s="64" t="s">
        <v>27</v>
      </c>
      <c r="C48" s="64" t="s">
        <v>9</v>
      </c>
      <c r="D48" s="66">
        <v>48</v>
      </c>
      <c r="E48" s="66">
        <v>72</v>
      </c>
      <c r="F48" s="429" t="s">
        <v>1417</v>
      </c>
      <c r="G48" s="430" t="s">
        <v>1394</v>
      </c>
      <c r="I48" s="131">
        <f>I7</f>
        <v>2</v>
      </c>
      <c r="J48" s="131">
        <f t="shared" ref="J48:P48" si="429">J7</f>
        <v>5</v>
      </c>
      <c r="K48" s="131">
        <f t="shared" si="429"/>
        <v>3</v>
      </c>
      <c r="L48" s="131">
        <f t="shared" si="429"/>
        <v>4</v>
      </c>
      <c r="M48" s="131">
        <f t="shared" si="429"/>
        <v>8</v>
      </c>
      <c r="N48" s="131">
        <f t="shared" si="429"/>
        <v>7</v>
      </c>
      <c r="O48" s="131">
        <f t="shared" si="429"/>
        <v>6</v>
      </c>
      <c r="P48" s="375">
        <f t="shared" si="429"/>
        <v>1</v>
      </c>
      <c r="Q48" s="131">
        <f>Q7</f>
        <v>3</v>
      </c>
      <c r="R48" s="131">
        <f t="shared" ref="R48:X48" si="430">R7</f>
        <v>4</v>
      </c>
      <c r="S48" s="131">
        <f t="shared" si="430"/>
        <v>5</v>
      </c>
      <c r="T48" s="131">
        <f t="shared" si="430"/>
        <v>1</v>
      </c>
      <c r="U48" s="131">
        <f t="shared" si="430"/>
        <v>2</v>
      </c>
      <c r="V48" s="131">
        <f t="shared" si="430"/>
        <v>6</v>
      </c>
      <c r="W48" s="131">
        <f t="shared" si="430"/>
        <v>8</v>
      </c>
      <c r="X48" s="375">
        <f t="shared" si="430"/>
        <v>7</v>
      </c>
      <c r="Y48" s="131">
        <f>Y7</f>
        <v>4</v>
      </c>
      <c r="Z48" s="131">
        <f t="shared" ref="Z48:AF48" si="431">Z7</f>
        <v>2</v>
      </c>
      <c r="AA48" s="131">
        <f t="shared" si="431"/>
        <v>6</v>
      </c>
      <c r="AB48" s="131">
        <f t="shared" si="431"/>
        <v>7</v>
      </c>
      <c r="AC48" s="131">
        <f t="shared" si="431"/>
        <v>3</v>
      </c>
      <c r="AD48" s="131">
        <f t="shared" si="431"/>
        <v>5</v>
      </c>
      <c r="AE48" s="131">
        <f t="shared" si="431"/>
        <v>1</v>
      </c>
      <c r="AF48" s="375">
        <f t="shared" si="431"/>
        <v>8</v>
      </c>
      <c r="AG48" s="131">
        <f>AG7</f>
        <v>6</v>
      </c>
      <c r="AH48" s="131">
        <f t="shared" ref="AH48:AN48" si="432">AH7</f>
        <v>3</v>
      </c>
      <c r="AI48" s="131">
        <f t="shared" si="432"/>
        <v>8</v>
      </c>
      <c r="AJ48" s="131">
        <f t="shared" si="432"/>
        <v>2</v>
      </c>
      <c r="AK48" s="131">
        <f t="shared" si="432"/>
        <v>1</v>
      </c>
      <c r="AL48" s="131">
        <f t="shared" si="432"/>
        <v>4</v>
      </c>
      <c r="AM48" s="131">
        <f t="shared" si="432"/>
        <v>7</v>
      </c>
      <c r="AN48" s="375">
        <f t="shared" si="432"/>
        <v>5</v>
      </c>
      <c r="AP48" s="131">
        <f t="shared" ref="AP48:BQ48" si="433">AP7</f>
        <v>2</v>
      </c>
      <c r="AQ48" s="131">
        <f t="shared" si="433"/>
        <v>5</v>
      </c>
      <c r="AR48" s="131">
        <f t="shared" si="433"/>
        <v>3</v>
      </c>
      <c r="AS48" s="131">
        <f t="shared" si="433"/>
        <v>4</v>
      </c>
      <c r="AT48" s="131">
        <f t="shared" si="433"/>
        <v>7</v>
      </c>
      <c r="AU48" s="131">
        <f t="shared" si="433"/>
        <v>6</v>
      </c>
      <c r="AV48" s="375">
        <f t="shared" si="433"/>
        <v>1</v>
      </c>
      <c r="AW48" s="131">
        <f t="shared" si="433"/>
        <v>3</v>
      </c>
      <c r="AX48" s="131">
        <f t="shared" si="433"/>
        <v>4</v>
      </c>
      <c r="AY48" s="131">
        <f t="shared" si="433"/>
        <v>5</v>
      </c>
      <c r="AZ48" s="131">
        <f t="shared" si="433"/>
        <v>1</v>
      </c>
      <c r="BA48" s="131">
        <f t="shared" si="433"/>
        <v>2</v>
      </c>
      <c r="BB48" s="131">
        <f t="shared" si="433"/>
        <v>6</v>
      </c>
      <c r="BC48" s="375">
        <f t="shared" si="433"/>
        <v>7</v>
      </c>
      <c r="BD48" s="131">
        <f t="shared" si="433"/>
        <v>4</v>
      </c>
      <c r="BE48" s="131">
        <f t="shared" si="433"/>
        <v>2</v>
      </c>
      <c r="BF48" s="131">
        <f t="shared" si="433"/>
        <v>6</v>
      </c>
      <c r="BG48" s="131">
        <f t="shared" si="433"/>
        <v>7</v>
      </c>
      <c r="BH48" s="131">
        <f t="shared" si="433"/>
        <v>3</v>
      </c>
      <c r="BI48" s="131">
        <f t="shared" si="433"/>
        <v>5</v>
      </c>
      <c r="BJ48" s="375">
        <f t="shared" si="433"/>
        <v>1</v>
      </c>
      <c r="BK48" s="131">
        <f t="shared" si="433"/>
        <v>6</v>
      </c>
      <c r="BL48" s="131">
        <f t="shared" si="433"/>
        <v>3</v>
      </c>
      <c r="BM48" s="131">
        <f t="shared" si="433"/>
        <v>2</v>
      </c>
      <c r="BN48" s="131">
        <f t="shared" si="433"/>
        <v>1</v>
      </c>
      <c r="BO48" s="131">
        <f t="shared" si="433"/>
        <v>4</v>
      </c>
      <c r="BP48" s="131">
        <f t="shared" si="433"/>
        <v>7</v>
      </c>
      <c r="BQ48" s="375">
        <f t="shared" si="433"/>
        <v>5</v>
      </c>
      <c r="BS48" s="131">
        <f t="shared" ref="BS48:CJ48" si="434">BS7</f>
        <v>2</v>
      </c>
      <c r="BT48" s="131">
        <f t="shared" si="434"/>
        <v>5</v>
      </c>
      <c r="BU48" s="131">
        <f t="shared" si="434"/>
        <v>3</v>
      </c>
      <c r="BV48" s="131">
        <f t="shared" si="434"/>
        <v>4</v>
      </c>
      <c r="BW48" s="131">
        <f t="shared" si="434"/>
        <v>6</v>
      </c>
      <c r="BX48" s="375">
        <f t="shared" si="434"/>
        <v>1</v>
      </c>
      <c r="BY48" s="131">
        <f t="shared" si="434"/>
        <v>3</v>
      </c>
      <c r="BZ48" s="131">
        <f t="shared" si="434"/>
        <v>4</v>
      </c>
      <c r="CA48" s="131">
        <f t="shared" si="434"/>
        <v>5</v>
      </c>
      <c r="CB48" s="131">
        <f t="shared" si="434"/>
        <v>1</v>
      </c>
      <c r="CC48" s="131">
        <f t="shared" si="434"/>
        <v>2</v>
      </c>
      <c r="CD48" s="375">
        <f t="shared" si="434"/>
        <v>6</v>
      </c>
      <c r="CE48" s="131">
        <f t="shared" si="434"/>
        <v>4</v>
      </c>
      <c r="CF48" s="131">
        <f t="shared" si="434"/>
        <v>2</v>
      </c>
      <c r="CG48" s="131">
        <f t="shared" si="434"/>
        <v>6</v>
      </c>
      <c r="CH48" s="131">
        <f t="shared" si="434"/>
        <v>3</v>
      </c>
      <c r="CI48" s="131">
        <f t="shared" si="434"/>
        <v>5</v>
      </c>
      <c r="CJ48" s="375">
        <f t="shared" si="434"/>
        <v>1</v>
      </c>
      <c r="CK48" s="131">
        <f t="shared" ref="CK48:CP48" si="435">CK7</f>
        <v>6</v>
      </c>
      <c r="CL48" s="131">
        <f t="shared" si="435"/>
        <v>3</v>
      </c>
      <c r="CM48" s="131">
        <f t="shared" si="435"/>
        <v>2</v>
      </c>
      <c r="CN48" s="131">
        <f t="shared" si="435"/>
        <v>1</v>
      </c>
      <c r="CO48" s="131">
        <f t="shared" si="435"/>
        <v>4</v>
      </c>
      <c r="CP48" s="375">
        <f t="shared" si="435"/>
        <v>5</v>
      </c>
      <c r="CR48" s="131">
        <f t="shared" ref="CR48:DK48" si="436">CR7</f>
        <v>2</v>
      </c>
      <c r="CS48" s="131">
        <f t="shared" si="436"/>
        <v>5</v>
      </c>
      <c r="CT48" s="131">
        <f t="shared" si="436"/>
        <v>3</v>
      </c>
      <c r="CU48" s="131">
        <f t="shared" si="436"/>
        <v>4</v>
      </c>
      <c r="CV48" s="375">
        <f t="shared" si="436"/>
        <v>1</v>
      </c>
      <c r="CW48" s="131">
        <f t="shared" si="436"/>
        <v>3</v>
      </c>
      <c r="CX48" s="131">
        <f t="shared" si="436"/>
        <v>4</v>
      </c>
      <c r="CY48" s="131">
        <f t="shared" si="436"/>
        <v>5</v>
      </c>
      <c r="CZ48" s="131">
        <f t="shared" si="436"/>
        <v>1</v>
      </c>
      <c r="DA48" s="375">
        <f t="shared" si="436"/>
        <v>2</v>
      </c>
      <c r="DB48" s="131">
        <f t="shared" si="436"/>
        <v>4</v>
      </c>
      <c r="DC48" s="131">
        <f t="shared" si="436"/>
        <v>2</v>
      </c>
      <c r="DD48" s="131">
        <f t="shared" si="436"/>
        <v>3</v>
      </c>
      <c r="DE48" s="131">
        <f t="shared" si="436"/>
        <v>5</v>
      </c>
      <c r="DF48" s="375">
        <f t="shared" si="436"/>
        <v>1</v>
      </c>
      <c r="DG48" s="131">
        <f t="shared" si="436"/>
        <v>3</v>
      </c>
      <c r="DH48" s="131">
        <f t="shared" si="436"/>
        <v>2</v>
      </c>
      <c r="DI48" s="131">
        <f t="shared" si="436"/>
        <v>1</v>
      </c>
      <c r="DJ48" s="131">
        <f t="shared" si="436"/>
        <v>4</v>
      </c>
      <c r="DK48" s="375">
        <f t="shared" si="436"/>
        <v>5</v>
      </c>
      <c r="DT48" s="64" t="str">
        <f>"'Height Input'!"</f>
        <v>'Height Input'!</v>
      </c>
      <c r="DU48" s="100" t="s">
        <v>673</v>
      </c>
      <c r="DV48" s="100" t="s">
        <v>333</v>
      </c>
      <c r="DW48" s="64">
        <f t="shared" ca="1" si="288"/>
        <v>21</v>
      </c>
      <c r="DX48" s="64" t="str">
        <f t="shared" ca="1" si="11"/>
        <v>'Height Input'!C23</v>
      </c>
      <c r="DY48" s="64" t="str">
        <f t="shared" si="394"/>
        <v>'Field'!</v>
      </c>
      <c r="DZ48" s="100" t="s">
        <v>673</v>
      </c>
      <c r="EA48" s="100" t="s">
        <v>218</v>
      </c>
      <c r="EB48" s="100">
        <f t="shared" ca="1" si="289"/>
        <v>211</v>
      </c>
      <c r="EC48" s="64" t="str">
        <f t="shared" ca="1" si="13"/>
        <v>'Field'!R213</v>
      </c>
      <c r="ED48" s="64" t="s">
        <v>691</v>
      </c>
      <c r="EG48" s="65">
        <v>13</v>
      </c>
    </row>
    <row r="49" spans="1:137" x14ac:dyDescent="0.35">
      <c r="A49" s="64" t="s">
        <v>240</v>
      </c>
      <c r="B49" s="64" t="s">
        <v>27</v>
      </c>
      <c r="C49" s="64" t="s">
        <v>7</v>
      </c>
      <c r="D49" s="66">
        <v>49</v>
      </c>
      <c r="E49" s="66">
        <v>22</v>
      </c>
      <c r="F49" s="429" t="s">
        <v>1417</v>
      </c>
      <c r="G49" s="430" t="s">
        <v>1394</v>
      </c>
      <c r="I49" s="131">
        <f>I7</f>
        <v>2</v>
      </c>
      <c r="J49" s="131">
        <f t="shared" ref="J49:P49" si="437">J7</f>
        <v>5</v>
      </c>
      <c r="K49" s="131">
        <f t="shared" si="437"/>
        <v>3</v>
      </c>
      <c r="L49" s="131">
        <f t="shared" si="437"/>
        <v>4</v>
      </c>
      <c r="M49" s="131">
        <f t="shared" si="437"/>
        <v>8</v>
      </c>
      <c r="N49" s="131">
        <f t="shared" si="437"/>
        <v>7</v>
      </c>
      <c r="O49" s="131">
        <f t="shared" si="437"/>
        <v>6</v>
      </c>
      <c r="P49" s="375">
        <f t="shared" si="437"/>
        <v>1</v>
      </c>
      <c r="Q49" s="131">
        <f>Q7</f>
        <v>3</v>
      </c>
      <c r="R49" s="131">
        <f t="shared" ref="R49:X49" si="438">R7</f>
        <v>4</v>
      </c>
      <c r="S49" s="131">
        <f t="shared" si="438"/>
        <v>5</v>
      </c>
      <c r="T49" s="131">
        <f t="shared" si="438"/>
        <v>1</v>
      </c>
      <c r="U49" s="131">
        <f t="shared" si="438"/>
        <v>2</v>
      </c>
      <c r="V49" s="131">
        <f t="shared" si="438"/>
        <v>6</v>
      </c>
      <c r="W49" s="131">
        <f t="shared" si="438"/>
        <v>8</v>
      </c>
      <c r="X49" s="375">
        <f t="shared" si="438"/>
        <v>7</v>
      </c>
      <c r="Y49" s="131">
        <f>Y7</f>
        <v>4</v>
      </c>
      <c r="Z49" s="131">
        <f t="shared" ref="Z49:AF49" si="439">Z7</f>
        <v>2</v>
      </c>
      <c r="AA49" s="131">
        <f t="shared" si="439"/>
        <v>6</v>
      </c>
      <c r="AB49" s="131">
        <f t="shared" si="439"/>
        <v>7</v>
      </c>
      <c r="AC49" s="131">
        <f t="shared" si="439"/>
        <v>3</v>
      </c>
      <c r="AD49" s="131">
        <f t="shared" si="439"/>
        <v>5</v>
      </c>
      <c r="AE49" s="131">
        <f t="shared" si="439"/>
        <v>1</v>
      </c>
      <c r="AF49" s="375">
        <f t="shared" si="439"/>
        <v>8</v>
      </c>
      <c r="AG49" s="131">
        <f>AG7</f>
        <v>6</v>
      </c>
      <c r="AH49" s="131">
        <f t="shared" ref="AH49:AN49" si="440">AH7</f>
        <v>3</v>
      </c>
      <c r="AI49" s="131">
        <f t="shared" si="440"/>
        <v>8</v>
      </c>
      <c r="AJ49" s="131">
        <f t="shared" si="440"/>
        <v>2</v>
      </c>
      <c r="AK49" s="131">
        <f t="shared" si="440"/>
        <v>1</v>
      </c>
      <c r="AL49" s="131">
        <f t="shared" si="440"/>
        <v>4</v>
      </c>
      <c r="AM49" s="131">
        <f t="shared" si="440"/>
        <v>7</v>
      </c>
      <c r="AN49" s="375">
        <f t="shared" si="440"/>
        <v>5</v>
      </c>
      <c r="AP49" s="131">
        <f t="shared" ref="AP49:BQ49" si="441">AP7</f>
        <v>2</v>
      </c>
      <c r="AQ49" s="131">
        <f t="shared" si="441"/>
        <v>5</v>
      </c>
      <c r="AR49" s="131">
        <f t="shared" si="441"/>
        <v>3</v>
      </c>
      <c r="AS49" s="131">
        <f t="shared" si="441"/>
        <v>4</v>
      </c>
      <c r="AT49" s="131">
        <f t="shared" si="441"/>
        <v>7</v>
      </c>
      <c r="AU49" s="131">
        <f t="shared" si="441"/>
        <v>6</v>
      </c>
      <c r="AV49" s="375">
        <f t="shared" si="441"/>
        <v>1</v>
      </c>
      <c r="AW49" s="131">
        <f t="shared" si="441"/>
        <v>3</v>
      </c>
      <c r="AX49" s="131">
        <f t="shared" si="441"/>
        <v>4</v>
      </c>
      <c r="AY49" s="131">
        <f t="shared" si="441"/>
        <v>5</v>
      </c>
      <c r="AZ49" s="131">
        <f t="shared" si="441"/>
        <v>1</v>
      </c>
      <c r="BA49" s="131">
        <f t="shared" si="441"/>
        <v>2</v>
      </c>
      <c r="BB49" s="131">
        <f t="shared" si="441"/>
        <v>6</v>
      </c>
      <c r="BC49" s="375">
        <f t="shared" si="441"/>
        <v>7</v>
      </c>
      <c r="BD49" s="131">
        <f t="shared" si="441"/>
        <v>4</v>
      </c>
      <c r="BE49" s="131">
        <f t="shared" si="441"/>
        <v>2</v>
      </c>
      <c r="BF49" s="131">
        <f t="shared" si="441"/>
        <v>6</v>
      </c>
      <c r="BG49" s="131">
        <f t="shared" si="441"/>
        <v>7</v>
      </c>
      <c r="BH49" s="131">
        <f t="shared" si="441"/>
        <v>3</v>
      </c>
      <c r="BI49" s="131">
        <f t="shared" si="441"/>
        <v>5</v>
      </c>
      <c r="BJ49" s="375">
        <f t="shared" si="441"/>
        <v>1</v>
      </c>
      <c r="BK49" s="131">
        <f t="shared" si="441"/>
        <v>6</v>
      </c>
      <c r="BL49" s="131">
        <f t="shared" si="441"/>
        <v>3</v>
      </c>
      <c r="BM49" s="131">
        <f t="shared" si="441"/>
        <v>2</v>
      </c>
      <c r="BN49" s="131">
        <f t="shared" si="441"/>
        <v>1</v>
      </c>
      <c r="BO49" s="131">
        <f t="shared" si="441"/>
        <v>4</v>
      </c>
      <c r="BP49" s="131">
        <f t="shared" si="441"/>
        <v>7</v>
      </c>
      <c r="BQ49" s="375">
        <f t="shared" si="441"/>
        <v>5</v>
      </c>
      <c r="BS49" s="131">
        <f t="shared" ref="BS49:CJ49" si="442">BS7</f>
        <v>2</v>
      </c>
      <c r="BT49" s="131">
        <f t="shared" si="442"/>
        <v>5</v>
      </c>
      <c r="BU49" s="131">
        <f t="shared" si="442"/>
        <v>3</v>
      </c>
      <c r="BV49" s="131">
        <f t="shared" si="442"/>
        <v>4</v>
      </c>
      <c r="BW49" s="131">
        <f t="shared" si="442"/>
        <v>6</v>
      </c>
      <c r="BX49" s="375">
        <f t="shared" si="442"/>
        <v>1</v>
      </c>
      <c r="BY49" s="131">
        <f t="shared" si="442"/>
        <v>3</v>
      </c>
      <c r="BZ49" s="131">
        <f t="shared" si="442"/>
        <v>4</v>
      </c>
      <c r="CA49" s="131">
        <f t="shared" si="442"/>
        <v>5</v>
      </c>
      <c r="CB49" s="131">
        <f t="shared" si="442"/>
        <v>1</v>
      </c>
      <c r="CC49" s="131">
        <f t="shared" si="442"/>
        <v>2</v>
      </c>
      <c r="CD49" s="375">
        <f t="shared" si="442"/>
        <v>6</v>
      </c>
      <c r="CE49" s="131">
        <f t="shared" si="442"/>
        <v>4</v>
      </c>
      <c r="CF49" s="131">
        <f t="shared" si="442"/>
        <v>2</v>
      </c>
      <c r="CG49" s="131">
        <f t="shared" si="442"/>
        <v>6</v>
      </c>
      <c r="CH49" s="131">
        <f t="shared" si="442"/>
        <v>3</v>
      </c>
      <c r="CI49" s="131">
        <f t="shared" si="442"/>
        <v>5</v>
      </c>
      <c r="CJ49" s="375">
        <f t="shared" si="442"/>
        <v>1</v>
      </c>
      <c r="CK49" s="131">
        <f t="shared" ref="CK49:CP49" si="443">CK7</f>
        <v>6</v>
      </c>
      <c r="CL49" s="131">
        <f t="shared" si="443"/>
        <v>3</v>
      </c>
      <c r="CM49" s="131">
        <f t="shared" si="443"/>
        <v>2</v>
      </c>
      <c r="CN49" s="131">
        <f t="shared" si="443"/>
        <v>1</v>
      </c>
      <c r="CO49" s="131">
        <f t="shared" si="443"/>
        <v>4</v>
      </c>
      <c r="CP49" s="375">
        <f t="shared" si="443"/>
        <v>5</v>
      </c>
      <c r="CR49" s="131">
        <f t="shared" ref="CR49:DK49" si="444">CR7</f>
        <v>2</v>
      </c>
      <c r="CS49" s="131">
        <f t="shared" si="444"/>
        <v>5</v>
      </c>
      <c r="CT49" s="131">
        <f t="shared" si="444"/>
        <v>3</v>
      </c>
      <c r="CU49" s="131">
        <f t="shared" si="444"/>
        <v>4</v>
      </c>
      <c r="CV49" s="375">
        <f t="shared" si="444"/>
        <v>1</v>
      </c>
      <c r="CW49" s="131">
        <f t="shared" si="444"/>
        <v>3</v>
      </c>
      <c r="CX49" s="131">
        <f t="shared" si="444"/>
        <v>4</v>
      </c>
      <c r="CY49" s="131">
        <f t="shared" si="444"/>
        <v>5</v>
      </c>
      <c r="CZ49" s="131">
        <f t="shared" si="444"/>
        <v>1</v>
      </c>
      <c r="DA49" s="375">
        <f t="shared" si="444"/>
        <v>2</v>
      </c>
      <c r="DB49" s="131">
        <f t="shared" si="444"/>
        <v>4</v>
      </c>
      <c r="DC49" s="131">
        <f t="shared" si="444"/>
        <v>2</v>
      </c>
      <c r="DD49" s="131">
        <f t="shared" si="444"/>
        <v>3</v>
      </c>
      <c r="DE49" s="131">
        <f t="shared" si="444"/>
        <v>5</v>
      </c>
      <c r="DF49" s="375">
        <f t="shared" si="444"/>
        <v>1</v>
      </c>
      <c r="DG49" s="131">
        <f t="shared" si="444"/>
        <v>3</v>
      </c>
      <c r="DH49" s="131">
        <f t="shared" si="444"/>
        <v>2</v>
      </c>
      <c r="DI49" s="131">
        <f t="shared" si="444"/>
        <v>1</v>
      </c>
      <c r="DJ49" s="131">
        <f t="shared" si="444"/>
        <v>4</v>
      </c>
      <c r="DK49" s="375">
        <f t="shared" si="444"/>
        <v>5</v>
      </c>
      <c r="DT49" s="64" t="str">
        <f>"'Height Input'!"</f>
        <v>'Height Input'!</v>
      </c>
      <c r="DU49" s="100" t="s">
        <v>676</v>
      </c>
      <c r="DV49" s="100" t="s">
        <v>220</v>
      </c>
      <c r="DW49" s="64">
        <f t="shared" ca="1" si="288"/>
        <v>21</v>
      </c>
      <c r="DX49" s="64" t="str">
        <f t="shared" ca="1" si="11"/>
        <v>'Height Input'!K23</v>
      </c>
      <c r="DY49" s="64" t="str">
        <f t="shared" si="394"/>
        <v>'Field'!</v>
      </c>
      <c r="DZ49" s="100" t="s">
        <v>673</v>
      </c>
      <c r="EA49" s="100" t="s">
        <v>218</v>
      </c>
      <c r="EB49" s="100">
        <f t="shared" ca="1" si="289"/>
        <v>222</v>
      </c>
      <c r="EC49" s="64" t="str">
        <f t="shared" ca="1" si="13"/>
        <v>'Field'!R224</v>
      </c>
      <c r="ED49" s="64" t="s">
        <v>692</v>
      </c>
      <c r="EG49" s="65">
        <v>13</v>
      </c>
    </row>
    <row r="50" spans="1:137" x14ac:dyDescent="0.35">
      <c r="A50" s="64" t="s">
        <v>235</v>
      </c>
      <c r="B50" s="64" t="s">
        <v>25</v>
      </c>
      <c r="C50" s="64" t="s">
        <v>7</v>
      </c>
      <c r="D50" s="66">
        <v>50</v>
      </c>
      <c r="E50" s="66">
        <v>15</v>
      </c>
      <c r="F50" s="429" t="s">
        <v>1394</v>
      </c>
      <c r="G50" s="430">
        <v>0.54861111111111105</v>
      </c>
      <c r="I50" s="131">
        <f>I$11</f>
        <v>3</v>
      </c>
      <c r="J50" s="131">
        <f t="shared" ref="J50:BU50" si="445">J$11</f>
        <v>8</v>
      </c>
      <c r="K50" s="131">
        <f t="shared" si="445"/>
        <v>5</v>
      </c>
      <c r="L50" s="131">
        <f t="shared" si="445"/>
        <v>2</v>
      </c>
      <c r="M50" s="131">
        <f t="shared" si="445"/>
        <v>6</v>
      </c>
      <c r="N50" s="131">
        <f t="shared" si="445"/>
        <v>7</v>
      </c>
      <c r="O50" s="131">
        <f t="shared" si="445"/>
        <v>4</v>
      </c>
      <c r="P50" s="375">
        <f t="shared" si="445"/>
        <v>1</v>
      </c>
      <c r="Q50" s="131">
        <f>Q$11</f>
        <v>5</v>
      </c>
      <c r="R50" s="131">
        <f t="shared" si="445"/>
        <v>8</v>
      </c>
      <c r="S50" s="131">
        <f t="shared" si="445"/>
        <v>1</v>
      </c>
      <c r="T50" s="131">
        <f t="shared" si="445"/>
        <v>3</v>
      </c>
      <c r="U50" s="131">
        <f t="shared" si="445"/>
        <v>4</v>
      </c>
      <c r="V50" s="131">
        <f t="shared" si="445"/>
        <v>2</v>
      </c>
      <c r="W50" s="131">
        <f t="shared" si="445"/>
        <v>7</v>
      </c>
      <c r="X50" s="375">
        <f t="shared" si="445"/>
        <v>6</v>
      </c>
      <c r="Y50" s="131">
        <f>Y$11</f>
        <v>4</v>
      </c>
      <c r="Z50" s="131">
        <f t="shared" si="445"/>
        <v>5</v>
      </c>
      <c r="AA50" s="131">
        <f t="shared" si="445"/>
        <v>1</v>
      </c>
      <c r="AB50" s="131">
        <f t="shared" si="445"/>
        <v>8</v>
      </c>
      <c r="AC50" s="131">
        <f t="shared" si="445"/>
        <v>7</v>
      </c>
      <c r="AD50" s="131">
        <f t="shared" si="445"/>
        <v>6</v>
      </c>
      <c r="AE50" s="131">
        <f t="shared" si="445"/>
        <v>2</v>
      </c>
      <c r="AF50" s="375">
        <f t="shared" si="445"/>
        <v>3</v>
      </c>
      <c r="AG50" s="131">
        <f>AG$11</f>
        <v>2</v>
      </c>
      <c r="AH50" s="131">
        <f t="shared" si="445"/>
        <v>6</v>
      </c>
      <c r="AI50" s="131">
        <f t="shared" si="445"/>
        <v>4</v>
      </c>
      <c r="AJ50" s="131">
        <f t="shared" si="445"/>
        <v>5</v>
      </c>
      <c r="AK50" s="131">
        <f t="shared" si="445"/>
        <v>3</v>
      </c>
      <c r="AL50" s="131">
        <f t="shared" si="445"/>
        <v>8</v>
      </c>
      <c r="AM50" s="131">
        <f t="shared" si="445"/>
        <v>1</v>
      </c>
      <c r="AN50" s="375">
        <f t="shared" si="445"/>
        <v>7</v>
      </c>
      <c r="AP50" s="131">
        <f t="shared" si="445"/>
        <v>3</v>
      </c>
      <c r="AQ50" s="131">
        <f t="shared" si="445"/>
        <v>5</v>
      </c>
      <c r="AR50" s="131">
        <f t="shared" si="445"/>
        <v>2</v>
      </c>
      <c r="AS50" s="131">
        <f t="shared" si="445"/>
        <v>6</v>
      </c>
      <c r="AT50" s="131">
        <f t="shared" si="445"/>
        <v>7</v>
      </c>
      <c r="AU50" s="131">
        <f t="shared" si="445"/>
        <v>4</v>
      </c>
      <c r="AV50" s="375">
        <f t="shared" si="445"/>
        <v>1</v>
      </c>
      <c r="AW50" s="131">
        <f t="shared" si="445"/>
        <v>5</v>
      </c>
      <c r="AX50" s="131">
        <f t="shared" si="445"/>
        <v>1</v>
      </c>
      <c r="AY50" s="131">
        <f t="shared" si="445"/>
        <v>3</v>
      </c>
      <c r="AZ50" s="131">
        <f t="shared" si="445"/>
        <v>4</v>
      </c>
      <c r="BA50" s="131">
        <f t="shared" si="445"/>
        <v>2</v>
      </c>
      <c r="BB50" s="131">
        <f t="shared" si="445"/>
        <v>7</v>
      </c>
      <c r="BC50" s="375">
        <f t="shared" si="445"/>
        <v>6</v>
      </c>
      <c r="BD50" s="131">
        <f t="shared" si="445"/>
        <v>4</v>
      </c>
      <c r="BE50" s="131">
        <f t="shared" si="445"/>
        <v>5</v>
      </c>
      <c r="BF50" s="131">
        <f t="shared" si="445"/>
        <v>1</v>
      </c>
      <c r="BG50" s="131">
        <f t="shared" si="445"/>
        <v>7</v>
      </c>
      <c r="BH50" s="131">
        <f t="shared" si="445"/>
        <v>6</v>
      </c>
      <c r="BI50" s="131">
        <f t="shared" si="445"/>
        <v>2</v>
      </c>
      <c r="BJ50" s="375">
        <f t="shared" si="445"/>
        <v>3</v>
      </c>
      <c r="BK50" s="131">
        <f t="shared" si="445"/>
        <v>2</v>
      </c>
      <c r="BL50" s="131">
        <f t="shared" si="445"/>
        <v>6</v>
      </c>
      <c r="BM50" s="131">
        <f t="shared" si="445"/>
        <v>4</v>
      </c>
      <c r="BN50" s="131">
        <f t="shared" si="445"/>
        <v>5</v>
      </c>
      <c r="BO50" s="131">
        <f t="shared" si="445"/>
        <v>3</v>
      </c>
      <c r="BP50" s="131">
        <f t="shared" si="445"/>
        <v>1</v>
      </c>
      <c r="BQ50" s="375">
        <f t="shared" si="445"/>
        <v>7</v>
      </c>
      <c r="BS50" s="131">
        <f t="shared" si="445"/>
        <v>3</v>
      </c>
      <c r="BT50" s="131">
        <f t="shared" si="445"/>
        <v>5</v>
      </c>
      <c r="BU50" s="131">
        <f t="shared" si="445"/>
        <v>2</v>
      </c>
      <c r="BV50" s="131">
        <f t="shared" ref="BV50:CJ50" si="446">BV$11</f>
        <v>6</v>
      </c>
      <c r="BW50" s="131">
        <f t="shared" si="446"/>
        <v>4</v>
      </c>
      <c r="BX50" s="375">
        <f t="shared" si="446"/>
        <v>1</v>
      </c>
      <c r="BY50" s="131">
        <f t="shared" si="446"/>
        <v>5</v>
      </c>
      <c r="BZ50" s="131">
        <f t="shared" si="446"/>
        <v>1</v>
      </c>
      <c r="CA50" s="131">
        <f t="shared" si="446"/>
        <v>3</v>
      </c>
      <c r="CB50" s="131">
        <f t="shared" si="446"/>
        <v>4</v>
      </c>
      <c r="CC50" s="131">
        <f t="shared" si="446"/>
        <v>2</v>
      </c>
      <c r="CD50" s="375">
        <f t="shared" si="446"/>
        <v>6</v>
      </c>
      <c r="CE50" s="131">
        <f t="shared" si="446"/>
        <v>4</v>
      </c>
      <c r="CF50" s="131">
        <f t="shared" si="446"/>
        <v>5</v>
      </c>
      <c r="CG50" s="131">
        <f t="shared" si="446"/>
        <v>1</v>
      </c>
      <c r="CH50" s="131">
        <f t="shared" si="446"/>
        <v>6</v>
      </c>
      <c r="CI50" s="131">
        <f t="shared" si="446"/>
        <v>2</v>
      </c>
      <c r="CJ50" s="375">
        <f t="shared" si="446"/>
        <v>3</v>
      </c>
      <c r="CK50" s="131">
        <f t="shared" ref="CK50:CP50" si="447">CK$11</f>
        <v>2</v>
      </c>
      <c r="CL50" s="131">
        <f t="shared" si="447"/>
        <v>6</v>
      </c>
      <c r="CM50" s="131">
        <f t="shared" si="447"/>
        <v>4</v>
      </c>
      <c r="CN50" s="131">
        <f t="shared" si="447"/>
        <v>5</v>
      </c>
      <c r="CO50" s="131">
        <f t="shared" si="447"/>
        <v>3</v>
      </c>
      <c r="CP50" s="375">
        <f t="shared" si="447"/>
        <v>1</v>
      </c>
      <c r="CR50" s="131">
        <f t="shared" ref="CR50:DK50" si="448">CR$11</f>
        <v>3</v>
      </c>
      <c r="CS50" s="131">
        <f t="shared" si="448"/>
        <v>5</v>
      </c>
      <c r="CT50" s="131">
        <f t="shared" si="448"/>
        <v>2</v>
      </c>
      <c r="CU50" s="131">
        <f t="shared" si="448"/>
        <v>4</v>
      </c>
      <c r="CV50" s="375">
        <f t="shared" si="448"/>
        <v>1</v>
      </c>
      <c r="CW50" s="131">
        <f t="shared" si="448"/>
        <v>5</v>
      </c>
      <c r="CX50" s="131">
        <f t="shared" si="448"/>
        <v>1</v>
      </c>
      <c r="CY50" s="131">
        <f t="shared" si="448"/>
        <v>3</v>
      </c>
      <c r="CZ50" s="131">
        <f t="shared" si="448"/>
        <v>4</v>
      </c>
      <c r="DA50" s="375">
        <f t="shared" si="448"/>
        <v>2</v>
      </c>
      <c r="DB50" s="131">
        <f t="shared" si="448"/>
        <v>4</v>
      </c>
      <c r="DC50" s="131">
        <f t="shared" si="448"/>
        <v>5</v>
      </c>
      <c r="DD50" s="131">
        <f t="shared" si="448"/>
        <v>1</v>
      </c>
      <c r="DE50" s="131">
        <f t="shared" si="448"/>
        <v>2</v>
      </c>
      <c r="DF50" s="375">
        <f t="shared" si="448"/>
        <v>3</v>
      </c>
      <c r="DG50" s="131">
        <f t="shared" si="448"/>
        <v>2</v>
      </c>
      <c r="DH50" s="131">
        <f t="shared" si="448"/>
        <v>4</v>
      </c>
      <c r="DI50" s="131">
        <f t="shared" si="448"/>
        <v>5</v>
      </c>
      <c r="DJ50" s="131">
        <f t="shared" si="448"/>
        <v>3</v>
      </c>
      <c r="DK50" s="375">
        <f t="shared" si="448"/>
        <v>1</v>
      </c>
      <c r="DT50" s="64" t="str">
        <f t="shared" ref="DT50:DT60" si="449">"'Distance Input'!"</f>
        <v>'Distance Input'!</v>
      </c>
      <c r="DU50" s="100" t="s">
        <v>673</v>
      </c>
      <c r="DV50" s="100" t="s">
        <v>333</v>
      </c>
      <c r="DW50" s="64">
        <f t="shared" ca="1" si="288"/>
        <v>40</v>
      </c>
      <c r="DX50" s="64" t="str">
        <f t="shared" ca="1" si="11"/>
        <v>'Distance Input'!C42</v>
      </c>
      <c r="DY50" s="64" t="str">
        <f t="shared" si="394"/>
        <v>'Field'!</v>
      </c>
      <c r="DZ50" s="100" t="s">
        <v>673</v>
      </c>
      <c r="EA50" s="100" t="s">
        <v>218</v>
      </c>
      <c r="EB50" s="100">
        <f t="shared" ca="1" si="289"/>
        <v>46</v>
      </c>
      <c r="EC50" s="64" t="str">
        <f t="shared" ca="1" si="13"/>
        <v>'Field'!R48</v>
      </c>
      <c r="ED50" s="64" t="s">
        <v>687</v>
      </c>
      <c r="EG50" s="65">
        <v>13.1</v>
      </c>
    </row>
    <row r="51" spans="1:137" x14ac:dyDescent="0.35">
      <c r="A51" s="64" t="s">
        <v>242</v>
      </c>
      <c r="B51" s="64" t="s">
        <v>24</v>
      </c>
      <c r="C51" s="64" t="s">
        <v>9</v>
      </c>
      <c r="D51" s="66">
        <v>51</v>
      </c>
      <c r="E51" s="66">
        <v>68</v>
      </c>
      <c r="F51" s="429" t="s">
        <v>1404</v>
      </c>
      <c r="G51" s="430">
        <v>0.55208333333333337</v>
      </c>
      <c r="I51" s="131">
        <f>I$27</f>
        <v>8</v>
      </c>
      <c r="J51" s="131">
        <f t="shared" ref="J51:BU51" si="450">J$27</f>
        <v>3</v>
      </c>
      <c r="K51" s="131">
        <f t="shared" si="450"/>
        <v>1</v>
      </c>
      <c r="L51" s="131">
        <f t="shared" si="450"/>
        <v>6</v>
      </c>
      <c r="M51" s="131">
        <f t="shared" si="450"/>
        <v>4</v>
      </c>
      <c r="N51" s="131">
        <f t="shared" si="450"/>
        <v>2</v>
      </c>
      <c r="O51" s="131">
        <f t="shared" si="450"/>
        <v>7</v>
      </c>
      <c r="P51" s="375">
        <f t="shared" si="450"/>
        <v>5</v>
      </c>
      <c r="Q51" s="131">
        <f>Q$27</f>
        <v>1</v>
      </c>
      <c r="R51" s="131">
        <f t="shared" si="450"/>
        <v>2</v>
      </c>
      <c r="S51" s="131">
        <f t="shared" si="450"/>
        <v>5</v>
      </c>
      <c r="T51" s="131">
        <f t="shared" si="450"/>
        <v>7</v>
      </c>
      <c r="U51" s="131">
        <f t="shared" si="450"/>
        <v>3</v>
      </c>
      <c r="V51" s="131">
        <f t="shared" si="450"/>
        <v>8</v>
      </c>
      <c r="W51" s="131">
        <f t="shared" si="450"/>
        <v>6</v>
      </c>
      <c r="X51" s="375">
        <f t="shared" si="450"/>
        <v>4</v>
      </c>
      <c r="Y51" s="131">
        <f>Y$27</f>
        <v>7</v>
      </c>
      <c r="Z51" s="131">
        <f t="shared" si="450"/>
        <v>4</v>
      </c>
      <c r="AA51" s="131">
        <f t="shared" si="450"/>
        <v>3</v>
      </c>
      <c r="AB51" s="131">
        <f t="shared" si="450"/>
        <v>8</v>
      </c>
      <c r="AC51" s="131">
        <f t="shared" si="450"/>
        <v>5</v>
      </c>
      <c r="AD51" s="131">
        <f t="shared" si="450"/>
        <v>6</v>
      </c>
      <c r="AE51" s="131">
        <f t="shared" si="450"/>
        <v>1</v>
      </c>
      <c r="AF51" s="375">
        <f t="shared" si="450"/>
        <v>2</v>
      </c>
      <c r="AG51" s="131">
        <f>AG$27</f>
        <v>6</v>
      </c>
      <c r="AH51" s="131">
        <f t="shared" si="450"/>
        <v>5</v>
      </c>
      <c r="AI51" s="131">
        <f t="shared" si="450"/>
        <v>2</v>
      </c>
      <c r="AJ51" s="131">
        <f t="shared" si="450"/>
        <v>1</v>
      </c>
      <c r="AK51" s="131">
        <f t="shared" si="450"/>
        <v>4</v>
      </c>
      <c r="AL51" s="131">
        <f t="shared" si="450"/>
        <v>7</v>
      </c>
      <c r="AM51" s="131">
        <f t="shared" si="450"/>
        <v>8</v>
      </c>
      <c r="AN51" s="375">
        <f t="shared" si="450"/>
        <v>3</v>
      </c>
      <c r="AP51" s="131">
        <f t="shared" si="450"/>
        <v>3</v>
      </c>
      <c r="AQ51" s="131">
        <f t="shared" si="450"/>
        <v>1</v>
      </c>
      <c r="AR51" s="131">
        <f t="shared" si="450"/>
        <v>6</v>
      </c>
      <c r="AS51" s="131">
        <f t="shared" si="450"/>
        <v>4</v>
      </c>
      <c r="AT51" s="131">
        <f t="shared" si="450"/>
        <v>2</v>
      </c>
      <c r="AU51" s="131">
        <f t="shared" si="450"/>
        <v>7</v>
      </c>
      <c r="AV51" s="375">
        <f t="shared" si="450"/>
        <v>5</v>
      </c>
      <c r="AW51" s="131">
        <f t="shared" si="450"/>
        <v>1</v>
      </c>
      <c r="AX51" s="131">
        <f t="shared" si="450"/>
        <v>2</v>
      </c>
      <c r="AY51" s="131">
        <f t="shared" si="450"/>
        <v>5</v>
      </c>
      <c r="AZ51" s="131">
        <f t="shared" si="450"/>
        <v>7</v>
      </c>
      <c r="BA51" s="131">
        <f t="shared" si="450"/>
        <v>3</v>
      </c>
      <c r="BB51" s="131">
        <f t="shared" si="450"/>
        <v>6</v>
      </c>
      <c r="BC51" s="375">
        <f t="shared" si="450"/>
        <v>4</v>
      </c>
      <c r="BD51" s="131">
        <f t="shared" si="450"/>
        <v>7</v>
      </c>
      <c r="BE51" s="131">
        <f t="shared" si="450"/>
        <v>4</v>
      </c>
      <c r="BF51" s="131">
        <f t="shared" si="450"/>
        <v>3</v>
      </c>
      <c r="BG51" s="131">
        <f t="shared" si="450"/>
        <v>5</v>
      </c>
      <c r="BH51" s="131">
        <f t="shared" si="450"/>
        <v>6</v>
      </c>
      <c r="BI51" s="131">
        <f t="shared" si="450"/>
        <v>1</v>
      </c>
      <c r="BJ51" s="375">
        <f t="shared" si="450"/>
        <v>2</v>
      </c>
      <c r="BK51" s="131">
        <f t="shared" si="450"/>
        <v>6</v>
      </c>
      <c r="BL51" s="131">
        <f t="shared" si="450"/>
        <v>5</v>
      </c>
      <c r="BM51" s="131">
        <f t="shared" si="450"/>
        <v>2</v>
      </c>
      <c r="BN51" s="131">
        <f t="shared" si="450"/>
        <v>1</v>
      </c>
      <c r="BO51" s="131">
        <f t="shared" si="450"/>
        <v>4</v>
      </c>
      <c r="BP51" s="131">
        <f t="shared" si="450"/>
        <v>7</v>
      </c>
      <c r="BQ51" s="375">
        <f t="shared" si="450"/>
        <v>3</v>
      </c>
      <c r="BS51" s="131">
        <f t="shared" si="450"/>
        <v>3</v>
      </c>
      <c r="BT51" s="131">
        <f t="shared" si="450"/>
        <v>1</v>
      </c>
      <c r="BU51" s="131">
        <f t="shared" si="450"/>
        <v>6</v>
      </c>
      <c r="BV51" s="131">
        <f t="shared" ref="BV51:CJ51" si="451">BV$27</f>
        <v>4</v>
      </c>
      <c r="BW51" s="131">
        <f t="shared" si="451"/>
        <v>2</v>
      </c>
      <c r="BX51" s="375">
        <f t="shared" si="451"/>
        <v>5</v>
      </c>
      <c r="BY51" s="131">
        <f t="shared" si="451"/>
        <v>1</v>
      </c>
      <c r="BZ51" s="131">
        <f t="shared" si="451"/>
        <v>2</v>
      </c>
      <c r="CA51" s="131">
        <f t="shared" si="451"/>
        <v>5</v>
      </c>
      <c r="CB51" s="131">
        <f t="shared" si="451"/>
        <v>3</v>
      </c>
      <c r="CC51" s="131">
        <f t="shared" si="451"/>
        <v>6</v>
      </c>
      <c r="CD51" s="375">
        <f t="shared" si="451"/>
        <v>4</v>
      </c>
      <c r="CE51" s="131">
        <f t="shared" si="451"/>
        <v>4</v>
      </c>
      <c r="CF51" s="131">
        <f t="shared" si="451"/>
        <v>3</v>
      </c>
      <c r="CG51" s="131">
        <f t="shared" si="451"/>
        <v>5</v>
      </c>
      <c r="CH51" s="131">
        <f t="shared" si="451"/>
        <v>6</v>
      </c>
      <c r="CI51" s="131">
        <f t="shared" si="451"/>
        <v>1</v>
      </c>
      <c r="CJ51" s="375">
        <f t="shared" si="451"/>
        <v>2</v>
      </c>
      <c r="CK51" s="131">
        <f t="shared" ref="CK51:CP51" si="452">CK$27</f>
        <v>6</v>
      </c>
      <c r="CL51" s="131">
        <f t="shared" si="452"/>
        <v>5</v>
      </c>
      <c r="CM51" s="131">
        <f t="shared" si="452"/>
        <v>2</v>
      </c>
      <c r="CN51" s="131">
        <f t="shared" si="452"/>
        <v>1</v>
      </c>
      <c r="CO51" s="131">
        <f t="shared" si="452"/>
        <v>4</v>
      </c>
      <c r="CP51" s="375">
        <f t="shared" si="452"/>
        <v>3</v>
      </c>
      <c r="CR51" s="131">
        <f t="shared" ref="CR51:DK51" si="453">CR$27</f>
        <v>3</v>
      </c>
      <c r="CS51" s="131">
        <f t="shared" si="453"/>
        <v>1</v>
      </c>
      <c r="CT51" s="131">
        <f t="shared" si="453"/>
        <v>4</v>
      </c>
      <c r="CU51" s="131">
        <f t="shared" si="453"/>
        <v>2</v>
      </c>
      <c r="CV51" s="375">
        <f t="shared" si="453"/>
        <v>5</v>
      </c>
      <c r="CW51" s="131">
        <f t="shared" si="453"/>
        <v>1</v>
      </c>
      <c r="CX51" s="131">
        <f t="shared" si="453"/>
        <v>2</v>
      </c>
      <c r="CY51" s="131">
        <f t="shared" si="453"/>
        <v>5</v>
      </c>
      <c r="CZ51" s="131">
        <f t="shared" si="453"/>
        <v>3</v>
      </c>
      <c r="DA51" s="375">
        <f t="shared" si="453"/>
        <v>4</v>
      </c>
      <c r="DB51" s="131">
        <f t="shared" si="453"/>
        <v>4</v>
      </c>
      <c r="DC51" s="131">
        <f t="shared" si="453"/>
        <v>3</v>
      </c>
      <c r="DD51" s="131">
        <f t="shared" si="453"/>
        <v>5</v>
      </c>
      <c r="DE51" s="131">
        <f t="shared" si="453"/>
        <v>1</v>
      </c>
      <c r="DF51" s="375">
        <f t="shared" si="453"/>
        <v>2</v>
      </c>
      <c r="DG51" s="131">
        <f t="shared" si="453"/>
        <v>5</v>
      </c>
      <c r="DH51" s="131">
        <f t="shared" si="453"/>
        <v>2</v>
      </c>
      <c r="DI51" s="131">
        <f t="shared" si="453"/>
        <v>1</v>
      </c>
      <c r="DJ51" s="131">
        <f t="shared" si="453"/>
        <v>4</v>
      </c>
      <c r="DK51" s="375">
        <f t="shared" si="453"/>
        <v>3</v>
      </c>
      <c r="DT51" s="64" t="str">
        <f t="shared" si="449"/>
        <v>'Distance Input'!</v>
      </c>
      <c r="DU51" s="100" t="s">
        <v>674</v>
      </c>
      <c r="DV51" s="100" t="s">
        <v>219</v>
      </c>
      <c r="DW51" s="64">
        <f t="shared" ca="1" si="288"/>
        <v>40</v>
      </c>
      <c r="DX51" s="64" t="str">
        <f t="shared" ca="1" si="11"/>
        <v>'Distance Input'!J42</v>
      </c>
      <c r="DY51" s="64" t="str">
        <f t="shared" si="394"/>
        <v>'Field'!</v>
      </c>
      <c r="DZ51" s="100" t="s">
        <v>673</v>
      </c>
      <c r="EA51" s="100" t="s">
        <v>218</v>
      </c>
      <c r="EB51" s="100">
        <f t="shared" ca="1" si="289"/>
        <v>57</v>
      </c>
      <c r="EC51" s="64" t="str">
        <f t="shared" ca="1" si="13"/>
        <v>'Field'!R59</v>
      </c>
      <c r="ED51" s="64" t="s">
        <v>688</v>
      </c>
      <c r="EG51" s="65">
        <v>13.15</v>
      </c>
    </row>
    <row r="52" spans="1:137" x14ac:dyDescent="0.35">
      <c r="A52" s="64" t="s">
        <v>243</v>
      </c>
      <c r="B52" s="64" t="s">
        <v>28</v>
      </c>
      <c r="C52" s="64" t="s">
        <v>9</v>
      </c>
      <c r="D52" s="66">
        <v>52</v>
      </c>
      <c r="E52" s="66">
        <v>67</v>
      </c>
      <c r="F52" s="429" t="s">
        <v>1396</v>
      </c>
      <c r="G52" s="430">
        <v>0.57291666666666663</v>
      </c>
      <c r="I52" s="131">
        <f t="shared" ref="I52:Y53" si="454">I$42</f>
        <v>7</v>
      </c>
      <c r="J52" s="131">
        <f t="shared" si="454"/>
        <v>6</v>
      </c>
      <c r="K52" s="131">
        <f t="shared" si="454"/>
        <v>4</v>
      </c>
      <c r="L52" s="131">
        <f t="shared" si="454"/>
        <v>2</v>
      </c>
      <c r="M52" s="131">
        <f t="shared" si="454"/>
        <v>5</v>
      </c>
      <c r="N52" s="131">
        <f t="shared" si="454"/>
        <v>1</v>
      </c>
      <c r="O52" s="131">
        <f t="shared" si="454"/>
        <v>8</v>
      </c>
      <c r="P52" s="375">
        <f t="shared" si="454"/>
        <v>3</v>
      </c>
      <c r="Q52" s="131">
        <f t="shared" si="454"/>
        <v>1</v>
      </c>
      <c r="R52" s="131">
        <f t="shared" si="454"/>
        <v>4</v>
      </c>
      <c r="S52" s="131">
        <f t="shared" si="454"/>
        <v>7</v>
      </c>
      <c r="T52" s="131">
        <f t="shared" si="454"/>
        <v>8</v>
      </c>
      <c r="U52" s="131">
        <f t="shared" si="454"/>
        <v>3</v>
      </c>
      <c r="V52" s="131">
        <f t="shared" si="454"/>
        <v>2</v>
      </c>
      <c r="W52" s="131">
        <f t="shared" si="454"/>
        <v>5</v>
      </c>
      <c r="X52" s="375">
        <f t="shared" si="454"/>
        <v>6</v>
      </c>
      <c r="Y52" s="131">
        <f t="shared" si="454"/>
        <v>8</v>
      </c>
      <c r="Z52" s="131">
        <f t="shared" ref="Y52:AN53" si="455">Z$42</f>
        <v>2</v>
      </c>
      <c r="AA52" s="131">
        <f t="shared" si="455"/>
        <v>5</v>
      </c>
      <c r="AB52" s="131">
        <f t="shared" si="455"/>
        <v>1</v>
      </c>
      <c r="AC52" s="131">
        <f t="shared" si="455"/>
        <v>6</v>
      </c>
      <c r="AD52" s="131">
        <f t="shared" si="455"/>
        <v>3</v>
      </c>
      <c r="AE52" s="131">
        <f t="shared" si="455"/>
        <v>7</v>
      </c>
      <c r="AF52" s="375">
        <f t="shared" si="455"/>
        <v>4</v>
      </c>
      <c r="AG52" s="131">
        <f t="shared" si="455"/>
        <v>6</v>
      </c>
      <c r="AH52" s="131">
        <f t="shared" si="455"/>
        <v>1</v>
      </c>
      <c r="AI52" s="131">
        <f t="shared" si="455"/>
        <v>5</v>
      </c>
      <c r="AJ52" s="131">
        <f t="shared" si="455"/>
        <v>3</v>
      </c>
      <c r="AK52" s="131">
        <f t="shared" si="455"/>
        <v>7</v>
      </c>
      <c r="AL52" s="131">
        <f t="shared" si="455"/>
        <v>8</v>
      </c>
      <c r="AM52" s="131">
        <f t="shared" si="455"/>
        <v>4</v>
      </c>
      <c r="AN52" s="375">
        <f t="shared" si="455"/>
        <v>2</v>
      </c>
      <c r="AP52" s="131">
        <f t="shared" ref="AP52:BE53" si="456">AP$42</f>
        <v>7</v>
      </c>
      <c r="AQ52" s="131">
        <f t="shared" si="456"/>
        <v>6</v>
      </c>
      <c r="AR52" s="131">
        <f t="shared" si="456"/>
        <v>4</v>
      </c>
      <c r="AS52" s="131">
        <f t="shared" si="456"/>
        <v>2</v>
      </c>
      <c r="AT52" s="131">
        <f t="shared" si="456"/>
        <v>5</v>
      </c>
      <c r="AU52" s="131">
        <f t="shared" si="456"/>
        <v>1</v>
      </c>
      <c r="AV52" s="375">
        <f t="shared" si="456"/>
        <v>3</v>
      </c>
      <c r="AW52" s="131">
        <f t="shared" si="456"/>
        <v>1</v>
      </c>
      <c r="AX52" s="131">
        <f t="shared" si="456"/>
        <v>4</v>
      </c>
      <c r="AY52" s="131">
        <f t="shared" si="456"/>
        <v>7</v>
      </c>
      <c r="AZ52" s="131">
        <f t="shared" si="456"/>
        <v>3</v>
      </c>
      <c r="BA52" s="131">
        <f t="shared" si="456"/>
        <v>2</v>
      </c>
      <c r="BB52" s="131">
        <f t="shared" si="456"/>
        <v>5</v>
      </c>
      <c r="BC52" s="375">
        <f t="shared" si="456"/>
        <v>6</v>
      </c>
      <c r="BD52" s="131">
        <f t="shared" si="456"/>
        <v>2</v>
      </c>
      <c r="BE52" s="131">
        <f t="shared" si="456"/>
        <v>5</v>
      </c>
      <c r="BF52" s="131">
        <f t="shared" ref="BD52:BQ53" si="457">BF$42</f>
        <v>1</v>
      </c>
      <c r="BG52" s="131">
        <f t="shared" si="457"/>
        <v>6</v>
      </c>
      <c r="BH52" s="131">
        <f t="shared" si="457"/>
        <v>3</v>
      </c>
      <c r="BI52" s="131">
        <f t="shared" si="457"/>
        <v>7</v>
      </c>
      <c r="BJ52" s="375">
        <f t="shared" si="457"/>
        <v>4</v>
      </c>
      <c r="BK52" s="131">
        <f t="shared" si="457"/>
        <v>6</v>
      </c>
      <c r="BL52" s="131">
        <f t="shared" si="457"/>
        <v>1</v>
      </c>
      <c r="BM52" s="131">
        <f t="shared" si="457"/>
        <v>5</v>
      </c>
      <c r="BN52" s="131">
        <f t="shared" si="457"/>
        <v>3</v>
      </c>
      <c r="BO52" s="131">
        <f t="shared" si="457"/>
        <v>7</v>
      </c>
      <c r="BP52" s="131">
        <f t="shared" si="457"/>
        <v>4</v>
      </c>
      <c r="BQ52" s="375">
        <f t="shared" si="457"/>
        <v>2</v>
      </c>
      <c r="BS52" s="131">
        <f t="shared" ref="BS52:CH53" si="458">BS$42</f>
        <v>6</v>
      </c>
      <c r="BT52" s="131">
        <f t="shared" si="458"/>
        <v>4</v>
      </c>
      <c r="BU52" s="131">
        <f t="shared" si="458"/>
        <v>2</v>
      </c>
      <c r="BV52" s="131">
        <f t="shared" si="458"/>
        <v>5</v>
      </c>
      <c r="BW52" s="131">
        <f t="shared" si="458"/>
        <v>1</v>
      </c>
      <c r="BX52" s="375">
        <f t="shared" si="458"/>
        <v>3</v>
      </c>
      <c r="BY52" s="131">
        <f t="shared" si="458"/>
        <v>1</v>
      </c>
      <c r="BZ52" s="131">
        <f t="shared" si="458"/>
        <v>4</v>
      </c>
      <c r="CA52" s="131">
        <f t="shared" si="458"/>
        <v>3</v>
      </c>
      <c r="CB52" s="131">
        <f t="shared" si="458"/>
        <v>2</v>
      </c>
      <c r="CC52" s="131">
        <f t="shared" si="458"/>
        <v>5</v>
      </c>
      <c r="CD52" s="375">
        <f t="shared" si="458"/>
        <v>6</v>
      </c>
      <c r="CE52" s="131">
        <f t="shared" si="458"/>
        <v>2</v>
      </c>
      <c r="CF52" s="131">
        <f t="shared" si="458"/>
        <v>5</v>
      </c>
      <c r="CG52" s="131">
        <f t="shared" si="458"/>
        <v>1</v>
      </c>
      <c r="CH52" s="131">
        <f t="shared" si="458"/>
        <v>6</v>
      </c>
      <c r="CI52" s="131">
        <f t="shared" ref="CE52:CJ53" si="459">CI$42</f>
        <v>3</v>
      </c>
      <c r="CJ52" s="375">
        <f t="shared" si="459"/>
        <v>4</v>
      </c>
      <c r="CK52" s="131">
        <f t="shared" ref="CK52:CP53" si="460">CK$42</f>
        <v>6</v>
      </c>
      <c r="CL52" s="131">
        <f t="shared" si="460"/>
        <v>1</v>
      </c>
      <c r="CM52" s="131">
        <f t="shared" si="460"/>
        <v>5</v>
      </c>
      <c r="CN52" s="131">
        <f t="shared" si="460"/>
        <v>3</v>
      </c>
      <c r="CO52" s="131">
        <f t="shared" si="460"/>
        <v>4</v>
      </c>
      <c r="CP52" s="375">
        <f t="shared" si="460"/>
        <v>2</v>
      </c>
      <c r="CR52" s="131">
        <f t="shared" ref="CR52:DG53" si="461">CR$42</f>
        <v>4</v>
      </c>
      <c r="CS52" s="131">
        <f t="shared" si="461"/>
        <v>2</v>
      </c>
      <c r="CT52" s="131">
        <f t="shared" si="461"/>
        <v>5</v>
      </c>
      <c r="CU52" s="131">
        <f t="shared" si="461"/>
        <v>1</v>
      </c>
      <c r="CV52" s="375">
        <f t="shared" si="461"/>
        <v>3</v>
      </c>
      <c r="CW52" s="131">
        <f t="shared" si="461"/>
        <v>1</v>
      </c>
      <c r="CX52" s="131">
        <f t="shared" si="461"/>
        <v>4</v>
      </c>
      <c r="CY52" s="131">
        <f t="shared" si="461"/>
        <v>3</v>
      </c>
      <c r="CZ52" s="131">
        <f t="shared" si="461"/>
        <v>2</v>
      </c>
      <c r="DA52" s="375">
        <f t="shared" si="461"/>
        <v>5</v>
      </c>
      <c r="DB52" s="131">
        <f t="shared" si="461"/>
        <v>2</v>
      </c>
      <c r="DC52" s="131">
        <f t="shared" si="461"/>
        <v>5</v>
      </c>
      <c r="DD52" s="131">
        <f t="shared" si="461"/>
        <v>1</v>
      </c>
      <c r="DE52" s="131">
        <f t="shared" si="461"/>
        <v>3</v>
      </c>
      <c r="DF52" s="375">
        <f t="shared" si="461"/>
        <v>4</v>
      </c>
      <c r="DG52" s="131">
        <f t="shared" si="461"/>
        <v>1</v>
      </c>
      <c r="DH52" s="131">
        <f t="shared" ref="DG52:DK53" si="462">DH$42</f>
        <v>5</v>
      </c>
      <c r="DI52" s="131">
        <f t="shared" si="462"/>
        <v>3</v>
      </c>
      <c r="DJ52" s="131">
        <f t="shared" si="462"/>
        <v>4</v>
      </c>
      <c r="DK52" s="375">
        <f t="shared" si="462"/>
        <v>2</v>
      </c>
      <c r="DT52" s="64" t="str">
        <f t="shared" si="449"/>
        <v>'Distance Input'!</v>
      </c>
      <c r="DU52" s="100" t="s">
        <v>673</v>
      </c>
      <c r="DV52" s="100" t="s">
        <v>333</v>
      </c>
      <c r="DW52" s="64">
        <f t="shared" ca="1" si="288"/>
        <v>59</v>
      </c>
      <c r="DX52" s="64" t="str">
        <f t="shared" ca="1" si="11"/>
        <v>'Distance Input'!C61</v>
      </c>
      <c r="DY52" s="64" t="str">
        <f t="shared" si="394"/>
        <v>'Field'!</v>
      </c>
      <c r="DZ52" s="100" t="s">
        <v>673</v>
      </c>
      <c r="EA52" s="100" t="s">
        <v>218</v>
      </c>
      <c r="EB52" s="100">
        <f t="shared" ca="1" si="289"/>
        <v>68</v>
      </c>
      <c r="EC52" s="64" t="str">
        <f t="shared" ca="1" si="13"/>
        <v>'Field'!R70</v>
      </c>
      <c r="ED52" s="64" t="s">
        <v>693</v>
      </c>
      <c r="EG52" s="65">
        <v>13.45</v>
      </c>
    </row>
    <row r="53" spans="1:137" x14ac:dyDescent="0.35">
      <c r="A53" s="64" t="s">
        <v>244</v>
      </c>
      <c r="B53" s="64" t="s">
        <v>28</v>
      </c>
      <c r="C53" s="64" t="s">
        <v>7</v>
      </c>
      <c r="D53" s="66">
        <v>53</v>
      </c>
      <c r="E53" s="66">
        <v>17</v>
      </c>
      <c r="F53" s="429" t="s">
        <v>1401</v>
      </c>
      <c r="G53" s="430">
        <v>0.60416666666666663</v>
      </c>
      <c r="I53" s="131">
        <f t="shared" si="454"/>
        <v>7</v>
      </c>
      <c r="J53" s="131">
        <f t="shared" si="454"/>
        <v>6</v>
      </c>
      <c r="K53" s="131">
        <f t="shared" si="454"/>
        <v>4</v>
      </c>
      <c r="L53" s="131">
        <f t="shared" si="454"/>
        <v>2</v>
      </c>
      <c r="M53" s="131">
        <f t="shared" si="454"/>
        <v>5</v>
      </c>
      <c r="N53" s="131">
        <f t="shared" si="454"/>
        <v>1</v>
      </c>
      <c r="O53" s="131">
        <f t="shared" si="454"/>
        <v>8</v>
      </c>
      <c r="P53" s="375">
        <f t="shared" si="454"/>
        <v>3</v>
      </c>
      <c r="Q53" s="131">
        <f t="shared" si="454"/>
        <v>1</v>
      </c>
      <c r="R53" s="131">
        <f t="shared" si="454"/>
        <v>4</v>
      </c>
      <c r="S53" s="131">
        <f t="shared" si="454"/>
        <v>7</v>
      </c>
      <c r="T53" s="131">
        <f t="shared" si="454"/>
        <v>8</v>
      </c>
      <c r="U53" s="131">
        <f t="shared" si="454"/>
        <v>3</v>
      </c>
      <c r="V53" s="131">
        <f t="shared" si="454"/>
        <v>2</v>
      </c>
      <c r="W53" s="131">
        <f t="shared" si="454"/>
        <v>5</v>
      </c>
      <c r="X53" s="375">
        <f t="shared" si="454"/>
        <v>6</v>
      </c>
      <c r="Y53" s="131">
        <f t="shared" si="455"/>
        <v>8</v>
      </c>
      <c r="Z53" s="131">
        <f t="shared" si="455"/>
        <v>2</v>
      </c>
      <c r="AA53" s="131">
        <f t="shared" si="455"/>
        <v>5</v>
      </c>
      <c r="AB53" s="131">
        <f t="shared" si="455"/>
        <v>1</v>
      </c>
      <c r="AC53" s="131">
        <f t="shared" si="455"/>
        <v>6</v>
      </c>
      <c r="AD53" s="131">
        <f t="shared" si="455"/>
        <v>3</v>
      </c>
      <c r="AE53" s="131">
        <f t="shared" si="455"/>
        <v>7</v>
      </c>
      <c r="AF53" s="375">
        <f t="shared" si="455"/>
        <v>4</v>
      </c>
      <c r="AG53" s="131">
        <f t="shared" si="455"/>
        <v>6</v>
      </c>
      <c r="AH53" s="131">
        <f t="shared" si="455"/>
        <v>1</v>
      </c>
      <c r="AI53" s="131">
        <f t="shared" si="455"/>
        <v>5</v>
      </c>
      <c r="AJ53" s="131">
        <f t="shared" si="455"/>
        <v>3</v>
      </c>
      <c r="AK53" s="131">
        <f t="shared" si="455"/>
        <v>7</v>
      </c>
      <c r="AL53" s="131">
        <f t="shared" si="455"/>
        <v>8</v>
      </c>
      <c r="AM53" s="131">
        <f t="shared" si="455"/>
        <v>4</v>
      </c>
      <c r="AN53" s="375">
        <f t="shared" si="455"/>
        <v>2</v>
      </c>
      <c r="AP53" s="131">
        <f t="shared" si="456"/>
        <v>7</v>
      </c>
      <c r="AQ53" s="131">
        <f t="shared" si="456"/>
        <v>6</v>
      </c>
      <c r="AR53" s="131">
        <f t="shared" si="456"/>
        <v>4</v>
      </c>
      <c r="AS53" s="131">
        <f t="shared" si="456"/>
        <v>2</v>
      </c>
      <c r="AT53" s="131">
        <f t="shared" si="456"/>
        <v>5</v>
      </c>
      <c r="AU53" s="131">
        <f t="shared" si="456"/>
        <v>1</v>
      </c>
      <c r="AV53" s="375">
        <f t="shared" si="456"/>
        <v>3</v>
      </c>
      <c r="AW53" s="131">
        <f t="shared" si="456"/>
        <v>1</v>
      </c>
      <c r="AX53" s="131">
        <f t="shared" si="456"/>
        <v>4</v>
      </c>
      <c r="AY53" s="131">
        <f t="shared" si="456"/>
        <v>7</v>
      </c>
      <c r="AZ53" s="131">
        <f t="shared" si="456"/>
        <v>3</v>
      </c>
      <c r="BA53" s="131">
        <f t="shared" si="456"/>
        <v>2</v>
      </c>
      <c r="BB53" s="131">
        <f t="shared" si="456"/>
        <v>5</v>
      </c>
      <c r="BC53" s="375">
        <f t="shared" si="456"/>
        <v>6</v>
      </c>
      <c r="BD53" s="131">
        <f t="shared" si="457"/>
        <v>2</v>
      </c>
      <c r="BE53" s="131">
        <f t="shared" si="457"/>
        <v>5</v>
      </c>
      <c r="BF53" s="131">
        <f t="shared" si="457"/>
        <v>1</v>
      </c>
      <c r="BG53" s="131">
        <f t="shared" si="457"/>
        <v>6</v>
      </c>
      <c r="BH53" s="131">
        <f t="shared" si="457"/>
        <v>3</v>
      </c>
      <c r="BI53" s="131">
        <f t="shared" si="457"/>
        <v>7</v>
      </c>
      <c r="BJ53" s="375">
        <f t="shared" si="457"/>
        <v>4</v>
      </c>
      <c r="BK53" s="131">
        <f t="shared" si="457"/>
        <v>6</v>
      </c>
      <c r="BL53" s="131">
        <f t="shared" si="457"/>
        <v>1</v>
      </c>
      <c r="BM53" s="131">
        <f t="shared" si="457"/>
        <v>5</v>
      </c>
      <c r="BN53" s="131">
        <f t="shared" si="457"/>
        <v>3</v>
      </c>
      <c r="BO53" s="131">
        <f t="shared" si="457"/>
        <v>7</v>
      </c>
      <c r="BP53" s="131">
        <f t="shared" si="457"/>
        <v>4</v>
      </c>
      <c r="BQ53" s="375">
        <f t="shared" si="457"/>
        <v>2</v>
      </c>
      <c r="BS53" s="131">
        <f t="shared" si="458"/>
        <v>6</v>
      </c>
      <c r="BT53" s="131">
        <f t="shared" si="458"/>
        <v>4</v>
      </c>
      <c r="BU53" s="131">
        <f t="shared" si="458"/>
        <v>2</v>
      </c>
      <c r="BV53" s="131">
        <f t="shared" si="458"/>
        <v>5</v>
      </c>
      <c r="BW53" s="131">
        <f t="shared" si="458"/>
        <v>1</v>
      </c>
      <c r="BX53" s="375">
        <f t="shared" si="458"/>
        <v>3</v>
      </c>
      <c r="BY53" s="131">
        <f t="shared" si="458"/>
        <v>1</v>
      </c>
      <c r="BZ53" s="131">
        <f t="shared" si="458"/>
        <v>4</v>
      </c>
      <c r="CA53" s="131">
        <f t="shared" si="458"/>
        <v>3</v>
      </c>
      <c r="CB53" s="131">
        <f t="shared" si="458"/>
        <v>2</v>
      </c>
      <c r="CC53" s="131">
        <f t="shared" si="458"/>
        <v>5</v>
      </c>
      <c r="CD53" s="375">
        <f t="shared" si="458"/>
        <v>6</v>
      </c>
      <c r="CE53" s="131">
        <f t="shared" si="459"/>
        <v>2</v>
      </c>
      <c r="CF53" s="131">
        <f t="shared" si="459"/>
        <v>5</v>
      </c>
      <c r="CG53" s="131">
        <f t="shared" si="459"/>
        <v>1</v>
      </c>
      <c r="CH53" s="131">
        <f t="shared" si="459"/>
        <v>6</v>
      </c>
      <c r="CI53" s="131">
        <f t="shared" si="459"/>
        <v>3</v>
      </c>
      <c r="CJ53" s="375">
        <f t="shared" si="459"/>
        <v>4</v>
      </c>
      <c r="CK53" s="131">
        <f t="shared" si="460"/>
        <v>6</v>
      </c>
      <c r="CL53" s="131">
        <f t="shared" si="460"/>
        <v>1</v>
      </c>
      <c r="CM53" s="131">
        <f t="shared" si="460"/>
        <v>5</v>
      </c>
      <c r="CN53" s="131">
        <f t="shared" si="460"/>
        <v>3</v>
      </c>
      <c r="CO53" s="131">
        <f t="shared" si="460"/>
        <v>4</v>
      </c>
      <c r="CP53" s="375">
        <f t="shared" si="460"/>
        <v>2</v>
      </c>
      <c r="CR53" s="131">
        <f t="shared" si="461"/>
        <v>4</v>
      </c>
      <c r="CS53" s="131">
        <f t="shared" si="461"/>
        <v>2</v>
      </c>
      <c r="CT53" s="131">
        <f t="shared" si="461"/>
        <v>5</v>
      </c>
      <c r="CU53" s="131">
        <f t="shared" si="461"/>
        <v>1</v>
      </c>
      <c r="CV53" s="375">
        <f t="shared" si="461"/>
        <v>3</v>
      </c>
      <c r="CW53" s="131">
        <f t="shared" si="461"/>
        <v>1</v>
      </c>
      <c r="CX53" s="131">
        <f t="shared" si="461"/>
        <v>4</v>
      </c>
      <c r="CY53" s="131">
        <f t="shared" si="461"/>
        <v>3</v>
      </c>
      <c r="CZ53" s="131">
        <f t="shared" si="461"/>
        <v>2</v>
      </c>
      <c r="DA53" s="375">
        <f t="shared" si="461"/>
        <v>5</v>
      </c>
      <c r="DB53" s="131">
        <f t="shared" si="461"/>
        <v>2</v>
      </c>
      <c r="DC53" s="131">
        <f t="shared" si="461"/>
        <v>5</v>
      </c>
      <c r="DD53" s="131">
        <f t="shared" si="461"/>
        <v>1</v>
      </c>
      <c r="DE53" s="131">
        <f t="shared" si="461"/>
        <v>3</v>
      </c>
      <c r="DF53" s="375">
        <f t="shared" si="461"/>
        <v>4</v>
      </c>
      <c r="DG53" s="131">
        <f t="shared" si="462"/>
        <v>1</v>
      </c>
      <c r="DH53" s="131">
        <f t="shared" si="462"/>
        <v>5</v>
      </c>
      <c r="DI53" s="131">
        <f t="shared" si="462"/>
        <v>3</v>
      </c>
      <c r="DJ53" s="131">
        <f t="shared" si="462"/>
        <v>4</v>
      </c>
      <c r="DK53" s="375">
        <f t="shared" si="462"/>
        <v>2</v>
      </c>
      <c r="DT53" s="64" t="str">
        <f t="shared" si="449"/>
        <v>'Distance Input'!</v>
      </c>
      <c r="DU53" s="100" t="s">
        <v>674</v>
      </c>
      <c r="DV53" s="100" t="s">
        <v>219</v>
      </c>
      <c r="DW53" s="64">
        <f t="shared" ca="1" si="288"/>
        <v>59</v>
      </c>
      <c r="DX53" s="64" t="str">
        <f t="shared" ca="1" si="11"/>
        <v>'Distance Input'!J61</v>
      </c>
      <c r="DY53" s="64" t="str">
        <f t="shared" si="394"/>
        <v>'Field'!</v>
      </c>
      <c r="DZ53" s="100" t="s">
        <v>673</v>
      </c>
      <c r="EA53" s="100" t="s">
        <v>218</v>
      </c>
      <c r="EB53" s="100">
        <f t="shared" ca="1" si="289"/>
        <v>79</v>
      </c>
      <c r="EC53" s="64" t="str">
        <f t="shared" ca="1" si="13"/>
        <v>'Field'!R81</v>
      </c>
      <c r="ED53" s="64" t="s">
        <v>694</v>
      </c>
      <c r="EG53" s="65">
        <v>14.3</v>
      </c>
    </row>
    <row r="54" spans="1:137" x14ac:dyDescent="0.35">
      <c r="A54" s="64" t="s">
        <v>299</v>
      </c>
      <c r="B54" s="64" t="s">
        <v>22</v>
      </c>
      <c r="C54" s="64" t="s">
        <v>4</v>
      </c>
      <c r="D54" s="66">
        <v>54</v>
      </c>
      <c r="E54" s="66">
        <v>44</v>
      </c>
      <c r="F54" s="429" t="s">
        <v>1400</v>
      </c>
      <c r="G54" s="430">
        <v>0.60416666666666663</v>
      </c>
      <c r="I54" s="131">
        <f>I19</f>
        <v>7</v>
      </c>
      <c r="J54" s="131">
        <f t="shared" ref="J54:P54" si="463">J19</f>
        <v>1</v>
      </c>
      <c r="K54" s="131">
        <f t="shared" si="463"/>
        <v>5</v>
      </c>
      <c r="L54" s="131">
        <f t="shared" si="463"/>
        <v>4</v>
      </c>
      <c r="M54" s="131">
        <f t="shared" si="463"/>
        <v>6</v>
      </c>
      <c r="N54" s="131">
        <f t="shared" si="463"/>
        <v>2</v>
      </c>
      <c r="O54" s="131">
        <f t="shared" si="463"/>
        <v>8</v>
      </c>
      <c r="P54" s="375">
        <f t="shared" si="463"/>
        <v>3</v>
      </c>
      <c r="Q54" s="131">
        <f>Q19</f>
        <v>6</v>
      </c>
      <c r="R54" s="131">
        <f t="shared" ref="R54:X54" si="464">R19</f>
        <v>5</v>
      </c>
      <c r="S54" s="131">
        <f t="shared" si="464"/>
        <v>2</v>
      </c>
      <c r="T54" s="131">
        <f t="shared" si="464"/>
        <v>1</v>
      </c>
      <c r="U54" s="131">
        <f t="shared" si="464"/>
        <v>8</v>
      </c>
      <c r="V54" s="131">
        <f t="shared" si="464"/>
        <v>3</v>
      </c>
      <c r="W54" s="131">
        <f t="shared" si="464"/>
        <v>7</v>
      </c>
      <c r="X54" s="375">
        <f t="shared" si="464"/>
        <v>4</v>
      </c>
      <c r="Y54" s="131">
        <f>Y19</f>
        <v>8</v>
      </c>
      <c r="Z54" s="131">
        <f t="shared" ref="Z54:AF54" si="465">Z19</f>
        <v>5</v>
      </c>
      <c r="AA54" s="131">
        <f t="shared" si="465"/>
        <v>6</v>
      </c>
      <c r="AB54" s="131">
        <f t="shared" si="465"/>
        <v>3</v>
      </c>
      <c r="AC54" s="131">
        <f t="shared" si="465"/>
        <v>7</v>
      </c>
      <c r="AD54" s="131">
        <f t="shared" si="465"/>
        <v>4</v>
      </c>
      <c r="AE54" s="131">
        <f t="shared" si="465"/>
        <v>2</v>
      </c>
      <c r="AF54" s="375">
        <f t="shared" si="465"/>
        <v>1</v>
      </c>
      <c r="AG54" s="131">
        <f>AG19</f>
        <v>4</v>
      </c>
      <c r="AH54" s="131">
        <f t="shared" ref="AH54:AN54" si="466">AH19</f>
        <v>3</v>
      </c>
      <c r="AI54" s="131">
        <f t="shared" si="466"/>
        <v>7</v>
      </c>
      <c r="AJ54" s="131">
        <f t="shared" si="466"/>
        <v>8</v>
      </c>
      <c r="AK54" s="131">
        <f t="shared" si="466"/>
        <v>5</v>
      </c>
      <c r="AL54" s="131">
        <f t="shared" si="466"/>
        <v>1</v>
      </c>
      <c r="AM54" s="131">
        <f t="shared" si="466"/>
        <v>6</v>
      </c>
      <c r="AN54" s="375">
        <f t="shared" si="466"/>
        <v>2</v>
      </c>
      <c r="AP54" s="131">
        <f t="shared" ref="AP54:BQ54" si="467">AP19</f>
        <v>7</v>
      </c>
      <c r="AQ54" s="131">
        <f t="shared" si="467"/>
        <v>1</v>
      </c>
      <c r="AR54" s="131">
        <f t="shared" si="467"/>
        <v>5</v>
      </c>
      <c r="AS54" s="131">
        <f t="shared" si="467"/>
        <v>4</v>
      </c>
      <c r="AT54" s="131">
        <f t="shared" si="467"/>
        <v>6</v>
      </c>
      <c r="AU54" s="131">
        <f t="shared" si="467"/>
        <v>2</v>
      </c>
      <c r="AV54" s="375">
        <f t="shared" si="467"/>
        <v>3</v>
      </c>
      <c r="AW54" s="131">
        <f t="shared" si="467"/>
        <v>6</v>
      </c>
      <c r="AX54" s="131">
        <f t="shared" si="467"/>
        <v>5</v>
      </c>
      <c r="AY54" s="131">
        <f t="shared" si="467"/>
        <v>2</v>
      </c>
      <c r="AZ54" s="131">
        <f t="shared" si="467"/>
        <v>1</v>
      </c>
      <c r="BA54" s="131">
        <f t="shared" si="467"/>
        <v>3</v>
      </c>
      <c r="BB54" s="131">
        <f t="shared" si="467"/>
        <v>7</v>
      </c>
      <c r="BC54" s="375">
        <f t="shared" si="467"/>
        <v>4</v>
      </c>
      <c r="BD54" s="131">
        <f t="shared" si="467"/>
        <v>5</v>
      </c>
      <c r="BE54" s="131">
        <f t="shared" si="467"/>
        <v>6</v>
      </c>
      <c r="BF54" s="131">
        <f t="shared" si="467"/>
        <v>3</v>
      </c>
      <c r="BG54" s="131">
        <f t="shared" si="467"/>
        <v>7</v>
      </c>
      <c r="BH54" s="131">
        <f t="shared" si="467"/>
        <v>4</v>
      </c>
      <c r="BI54" s="131">
        <f t="shared" si="467"/>
        <v>2</v>
      </c>
      <c r="BJ54" s="375">
        <f t="shared" si="467"/>
        <v>1</v>
      </c>
      <c r="BK54" s="131">
        <f t="shared" si="467"/>
        <v>4</v>
      </c>
      <c r="BL54" s="131">
        <f t="shared" si="467"/>
        <v>3</v>
      </c>
      <c r="BM54" s="131">
        <f t="shared" si="467"/>
        <v>7</v>
      </c>
      <c r="BN54" s="131">
        <f t="shared" si="467"/>
        <v>5</v>
      </c>
      <c r="BO54" s="131">
        <f t="shared" si="467"/>
        <v>1</v>
      </c>
      <c r="BP54" s="131">
        <f t="shared" si="467"/>
        <v>6</v>
      </c>
      <c r="BQ54" s="375">
        <f t="shared" si="467"/>
        <v>2</v>
      </c>
      <c r="BS54" s="131">
        <f t="shared" ref="BS54:CJ54" si="468">BS19</f>
        <v>1</v>
      </c>
      <c r="BT54" s="131">
        <f t="shared" si="468"/>
        <v>5</v>
      </c>
      <c r="BU54" s="131">
        <f t="shared" si="468"/>
        <v>4</v>
      </c>
      <c r="BV54" s="131">
        <f t="shared" si="468"/>
        <v>6</v>
      </c>
      <c r="BW54" s="131">
        <f t="shared" si="468"/>
        <v>2</v>
      </c>
      <c r="BX54" s="375">
        <f t="shared" si="468"/>
        <v>3</v>
      </c>
      <c r="BY54" s="131">
        <f t="shared" si="468"/>
        <v>6</v>
      </c>
      <c r="BZ54" s="131">
        <f t="shared" si="468"/>
        <v>5</v>
      </c>
      <c r="CA54" s="131">
        <f t="shared" si="468"/>
        <v>2</v>
      </c>
      <c r="CB54" s="131">
        <f t="shared" si="468"/>
        <v>1</v>
      </c>
      <c r="CC54" s="131">
        <f t="shared" si="468"/>
        <v>3</v>
      </c>
      <c r="CD54" s="375">
        <f t="shared" si="468"/>
        <v>4</v>
      </c>
      <c r="CE54" s="131">
        <f t="shared" si="468"/>
        <v>5</v>
      </c>
      <c r="CF54" s="131">
        <f t="shared" si="468"/>
        <v>6</v>
      </c>
      <c r="CG54" s="131">
        <f t="shared" si="468"/>
        <v>3</v>
      </c>
      <c r="CH54" s="131">
        <f t="shared" si="468"/>
        <v>4</v>
      </c>
      <c r="CI54" s="131">
        <f t="shared" si="468"/>
        <v>2</v>
      </c>
      <c r="CJ54" s="375">
        <f t="shared" si="468"/>
        <v>1</v>
      </c>
      <c r="CK54" s="131">
        <f t="shared" ref="CK54:CP54" si="469">CK19</f>
        <v>4</v>
      </c>
      <c r="CL54" s="131">
        <f t="shared" si="469"/>
        <v>3</v>
      </c>
      <c r="CM54" s="131">
        <f t="shared" si="469"/>
        <v>5</v>
      </c>
      <c r="CN54" s="131">
        <f t="shared" si="469"/>
        <v>1</v>
      </c>
      <c r="CO54" s="131">
        <f t="shared" si="469"/>
        <v>6</v>
      </c>
      <c r="CP54" s="375">
        <f t="shared" si="469"/>
        <v>2</v>
      </c>
      <c r="CR54" s="131">
        <f t="shared" ref="CR54:DK54" si="470">CR19</f>
        <v>1</v>
      </c>
      <c r="CS54" s="131">
        <f t="shared" si="470"/>
        <v>5</v>
      </c>
      <c r="CT54" s="131">
        <f t="shared" si="470"/>
        <v>4</v>
      </c>
      <c r="CU54" s="131">
        <f t="shared" si="470"/>
        <v>2</v>
      </c>
      <c r="CV54" s="375">
        <f t="shared" si="470"/>
        <v>3</v>
      </c>
      <c r="CW54" s="131">
        <f t="shared" si="470"/>
        <v>5</v>
      </c>
      <c r="CX54" s="131">
        <f t="shared" si="470"/>
        <v>2</v>
      </c>
      <c r="CY54" s="131">
        <f t="shared" si="470"/>
        <v>1</v>
      </c>
      <c r="CZ54" s="131">
        <f t="shared" si="470"/>
        <v>3</v>
      </c>
      <c r="DA54" s="375">
        <f t="shared" si="470"/>
        <v>4</v>
      </c>
      <c r="DB54" s="131">
        <f t="shared" si="470"/>
        <v>5</v>
      </c>
      <c r="DC54" s="131">
        <f t="shared" si="470"/>
        <v>3</v>
      </c>
      <c r="DD54" s="131">
        <f t="shared" si="470"/>
        <v>4</v>
      </c>
      <c r="DE54" s="131">
        <f t="shared" si="470"/>
        <v>2</v>
      </c>
      <c r="DF54" s="375">
        <f t="shared" si="470"/>
        <v>1</v>
      </c>
      <c r="DG54" s="131">
        <f t="shared" si="470"/>
        <v>4</v>
      </c>
      <c r="DH54" s="131">
        <f t="shared" si="470"/>
        <v>3</v>
      </c>
      <c r="DI54" s="131">
        <f t="shared" si="470"/>
        <v>5</v>
      </c>
      <c r="DJ54" s="131">
        <f t="shared" si="470"/>
        <v>1</v>
      </c>
      <c r="DK54" s="375">
        <f t="shared" si="470"/>
        <v>2</v>
      </c>
      <c r="DT54" s="64" t="str">
        <f t="shared" si="449"/>
        <v>'Distance Input'!</v>
      </c>
      <c r="DU54" s="100" t="s">
        <v>675</v>
      </c>
      <c r="DV54" s="100" t="s">
        <v>142</v>
      </c>
      <c r="DW54" s="64">
        <f t="shared" ca="1" si="288"/>
        <v>40</v>
      </c>
      <c r="DX54" s="64" t="str">
        <f t="shared" ca="1" si="11"/>
        <v>'Distance Input'!Q42</v>
      </c>
      <c r="DY54" s="64" t="str">
        <f t="shared" si="394"/>
        <v>'Field'!</v>
      </c>
      <c r="DZ54" s="100" t="s">
        <v>673</v>
      </c>
      <c r="EA54" s="100" t="s">
        <v>218</v>
      </c>
      <c r="EB54" s="100">
        <f t="shared" ca="1" si="289"/>
        <v>156</v>
      </c>
      <c r="EC54" s="64" t="str">
        <f t="shared" ca="1" si="13"/>
        <v>'Field'!R158</v>
      </c>
      <c r="ED54" s="64" t="s">
        <v>701</v>
      </c>
      <c r="EG54" s="65">
        <v>14.3</v>
      </c>
    </row>
    <row r="55" spans="1:137" x14ac:dyDescent="0.35">
      <c r="A55" s="64" t="s">
        <v>241</v>
      </c>
      <c r="B55" s="64" t="s">
        <v>23</v>
      </c>
      <c r="C55" s="64" t="s">
        <v>9</v>
      </c>
      <c r="D55" s="66">
        <v>55</v>
      </c>
      <c r="E55" s="66">
        <v>71</v>
      </c>
      <c r="F55" s="429" t="s">
        <v>1399</v>
      </c>
      <c r="G55" s="430">
        <v>0.60416666666666663</v>
      </c>
      <c r="I55" s="131">
        <f>I$42</f>
        <v>7</v>
      </c>
      <c r="J55" s="131">
        <f t="shared" ref="J55:BU55" si="471">J$42</f>
        <v>6</v>
      </c>
      <c r="K55" s="131">
        <f t="shared" si="471"/>
        <v>4</v>
      </c>
      <c r="L55" s="131">
        <f t="shared" si="471"/>
        <v>2</v>
      </c>
      <c r="M55" s="131">
        <f t="shared" si="471"/>
        <v>5</v>
      </c>
      <c r="N55" s="131">
        <f t="shared" si="471"/>
        <v>1</v>
      </c>
      <c r="O55" s="131">
        <f t="shared" si="471"/>
        <v>8</v>
      </c>
      <c r="P55" s="375">
        <f t="shared" si="471"/>
        <v>3</v>
      </c>
      <c r="Q55" s="131">
        <f>Q$42</f>
        <v>1</v>
      </c>
      <c r="R55" s="131">
        <f t="shared" si="471"/>
        <v>4</v>
      </c>
      <c r="S55" s="131">
        <f t="shared" si="471"/>
        <v>7</v>
      </c>
      <c r="T55" s="131">
        <f t="shared" si="471"/>
        <v>8</v>
      </c>
      <c r="U55" s="131">
        <f t="shared" si="471"/>
        <v>3</v>
      </c>
      <c r="V55" s="131">
        <f t="shared" si="471"/>
        <v>2</v>
      </c>
      <c r="W55" s="131">
        <f t="shared" si="471"/>
        <v>5</v>
      </c>
      <c r="X55" s="375">
        <f t="shared" si="471"/>
        <v>6</v>
      </c>
      <c r="Y55" s="131">
        <f>Y$42</f>
        <v>8</v>
      </c>
      <c r="Z55" s="131">
        <f t="shared" si="471"/>
        <v>2</v>
      </c>
      <c r="AA55" s="131">
        <f t="shared" si="471"/>
        <v>5</v>
      </c>
      <c r="AB55" s="131">
        <f t="shared" si="471"/>
        <v>1</v>
      </c>
      <c r="AC55" s="131">
        <f t="shared" si="471"/>
        <v>6</v>
      </c>
      <c r="AD55" s="131">
        <f t="shared" si="471"/>
        <v>3</v>
      </c>
      <c r="AE55" s="131">
        <f t="shared" si="471"/>
        <v>7</v>
      </c>
      <c r="AF55" s="375">
        <f t="shared" si="471"/>
        <v>4</v>
      </c>
      <c r="AG55" s="131">
        <f>AG$42</f>
        <v>6</v>
      </c>
      <c r="AH55" s="131">
        <f t="shared" si="471"/>
        <v>1</v>
      </c>
      <c r="AI55" s="131">
        <f t="shared" si="471"/>
        <v>5</v>
      </c>
      <c r="AJ55" s="131">
        <f t="shared" si="471"/>
        <v>3</v>
      </c>
      <c r="AK55" s="131">
        <f t="shared" si="471"/>
        <v>7</v>
      </c>
      <c r="AL55" s="131">
        <f t="shared" si="471"/>
        <v>8</v>
      </c>
      <c r="AM55" s="131">
        <f t="shared" si="471"/>
        <v>4</v>
      </c>
      <c r="AN55" s="375">
        <f t="shared" si="471"/>
        <v>2</v>
      </c>
      <c r="AP55" s="131">
        <f t="shared" si="471"/>
        <v>7</v>
      </c>
      <c r="AQ55" s="131">
        <f t="shared" si="471"/>
        <v>6</v>
      </c>
      <c r="AR55" s="131">
        <f t="shared" si="471"/>
        <v>4</v>
      </c>
      <c r="AS55" s="131">
        <f t="shared" si="471"/>
        <v>2</v>
      </c>
      <c r="AT55" s="131">
        <f t="shared" si="471"/>
        <v>5</v>
      </c>
      <c r="AU55" s="131">
        <f t="shared" si="471"/>
        <v>1</v>
      </c>
      <c r="AV55" s="375">
        <f t="shared" si="471"/>
        <v>3</v>
      </c>
      <c r="AW55" s="131">
        <f t="shared" si="471"/>
        <v>1</v>
      </c>
      <c r="AX55" s="131">
        <f t="shared" si="471"/>
        <v>4</v>
      </c>
      <c r="AY55" s="131">
        <f t="shared" si="471"/>
        <v>7</v>
      </c>
      <c r="AZ55" s="131">
        <f t="shared" si="471"/>
        <v>3</v>
      </c>
      <c r="BA55" s="131">
        <f t="shared" si="471"/>
        <v>2</v>
      </c>
      <c r="BB55" s="131">
        <f t="shared" si="471"/>
        <v>5</v>
      </c>
      <c r="BC55" s="375">
        <f t="shared" si="471"/>
        <v>6</v>
      </c>
      <c r="BD55" s="131">
        <f t="shared" si="471"/>
        <v>2</v>
      </c>
      <c r="BE55" s="131">
        <f t="shared" si="471"/>
        <v>5</v>
      </c>
      <c r="BF55" s="131">
        <f t="shared" si="471"/>
        <v>1</v>
      </c>
      <c r="BG55" s="131">
        <f t="shared" si="471"/>
        <v>6</v>
      </c>
      <c r="BH55" s="131">
        <f t="shared" si="471"/>
        <v>3</v>
      </c>
      <c r="BI55" s="131">
        <f t="shared" si="471"/>
        <v>7</v>
      </c>
      <c r="BJ55" s="375">
        <f t="shared" si="471"/>
        <v>4</v>
      </c>
      <c r="BK55" s="131">
        <f t="shared" si="471"/>
        <v>6</v>
      </c>
      <c r="BL55" s="131">
        <f t="shared" si="471"/>
        <v>1</v>
      </c>
      <c r="BM55" s="131">
        <f t="shared" si="471"/>
        <v>5</v>
      </c>
      <c r="BN55" s="131">
        <f t="shared" si="471"/>
        <v>3</v>
      </c>
      <c r="BO55" s="131">
        <f t="shared" si="471"/>
        <v>7</v>
      </c>
      <c r="BP55" s="131">
        <f t="shared" si="471"/>
        <v>4</v>
      </c>
      <c r="BQ55" s="375">
        <f t="shared" si="471"/>
        <v>2</v>
      </c>
      <c r="BS55" s="131">
        <f t="shared" si="471"/>
        <v>6</v>
      </c>
      <c r="BT55" s="131">
        <f t="shared" si="471"/>
        <v>4</v>
      </c>
      <c r="BU55" s="131">
        <f t="shared" si="471"/>
        <v>2</v>
      </c>
      <c r="BV55" s="131">
        <f t="shared" ref="BV55:CJ55" si="472">BV$42</f>
        <v>5</v>
      </c>
      <c r="BW55" s="131">
        <f t="shared" si="472"/>
        <v>1</v>
      </c>
      <c r="BX55" s="375">
        <f t="shared" si="472"/>
        <v>3</v>
      </c>
      <c r="BY55" s="131">
        <f t="shared" si="472"/>
        <v>1</v>
      </c>
      <c r="BZ55" s="131">
        <f t="shared" si="472"/>
        <v>4</v>
      </c>
      <c r="CA55" s="131">
        <f t="shared" si="472"/>
        <v>3</v>
      </c>
      <c r="CB55" s="131">
        <f t="shared" si="472"/>
        <v>2</v>
      </c>
      <c r="CC55" s="131">
        <f t="shared" si="472"/>
        <v>5</v>
      </c>
      <c r="CD55" s="375">
        <f t="shared" si="472"/>
        <v>6</v>
      </c>
      <c r="CE55" s="131">
        <f t="shared" si="472"/>
        <v>2</v>
      </c>
      <c r="CF55" s="131">
        <f t="shared" si="472"/>
        <v>5</v>
      </c>
      <c r="CG55" s="131">
        <f t="shared" si="472"/>
        <v>1</v>
      </c>
      <c r="CH55" s="131">
        <f t="shared" si="472"/>
        <v>6</v>
      </c>
      <c r="CI55" s="131">
        <f t="shared" si="472"/>
        <v>3</v>
      </c>
      <c r="CJ55" s="375">
        <f t="shared" si="472"/>
        <v>4</v>
      </c>
      <c r="CK55" s="131">
        <f t="shared" ref="CK55:CP55" si="473">CK$42</f>
        <v>6</v>
      </c>
      <c r="CL55" s="131">
        <f t="shared" si="473"/>
        <v>1</v>
      </c>
      <c r="CM55" s="131">
        <f t="shared" si="473"/>
        <v>5</v>
      </c>
      <c r="CN55" s="131">
        <f t="shared" si="473"/>
        <v>3</v>
      </c>
      <c r="CO55" s="131">
        <f t="shared" si="473"/>
        <v>4</v>
      </c>
      <c r="CP55" s="375">
        <f t="shared" si="473"/>
        <v>2</v>
      </c>
      <c r="CR55" s="131">
        <f t="shared" ref="CR55:DK55" si="474">CR$42</f>
        <v>4</v>
      </c>
      <c r="CS55" s="131">
        <f t="shared" si="474"/>
        <v>2</v>
      </c>
      <c r="CT55" s="131">
        <f t="shared" si="474"/>
        <v>5</v>
      </c>
      <c r="CU55" s="131">
        <f t="shared" si="474"/>
        <v>1</v>
      </c>
      <c r="CV55" s="375">
        <f t="shared" si="474"/>
        <v>3</v>
      </c>
      <c r="CW55" s="131">
        <f t="shared" si="474"/>
        <v>1</v>
      </c>
      <c r="CX55" s="131">
        <f t="shared" si="474"/>
        <v>4</v>
      </c>
      <c r="CY55" s="131">
        <f t="shared" si="474"/>
        <v>3</v>
      </c>
      <c r="CZ55" s="131">
        <f t="shared" si="474"/>
        <v>2</v>
      </c>
      <c r="DA55" s="375">
        <f t="shared" si="474"/>
        <v>5</v>
      </c>
      <c r="DB55" s="131">
        <f t="shared" si="474"/>
        <v>2</v>
      </c>
      <c r="DC55" s="131">
        <f t="shared" si="474"/>
        <v>5</v>
      </c>
      <c r="DD55" s="131">
        <f t="shared" si="474"/>
        <v>1</v>
      </c>
      <c r="DE55" s="131">
        <f t="shared" si="474"/>
        <v>3</v>
      </c>
      <c r="DF55" s="375">
        <f t="shared" si="474"/>
        <v>4</v>
      </c>
      <c r="DG55" s="131">
        <f t="shared" si="474"/>
        <v>1</v>
      </c>
      <c r="DH55" s="131">
        <f t="shared" si="474"/>
        <v>5</v>
      </c>
      <c r="DI55" s="131">
        <f t="shared" si="474"/>
        <v>3</v>
      </c>
      <c r="DJ55" s="131">
        <f t="shared" si="474"/>
        <v>4</v>
      </c>
      <c r="DK55" s="375">
        <f t="shared" si="474"/>
        <v>2</v>
      </c>
      <c r="DT55" s="64" t="str">
        <f>"'Height Input'!"</f>
        <v>'Height Input'!</v>
      </c>
      <c r="DU55" s="100" t="s">
        <v>677</v>
      </c>
      <c r="DV55" s="100" t="s">
        <v>334</v>
      </c>
      <c r="DW55" s="64">
        <f t="shared" ca="1" si="288"/>
        <v>21</v>
      </c>
      <c r="DX55" s="64" t="str">
        <f t="shared" ca="1" si="11"/>
        <v>'Height Input'!S23</v>
      </c>
      <c r="DY55" s="64" t="str">
        <f t="shared" si="394"/>
        <v>'Field'!</v>
      </c>
      <c r="DZ55" s="100" t="s">
        <v>673</v>
      </c>
      <c r="EA55" s="100" t="s">
        <v>218</v>
      </c>
      <c r="EB55" s="100">
        <f t="shared" ca="1" si="289"/>
        <v>233</v>
      </c>
      <c r="EC55" s="64" t="str">
        <f t="shared" ca="1" si="13"/>
        <v>'Field'!R235</v>
      </c>
      <c r="ED55" s="64" t="s">
        <v>703</v>
      </c>
      <c r="EG55" s="65">
        <v>14.3</v>
      </c>
    </row>
    <row r="56" spans="1:137" x14ac:dyDescent="0.35">
      <c r="A56" s="64" t="s">
        <v>245</v>
      </c>
      <c r="B56" s="64" t="s">
        <v>24</v>
      </c>
      <c r="C56" s="64" t="s">
        <v>6</v>
      </c>
      <c r="D56" s="66">
        <v>56</v>
      </c>
      <c r="E56" s="66">
        <v>93</v>
      </c>
      <c r="F56" s="429" t="s">
        <v>1415</v>
      </c>
      <c r="G56" s="430">
        <v>0.60416666666666663</v>
      </c>
      <c r="I56" s="131">
        <f>I$27</f>
        <v>8</v>
      </c>
      <c r="J56" s="131">
        <f t="shared" ref="J56:BU56" si="475">J$27</f>
        <v>3</v>
      </c>
      <c r="K56" s="131">
        <f t="shared" si="475"/>
        <v>1</v>
      </c>
      <c r="L56" s="131">
        <f t="shared" si="475"/>
        <v>6</v>
      </c>
      <c r="M56" s="131">
        <f t="shared" si="475"/>
        <v>4</v>
      </c>
      <c r="N56" s="131">
        <f t="shared" si="475"/>
        <v>2</v>
      </c>
      <c r="O56" s="131">
        <f t="shared" si="475"/>
        <v>7</v>
      </c>
      <c r="P56" s="375">
        <f t="shared" si="475"/>
        <v>5</v>
      </c>
      <c r="Q56" s="131">
        <f>Q$27</f>
        <v>1</v>
      </c>
      <c r="R56" s="131">
        <f t="shared" si="475"/>
        <v>2</v>
      </c>
      <c r="S56" s="131">
        <f t="shared" si="475"/>
        <v>5</v>
      </c>
      <c r="T56" s="131">
        <f t="shared" si="475"/>
        <v>7</v>
      </c>
      <c r="U56" s="131">
        <f t="shared" si="475"/>
        <v>3</v>
      </c>
      <c r="V56" s="131">
        <f t="shared" si="475"/>
        <v>8</v>
      </c>
      <c r="W56" s="131">
        <f t="shared" si="475"/>
        <v>6</v>
      </c>
      <c r="X56" s="375">
        <f t="shared" si="475"/>
        <v>4</v>
      </c>
      <c r="Y56" s="131">
        <f>Y$27</f>
        <v>7</v>
      </c>
      <c r="Z56" s="131">
        <f t="shared" si="475"/>
        <v>4</v>
      </c>
      <c r="AA56" s="131">
        <f t="shared" si="475"/>
        <v>3</v>
      </c>
      <c r="AB56" s="131">
        <f t="shared" si="475"/>
        <v>8</v>
      </c>
      <c r="AC56" s="131">
        <f t="shared" si="475"/>
        <v>5</v>
      </c>
      <c r="AD56" s="131">
        <f t="shared" si="475"/>
        <v>6</v>
      </c>
      <c r="AE56" s="131">
        <f t="shared" si="475"/>
        <v>1</v>
      </c>
      <c r="AF56" s="375">
        <f t="shared" si="475"/>
        <v>2</v>
      </c>
      <c r="AG56" s="131">
        <f>AG$27</f>
        <v>6</v>
      </c>
      <c r="AH56" s="131">
        <f t="shared" si="475"/>
        <v>5</v>
      </c>
      <c r="AI56" s="131">
        <f t="shared" si="475"/>
        <v>2</v>
      </c>
      <c r="AJ56" s="131">
        <f t="shared" si="475"/>
        <v>1</v>
      </c>
      <c r="AK56" s="131">
        <f t="shared" si="475"/>
        <v>4</v>
      </c>
      <c r="AL56" s="131">
        <f t="shared" si="475"/>
        <v>7</v>
      </c>
      <c r="AM56" s="131">
        <f t="shared" si="475"/>
        <v>8</v>
      </c>
      <c r="AN56" s="375">
        <f t="shared" si="475"/>
        <v>3</v>
      </c>
      <c r="AP56" s="131">
        <f t="shared" si="475"/>
        <v>3</v>
      </c>
      <c r="AQ56" s="131">
        <f t="shared" si="475"/>
        <v>1</v>
      </c>
      <c r="AR56" s="131">
        <f t="shared" si="475"/>
        <v>6</v>
      </c>
      <c r="AS56" s="131">
        <f t="shared" si="475"/>
        <v>4</v>
      </c>
      <c r="AT56" s="131">
        <f t="shared" si="475"/>
        <v>2</v>
      </c>
      <c r="AU56" s="131">
        <f t="shared" si="475"/>
        <v>7</v>
      </c>
      <c r="AV56" s="375">
        <f t="shared" si="475"/>
        <v>5</v>
      </c>
      <c r="AW56" s="131">
        <f t="shared" si="475"/>
        <v>1</v>
      </c>
      <c r="AX56" s="131">
        <f t="shared" si="475"/>
        <v>2</v>
      </c>
      <c r="AY56" s="131">
        <f t="shared" si="475"/>
        <v>5</v>
      </c>
      <c r="AZ56" s="131">
        <f t="shared" si="475"/>
        <v>7</v>
      </c>
      <c r="BA56" s="131">
        <f t="shared" si="475"/>
        <v>3</v>
      </c>
      <c r="BB56" s="131">
        <f t="shared" si="475"/>
        <v>6</v>
      </c>
      <c r="BC56" s="375">
        <f t="shared" si="475"/>
        <v>4</v>
      </c>
      <c r="BD56" s="131">
        <f t="shared" si="475"/>
        <v>7</v>
      </c>
      <c r="BE56" s="131">
        <f t="shared" si="475"/>
        <v>4</v>
      </c>
      <c r="BF56" s="131">
        <f t="shared" si="475"/>
        <v>3</v>
      </c>
      <c r="BG56" s="131">
        <f t="shared" si="475"/>
        <v>5</v>
      </c>
      <c r="BH56" s="131">
        <f t="shared" si="475"/>
        <v>6</v>
      </c>
      <c r="BI56" s="131">
        <f t="shared" si="475"/>
        <v>1</v>
      </c>
      <c r="BJ56" s="375">
        <f t="shared" si="475"/>
        <v>2</v>
      </c>
      <c r="BK56" s="131">
        <f t="shared" si="475"/>
        <v>6</v>
      </c>
      <c r="BL56" s="131">
        <f t="shared" si="475"/>
        <v>5</v>
      </c>
      <c r="BM56" s="131">
        <f t="shared" si="475"/>
        <v>2</v>
      </c>
      <c r="BN56" s="131">
        <f t="shared" si="475"/>
        <v>1</v>
      </c>
      <c r="BO56" s="131">
        <f t="shared" si="475"/>
        <v>4</v>
      </c>
      <c r="BP56" s="131">
        <f t="shared" si="475"/>
        <v>7</v>
      </c>
      <c r="BQ56" s="375">
        <f t="shared" si="475"/>
        <v>3</v>
      </c>
      <c r="BS56" s="131">
        <f t="shared" si="475"/>
        <v>3</v>
      </c>
      <c r="BT56" s="131">
        <f t="shared" si="475"/>
        <v>1</v>
      </c>
      <c r="BU56" s="131">
        <f t="shared" si="475"/>
        <v>6</v>
      </c>
      <c r="BV56" s="131">
        <f t="shared" ref="BV56:CJ56" si="476">BV$27</f>
        <v>4</v>
      </c>
      <c r="BW56" s="131">
        <f t="shared" si="476"/>
        <v>2</v>
      </c>
      <c r="BX56" s="375">
        <f t="shared" si="476"/>
        <v>5</v>
      </c>
      <c r="BY56" s="131">
        <f t="shared" si="476"/>
        <v>1</v>
      </c>
      <c r="BZ56" s="131">
        <f t="shared" si="476"/>
        <v>2</v>
      </c>
      <c r="CA56" s="131">
        <f t="shared" si="476"/>
        <v>5</v>
      </c>
      <c r="CB56" s="131">
        <f t="shared" si="476"/>
        <v>3</v>
      </c>
      <c r="CC56" s="131">
        <f t="shared" si="476"/>
        <v>6</v>
      </c>
      <c r="CD56" s="375">
        <f t="shared" si="476"/>
        <v>4</v>
      </c>
      <c r="CE56" s="131">
        <f t="shared" si="476"/>
        <v>4</v>
      </c>
      <c r="CF56" s="131">
        <f t="shared" si="476"/>
        <v>3</v>
      </c>
      <c r="CG56" s="131">
        <f t="shared" si="476"/>
        <v>5</v>
      </c>
      <c r="CH56" s="131">
        <f t="shared" si="476"/>
        <v>6</v>
      </c>
      <c r="CI56" s="131">
        <f t="shared" si="476"/>
        <v>1</v>
      </c>
      <c r="CJ56" s="375">
        <f t="shared" si="476"/>
        <v>2</v>
      </c>
      <c r="CK56" s="131">
        <f t="shared" ref="CK56:CP56" si="477">CK$27</f>
        <v>6</v>
      </c>
      <c r="CL56" s="131">
        <f t="shared" si="477"/>
        <v>5</v>
      </c>
      <c r="CM56" s="131">
        <f t="shared" si="477"/>
        <v>2</v>
      </c>
      <c r="CN56" s="131">
        <f t="shared" si="477"/>
        <v>1</v>
      </c>
      <c r="CO56" s="131">
        <f t="shared" si="477"/>
        <v>4</v>
      </c>
      <c r="CP56" s="375">
        <f t="shared" si="477"/>
        <v>3</v>
      </c>
      <c r="CR56" s="131">
        <f t="shared" ref="CR56:DK56" si="478">CR$27</f>
        <v>3</v>
      </c>
      <c r="CS56" s="131">
        <f t="shared" si="478"/>
        <v>1</v>
      </c>
      <c r="CT56" s="131">
        <f t="shared" si="478"/>
        <v>4</v>
      </c>
      <c r="CU56" s="131">
        <f t="shared" si="478"/>
        <v>2</v>
      </c>
      <c r="CV56" s="375">
        <f t="shared" si="478"/>
        <v>5</v>
      </c>
      <c r="CW56" s="131">
        <f t="shared" si="478"/>
        <v>1</v>
      </c>
      <c r="CX56" s="131">
        <f t="shared" si="478"/>
        <v>2</v>
      </c>
      <c r="CY56" s="131">
        <f t="shared" si="478"/>
        <v>5</v>
      </c>
      <c r="CZ56" s="131">
        <f t="shared" si="478"/>
        <v>3</v>
      </c>
      <c r="DA56" s="375">
        <f t="shared" si="478"/>
        <v>4</v>
      </c>
      <c r="DB56" s="131">
        <f t="shared" si="478"/>
        <v>4</v>
      </c>
      <c r="DC56" s="131">
        <f t="shared" si="478"/>
        <v>3</v>
      </c>
      <c r="DD56" s="131">
        <f t="shared" si="478"/>
        <v>5</v>
      </c>
      <c r="DE56" s="131">
        <f t="shared" si="478"/>
        <v>1</v>
      </c>
      <c r="DF56" s="375">
        <f t="shared" si="478"/>
        <v>2</v>
      </c>
      <c r="DG56" s="131">
        <f t="shared" si="478"/>
        <v>5</v>
      </c>
      <c r="DH56" s="131">
        <f t="shared" si="478"/>
        <v>2</v>
      </c>
      <c r="DI56" s="131">
        <f t="shared" si="478"/>
        <v>1</v>
      </c>
      <c r="DJ56" s="131">
        <f t="shared" si="478"/>
        <v>4</v>
      </c>
      <c r="DK56" s="375">
        <f t="shared" si="478"/>
        <v>3</v>
      </c>
      <c r="DT56" s="64" t="str">
        <f t="shared" si="449"/>
        <v>'Distance Input'!</v>
      </c>
      <c r="DU56" s="100" t="s">
        <v>673</v>
      </c>
      <c r="DV56" s="100" t="s">
        <v>333</v>
      </c>
      <c r="DW56" s="64">
        <f t="shared" ca="1" si="288"/>
        <v>78</v>
      </c>
      <c r="DX56" s="64" t="str">
        <f t="shared" ca="1" si="11"/>
        <v>'Distance Input'!C80</v>
      </c>
      <c r="DY56" s="64" t="str">
        <f t="shared" si="394"/>
        <v>'Field'!</v>
      </c>
      <c r="DZ56" s="100" t="s">
        <v>673</v>
      </c>
      <c r="EA56" s="100" t="s">
        <v>218</v>
      </c>
      <c r="EB56" s="100">
        <f t="shared" ca="1" si="289"/>
        <v>90</v>
      </c>
      <c r="EC56" s="64" t="str">
        <f t="shared" ca="1" si="13"/>
        <v>'Field'!R92</v>
      </c>
      <c r="ED56" s="64" t="s">
        <v>695</v>
      </c>
      <c r="EG56" s="65">
        <v>14.3</v>
      </c>
    </row>
    <row r="57" spans="1:137" x14ac:dyDescent="0.35">
      <c r="A57" s="64" t="s">
        <v>246</v>
      </c>
      <c r="B57" s="64" t="s">
        <v>28</v>
      </c>
      <c r="C57" s="64" t="s">
        <v>6</v>
      </c>
      <c r="D57" s="66">
        <v>57</v>
      </c>
      <c r="E57" s="66">
        <v>92</v>
      </c>
      <c r="F57" s="429" t="s">
        <v>1418</v>
      </c>
      <c r="G57" s="430">
        <v>0.63194444444444442</v>
      </c>
      <c r="I57" s="131">
        <f>I$42</f>
        <v>7</v>
      </c>
      <c r="J57" s="131">
        <f t="shared" ref="J57:BU57" si="479">J$42</f>
        <v>6</v>
      </c>
      <c r="K57" s="131">
        <f t="shared" si="479"/>
        <v>4</v>
      </c>
      <c r="L57" s="131">
        <f t="shared" si="479"/>
        <v>2</v>
      </c>
      <c r="M57" s="131">
        <f t="shared" si="479"/>
        <v>5</v>
      </c>
      <c r="N57" s="131">
        <f t="shared" si="479"/>
        <v>1</v>
      </c>
      <c r="O57" s="131">
        <f t="shared" si="479"/>
        <v>8</v>
      </c>
      <c r="P57" s="375">
        <f t="shared" si="479"/>
        <v>3</v>
      </c>
      <c r="Q57" s="131">
        <f>Q$42</f>
        <v>1</v>
      </c>
      <c r="R57" s="131">
        <f t="shared" si="479"/>
        <v>4</v>
      </c>
      <c r="S57" s="131">
        <f t="shared" si="479"/>
        <v>7</v>
      </c>
      <c r="T57" s="131">
        <f t="shared" si="479"/>
        <v>8</v>
      </c>
      <c r="U57" s="131">
        <f t="shared" si="479"/>
        <v>3</v>
      </c>
      <c r="V57" s="131">
        <f t="shared" si="479"/>
        <v>2</v>
      </c>
      <c r="W57" s="131">
        <f t="shared" si="479"/>
        <v>5</v>
      </c>
      <c r="X57" s="375">
        <f t="shared" si="479"/>
        <v>6</v>
      </c>
      <c r="Y57" s="131">
        <f>Y$42</f>
        <v>8</v>
      </c>
      <c r="Z57" s="131">
        <f t="shared" si="479"/>
        <v>2</v>
      </c>
      <c r="AA57" s="131">
        <f t="shared" si="479"/>
        <v>5</v>
      </c>
      <c r="AB57" s="131">
        <f t="shared" si="479"/>
        <v>1</v>
      </c>
      <c r="AC57" s="131">
        <f t="shared" si="479"/>
        <v>6</v>
      </c>
      <c r="AD57" s="131">
        <f t="shared" si="479"/>
        <v>3</v>
      </c>
      <c r="AE57" s="131">
        <f t="shared" si="479"/>
        <v>7</v>
      </c>
      <c r="AF57" s="375">
        <f t="shared" si="479"/>
        <v>4</v>
      </c>
      <c r="AG57" s="131">
        <f>AG$42</f>
        <v>6</v>
      </c>
      <c r="AH57" s="131">
        <f t="shared" si="479"/>
        <v>1</v>
      </c>
      <c r="AI57" s="131">
        <f t="shared" si="479"/>
        <v>5</v>
      </c>
      <c r="AJ57" s="131">
        <f t="shared" si="479"/>
        <v>3</v>
      </c>
      <c r="AK57" s="131">
        <f t="shared" si="479"/>
        <v>7</v>
      </c>
      <c r="AL57" s="131">
        <f t="shared" si="479"/>
        <v>8</v>
      </c>
      <c r="AM57" s="131">
        <f t="shared" si="479"/>
        <v>4</v>
      </c>
      <c r="AN57" s="375">
        <f t="shared" si="479"/>
        <v>2</v>
      </c>
      <c r="AP57" s="131">
        <f t="shared" si="479"/>
        <v>7</v>
      </c>
      <c r="AQ57" s="131">
        <f t="shared" si="479"/>
        <v>6</v>
      </c>
      <c r="AR57" s="131">
        <f t="shared" si="479"/>
        <v>4</v>
      </c>
      <c r="AS57" s="131">
        <f t="shared" si="479"/>
        <v>2</v>
      </c>
      <c r="AT57" s="131">
        <f t="shared" si="479"/>
        <v>5</v>
      </c>
      <c r="AU57" s="131">
        <f t="shared" si="479"/>
        <v>1</v>
      </c>
      <c r="AV57" s="375">
        <f t="shared" si="479"/>
        <v>3</v>
      </c>
      <c r="AW57" s="131">
        <f t="shared" si="479"/>
        <v>1</v>
      </c>
      <c r="AX57" s="131">
        <f t="shared" si="479"/>
        <v>4</v>
      </c>
      <c r="AY57" s="131">
        <f t="shared" si="479"/>
        <v>7</v>
      </c>
      <c r="AZ57" s="131">
        <f t="shared" si="479"/>
        <v>3</v>
      </c>
      <c r="BA57" s="131">
        <f t="shared" si="479"/>
        <v>2</v>
      </c>
      <c r="BB57" s="131">
        <f t="shared" si="479"/>
        <v>5</v>
      </c>
      <c r="BC57" s="375">
        <f t="shared" si="479"/>
        <v>6</v>
      </c>
      <c r="BD57" s="131">
        <f t="shared" si="479"/>
        <v>2</v>
      </c>
      <c r="BE57" s="131">
        <f t="shared" si="479"/>
        <v>5</v>
      </c>
      <c r="BF57" s="131">
        <f t="shared" si="479"/>
        <v>1</v>
      </c>
      <c r="BG57" s="131">
        <f t="shared" si="479"/>
        <v>6</v>
      </c>
      <c r="BH57" s="131">
        <f t="shared" si="479"/>
        <v>3</v>
      </c>
      <c r="BI57" s="131">
        <f t="shared" si="479"/>
        <v>7</v>
      </c>
      <c r="BJ57" s="375">
        <f t="shared" si="479"/>
        <v>4</v>
      </c>
      <c r="BK57" s="131">
        <f t="shared" si="479"/>
        <v>6</v>
      </c>
      <c r="BL57" s="131">
        <f t="shared" si="479"/>
        <v>1</v>
      </c>
      <c r="BM57" s="131">
        <f t="shared" si="479"/>
        <v>5</v>
      </c>
      <c r="BN57" s="131">
        <f t="shared" si="479"/>
        <v>3</v>
      </c>
      <c r="BO57" s="131">
        <f t="shared" si="479"/>
        <v>7</v>
      </c>
      <c r="BP57" s="131">
        <f t="shared" si="479"/>
        <v>4</v>
      </c>
      <c r="BQ57" s="375">
        <f t="shared" si="479"/>
        <v>2</v>
      </c>
      <c r="BS57" s="131">
        <f t="shared" si="479"/>
        <v>6</v>
      </c>
      <c r="BT57" s="131">
        <f t="shared" si="479"/>
        <v>4</v>
      </c>
      <c r="BU57" s="131">
        <f t="shared" si="479"/>
        <v>2</v>
      </c>
      <c r="BV57" s="131">
        <f t="shared" ref="BV57:CJ57" si="480">BV$42</f>
        <v>5</v>
      </c>
      <c r="BW57" s="131">
        <f t="shared" si="480"/>
        <v>1</v>
      </c>
      <c r="BX57" s="375">
        <f t="shared" si="480"/>
        <v>3</v>
      </c>
      <c r="BY57" s="131">
        <f t="shared" si="480"/>
        <v>1</v>
      </c>
      <c r="BZ57" s="131">
        <f t="shared" si="480"/>
        <v>4</v>
      </c>
      <c r="CA57" s="131">
        <f t="shared" si="480"/>
        <v>3</v>
      </c>
      <c r="CB57" s="131">
        <f t="shared" si="480"/>
        <v>2</v>
      </c>
      <c r="CC57" s="131">
        <f t="shared" si="480"/>
        <v>5</v>
      </c>
      <c r="CD57" s="375">
        <f t="shared" si="480"/>
        <v>6</v>
      </c>
      <c r="CE57" s="131">
        <f t="shared" si="480"/>
        <v>2</v>
      </c>
      <c r="CF57" s="131">
        <f t="shared" si="480"/>
        <v>5</v>
      </c>
      <c r="CG57" s="131">
        <f t="shared" si="480"/>
        <v>1</v>
      </c>
      <c r="CH57" s="131">
        <f t="shared" si="480"/>
        <v>6</v>
      </c>
      <c r="CI57" s="131">
        <f t="shared" si="480"/>
        <v>3</v>
      </c>
      <c r="CJ57" s="375">
        <f t="shared" si="480"/>
        <v>4</v>
      </c>
      <c r="CK57" s="131">
        <f t="shared" ref="CK57:CP57" si="481">CK$42</f>
        <v>6</v>
      </c>
      <c r="CL57" s="131">
        <f t="shared" si="481"/>
        <v>1</v>
      </c>
      <c r="CM57" s="131">
        <f t="shared" si="481"/>
        <v>5</v>
      </c>
      <c r="CN57" s="131">
        <f t="shared" si="481"/>
        <v>3</v>
      </c>
      <c r="CO57" s="131">
        <f t="shared" si="481"/>
        <v>4</v>
      </c>
      <c r="CP57" s="375">
        <f t="shared" si="481"/>
        <v>2</v>
      </c>
      <c r="CR57" s="131">
        <f t="shared" ref="CR57:DK57" si="482">CR$42</f>
        <v>4</v>
      </c>
      <c r="CS57" s="131">
        <f t="shared" si="482"/>
        <v>2</v>
      </c>
      <c r="CT57" s="131">
        <f t="shared" si="482"/>
        <v>5</v>
      </c>
      <c r="CU57" s="131">
        <f t="shared" si="482"/>
        <v>1</v>
      </c>
      <c r="CV57" s="375">
        <f t="shared" si="482"/>
        <v>3</v>
      </c>
      <c r="CW57" s="131">
        <f t="shared" si="482"/>
        <v>1</v>
      </c>
      <c r="CX57" s="131">
        <f t="shared" si="482"/>
        <v>4</v>
      </c>
      <c r="CY57" s="131">
        <f t="shared" si="482"/>
        <v>3</v>
      </c>
      <c r="CZ57" s="131">
        <f t="shared" si="482"/>
        <v>2</v>
      </c>
      <c r="DA57" s="375">
        <f t="shared" si="482"/>
        <v>5</v>
      </c>
      <c r="DB57" s="131">
        <f t="shared" si="482"/>
        <v>2</v>
      </c>
      <c r="DC57" s="131">
        <f t="shared" si="482"/>
        <v>5</v>
      </c>
      <c r="DD57" s="131">
        <f t="shared" si="482"/>
        <v>1</v>
      </c>
      <c r="DE57" s="131">
        <f t="shared" si="482"/>
        <v>3</v>
      </c>
      <c r="DF57" s="375">
        <f t="shared" si="482"/>
        <v>4</v>
      </c>
      <c r="DG57" s="131">
        <f t="shared" si="482"/>
        <v>1</v>
      </c>
      <c r="DH57" s="131">
        <f t="shared" si="482"/>
        <v>5</v>
      </c>
      <c r="DI57" s="131">
        <f t="shared" si="482"/>
        <v>3</v>
      </c>
      <c r="DJ57" s="131">
        <f t="shared" si="482"/>
        <v>4</v>
      </c>
      <c r="DK57" s="375">
        <f t="shared" si="482"/>
        <v>2</v>
      </c>
      <c r="DT57" s="64" t="str">
        <f t="shared" si="449"/>
        <v>'Distance Input'!</v>
      </c>
      <c r="DU57" s="100" t="s">
        <v>674</v>
      </c>
      <c r="DV57" s="100" t="s">
        <v>219</v>
      </c>
      <c r="DW57" s="64">
        <f t="shared" ca="1" si="288"/>
        <v>78</v>
      </c>
      <c r="DX57" s="64" t="str">
        <f t="shared" ca="1" si="11"/>
        <v>'Distance Input'!J80</v>
      </c>
      <c r="DY57" s="64" t="str">
        <f t="shared" si="394"/>
        <v>'Field'!</v>
      </c>
      <c r="DZ57" s="100" t="s">
        <v>673</v>
      </c>
      <c r="EA57" s="100" t="s">
        <v>218</v>
      </c>
      <c r="EB57" s="100">
        <f t="shared" ca="1" si="289"/>
        <v>101</v>
      </c>
      <c r="EC57" s="64" t="str">
        <f t="shared" ca="1" si="13"/>
        <v>'Field'!R103</v>
      </c>
      <c r="ED57" s="64" t="s">
        <v>696</v>
      </c>
      <c r="EG57" s="65">
        <v>15.1</v>
      </c>
    </row>
    <row r="58" spans="1:137" x14ac:dyDescent="0.35">
      <c r="A58" s="64" t="s">
        <v>300</v>
      </c>
      <c r="B58" s="64" t="s">
        <v>22</v>
      </c>
      <c r="C58" s="64" t="s">
        <v>9</v>
      </c>
      <c r="D58" s="66">
        <v>58</v>
      </c>
      <c r="E58" s="66">
        <v>69</v>
      </c>
      <c r="F58" s="429" t="s">
        <v>1395</v>
      </c>
      <c r="G58" s="430">
        <v>0.64583333333333337</v>
      </c>
      <c r="I58" s="131">
        <f>I19</f>
        <v>7</v>
      </c>
      <c r="J58" s="131">
        <f t="shared" ref="J58:P58" si="483">J19</f>
        <v>1</v>
      </c>
      <c r="K58" s="131">
        <f t="shared" si="483"/>
        <v>5</v>
      </c>
      <c r="L58" s="131">
        <f t="shared" si="483"/>
        <v>4</v>
      </c>
      <c r="M58" s="131">
        <f t="shared" si="483"/>
        <v>6</v>
      </c>
      <c r="N58" s="131">
        <f t="shared" si="483"/>
        <v>2</v>
      </c>
      <c r="O58" s="131">
        <f t="shared" si="483"/>
        <v>8</v>
      </c>
      <c r="P58" s="375">
        <f t="shared" si="483"/>
        <v>3</v>
      </c>
      <c r="Q58" s="131">
        <f>Q19</f>
        <v>6</v>
      </c>
      <c r="R58" s="131">
        <f t="shared" ref="R58:X58" si="484">R19</f>
        <v>5</v>
      </c>
      <c r="S58" s="131">
        <f t="shared" si="484"/>
        <v>2</v>
      </c>
      <c r="T58" s="131">
        <f t="shared" si="484"/>
        <v>1</v>
      </c>
      <c r="U58" s="131">
        <f t="shared" si="484"/>
        <v>8</v>
      </c>
      <c r="V58" s="131">
        <f t="shared" si="484"/>
        <v>3</v>
      </c>
      <c r="W58" s="131">
        <f t="shared" si="484"/>
        <v>7</v>
      </c>
      <c r="X58" s="375">
        <f t="shared" si="484"/>
        <v>4</v>
      </c>
      <c r="Y58" s="131">
        <f>Y19</f>
        <v>8</v>
      </c>
      <c r="Z58" s="131">
        <f t="shared" ref="Z58:AF58" si="485">Z19</f>
        <v>5</v>
      </c>
      <c r="AA58" s="131">
        <f t="shared" si="485"/>
        <v>6</v>
      </c>
      <c r="AB58" s="131">
        <f t="shared" si="485"/>
        <v>3</v>
      </c>
      <c r="AC58" s="131">
        <f t="shared" si="485"/>
        <v>7</v>
      </c>
      <c r="AD58" s="131">
        <f t="shared" si="485"/>
        <v>4</v>
      </c>
      <c r="AE58" s="131">
        <f t="shared" si="485"/>
        <v>2</v>
      </c>
      <c r="AF58" s="375">
        <f t="shared" si="485"/>
        <v>1</v>
      </c>
      <c r="AG58" s="131">
        <f>AG19</f>
        <v>4</v>
      </c>
      <c r="AH58" s="131">
        <f t="shared" ref="AH58:AN58" si="486">AH19</f>
        <v>3</v>
      </c>
      <c r="AI58" s="131">
        <f t="shared" si="486"/>
        <v>7</v>
      </c>
      <c r="AJ58" s="131">
        <f t="shared" si="486"/>
        <v>8</v>
      </c>
      <c r="AK58" s="131">
        <f t="shared" si="486"/>
        <v>5</v>
      </c>
      <c r="AL58" s="131">
        <f t="shared" si="486"/>
        <v>1</v>
      </c>
      <c r="AM58" s="131">
        <f t="shared" si="486"/>
        <v>6</v>
      </c>
      <c r="AN58" s="375">
        <f t="shared" si="486"/>
        <v>2</v>
      </c>
      <c r="AP58" s="131">
        <f t="shared" ref="AP58:BQ58" si="487">AP19</f>
        <v>7</v>
      </c>
      <c r="AQ58" s="131">
        <f t="shared" si="487"/>
        <v>1</v>
      </c>
      <c r="AR58" s="131">
        <f t="shared" si="487"/>
        <v>5</v>
      </c>
      <c r="AS58" s="131">
        <f t="shared" si="487"/>
        <v>4</v>
      </c>
      <c r="AT58" s="131">
        <f t="shared" si="487"/>
        <v>6</v>
      </c>
      <c r="AU58" s="131">
        <f t="shared" si="487"/>
        <v>2</v>
      </c>
      <c r="AV58" s="375">
        <f t="shared" si="487"/>
        <v>3</v>
      </c>
      <c r="AW58" s="131">
        <f t="shared" si="487"/>
        <v>6</v>
      </c>
      <c r="AX58" s="131">
        <f t="shared" si="487"/>
        <v>5</v>
      </c>
      <c r="AY58" s="131">
        <f t="shared" si="487"/>
        <v>2</v>
      </c>
      <c r="AZ58" s="131">
        <f t="shared" si="487"/>
        <v>1</v>
      </c>
      <c r="BA58" s="131">
        <f t="shared" si="487"/>
        <v>3</v>
      </c>
      <c r="BB58" s="131">
        <f t="shared" si="487"/>
        <v>7</v>
      </c>
      <c r="BC58" s="375">
        <f t="shared" si="487"/>
        <v>4</v>
      </c>
      <c r="BD58" s="131">
        <f t="shared" si="487"/>
        <v>5</v>
      </c>
      <c r="BE58" s="131">
        <f t="shared" si="487"/>
        <v>6</v>
      </c>
      <c r="BF58" s="131">
        <f t="shared" si="487"/>
        <v>3</v>
      </c>
      <c r="BG58" s="131">
        <f t="shared" si="487"/>
        <v>7</v>
      </c>
      <c r="BH58" s="131">
        <f t="shared" si="487"/>
        <v>4</v>
      </c>
      <c r="BI58" s="131">
        <f t="shared" si="487"/>
        <v>2</v>
      </c>
      <c r="BJ58" s="375">
        <f t="shared" si="487"/>
        <v>1</v>
      </c>
      <c r="BK58" s="131">
        <f t="shared" si="487"/>
        <v>4</v>
      </c>
      <c r="BL58" s="131">
        <f t="shared" si="487"/>
        <v>3</v>
      </c>
      <c r="BM58" s="131">
        <f t="shared" si="487"/>
        <v>7</v>
      </c>
      <c r="BN58" s="131">
        <f t="shared" si="487"/>
        <v>5</v>
      </c>
      <c r="BO58" s="131">
        <f t="shared" si="487"/>
        <v>1</v>
      </c>
      <c r="BP58" s="131">
        <f t="shared" si="487"/>
        <v>6</v>
      </c>
      <c r="BQ58" s="375">
        <f t="shared" si="487"/>
        <v>2</v>
      </c>
      <c r="BS58" s="131">
        <f t="shared" ref="BS58:CJ58" si="488">BS19</f>
        <v>1</v>
      </c>
      <c r="BT58" s="131">
        <f t="shared" si="488"/>
        <v>5</v>
      </c>
      <c r="BU58" s="131">
        <f t="shared" si="488"/>
        <v>4</v>
      </c>
      <c r="BV58" s="131">
        <f t="shared" si="488"/>
        <v>6</v>
      </c>
      <c r="BW58" s="131">
        <f t="shared" si="488"/>
        <v>2</v>
      </c>
      <c r="BX58" s="375">
        <f t="shared" si="488"/>
        <v>3</v>
      </c>
      <c r="BY58" s="131">
        <f t="shared" si="488"/>
        <v>6</v>
      </c>
      <c r="BZ58" s="131">
        <f t="shared" si="488"/>
        <v>5</v>
      </c>
      <c r="CA58" s="131">
        <f t="shared" si="488"/>
        <v>2</v>
      </c>
      <c r="CB58" s="131">
        <f t="shared" si="488"/>
        <v>1</v>
      </c>
      <c r="CC58" s="131">
        <f t="shared" si="488"/>
        <v>3</v>
      </c>
      <c r="CD58" s="375">
        <f t="shared" si="488"/>
        <v>4</v>
      </c>
      <c r="CE58" s="131">
        <f t="shared" si="488"/>
        <v>5</v>
      </c>
      <c r="CF58" s="131">
        <f t="shared" si="488"/>
        <v>6</v>
      </c>
      <c r="CG58" s="131">
        <f t="shared" si="488"/>
        <v>3</v>
      </c>
      <c r="CH58" s="131">
        <f t="shared" si="488"/>
        <v>4</v>
      </c>
      <c r="CI58" s="131">
        <f t="shared" si="488"/>
        <v>2</v>
      </c>
      <c r="CJ58" s="375">
        <f t="shared" si="488"/>
        <v>1</v>
      </c>
      <c r="CK58" s="131">
        <f t="shared" ref="CK58:CP58" si="489">CK19</f>
        <v>4</v>
      </c>
      <c r="CL58" s="131">
        <f t="shared" si="489"/>
        <v>3</v>
      </c>
      <c r="CM58" s="131">
        <f t="shared" si="489"/>
        <v>5</v>
      </c>
      <c r="CN58" s="131">
        <f t="shared" si="489"/>
        <v>1</v>
      </c>
      <c r="CO58" s="131">
        <f t="shared" si="489"/>
        <v>6</v>
      </c>
      <c r="CP58" s="375">
        <f t="shared" si="489"/>
        <v>2</v>
      </c>
      <c r="CR58" s="131">
        <f t="shared" ref="CR58:DK58" si="490">CR19</f>
        <v>1</v>
      </c>
      <c r="CS58" s="131">
        <f t="shared" si="490"/>
        <v>5</v>
      </c>
      <c r="CT58" s="131">
        <f t="shared" si="490"/>
        <v>4</v>
      </c>
      <c r="CU58" s="131">
        <f t="shared" si="490"/>
        <v>2</v>
      </c>
      <c r="CV58" s="375">
        <f t="shared" si="490"/>
        <v>3</v>
      </c>
      <c r="CW58" s="131">
        <f t="shared" si="490"/>
        <v>5</v>
      </c>
      <c r="CX58" s="131">
        <f t="shared" si="490"/>
        <v>2</v>
      </c>
      <c r="CY58" s="131">
        <f t="shared" si="490"/>
        <v>1</v>
      </c>
      <c r="CZ58" s="131">
        <f t="shared" si="490"/>
        <v>3</v>
      </c>
      <c r="DA58" s="375">
        <f t="shared" si="490"/>
        <v>4</v>
      </c>
      <c r="DB58" s="131">
        <f t="shared" si="490"/>
        <v>5</v>
      </c>
      <c r="DC58" s="131">
        <f t="shared" si="490"/>
        <v>3</v>
      </c>
      <c r="DD58" s="131">
        <f t="shared" si="490"/>
        <v>4</v>
      </c>
      <c r="DE58" s="131">
        <f t="shared" si="490"/>
        <v>2</v>
      </c>
      <c r="DF58" s="375">
        <f t="shared" si="490"/>
        <v>1</v>
      </c>
      <c r="DG58" s="131">
        <f t="shared" si="490"/>
        <v>4</v>
      </c>
      <c r="DH58" s="131">
        <f t="shared" si="490"/>
        <v>3</v>
      </c>
      <c r="DI58" s="131">
        <f t="shared" si="490"/>
        <v>5</v>
      </c>
      <c r="DJ58" s="131">
        <f t="shared" si="490"/>
        <v>1</v>
      </c>
      <c r="DK58" s="375">
        <f t="shared" si="490"/>
        <v>2</v>
      </c>
      <c r="DT58" s="64" t="str">
        <f t="shared" si="449"/>
        <v>'Distance Input'!</v>
      </c>
      <c r="DU58" s="100" t="s">
        <v>675</v>
      </c>
      <c r="DV58" s="100" t="s">
        <v>142</v>
      </c>
      <c r="DW58" s="64">
        <f t="shared" ca="1" si="288"/>
        <v>59</v>
      </c>
      <c r="DX58" s="64" t="str">
        <f t="shared" ca="1" si="11"/>
        <v>'Distance Input'!Q61</v>
      </c>
      <c r="DY58" s="64" t="str">
        <f t="shared" si="394"/>
        <v>'Field'!</v>
      </c>
      <c r="DZ58" s="100" t="s">
        <v>673</v>
      </c>
      <c r="EA58" s="100" t="s">
        <v>218</v>
      </c>
      <c r="EB58" s="100">
        <f t="shared" ca="1" si="289"/>
        <v>167</v>
      </c>
      <c r="EC58" s="64" t="str">
        <f t="shared" ca="1" si="13"/>
        <v>'Field'!R169</v>
      </c>
      <c r="ED58" s="64" t="s">
        <v>702</v>
      </c>
      <c r="EG58" s="65">
        <v>15.3</v>
      </c>
    </row>
    <row r="59" spans="1:137" x14ac:dyDescent="0.35">
      <c r="A59" s="64" t="s">
        <v>247</v>
      </c>
      <c r="B59" s="64" t="s">
        <v>24</v>
      </c>
      <c r="C59" s="64" t="s">
        <v>7</v>
      </c>
      <c r="D59" s="66">
        <v>59</v>
      </c>
      <c r="E59" s="66">
        <v>18</v>
      </c>
      <c r="F59" s="429" t="s">
        <v>1399</v>
      </c>
      <c r="G59" s="430">
        <v>0.64583333333333337</v>
      </c>
      <c r="I59" s="131">
        <f>I$27</f>
        <v>8</v>
      </c>
      <c r="J59" s="131">
        <f t="shared" ref="J59:BU59" si="491">J$27</f>
        <v>3</v>
      </c>
      <c r="K59" s="131">
        <f t="shared" si="491"/>
        <v>1</v>
      </c>
      <c r="L59" s="131">
        <f t="shared" si="491"/>
        <v>6</v>
      </c>
      <c r="M59" s="131">
        <f t="shared" si="491"/>
        <v>4</v>
      </c>
      <c r="N59" s="131">
        <f t="shared" si="491"/>
        <v>2</v>
      </c>
      <c r="O59" s="131">
        <f t="shared" si="491"/>
        <v>7</v>
      </c>
      <c r="P59" s="375">
        <f t="shared" si="491"/>
        <v>5</v>
      </c>
      <c r="Q59" s="131">
        <f>Q$27</f>
        <v>1</v>
      </c>
      <c r="R59" s="131">
        <f t="shared" si="491"/>
        <v>2</v>
      </c>
      <c r="S59" s="131">
        <f t="shared" si="491"/>
        <v>5</v>
      </c>
      <c r="T59" s="131">
        <f t="shared" si="491"/>
        <v>7</v>
      </c>
      <c r="U59" s="131">
        <f t="shared" si="491"/>
        <v>3</v>
      </c>
      <c r="V59" s="131">
        <f t="shared" si="491"/>
        <v>8</v>
      </c>
      <c r="W59" s="131">
        <f t="shared" si="491"/>
        <v>6</v>
      </c>
      <c r="X59" s="375">
        <f t="shared" si="491"/>
        <v>4</v>
      </c>
      <c r="Y59" s="131">
        <f>Y$27</f>
        <v>7</v>
      </c>
      <c r="Z59" s="131">
        <f t="shared" si="491"/>
        <v>4</v>
      </c>
      <c r="AA59" s="131">
        <f t="shared" si="491"/>
        <v>3</v>
      </c>
      <c r="AB59" s="131">
        <f t="shared" si="491"/>
        <v>8</v>
      </c>
      <c r="AC59" s="131">
        <f t="shared" si="491"/>
        <v>5</v>
      </c>
      <c r="AD59" s="131">
        <f t="shared" si="491"/>
        <v>6</v>
      </c>
      <c r="AE59" s="131">
        <f t="shared" si="491"/>
        <v>1</v>
      </c>
      <c r="AF59" s="375">
        <f t="shared" si="491"/>
        <v>2</v>
      </c>
      <c r="AG59" s="131">
        <f>AG$27</f>
        <v>6</v>
      </c>
      <c r="AH59" s="131">
        <f t="shared" si="491"/>
        <v>5</v>
      </c>
      <c r="AI59" s="131">
        <f t="shared" si="491"/>
        <v>2</v>
      </c>
      <c r="AJ59" s="131">
        <f t="shared" si="491"/>
        <v>1</v>
      </c>
      <c r="AK59" s="131">
        <f t="shared" si="491"/>
        <v>4</v>
      </c>
      <c r="AL59" s="131">
        <f t="shared" si="491"/>
        <v>7</v>
      </c>
      <c r="AM59" s="131">
        <f t="shared" si="491"/>
        <v>8</v>
      </c>
      <c r="AN59" s="375">
        <f t="shared" si="491"/>
        <v>3</v>
      </c>
      <c r="AP59" s="131">
        <f t="shared" si="491"/>
        <v>3</v>
      </c>
      <c r="AQ59" s="131">
        <f t="shared" si="491"/>
        <v>1</v>
      </c>
      <c r="AR59" s="131">
        <f t="shared" si="491"/>
        <v>6</v>
      </c>
      <c r="AS59" s="131">
        <f t="shared" si="491"/>
        <v>4</v>
      </c>
      <c r="AT59" s="131">
        <f t="shared" si="491"/>
        <v>2</v>
      </c>
      <c r="AU59" s="131">
        <f t="shared" si="491"/>
        <v>7</v>
      </c>
      <c r="AV59" s="375">
        <f t="shared" si="491"/>
        <v>5</v>
      </c>
      <c r="AW59" s="131">
        <f t="shared" si="491"/>
        <v>1</v>
      </c>
      <c r="AX59" s="131">
        <f t="shared" si="491"/>
        <v>2</v>
      </c>
      <c r="AY59" s="131">
        <f t="shared" si="491"/>
        <v>5</v>
      </c>
      <c r="AZ59" s="131">
        <f t="shared" si="491"/>
        <v>7</v>
      </c>
      <c r="BA59" s="131">
        <f t="shared" si="491"/>
        <v>3</v>
      </c>
      <c r="BB59" s="131">
        <f t="shared" si="491"/>
        <v>6</v>
      </c>
      <c r="BC59" s="375">
        <f t="shared" si="491"/>
        <v>4</v>
      </c>
      <c r="BD59" s="131">
        <f t="shared" si="491"/>
        <v>7</v>
      </c>
      <c r="BE59" s="131">
        <f t="shared" si="491"/>
        <v>4</v>
      </c>
      <c r="BF59" s="131">
        <f t="shared" si="491"/>
        <v>3</v>
      </c>
      <c r="BG59" s="131">
        <f t="shared" si="491"/>
        <v>5</v>
      </c>
      <c r="BH59" s="131">
        <f t="shared" si="491"/>
        <v>6</v>
      </c>
      <c r="BI59" s="131">
        <f t="shared" si="491"/>
        <v>1</v>
      </c>
      <c r="BJ59" s="375">
        <f t="shared" si="491"/>
        <v>2</v>
      </c>
      <c r="BK59" s="131">
        <f t="shared" si="491"/>
        <v>6</v>
      </c>
      <c r="BL59" s="131">
        <f t="shared" si="491"/>
        <v>5</v>
      </c>
      <c r="BM59" s="131">
        <f t="shared" si="491"/>
        <v>2</v>
      </c>
      <c r="BN59" s="131">
        <f t="shared" si="491"/>
        <v>1</v>
      </c>
      <c r="BO59" s="131">
        <f t="shared" si="491"/>
        <v>4</v>
      </c>
      <c r="BP59" s="131">
        <f t="shared" si="491"/>
        <v>7</v>
      </c>
      <c r="BQ59" s="375">
        <f t="shared" si="491"/>
        <v>3</v>
      </c>
      <c r="BS59" s="131">
        <f t="shared" si="491"/>
        <v>3</v>
      </c>
      <c r="BT59" s="131">
        <f t="shared" si="491"/>
        <v>1</v>
      </c>
      <c r="BU59" s="131">
        <f t="shared" si="491"/>
        <v>6</v>
      </c>
      <c r="BV59" s="131">
        <f t="shared" ref="BV59:CJ59" si="492">BV$27</f>
        <v>4</v>
      </c>
      <c r="BW59" s="131">
        <f t="shared" si="492"/>
        <v>2</v>
      </c>
      <c r="BX59" s="375">
        <f t="shared" si="492"/>
        <v>5</v>
      </c>
      <c r="BY59" s="131">
        <f t="shared" si="492"/>
        <v>1</v>
      </c>
      <c r="BZ59" s="131">
        <f t="shared" si="492"/>
        <v>2</v>
      </c>
      <c r="CA59" s="131">
        <f t="shared" si="492"/>
        <v>5</v>
      </c>
      <c r="CB59" s="131">
        <f t="shared" si="492"/>
        <v>3</v>
      </c>
      <c r="CC59" s="131">
        <f t="shared" si="492"/>
        <v>6</v>
      </c>
      <c r="CD59" s="375">
        <f t="shared" si="492"/>
        <v>4</v>
      </c>
      <c r="CE59" s="131">
        <f t="shared" si="492"/>
        <v>4</v>
      </c>
      <c r="CF59" s="131">
        <f t="shared" si="492"/>
        <v>3</v>
      </c>
      <c r="CG59" s="131">
        <f t="shared" si="492"/>
        <v>5</v>
      </c>
      <c r="CH59" s="131">
        <f t="shared" si="492"/>
        <v>6</v>
      </c>
      <c r="CI59" s="131">
        <f t="shared" si="492"/>
        <v>1</v>
      </c>
      <c r="CJ59" s="375">
        <f t="shared" si="492"/>
        <v>2</v>
      </c>
      <c r="CK59" s="131">
        <f t="shared" ref="CK59:CP59" si="493">CK$27</f>
        <v>6</v>
      </c>
      <c r="CL59" s="131">
        <f t="shared" si="493"/>
        <v>5</v>
      </c>
      <c r="CM59" s="131">
        <f t="shared" si="493"/>
        <v>2</v>
      </c>
      <c r="CN59" s="131">
        <f t="shared" si="493"/>
        <v>1</v>
      </c>
      <c r="CO59" s="131">
        <f t="shared" si="493"/>
        <v>4</v>
      </c>
      <c r="CP59" s="375">
        <f t="shared" si="493"/>
        <v>3</v>
      </c>
      <c r="CR59" s="131">
        <f t="shared" ref="CR59:DK59" si="494">CR$27</f>
        <v>3</v>
      </c>
      <c r="CS59" s="131">
        <f t="shared" si="494"/>
        <v>1</v>
      </c>
      <c r="CT59" s="131">
        <f t="shared" si="494"/>
        <v>4</v>
      </c>
      <c r="CU59" s="131">
        <f t="shared" si="494"/>
        <v>2</v>
      </c>
      <c r="CV59" s="375">
        <f t="shared" si="494"/>
        <v>5</v>
      </c>
      <c r="CW59" s="131">
        <f t="shared" si="494"/>
        <v>1</v>
      </c>
      <c r="CX59" s="131">
        <f t="shared" si="494"/>
        <v>2</v>
      </c>
      <c r="CY59" s="131">
        <f t="shared" si="494"/>
        <v>5</v>
      </c>
      <c r="CZ59" s="131">
        <f t="shared" si="494"/>
        <v>3</v>
      </c>
      <c r="DA59" s="375">
        <f t="shared" si="494"/>
        <v>4</v>
      </c>
      <c r="DB59" s="131">
        <f t="shared" si="494"/>
        <v>4</v>
      </c>
      <c r="DC59" s="131">
        <f t="shared" si="494"/>
        <v>3</v>
      </c>
      <c r="DD59" s="131">
        <f t="shared" si="494"/>
        <v>5</v>
      </c>
      <c r="DE59" s="131">
        <f t="shared" si="494"/>
        <v>1</v>
      </c>
      <c r="DF59" s="375">
        <f t="shared" si="494"/>
        <v>2</v>
      </c>
      <c r="DG59" s="131">
        <f t="shared" si="494"/>
        <v>5</v>
      </c>
      <c r="DH59" s="131">
        <f t="shared" si="494"/>
        <v>2</v>
      </c>
      <c r="DI59" s="131">
        <f t="shared" si="494"/>
        <v>1</v>
      </c>
      <c r="DJ59" s="131">
        <f t="shared" si="494"/>
        <v>4</v>
      </c>
      <c r="DK59" s="375">
        <f t="shared" si="494"/>
        <v>3</v>
      </c>
      <c r="DT59" s="64" t="str">
        <f t="shared" si="449"/>
        <v>'Distance Input'!</v>
      </c>
      <c r="DU59" s="100" t="s">
        <v>673</v>
      </c>
      <c r="DV59" s="100" t="s">
        <v>333</v>
      </c>
      <c r="DW59" s="64">
        <f t="shared" ca="1" si="288"/>
        <v>97</v>
      </c>
      <c r="DX59" s="64" t="str">
        <f t="shared" ca="1" si="11"/>
        <v>'Distance Input'!C99</v>
      </c>
      <c r="DY59" s="64" t="str">
        <f t="shared" si="394"/>
        <v>'Field'!</v>
      </c>
      <c r="DZ59" s="100" t="s">
        <v>673</v>
      </c>
      <c r="EA59" s="100" t="s">
        <v>218</v>
      </c>
      <c r="EB59" s="100">
        <f t="shared" ca="1" si="289"/>
        <v>112</v>
      </c>
      <c r="EC59" s="64" t="str">
        <f t="shared" ca="1" si="13"/>
        <v>'Field'!R114</v>
      </c>
      <c r="ED59" s="64" t="s">
        <v>697</v>
      </c>
      <c r="EG59" s="65">
        <v>15.3</v>
      </c>
    </row>
    <row r="60" spans="1:137" x14ac:dyDescent="0.35">
      <c r="A60" s="64" t="s">
        <v>248</v>
      </c>
      <c r="B60" s="64" t="s">
        <v>28</v>
      </c>
      <c r="C60" s="64" t="s">
        <v>4</v>
      </c>
      <c r="D60" s="66">
        <v>60</v>
      </c>
      <c r="E60" s="66">
        <v>42</v>
      </c>
      <c r="F60" s="429" t="s">
        <v>1405</v>
      </c>
      <c r="G60" s="430">
        <v>0.65972222222222221</v>
      </c>
      <c r="I60" s="131">
        <f>I$42</f>
        <v>7</v>
      </c>
      <c r="J60" s="131">
        <f t="shared" ref="J60:BU60" si="495">J$42</f>
        <v>6</v>
      </c>
      <c r="K60" s="131">
        <f t="shared" si="495"/>
        <v>4</v>
      </c>
      <c r="L60" s="131">
        <f t="shared" si="495"/>
        <v>2</v>
      </c>
      <c r="M60" s="131">
        <f t="shared" si="495"/>
        <v>5</v>
      </c>
      <c r="N60" s="131">
        <f t="shared" si="495"/>
        <v>1</v>
      </c>
      <c r="O60" s="131">
        <f t="shared" si="495"/>
        <v>8</v>
      </c>
      <c r="P60" s="375">
        <f t="shared" si="495"/>
        <v>3</v>
      </c>
      <c r="Q60" s="131">
        <f>Q$42</f>
        <v>1</v>
      </c>
      <c r="R60" s="131">
        <f t="shared" si="495"/>
        <v>4</v>
      </c>
      <c r="S60" s="131">
        <f t="shared" si="495"/>
        <v>7</v>
      </c>
      <c r="T60" s="131">
        <f t="shared" si="495"/>
        <v>8</v>
      </c>
      <c r="U60" s="131">
        <f t="shared" si="495"/>
        <v>3</v>
      </c>
      <c r="V60" s="131">
        <f t="shared" si="495"/>
        <v>2</v>
      </c>
      <c r="W60" s="131">
        <f t="shared" si="495"/>
        <v>5</v>
      </c>
      <c r="X60" s="375">
        <f t="shared" si="495"/>
        <v>6</v>
      </c>
      <c r="Y60" s="131">
        <f>Y$42</f>
        <v>8</v>
      </c>
      <c r="Z60" s="131">
        <f t="shared" si="495"/>
        <v>2</v>
      </c>
      <c r="AA60" s="131">
        <f t="shared" si="495"/>
        <v>5</v>
      </c>
      <c r="AB60" s="131">
        <f t="shared" si="495"/>
        <v>1</v>
      </c>
      <c r="AC60" s="131">
        <f t="shared" si="495"/>
        <v>6</v>
      </c>
      <c r="AD60" s="131">
        <f t="shared" si="495"/>
        <v>3</v>
      </c>
      <c r="AE60" s="131">
        <f t="shared" si="495"/>
        <v>7</v>
      </c>
      <c r="AF60" s="375">
        <f t="shared" si="495"/>
        <v>4</v>
      </c>
      <c r="AG60" s="131">
        <f>AG$42</f>
        <v>6</v>
      </c>
      <c r="AH60" s="131">
        <f t="shared" si="495"/>
        <v>1</v>
      </c>
      <c r="AI60" s="131">
        <f t="shared" si="495"/>
        <v>5</v>
      </c>
      <c r="AJ60" s="131">
        <f t="shared" si="495"/>
        <v>3</v>
      </c>
      <c r="AK60" s="131">
        <f t="shared" si="495"/>
        <v>7</v>
      </c>
      <c r="AL60" s="131">
        <f t="shared" si="495"/>
        <v>8</v>
      </c>
      <c r="AM60" s="131">
        <f t="shared" si="495"/>
        <v>4</v>
      </c>
      <c r="AN60" s="375">
        <f t="shared" si="495"/>
        <v>2</v>
      </c>
      <c r="AP60" s="131">
        <f t="shared" si="495"/>
        <v>7</v>
      </c>
      <c r="AQ60" s="131">
        <f t="shared" si="495"/>
        <v>6</v>
      </c>
      <c r="AR60" s="131">
        <f t="shared" si="495"/>
        <v>4</v>
      </c>
      <c r="AS60" s="131">
        <f t="shared" si="495"/>
        <v>2</v>
      </c>
      <c r="AT60" s="131">
        <f t="shared" si="495"/>
        <v>5</v>
      </c>
      <c r="AU60" s="131">
        <f t="shared" si="495"/>
        <v>1</v>
      </c>
      <c r="AV60" s="375">
        <f t="shared" si="495"/>
        <v>3</v>
      </c>
      <c r="AW60" s="131">
        <f t="shared" si="495"/>
        <v>1</v>
      </c>
      <c r="AX60" s="131">
        <f t="shared" si="495"/>
        <v>4</v>
      </c>
      <c r="AY60" s="131">
        <f t="shared" si="495"/>
        <v>7</v>
      </c>
      <c r="AZ60" s="131">
        <f t="shared" si="495"/>
        <v>3</v>
      </c>
      <c r="BA60" s="131">
        <f t="shared" si="495"/>
        <v>2</v>
      </c>
      <c r="BB60" s="131">
        <f t="shared" si="495"/>
        <v>5</v>
      </c>
      <c r="BC60" s="375">
        <f t="shared" si="495"/>
        <v>6</v>
      </c>
      <c r="BD60" s="131">
        <f t="shared" si="495"/>
        <v>2</v>
      </c>
      <c r="BE60" s="131">
        <f t="shared" si="495"/>
        <v>5</v>
      </c>
      <c r="BF60" s="131">
        <f t="shared" si="495"/>
        <v>1</v>
      </c>
      <c r="BG60" s="131">
        <f t="shared" si="495"/>
        <v>6</v>
      </c>
      <c r="BH60" s="131">
        <f t="shared" si="495"/>
        <v>3</v>
      </c>
      <c r="BI60" s="131">
        <f t="shared" si="495"/>
        <v>7</v>
      </c>
      <c r="BJ60" s="375">
        <f t="shared" si="495"/>
        <v>4</v>
      </c>
      <c r="BK60" s="131">
        <f t="shared" si="495"/>
        <v>6</v>
      </c>
      <c r="BL60" s="131">
        <f t="shared" si="495"/>
        <v>1</v>
      </c>
      <c r="BM60" s="131">
        <f t="shared" si="495"/>
        <v>5</v>
      </c>
      <c r="BN60" s="131">
        <f t="shared" si="495"/>
        <v>3</v>
      </c>
      <c r="BO60" s="131">
        <f t="shared" si="495"/>
        <v>7</v>
      </c>
      <c r="BP60" s="131">
        <f t="shared" si="495"/>
        <v>4</v>
      </c>
      <c r="BQ60" s="375">
        <f t="shared" si="495"/>
        <v>2</v>
      </c>
      <c r="BS60" s="131">
        <f t="shared" si="495"/>
        <v>6</v>
      </c>
      <c r="BT60" s="131">
        <f t="shared" si="495"/>
        <v>4</v>
      </c>
      <c r="BU60" s="131">
        <f t="shared" si="495"/>
        <v>2</v>
      </c>
      <c r="BV60" s="131">
        <f t="shared" ref="BV60:CJ60" si="496">BV$42</f>
        <v>5</v>
      </c>
      <c r="BW60" s="131">
        <f t="shared" si="496"/>
        <v>1</v>
      </c>
      <c r="BX60" s="375">
        <f t="shared" si="496"/>
        <v>3</v>
      </c>
      <c r="BY60" s="131">
        <f t="shared" si="496"/>
        <v>1</v>
      </c>
      <c r="BZ60" s="131">
        <f t="shared" si="496"/>
        <v>4</v>
      </c>
      <c r="CA60" s="131">
        <f t="shared" si="496"/>
        <v>3</v>
      </c>
      <c r="CB60" s="131">
        <f t="shared" si="496"/>
        <v>2</v>
      </c>
      <c r="CC60" s="131">
        <f t="shared" si="496"/>
        <v>5</v>
      </c>
      <c r="CD60" s="375">
        <f t="shared" si="496"/>
        <v>6</v>
      </c>
      <c r="CE60" s="131">
        <f t="shared" si="496"/>
        <v>2</v>
      </c>
      <c r="CF60" s="131">
        <f t="shared" si="496"/>
        <v>5</v>
      </c>
      <c r="CG60" s="131">
        <f t="shared" si="496"/>
        <v>1</v>
      </c>
      <c r="CH60" s="131">
        <f t="shared" si="496"/>
        <v>6</v>
      </c>
      <c r="CI60" s="131">
        <f t="shared" si="496"/>
        <v>3</v>
      </c>
      <c r="CJ60" s="375">
        <f t="shared" si="496"/>
        <v>4</v>
      </c>
      <c r="CK60" s="131">
        <f t="shared" ref="CK60:CP60" si="497">CK$42</f>
        <v>6</v>
      </c>
      <c r="CL60" s="131">
        <f t="shared" si="497"/>
        <v>1</v>
      </c>
      <c r="CM60" s="131">
        <f t="shared" si="497"/>
        <v>5</v>
      </c>
      <c r="CN60" s="131">
        <f t="shared" si="497"/>
        <v>3</v>
      </c>
      <c r="CO60" s="131">
        <f t="shared" si="497"/>
        <v>4</v>
      </c>
      <c r="CP60" s="375">
        <f t="shared" si="497"/>
        <v>2</v>
      </c>
      <c r="CR60" s="131">
        <f t="shared" ref="CR60:DK60" si="498">CR$42</f>
        <v>4</v>
      </c>
      <c r="CS60" s="131">
        <f t="shared" si="498"/>
        <v>2</v>
      </c>
      <c r="CT60" s="131">
        <f t="shared" si="498"/>
        <v>5</v>
      </c>
      <c r="CU60" s="131">
        <f t="shared" si="498"/>
        <v>1</v>
      </c>
      <c r="CV60" s="375">
        <f t="shared" si="498"/>
        <v>3</v>
      </c>
      <c r="CW60" s="131">
        <f t="shared" si="498"/>
        <v>1</v>
      </c>
      <c r="CX60" s="131">
        <f t="shared" si="498"/>
        <v>4</v>
      </c>
      <c r="CY60" s="131">
        <f t="shared" si="498"/>
        <v>3</v>
      </c>
      <c r="CZ60" s="131">
        <f t="shared" si="498"/>
        <v>2</v>
      </c>
      <c r="DA60" s="375">
        <f t="shared" si="498"/>
        <v>5</v>
      </c>
      <c r="DB60" s="131">
        <f t="shared" si="498"/>
        <v>2</v>
      </c>
      <c r="DC60" s="131">
        <f t="shared" si="498"/>
        <v>5</v>
      </c>
      <c r="DD60" s="131">
        <f t="shared" si="498"/>
        <v>1</v>
      </c>
      <c r="DE60" s="131">
        <f t="shared" si="498"/>
        <v>3</v>
      </c>
      <c r="DF60" s="375">
        <f t="shared" si="498"/>
        <v>4</v>
      </c>
      <c r="DG60" s="131">
        <f t="shared" si="498"/>
        <v>1</v>
      </c>
      <c r="DH60" s="131">
        <f t="shared" si="498"/>
        <v>5</v>
      </c>
      <c r="DI60" s="131">
        <f t="shared" si="498"/>
        <v>3</v>
      </c>
      <c r="DJ60" s="131">
        <f t="shared" si="498"/>
        <v>4</v>
      </c>
      <c r="DK60" s="375">
        <f t="shared" si="498"/>
        <v>2</v>
      </c>
      <c r="DT60" s="64" t="str">
        <f t="shared" si="449"/>
        <v>'Distance Input'!</v>
      </c>
      <c r="DU60" s="100" t="s">
        <v>674</v>
      </c>
      <c r="DV60" s="100" t="s">
        <v>219</v>
      </c>
      <c r="DW60" s="64">
        <f t="shared" ca="1" si="288"/>
        <v>97</v>
      </c>
      <c r="DX60" s="64" t="str">
        <f t="shared" ca="1" si="11"/>
        <v>'Distance Input'!J99</v>
      </c>
      <c r="DY60" s="64" t="str">
        <f t="shared" si="394"/>
        <v>'Field'!</v>
      </c>
      <c r="DZ60" s="100" t="s">
        <v>673</v>
      </c>
      <c r="EA60" s="100" t="s">
        <v>218</v>
      </c>
      <c r="EB60" s="100">
        <f t="shared" ca="1" si="289"/>
        <v>123</v>
      </c>
      <c r="EC60" s="64" t="str">
        <f t="shared" ca="1" si="13"/>
        <v>'Field'!R125</v>
      </c>
      <c r="ED60" s="64" t="s">
        <v>698</v>
      </c>
      <c r="EG60" s="65">
        <v>15.5</v>
      </c>
    </row>
  </sheetData>
  <sheetProtection algorithmName="SHA-512" hashValue="t8+McsnTiRsTaM89G8/ERgYdC46wcfeuExp/dWY6cPE4VO27E96vGRyeCecm+vjIbvtfHM0jcikc/gbabOSgcw==" saltValue="uotOUAOcBWPgFgxj7jT7/Q==" spinCount="100000" sheet="1" objects="1" scenarios="1" formatCells="0" formatColumns="0" formatRows="0" sort="0" autoFilter="0"/>
  <autoFilter ref="A1:DK60" xr:uid="{00000000-0009-0000-0000-000019000000}"/>
  <conditionalFormatting sqref="A1:A1048576">
    <cfRule type="duplicateValues" dxfId="2" priority="1"/>
  </conditionalFormatting>
  <conditionalFormatting sqref="A1:A1048576">
    <cfRule type="duplicateValues" dxfId="1" priority="513"/>
  </conditionalFormatting>
  <printOptions headings="1" gridLines="1"/>
  <pageMargins left="0.70866141732283472" right="0.70866141732283472" top="0.74803149606299213" bottom="0.35433070866141736"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K84"/>
  <sheetViews>
    <sheetView workbookViewId="0">
      <pane ySplit="1" topLeftCell="A2" activePane="bottomLeft" state="frozen"/>
      <selection pane="bottomLeft" activeCell="H31" sqref="H31:K31"/>
    </sheetView>
  </sheetViews>
  <sheetFormatPr defaultColWidth="8.86328125" defaultRowHeight="15" customHeight="1" x14ac:dyDescent="0.45"/>
  <cols>
    <col min="1" max="1" width="8.86328125" style="70"/>
    <col min="2" max="2" width="27.86328125" style="70" customWidth="1"/>
    <col min="3" max="6" width="6.3984375" style="82" bestFit="1" customWidth="1"/>
    <col min="7" max="7" width="16.1328125" style="82" customWidth="1"/>
    <col min="8" max="8" width="8.86328125" style="70"/>
    <col min="9" max="9" width="8.86328125" style="71"/>
    <col min="10" max="16384" width="8.86328125" style="70"/>
  </cols>
  <sheetData>
    <row r="1" spans="1:11" ht="15" customHeight="1" x14ac:dyDescent="0.35">
      <c r="A1" s="70" t="s">
        <v>91</v>
      </c>
      <c r="B1" s="80" t="s">
        <v>59</v>
      </c>
      <c r="C1" s="69">
        <v>1</v>
      </c>
      <c r="D1" s="69">
        <v>2</v>
      </c>
      <c r="E1" s="69">
        <v>3</v>
      </c>
      <c r="F1" s="81">
        <v>4</v>
      </c>
      <c r="G1" s="81"/>
    </row>
    <row r="2" spans="1:11" ht="15" customHeight="1" x14ac:dyDescent="0.45">
      <c r="A2" s="70" t="s">
        <v>44</v>
      </c>
      <c r="B2" s="79" t="s">
        <v>61</v>
      </c>
      <c r="C2" s="73">
        <v>11.7</v>
      </c>
      <c r="D2" s="73">
        <v>11.9</v>
      </c>
      <c r="E2" s="73">
        <v>12.1</v>
      </c>
      <c r="F2" s="73">
        <v>12.5</v>
      </c>
      <c r="G2" s="73"/>
    </row>
    <row r="3" spans="1:11" ht="15" customHeight="1" x14ac:dyDescent="0.45">
      <c r="A3" s="70" t="s">
        <v>47</v>
      </c>
      <c r="B3" s="79" t="s">
        <v>61</v>
      </c>
      <c r="C3" s="73">
        <v>11.7</v>
      </c>
      <c r="D3" s="73">
        <v>11.9</v>
      </c>
      <c r="E3" s="73">
        <v>12.1</v>
      </c>
      <c r="F3" s="73">
        <v>12.4</v>
      </c>
      <c r="G3" s="73"/>
    </row>
    <row r="4" spans="1:11" ht="15" customHeight="1" x14ac:dyDescent="0.45">
      <c r="A4" s="70" t="s">
        <v>39</v>
      </c>
      <c r="B4" s="79" t="s">
        <v>62</v>
      </c>
      <c r="C4" s="73">
        <v>24</v>
      </c>
      <c r="D4" s="73">
        <v>24.3</v>
      </c>
      <c r="E4" s="73">
        <v>24.8</v>
      </c>
      <c r="F4" s="73">
        <v>25.6</v>
      </c>
      <c r="G4" s="73"/>
    </row>
    <row r="5" spans="1:11" ht="15" customHeight="1" x14ac:dyDescent="0.45">
      <c r="A5" s="70" t="s">
        <v>514</v>
      </c>
      <c r="B5" s="79" t="s">
        <v>63</v>
      </c>
      <c r="C5" s="73">
        <v>38.700000000000003</v>
      </c>
      <c r="D5" s="73">
        <v>39.4</v>
      </c>
      <c r="E5" s="73">
        <v>40.5</v>
      </c>
      <c r="F5" s="73">
        <v>42.1</v>
      </c>
      <c r="G5" s="73"/>
    </row>
    <row r="6" spans="1:11" ht="15" customHeight="1" x14ac:dyDescent="0.45">
      <c r="B6" s="79" t="s">
        <v>70</v>
      </c>
      <c r="C6" s="73">
        <v>55</v>
      </c>
      <c r="D6" s="73">
        <v>56</v>
      </c>
      <c r="E6" s="73">
        <v>57</v>
      </c>
      <c r="F6" s="73">
        <v>59</v>
      </c>
      <c r="G6" s="74"/>
    </row>
    <row r="7" spans="1:11" ht="15" customHeight="1" x14ac:dyDescent="0.45">
      <c r="A7" s="70" t="s">
        <v>509</v>
      </c>
      <c r="B7" s="79" t="s">
        <v>64</v>
      </c>
      <c r="C7" s="70">
        <v>2.0649999999999999</v>
      </c>
      <c r="D7" s="71">
        <v>2.1</v>
      </c>
      <c r="E7" s="70">
        <v>2.13</v>
      </c>
      <c r="F7" s="70">
        <v>2.1800000000000002</v>
      </c>
      <c r="G7" s="75"/>
      <c r="H7" s="70">
        <v>2.0649999999999999</v>
      </c>
      <c r="I7" s="71">
        <v>2.1</v>
      </c>
      <c r="J7" s="70">
        <v>2.13</v>
      </c>
      <c r="K7" s="70">
        <v>2.1800000000000002</v>
      </c>
    </row>
    <row r="8" spans="1:11" ht="15" customHeight="1" x14ac:dyDescent="0.45">
      <c r="A8" s="70" t="s">
        <v>513</v>
      </c>
      <c r="B8" s="79" t="s">
        <v>64</v>
      </c>
      <c r="C8" s="75">
        <v>1.4641203703703706E-3</v>
      </c>
      <c r="D8" s="75">
        <v>1.5046296296296294E-3</v>
      </c>
      <c r="E8" s="75">
        <v>1.5416666666666669E-3</v>
      </c>
      <c r="F8" s="75">
        <v>1.6030092592592595E-3</v>
      </c>
      <c r="G8" s="75"/>
    </row>
    <row r="9" spans="1:11" ht="15" customHeight="1" x14ac:dyDescent="0.45">
      <c r="A9" s="70" t="s">
        <v>312</v>
      </c>
      <c r="B9" s="79" t="s">
        <v>71</v>
      </c>
      <c r="C9" s="70">
        <v>4.2149999999999999</v>
      </c>
      <c r="D9" s="71">
        <v>4.2750000000000004</v>
      </c>
      <c r="E9" s="70">
        <v>4.3600000000000003</v>
      </c>
      <c r="F9" s="70">
        <v>4.4649999999999999</v>
      </c>
      <c r="G9" s="75"/>
      <c r="H9" s="70">
        <v>4.2149999999999999</v>
      </c>
      <c r="I9" s="71">
        <v>4.2750000000000004</v>
      </c>
      <c r="J9" s="70">
        <v>4.3600000000000003</v>
      </c>
      <c r="K9" s="70">
        <v>4.4649999999999999</v>
      </c>
    </row>
    <row r="10" spans="1:11" ht="15" customHeight="1" x14ac:dyDescent="0.45">
      <c r="B10" s="79" t="s">
        <v>76</v>
      </c>
      <c r="C10" s="75">
        <v>6.4988425925925917E-3</v>
      </c>
      <c r="D10" s="75">
        <v>6.6377314814814814E-3</v>
      </c>
      <c r="E10" s="75">
        <v>6.7939814814814816E-3</v>
      </c>
      <c r="F10" s="75">
        <v>7.0486111111111105E-3</v>
      </c>
      <c r="G10" s="75"/>
      <c r="H10" s="70">
        <v>9.2149999999999999</v>
      </c>
      <c r="I10" s="71">
        <v>9.3350000000000009</v>
      </c>
      <c r="J10" s="70">
        <v>9.4700000000000006</v>
      </c>
      <c r="K10" s="70">
        <v>10.09</v>
      </c>
    </row>
    <row r="11" spans="1:11" ht="15" customHeight="1" x14ac:dyDescent="0.45">
      <c r="A11" s="70" t="s">
        <v>35</v>
      </c>
      <c r="B11" s="79" t="s">
        <v>82</v>
      </c>
      <c r="C11" s="73">
        <v>11.9</v>
      </c>
      <c r="D11" s="73">
        <v>12.2</v>
      </c>
      <c r="E11" s="73">
        <v>12.7</v>
      </c>
      <c r="F11" s="73">
        <v>13.4</v>
      </c>
      <c r="G11" s="73"/>
    </row>
    <row r="12" spans="1:11" ht="15" customHeight="1" x14ac:dyDescent="0.45">
      <c r="A12" s="70" t="s">
        <v>241</v>
      </c>
      <c r="B12" s="79" t="s">
        <v>23</v>
      </c>
      <c r="C12" s="73">
        <v>1.72</v>
      </c>
      <c r="D12" s="73">
        <v>1.67</v>
      </c>
      <c r="E12" s="73">
        <v>1.6</v>
      </c>
      <c r="F12" s="73">
        <v>1.55</v>
      </c>
      <c r="G12" s="73"/>
    </row>
    <row r="13" spans="1:11" ht="15" customHeight="1" x14ac:dyDescent="0.45">
      <c r="A13" s="70" t="s">
        <v>239</v>
      </c>
      <c r="B13" s="79" t="s">
        <v>27</v>
      </c>
      <c r="C13" s="73">
        <v>3.45</v>
      </c>
      <c r="D13" s="73">
        <v>3.2</v>
      </c>
      <c r="E13" s="73">
        <v>2.85</v>
      </c>
      <c r="F13" s="73">
        <v>2.4</v>
      </c>
      <c r="G13" s="73"/>
    </row>
    <row r="14" spans="1:11" ht="15" customHeight="1" x14ac:dyDescent="0.45">
      <c r="A14" s="70" t="s">
        <v>300</v>
      </c>
      <c r="B14" s="79" t="s">
        <v>22</v>
      </c>
      <c r="C14" s="73">
        <v>5.75</v>
      </c>
      <c r="D14" s="73">
        <v>5.55</v>
      </c>
      <c r="E14" s="73">
        <v>5.3</v>
      </c>
      <c r="F14" s="73">
        <v>5</v>
      </c>
      <c r="G14" s="73"/>
    </row>
    <row r="15" spans="1:11" ht="15" customHeight="1" x14ac:dyDescent="0.45">
      <c r="B15" s="79" t="s">
        <v>31</v>
      </c>
      <c r="C15" s="73">
        <v>11.9</v>
      </c>
      <c r="D15" s="73">
        <v>11.5</v>
      </c>
      <c r="E15" s="73">
        <v>11.05</v>
      </c>
      <c r="F15" s="73">
        <v>10.5</v>
      </c>
      <c r="G15" s="73"/>
    </row>
    <row r="16" spans="1:11" ht="15" customHeight="1" x14ac:dyDescent="0.45">
      <c r="A16" s="70" t="s">
        <v>242</v>
      </c>
      <c r="B16" s="79" t="s">
        <v>24</v>
      </c>
      <c r="C16" s="73">
        <v>12.45</v>
      </c>
      <c r="D16" s="73">
        <v>11.8</v>
      </c>
      <c r="E16" s="73">
        <v>11.1</v>
      </c>
      <c r="F16" s="73">
        <v>10.1</v>
      </c>
      <c r="G16" s="73"/>
    </row>
    <row r="17" spans="1:11" ht="15" customHeight="1" x14ac:dyDescent="0.45">
      <c r="A17" s="70" t="s">
        <v>237</v>
      </c>
      <c r="B17" s="79" t="s">
        <v>25</v>
      </c>
      <c r="C17" s="73">
        <v>35.200000000000003</v>
      </c>
      <c r="D17" s="73">
        <v>32.299999999999997</v>
      </c>
      <c r="E17" s="73">
        <v>28.95</v>
      </c>
      <c r="F17" s="73">
        <v>25.5</v>
      </c>
      <c r="G17" s="73"/>
    </row>
    <row r="18" spans="1:11" ht="15" customHeight="1" x14ac:dyDescent="0.45">
      <c r="A18" s="70" t="s">
        <v>231</v>
      </c>
      <c r="B18" s="79" t="s">
        <v>21</v>
      </c>
      <c r="C18" s="73">
        <v>47.2</v>
      </c>
      <c r="D18" s="73">
        <v>41.25</v>
      </c>
      <c r="E18" s="73">
        <v>33.85</v>
      </c>
      <c r="F18" s="73">
        <v>27.15</v>
      </c>
      <c r="G18" s="73"/>
    </row>
    <row r="19" spans="1:11" ht="15" customHeight="1" x14ac:dyDescent="0.45">
      <c r="A19" s="70" t="s">
        <v>243</v>
      </c>
      <c r="B19" s="79" t="s">
        <v>28</v>
      </c>
      <c r="C19" s="73">
        <v>44.35</v>
      </c>
      <c r="D19" s="73">
        <v>40.85</v>
      </c>
      <c r="E19" s="73">
        <v>37.25</v>
      </c>
      <c r="F19" s="73">
        <v>32.6</v>
      </c>
      <c r="G19" s="73"/>
    </row>
    <row r="20" spans="1:11" ht="15" customHeight="1" x14ac:dyDescent="0.45">
      <c r="B20" s="79" t="s">
        <v>78</v>
      </c>
      <c r="C20" s="74">
        <v>2600</v>
      </c>
      <c r="D20" s="74">
        <v>2390</v>
      </c>
      <c r="E20" s="74">
        <v>2170</v>
      </c>
      <c r="F20" s="74">
        <v>1865</v>
      </c>
      <c r="G20" s="74"/>
    </row>
    <row r="21" spans="1:11" ht="15" customHeight="1" x14ac:dyDescent="0.45">
      <c r="B21" s="79" t="s">
        <v>74</v>
      </c>
      <c r="C21" s="75">
        <v>1.0335648148148148E-2</v>
      </c>
      <c r="D21" s="75">
        <v>1.0937500000000001E-2</v>
      </c>
      <c r="E21" s="75">
        <v>1.1493055555555555E-2</v>
      </c>
      <c r="F21" s="75">
        <v>1.1990740740740739E-2</v>
      </c>
      <c r="G21" s="75"/>
    </row>
    <row r="22" spans="1:11" ht="15" customHeight="1" x14ac:dyDescent="0.45">
      <c r="B22" s="80" t="s">
        <v>57</v>
      </c>
      <c r="C22" s="77"/>
      <c r="D22" s="77"/>
      <c r="E22" s="77"/>
      <c r="F22" s="77"/>
      <c r="G22" s="77"/>
    </row>
    <row r="23" spans="1:11" ht="15" customHeight="1" x14ac:dyDescent="0.45">
      <c r="B23" s="76" t="s">
        <v>72</v>
      </c>
      <c r="C23" s="78">
        <v>7.5</v>
      </c>
      <c r="D23" s="78">
        <v>7.65</v>
      </c>
      <c r="E23" s="78">
        <v>7.85</v>
      </c>
      <c r="F23" s="78">
        <v>8.1999999999999993</v>
      </c>
      <c r="G23" s="78"/>
    </row>
    <row r="24" spans="1:11" ht="15" customHeight="1" x14ac:dyDescent="0.45">
      <c r="B24" s="76"/>
      <c r="C24" s="77"/>
      <c r="D24" s="77"/>
      <c r="E24" s="77"/>
      <c r="F24" s="77"/>
      <c r="G24" s="77"/>
    </row>
    <row r="25" spans="1:11" ht="15" customHeight="1" x14ac:dyDescent="0.35">
      <c r="A25" s="70" t="s">
        <v>91</v>
      </c>
      <c r="B25" s="68" t="s">
        <v>60</v>
      </c>
      <c r="C25" s="69">
        <v>1</v>
      </c>
      <c r="D25" s="69">
        <v>2</v>
      </c>
      <c r="E25" s="69">
        <v>3</v>
      </c>
      <c r="F25" s="81">
        <v>4</v>
      </c>
      <c r="G25" s="81"/>
    </row>
    <row r="26" spans="1:11" ht="15" customHeight="1" x14ac:dyDescent="0.45">
      <c r="B26" s="72" t="s">
        <v>65</v>
      </c>
      <c r="C26" s="73">
        <v>10</v>
      </c>
      <c r="D26" s="73">
        <v>10.199999999999999</v>
      </c>
      <c r="E26" s="73">
        <v>10.5</v>
      </c>
      <c r="F26" s="73">
        <v>11</v>
      </c>
      <c r="G26" s="73"/>
    </row>
    <row r="27" spans="1:11" ht="15" customHeight="1" x14ac:dyDescent="0.45">
      <c r="A27" s="70" t="s">
        <v>42</v>
      </c>
      <c r="B27" s="72" t="s">
        <v>61</v>
      </c>
      <c r="C27" s="73">
        <v>13</v>
      </c>
      <c r="D27" s="73">
        <v>13.2</v>
      </c>
      <c r="E27" s="73">
        <v>13.5</v>
      </c>
      <c r="F27" s="73">
        <v>13.9</v>
      </c>
      <c r="G27" s="73"/>
    </row>
    <row r="28" spans="1:11" ht="15" customHeight="1" x14ac:dyDescent="0.45">
      <c r="A28" s="70" t="s">
        <v>45</v>
      </c>
      <c r="B28" s="72" t="s">
        <v>61</v>
      </c>
      <c r="C28" s="73">
        <v>13</v>
      </c>
      <c r="D28" s="73">
        <v>13.2</v>
      </c>
      <c r="E28" s="73">
        <v>13.5</v>
      </c>
      <c r="F28" s="73">
        <v>13.9</v>
      </c>
      <c r="G28" s="73"/>
    </row>
    <row r="29" spans="1:11" ht="15" customHeight="1" x14ac:dyDescent="0.45">
      <c r="B29" s="72" t="s">
        <v>66</v>
      </c>
      <c r="C29" s="73">
        <v>19.399999999999999</v>
      </c>
      <c r="D29" s="73">
        <v>19.600000000000001</v>
      </c>
      <c r="E29" s="73">
        <v>20.6</v>
      </c>
      <c r="F29" s="73">
        <v>21.5</v>
      </c>
      <c r="G29" s="73"/>
    </row>
    <row r="30" spans="1:11" ht="15" customHeight="1" x14ac:dyDescent="0.45">
      <c r="A30" s="70" t="s">
        <v>37</v>
      </c>
      <c r="B30" s="72" t="s">
        <v>62</v>
      </c>
      <c r="C30" s="73">
        <v>26.8</v>
      </c>
      <c r="D30" s="73">
        <v>27.4</v>
      </c>
      <c r="E30" s="73">
        <v>28.1</v>
      </c>
      <c r="F30" s="73">
        <v>29.1</v>
      </c>
      <c r="G30" s="73"/>
    </row>
    <row r="31" spans="1:11" ht="15" customHeight="1" x14ac:dyDescent="0.35">
      <c r="A31" s="70" t="s">
        <v>507</v>
      </c>
      <c r="B31" s="72" t="s">
        <v>64</v>
      </c>
      <c r="C31" s="70">
        <v>2.2250000000000001</v>
      </c>
      <c r="D31" s="71">
        <v>2.2450000000000001</v>
      </c>
      <c r="E31" s="64">
        <v>2.2749999999999999</v>
      </c>
      <c r="F31" s="64">
        <v>2.34</v>
      </c>
      <c r="G31" s="75"/>
      <c r="H31" s="70">
        <v>2.2250000000000001</v>
      </c>
      <c r="I31" s="71">
        <v>2.2450000000000001</v>
      </c>
      <c r="J31" s="64">
        <v>2.2749999999999999</v>
      </c>
      <c r="K31" s="64">
        <v>2.34</v>
      </c>
    </row>
    <row r="32" spans="1:11" ht="15" customHeight="1" x14ac:dyDescent="0.35">
      <c r="A32" s="70" t="s">
        <v>511</v>
      </c>
      <c r="B32" s="72" t="s">
        <v>64</v>
      </c>
      <c r="C32" s="75">
        <v>1.6493055555555556E-3</v>
      </c>
      <c r="D32" s="75">
        <v>1.6724537037037036E-3</v>
      </c>
      <c r="E32" s="75">
        <v>1.707175925925926E-3</v>
      </c>
      <c r="F32" s="75">
        <v>1.7824074074074072E-3</v>
      </c>
      <c r="G32" s="75"/>
      <c r="J32" s="64"/>
      <c r="K32" s="64"/>
    </row>
    <row r="33" spans="1:11" ht="15" customHeight="1" x14ac:dyDescent="0.35">
      <c r="A33" s="70" t="s">
        <v>310</v>
      </c>
      <c r="B33" s="72" t="s">
        <v>71</v>
      </c>
      <c r="C33" s="70">
        <v>4.5</v>
      </c>
      <c r="D33" s="71">
        <v>4.55</v>
      </c>
      <c r="E33" s="64">
        <v>5.03</v>
      </c>
      <c r="F33" s="64">
        <v>5.15</v>
      </c>
      <c r="G33" s="75"/>
      <c r="H33" s="70">
        <v>4.5</v>
      </c>
      <c r="I33" s="71">
        <v>4.55</v>
      </c>
      <c r="J33" s="64">
        <v>5.03</v>
      </c>
      <c r="K33" s="64">
        <v>5.15</v>
      </c>
    </row>
    <row r="34" spans="1:11" ht="15" customHeight="1" x14ac:dyDescent="0.35">
      <c r="A34" s="70" t="s">
        <v>33</v>
      </c>
      <c r="B34" s="72" t="s">
        <v>77</v>
      </c>
      <c r="C34" s="73">
        <v>12.9</v>
      </c>
      <c r="D34" s="73">
        <v>13.3</v>
      </c>
      <c r="E34" s="73">
        <v>14.2</v>
      </c>
      <c r="F34" s="73">
        <v>15.3</v>
      </c>
      <c r="G34" s="73"/>
      <c r="J34" s="64"/>
      <c r="K34" s="64"/>
    </row>
    <row r="35" spans="1:11" ht="15" customHeight="1" x14ac:dyDescent="0.35">
      <c r="A35" s="64" t="s">
        <v>234</v>
      </c>
      <c r="B35" s="72" t="s">
        <v>23</v>
      </c>
      <c r="C35" s="73">
        <v>1.47</v>
      </c>
      <c r="D35" s="73">
        <v>1.41</v>
      </c>
      <c r="E35" s="73">
        <v>1.35</v>
      </c>
      <c r="F35" s="73">
        <v>1.3</v>
      </c>
      <c r="G35" s="73"/>
    </row>
    <row r="36" spans="1:11" ht="15" customHeight="1" x14ac:dyDescent="0.45">
      <c r="A36" s="70" t="s">
        <v>297</v>
      </c>
      <c r="B36" s="72" t="s">
        <v>22</v>
      </c>
      <c r="C36" s="73">
        <v>4.75</v>
      </c>
      <c r="D36" s="73">
        <v>4.55</v>
      </c>
      <c r="E36" s="73">
        <v>4.4000000000000004</v>
      </c>
      <c r="F36" s="73">
        <v>4.1500000000000004</v>
      </c>
      <c r="G36" s="73"/>
    </row>
    <row r="37" spans="1:11" ht="15" customHeight="1" x14ac:dyDescent="0.35">
      <c r="A37" s="64" t="s">
        <v>245</v>
      </c>
      <c r="B37" s="72" t="s">
        <v>24</v>
      </c>
      <c r="C37" s="73">
        <v>9.25</v>
      </c>
      <c r="D37" s="73">
        <v>8.5500000000000007</v>
      </c>
      <c r="E37" s="73">
        <v>7.95</v>
      </c>
      <c r="F37" s="73">
        <v>7.05</v>
      </c>
      <c r="G37" s="73"/>
    </row>
    <row r="38" spans="1:11" ht="15" customHeight="1" x14ac:dyDescent="0.45">
      <c r="B38" s="72" t="s">
        <v>25</v>
      </c>
      <c r="C38" s="73">
        <v>24.7</v>
      </c>
      <c r="D38" s="73">
        <v>22</v>
      </c>
      <c r="E38" s="73">
        <v>19.75</v>
      </c>
      <c r="F38" s="73">
        <v>16.600000000000001</v>
      </c>
      <c r="G38" s="73"/>
    </row>
    <row r="39" spans="1:11" ht="15" customHeight="1" x14ac:dyDescent="0.35">
      <c r="A39" s="64" t="s">
        <v>246</v>
      </c>
      <c r="B39" s="72" t="s">
        <v>28</v>
      </c>
      <c r="C39" s="73">
        <v>31.15</v>
      </c>
      <c r="D39" s="73">
        <v>29</v>
      </c>
      <c r="E39" s="73">
        <v>26.1</v>
      </c>
      <c r="F39" s="73">
        <v>21.3</v>
      </c>
      <c r="G39" s="73"/>
    </row>
    <row r="40" spans="1:11" ht="15" customHeight="1" x14ac:dyDescent="0.45">
      <c r="B40" s="72" t="s">
        <v>81</v>
      </c>
      <c r="C40" s="75">
        <v>7.5000000000000006E-3</v>
      </c>
      <c r="D40" s="75">
        <v>7.8125E-3</v>
      </c>
      <c r="E40" s="75">
        <v>8.217592592592594E-3</v>
      </c>
      <c r="F40" s="75">
        <v>8.6805555555555559E-3</v>
      </c>
      <c r="G40" s="75"/>
    </row>
    <row r="41" spans="1:11" ht="15" customHeight="1" x14ac:dyDescent="0.45">
      <c r="B41" s="68" t="s">
        <v>57</v>
      </c>
      <c r="C41" s="77"/>
      <c r="D41" s="77"/>
      <c r="E41" s="77"/>
      <c r="F41" s="77"/>
      <c r="G41" s="77"/>
    </row>
    <row r="42" spans="1:11" ht="15" customHeight="1" x14ac:dyDescent="0.45">
      <c r="B42" s="72" t="s">
        <v>72</v>
      </c>
      <c r="C42" s="73">
        <v>8.15</v>
      </c>
      <c r="D42" s="73" t="s">
        <v>86</v>
      </c>
      <c r="E42" s="73">
        <v>8.4</v>
      </c>
      <c r="F42" s="73">
        <v>8.6</v>
      </c>
      <c r="G42" s="73"/>
    </row>
    <row r="43" spans="1:11" ht="15" customHeight="1" x14ac:dyDescent="0.45">
      <c r="B43" s="83"/>
      <c r="C43" s="85"/>
      <c r="D43" s="85"/>
      <c r="E43" s="85"/>
      <c r="F43" s="85"/>
      <c r="G43" s="85"/>
    </row>
    <row r="44" spans="1:11" ht="15" customHeight="1" x14ac:dyDescent="0.45">
      <c r="A44" s="70" t="s">
        <v>91</v>
      </c>
      <c r="B44" s="88" t="s">
        <v>56</v>
      </c>
      <c r="C44" s="69">
        <v>1</v>
      </c>
      <c r="D44" s="69">
        <v>2</v>
      </c>
      <c r="E44" s="69">
        <v>3</v>
      </c>
      <c r="F44" s="69">
        <v>4</v>
      </c>
      <c r="G44" s="69"/>
    </row>
    <row r="45" spans="1:11" ht="15" customHeight="1" x14ac:dyDescent="0.45">
      <c r="A45" s="70" t="s">
        <v>43</v>
      </c>
      <c r="B45" s="83" t="s">
        <v>61</v>
      </c>
      <c r="C45" s="84">
        <v>12.7</v>
      </c>
      <c r="D45" s="84">
        <v>12.9</v>
      </c>
      <c r="E45" s="84">
        <v>13.2</v>
      </c>
      <c r="F45" s="84">
        <v>13.5</v>
      </c>
      <c r="G45" s="84"/>
    </row>
    <row r="46" spans="1:11" ht="15" customHeight="1" x14ac:dyDescent="0.45">
      <c r="A46" s="70" t="s">
        <v>46</v>
      </c>
      <c r="B46" s="83" t="s">
        <v>61</v>
      </c>
      <c r="C46" s="84">
        <v>12.7</v>
      </c>
      <c r="D46" s="84">
        <v>12.9</v>
      </c>
      <c r="E46" s="84">
        <v>13.2</v>
      </c>
      <c r="F46" s="84">
        <v>13.5</v>
      </c>
      <c r="G46" s="84"/>
    </row>
    <row r="47" spans="1:11" ht="15" customHeight="1" x14ac:dyDescent="0.45">
      <c r="A47" s="70" t="s">
        <v>38</v>
      </c>
      <c r="B47" s="83" t="s">
        <v>62</v>
      </c>
      <c r="C47" s="84">
        <v>26.3</v>
      </c>
      <c r="D47" s="84">
        <v>26.7</v>
      </c>
      <c r="E47" s="84">
        <v>27.2</v>
      </c>
      <c r="F47" s="84">
        <v>28</v>
      </c>
      <c r="G47" s="84"/>
    </row>
    <row r="48" spans="1:11" ht="15" customHeight="1" x14ac:dyDescent="0.45">
      <c r="A48" s="70" t="s">
        <v>48</v>
      </c>
      <c r="B48" s="83" t="s">
        <v>63</v>
      </c>
      <c r="C48" s="84">
        <v>42.7</v>
      </c>
      <c r="D48" s="84">
        <v>43.3</v>
      </c>
      <c r="E48" s="84">
        <v>44.3</v>
      </c>
      <c r="F48" s="84">
        <v>45.7</v>
      </c>
      <c r="G48" s="84"/>
    </row>
    <row r="49" spans="1:11" ht="15" customHeight="1" x14ac:dyDescent="0.45">
      <c r="A49" s="70" t="s">
        <v>508</v>
      </c>
      <c r="B49" s="83" t="s">
        <v>64</v>
      </c>
      <c r="C49" s="70">
        <v>2.1989999999999998</v>
      </c>
      <c r="D49" s="71">
        <v>2.2250000000000001</v>
      </c>
      <c r="E49" s="70">
        <v>2.2549999999999999</v>
      </c>
      <c r="F49" s="70">
        <v>2.306</v>
      </c>
      <c r="G49" s="86"/>
      <c r="H49" s="70">
        <v>2.1989999999999998</v>
      </c>
      <c r="I49" s="71">
        <v>2.2250000000000001</v>
      </c>
      <c r="J49" s="70">
        <v>2.2549999999999999</v>
      </c>
      <c r="K49" s="70">
        <v>2.306</v>
      </c>
    </row>
    <row r="50" spans="1:11" ht="15" customHeight="1" x14ac:dyDescent="0.45">
      <c r="A50" s="70" t="s">
        <v>512</v>
      </c>
      <c r="B50" s="83" t="s">
        <v>64</v>
      </c>
      <c r="C50" s="86">
        <v>1.6192129629629629E-3</v>
      </c>
      <c r="D50" s="86">
        <v>1.6493055555555556E-3</v>
      </c>
      <c r="E50" s="86">
        <v>1.6840277777777776E-3</v>
      </c>
      <c r="F50" s="86">
        <v>1.7430555555555552E-3</v>
      </c>
      <c r="G50" s="86"/>
    </row>
    <row r="51" spans="1:11" ht="15" customHeight="1" x14ac:dyDescent="0.45">
      <c r="A51" s="70" t="s">
        <v>311</v>
      </c>
      <c r="B51" s="83" t="s">
        <v>71</v>
      </c>
      <c r="C51" s="70">
        <v>4.4950000000000001</v>
      </c>
      <c r="D51" s="71">
        <v>4.5599999999999996</v>
      </c>
      <c r="E51" s="70">
        <v>5.0250000000000004</v>
      </c>
      <c r="F51" s="70">
        <v>5.15</v>
      </c>
      <c r="G51" s="86"/>
      <c r="H51" s="70">
        <v>4.4950000000000001</v>
      </c>
      <c r="I51" s="71">
        <v>4.5599999999999996</v>
      </c>
      <c r="J51" s="70">
        <v>5.0250000000000004</v>
      </c>
      <c r="K51" s="70">
        <v>5.15</v>
      </c>
    </row>
    <row r="52" spans="1:11" ht="15" customHeight="1" x14ac:dyDescent="0.45">
      <c r="A52" s="70" t="s">
        <v>34</v>
      </c>
      <c r="B52" s="83" t="s">
        <v>77</v>
      </c>
      <c r="C52" s="84">
        <v>11.9</v>
      </c>
      <c r="D52" s="84">
        <v>12.2</v>
      </c>
      <c r="E52" s="84">
        <v>12.6</v>
      </c>
      <c r="F52" s="84">
        <v>13.4</v>
      </c>
      <c r="G52" s="84"/>
    </row>
    <row r="53" spans="1:11" ht="15" customHeight="1" x14ac:dyDescent="0.45">
      <c r="A53" s="70" t="s">
        <v>233</v>
      </c>
      <c r="B53" s="83" t="s">
        <v>23</v>
      </c>
      <c r="C53" s="84">
        <v>1.57</v>
      </c>
      <c r="D53" s="84">
        <v>1.54</v>
      </c>
      <c r="E53" s="84">
        <v>1.49</v>
      </c>
      <c r="F53" s="84">
        <v>1.41</v>
      </c>
      <c r="G53" s="84"/>
    </row>
    <row r="54" spans="1:11" ht="15" customHeight="1" x14ac:dyDescent="0.45">
      <c r="A54" s="70" t="s">
        <v>240</v>
      </c>
      <c r="B54" s="83" t="s">
        <v>27</v>
      </c>
      <c r="C54" s="84">
        <v>3.1</v>
      </c>
      <c r="D54" s="84">
        <v>2.8</v>
      </c>
      <c r="E54" s="84">
        <v>2.5</v>
      </c>
      <c r="F54" s="84">
        <v>2.2000000000000002</v>
      </c>
      <c r="G54" s="84"/>
    </row>
    <row r="55" spans="1:11" ht="15" customHeight="1" x14ac:dyDescent="0.45">
      <c r="A55" s="70" t="s">
        <v>298</v>
      </c>
      <c r="B55" s="83" t="s">
        <v>22</v>
      </c>
      <c r="C55" s="84">
        <v>5.05</v>
      </c>
      <c r="D55" s="84">
        <v>4.9000000000000004</v>
      </c>
      <c r="E55" s="84">
        <v>4.7</v>
      </c>
      <c r="F55" s="84">
        <v>4.4800000000000004</v>
      </c>
      <c r="G55" s="84"/>
    </row>
    <row r="56" spans="1:11" ht="15" customHeight="1" x14ac:dyDescent="0.45">
      <c r="A56" s="70" t="s">
        <v>247</v>
      </c>
      <c r="B56" s="83" t="s">
        <v>85</v>
      </c>
      <c r="C56" s="84">
        <v>10.15</v>
      </c>
      <c r="D56" s="84">
        <v>9.5</v>
      </c>
      <c r="E56" s="84">
        <v>8.85</v>
      </c>
      <c r="F56" s="84">
        <v>7.95</v>
      </c>
      <c r="G56" s="84"/>
    </row>
    <row r="57" spans="1:11" ht="15" customHeight="1" x14ac:dyDescent="0.45">
      <c r="A57" s="70" t="s">
        <v>243</v>
      </c>
      <c r="B57" s="83" t="s">
        <v>25</v>
      </c>
      <c r="C57" s="84">
        <v>27.9</v>
      </c>
      <c r="D57" s="84">
        <v>25.3</v>
      </c>
      <c r="E57" s="84">
        <v>22.95</v>
      </c>
      <c r="F57" s="84">
        <v>19.7</v>
      </c>
      <c r="G57" s="84"/>
    </row>
    <row r="58" spans="1:11" ht="15" customHeight="1" x14ac:dyDescent="0.45">
      <c r="A58" s="70" t="s">
        <v>232</v>
      </c>
      <c r="B58" s="83" t="s">
        <v>21</v>
      </c>
      <c r="C58" s="84">
        <v>44.6</v>
      </c>
      <c r="D58" s="84">
        <v>39.200000000000003</v>
      </c>
      <c r="E58" s="84">
        <v>31.6</v>
      </c>
      <c r="F58" s="84">
        <v>24.05</v>
      </c>
      <c r="G58" s="84"/>
    </row>
    <row r="59" spans="1:11" ht="15" customHeight="1" x14ac:dyDescent="0.45">
      <c r="A59" s="70" t="s">
        <v>244</v>
      </c>
      <c r="B59" s="83" t="s">
        <v>84</v>
      </c>
      <c r="C59" s="84">
        <v>32.85</v>
      </c>
      <c r="D59" s="84">
        <v>29.9</v>
      </c>
      <c r="E59" s="84">
        <v>26.75</v>
      </c>
      <c r="F59" s="84">
        <v>22.5</v>
      </c>
      <c r="G59" s="84"/>
    </row>
    <row r="61" spans="1:11" ht="15" customHeight="1" x14ac:dyDescent="0.45">
      <c r="A61" s="70" t="s">
        <v>91</v>
      </c>
      <c r="B61" s="88" t="s">
        <v>58</v>
      </c>
      <c r="C61" s="69">
        <v>1</v>
      </c>
      <c r="D61" s="69">
        <v>2</v>
      </c>
      <c r="E61" s="69">
        <v>3</v>
      </c>
      <c r="F61" s="69">
        <v>4</v>
      </c>
      <c r="G61" s="69"/>
    </row>
    <row r="62" spans="1:11" ht="15" customHeight="1" x14ac:dyDescent="0.45">
      <c r="A62" s="71" t="s">
        <v>40</v>
      </c>
      <c r="B62" s="83" t="s">
        <v>65</v>
      </c>
      <c r="C62" s="84">
        <v>10.4</v>
      </c>
      <c r="D62" s="84">
        <v>10.6</v>
      </c>
      <c r="E62" s="84">
        <v>10.9</v>
      </c>
      <c r="F62" s="84">
        <v>11.3</v>
      </c>
      <c r="G62" s="84"/>
    </row>
    <row r="63" spans="1:11" ht="15" customHeight="1" x14ac:dyDescent="0.45">
      <c r="A63" s="71" t="s">
        <v>41</v>
      </c>
      <c r="B63" s="83" t="s">
        <v>65</v>
      </c>
      <c r="C63" s="84">
        <v>10.4</v>
      </c>
      <c r="D63" s="84">
        <v>10.6</v>
      </c>
      <c r="E63" s="84">
        <v>10.9</v>
      </c>
      <c r="F63" s="84">
        <v>11.3</v>
      </c>
      <c r="G63" s="84"/>
    </row>
    <row r="64" spans="1:11" ht="15" customHeight="1" x14ac:dyDescent="0.45">
      <c r="B64" s="83" t="s">
        <v>61</v>
      </c>
      <c r="C64" s="84">
        <v>13.6</v>
      </c>
      <c r="D64" s="84">
        <v>13.8</v>
      </c>
      <c r="E64" s="84">
        <v>14.1</v>
      </c>
      <c r="F64" s="84">
        <v>14.5</v>
      </c>
      <c r="G64" s="84"/>
    </row>
    <row r="65" spans="1:11" ht="15" customHeight="1" x14ac:dyDescent="0.45">
      <c r="A65" s="71" t="s">
        <v>36</v>
      </c>
      <c r="B65" s="83" t="s">
        <v>66</v>
      </c>
      <c r="C65" s="84">
        <v>20.5</v>
      </c>
      <c r="D65" s="84">
        <v>21</v>
      </c>
      <c r="E65" s="84">
        <v>21.5</v>
      </c>
      <c r="F65" s="84">
        <v>22.4</v>
      </c>
      <c r="G65" s="84"/>
    </row>
    <row r="66" spans="1:11" ht="15" customHeight="1" x14ac:dyDescent="0.45">
      <c r="B66" s="83" t="s">
        <v>62</v>
      </c>
      <c r="C66" s="84">
        <v>28.4</v>
      </c>
      <c r="D66" s="84">
        <v>28.9</v>
      </c>
      <c r="E66" s="84">
        <v>29.6</v>
      </c>
      <c r="F66" s="84">
        <v>30.7</v>
      </c>
      <c r="G66" s="84"/>
    </row>
    <row r="67" spans="1:11" ht="15" customHeight="1" x14ac:dyDescent="0.45">
      <c r="B67" s="83" t="s">
        <v>67</v>
      </c>
      <c r="C67" s="86">
        <v>1.2326388888888888E-3</v>
      </c>
      <c r="D67" s="86">
        <v>1.2488425925925926E-3</v>
      </c>
      <c r="E67" s="86">
        <v>1.2766203703703705E-3</v>
      </c>
      <c r="F67" s="86">
        <v>1.3067129629629629E-3</v>
      </c>
      <c r="G67" s="86"/>
    </row>
    <row r="68" spans="1:11" ht="15" customHeight="1" x14ac:dyDescent="0.45">
      <c r="A68" s="71" t="s">
        <v>506</v>
      </c>
      <c r="B68" s="83" t="s">
        <v>64</v>
      </c>
      <c r="C68" s="70">
        <v>2.2850000000000001</v>
      </c>
      <c r="D68" s="71">
        <v>2.3149999999999999</v>
      </c>
      <c r="E68" s="70">
        <v>2.35</v>
      </c>
      <c r="F68" s="70">
        <v>2.4129999999999998</v>
      </c>
      <c r="G68" s="86"/>
      <c r="H68" s="70">
        <v>2.2850000000000001</v>
      </c>
      <c r="I68" s="71">
        <v>2.3149999999999999</v>
      </c>
      <c r="J68" s="70">
        <v>2.35</v>
      </c>
      <c r="K68" s="70">
        <v>2.4129999999999998</v>
      </c>
    </row>
    <row r="69" spans="1:11" ht="15" customHeight="1" x14ac:dyDescent="0.45">
      <c r="A69" s="71" t="s">
        <v>510</v>
      </c>
      <c r="B69" s="83" t="s">
        <v>64</v>
      </c>
      <c r="C69" s="86">
        <v>1.71875E-3</v>
      </c>
      <c r="D69" s="86">
        <v>1.7534722222222222E-3</v>
      </c>
      <c r="E69" s="86">
        <v>1.7939814814814815E-3</v>
      </c>
      <c r="F69" s="86">
        <v>1.8668981481481481E-3</v>
      </c>
      <c r="G69" s="86"/>
    </row>
    <row r="70" spans="1:11" ht="15" customHeight="1" x14ac:dyDescent="0.45">
      <c r="A70" s="71" t="s">
        <v>309</v>
      </c>
      <c r="B70" s="83" t="s">
        <v>68</v>
      </c>
      <c r="C70" s="70">
        <v>3.56</v>
      </c>
      <c r="D70" s="71">
        <v>4</v>
      </c>
      <c r="E70" s="70">
        <v>4.05</v>
      </c>
      <c r="F70" s="70">
        <v>4.1349999999999998</v>
      </c>
      <c r="G70" s="86"/>
      <c r="H70" s="70">
        <v>3.56</v>
      </c>
      <c r="I70" s="71">
        <v>4</v>
      </c>
      <c r="J70" s="70">
        <v>4.05</v>
      </c>
      <c r="K70" s="70">
        <v>4.1349999999999998</v>
      </c>
    </row>
    <row r="71" spans="1:11" ht="15" customHeight="1" x14ac:dyDescent="0.45">
      <c r="B71" s="83" t="s">
        <v>69</v>
      </c>
      <c r="C71" s="86">
        <v>3.5671296296296297E-3</v>
      </c>
      <c r="D71" s="86">
        <v>3.6481481481481482E-3</v>
      </c>
      <c r="E71" s="86">
        <v>3.7453703703703707E-3</v>
      </c>
      <c r="F71" s="86">
        <v>3.9108796296296296E-3</v>
      </c>
      <c r="G71" s="86"/>
    </row>
    <row r="72" spans="1:11" ht="15" customHeight="1" x14ac:dyDescent="0.45">
      <c r="B72" s="83" t="s">
        <v>83</v>
      </c>
      <c r="C72" s="86">
        <v>3.9247685185185184E-3</v>
      </c>
      <c r="D72" s="86">
        <v>4.0706018518518522E-3</v>
      </c>
      <c r="E72" s="86">
        <v>4.2986111111111116E-3</v>
      </c>
      <c r="F72" s="86">
        <v>4.6307870370370366E-3</v>
      </c>
      <c r="G72" s="86"/>
    </row>
    <row r="73" spans="1:11" ht="15" customHeight="1" x14ac:dyDescent="0.45">
      <c r="A73" s="71" t="s">
        <v>32</v>
      </c>
      <c r="B73" s="83" t="s">
        <v>79</v>
      </c>
      <c r="C73" s="84">
        <v>11.9</v>
      </c>
      <c r="D73" s="84">
        <v>12.2</v>
      </c>
      <c r="E73" s="84">
        <v>12.5</v>
      </c>
      <c r="F73" s="84">
        <v>13.3</v>
      </c>
      <c r="G73" s="84"/>
    </row>
    <row r="74" spans="1:11" ht="15" customHeight="1" x14ac:dyDescent="0.45">
      <c r="A74" s="70" t="s">
        <v>238</v>
      </c>
      <c r="B74" s="83" t="s">
        <v>23</v>
      </c>
      <c r="C74" s="84">
        <v>1.4</v>
      </c>
      <c r="D74" s="84">
        <v>1.35</v>
      </c>
      <c r="E74" s="84">
        <v>1.3</v>
      </c>
      <c r="F74" s="84">
        <v>1.25</v>
      </c>
      <c r="G74" s="84"/>
    </row>
    <row r="75" spans="1:11" ht="15" customHeight="1" x14ac:dyDescent="0.45">
      <c r="A75" s="70" t="s">
        <v>299</v>
      </c>
      <c r="B75" s="83" t="s">
        <v>22</v>
      </c>
      <c r="C75" s="84">
        <v>4.5</v>
      </c>
      <c r="D75" s="84">
        <v>4.3499999999999996</v>
      </c>
      <c r="E75" s="84">
        <v>4.2</v>
      </c>
      <c r="F75" s="84">
        <v>3.95</v>
      </c>
      <c r="G75" s="84"/>
    </row>
    <row r="76" spans="1:11" ht="15" customHeight="1" x14ac:dyDescent="0.45">
      <c r="A76" s="70" t="s">
        <v>236</v>
      </c>
      <c r="B76" s="83" t="s">
        <v>80</v>
      </c>
      <c r="C76" s="84">
        <v>8.4499999999999993</v>
      </c>
      <c r="D76" s="84">
        <v>7.9</v>
      </c>
      <c r="E76" s="84">
        <v>7.25</v>
      </c>
      <c r="F76" s="84">
        <v>6.55</v>
      </c>
      <c r="G76" s="84"/>
    </row>
    <row r="77" spans="1:11" ht="15" customHeight="1" x14ac:dyDescent="0.45">
      <c r="B77" s="83" t="s">
        <v>25</v>
      </c>
      <c r="C77" s="84">
        <v>23</v>
      </c>
      <c r="D77" s="84">
        <v>20.399999999999999</v>
      </c>
      <c r="E77" s="84">
        <v>17.8</v>
      </c>
      <c r="F77" s="84">
        <v>14.9</v>
      </c>
      <c r="G77" s="84"/>
    </row>
    <row r="78" spans="1:11" ht="15" customHeight="1" x14ac:dyDescent="0.45">
      <c r="A78" s="70" t="s">
        <v>248</v>
      </c>
      <c r="B78" s="83" t="s">
        <v>28</v>
      </c>
      <c r="C78" s="84">
        <v>24.75</v>
      </c>
      <c r="D78" s="84">
        <v>21.85</v>
      </c>
      <c r="E78" s="84">
        <v>19.100000000000001</v>
      </c>
      <c r="F78" s="84">
        <v>15.2</v>
      </c>
      <c r="G78" s="84"/>
    </row>
    <row r="79" spans="1:11" ht="15" customHeight="1" x14ac:dyDescent="0.45">
      <c r="B79" s="83" t="s">
        <v>78</v>
      </c>
      <c r="C79" s="85">
        <v>2450</v>
      </c>
      <c r="D79" s="85">
        <v>2230</v>
      </c>
      <c r="E79" s="85">
        <v>1970</v>
      </c>
      <c r="F79" s="85">
        <v>1720</v>
      </c>
      <c r="G79" s="85"/>
    </row>
    <row r="80" spans="1:11" ht="15" customHeight="1" x14ac:dyDescent="0.45">
      <c r="B80" s="83" t="s">
        <v>81</v>
      </c>
      <c r="C80" s="86">
        <v>7.9861111111111122E-3</v>
      </c>
      <c r="D80" s="86">
        <v>8.217592592592594E-3</v>
      </c>
      <c r="E80" s="86">
        <v>8.7962962962962968E-3</v>
      </c>
      <c r="F80" s="86">
        <v>9.2592592592592605E-3</v>
      </c>
      <c r="G80" s="86"/>
    </row>
    <row r="81" spans="2:7" ht="15" customHeight="1" x14ac:dyDescent="0.45">
      <c r="B81" s="83" t="s">
        <v>75</v>
      </c>
      <c r="C81" s="86">
        <v>1.0127314814814815E-2</v>
      </c>
      <c r="D81" s="86">
        <v>1.0358796296296295E-2</v>
      </c>
      <c r="E81" s="86">
        <v>1.105324074074074E-2</v>
      </c>
      <c r="F81" s="86">
        <v>1.1631944444444445E-2</v>
      </c>
      <c r="G81" s="86"/>
    </row>
    <row r="82" spans="2:7" ht="15" customHeight="1" x14ac:dyDescent="0.45">
      <c r="B82" s="87" t="s">
        <v>57</v>
      </c>
      <c r="C82" s="85"/>
      <c r="D82" s="85"/>
      <c r="E82" s="85"/>
      <c r="F82" s="85"/>
      <c r="G82" s="85"/>
    </row>
    <row r="83" spans="2:7" ht="15" customHeight="1" x14ac:dyDescent="0.45">
      <c r="B83" s="83" t="s">
        <v>72</v>
      </c>
      <c r="C83" s="84">
        <v>8.5500000000000007</v>
      </c>
      <c r="D83" s="84">
        <v>8.6999999999999993</v>
      </c>
      <c r="E83" s="84">
        <v>8.9</v>
      </c>
      <c r="F83" s="84">
        <v>9.1</v>
      </c>
      <c r="G83" s="84"/>
    </row>
    <row r="84" spans="2:7" ht="15" customHeight="1" x14ac:dyDescent="0.45">
      <c r="B84" s="83" t="s">
        <v>73</v>
      </c>
      <c r="C84" s="84">
        <v>10</v>
      </c>
      <c r="D84" s="84">
        <v>10.1</v>
      </c>
      <c r="E84" s="84">
        <v>10.3</v>
      </c>
      <c r="F84" s="84">
        <v>10.75</v>
      </c>
      <c r="G84" s="84"/>
    </row>
  </sheetData>
  <sheetProtection algorithmName="SHA-512" hashValue="TaNKApnzF3bLcE0AeqgH6h4oaGkWKE/hEzjY8BfWDVXVDeNDwJAdi9RPL7ACXEQZgqKs5VoxYUCs5w0VqWAgHw==" saltValue="xB96MQHFSU+CDBj1Gqq+5Q==" spinCount="100000" sheet="1" objects="1" scenarios="1" formatCells="0" formatColumns="0" formatRows="0" sort="0" autoFilter="0"/>
  <conditionalFormatting sqref="A60:A61 A20:A26 A1 A15 A38 A40:A44 A77 A79:A1048576 A29 A64 A71:A72 A66:A67 A6 A10">
    <cfRule type="duplicateValues" dxfId="0" priority="1"/>
  </conditionalFormatting>
  <printOptions gridLines="1"/>
  <pageMargins left="0.70866141732283472" right="0.70866141732283472" top="0.74803149606299213" bottom="0.74803149606299213" header="0.31496062992125984" footer="0.31496062992125984"/>
  <pageSetup paperSize="9" orientation="portrait" r:id="rId1"/>
  <rowBreaks count="1" manualBreakCount="1">
    <brk id="4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dimension ref="A1:AG283"/>
  <sheetViews>
    <sheetView showZeros="0" topLeftCell="A79" workbookViewId="0">
      <selection activeCell="AI96" sqref="AI96"/>
    </sheetView>
  </sheetViews>
  <sheetFormatPr defaultColWidth="8.86328125" defaultRowHeight="15" customHeight="1" x14ac:dyDescent="0.35"/>
  <cols>
    <col min="1" max="1" width="32" style="64" customWidth="1"/>
    <col min="2" max="2" width="8.86328125" style="66"/>
    <col min="3" max="3" width="61.3984375" style="64" bestFit="1" customWidth="1"/>
    <col min="4" max="4" width="14" style="64" bestFit="1" customWidth="1"/>
    <col min="5" max="6" width="8.86328125" style="66"/>
    <col min="7" max="7" width="9.3984375" style="66" bestFit="1" customWidth="1"/>
    <col min="8" max="8" width="17.86328125" style="89" bestFit="1" customWidth="1"/>
    <col min="9" max="9" width="30.1328125" style="64" hidden="1" customWidth="1"/>
    <col min="10" max="12" width="8.86328125" style="64" hidden="1" customWidth="1"/>
    <col min="13" max="13" width="9.3984375" style="64" hidden="1" customWidth="1"/>
    <col min="14" max="14" width="8.86328125" style="66" hidden="1" customWidth="1"/>
    <col min="15" max="15" width="8.86328125" style="64" hidden="1" customWidth="1"/>
    <col min="16" max="16" width="11" style="64" hidden="1" customWidth="1"/>
    <col min="17" max="17" width="8.3984375" style="64" hidden="1" customWidth="1"/>
    <col min="18" max="18" width="18.73046875" style="64" hidden="1" customWidth="1"/>
    <col min="19" max="19" width="13.3984375" style="64" hidden="1" customWidth="1"/>
    <col min="20" max="24" width="8.86328125" style="64" hidden="1" customWidth="1"/>
    <col min="25" max="25" width="21.1328125" style="64" hidden="1" customWidth="1"/>
    <col min="26" max="30" width="8.86328125" style="64" hidden="1" customWidth="1"/>
    <col min="31" max="31" width="61.3984375" style="64" hidden="1" customWidth="1"/>
    <col min="32" max="33" width="8.86328125" style="64" hidden="1" customWidth="1"/>
    <col min="34" max="34" width="8.86328125" style="64" customWidth="1"/>
    <col min="35" max="16384" width="8.86328125" style="64"/>
  </cols>
  <sheetData>
    <row r="1" spans="1:33" ht="15" customHeight="1" x14ac:dyDescent="0.35">
      <c r="B1" s="66" t="s">
        <v>183</v>
      </c>
      <c r="C1" s="64" t="s">
        <v>92</v>
      </c>
      <c r="D1" s="64" t="s">
        <v>93</v>
      </c>
      <c r="E1" s="66" t="str">
        <f>B1</f>
        <v>No.</v>
      </c>
      <c r="F1" s="66" t="s">
        <v>94</v>
      </c>
      <c r="G1" s="66" t="s">
        <v>95</v>
      </c>
      <c r="H1" s="89" t="s">
        <v>96</v>
      </c>
      <c r="L1" s="64" t="s">
        <v>130</v>
      </c>
      <c r="M1" s="64" t="s">
        <v>95</v>
      </c>
      <c r="N1" s="66" t="s">
        <v>131</v>
      </c>
      <c r="P1" s="64" t="s">
        <v>608</v>
      </c>
      <c r="Q1" s="64" t="s">
        <v>609</v>
      </c>
      <c r="R1" s="64" t="s">
        <v>610</v>
      </c>
      <c r="S1" s="64" t="s">
        <v>577</v>
      </c>
      <c r="T1" s="64" t="s">
        <v>981</v>
      </c>
      <c r="U1" s="66" t="s">
        <v>516</v>
      </c>
      <c r="V1" s="66"/>
      <c r="Y1" s="64" t="s">
        <v>517</v>
      </c>
      <c r="AD1" s="371" t="s">
        <v>157</v>
      </c>
      <c r="AE1" s="64" t="s">
        <v>92</v>
      </c>
      <c r="AF1" s="64" t="s">
        <v>93</v>
      </c>
      <c r="AG1" s="64" t="s">
        <v>901</v>
      </c>
    </row>
    <row r="2" spans="1:33" ht="15" customHeight="1" x14ac:dyDescent="0.35">
      <c r="B2" s="90" t="s">
        <v>420</v>
      </c>
      <c r="C2" s="424" t="s">
        <v>1278</v>
      </c>
      <c r="D2" s="91"/>
      <c r="E2" s="90"/>
      <c r="F2" s="90"/>
      <c r="G2" s="90"/>
      <c r="H2" s="92"/>
      <c r="L2" s="64" t="s">
        <v>97</v>
      </c>
      <c r="M2" s="64" t="s">
        <v>200</v>
      </c>
      <c r="N2" s="66">
        <v>1</v>
      </c>
      <c r="P2" s="423" t="s">
        <v>1278</v>
      </c>
      <c r="Q2" s="64" t="s">
        <v>336</v>
      </c>
      <c r="R2" s="64" t="s">
        <v>411</v>
      </c>
      <c r="S2" s="64" t="s">
        <v>564</v>
      </c>
      <c r="T2" s="64" t="s">
        <v>960</v>
      </c>
      <c r="U2" s="82">
        <f>MatchDay!B13</f>
        <v>1</v>
      </c>
      <c r="V2" s="66"/>
      <c r="W2" s="66"/>
      <c r="X2" s="66"/>
      <c r="Y2" s="64" t="str">
        <f>IFERROR(VLOOKUP(U2,MatchDay!$B$13:$D$20,3,FALSE),"")</f>
        <v>C'field</v>
      </c>
      <c r="Z2" s="64" t="str">
        <f>IFERROR(VLOOKUP(U2,MatchDay!$B$13:$D$20,2,FALSE),"")</f>
        <v>Chesterfield &amp; District AC</v>
      </c>
      <c r="AD2" s="64">
        <v>299</v>
      </c>
      <c r="AE2" s="64" t="s">
        <v>572</v>
      </c>
      <c r="AF2" s="64" t="s">
        <v>652</v>
      </c>
      <c r="AG2" s="64">
        <v>1</v>
      </c>
    </row>
    <row r="3" spans="1:33" ht="15" customHeight="1" x14ac:dyDescent="0.35">
      <c r="A3" s="64" t="str">
        <f>F3&amp;G3&amp;H3&amp;B3</f>
        <v>LOWERNorthPremier East1</v>
      </c>
      <c r="B3" s="66">
        <v>1</v>
      </c>
      <c r="C3" s="64" t="s">
        <v>1305</v>
      </c>
      <c r="D3" s="371" t="str">
        <f>VLOOKUP($C3,$AE:$AF,2,FALSE)</f>
        <v>Gate</v>
      </c>
      <c r="E3" s="372">
        <f t="shared" ref="E3:E8" si="0">VLOOKUP($C3,$AE:$AG,3,FALSE)</f>
        <v>1</v>
      </c>
      <c r="F3" s="66" t="s">
        <v>97</v>
      </c>
      <c r="G3" s="66" t="s">
        <v>99</v>
      </c>
      <c r="H3" s="380" t="str">
        <f>C2</f>
        <v>Premier East</v>
      </c>
      <c r="M3" s="64" t="s">
        <v>335</v>
      </c>
      <c r="N3" s="66">
        <v>2</v>
      </c>
      <c r="P3" s="423" t="s">
        <v>1279</v>
      </c>
      <c r="Q3" s="64" t="s">
        <v>356</v>
      </c>
      <c r="R3" s="64" t="s">
        <v>412</v>
      </c>
      <c r="S3" s="64" t="s">
        <v>565</v>
      </c>
      <c r="U3" s="82">
        <f>MatchDay!B14</f>
        <v>2</v>
      </c>
      <c r="V3" s="66"/>
      <c r="W3" s="66"/>
      <c r="X3" s="66"/>
      <c r="Y3" s="64" t="str">
        <f>IFERROR(VLOOKUP(U3,MatchDay!$B$13:$D$20,3,FALSE),"")</f>
        <v>Sheff+D</v>
      </c>
      <c r="Z3" s="64" t="str">
        <f>IFERROR(VLOOKUP(U3,MatchDay!$B$13:$D$20,2,FALSE),"")</f>
        <v>City of Sheffield &amp; Dearne AC</v>
      </c>
      <c r="AD3" s="64">
        <v>97</v>
      </c>
      <c r="AE3" s="64" t="s">
        <v>1281</v>
      </c>
      <c r="AF3" s="64" t="s">
        <v>646</v>
      </c>
      <c r="AG3" s="64">
        <v>1</v>
      </c>
    </row>
    <row r="4" spans="1:33" ht="15" customHeight="1" x14ac:dyDescent="0.35">
      <c r="A4" s="64" t="str">
        <f t="shared" ref="A4:A59" si="1">F4&amp;G4&amp;H4&amp;B4</f>
        <v>LOWERNorthPremier East2</v>
      </c>
      <c r="B4" s="66">
        <v>2</v>
      </c>
      <c r="C4" s="64" t="s">
        <v>111</v>
      </c>
      <c r="D4" s="371" t="str">
        <f>VLOOKUP(C4,$AE:$AF,2,FALSE)</f>
        <v>Hallam</v>
      </c>
      <c r="E4" s="372">
        <f t="shared" si="0"/>
        <v>2</v>
      </c>
      <c r="F4" s="66" t="s">
        <v>97</v>
      </c>
      <c r="G4" s="66" t="s">
        <v>99</v>
      </c>
      <c r="H4" s="380" t="str">
        <f>H3</f>
        <v>Premier East</v>
      </c>
      <c r="M4" s="64" t="s">
        <v>419</v>
      </c>
      <c r="N4" s="66">
        <v>3</v>
      </c>
      <c r="P4" s="423" t="s">
        <v>117</v>
      </c>
      <c r="Q4" s="64" t="s">
        <v>341</v>
      </c>
      <c r="R4" s="64" t="s">
        <v>417</v>
      </c>
      <c r="S4" s="64" t="s">
        <v>566</v>
      </c>
      <c r="U4" s="82">
        <f>MatchDay!B15</f>
        <v>3</v>
      </c>
      <c r="V4" s="66"/>
      <c r="W4" s="66"/>
      <c r="X4" s="66"/>
      <c r="Y4" s="64" t="str">
        <f>IFERROR(VLOOKUP(U4,MatchDay!$B$13:$D$20,3,FALSE),"")</f>
        <v>York</v>
      </c>
      <c r="Z4" s="64" t="str">
        <f>IFERROR(VLOOKUP(U4,MatchDay!$B$13:$D$20,2,FALSE),"")</f>
        <v>City of York AC</v>
      </c>
      <c r="AD4" s="64">
        <v>26</v>
      </c>
      <c r="AE4" s="64" t="s">
        <v>127</v>
      </c>
      <c r="AF4" s="64" t="s">
        <v>622</v>
      </c>
      <c r="AG4" s="64">
        <v>1</v>
      </c>
    </row>
    <row r="5" spans="1:33" ht="15" customHeight="1" x14ac:dyDescent="0.35">
      <c r="A5" s="64" t="str">
        <f t="shared" si="1"/>
        <v>LOWERNorthPremier East3</v>
      </c>
      <c r="B5" s="66">
        <v>3</v>
      </c>
      <c r="C5" s="64" t="s">
        <v>1308</v>
      </c>
      <c r="D5" s="371" t="str">
        <f>VLOOKUP(C5,$AE:$AF,2,FALSE)</f>
        <v>H'ogate</v>
      </c>
      <c r="E5" s="372">
        <f t="shared" si="0"/>
        <v>3</v>
      </c>
      <c r="F5" s="66" t="s">
        <v>97</v>
      </c>
      <c r="G5" s="66" t="s">
        <v>99</v>
      </c>
      <c r="H5" s="380" t="str">
        <f t="shared" ref="H5:H8" si="2">H4</f>
        <v>Premier East</v>
      </c>
      <c r="M5" s="64" t="s">
        <v>563</v>
      </c>
      <c r="N5" s="66">
        <v>4</v>
      </c>
      <c r="P5" s="423" t="s">
        <v>120</v>
      </c>
      <c r="Q5" s="64" t="s">
        <v>357</v>
      </c>
      <c r="R5" s="64" t="s">
        <v>413</v>
      </c>
      <c r="U5" s="82">
        <f>MatchDay!B16</f>
        <v>4</v>
      </c>
      <c r="V5" s="66"/>
      <c r="W5" s="66"/>
      <c r="X5" s="66"/>
      <c r="Y5" s="64" t="str">
        <f>IFERROR(VLOOKUP(U5,MatchDay!$B$13:$D$20,3,FALSE),"")</f>
        <v>M'bro</v>
      </c>
      <c r="Z5" s="64" t="str">
        <f>IFERROR(VLOOKUP(U5,MatchDay!$B$13:$D$20,2,FALSE),"")</f>
        <v>Middlesbrough AC (Mandale)</v>
      </c>
      <c r="AD5" s="64">
        <v>264</v>
      </c>
      <c r="AE5" s="64" t="s">
        <v>963</v>
      </c>
      <c r="AF5" s="64" t="s">
        <v>964</v>
      </c>
      <c r="AG5" s="64">
        <v>1</v>
      </c>
    </row>
    <row r="6" spans="1:33" ht="15" customHeight="1" x14ac:dyDescent="0.35">
      <c r="A6" s="64" t="str">
        <f t="shared" si="1"/>
        <v>LOWERNorthPremier East4</v>
      </c>
      <c r="B6" s="66">
        <v>4</v>
      </c>
      <c r="C6" s="64" t="s">
        <v>104</v>
      </c>
      <c r="D6" s="371" t="str">
        <f>VLOOKUP(C6,$AE:$AF,2,FALSE)</f>
        <v>KuH</v>
      </c>
      <c r="E6" s="372">
        <f t="shared" si="0"/>
        <v>4</v>
      </c>
      <c r="F6" s="66" t="s">
        <v>97</v>
      </c>
      <c r="G6" s="66" t="s">
        <v>99</v>
      </c>
      <c r="H6" s="380" t="str">
        <f t="shared" si="2"/>
        <v>Premier East</v>
      </c>
      <c r="P6" s="64" t="s">
        <v>197</v>
      </c>
      <c r="Q6" s="64" t="s">
        <v>109</v>
      </c>
      <c r="R6" s="64" t="s">
        <v>414</v>
      </c>
      <c r="U6" s="82">
        <f>MatchDay!B17</f>
        <v>5</v>
      </c>
      <c r="V6" s="66"/>
      <c r="W6" s="66"/>
      <c r="X6" s="66"/>
      <c r="Y6" s="64" t="str">
        <f>IFERROR(VLOOKUP(U6,MatchDay!$B$13:$D$20,3,FALSE),"")</f>
        <v>Scun</v>
      </c>
      <c r="Z6" s="64" t="str">
        <f>IFERROR(VLOOKUP(U6,MatchDay!$B$13:$D$20,2,FALSE),"")</f>
        <v>Scunthorpe &amp; District AC</v>
      </c>
      <c r="AD6" s="64">
        <v>300</v>
      </c>
      <c r="AE6" s="64" t="s">
        <v>932</v>
      </c>
      <c r="AF6" s="64" t="s">
        <v>653</v>
      </c>
      <c r="AG6" s="64">
        <v>2</v>
      </c>
    </row>
    <row r="7" spans="1:33" ht="15" customHeight="1" x14ac:dyDescent="0.35">
      <c r="A7" s="64" t="str">
        <f t="shared" si="1"/>
        <v>LOWERNorthPremier East5</v>
      </c>
      <c r="B7" s="66">
        <v>5</v>
      </c>
      <c r="C7" s="64" t="s">
        <v>105</v>
      </c>
      <c r="D7" s="371" t="str">
        <f>VLOOKUP(C7,$AE:$AF,2,FALSE)</f>
        <v>Leeds C</v>
      </c>
      <c r="E7" s="372">
        <f t="shared" si="0"/>
        <v>5</v>
      </c>
      <c r="F7" s="66" t="s">
        <v>97</v>
      </c>
      <c r="G7" s="66" t="s">
        <v>99</v>
      </c>
      <c r="H7" s="380" t="str">
        <f t="shared" si="2"/>
        <v>Premier East</v>
      </c>
      <c r="P7" s="64" t="s">
        <v>198</v>
      </c>
      <c r="Q7" s="64" t="s">
        <v>113</v>
      </c>
      <c r="R7" s="64" t="s">
        <v>418</v>
      </c>
      <c r="U7" s="82" t="str">
        <f>MatchDay!B18</f>
        <v>-</v>
      </c>
      <c r="V7" s="66"/>
      <c r="W7" s="66"/>
      <c r="X7" s="66"/>
      <c r="Y7" s="64" t="str">
        <f>IFERROR(VLOOKUP(U7,MatchDay!$B$13:$D$20,3,FALSE),"")</f>
        <v/>
      </c>
      <c r="Z7" s="64" t="str">
        <f>IFERROR(VLOOKUP(U7,MatchDay!$B$13:$D$20,2,FALSE),"")</f>
        <v/>
      </c>
      <c r="AD7" s="64">
        <v>314</v>
      </c>
      <c r="AE7" s="64" t="s">
        <v>1282</v>
      </c>
      <c r="AF7" s="64" t="s">
        <v>1283</v>
      </c>
      <c r="AG7" s="64">
        <v>1</v>
      </c>
    </row>
    <row r="8" spans="1:33" ht="15" customHeight="1" x14ac:dyDescent="0.35">
      <c r="A8" s="64" t="str">
        <f t="shared" si="1"/>
        <v>LOWERNorthPremier East6</v>
      </c>
      <c r="B8" s="66">
        <v>6</v>
      </c>
      <c r="C8" s="64" t="s">
        <v>1331</v>
      </c>
      <c r="D8" s="371" t="str">
        <f>VLOOKUP(C8,$AE:$AF,2,FALSE)</f>
        <v>Roth</v>
      </c>
      <c r="E8" s="372">
        <f t="shared" si="0"/>
        <v>6</v>
      </c>
      <c r="F8" s="66" t="s">
        <v>97</v>
      </c>
      <c r="G8" s="66" t="s">
        <v>99</v>
      </c>
      <c r="H8" s="380" t="str">
        <f t="shared" si="2"/>
        <v>Premier East</v>
      </c>
      <c r="P8" s="64" t="s">
        <v>109</v>
      </c>
      <c r="Q8" s="64" t="s">
        <v>117</v>
      </c>
      <c r="R8" s="64" t="s">
        <v>416</v>
      </c>
      <c r="U8" s="82" t="str">
        <f>MatchDay!B19</f>
        <v>-</v>
      </c>
      <c r="V8" s="66"/>
      <c r="W8" s="66"/>
      <c r="X8" s="66"/>
      <c r="Y8" s="64" t="str">
        <f>IFERROR(VLOOKUP(U8,MatchDay!$B$13:$D$20,3,FALSE),"")</f>
        <v/>
      </c>
      <c r="Z8" s="64" t="str">
        <f>IFERROR(VLOOKUP(U8,MatchDay!$B$13:$D$20,2,FALSE),"")</f>
        <v/>
      </c>
      <c r="AD8" s="64">
        <v>12</v>
      </c>
      <c r="AE8" s="64" t="s">
        <v>1284</v>
      </c>
      <c r="AF8" s="64" t="s">
        <v>654</v>
      </c>
      <c r="AG8" s="64">
        <v>1</v>
      </c>
    </row>
    <row r="9" spans="1:33" ht="15" customHeight="1" x14ac:dyDescent="0.35">
      <c r="A9" s="64" t="str">
        <f t="shared" si="1"/>
        <v/>
      </c>
      <c r="D9" s="64" t="str">
        <f>LEFT(C9,5)</f>
        <v/>
      </c>
      <c r="E9" s="66">
        <f t="shared" ref="E9:E60" si="3">B9</f>
        <v>0</v>
      </c>
      <c r="P9" s="64" t="s">
        <v>113</v>
      </c>
      <c r="Q9" s="64" t="s">
        <v>120</v>
      </c>
      <c r="R9" s="64" t="s">
        <v>415</v>
      </c>
      <c r="U9" s="82" t="str">
        <f>MatchDay!B20</f>
        <v>-</v>
      </c>
      <c r="V9" s="66"/>
      <c r="W9" s="66"/>
      <c r="X9" s="66"/>
      <c r="Y9" s="64" t="str">
        <f>IFERROR(VLOOKUP(U9,MatchDay!$B$13:$D$20,3,FALSE),"")</f>
        <v/>
      </c>
      <c r="Z9" s="64" t="str">
        <f>IFERROR(VLOOKUP(U9,MatchDay!$B$13:$D$20,2,FALSE),"")</f>
        <v/>
      </c>
      <c r="AD9" s="64">
        <v>301</v>
      </c>
      <c r="AE9" s="64" t="s">
        <v>603</v>
      </c>
      <c r="AF9" s="64" t="s">
        <v>655</v>
      </c>
      <c r="AG9" s="64">
        <v>3</v>
      </c>
    </row>
    <row r="10" spans="1:33" ht="15" customHeight="1" x14ac:dyDescent="0.35">
      <c r="A10" s="64" t="str">
        <f t="shared" si="1"/>
        <v>Lower</v>
      </c>
      <c r="B10" s="90" t="s">
        <v>420</v>
      </c>
      <c r="C10" s="424" t="s">
        <v>1279</v>
      </c>
      <c r="D10" s="91"/>
      <c r="E10" s="90"/>
      <c r="F10" s="90"/>
      <c r="G10" s="90"/>
      <c r="H10" s="92"/>
      <c r="U10" s="82"/>
      <c r="V10" s="66"/>
      <c r="W10" s="66"/>
      <c r="X10" s="66"/>
      <c r="AD10" s="64">
        <v>391</v>
      </c>
      <c r="AE10" s="64" t="s">
        <v>364</v>
      </c>
      <c r="AF10" s="64" t="s">
        <v>647</v>
      </c>
      <c r="AG10" s="64">
        <v>1</v>
      </c>
    </row>
    <row r="11" spans="1:33" ht="15" customHeight="1" x14ac:dyDescent="0.35">
      <c r="A11" s="64" t="str">
        <f>F11&amp;G11&amp;H11&amp;B11</f>
        <v>LOWERNorthPremier West1</v>
      </c>
      <c r="B11" s="66">
        <v>1</v>
      </c>
      <c r="C11" s="64" t="s">
        <v>1286</v>
      </c>
      <c r="D11" s="371" t="str">
        <f t="shared" ref="D11:D17" si="4">VLOOKUP(C11,$AE:$AF,2,FALSE)</f>
        <v>Bburn</v>
      </c>
      <c r="E11" s="372">
        <f t="shared" ref="E11:E17" si="5">VLOOKUP($C11,$AE:$AG,3,FALSE)</f>
        <v>1</v>
      </c>
      <c r="F11" s="66" t="s">
        <v>97</v>
      </c>
      <c r="G11" s="66" t="s">
        <v>99</v>
      </c>
      <c r="H11" s="380" t="str">
        <f>C10</f>
        <v>Premier West</v>
      </c>
      <c r="U11" s="82">
        <v>98</v>
      </c>
      <c r="V11" s="66"/>
      <c r="W11" s="66"/>
      <c r="X11" s="66"/>
      <c r="Y11" s="64" t="s">
        <v>954</v>
      </c>
      <c r="Z11" s="64" t="s">
        <v>944</v>
      </c>
      <c r="AD11" s="64">
        <v>130</v>
      </c>
      <c r="AE11" s="64" t="s">
        <v>351</v>
      </c>
      <c r="AF11" s="64" t="s">
        <v>648</v>
      </c>
      <c r="AG11" s="64">
        <v>1</v>
      </c>
    </row>
    <row r="12" spans="1:33" ht="15" customHeight="1" x14ac:dyDescent="0.35">
      <c r="A12" s="64" t="str">
        <f t="shared" ref="A12:A17" si="6">F12&amp;G12&amp;H12&amp;B12</f>
        <v>LOWERNorthPremier West2</v>
      </c>
      <c r="B12" s="66">
        <v>2</v>
      </c>
      <c r="C12" s="64" t="s">
        <v>1317</v>
      </c>
      <c r="D12" s="371" t="str">
        <f t="shared" si="4"/>
        <v>Liv H</v>
      </c>
      <c r="E12" s="372">
        <f t="shared" si="5"/>
        <v>2</v>
      </c>
      <c r="F12" s="66" t="s">
        <v>97</v>
      </c>
      <c r="G12" s="66" t="s">
        <v>99</v>
      </c>
      <c r="H12" s="380" t="str">
        <f>H11</f>
        <v>Premier West</v>
      </c>
      <c r="U12" s="82">
        <v>99</v>
      </c>
      <c r="V12" s="66"/>
      <c r="W12" s="66"/>
      <c r="X12" s="66"/>
      <c r="Y12" s="64" t="s">
        <v>953</v>
      </c>
      <c r="Z12" s="64" t="s">
        <v>943</v>
      </c>
      <c r="AD12" s="64">
        <v>136</v>
      </c>
      <c r="AE12" s="64" t="s">
        <v>355</v>
      </c>
      <c r="AF12" s="64" t="s">
        <v>649</v>
      </c>
      <c r="AG12" s="64">
        <v>2</v>
      </c>
    </row>
    <row r="13" spans="1:33" ht="15" customHeight="1" x14ac:dyDescent="0.35">
      <c r="A13" s="64" t="str">
        <f t="shared" si="6"/>
        <v>LOWERNorthPremier West3</v>
      </c>
      <c r="B13" s="66">
        <v>3</v>
      </c>
      <c r="C13" s="64" t="s">
        <v>103</v>
      </c>
      <c r="D13" s="371" t="str">
        <f t="shared" si="4"/>
        <v>Prest</v>
      </c>
      <c r="E13" s="372">
        <f t="shared" si="5"/>
        <v>3</v>
      </c>
      <c r="F13" s="66" t="s">
        <v>97</v>
      </c>
      <c r="G13" s="66" t="s">
        <v>99</v>
      </c>
      <c r="H13" s="380" t="str">
        <f t="shared" ref="H13:H17" si="7">H12</f>
        <v>Premier West</v>
      </c>
      <c r="U13" s="82">
        <f>IFERROR(MatchDay!B13*11,"-")</f>
        <v>11</v>
      </c>
      <c r="V13" s="66"/>
      <c r="W13" s="66"/>
      <c r="X13" s="66"/>
      <c r="Y13" s="64" t="str">
        <f t="shared" ref="Y13:Z15" si="8">Y2</f>
        <v>C'field</v>
      </c>
      <c r="Z13" s="64" t="str">
        <f t="shared" si="8"/>
        <v>Chesterfield &amp; District AC</v>
      </c>
      <c r="AD13" s="64">
        <v>206</v>
      </c>
      <c r="AE13" s="64" t="s">
        <v>389</v>
      </c>
      <c r="AF13" s="64" t="s">
        <v>650</v>
      </c>
      <c r="AG13" s="64">
        <v>1</v>
      </c>
    </row>
    <row r="14" spans="1:33" ht="15" customHeight="1" x14ac:dyDescent="0.35">
      <c r="A14" s="64" t="str">
        <f t="shared" si="6"/>
        <v>LOWERNorthPremier West4</v>
      </c>
      <c r="B14" s="66">
        <v>4</v>
      </c>
      <c r="C14" s="64" t="s">
        <v>1332</v>
      </c>
      <c r="D14" s="371" t="str">
        <f t="shared" si="4"/>
        <v>Sale</v>
      </c>
      <c r="E14" s="372">
        <f t="shared" si="5"/>
        <v>4</v>
      </c>
      <c r="F14" s="66" t="s">
        <v>97</v>
      </c>
      <c r="G14" s="66" t="s">
        <v>99</v>
      </c>
      <c r="H14" s="380" t="str">
        <f t="shared" si="7"/>
        <v>Premier West</v>
      </c>
      <c r="U14" s="82">
        <f>IFERROR(MatchDay!B14*11,"-")</f>
        <v>22</v>
      </c>
      <c r="V14" s="66"/>
      <c r="W14" s="66"/>
      <c r="X14" s="66"/>
      <c r="Y14" s="64" t="str">
        <f t="shared" si="8"/>
        <v>Sheff+D</v>
      </c>
      <c r="Z14" s="64" t="str">
        <f t="shared" si="8"/>
        <v>City of Sheffield &amp; Dearne AC</v>
      </c>
      <c r="AD14" s="64">
        <v>47</v>
      </c>
      <c r="AE14" s="64" t="s">
        <v>1285</v>
      </c>
      <c r="AF14" s="64" t="s">
        <v>641</v>
      </c>
      <c r="AG14" s="64">
        <v>1</v>
      </c>
    </row>
    <row r="15" spans="1:33" ht="15" customHeight="1" x14ac:dyDescent="0.35">
      <c r="A15" s="64" t="str">
        <f t="shared" si="6"/>
        <v>LOWERNorthPremier West5</v>
      </c>
      <c r="B15" s="66">
        <v>5</v>
      </c>
      <c r="C15" s="64" t="s">
        <v>1333</v>
      </c>
      <c r="D15" s="371" t="str">
        <f t="shared" si="4"/>
        <v>Stock</v>
      </c>
      <c r="E15" s="372">
        <f t="shared" si="5"/>
        <v>5</v>
      </c>
      <c r="F15" s="66" t="s">
        <v>97</v>
      </c>
      <c r="G15" s="66" t="s">
        <v>99</v>
      </c>
      <c r="H15" s="380" t="str">
        <f t="shared" si="7"/>
        <v>Premier West</v>
      </c>
      <c r="U15" s="82">
        <f>IFERROR(MatchDay!B15*11,"-")</f>
        <v>33</v>
      </c>
      <c r="V15" s="66"/>
      <c r="W15" s="66"/>
      <c r="X15" s="66"/>
      <c r="Y15" s="64" t="str">
        <f t="shared" si="8"/>
        <v>York</v>
      </c>
      <c r="Z15" s="64" t="str">
        <f t="shared" si="8"/>
        <v>City of York AC</v>
      </c>
      <c r="AD15" s="64">
        <v>238</v>
      </c>
      <c r="AE15" s="64" t="s">
        <v>375</v>
      </c>
      <c r="AF15" s="64" t="s">
        <v>651</v>
      </c>
      <c r="AG15" s="64">
        <v>2</v>
      </c>
    </row>
    <row r="16" spans="1:33" ht="15" customHeight="1" x14ac:dyDescent="0.35">
      <c r="A16" s="64" t="str">
        <f t="shared" si="6"/>
        <v>LOWERNorthPremier West6</v>
      </c>
      <c r="B16" s="66">
        <v>6</v>
      </c>
      <c r="C16" s="64" t="s">
        <v>107</v>
      </c>
      <c r="D16" s="371" t="str">
        <f t="shared" si="4"/>
        <v>W Ches</v>
      </c>
      <c r="E16" s="372">
        <f t="shared" si="5"/>
        <v>6</v>
      </c>
      <c r="F16" s="66" t="s">
        <v>97</v>
      </c>
      <c r="G16" s="66" t="s">
        <v>99</v>
      </c>
      <c r="H16" s="380" t="str">
        <f t="shared" si="7"/>
        <v>Premier West</v>
      </c>
      <c r="U16" s="82"/>
      <c r="V16" s="66"/>
      <c r="W16" s="66"/>
      <c r="X16" s="66"/>
      <c r="AD16" s="64">
        <v>19</v>
      </c>
      <c r="AE16" s="64" t="s">
        <v>1286</v>
      </c>
      <c r="AF16" s="64" t="s">
        <v>1287</v>
      </c>
      <c r="AG16" s="64">
        <v>1</v>
      </c>
    </row>
    <row r="17" spans="1:33" ht="15" customHeight="1" x14ac:dyDescent="0.35">
      <c r="A17" s="64" t="str">
        <f t="shared" si="6"/>
        <v>LOWERNorthPremier West7</v>
      </c>
      <c r="B17" s="66">
        <v>7</v>
      </c>
      <c r="C17" s="64" t="s">
        <v>108</v>
      </c>
      <c r="D17" s="371" t="str">
        <f t="shared" si="4"/>
        <v>Wirr</v>
      </c>
      <c r="E17" s="372">
        <f t="shared" si="5"/>
        <v>7</v>
      </c>
      <c r="F17" s="66" t="s">
        <v>97</v>
      </c>
      <c r="G17" s="66" t="s">
        <v>99</v>
      </c>
      <c r="H17" s="380" t="str">
        <f t="shared" si="7"/>
        <v>Premier West</v>
      </c>
      <c r="U17" s="82">
        <f>IFERROR(MatchDay!B16*11,"-")</f>
        <v>44</v>
      </c>
      <c r="V17" s="66"/>
      <c r="W17" s="66"/>
      <c r="X17" s="66"/>
      <c r="Y17" s="64" t="str">
        <f t="shared" ref="Y17:Z21" si="9">Y5</f>
        <v>M'bro</v>
      </c>
      <c r="Z17" s="64" t="str">
        <f t="shared" si="9"/>
        <v>Middlesbrough AC (Mandale)</v>
      </c>
      <c r="AD17" s="64">
        <v>143</v>
      </c>
      <c r="AE17" s="64" t="s">
        <v>950</v>
      </c>
      <c r="AF17" s="64" t="s">
        <v>704</v>
      </c>
      <c r="AG17" s="64">
        <v>1</v>
      </c>
    </row>
    <row r="18" spans="1:33" ht="15" customHeight="1" x14ac:dyDescent="0.35">
      <c r="A18" s="64" t="str">
        <f t="shared" si="1"/>
        <v/>
      </c>
      <c r="D18" s="64" t="str">
        <f>LEFT(C18,5)</f>
        <v/>
      </c>
      <c r="E18" s="66">
        <f t="shared" si="3"/>
        <v>0</v>
      </c>
      <c r="U18" s="82">
        <f>IFERROR(MatchDay!B17*11,"-")</f>
        <v>55</v>
      </c>
      <c r="V18" s="66"/>
      <c r="W18" s="66"/>
      <c r="X18" s="66"/>
      <c r="Y18" s="64" t="str">
        <f t="shared" si="9"/>
        <v>Scun</v>
      </c>
      <c r="Z18" s="64" t="str">
        <f t="shared" si="9"/>
        <v>Scunthorpe &amp; District AC</v>
      </c>
      <c r="AD18" s="64">
        <v>34</v>
      </c>
      <c r="AE18" s="371" t="s">
        <v>124</v>
      </c>
      <c r="AF18" s="64" t="s">
        <v>629</v>
      </c>
      <c r="AG18" s="64">
        <v>1</v>
      </c>
    </row>
    <row r="19" spans="1:33" ht="15" customHeight="1" x14ac:dyDescent="0.35">
      <c r="A19" s="64" t="str">
        <f t="shared" si="1"/>
        <v>Lower</v>
      </c>
      <c r="B19" s="90" t="s">
        <v>420</v>
      </c>
      <c r="C19" s="424" t="s">
        <v>117</v>
      </c>
      <c r="D19" s="91"/>
      <c r="E19" s="90"/>
      <c r="F19" s="90"/>
      <c r="G19" s="90"/>
      <c r="H19" s="92"/>
      <c r="U19" s="82" t="str">
        <f>IFERROR(MatchDay!B18*11,"-")</f>
        <v>-</v>
      </c>
      <c r="V19" s="66"/>
      <c r="Y19" s="64" t="str">
        <f t="shared" si="9"/>
        <v/>
      </c>
      <c r="Z19" s="64" t="str">
        <f t="shared" si="9"/>
        <v/>
      </c>
      <c r="AD19" s="64">
        <v>224</v>
      </c>
      <c r="AE19" s="64" t="s">
        <v>967</v>
      </c>
      <c r="AF19" s="64" t="s">
        <v>705</v>
      </c>
      <c r="AG19" s="64">
        <v>1</v>
      </c>
    </row>
    <row r="20" spans="1:33" ht="15" customHeight="1" x14ac:dyDescent="0.35">
      <c r="A20" s="64" t="str">
        <f t="shared" si="1"/>
        <v>LOWERNorthWest 11</v>
      </c>
      <c r="B20" s="66">
        <v>1</v>
      </c>
      <c r="C20" s="64" t="s">
        <v>118</v>
      </c>
      <c r="D20" s="371" t="str">
        <f t="shared" ref="D20:D25" si="10">VLOOKUP(C20,$AE:$AF,2,FALSE)</f>
        <v>C&amp;N</v>
      </c>
      <c r="E20" s="372">
        <f t="shared" ref="E20:E25" si="11">VLOOKUP($C20,$AE:$AG,3,FALSE)</f>
        <v>1</v>
      </c>
      <c r="F20" s="66" t="s">
        <v>97</v>
      </c>
      <c r="G20" s="66" t="s">
        <v>99</v>
      </c>
      <c r="H20" s="89" t="str">
        <f>C19</f>
        <v>West 1</v>
      </c>
      <c r="U20" s="82" t="str">
        <f>IFERROR(MatchDay!B19*11,"-")</f>
        <v>-</v>
      </c>
      <c r="Y20" s="64" t="str">
        <f t="shared" si="9"/>
        <v/>
      </c>
      <c r="Z20" s="64" t="str">
        <f t="shared" si="9"/>
        <v/>
      </c>
      <c r="AD20" s="64">
        <v>20</v>
      </c>
      <c r="AE20" s="371" t="s">
        <v>979</v>
      </c>
      <c r="AF20" s="64" t="s">
        <v>620</v>
      </c>
      <c r="AG20" s="64">
        <v>2</v>
      </c>
    </row>
    <row r="21" spans="1:33" ht="15" customHeight="1" x14ac:dyDescent="0.35">
      <c r="A21" s="64" t="str">
        <f t="shared" si="1"/>
        <v>LOWERNorthWest 12</v>
      </c>
      <c r="B21" s="66">
        <v>2</v>
      </c>
      <c r="C21" s="64" t="s">
        <v>126</v>
      </c>
      <c r="D21" s="371" t="str">
        <f t="shared" si="10"/>
        <v>S'port W</v>
      </c>
      <c r="E21" s="372">
        <f t="shared" si="11"/>
        <v>2</v>
      </c>
      <c r="F21" s="66" t="s">
        <v>97</v>
      </c>
      <c r="G21" s="66" t="s">
        <v>99</v>
      </c>
      <c r="H21" s="89" t="str">
        <f>H20</f>
        <v>West 1</v>
      </c>
      <c r="U21" s="82" t="str">
        <f>IFERROR(MatchDay!B20*11,"-")</f>
        <v>-</v>
      </c>
      <c r="Y21" s="64" t="str">
        <f t="shared" si="9"/>
        <v/>
      </c>
      <c r="Z21" s="64" t="str">
        <f t="shared" si="9"/>
        <v/>
      </c>
      <c r="AD21" s="64">
        <v>35</v>
      </c>
      <c r="AE21" s="386" t="s">
        <v>1288</v>
      </c>
      <c r="AF21" s="64" t="s">
        <v>630</v>
      </c>
      <c r="AG21" s="64">
        <v>1</v>
      </c>
    </row>
    <row r="22" spans="1:33" ht="15" customHeight="1" x14ac:dyDescent="0.35">
      <c r="A22" s="64" t="str">
        <f t="shared" si="1"/>
        <v>LOWERNorthWest 13</v>
      </c>
      <c r="B22" s="66">
        <v>3</v>
      </c>
      <c r="C22" s="64" t="s">
        <v>606</v>
      </c>
      <c r="D22" s="371" t="str">
        <f t="shared" si="10"/>
        <v>T IOMY</v>
      </c>
      <c r="E22" s="372">
        <f t="shared" si="11"/>
        <v>3</v>
      </c>
      <c r="F22" s="66" t="s">
        <v>97</v>
      </c>
      <c r="G22" s="66" t="s">
        <v>99</v>
      </c>
      <c r="H22" s="89" t="str">
        <f t="shared" ref="H22:H25" si="12">H21</f>
        <v>West 1</v>
      </c>
      <c r="AD22" s="64">
        <v>330</v>
      </c>
      <c r="AE22" s="371" t="s">
        <v>1289</v>
      </c>
      <c r="AF22" s="64" t="s">
        <v>1290</v>
      </c>
      <c r="AG22" s="64">
        <v>1</v>
      </c>
    </row>
    <row r="23" spans="1:33" ht="15" customHeight="1" x14ac:dyDescent="0.35">
      <c r="A23" s="64" t="str">
        <f t="shared" si="1"/>
        <v>LOWERNorthWest 14</v>
      </c>
      <c r="B23" s="66">
        <v>4</v>
      </c>
      <c r="C23" s="64" t="s">
        <v>607</v>
      </c>
      <c r="D23" s="371" t="str">
        <f t="shared" si="10"/>
        <v>T N Cumb</v>
      </c>
      <c r="E23" s="372">
        <f t="shared" si="11"/>
        <v>4</v>
      </c>
      <c r="F23" s="66" t="s">
        <v>97</v>
      </c>
      <c r="G23" s="66" t="s">
        <v>99</v>
      </c>
      <c r="H23" s="89" t="str">
        <f t="shared" si="12"/>
        <v>West 1</v>
      </c>
      <c r="AD23" s="64">
        <v>92</v>
      </c>
      <c r="AE23" s="371" t="s">
        <v>337</v>
      </c>
      <c r="AF23" s="64" t="s">
        <v>706</v>
      </c>
      <c r="AG23" s="64">
        <v>1</v>
      </c>
    </row>
    <row r="24" spans="1:33" ht="15" customHeight="1" x14ac:dyDescent="0.35">
      <c r="A24" s="64" t="str">
        <f t="shared" si="1"/>
        <v>LOWERNorthWest 15</v>
      </c>
      <c r="B24" s="66">
        <v>5</v>
      </c>
      <c r="C24" s="64" t="s">
        <v>119</v>
      </c>
      <c r="D24" s="371" t="str">
        <f t="shared" si="10"/>
        <v>Traff</v>
      </c>
      <c r="E24" s="372">
        <f t="shared" si="11"/>
        <v>5</v>
      </c>
      <c r="F24" s="66" t="s">
        <v>97</v>
      </c>
      <c r="G24" s="66" t="s">
        <v>99</v>
      </c>
      <c r="H24" s="89" t="str">
        <f t="shared" si="12"/>
        <v>West 1</v>
      </c>
      <c r="U24" s="66"/>
      <c r="AD24" s="64">
        <v>114</v>
      </c>
      <c r="AE24" s="64" t="s">
        <v>1015</v>
      </c>
      <c r="AF24" s="64" t="s">
        <v>707</v>
      </c>
      <c r="AG24" s="64">
        <v>2</v>
      </c>
    </row>
    <row r="25" spans="1:33" ht="15" customHeight="1" x14ac:dyDescent="0.35">
      <c r="A25" s="64" t="str">
        <f t="shared" si="1"/>
        <v>LOWERNorthWest 16</v>
      </c>
      <c r="B25" s="66">
        <v>6</v>
      </c>
      <c r="C25" s="423" t="s">
        <v>1347</v>
      </c>
      <c r="D25" s="371" t="str">
        <f t="shared" si="10"/>
        <v>Wigan</v>
      </c>
      <c r="E25" s="372">
        <f t="shared" si="11"/>
        <v>6</v>
      </c>
      <c r="F25" s="66" t="s">
        <v>97</v>
      </c>
      <c r="G25" s="66" t="s">
        <v>99</v>
      </c>
      <c r="H25" s="89" t="str">
        <f t="shared" si="12"/>
        <v>West 1</v>
      </c>
      <c r="U25" s="66"/>
      <c r="AD25" s="64">
        <v>218</v>
      </c>
      <c r="AE25" s="388" t="s">
        <v>968</v>
      </c>
      <c r="AF25" s="64" t="s">
        <v>1291</v>
      </c>
      <c r="AG25" s="64">
        <v>1</v>
      </c>
    </row>
    <row r="26" spans="1:33" ht="15" customHeight="1" x14ac:dyDescent="0.35">
      <c r="A26" s="64" t="str">
        <f t="shared" si="1"/>
        <v/>
      </c>
      <c r="D26" s="64" t="str">
        <f>LEFT(C26,5)</f>
        <v/>
      </c>
      <c r="E26" s="66">
        <f t="shared" si="3"/>
        <v>0</v>
      </c>
      <c r="U26" s="66"/>
      <c r="AD26" s="64">
        <v>211</v>
      </c>
      <c r="AE26" s="64" t="s">
        <v>391</v>
      </c>
      <c r="AF26" s="64" t="s">
        <v>708</v>
      </c>
      <c r="AG26" s="64">
        <v>2</v>
      </c>
    </row>
    <row r="27" spans="1:33" ht="15" customHeight="1" x14ac:dyDescent="0.35">
      <c r="A27" s="64" t="str">
        <f t="shared" si="1"/>
        <v>Lower</v>
      </c>
      <c r="B27" s="90" t="s">
        <v>420</v>
      </c>
      <c r="C27" s="424" t="s">
        <v>120</v>
      </c>
      <c r="D27" s="91"/>
      <c r="E27" s="90"/>
      <c r="F27" s="90"/>
      <c r="G27" s="90"/>
      <c r="H27" s="92"/>
      <c r="U27" s="66"/>
      <c r="AD27" s="64">
        <v>199</v>
      </c>
      <c r="AE27" s="64" t="s">
        <v>387</v>
      </c>
      <c r="AF27" s="64" t="s">
        <v>709</v>
      </c>
      <c r="AG27" s="64">
        <v>1</v>
      </c>
    </row>
    <row r="28" spans="1:33" ht="15" customHeight="1" x14ac:dyDescent="0.35">
      <c r="A28" s="64" t="str">
        <f t="shared" si="1"/>
        <v>LOWERNorthWest 21</v>
      </c>
      <c r="B28" s="66">
        <v>1</v>
      </c>
      <c r="C28" s="64" t="s">
        <v>124</v>
      </c>
      <c r="D28" s="371" t="str">
        <f t="shared" ref="D28:D35" si="13">VLOOKUP(C28,$AE:$AF,2,FALSE)</f>
        <v>BWF</v>
      </c>
      <c r="E28" s="372">
        <f t="shared" ref="E28:E35" si="14">VLOOKUP($C28,$AE:$AG,3,FALSE)</f>
        <v>1</v>
      </c>
      <c r="F28" s="66" t="s">
        <v>97</v>
      </c>
      <c r="G28" s="66" t="s">
        <v>99</v>
      </c>
      <c r="H28" s="89" t="str">
        <f>C27</f>
        <v>West 2</v>
      </c>
      <c r="U28" s="66"/>
      <c r="AD28" s="64">
        <v>21</v>
      </c>
      <c r="AE28" s="64" t="s">
        <v>125</v>
      </c>
      <c r="AF28" s="64" t="s">
        <v>969</v>
      </c>
      <c r="AG28" s="64">
        <v>3</v>
      </c>
    </row>
    <row r="29" spans="1:33" ht="15" customHeight="1" x14ac:dyDescent="0.35">
      <c r="A29" s="64" t="str">
        <f t="shared" si="1"/>
        <v>LOWERNorthWest 22</v>
      </c>
      <c r="B29" s="66">
        <v>2</v>
      </c>
      <c r="C29" s="64" t="s">
        <v>979</v>
      </c>
      <c r="D29" s="371" t="str">
        <f t="shared" si="13"/>
        <v>Bolt</v>
      </c>
      <c r="E29" s="372">
        <f t="shared" si="14"/>
        <v>2</v>
      </c>
      <c r="F29" s="66" t="s">
        <v>97</v>
      </c>
      <c r="G29" s="66" t="s">
        <v>99</v>
      </c>
      <c r="H29" s="89" t="str">
        <f>H28</f>
        <v>West 2</v>
      </c>
      <c r="U29" s="66"/>
      <c r="AD29" s="64">
        <v>98</v>
      </c>
      <c r="AE29" s="64" t="s">
        <v>362</v>
      </c>
      <c r="AF29" s="64" t="s">
        <v>710</v>
      </c>
      <c r="AG29" s="64">
        <v>3</v>
      </c>
    </row>
    <row r="30" spans="1:33" ht="15" customHeight="1" x14ac:dyDescent="0.35">
      <c r="A30" s="64" t="str">
        <f t="shared" si="1"/>
        <v>LOWERNorthWest 23</v>
      </c>
      <c r="B30" s="66">
        <v>3</v>
      </c>
      <c r="C30" s="64" t="s">
        <v>125</v>
      </c>
      <c r="D30" s="371" t="str">
        <f t="shared" si="13"/>
        <v>Bury</v>
      </c>
      <c r="E30" s="372">
        <f t="shared" si="14"/>
        <v>3</v>
      </c>
      <c r="F30" s="66" t="s">
        <v>97</v>
      </c>
      <c r="G30" s="66" t="s">
        <v>99</v>
      </c>
      <c r="H30" s="89" t="str">
        <f t="shared" ref="H30:H35" si="15">H29</f>
        <v>West 2</v>
      </c>
      <c r="U30" s="66"/>
      <c r="AD30" s="64">
        <v>173</v>
      </c>
      <c r="AE30" s="64" t="s">
        <v>933</v>
      </c>
      <c r="AF30" s="64" t="s">
        <v>711</v>
      </c>
      <c r="AG30" s="64">
        <v>3</v>
      </c>
    </row>
    <row r="31" spans="1:33" ht="15" customHeight="1" x14ac:dyDescent="0.35">
      <c r="A31" s="64" t="str">
        <f t="shared" si="1"/>
        <v>LOWERNorthWest 24</v>
      </c>
      <c r="B31" s="66">
        <v>4</v>
      </c>
      <c r="C31" s="64" t="s">
        <v>799</v>
      </c>
      <c r="D31" s="371" t="str">
        <f t="shared" si="13"/>
        <v>Dees</v>
      </c>
      <c r="E31" s="372">
        <f t="shared" si="14"/>
        <v>4</v>
      </c>
      <c r="F31" s="66" t="s">
        <v>97</v>
      </c>
      <c r="G31" s="66" t="s">
        <v>99</v>
      </c>
      <c r="H31" s="89" t="str">
        <f t="shared" si="15"/>
        <v>West 2</v>
      </c>
      <c r="U31" s="66"/>
      <c r="AD31" s="64">
        <v>193</v>
      </c>
      <c r="AE31" s="64" t="s">
        <v>381</v>
      </c>
      <c r="AF31" s="64" t="s">
        <v>712</v>
      </c>
      <c r="AG31" s="64">
        <v>1</v>
      </c>
    </row>
    <row r="32" spans="1:33" ht="15" customHeight="1" x14ac:dyDescent="0.35">
      <c r="A32" s="64" t="str">
        <f t="shared" si="1"/>
        <v>LOWERNorthWest 25</v>
      </c>
      <c r="B32" s="66">
        <v>5</v>
      </c>
      <c r="C32" s="64" t="s">
        <v>593</v>
      </c>
      <c r="D32" s="371" t="str">
        <f t="shared" si="13"/>
        <v>ECHT</v>
      </c>
      <c r="E32" s="372">
        <f t="shared" si="14"/>
        <v>5</v>
      </c>
      <c r="F32" s="66" t="s">
        <v>97</v>
      </c>
      <c r="G32" s="66" t="s">
        <v>99</v>
      </c>
      <c r="H32" s="89" t="str">
        <f t="shared" si="15"/>
        <v>West 2</v>
      </c>
      <c r="U32" s="66"/>
      <c r="AD32" s="64">
        <v>219</v>
      </c>
      <c r="AE32" s="64" t="s">
        <v>398</v>
      </c>
      <c r="AF32" s="64" t="s">
        <v>713</v>
      </c>
      <c r="AG32" s="64">
        <v>2</v>
      </c>
    </row>
    <row r="33" spans="1:33" ht="15" customHeight="1" x14ac:dyDescent="0.35">
      <c r="A33" s="64" t="str">
        <f t="shared" si="1"/>
        <v>LOWERNorthWest 26</v>
      </c>
      <c r="B33" s="66">
        <v>6</v>
      </c>
      <c r="C33" s="64" t="s">
        <v>196</v>
      </c>
      <c r="D33" s="371" t="str">
        <f t="shared" si="13"/>
        <v>L&amp;M</v>
      </c>
      <c r="E33" s="372">
        <f t="shared" si="14"/>
        <v>6</v>
      </c>
      <c r="F33" s="66" t="s">
        <v>97</v>
      </c>
      <c r="G33" s="66" t="s">
        <v>99</v>
      </c>
      <c r="H33" s="89" t="str">
        <f t="shared" si="15"/>
        <v>West 2</v>
      </c>
      <c r="U33" s="66"/>
      <c r="AD33" s="64">
        <v>219</v>
      </c>
      <c r="AE33" s="64" t="s">
        <v>398</v>
      </c>
      <c r="AF33" s="64" t="s">
        <v>713</v>
      </c>
      <c r="AG33" s="64">
        <v>2</v>
      </c>
    </row>
    <row r="34" spans="1:33" ht="15" customHeight="1" x14ac:dyDescent="0.35">
      <c r="A34" s="64" t="str">
        <f t="shared" ref="A34" si="16">F34&amp;G34&amp;H34&amp;B34</f>
        <v>LOWERNorthWest 27</v>
      </c>
      <c r="B34" s="66">
        <v>7</v>
      </c>
      <c r="C34" s="64" t="s">
        <v>1318</v>
      </c>
      <c r="D34" s="371" t="str">
        <f t="shared" si="13"/>
        <v>Macc</v>
      </c>
      <c r="E34" s="372">
        <f t="shared" si="14"/>
        <v>7</v>
      </c>
      <c r="F34" s="66" t="s">
        <v>97</v>
      </c>
      <c r="G34" s="66" t="s">
        <v>99</v>
      </c>
      <c r="H34" s="89" t="str">
        <f t="shared" si="15"/>
        <v>West 2</v>
      </c>
      <c r="U34" s="66"/>
      <c r="AD34" s="64">
        <v>220</v>
      </c>
      <c r="AE34" s="64" t="s">
        <v>1292</v>
      </c>
      <c r="AF34" s="64" t="s">
        <v>1293</v>
      </c>
      <c r="AG34" s="64">
        <v>3</v>
      </c>
    </row>
    <row r="35" spans="1:33" ht="15" customHeight="1" x14ac:dyDescent="0.35">
      <c r="A35" s="64" t="str">
        <f t="shared" si="1"/>
        <v>LOWERNorthWest 28</v>
      </c>
      <c r="B35" s="66">
        <v>8</v>
      </c>
      <c r="C35" s="425" t="s">
        <v>936</v>
      </c>
      <c r="D35" s="371" t="str">
        <f t="shared" si="13"/>
        <v>Menai</v>
      </c>
      <c r="E35" s="372">
        <f t="shared" si="14"/>
        <v>8</v>
      </c>
      <c r="F35" s="66" t="s">
        <v>97</v>
      </c>
      <c r="G35" s="66" t="s">
        <v>99</v>
      </c>
      <c r="H35" s="89" t="str">
        <f t="shared" si="15"/>
        <v>West 2</v>
      </c>
      <c r="U35" s="66"/>
      <c r="AD35" s="64">
        <v>61</v>
      </c>
      <c r="AE35" s="64" t="s">
        <v>567</v>
      </c>
      <c r="AF35" s="64" t="s">
        <v>656</v>
      </c>
      <c r="AG35" s="64">
        <v>1</v>
      </c>
    </row>
    <row r="36" spans="1:33" ht="15" customHeight="1" x14ac:dyDescent="0.35">
      <c r="A36" s="64" t="str">
        <f t="shared" si="1"/>
        <v/>
      </c>
      <c r="D36" s="64" t="str">
        <f>LEFT(C36,5)</f>
        <v/>
      </c>
      <c r="E36" s="66">
        <f t="shared" si="3"/>
        <v>0</v>
      </c>
      <c r="U36" s="66"/>
      <c r="AD36" s="64">
        <v>188</v>
      </c>
      <c r="AE36" s="64" t="s">
        <v>376</v>
      </c>
      <c r="AF36" s="64" t="s">
        <v>714</v>
      </c>
      <c r="AG36" s="64">
        <v>2</v>
      </c>
    </row>
    <row r="37" spans="1:33" ht="15" customHeight="1" x14ac:dyDescent="0.35">
      <c r="A37" s="64" t="str">
        <f t="shared" si="1"/>
        <v>Lower</v>
      </c>
      <c r="B37" s="90" t="s">
        <v>420</v>
      </c>
      <c r="C37" s="424" t="s">
        <v>197</v>
      </c>
      <c r="D37" s="91"/>
      <c r="E37" s="90"/>
      <c r="F37" s="90"/>
      <c r="G37" s="90"/>
      <c r="H37" s="92"/>
      <c r="U37" s="66"/>
      <c r="AD37" s="64">
        <v>221</v>
      </c>
      <c r="AE37" s="64" t="s">
        <v>399</v>
      </c>
      <c r="AF37" s="64" t="s">
        <v>715</v>
      </c>
      <c r="AG37" s="64">
        <v>4</v>
      </c>
    </row>
    <row r="38" spans="1:33" ht="15" customHeight="1" x14ac:dyDescent="0.35">
      <c r="A38" s="64" t="str">
        <f t="shared" si="1"/>
        <v>LOWERNorthWest 3S1</v>
      </c>
      <c r="B38" s="66">
        <v>1</v>
      </c>
      <c r="C38" s="64" t="s">
        <v>127</v>
      </c>
      <c r="D38" s="371" t="str">
        <f t="shared" ref="D38:D44" si="17">VLOOKUP(C38,$AE:$AF,2,FALSE)</f>
        <v>Alt</v>
      </c>
      <c r="E38" s="372">
        <f t="shared" ref="E38:E44" si="18">VLOOKUP($C38,$AE:$AG,3,FALSE)</f>
        <v>1</v>
      </c>
      <c r="F38" s="66" t="s">
        <v>97</v>
      </c>
      <c r="G38" s="66" t="s">
        <v>99</v>
      </c>
      <c r="H38" s="89" t="str">
        <f>C37</f>
        <v>West 3S</v>
      </c>
      <c r="U38" s="66"/>
      <c r="AD38" s="64">
        <v>7</v>
      </c>
      <c r="AE38" s="64" t="s">
        <v>98</v>
      </c>
      <c r="AF38" s="64" t="s">
        <v>615</v>
      </c>
      <c r="AG38" s="64">
        <v>1</v>
      </c>
    </row>
    <row r="39" spans="1:33" ht="15" customHeight="1" x14ac:dyDescent="0.35">
      <c r="A39" s="64" t="str">
        <f t="shared" si="1"/>
        <v>LOWERNorthWest 3S2</v>
      </c>
      <c r="B39" s="66">
        <v>2</v>
      </c>
      <c r="C39" s="64" t="s">
        <v>1297</v>
      </c>
      <c r="D39" s="371" t="str">
        <f t="shared" si="17"/>
        <v>Colwyn</v>
      </c>
      <c r="E39" s="372">
        <f t="shared" si="18"/>
        <v>2</v>
      </c>
      <c r="F39" s="66" t="s">
        <v>97</v>
      </c>
      <c r="G39" s="66" t="s">
        <v>99</v>
      </c>
      <c r="H39" s="89" t="str">
        <f>H38</f>
        <v>West 3S</v>
      </c>
      <c r="U39" s="66"/>
      <c r="AD39" s="64">
        <v>125</v>
      </c>
      <c r="AE39" s="64" t="s">
        <v>978</v>
      </c>
      <c r="AF39" s="64" t="s">
        <v>1294</v>
      </c>
      <c r="AG39" s="64">
        <v>4</v>
      </c>
    </row>
    <row r="40" spans="1:33" ht="15" customHeight="1" x14ac:dyDescent="0.35">
      <c r="A40" s="64" t="str">
        <f t="shared" si="1"/>
        <v>LOWERNorthWest 3S3</v>
      </c>
      <c r="B40" s="66">
        <v>3</v>
      </c>
      <c r="C40" s="64" t="s">
        <v>1319</v>
      </c>
      <c r="D40" s="371" t="str">
        <f t="shared" si="17"/>
        <v>Manc H</v>
      </c>
      <c r="E40" s="372">
        <f t="shared" si="18"/>
        <v>3</v>
      </c>
      <c r="F40" s="66" t="s">
        <v>97</v>
      </c>
      <c r="G40" s="66" t="s">
        <v>99</v>
      </c>
      <c r="H40" s="89" t="str">
        <f t="shared" ref="H40:H44" si="19">H39</f>
        <v>West 3S</v>
      </c>
      <c r="U40" s="66">
        <f>V18</f>
        <v>0</v>
      </c>
      <c r="AD40" s="64">
        <v>105</v>
      </c>
      <c r="AE40" s="371" t="s">
        <v>977</v>
      </c>
      <c r="AF40" s="64" t="s">
        <v>716</v>
      </c>
      <c r="AG40" s="64">
        <v>1</v>
      </c>
    </row>
    <row r="41" spans="1:33" ht="15" customHeight="1" x14ac:dyDescent="0.35">
      <c r="A41" s="64" t="str">
        <f t="shared" si="1"/>
        <v>LOWERNorthWest 3S4</v>
      </c>
      <c r="B41" s="66">
        <v>4</v>
      </c>
      <c r="C41" s="64" t="s">
        <v>129</v>
      </c>
      <c r="D41" s="371" t="str">
        <f t="shared" si="17"/>
        <v>Salf M</v>
      </c>
      <c r="E41" s="372">
        <f t="shared" si="18"/>
        <v>4</v>
      </c>
      <c r="F41" s="66" t="s">
        <v>97</v>
      </c>
      <c r="G41" s="66" t="s">
        <v>99</v>
      </c>
      <c r="H41" s="89" t="str">
        <f t="shared" si="19"/>
        <v>West 3S</v>
      </c>
      <c r="U41" s="66">
        <f>V19</f>
        <v>0</v>
      </c>
      <c r="AD41" s="64">
        <v>36</v>
      </c>
      <c r="AE41" s="371" t="s">
        <v>1295</v>
      </c>
      <c r="AF41" s="64" t="s">
        <v>631</v>
      </c>
      <c r="AG41" s="64">
        <v>2</v>
      </c>
    </row>
    <row r="42" spans="1:33" ht="15" customHeight="1" x14ac:dyDescent="0.35">
      <c r="A42" s="64" t="str">
        <f t="shared" si="1"/>
        <v>LOWERNorthWest 3S5</v>
      </c>
      <c r="B42" s="66">
        <v>5</v>
      </c>
      <c r="C42" s="423" t="s">
        <v>938</v>
      </c>
      <c r="D42" s="371" t="str">
        <f t="shared" si="17"/>
        <v>SHS</v>
      </c>
      <c r="E42" s="372">
        <f t="shared" si="18"/>
        <v>5</v>
      </c>
      <c r="F42" s="66" t="s">
        <v>97</v>
      </c>
      <c r="G42" s="66" t="s">
        <v>99</v>
      </c>
      <c r="H42" s="89" t="str">
        <f t="shared" si="19"/>
        <v>West 3S</v>
      </c>
      <c r="AD42" s="64">
        <v>93</v>
      </c>
      <c r="AE42" s="64" t="s">
        <v>360</v>
      </c>
      <c r="AF42" s="64" t="s">
        <v>717</v>
      </c>
      <c r="AG42" s="64">
        <v>3</v>
      </c>
    </row>
    <row r="43" spans="1:33" ht="15" customHeight="1" x14ac:dyDescent="0.35">
      <c r="A43" s="64" t="str">
        <f t="shared" si="1"/>
        <v>LOWERNorthWest 3S6</v>
      </c>
      <c r="B43" s="66">
        <v>6</v>
      </c>
      <c r="C43" s="382" t="s">
        <v>123</v>
      </c>
      <c r="D43" s="371" t="str">
        <f t="shared" si="17"/>
        <v>Warr</v>
      </c>
      <c r="E43" s="372">
        <f t="shared" si="18"/>
        <v>6</v>
      </c>
      <c r="F43" s="66" t="s">
        <v>97</v>
      </c>
      <c r="G43" s="66" t="s">
        <v>99</v>
      </c>
      <c r="H43" s="89" t="str">
        <f t="shared" si="19"/>
        <v>West 3S</v>
      </c>
      <c r="AD43" s="64">
        <v>8</v>
      </c>
      <c r="AE43" s="64" t="s">
        <v>100</v>
      </c>
      <c r="AF43" s="64" t="s">
        <v>793</v>
      </c>
      <c r="AG43" s="64">
        <v>2</v>
      </c>
    </row>
    <row r="44" spans="1:33" ht="15" customHeight="1" x14ac:dyDescent="0.35">
      <c r="A44" s="64" t="str">
        <f t="shared" si="1"/>
        <v>LOWERNorthWest 3S7</v>
      </c>
      <c r="B44" s="66">
        <v>7</v>
      </c>
      <c r="C44" s="64" t="s">
        <v>800</v>
      </c>
      <c r="D44" s="371" t="str">
        <f t="shared" si="17"/>
        <v>Wrex</v>
      </c>
      <c r="E44" s="372">
        <f t="shared" si="18"/>
        <v>7</v>
      </c>
      <c r="F44" s="66" t="s">
        <v>97</v>
      </c>
      <c r="G44" s="66" t="s">
        <v>99</v>
      </c>
      <c r="H44" s="89" t="str">
        <f t="shared" si="19"/>
        <v>West 3S</v>
      </c>
      <c r="AD44" s="64">
        <v>194</v>
      </c>
      <c r="AE44" s="64" t="s">
        <v>382</v>
      </c>
      <c r="AF44" s="64" t="s">
        <v>446</v>
      </c>
      <c r="AG44" s="64">
        <v>3</v>
      </c>
    </row>
    <row r="45" spans="1:33" ht="15" customHeight="1" x14ac:dyDescent="0.35">
      <c r="A45" s="64" t="str">
        <f t="shared" si="1"/>
        <v/>
      </c>
      <c r="D45" s="64" t="str">
        <f>LEFT(C45,5)</f>
        <v/>
      </c>
      <c r="E45" s="66">
        <f t="shared" si="3"/>
        <v>0</v>
      </c>
      <c r="AD45" s="64">
        <v>41</v>
      </c>
      <c r="AE45" s="64" t="s">
        <v>112</v>
      </c>
      <c r="AF45" s="64" t="s">
        <v>636</v>
      </c>
      <c r="AG45" s="64">
        <v>3</v>
      </c>
    </row>
    <row r="46" spans="1:33" ht="15" customHeight="1" x14ac:dyDescent="0.35">
      <c r="A46" s="64" t="str">
        <f t="shared" si="1"/>
        <v>Lower</v>
      </c>
      <c r="B46" s="90" t="s">
        <v>420</v>
      </c>
      <c r="C46" s="424" t="s">
        <v>198</v>
      </c>
      <c r="D46" s="91"/>
      <c r="E46" s="90"/>
      <c r="F46" s="90"/>
      <c r="G46" s="90"/>
      <c r="H46" s="92"/>
      <c r="AD46" s="64">
        <v>291</v>
      </c>
      <c r="AE46" s="64" t="s">
        <v>1296</v>
      </c>
      <c r="AF46" s="64" t="s">
        <v>890</v>
      </c>
      <c r="AG46" s="64">
        <v>2</v>
      </c>
    </row>
    <row r="47" spans="1:33" ht="15" customHeight="1" x14ac:dyDescent="0.35">
      <c r="A47" s="64" t="str">
        <f t="shared" si="1"/>
        <v>LOWERNorthWest 3N1</v>
      </c>
      <c r="B47" s="66">
        <v>1</v>
      </c>
      <c r="C47" s="64" t="s">
        <v>1288</v>
      </c>
      <c r="D47" s="371" t="str">
        <f t="shared" ref="D47:D52" si="20">VLOOKUP(C47,$AE:$AF,2,FALSE)</f>
        <v>Bord H</v>
      </c>
      <c r="E47" s="372">
        <f t="shared" ref="E47:E52" si="21">VLOOKUP($C47,$AE:$AG,3,FALSE)</f>
        <v>1</v>
      </c>
      <c r="F47" s="66" t="s">
        <v>97</v>
      </c>
      <c r="G47" s="66" t="s">
        <v>99</v>
      </c>
      <c r="H47" s="89" t="str">
        <f>C46</f>
        <v>West 3N</v>
      </c>
      <c r="AD47" s="64">
        <v>27</v>
      </c>
      <c r="AE47" s="64" t="s">
        <v>1297</v>
      </c>
      <c r="AF47" s="64" t="s">
        <v>1298</v>
      </c>
      <c r="AG47" s="64">
        <v>2</v>
      </c>
    </row>
    <row r="48" spans="1:33" ht="15" customHeight="1" x14ac:dyDescent="0.35">
      <c r="A48" s="64" t="str">
        <f t="shared" si="1"/>
        <v>LOWERNorthWest 3N2</v>
      </c>
      <c r="B48" s="66">
        <v>2</v>
      </c>
      <c r="C48" s="425" t="s">
        <v>1295</v>
      </c>
      <c r="D48" s="371" t="str">
        <f t="shared" si="20"/>
        <v>Chor ATC</v>
      </c>
      <c r="E48" s="372">
        <f t="shared" si="21"/>
        <v>2</v>
      </c>
      <c r="F48" s="66" t="s">
        <v>97</v>
      </c>
      <c r="G48" s="66" t="s">
        <v>99</v>
      </c>
      <c r="H48" s="89" t="str">
        <f>H47</f>
        <v>West 3N</v>
      </c>
      <c r="AD48" s="64">
        <v>195</v>
      </c>
      <c r="AE48" s="64" t="s">
        <v>383</v>
      </c>
      <c r="AF48" s="64" t="s">
        <v>718</v>
      </c>
      <c r="AG48" s="64">
        <v>4</v>
      </c>
    </row>
    <row r="49" spans="1:33" ht="15" customHeight="1" x14ac:dyDescent="0.35">
      <c r="A49" s="64" t="str">
        <f t="shared" si="1"/>
        <v>LOWERNorthWest 3N3</v>
      </c>
      <c r="B49" s="66">
        <v>3</v>
      </c>
      <c r="C49" s="64" t="s">
        <v>121</v>
      </c>
      <c r="D49" s="371" t="str">
        <f t="shared" si="20"/>
        <v>Horw</v>
      </c>
      <c r="E49" s="372">
        <f t="shared" si="21"/>
        <v>3</v>
      </c>
      <c r="F49" s="66" t="s">
        <v>97</v>
      </c>
      <c r="G49" s="66" t="s">
        <v>99</v>
      </c>
      <c r="H49" s="89" t="str">
        <f t="shared" ref="H49:H52" si="22">H48</f>
        <v>West 3N</v>
      </c>
      <c r="AD49" s="64">
        <v>99</v>
      </c>
      <c r="AE49" s="64" t="s">
        <v>340</v>
      </c>
      <c r="AF49" s="64" t="s">
        <v>719</v>
      </c>
      <c r="AG49" s="64">
        <v>4</v>
      </c>
    </row>
    <row r="50" spans="1:33" ht="15" customHeight="1" x14ac:dyDescent="0.35">
      <c r="A50" s="64" t="str">
        <f t="shared" si="1"/>
        <v>LOWERNorthWest 3N4</v>
      </c>
      <c r="B50" s="66">
        <v>4</v>
      </c>
      <c r="C50" s="64" t="s">
        <v>128</v>
      </c>
      <c r="D50" s="371" t="str">
        <f t="shared" si="20"/>
        <v>Hynd</v>
      </c>
      <c r="E50" s="372">
        <f t="shared" si="21"/>
        <v>4</v>
      </c>
      <c r="F50" s="66" t="s">
        <v>97</v>
      </c>
      <c r="G50" s="66" t="s">
        <v>99</v>
      </c>
      <c r="H50" s="89" t="str">
        <f t="shared" si="22"/>
        <v>West 3N</v>
      </c>
      <c r="AD50" s="64">
        <v>9</v>
      </c>
      <c r="AE50" s="64" t="s">
        <v>118</v>
      </c>
      <c r="AF50" s="64" t="s">
        <v>616</v>
      </c>
      <c r="AG50" s="64">
        <v>1</v>
      </c>
    </row>
    <row r="51" spans="1:33" ht="15" customHeight="1" x14ac:dyDescent="0.35">
      <c r="A51" s="64" t="str">
        <f t="shared" si="1"/>
        <v>LOWERNorthWest 3N5</v>
      </c>
      <c r="B51" s="66">
        <v>5</v>
      </c>
      <c r="C51" s="64" t="s">
        <v>1316</v>
      </c>
      <c r="D51" s="371" t="str">
        <f t="shared" si="20"/>
        <v>Leigh</v>
      </c>
      <c r="E51" s="372">
        <f t="shared" si="21"/>
        <v>5</v>
      </c>
      <c r="F51" s="66" t="s">
        <v>97</v>
      </c>
      <c r="G51" s="66" t="s">
        <v>99</v>
      </c>
      <c r="H51" s="89" t="str">
        <f t="shared" si="22"/>
        <v>West 3N</v>
      </c>
      <c r="AD51" s="64">
        <v>74</v>
      </c>
      <c r="AE51" s="64" t="s">
        <v>358</v>
      </c>
      <c r="AF51" s="64" t="s">
        <v>720</v>
      </c>
      <c r="AG51" s="64">
        <v>2</v>
      </c>
    </row>
    <row r="52" spans="1:33" ht="15" customHeight="1" x14ac:dyDescent="0.35">
      <c r="A52" s="64" t="str">
        <f t="shared" si="1"/>
        <v>LOWERNorthWest 3N6</v>
      </c>
      <c r="B52" s="66">
        <v>6</v>
      </c>
      <c r="C52" s="64" t="s">
        <v>1328</v>
      </c>
      <c r="D52" s="371" t="str">
        <f t="shared" si="20"/>
        <v>O&amp;R</v>
      </c>
      <c r="E52" s="372">
        <f t="shared" si="21"/>
        <v>6</v>
      </c>
      <c r="F52" s="66" t="s">
        <v>97</v>
      </c>
      <c r="G52" s="66" t="s">
        <v>99</v>
      </c>
      <c r="H52" s="89" t="str">
        <f t="shared" si="22"/>
        <v>West 3N</v>
      </c>
      <c r="AD52" s="64">
        <v>225</v>
      </c>
      <c r="AE52" s="64" t="s">
        <v>401</v>
      </c>
      <c r="AF52" s="64" t="s">
        <v>721</v>
      </c>
      <c r="AG52" s="64">
        <v>1</v>
      </c>
    </row>
    <row r="53" spans="1:33" ht="15" customHeight="1" x14ac:dyDescent="0.35">
      <c r="A53" s="64" t="str">
        <f t="shared" si="1"/>
        <v/>
      </c>
      <c r="D53" s="64" t="str">
        <f>LEFT(C53,5)</f>
        <v/>
      </c>
      <c r="E53" s="66">
        <f t="shared" si="3"/>
        <v>0</v>
      </c>
      <c r="AD53" s="64">
        <v>131</v>
      </c>
      <c r="AE53" s="64" t="s">
        <v>1299</v>
      </c>
      <c r="AF53" s="64" t="s">
        <v>722</v>
      </c>
      <c r="AG53" s="64">
        <v>2</v>
      </c>
    </row>
    <row r="54" spans="1:33" ht="15" customHeight="1" x14ac:dyDescent="0.35">
      <c r="A54" s="64" t="str">
        <f t="shared" si="1"/>
        <v>Lower</v>
      </c>
      <c r="B54" s="90" t="s">
        <v>420</v>
      </c>
      <c r="C54" s="424" t="s">
        <v>109</v>
      </c>
      <c r="D54" s="91"/>
      <c r="E54" s="90"/>
      <c r="F54" s="90"/>
      <c r="G54" s="90"/>
      <c r="H54" s="92"/>
      <c r="AD54" s="64">
        <v>207</v>
      </c>
      <c r="AE54" s="64" t="s">
        <v>1300</v>
      </c>
      <c r="AF54" s="64" t="s">
        <v>723</v>
      </c>
      <c r="AG54" s="64">
        <v>2</v>
      </c>
    </row>
    <row r="55" spans="1:33" ht="15" customHeight="1" x14ac:dyDescent="0.35">
      <c r="A55" s="64" t="str">
        <f t="shared" si="1"/>
        <v>LOWERNorthEast 11</v>
      </c>
      <c r="B55" s="66">
        <v>1</v>
      </c>
      <c r="C55" s="64" t="s">
        <v>98</v>
      </c>
      <c r="D55" s="371" t="str">
        <f>VLOOKUP(C55,$AE:$AF,2,FALSE)</f>
        <v>C'field</v>
      </c>
      <c r="E55" s="372">
        <f>VLOOKUP($C55,$AE:$AG,3,FALSE)</f>
        <v>1</v>
      </c>
      <c r="F55" s="66" t="s">
        <v>97</v>
      </c>
      <c r="G55" s="66" t="s">
        <v>99</v>
      </c>
      <c r="H55" s="89" t="str">
        <f>C54</f>
        <v>East 1</v>
      </c>
      <c r="AD55" s="64">
        <v>28</v>
      </c>
      <c r="AE55" s="64" t="s">
        <v>799</v>
      </c>
      <c r="AF55" s="64" t="s">
        <v>623</v>
      </c>
      <c r="AG55" s="64">
        <v>4</v>
      </c>
    </row>
    <row r="56" spans="1:33" ht="15" customHeight="1" x14ac:dyDescent="0.35">
      <c r="A56" s="64" t="str">
        <f t="shared" si="1"/>
        <v>LOWERNorthEast 12</v>
      </c>
      <c r="B56" s="66">
        <v>2</v>
      </c>
      <c r="C56" s="64" t="s">
        <v>100</v>
      </c>
      <c r="D56" s="371" t="str">
        <f>VLOOKUP(C56,$AE:$AF,2,FALSE)</f>
        <v>Sheff+D</v>
      </c>
      <c r="E56" s="372">
        <f>VLOOKUP($C56,$AE:$AG,3,FALSE)</f>
        <v>2</v>
      </c>
      <c r="F56" s="66" t="s">
        <v>97</v>
      </c>
      <c r="G56" s="66" t="s">
        <v>99</v>
      </c>
      <c r="H56" s="89" t="str">
        <f>H55</f>
        <v>East 1</v>
      </c>
      <c r="AD56" s="64">
        <v>200</v>
      </c>
      <c r="AE56" s="64" t="s">
        <v>388</v>
      </c>
      <c r="AF56" s="64" t="s">
        <v>1301</v>
      </c>
      <c r="AG56" s="64">
        <v>1</v>
      </c>
    </row>
    <row r="57" spans="1:33" ht="15" customHeight="1" x14ac:dyDescent="0.35">
      <c r="A57" s="64" t="str">
        <f t="shared" si="1"/>
        <v>LOWERNorthEast 13</v>
      </c>
      <c r="B57" s="66">
        <v>3</v>
      </c>
      <c r="C57" s="64" t="s">
        <v>112</v>
      </c>
      <c r="D57" s="371" t="str">
        <f>VLOOKUP(C57,$AE:$AF,2,FALSE)</f>
        <v>York</v>
      </c>
      <c r="E57" s="372">
        <f>VLOOKUP($C57,$AE:$AG,3,FALSE)</f>
        <v>3</v>
      </c>
      <c r="F57" s="66" t="s">
        <v>97</v>
      </c>
      <c r="G57" s="66" t="s">
        <v>99</v>
      </c>
      <c r="H57" s="89" t="str">
        <f t="shared" ref="H57:H59" si="23">H56</f>
        <v>East 1</v>
      </c>
      <c r="AD57" s="64">
        <v>42</v>
      </c>
      <c r="AE57" s="64" t="s">
        <v>110</v>
      </c>
      <c r="AF57" s="64" t="s">
        <v>637</v>
      </c>
      <c r="AG57" s="64">
        <v>2</v>
      </c>
    </row>
    <row r="58" spans="1:33" ht="15" customHeight="1" x14ac:dyDescent="0.35">
      <c r="A58" s="64" t="str">
        <f t="shared" si="1"/>
        <v>LOWERNorthEast 14</v>
      </c>
      <c r="B58" s="66">
        <v>4</v>
      </c>
      <c r="C58" s="64" t="s">
        <v>594</v>
      </c>
      <c r="D58" s="371" t="str">
        <f>VLOOKUP(C58,$AE:$AF,2,FALSE)</f>
        <v>M'bro</v>
      </c>
      <c r="E58" s="372">
        <f>VLOOKUP($C58,$AE:$AG,3,FALSE)</f>
        <v>4</v>
      </c>
      <c r="F58" s="66" t="s">
        <v>97</v>
      </c>
      <c r="G58" s="66" t="s">
        <v>99</v>
      </c>
      <c r="H58" s="89" t="str">
        <f t="shared" si="23"/>
        <v>East 1</v>
      </c>
      <c r="AD58" s="64">
        <v>212</v>
      </c>
      <c r="AE58" s="64" t="s">
        <v>392</v>
      </c>
      <c r="AF58" s="64" t="s">
        <v>724</v>
      </c>
      <c r="AG58" s="64">
        <v>3</v>
      </c>
    </row>
    <row r="59" spans="1:33" ht="15" customHeight="1" x14ac:dyDescent="0.35">
      <c r="A59" s="64" t="str">
        <f t="shared" si="1"/>
        <v>LOWERNorthEast 15</v>
      </c>
      <c r="B59" s="66">
        <v>5</v>
      </c>
      <c r="C59" s="64" t="s">
        <v>115</v>
      </c>
      <c r="D59" s="371" t="str">
        <f>VLOOKUP(C59,$AE:$AF,2,FALSE)</f>
        <v>Scun</v>
      </c>
      <c r="E59" s="372">
        <f>VLOOKUP($C59,$AE:$AG,3,FALSE)</f>
        <v>5</v>
      </c>
      <c r="F59" s="66" t="s">
        <v>97</v>
      </c>
      <c r="G59" s="66" t="s">
        <v>99</v>
      </c>
      <c r="H59" s="89" t="str">
        <f t="shared" si="23"/>
        <v>East 1</v>
      </c>
      <c r="AD59" s="64">
        <v>103</v>
      </c>
      <c r="AE59" s="64" t="s">
        <v>578</v>
      </c>
      <c r="AF59" s="64" t="s">
        <v>657</v>
      </c>
      <c r="AG59" s="64">
        <v>4</v>
      </c>
    </row>
    <row r="60" spans="1:33" ht="15" customHeight="1" x14ac:dyDescent="0.35">
      <c r="D60" s="64" t="str">
        <f>LEFT(C60,5)</f>
        <v/>
      </c>
      <c r="E60" s="66">
        <f t="shared" si="3"/>
        <v>0</v>
      </c>
      <c r="AD60" s="64">
        <v>104</v>
      </c>
      <c r="AE60" s="64" t="s">
        <v>1280</v>
      </c>
      <c r="AF60" s="64" t="s">
        <v>1302</v>
      </c>
      <c r="AG60" s="64">
        <v>3</v>
      </c>
    </row>
    <row r="61" spans="1:33" ht="15" customHeight="1" x14ac:dyDescent="0.35">
      <c r="A61" s="64" t="str">
        <f t="shared" ref="A61:A82" si="24">F61&amp;G61&amp;H61&amp;B61</f>
        <v>Lower</v>
      </c>
      <c r="B61" s="90" t="s">
        <v>420</v>
      </c>
      <c r="C61" s="424" t="s">
        <v>113</v>
      </c>
      <c r="D61" s="91"/>
      <c r="E61" s="90"/>
      <c r="F61" s="90"/>
      <c r="G61" s="90"/>
      <c r="H61" s="92"/>
      <c r="AD61" s="64">
        <v>22</v>
      </c>
      <c r="AE61" s="64" t="s">
        <v>593</v>
      </c>
      <c r="AF61" s="64" t="s">
        <v>1303</v>
      </c>
      <c r="AG61" s="64">
        <v>5</v>
      </c>
    </row>
    <row r="62" spans="1:33" ht="15" customHeight="1" x14ac:dyDescent="0.35">
      <c r="A62" s="64" t="str">
        <f t="shared" si="24"/>
        <v>LOWERNorthEast 21</v>
      </c>
      <c r="B62" s="66">
        <v>1</v>
      </c>
      <c r="C62" s="64" t="s">
        <v>1285</v>
      </c>
      <c r="D62" s="371" t="str">
        <f>VLOOKUP(C62,$AE:$AF,2,FALSE)</f>
        <v>Bing</v>
      </c>
      <c r="E62" s="372">
        <f>VLOOKUP($C62,$AE:$AG,3,FALSE)</f>
        <v>1</v>
      </c>
      <c r="F62" s="66" t="s">
        <v>97</v>
      </c>
      <c r="G62" s="66" t="s">
        <v>99</v>
      </c>
      <c r="H62" s="89" t="str">
        <f>C61</f>
        <v>East 2</v>
      </c>
      <c r="AD62" s="64">
        <v>137</v>
      </c>
      <c r="AE62" s="64" t="s">
        <v>370</v>
      </c>
      <c r="AF62" s="64" t="s">
        <v>725</v>
      </c>
      <c r="AG62" s="64">
        <v>2</v>
      </c>
    </row>
    <row r="63" spans="1:33" ht="15" customHeight="1" x14ac:dyDescent="0.35">
      <c r="A63" s="64" t="str">
        <f t="shared" si="24"/>
        <v>LOWERNorthEast 22</v>
      </c>
      <c r="B63" s="66">
        <v>2</v>
      </c>
      <c r="C63" s="64" t="s">
        <v>110</v>
      </c>
      <c r="D63" s="371" t="str">
        <f>VLOOKUP(C63,$AE:$AF,2,FALSE)</f>
        <v>Donc</v>
      </c>
      <c r="E63" s="372">
        <f>VLOOKUP($C63,$AE:$AG,3,FALSE)</f>
        <v>2</v>
      </c>
      <c r="F63" s="66" t="s">
        <v>97</v>
      </c>
      <c r="G63" s="66" t="s">
        <v>99</v>
      </c>
      <c r="H63" s="89" t="str">
        <f>H62</f>
        <v>East 2</v>
      </c>
      <c r="AD63" s="64">
        <v>113</v>
      </c>
      <c r="AE63" s="64" t="s">
        <v>599</v>
      </c>
      <c r="AF63" s="64" t="s">
        <v>658</v>
      </c>
      <c r="AG63" s="64">
        <v>2</v>
      </c>
    </row>
    <row r="64" spans="1:33" ht="15" customHeight="1" x14ac:dyDescent="0.35">
      <c r="A64" s="64" t="str">
        <f t="shared" si="24"/>
        <v>LOWERNorthEast 23</v>
      </c>
      <c r="B64" s="66">
        <v>3</v>
      </c>
      <c r="C64" s="425" t="s">
        <v>1306</v>
      </c>
      <c r="D64" s="371" t="str">
        <f>VLOOKUP(C64,$AE:$AF,2,FALSE)</f>
        <v>G&amp;L</v>
      </c>
      <c r="E64" s="372">
        <f>VLOOKUP($C64,$AE:$AG,3,FALSE)</f>
        <v>3</v>
      </c>
      <c r="F64" s="66" t="s">
        <v>97</v>
      </c>
      <c r="G64" s="66" t="s">
        <v>99</v>
      </c>
      <c r="H64" s="89" t="str">
        <f t="shared" ref="H64:H66" si="25">H63</f>
        <v>East 2</v>
      </c>
      <c r="AD64" s="64">
        <v>231</v>
      </c>
      <c r="AE64" s="64" t="s">
        <v>596</v>
      </c>
      <c r="AF64" s="64" t="s">
        <v>1304</v>
      </c>
      <c r="AG64" s="64">
        <v>2</v>
      </c>
    </row>
    <row r="65" spans="1:33" ht="15" customHeight="1" x14ac:dyDescent="0.35">
      <c r="A65" s="64" t="str">
        <f t="shared" si="24"/>
        <v>LOWERNorthEast 24</v>
      </c>
      <c r="B65" s="66">
        <v>4</v>
      </c>
      <c r="C65" s="64" t="s">
        <v>114</v>
      </c>
      <c r="D65" s="371" t="str">
        <f>VLOOKUP(C65,$AE:$AF,2,FALSE)</f>
        <v>Linc W</v>
      </c>
      <c r="E65" s="372">
        <f>VLOOKUP($C65,$AE:$AG,3,FALSE)</f>
        <v>4</v>
      </c>
      <c r="F65" s="66" t="s">
        <v>97</v>
      </c>
      <c r="G65" s="66" t="s">
        <v>99</v>
      </c>
      <c r="H65" s="89" t="str">
        <f t="shared" si="25"/>
        <v>East 2</v>
      </c>
      <c r="AD65" s="64">
        <v>1</v>
      </c>
      <c r="AE65" s="64" t="s">
        <v>1305</v>
      </c>
      <c r="AF65" s="64" t="s">
        <v>611</v>
      </c>
      <c r="AG65" s="64">
        <v>1</v>
      </c>
    </row>
    <row r="66" spans="1:33" ht="15" customHeight="1" x14ac:dyDescent="0.35">
      <c r="A66" s="64" t="str">
        <f t="shared" si="24"/>
        <v>LOWERNorthEast 25</v>
      </c>
      <c r="B66" s="66">
        <v>5</v>
      </c>
      <c r="C66" s="64" t="s">
        <v>116</v>
      </c>
      <c r="D66" s="371" t="str">
        <f>VLOOKUP(C66,$AE:$AF,2,FALSE)</f>
        <v>Spen</v>
      </c>
      <c r="E66" s="372">
        <f>VLOOKUP($C66,$AE:$AG,3,FALSE)</f>
        <v>5</v>
      </c>
      <c r="F66" s="66" t="s">
        <v>97</v>
      </c>
      <c r="G66" s="66" t="s">
        <v>99</v>
      </c>
      <c r="H66" s="89" t="str">
        <f t="shared" si="25"/>
        <v>East 2</v>
      </c>
      <c r="AD66" s="64">
        <v>127</v>
      </c>
      <c r="AE66" s="64" t="s">
        <v>1014</v>
      </c>
      <c r="AF66" s="64" t="s">
        <v>659</v>
      </c>
      <c r="AG66" s="64">
        <v>3</v>
      </c>
    </row>
    <row r="67" spans="1:33" ht="15" customHeight="1" x14ac:dyDescent="0.35">
      <c r="A67" s="64" t="str">
        <f t="shared" si="24"/>
        <v/>
      </c>
      <c r="D67" s="64" t="str">
        <f>LEFT(C67,5)</f>
        <v/>
      </c>
      <c r="E67" s="66">
        <f>B67</f>
        <v>0</v>
      </c>
      <c r="AD67" s="64">
        <v>226</v>
      </c>
      <c r="AE67" s="387" t="s">
        <v>402</v>
      </c>
      <c r="AF67" s="64" t="s">
        <v>726</v>
      </c>
      <c r="AG67" s="64">
        <v>2</v>
      </c>
    </row>
    <row r="68" spans="1:33" ht="15" customHeight="1" x14ac:dyDescent="0.35">
      <c r="A68" s="64" t="str">
        <f t="shared" si="24"/>
        <v>Lower</v>
      </c>
      <c r="B68" s="93" t="s">
        <v>420</v>
      </c>
      <c r="C68" s="94" t="s">
        <v>336</v>
      </c>
      <c r="D68" s="94"/>
      <c r="E68" s="93"/>
      <c r="F68" s="93"/>
      <c r="G68" s="93"/>
      <c r="H68" s="95"/>
      <c r="AD68" s="64">
        <v>49</v>
      </c>
      <c r="AE68" s="64" t="s">
        <v>1306</v>
      </c>
      <c r="AF68" s="64" t="s">
        <v>1307</v>
      </c>
      <c r="AG68" s="64">
        <v>3</v>
      </c>
    </row>
    <row r="69" spans="1:33" ht="15" customHeight="1" x14ac:dyDescent="0.35">
      <c r="A69" s="64" t="str">
        <f t="shared" si="24"/>
        <v>LOWERSouthPremier 11</v>
      </c>
      <c r="B69" s="66">
        <v>1</v>
      </c>
      <c r="C69" s="371" t="s">
        <v>950</v>
      </c>
      <c r="D69" s="371" t="str">
        <f t="shared" ref="D69:D74" si="26">VLOOKUP(C69,$AE:$AF,2,FALSE)</f>
        <v>B&amp;B</v>
      </c>
      <c r="E69" s="372">
        <f t="shared" ref="E69:E74" si="27">VLOOKUP($C69,$AE:$AG,3,FALSE)</f>
        <v>1</v>
      </c>
      <c r="F69" s="66" t="s">
        <v>97</v>
      </c>
      <c r="G69" s="66" t="s">
        <v>372</v>
      </c>
      <c r="H69" s="89" t="str">
        <f>C68</f>
        <v>Premier 1</v>
      </c>
      <c r="AD69" s="64">
        <v>100</v>
      </c>
      <c r="AE69" s="64" t="s">
        <v>339</v>
      </c>
      <c r="AF69" s="64" t="s">
        <v>727</v>
      </c>
      <c r="AG69" s="64">
        <v>5</v>
      </c>
    </row>
    <row r="70" spans="1:33" ht="15" customHeight="1" x14ac:dyDescent="0.35">
      <c r="A70" s="64" t="str">
        <f t="shared" si="24"/>
        <v>LOWERSouthPremier 12</v>
      </c>
      <c r="B70" s="66">
        <v>2</v>
      </c>
      <c r="C70" s="64" t="s">
        <v>358</v>
      </c>
      <c r="D70" s="371" t="str">
        <f t="shared" si="26"/>
        <v>Croy</v>
      </c>
      <c r="E70" s="372">
        <f t="shared" si="27"/>
        <v>2</v>
      </c>
      <c r="F70" s="66" t="s">
        <v>97</v>
      </c>
      <c r="G70" s="66" t="s">
        <v>372</v>
      </c>
      <c r="H70" s="89" t="str">
        <f>H69</f>
        <v>Premier 1</v>
      </c>
      <c r="AD70" s="64">
        <v>213</v>
      </c>
      <c r="AE70" s="64" t="s">
        <v>393</v>
      </c>
      <c r="AF70" s="64" t="s">
        <v>728</v>
      </c>
      <c r="AG70" s="64">
        <v>4</v>
      </c>
    </row>
    <row r="71" spans="1:33" ht="15" customHeight="1" x14ac:dyDescent="0.35">
      <c r="A71" s="64" t="str">
        <f t="shared" si="24"/>
        <v>LOWERSouthPremier 13</v>
      </c>
      <c r="B71" s="66">
        <v>3</v>
      </c>
      <c r="C71" s="64" t="s">
        <v>361</v>
      </c>
      <c r="D71" s="371" t="str">
        <f t="shared" si="26"/>
        <v>Have</v>
      </c>
      <c r="E71" s="372">
        <f t="shared" si="27"/>
        <v>3</v>
      </c>
      <c r="F71" s="66" t="s">
        <v>97</v>
      </c>
      <c r="G71" s="66" t="s">
        <v>372</v>
      </c>
      <c r="H71" s="89" t="str">
        <f t="shared" ref="H71:H74" si="28">H70</f>
        <v>Premier 1</v>
      </c>
      <c r="AD71" s="64">
        <v>43</v>
      </c>
      <c r="AE71" s="64" t="s">
        <v>111</v>
      </c>
      <c r="AF71" s="64" t="s">
        <v>638</v>
      </c>
      <c r="AG71" s="64">
        <v>2</v>
      </c>
    </row>
    <row r="72" spans="1:33" ht="15" customHeight="1" x14ac:dyDescent="0.35">
      <c r="A72" s="64" t="str">
        <f t="shared" si="24"/>
        <v>LOWERSouthPremier 14</v>
      </c>
      <c r="B72" s="66">
        <v>4</v>
      </c>
      <c r="C72" s="64" t="s">
        <v>365</v>
      </c>
      <c r="D72" s="371" t="str">
        <f t="shared" si="26"/>
        <v>HHH</v>
      </c>
      <c r="E72" s="372">
        <f t="shared" si="27"/>
        <v>4</v>
      </c>
      <c r="F72" s="66" t="s">
        <v>97</v>
      </c>
      <c r="G72" s="66" t="s">
        <v>372</v>
      </c>
      <c r="H72" s="89" t="str">
        <f t="shared" si="28"/>
        <v>Premier 1</v>
      </c>
      <c r="AD72" s="64">
        <v>10</v>
      </c>
      <c r="AE72" s="64" t="s">
        <v>1308</v>
      </c>
      <c r="AF72" s="64" t="s">
        <v>1309</v>
      </c>
      <c r="AG72" s="64">
        <v>3</v>
      </c>
    </row>
    <row r="73" spans="1:33" ht="15" customHeight="1" x14ac:dyDescent="0.35">
      <c r="A73" s="64" t="str">
        <f t="shared" si="24"/>
        <v>LOWERSouthPremier 15</v>
      </c>
      <c r="B73" s="66">
        <v>5</v>
      </c>
      <c r="C73" s="64" t="s">
        <v>346</v>
      </c>
      <c r="D73" s="371" t="str">
        <f t="shared" si="26"/>
        <v>Read</v>
      </c>
      <c r="E73" s="372">
        <f t="shared" si="27"/>
        <v>5</v>
      </c>
      <c r="F73" s="66" t="s">
        <v>97</v>
      </c>
      <c r="G73" s="66" t="s">
        <v>372</v>
      </c>
      <c r="H73" s="89" t="str">
        <f t="shared" si="28"/>
        <v>Premier 1</v>
      </c>
      <c r="AD73" s="64">
        <v>106</v>
      </c>
      <c r="AE73" s="64" t="s">
        <v>342</v>
      </c>
      <c r="AF73" s="64" t="s">
        <v>729</v>
      </c>
      <c r="AG73" s="64">
        <v>2</v>
      </c>
    </row>
    <row r="74" spans="1:33" ht="15" customHeight="1" x14ac:dyDescent="0.35">
      <c r="A74" s="64" t="str">
        <f t="shared" si="24"/>
        <v>LOWERSouthPremier 16</v>
      </c>
      <c r="B74" s="66">
        <v>6</v>
      </c>
      <c r="C74" s="64" t="s">
        <v>347</v>
      </c>
      <c r="D74" s="371" t="str">
        <f t="shared" si="26"/>
        <v>Tonb</v>
      </c>
      <c r="E74" s="372">
        <f t="shared" si="27"/>
        <v>6</v>
      </c>
      <c r="F74" s="66" t="s">
        <v>97</v>
      </c>
      <c r="G74" s="66" t="s">
        <v>372</v>
      </c>
      <c r="H74" s="89" t="str">
        <f t="shared" si="28"/>
        <v>Premier 1</v>
      </c>
      <c r="AD74" s="64">
        <v>89</v>
      </c>
      <c r="AE74" s="64" t="s">
        <v>354</v>
      </c>
      <c r="AF74" s="64" t="s">
        <v>730</v>
      </c>
      <c r="AG74" s="64">
        <v>3</v>
      </c>
    </row>
    <row r="75" spans="1:33" ht="15" customHeight="1" x14ac:dyDescent="0.35">
      <c r="A75" s="64" t="str">
        <f t="shared" si="24"/>
        <v/>
      </c>
      <c r="AD75" s="64">
        <v>126</v>
      </c>
      <c r="AE75" s="64" t="s">
        <v>366</v>
      </c>
      <c r="AF75" s="64" t="s">
        <v>731</v>
      </c>
      <c r="AG75" s="64">
        <v>5</v>
      </c>
    </row>
    <row r="76" spans="1:33" ht="15" customHeight="1" x14ac:dyDescent="0.35">
      <c r="A76" s="64" t="str">
        <f t="shared" si="24"/>
        <v>Lower</v>
      </c>
      <c r="B76" s="93" t="s">
        <v>420</v>
      </c>
      <c r="C76" s="94" t="s">
        <v>117</v>
      </c>
      <c r="D76" s="94"/>
      <c r="E76" s="93"/>
      <c r="F76" s="93"/>
      <c r="G76" s="93"/>
      <c r="H76" s="95"/>
      <c r="AD76" s="64">
        <v>94</v>
      </c>
      <c r="AE76" s="64" t="s">
        <v>361</v>
      </c>
      <c r="AF76" s="64" t="s">
        <v>732</v>
      </c>
      <c r="AG76" s="64">
        <v>3</v>
      </c>
    </row>
    <row r="77" spans="1:33" ht="15" customHeight="1" x14ac:dyDescent="0.35">
      <c r="A77" s="64" t="str">
        <f t="shared" si="24"/>
        <v>LOWERSouthWest 11</v>
      </c>
      <c r="B77" s="66">
        <v>1</v>
      </c>
      <c r="C77" s="425" t="s">
        <v>1289</v>
      </c>
      <c r="D77" s="371" t="str">
        <f t="shared" ref="D77:D82" si="29">VLOOKUP(C77,$AE:$AF,2,FALSE)</f>
        <v>B&amp;NFJ</v>
      </c>
      <c r="E77" s="372">
        <f t="shared" ref="E77:E82" si="30">VLOOKUP($C77,$AE:$AG,3,FALSE)</f>
        <v>1</v>
      </c>
      <c r="F77" s="66" t="s">
        <v>97</v>
      </c>
      <c r="G77" s="66" t="s">
        <v>372</v>
      </c>
      <c r="H77" s="89" t="str">
        <f>C76</f>
        <v>West 1</v>
      </c>
      <c r="AD77" s="64">
        <v>309</v>
      </c>
      <c r="AE77" s="64" t="s">
        <v>1310</v>
      </c>
      <c r="AF77" s="64" t="s">
        <v>976</v>
      </c>
      <c r="AG77" s="64">
        <v>3</v>
      </c>
    </row>
    <row r="78" spans="1:33" ht="15" customHeight="1" x14ac:dyDescent="0.35">
      <c r="A78" s="64" t="str">
        <f t="shared" si="24"/>
        <v>LOWERSouthWest 12</v>
      </c>
      <c r="B78" s="66">
        <v>2</v>
      </c>
      <c r="C78" s="64" t="s">
        <v>363</v>
      </c>
      <c r="D78" s="371" t="str">
        <f t="shared" si="29"/>
        <v>Horsh BS</v>
      </c>
      <c r="E78" s="372">
        <f t="shared" si="30"/>
        <v>2</v>
      </c>
      <c r="F78" s="66" t="s">
        <v>97</v>
      </c>
      <c r="G78" s="66" t="s">
        <v>372</v>
      </c>
      <c r="H78" s="89" t="str">
        <f>H77</f>
        <v>West 1</v>
      </c>
      <c r="AD78" s="64">
        <v>232</v>
      </c>
      <c r="AE78" s="64" t="s">
        <v>406</v>
      </c>
      <c r="AF78" s="64" t="s">
        <v>733</v>
      </c>
      <c r="AG78" s="64">
        <v>3</v>
      </c>
    </row>
    <row r="79" spans="1:33" ht="15" customHeight="1" x14ac:dyDescent="0.35">
      <c r="A79" s="64" t="str">
        <f t="shared" si="24"/>
        <v>LOWERSouthWest 13</v>
      </c>
      <c r="B79" s="66">
        <v>3</v>
      </c>
      <c r="C79" s="425" t="s">
        <v>1314</v>
      </c>
      <c r="D79" s="371" t="str">
        <f t="shared" si="29"/>
        <v>KP</v>
      </c>
      <c r="E79" s="372">
        <f t="shared" si="30"/>
        <v>3</v>
      </c>
      <c r="F79" s="66" t="s">
        <v>97</v>
      </c>
      <c r="G79" s="66" t="s">
        <v>372</v>
      </c>
      <c r="H79" s="89" t="str">
        <f t="shared" ref="H79:H82" si="31">H78</f>
        <v>West 1</v>
      </c>
      <c r="AD79" s="64">
        <v>121</v>
      </c>
      <c r="AE79" s="64" t="s">
        <v>365</v>
      </c>
      <c r="AF79" s="64" t="s">
        <v>1311</v>
      </c>
      <c r="AG79" s="64">
        <v>4</v>
      </c>
    </row>
    <row r="80" spans="1:33" ht="15" customHeight="1" x14ac:dyDescent="0.35">
      <c r="A80" s="64" t="str">
        <f t="shared" si="24"/>
        <v>LOWERSouthWest 14</v>
      </c>
      <c r="B80" s="66">
        <v>4</v>
      </c>
      <c r="C80" s="425" t="s">
        <v>595</v>
      </c>
      <c r="D80" s="371" t="str">
        <f t="shared" si="29"/>
        <v>Dorset</v>
      </c>
      <c r="E80" s="372">
        <f t="shared" si="30"/>
        <v>4</v>
      </c>
      <c r="F80" s="66" t="s">
        <v>97</v>
      </c>
      <c r="G80" s="66" t="s">
        <v>372</v>
      </c>
      <c r="H80" s="89" t="str">
        <f t="shared" si="31"/>
        <v>West 1</v>
      </c>
      <c r="AD80" s="64">
        <v>132</v>
      </c>
      <c r="AE80" s="64" t="s">
        <v>368</v>
      </c>
      <c r="AF80" s="64" t="s">
        <v>734</v>
      </c>
      <c r="AG80" s="64">
        <v>4</v>
      </c>
    </row>
    <row r="81" spans="1:33" ht="15" customHeight="1" x14ac:dyDescent="0.35">
      <c r="A81" s="64" t="str">
        <f t="shared" si="24"/>
        <v>LOWERSouthWest 15</v>
      </c>
      <c r="B81" s="66">
        <v>5</v>
      </c>
      <c r="C81" s="64" t="s">
        <v>367</v>
      </c>
      <c r="D81" s="371" t="str">
        <f t="shared" si="29"/>
        <v>Walt</v>
      </c>
      <c r="E81" s="372">
        <f t="shared" si="30"/>
        <v>5</v>
      </c>
      <c r="F81" s="66" t="s">
        <v>97</v>
      </c>
      <c r="G81" s="66" t="s">
        <v>372</v>
      </c>
      <c r="H81" s="89" t="str">
        <f t="shared" si="31"/>
        <v>West 1</v>
      </c>
      <c r="AD81" s="64">
        <v>133</v>
      </c>
      <c r="AE81" s="64" t="s">
        <v>352</v>
      </c>
      <c r="AF81" s="64" t="s">
        <v>1312</v>
      </c>
      <c r="AG81" s="64">
        <v>3</v>
      </c>
    </row>
    <row r="82" spans="1:33" ht="15" customHeight="1" x14ac:dyDescent="0.35">
      <c r="A82" s="64" t="str">
        <f t="shared" si="24"/>
        <v>LOWERSouthWest 16</v>
      </c>
      <c r="B82" s="66">
        <v>6</v>
      </c>
      <c r="C82" s="425" t="s">
        <v>798</v>
      </c>
      <c r="D82" s="371" t="str">
        <f t="shared" si="29"/>
        <v>WSEH</v>
      </c>
      <c r="E82" s="372">
        <f t="shared" si="30"/>
        <v>6</v>
      </c>
      <c r="F82" s="66" t="s">
        <v>97</v>
      </c>
      <c r="G82" s="66" t="s">
        <v>372</v>
      </c>
      <c r="H82" s="89" t="str">
        <f t="shared" si="31"/>
        <v>West 1</v>
      </c>
      <c r="AD82" s="64">
        <v>139</v>
      </c>
      <c r="AE82" s="64" t="s">
        <v>934</v>
      </c>
      <c r="AF82" s="64" t="s">
        <v>735</v>
      </c>
      <c r="AG82" s="64">
        <v>5</v>
      </c>
    </row>
    <row r="83" spans="1:33" ht="15" customHeight="1" x14ac:dyDescent="0.35">
      <c r="AD83" s="64">
        <v>101</v>
      </c>
      <c r="AE83" s="64" t="s">
        <v>363</v>
      </c>
      <c r="AF83" s="64" t="s">
        <v>736</v>
      </c>
      <c r="AG83" s="64">
        <v>2</v>
      </c>
    </row>
    <row r="84" spans="1:33" ht="15" customHeight="1" x14ac:dyDescent="0.35">
      <c r="A84" s="64" t="str">
        <f t="shared" ref="A84:A112" si="32">F84&amp;G84&amp;H84&amp;B84</f>
        <v>Lower</v>
      </c>
      <c r="B84" s="93" t="s">
        <v>420</v>
      </c>
      <c r="C84" s="94" t="s">
        <v>341</v>
      </c>
      <c r="D84" s="94"/>
      <c r="E84" s="93"/>
      <c r="F84" s="93"/>
      <c r="G84" s="93"/>
      <c r="H84" s="95"/>
      <c r="AD84" s="64">
        <v>37</v>
      </c>
      <c r="AE84" s="64" t="s">
        <v>121</v>
      </c>
      <c r="AF84" s="64" t="s">
        <v>632</v>
      </c>
      <c r="AG84" s="64">
        <v>3</v>
      </c>
    </row>
    <row r="85" spans="1:33" ht="15" customHeight="1" x14ac:dyDescent="0.35">
      <c r="A85" s="64" t="str">
        <f t="shared" si="32"/>
        <v>LOWERSouthCentral 11</v>
      </c>
      <c r="B85" s="66">
        <v>1</v>
      </c>
      <c r="C85" s="64" t="s">
        <v>977</v>
      </c>
      <c r="D85" s="371" t="str">
        <f t="shared" ref="D85:D92" si="33">VLOOKUP(C85,$AE:$AF,2,FALSE)</f>
        <v>Chilt</v>
      </c>
      <c r="E85" s="372">
        <f t="shared" ref="E85:E92" si="34">VLOOKUP($C85,$AE:$AG,3,FALSE)</f>
        <v>1</v>
      </c>
      <c r="F85" s="66" t="s">
        <v>97</v>
      </c>
      <c r="G85" s="66" t="s">
        <v>372</v>
      </c>
      <c r="H85" s="89" t="str">
        <f>C84</f>
        <v>Central 1</v>
      </c>
      <c r="AD85" s="64">
        <v>38</v>
      </c>
      <c r="AE85" s="64" t="s">
        <v>128</v>
      </c>
      <c r="AF85" s="64" t="s">
        <v>633</v>
      </c>
      <c r="AG85" s="64">
        <v>4</v>
      </c>
    </row>
    <row r="86" spans="1:33" ht="15" customHeight="1" x14ac:dyDescent="0.35">
      <c r="A86" s="64" t="str">
        <f t="shared" si="32"/>
        <v>LOWERSouthCentral 12</v>
      </c>
      <c r="B86" s="66">
        <v>2</v>
      </c>
      <c r="C86" s="64" t="s">
        <v>342</v>
      </c>
      <c r="D86" s="371" t="str">
        <f t="shared" si="33"/>
        <v>Harrow</v>
      </c>
      <c r="E86" s="372">
        <f t="shared" si="34"/>
        <v>2</v>
      </c>
      <c r="F86" s="66" t="s">
        <v>97</v>
      </c>
      <c r="G86" s="66" t="s">
        <v>372</v>
      </c>
      <c r="H86" s="89" t="str">
        <f>H85</f>
        <v>Central 1</v>
      </c>
      <c r="AD86" s="64">
        <v>303</v>
      </c>
      <c r="AE86" s="64" t="s">
        <v>935</v>
      </c>
      <c r="AF86" s="64" t="s">
        <v>660</v>
      </c>
      <c r="AG86" s="64">
        <v>5</v>
      </c>
    </row>
    <row r="87" spans="1:33" ht="15" customHeight="1" x14ac:dyDescent="0.35">
      <c r="A87" s="64" t="str">
        <f t="shared" si="32"/>
        <v>LOWERSouthCentral 13</v>
      </c>
      <c r="B87" s="66">
        <v>3</v>
      </c>
      <c r="C87" s="64" t="s">
        <v>352</v>
      </c>
      <c r="D87" s="371" t="str">
        <f t="shared" si="33"/>
        <v>Hil'don</v>
      </c>
      <c r="E87" s="372">
        <f t="shared" si="34"/>
        <v>3</v>
      </c>
      <c r="F87" s="66" t="s">
        <v>97</v>
      </c>
      <c r="G87" s="66" t="s">
        <v>372</v>
      </c>
      <c r="H87" s="89" t="str">
        <f t="shared" ref="H87:H92" si="35">H86</f>
        <v>Central 1</v>
      </c>
      <c r="AD87" s="64">
        <v>304</v>
      </c>
      <c r="AE87" s="64" t="s">
        <v>604</v>
      </c>
      <c r="AF87" s="64" t="s">
        <v>661</v>
      </c>
      <c r="AG87" s="64">
        <v>6</v>
      </c>
    </row>
    <row r="88" spans="1:33" ht="15" customHeight="1" x14ac:dyDescent="0.35">
      <c r="A88" s="64" t="str">
        <f t="shared" si="32"/>
        <v>LOWERSouthCentral 14</v>
      </c>
      <c r="B88" s="66">
        <v>4</v>
      </c>
      <c r="C88" s="64" t="s">
        <v>939</v>
      </c>
      <c r="D88" s="371" t="str">
        <f t="shared" si="33"/>
        <v>SMR</v>
      </c>
      <c r="E88" s="372">
        <f t="shared" si="34"/>
        <v>4</v>
      </c>
      <c r="F88" s="66" t="s">
        <v>97</v>
      </c>
      <c r="G88" s="66" t="s">
        <v>372</v>
      </c>
      <c r="H88" s="89" t="str">
        <f t="shared" si="35"/>
        <v>Central 1</v>
      </c>
      <c r="AD88" s="64">
        <v>214</v>
      </c>
      <c r="AE88" s="64" t="s">
        <v>394</v>
      </c>
      <c r="AF88" s="64" t="s">
        <v>737</v>
      </c>
      <c r="AG88" s="64">
        <v>5</v>
      </c>
    </row>
    <row r="89" spans="1:33" ht="15" customHeight="1" x14ac:dyDescent="0.35">
      <c r="A89" s="64" t="str">
        <f t="shared" si="32"/>
        <v>LOWERSouthCentral 15</v>
      </c>
      <c r="B89" s="66">
        <v>5</v>
      </c>
      <c r="C89" s="425" t="s">
        <v>973</v>
      </c>
      <c r="D89" s="371" t="str">
        <f t="shared" si="33"/>
        <v>Beds</v>
      </c>
      <c r="E89" s="372">
        <f t="shared" si="34"/>
        <v>5</v>
      </c>
      <c r="F89" s="66" t="s">
        <v>97</v>
      </c>
      <c r="G89" s="66" t="s">
        <v>372</v>
      </c>
      <c r="H89" s="89" t="str">
        <f t="shared" si="35"/>
        <v>Central 1</v>
      </c>
      <c r="AD89" s="64">
        <v>170</v>
      </c>
      <c r="AE89" s="64" t="s">
        <v>601</v>
      </c>
      <c r="AF89" s="64" t="s">
        <v>662</v>
      </c>
      <c r="AG89" s="64">
        <v>4</v>
      </c>
    </row>
    <row r="90" spans="1:33" ht="15" customHeight="1" x14ac:dyDescent="0.35">
      <c r="A90" s="64" t="str">
        <f t="shared" si="32"/>
        <v>LOWERSouthCentral 16</v>
      </c>
      <c r="B90" s="66">
        <v>6</v>
      </c>
      <c r="C90" s="64" t="s">
        <v>343</v>
      </c>
      <c r="D90" s="371" t="str">
        <f t="shared" si="33"/>
        <v>TVH</v>
      </c>
      <c r="E90" s="372">
        <f t="shared" si="34"/>
        <v>6</v>
      </c>
      <c r="F90" s="66" t="s">
        <v>97</v>
      </c>
      <c r="G90" s="66" t="s">
        <v>372</v>
      </c>
      <c r="H90" s="89" t="str">
        <f t="shared" si="35"/>
        <v>Central 1</v>
      </c>
      <c r="AD90" s="64">
        <v>294</v>
      </c>
      <c r="AE90" s="64" t="s">
        <v>1313</v>
      </c>
      <c r="AF90" s="64" t="s">
        <v>663</v>
      </c>
      <c r="AG90" s="64">
        <v>5</v>
      </c>
    </row>
    <row r="91" spans="1:33" ht="15" customHeight="1" x14ac:dyDescent="0.35">
      <c r="A91" s="64" t="str">
        <f t="shared" si="32"/>
        <v>LOWERSouthCentral 17</v>
      </c>
      <c r="B91" s="66">
        <v>7</v>
      </c>
      <c r="C91" s="371" t="s">
        <v>373</v>
      </c>
      <c r="D91" s="371" t="str">
        <f t="shared" si="33"/>
        <v>VoA</v>
      </c>
      <c r="E91" s="372">
        <f t="shared" si="34"/>
        <v>7</v>
      </c>
      <c r="F91" s="66" t="s">
        <v>97</v>
      </c>
      <c r="G91" s="66" t="s">
        <v>372</v>
      </c>
      <c r="H91" s="89" t="str">
        <f t="shared" si="35"/>
        <v>Central 1</v>
      </c>
      <c r="AD91" s="64">
        <v>102</v>
      </c>
      <c r="AE91" s="64" t="s">
        <v>1314</v>
      </c>
      <c r="AF91" s="64" t="s">
        <v>1315</v>
      </c>
      <c r="AG91" s="64">
        <v>3</v>
      </c>
    </row>
    <row r="92" spans="1:33" ht="15" customHeight="1" x14ac:dyDescent="0.35">
      <c r="A92" s="64" t="str">
        <f t="shared" si="32"/>
        <v>LOWERSouthCentral 18</v>
      </c>
      <c r="B92" s="66">
        <v>8</v>
      </c>
      <c r="C92" s="425" t="s">
        <v>1352</v>
      </c>
      <c r="D92" s="371" t="str">
        <f t="shared" si="33"/>
        <v>Wyc P</v>
      </c>
      <c r="E92" s="372">
        <f t="shared" si="34"/>
        <v>8</v>
      </c>
      <c r="F92" s="66" t="s">
        <v>97</v>
      </c>
      <c r="G92" s="66" t="s">
        <v>372</v>
      </c>
      <c r="H92" s="89" t="str">
        <f t="shared" si="35"/>
        <v>Central 1</v>
      </c>
      <c r="AD92" s="64">
        <v>44</v>
      </c>
      <c r="AE92" s="64" t="s">
        <v>104</v>
      </c>
      <c r="AF92" s="64" t="s">
        <v>639</v>
      </c>
      <c r="AG92" s="64">
        <v>4</v>
      </c>
    </row>
    <row r="93" spans="1:33" ht="15" customHeight="1" x14ac:dyDescent="0.35">
      <c r="A93" s="64" t="str">
        <f t="shared" si="32"/>
        <v/>
      </c>
      <c r="AD93" s="64">
        <v>13</v>
      </c>
      <c r="AE93" s="64" t="s">
        <v>196</v>
      </c>
      <c r="AF93" s="64" t="s">
        <v>619</v>
      </c>
      <c r="AG93" s="64">
        <v>6</v>
      </c>
    </row>
    <row r="94" spans="1:33" ht="15" customHeight="1" x14ac:dyDescent="0.35">
      <c r="A94" s="64" t="str">
        <f t="shared" si="32"/>
        <v>Lower</v>
      </c>
      <c r="B94" s="93" t="s">
        <v>420</v>
      </c>
      <c r="C94" s="94" t="s">
        <v>109</v>
      </c>
      <c r="D94" s="94"/>
      <c r="E94" s="93"/>
      <c r="F94" s="93"/>
      <c r="G94" s="93"/>
      <c r="H94" s="95"/>
      <c r="AD94" s="64">
        <v>176</v>
      </c>
      <c r="AE94" s="64" t="s">
        <v>982</v>
      </c>
      <c r="AF94" s="64" t="s">
        <v>664</v>
      </c>
      <c r="AG94" s="64">
        <v>6</v>
      </c>
    </row>
    <row r="95" spans="1:33" ht="15" customHeight="1" x14ac:dyDescent="0.35">
      <c r="A95" s="64" t="str">
        <f t="shared" si="32"/>
        <v>LOWERSouthEast 11</v>
      </c>
      <c r="B95" s="66">
        <v>1</v>
      </c>
      <c r="C95" s="64" t="s">
        <v>364</v>
      </c>
      <c r="D95" s="371" t="str">
        <f t="shared" ref="D95:D101" si="36">VLOOKUP(C95,$AE:$AF,2,FALSE)</f>
        <v>Bas</v>
      </c>
      <c r="E95" s="372">
        <f t="shared" ref="E95:E101" si="37">VLOOKUP($C95,$AE:$AG,3,FALSE)</f>
        <v>1</v>
      </c>
      <c r="F95" s="66" t="s">
        <v>97</v>
      </c>
      <c r="G95" s="66" t="s">
        <v>372</v>
      </c>
      <c r="H95" s="89" t="str">
        <f>C94</f>
        <v>East 1</v>
      </c>
      <c r="AD95" s="64">
        <v>208</v>
      </c>
      <c r="AE95" s="64" t="s">
        <v>802</v>
      </c>
      <c r="AF95" s="64" t="s">
        <v>738</v>
      </c>
      <c r="AG95" s="64">
        <v>3</v>
      </c>
    </row>
    <row r="96" spans="1:33" ht="15" customHeight="1" x14ac:dyDescent="0.35">
      <c r="A96" s="64" t="str">
        <f t="shared" si="32"/>
        <v>LOWERSouthEast 12</v>
      </c>
      <c r="B96" s="66">
        <v>2</v>
      </c>
      <c r="C96" s="64" t="s">
        <v>355</v>
      </c>
      <c r="D96" s="371" t="str">
        <f t="shared" si="36"/>
        <v>Bex</v>
      </c>
      <c r="E96" s="372">
        <f t="shared" si="37"/>
        <v>2</v>
      </c>
      <c r="F96" s="66" t="s">
        <v>97</v>
      </c>
      <c r="G96" s="66" t="s">
        <v>372</v>
      </c>
      <c r="H96" s="89" t="str">
        <f>H95</f>
        <v>East 1</v>
      </c>
      <c r="AD96" s="64">
        <v>2</v>
      </c>
      <c r="AE96" s="64" t="s">
        <v>105</v>
      </c>
      <c r="AF96" s="64" t="s">
        <v>612</v>
      </c>
      <c r="AG96" s="64">
        <v>5</v>
      </c>
    </row>
    <row r="97" spans="1:33" ht="15" customHeight="1" x14ac:dyDescent="0.35">
      <c r="A97" s="64" t="str">
        <f t="shared" si="32"/>
        <v>LOWERSouthEast 13</v>
      </c>
      <c r="B97" s="66">
        <v>3</v>
      </c>
      <c r="C97" s="388" t="s">
        <v>933</v>
      </c>
      <c r="D97" s="371" t="str">
        <f t="shared" si="36"/>
        <v>Camb H</v>
      </c>
      <c r="E97" s="372">
        <f t="shared" si="37"/>
        <v>3</v>
      </c>
      <c r="F97" s="66" t="s">
        <v>97</v>
      </c>
      <c r="G97" s="66" t="s">
        <v>372</v>
      </c>
      <c r="H97" s="89" t="str">
        <f t="shared" ref="H97:H101" si="38">H96</f>
        <v>East 1</v>
      </c>
      <c r="AD97" s="64">
        <v>196</v>
      </c>
      <c r="AE97" s="371" t="s">
        <v>384</v>
      </c>
      <c r="AF97" s="64" t="s">
        <v>739</v>
      </c>
      <c r="AG97" s="64">
        <v>5</v>
      </c>
    </row>
    <row r="98" spans="1:33" ht="15" customHeight="1" x14ac:dyDescent="0.35">
      <c r="A98" s="64" t="str">
        <f t="shared" si="32"/>
        <v>LOWERSouthEast 14</v>
      </c>
      <c r="B98" s="66">
        <v>4</v>
      </c>
      <c r="C98" s="64" t="s">
        <v>344</v>
      </c>
      <c r="D98" s="371" t="str">
        <f t="shared" si="36"/>
        <v>M&amp;M</v>
      </c>
      <c r="E98" s="372">
        <f t="shared" si="37"/>
        <v>4</v>
      </c>
      <c r="F98" s="66" t="s">
        <v>97</v>
      </c>
      <c r="G98" s="66" t="s">
        <v>372</v>
      </c>
      <c r="H98" s="89" t="str">
        <f t="shared" si="38"/>
        <v>East 1</v>
      </c>
      <c r="AD98" s="64">
        <v>14</v>
      </c>
      <c r="AE98" s="64" t="s">
        <v>1316</v>
      </c>
      <c r="AF98" s="64" t="s">
        <v>740</v>
      </c>
      <c r="AG98" s="64">
        <v>5</v>
      </c>
    </row>
    <row r="99" spans="1:33" ht="15" customHeight="1" x14ac:dyDescent="0.35">
      <c r="A99" s="64" t="str">
        <f t="shared" si="32"/>
        <v>LOWERSouthEast 15</v>
      </c>
      <c r="B99" s="66">
        <v>5</v>
      </c>
      <c r="C99" s="425" t="s">
        <v>1329</v>
      </c>
      <c r="D99" s="371" t="str">
        <f t="shared" si="36"/>
        <v>PWood+F</v>
      </c>
      <c r="E99" s="372">
        <f t="shared" si="37"/>
        <v>5</v>
      </c>
      <c r="F99" s="66" t="s">
        <v>97</v>
      </c>
      <c r="G99" s="66" t="s">
        <v>372</v>
      </c>
      <c r="H99" s="89" t="str">
        <f t="shared" si="38"/>
        <v>East 1</v>
      </c>
      <c r="AD99" s="64">
        <v>115</v>
      </c>
      <c r="AE99" s="64" t="s">
        <v>345</v>
      </c>
      <c r="AF99" s="64" t="s">
        <v>499</v>
      </c>
      <c r="AG99" s="64">
        <v>4</v>
      </c>
    </row>
    <row r="100" spans="1:33" ht="15" customHeight="1" x14ac:dyDescent="0.35">
      <c r="A100" s="64" t="str">
        <f t="shared" si="32"/>
        <v>LOWERSouthEast 16</v>
      </c>
      <c r="B100" s="66">
        <v>6</v>
      </c>
      <c r="C100" s="64" t="s">
        <v>975</v>
      </c>
      <c r="D100" s="371" t="str">
        <f t="shared" si="36"/>
        <v>VP&amp;TH</v>
      </c>
      <c r="E100" s="372">
        <f t="shared" si="37"/>
        <v>6</v>
      </c>
      <c r="F100" s="66" t="s">
        <v>97</v>
      </c>
      <c r="G100" s="66" t="s">
        <v>372</v>
      </c>
      <c r="H100" s="89" t="str">
        <f t="shared" si="38"/>
        <v>East 1</v>
      </c>
      <c r="AD100" s="64">
        <v>48</v>
      </c>
      <c r="AE100" s="64" t="s">
        <v>114</v>
      </c>
      <c r="AF100" s="64" t="s">
        <v>642</v>
      </c>
      <c r="AG100" s="64">
        <v>4</v>
      </c>
    </row>
    <row r="101" spans="1:33" ht="15" customHeight="1" x14ac:dyDescent="0.35">
      <c r="A101" s="64" t="str">
        <f t="shared" si="32"/>
        <v>LOWERSouthEast 17</v>
      </c>
      <c r="B101" s="66">
        <v>7</v>
      </c>
      <c r="C101" s="64" t="s">
        <v>1349</v>
      </c>
      <c r="D101" s="371" t="str">
        <f t="shared" si="36"/>
        <v>WGEL</v>
      </c>
      <c r="E101" s="372">
        <f t="shared" si="37"/>
        <v>7</v>
      </c>
      <c r="F101" s="66" t="s">
        <v>97</v>
      </c>
      <c r="G101" s="66" t="s">
        <v>372</v>
      </c>
      <c r="H101" s="89" t="str">
        <f t="shared" si="38"/>
        <v>East 1</v>
      </c>
      <c r="AD101" s="64">
        <v>3</v>
      </c>
      <c r="AE101" s="64" t="s">
        <v>1317</v>
      </c>
      <c r="AF101" s="64" t="s">
        <v>613</v>
      </c>
      <c r="AG101" s="64">
        <v>2</v>
      </c>
    </row>
    <row r="102" spans="1:33" ht="15" customHeight="1" x14ac:dyDescent="0.35">
      <c r="A102" s="64" t="str">
        <f t="shared" si="32"/>
        <v/>
      </c>
      <c r="AD102" s="64">
        <v>23</v>
      </c>
      <c r="AE102" s="371" t="s">
        <v>1318</v>
      </c>
      <c r="AF102" s="64" t="s">
        <v>621</v>
      </c>
      <c r="AG102" s="64">
        <v>7</v>
      </c>
    </row>
    <row r="103" spans="1:33" ht="15" customHeight="1" x14ac:dyDescent="0.35">
      <c r="A103" s="64" t="str">
        <f t="shared" si="32"/>
        <v>Lower</v>
      </c>
      <c r="B103" s="93" t="s">
        <v>420</v>
      </c>
      <c r="C103" s="94" t="s">
        <v>356</v>
      </c>
      <c r="D103" s="94"/>
      <c r="E103" s="93"/>
      <c r="F103" s="93"/>
      <c r="G103" s="93"/>
      <c r="H103" s="95"/>
      <c r="AD103" s="64">
        <v>29</v>
      </c>
      <c r="AE103" s="64" t="s">
        <v>1319</v>
      </c>
      <c r="AF103" s="64" t="s">
        <v>624</v>
      </c>
      <c r="AG103" s="64">
        <v>3</v>
      </c>
    </row>
    <row r="104" spans="1:33" ht="15" customHeight="1" x14ac:dyDescent="0.35">
      <c r="A104" s="64" t="str">
        <f t="shared" si="32"/>
        <v>LOWERSouthPremier 21</v>
      </c>
      <c r="B104" s="66">
        <v>1</v>
      </c>
      <c r="C104" s="64" t="s">
        <v>337</v>
      </c>
      <c r="D104" s="371" t="str">
        <f t="shared" ref="D104:D109" si="39">VLOOKUP(C104,$AE:$AF,2,FALSE)</f>
        <v>Brack</v>
      </c>
      <c r="E104" s="372">
        <f t="shared" ref="E104:E109" si="40">VLOOKUP($C104,$AE:$AG,3,FALSE)</f>
        <v>1</v>
      </c>
      <c r="F104" s="66" t="s">
        <v>97</v>
      </c>
      <c r="G104" s="66" t="s">
        <v>372</v>
      </c>
      <c r="H104" s="89" t="str">
        <f>C103</f>
        <v>Premier 2</v>
      </c>
      <c r="AD104" s="64">
        <v>201</v>
      </c>
      <c r="AE104" s="64" t="s">
        <v>1320</v>
      </c>
      <c r="AF104" s="64" t="s">
        <v>741</v>
      </c>
      <c r="AG104" s="64">
        <v>2</v>
      </c>
    </row>
    <row r="105" spans="1:33" ht="15" customHeight="1" x14ac:dyDescent="0.35">
      <c r="A105" s="64" t="str">
        <f t="shared" si="32"/>
        <v>LOWERSouthPremier 22</v>
      </c>
      <c r="B105" s="66">
        <v>2</v>
      </c>
      <c r="C105" s="64" t="s">
        <v>1015</v>
      </c>
      <c r="D105" s="371" t="str">
        <f t="shared" si="39"/>
        <v>B&amp;H</v>
      </c>
      <c r="E105" s="372">
        <f t="shared" si="40"/>
        <v>2</v>
      </c>
      <c r="F105" s="66" t="s">
        <v>97</v>
      </c>
      <c r="G105" s="66" t="s">
        <v>372</v>
      </c>
      <c r="H105" s="89" t="str">
        <f>H104</f>
        <v>Premier 2</v>
      </c>
      <c r="AD105" s="64">
        <v>189</v>
      </c>
      <c r="AE105" s="64" t="s">
        <v>377</v>
      </c>
      <c r="AF105" s="64" t="s">
        <v>797</v>
      </c>
      <c r="AG105" s="64">
        <v>3</v>
      </c>
    </row>
    <row r="106" spans="1:33" ht="15" customHeight="1" x14ac:dyDescent="0.35">
      <c r="A106" s="64" t="str">
        <f t="shared" si="32"/>
        <v>LOWERSouthPremier 23</v>
      </c>
      <c r="B106" s="66">
        <v>3</v>
      </c>
      <c r="C106" s="64" t="s">
        <v>360</v>
      </c>
      <c r="D106" s="371" t="str">
        <f t="shared" si="39"/>
        <v>Ports</v>
      </c>
      <c r="E106" s="372">
        <f t="shared" si="40"/>
        <v>3</v>
      </c>
      <c r="F106" s="66" t="s">
        <v>97</v>
      </c>
      <c r="G106" s="66" t="s">
        <v>372</v>
      </c>
      <c r="H106" s="89" t="str">
        <f t="shared" ref="H106:H109" si="41">H105</f>
        <v>Premier 2</v>
      </c>
      <c r="AD106" s="64">
        <v>164</v>
      </c>
      <c r="AE106" s="64" t="s">
        <v>344</v>
      </c>
      <c r="AF106" s="64" t="s">
        <v>742</v>
      </c>
      <c r="AG106" s="64">
        <v>4</v>
      </c>
    </row>
    <row r="107" spans="1:33" ht="15" customHeight="1" x14ac:dyDescent="0.35">
      <c r="A107" s="64" t="str">
        <f t="shared" si="32"/>
        <v>LOWERSouthPremier 24</v>
      </c>
      <c r="B107" s="66">
        <v>4</v>
      </c>
      <c r="C107" s="64" t="s">
        <v>340</v>
      </c>
      <c r="D107" s="371" t="str">
        <f t="shared" si="39"/>
        <v>Craw</v>
      </c>
      <c r="E107" s="372">
        <f t="shared" si="40"/>
        <v>4</v>
      </c>
      <c r="F107" s="66" t="s">
        <v>97</v>
      </c>
      <c r="G107" s="66" t="s">
        <v>372</v>
      </c>
      <c r="H107" s="89" t="str">
        <f t="shared" si="41"/>
        <v>Premier 2</v>
      </c>
      <c r="AD107" s="64">
        <v>165</v>
      </c>
      <c r="AE107" s="64" t="s">
        <v>371</v>
      </c>
      <c r="AF107" s="64" t="s">
        <v>743</v>
      </c>
      <c r="AG107" s="64">
        <v>5</v>
      </c>
    </row>
    <row r="108" spans="1:33" ht="15" customHeight="1" x14ac:dyDescent="0.35">
      <c r="A108" s="64" t="str">
        <f t="shared" si="32"/>
        <v>LOWERSouthPremier 25</v>
      </c>
      <c r="B108" s="66">
        <v>5</v>
      </c>
      <c r="C108" s="64" t="s">
        <v>339</v>
      </c>
      <c r="D108" s="371" t="str">
        <f t="shared" si="39"/>
        <v>G&amp;G</v>
      </c>
      <c r="E108" s="372">
        <f t="shared" si="40"/>
        <v>5</v>
      </c>
      <c r="F108" s="66" t="s">
        <v>97</v>
      </c>
      <c r="G108" s="66" t="s">
        <v>372</v>
      </c>
      <c r="H108" s="89" t="str">
        <f t="shared" si="41"/>
        <v>Premier 2</v>
      </c>
      <c r="AD108" s="64">
        <v>24</v>
      </c>
      <c r="AE108" s="64" t="s">
        <v>936</v>
      </c>
      <c r="AF108" s="64" t="s">
        <v>744</v>
      </c>
      <c r="AG108" s="64">
        <v>8</v>
      </c>
    </row>
    <row r="109" spans="1:33" ht="15" customHeight="1" x14ac:dyDescent="0.35">
      <c r="A109" s="64" t="str">
        <f t="shared" si="32"/>
        <v>LOWERSouthPremier 26</v>
      </c>
      <c r="B109" s="66">
        <v>6</v>
      </c>
      <c r="C109" s="423" t="s">
        <v>338</v>
      </c>
      <c r="D109" s="371" t="str">
        <f t="shared" si="39"/>
        <v>Soton</v>
      </c>
      <c r="E109" s="372">
        <f t="shared" si="40"/>
        <v>6</v>
      </c>
      <c r="F109" s="66" t="s">
        <v>97</v>
      </c>
      <c r="G109" s="66" t="s">
        <v>372</v>
      </c>
      <c r="H109" s="89" t="str">
        <f t="shared" si="41"/>
        <v>Premier 2</v>
      </c>
      <c r="AD109" s="64">
        <v>11</v>
      </c>
      <c r="AE109" s="64" t="s">
        <v>594</v>
      </c>
      <c r="AF109" s="64" t="s">
        <v>617</v>
      </c>
      <c r="AG109" s="64">
        <v>4</v>
      </c>
    </row>
    <row r="110" spans="1:33" ht="15" customHeight="1" x14ac:dyDescent="0.35">
      <c r="A110" s="64" t="str">
        <f t="shared" si="32"/>
        <v/>
      </c>
      <c r="AD110" s="64">
        <v>305</v>
      </c>
      <c r="AE110" s="64" t="s">
        <v>1321</v>
      </c>
      <c r="AF110" s="64" t="s">
        <v>665</v>
      </c>
      <c r="AG110" s="64">
        <v>7</v>
      </c>
    </row>
    <row r="111" spans="1:33" ht="15" customHeight="1" x14ac:dyDescent="0.35">
      <c r="A111" s="64" t="str">
        <f t="shared" si="32"/>
        <v>Lower</v>
      </c>
      <c r="B111" s="93" t="s">
        <v>420</v>
      </c>
      <c r="C111" s="94" t="s">
        <v>120</v>
      </c>
      <c r="D111" s="94"/>
      <c r="E111" s="93"/>
      <c r="F111" s="93"/>
      <c r="G111" s="93"/>
      <c r="H111" s="95"/>
      <c r="AD111" s="64">
        <v>233</v>
      </c>
      <c r="AE111" s="64" t="s">
        <v>407</v>
      </c>
      <c r="AF111" s="64" t="s">
        <v>745</v>
      </c>
      <c r="AG111" s="64">
        <v>4</v>
      </c>
    </row>
    <row r="112" spans="1:33" ht="15" customHeight="1" x14ac:dyDescent="0.35">
      <c r="A112" s="64" t="str">
        <f t="shared" si="32"/>
        <v>LOWERSouthWest 21</v>
      </c>
      <c r="B112" s="66">
        <v>1</v>
      </c>
      <c r="C112" s="64" t="s">
        <v>1281</v>
      </c>
      <c r="D112" s="371" t="str">
        <f t="shared" ref="D112:D118" si="42">VLOOKUP(C112,$AE:$AF,2,FALSE)</f>
        <v>AFD</v>
      </c>
      <c r="E112" s="372">
        <f t="shared" ref="E112:E118" si="43">VLOOKUP($C112,$AE:$AG,3,FALSE)</f>
        <v>1</v>
      </c>
      <c r="F112" s="66" t="s">
        <v>97</v>
      </c>
      <c r="G112" s="66" t="s">
        <v>372</v>
      </c>
      <c r="H112" s="89" t="str">
        <f>C111</f>
        <v>West 2</v>
      </c>
      <c r="AD112" s="64">
        <v>141</v>
      </c>
      <c r="AE112" s="64" t="s">
        <v>937</v>
      </c>
      <c r="AF112" s="64" t="s">
        <v>746</v>
      </c>
      <c r="AG112" s="64">
        <v>6</v>
      </c>
    </row>
    <row r="113" spans="1:33" ht="15" customHeight="1" x14ac:dyDescent="0.35">
      <c r="A113" s="64" t="str">
        <f t="shared" ref="A113:A118" si="44">F113&amp;G113&amp;H113&amp;B113</f>
        <v>LOWERSouthWest 22</v>
      </c>
      <c r="B113" s="66">
        <v>2</v>
      </c>
      <c r="C113" s="64" t="s">
        <v>362</v>
      </c>
      <c r="D113" s="371" t="str">
        <f t="shared" si="42"/>
        <v>C'ley</v>
      </c>
      <c r="E113" s="372">
        <f t="shared" si="43"/>
        <v>3</v>
      </c>
      <c r="F113" s="66" t="s">
        <v>97</v>
      </c>
      <c r="G113" s="66" t="s">
        <v>372</v>
      </c>
      <c r="H113" s="89" t="str">
        <f>H112</f>
        <v>West 2</v>
      </c>
      <c r="AD113" s="64">
        <v>234</v>
      </c>
      <c r="AE113" s="64" t="s">
        <v>408</v>
      </c>
      <c r="AF113" s="64" t="s">
        <v>747</v>
      </c>
      <c r="AG113" s="64">
        <v>3</v>
      </c>
    </row>
    <row r="114" spans="1:33" ht="15" customHeight="1" x14ac:dyDescent="0.35">
      <c r="A114" s="64" t="str">
        <f t="shared" si="44"/>
        <v>LOWERSouthWest 23</v>
      </c>
      <c r="B114" s="66">
        <v>3</v>
      </c>
      <c r="C114" s="64" t="s">
        <v>978</v>
      </c>
      <c r="D114" s="371" t="str">
        <f t="shared" si="42"/>
        <v>ChicR</v>
      </c>
      <c r="E114" s="372">
        <f t="shared" si="43"/>
        <v>4</v>
      </c>
      <c r="F114" s="66" t="s">
        <v>97</v>
      </c>
      <c r="G114" s="66" t="s">
        <v>372</v>
      </c>
      <c r="H114" s="89" t="str">
        <f t="shared" ref="H114:H118" si="45">H113</f>
        <v>West 2</v>
      </c>
      <c r="AD114" s="64">
        <v>318</v>
      </c>
      <c r="AE114" s="64" t="s">
        <v>1322</v>
      </c>
      <c r="AF114" s="64" t="s">
        <v>1323</v>
      </c>
      <c r="AG114" s="64">
        <v>3</v>
      </c>
    </row>
    <row r="115" spans="1:33" ht="15" customHeight="1" x14ac:dyDescent="0.35">
      <c r="A115" s="64" t="str">
        <f t="shared" si="44"/>
        <v>LOWERSouthWest 24</v>
      </c>
      <c r="B115" s="66">
        <v>4</v>
      </c>
      <c r="C115" s="64" t="s">
        <v>366</v>
      </c>
      <c r="D115" s="371" t="str">
        <f t="shared" si="42"/>
        <v>Havant</v>
      </c>
      <c r="E115" s="372">
        <f t="shared" si="43"/>
        <v>5</v>
      </c>
      <c r="F115" s="66" t="s">
        <v>97</v>
      </c>
      <c r="G115" s="66" t="s">
        <v>372</v>
      </c>
      <c r="H115" s="89" t="str">
        <f t="shared" si="45"/>
        <v>West 2</v>
      </c>
      <c r="AD115" s="64">
        <v>227</v>
      </c>
      <c r="AE115" s="64" t="s">
        <v>403</v>
      </c>
      <c r="AF115" s="64" t="s">
        <v>748</v>
      </c>
      <c r="AG115" s="64">
        <v>4</v>
      </c>
    </row>
    <row r="116" spans="1:33" ht="15" customHeight="1" x14ac:dyDescent="0.35">
      <c r="A116" s="64" t="str">
        <f t="shared" si="44"/>
        <v>LOWERSouthWest 25</v>
      </c>
      <c r="B116" s="66">
        <v>5</v>
      </c>
      <c r="C116" s="64" t="s">
        <v>349</v>
      </c>
      <c r="D116" s="371" t="str">
        <f t="shared" si="42"/>
        <v>Win</v>
      </c>
      <c r="E116" s="372">
        <f t="shared" si="43"/>
        <v>6</v>
      </c>
      <c r="F116" s="66" t="s">
        <v>97</v>
      </c>
      <c r="G116" s="66" t="s">
        <v>372</v>
      </c>
      <c r="H116" s="89" t="str">
        <f t="shared" si="45"/>
        <v>West 2</v>
      </c>
      <c r="AD116" s="64">
        <v>323</v>
      </c>
      <c r="AE116" s="64" t="s">
        <v>1324</v>
      </c>
      <c r="AF116" s="64" t="s">
        <v>1325</v>
      </c>
      <c r="AG116" s="64">
        <v>4</v>
      </c>
    </row>
    <row r="117" spans="1:33" ht="15" customHeight="1" x14ac:dyDescent="0.35">
      <c r="A117" s="64" t="str">
        <f t="shared" si="44"/>
        <v>LOWERSouthWest 26</v>
      </c>
      <c r="B117" s="66">
        <v>6</v>
      </c>
      <c r="C117" s="64" t="s">
        <v>350</v>
      </c>
      <c r="D117" s="371" t="str">
        <f t="shared" si="42"/>
        <v>Woking</v>
      </c>
      <c r="E117" s="372">
        <f t="shared" si="43"/>
        <v>7</v>
      </c>
      <c r="F117" s="66" t="s">
        <v>97</v>
      </c>
      <c r="G117" s="66" t="s">
        <v>372</v>
      </c>
      <c r="H117" s="89" t="str">
        <f t="shared" si="45"/>
        <v>West 2</v>
      </c>
      <c r="AD117" s="64">
        <v>235</v>
      </c>
      <c r="AE117" s="64" t="s">
        <v>409</v>
      </c>
      <c r="AF117" s="64" t="s">
        <v>749</v>
      </c>
      <c r="AG117" s="64">
        <v>5</v>
      </c>
    </row>
    <row r="118" spans="1:33" ht="15" customHeight="1" x14ac:dyDescent="0.45">
      <c r="A118" s="64" t="str">
        <f t="shared" si="44"/>
        <v>LOWERSouthWest 27</v>
      </c>
      <c r="B118" s="66">
        <v>7</v>
      </c>
      <c r="C118" t="s">
        <v>1351</v>
      </c>
      <c r="D118" s="371" t="str">
        <f t="shared" si="42"/>
        <v>Worth</v>
      </c>
      <c r="E118" s="372">
        <f t="shared" si="43"/>
        <v>8</v>
      </c>
      <c r="F118" s="66" t="s">
        <v>97</v>
      </c>
      <c r="G118" s="66" t="s">
        <v>372</v>
      </c>
      <c r="H118" s="89" t="str">
        <f t="shared" si="45"/>
        <v>West 2</v>
      </c>
      <c r="AD118" s="64">
        <v>197</v>
      </c>
      <c r="AE118" s="64" t="s">
        <v>385</v>
      </c>
      <c r="AF118" s="64" t="s">
        <v>750</v>
      </c>
      <c r="AG118" s="64">
        <v>4</v>
      </c>
    </row>
    <row r="119" spans="1:33" ht="15" customHeight="1" x14ac:dyDescent="0.35">
      <c r="A119" s="64" t="str">
        <f>F119&amp;G119&amp;H119&amp;B119</f>
        <v/>
      </c>
      <c r="AD119" s="64">
        <v>202</v>
      </c>
      <c r="AE119" s="64" t="s">
        <v>520</v>
      </c>
      <c r="AF119" s="64" t="s">
        <v>794</v>
      </c>
      <c r="AG119" s="64">
        <v>5</v>
      </c>
    </row>
    <row r="120" spans="1:33" ht="15" customHeight="1" x14ac:dyDescent="0.35">
      <c r="A120" s="64" t="str">
        <f>F120&amp;G120&amp;H120&amp;B120</f>
        <v>Lower</v>
      </c>
      <c r="B120" s="93" t="s">
        <v>420</v>
      </c>
      <c r="C120" s="94" t="s">
        <v>357</v>
      </c>
      <c r="D120" s="94"/>
      <c r="E120" s="93"/>
      <c r="F120" s="93"/>
      <c r="G120" s="93"/>
      <c r="H120" s="95"/>
      <c r="AD120" s="64">
        <v>172</v>
      </c>
      <c r="AE120" s="64" t="s">
        <v>1326</v>
      </c>
      <c r="AF120" s="64" t="s">
        <v>1327</v>
      </c>
      <c r="AG120" s="64">
        <v>4</v>
      </c>
    </row>
    <row r="121" spans="1:33" ht="15" customHeight="1" x14ac:dyDescent="0.35">
      <c r="A121" s="64" t="str">
        <f>F121&amp;G121&amp;H121&amp;B121</f>
        <v>LOWERSouthCentral 21</v>
      </c>
      <c r="B121" s="66">
        <v>1</v>
      </c>
      <c r="C121" s="64" t="s">
        <v>351</v>
      </c>
      <c r="D121" s="371" t="str">
        <f t="shared" ref="D121:D127" si="46">VLOOKUP(C121,$AE:$AF,2,FALSE)</f>
        <v>Belg</v>
      </c>
      <c r="E121" s="372">
        <f t="shared" ref="E121:E127" si="47">VLOOKUP($C121,$AE:$AG,3,FALSE)</f>
        <v>1</v>
      </c>
      <c r="F121" s="66" t="s">
        <v>97</v>
      </c>
      <c r="G121" s="66" t="s">
        <v>372</v>
      </c>
      <c r="H121" s="89" t="str">
        <f>C120</f>
        <v>Central 2</v>
      </c>
      <c r="AD121" s="64">
        <v>30</v>
      </c>
      <c r="AE121" s="64" t="s">
        <v>1328</v>
      </c>
      <c r="AF121" s="64" t="s">
        <v>625</v>
      </c>
      <c r="AG121" s="64">
        <v>6</v>
      </c>
    </row>
    <row r="122" spans="1:33" ht="15" customHeight="1" x14ac:dyDescent="0.35">
      <c r="A122" s="64" t="str">
        <f t="shared" ref="A122:A127" si="48">F122&amp;G122&amp;H122&amp;B122</f>
        <v>LOWERSouthCentral 22</v>
      </c>
      <c r="B122" s="66">
        <v>2</v>
      </c>
      <c r="C122" s="64" t="s">
        <v>1299</v>
      </c>
      <c r="D122" s="371" t="str">
        <f t="shared" si="46"/>
        <v>Dartf</v>
      </c>
      <c r="E122" s="372">
        <f t="shared" si="47"/>
        <v>2</v>
      </c>
      <c r="F122" s="66" t="s">
        <v>97</v>
      </c>
      <c r="G122" s="66" t="s">
        <v>372</v>
      </c>
      <c r="H122" s="89" t="str">
        <f>H121</f>
        <v>Central 2</v>
      </c>
      <c r="AD122" s="64">
        <v>117</v>
      </c>
      <c r="AE122" s="64" t="s">
        <v>359</v>
      </c>
      <c r="AF122" s="64" t="s">
        <v>751</v>
      </c>
      <c r="AG122" s="64">
        <v>7</v>
      </c>
    </row>
    <row r="123" spans="1:33" ht="15" customHeight="1" x14ac:dyDescent="0.35">
      <c r="A123" s="64" t="str">
        <f t="shared" si="48"/>
        <v>LOWERSouthCentral 23</v>
      </c>
      <c r="B123" s="66">
        <v>3</v>
      </c>
      <c r="C123" s="64" t="s">
        <v>1310</v>
      </c>
      <c r="D123" s="371" t="str">
        <f t="shared" si="46"/>
        <v>HercW</v>
      </c>
      <c r="E123" s="372">
        <f t="shared" si="47"/>
        <v>3</v>
      </c>
      <c r="F123" s="66" t="s">
        <v>97</v>
      </c>
      <c r="G123" s="66" t="s">
        <v>372</v>
      </c>
      <c r="H123" s="89" t="str">
        <f t="shared" ref="H123:H127" si="49">H122</f>
        <v>Central 2</v>
      </c>
      <c r="AD123" s="64">
        <v>310</v>
      </c>
      <c r="AE123" s="64" t="s">
        <v>1329</v>
      </c>
      <c r="AF123" s="64" t="s">
        <v>1330</v>
      </c>
      <c r="AG123" s="64">
        <v>5</v>
      </c>
    </row>
    <row r="124" spans="1:33" ht="15" customHeight="1" x14ac:dyDescent="0.35">
      <c r="A124" s="64" t="str">
        <f t="shared" si="48"/>
        <v>LOWERSouthCentral 24</v>
      </c>
      <c r="B124" s="66">
        <v>4</v>
      </c>
      <c r="C124" s="64" t="s">
        <v>368</v>
      </c>
      <c r="D124" s="371" t="str">
        <f t="shared" si="46"/>
        <v>Herts P</v>
      </c>
      <c r="E124" s="372">
        <f t="shared" si="47"/>
        <v>4</v>
      </c>
      <c r="F124" s="66" t="s">
        <v>97</v>
      </c>
      <c r="G124" s="66" t="s">
        <v>372</v>
      </c>
      <c r="H124" s="89" t="str">
        <f t="shared" si="49"/>
        <v>Central 2</v>
      </c>
      <c r="AD124" s="64">
        <v>288</v>
      </c>
      <c r="AE124" s="64" t="s">
        <v>600</v>
      </c>
      <c r="AF124" s="64" t="s">
        <v>666</v>
      </c>
      <c r="AG124" s="64">
        <v>4</v>
      </c>
    </row>
    <row r="125" spans="1:33" ht="15" customHeight="1" x14ac:dyDescent="0.35">
      <c r="A125" s="64" t="str">
        <f t="shared" si="48"/>
        <v>LOWERSouthCentral 25</v>
      </c>
      <c r="B125" s="66">
        <v>5</v>
      </c>
      <c r="C125" s="64" t="s">
        <v>934</v>
      </c>
      <c r="D125" s="371" t="str">
        <f t="shared" si="46"/>
        <v>Holl S</v>
      </c>
      <c r="E125" s="372">
        <f t="shared" si="47"/>
        <v>5</v>
      </c>
      <c r="F125" s="66" t="s">
        <v>97</v>
      </c>
      <c r="G125" s="66" t="s">
        <v>372</v>
      </c>
      <c r="H125" s="89" t="str">
        <f t="shared" si="49"/>
        <v>Central 2</v>
      </c>
      <c r="AD125" s="64">
        <v>192</v>
      </c>
      <c r="AE125" s="64" t="s">
        <v>103</v>
      </c>
      <c r="AF125" s="64" t="s">
        <v>645</v>
      </c>
      <c r="AG125" s="64">
        <v>3</v>
      </c>
    </row>
    <row r="126" spans="1:33" ht="15" customHeight="1" x14ac:dyDescent="0.35">
      <c r="A126" s="64" t="str">
        <f t="shared" si="48"/>
        <v>LOWERSouthCentral 26</v>
      </c>
      <c r="B126" s="66">
        <v>6</v>
      </c>
      <c r="C126" s="64" t="s">
        <v>369</v>
      </c>
      <c r="D126" s="371" t="str">
        <f t="shared" si="46"/>
        <v>Reig P</v>
      </c>
      <c r="E126" s="372">
        <f t="shared" si="47"/>
        <v>6</v>
      </c>
      <c r="F126" s="66" t="s">
        <v>97</v>
      </c>
      <c r="G126" s="66" t="s">
        <v>372</v>
      </c>
      <c r="H126" s="89" t="str">
        <f t="shared" si="49"/>
        <v>Central 2</v>
      </c>
      <c r="AD126" s="64">
        <v>122</v>
      </c>
      <c r="AE126" s="64" t="s">
        <v>346</v>
      </c>
      <c r="AF126" s="64" t="s">
        <v>752</v>
      </c>
      <c r="AG126" s="64">
        <v>5</v>
      </c>
    </row>
    <row r="127" spans="1:33" ht="15" customHeight="1" x14ac:dyDescent="0.35">
      <c r="A127" s="64" t="str">
        <f t="shared" si="48"/>
        <v>LOWERSouthCentral 27</v>
      </c>
      <c r="B127" s="66">
        <v>7</v>
      </c>
      <c r="C127" s="64" t="s">
        <v>801</v>
      </c>
      <c r="D127" s="371" t="str">
        <f t="shared" si="46"/>
        <v>T Houns</v>
      </c>
      <c r="E127" s="372">
        <f t="shared" si="47"/>
        <v>7</v>
      </c>
      <c r="F127" s="66" t="s">
        <v>97</v>
      </c>
      <c r="G127" s="66" t="s">
        <v>372</v>
      </c>
      <c r="H127" s="89" t="str">
        <f t="shared" si="49"/>
        <v>Central 2</v>
      </c>
      <c r="AD127" s="64">
        <v>134</v>
      </c>
      <c r="AE127" s="64" t="s">
        <v>369</v>
      </c>
      <c r="AF127" s="64" t="s">
        <v>753</v>
      </c>
      <c r="AG127" s="64">
        <v>6</v>
      </c>
    </row>
    <row r="128" spans="1:33" ht="15" customHeight="1" x14ac:dyDescent="0.35">
      <c r="A128" s="64" t="str">
        <f t="shared" ref="A128:A160" si="50">F128&amp;G128&amp;H128&amp;B128</f>
        <v/>
      </c>
      <c r="AD128" s="64">
        <v>236</v>
      </c>
      <c r="AE128" s="64" t="s">
        <v>597</v>
      </c>
      <c r="AF128" s="64" t="s">
        <v>796</v>
      </c>
      <c r="AG128" s="64">
        <v>6</v>
      </c>
    </row>
    <row r="129" spans="1:33" ht="15" customHeight="1" x14ac:dyDescent="0.35">
      <c r="A129" s="64" t="str">
        <f t="shared" si="50"/>
        <v>Lower</v>
      </c>
      <c r="B129" s="93" t="s">
        <v>420</v>
      </c>
      <c r="C129" s="94" t="s">
        <v>113</v>
      </c>
      <c r="D129" s="94"/>
      <c r="E129" s="93"/>
      <c r="F129" s="93"/>
      <c r="G129" s="93"/>
      <c r="H129" s="95"/>
      <c r="AD129" s="64">
        <v>45</v>
      </c>
      <c r="AE129" s="64" t="s">
        <v>1331</v>
      </c>
      <c r="AF129" s="64" t="s">
        <v>640</v>
      </c>
      <c r="AG129" s="64">
        <v>6</v>
      </c>
    </row>
    <row r="130" spans="1:33" ht="15" customHeight="1" x14ac:dyDescent="0.35">
      <c r="A130" s="64" t="str">
        <f t="shared" si="50"/>
        <v>LOWERSouthEast 21</v>
      </c>
      <c r="B130" s="66">
        <v>1</v>
      </c>
      <c r="C130" s="425" t="s">
        <v>1282</v>
      </c>
      <c r="D130" s="371" t="str">
        <f t="shared" ref="D130:D136" si="51">VLOOKUP(C130,$AE:$AF,2,FALSE)</f>
        <v>Ash &amp; T</v>
      </c>
      <c r="E130" s="372">
        <f t="shared" ref="E130:E136" si="52">VLOOKUP($C130,$AE:$AG,3,FALSE)</f>
        <v>1</v>
      </c>
      <c r="F130" s="66" t="s">
        <v>97</v>
      </c>
      <c r="G130" s="66" t="s">
        <v>372</v>
      </c>
      <c r="H130" s="89" t="str">
        <f>C129</f>
        <v>East 2</v>
      </c>
      <c r="AD130" s="64">
        <v>198</v>
      </c>
      <c r="AE130" s="64" t="s">
        <v>386</v>
      </c>
      <c r="AF130" s="64" t="s">
        <v>754</v>
      </c>
      <c r="AG130" s="64">
        <v>6</v>
      </c>
    </row>
    <row r="131" spans="1:33" ht="15" customHeight="1" x14ac:dyDescent="0.35">
      <c r="A131" s="64" t="str">
        <f t="shared" si="50"/>
        <v>LOWERSouthEast 22</v>
      </c>
      <c r="B131" s="66">
        <v>2</v>
      </c>
      <c r="C131" s="64" t="s">
        <v>370</v>
      </c>
      <c r="D131" s="371" t="str">
        <f t="shared" si="51"/>
        <v>E Grin</v>
      </c>
      <c r="E131" s="372">
        <f t="shared" si="52"/>
        <v>2</v>
      </c>
      <c r="F131" s="66" t="s">
        <v>97</v>
      </c>
      <c r="G131" s="66" t="s">
        <v>372</v>
      </c>
      <c r="H131" s="89" t="str">
        <f>H130</f>
        <v>East 2</v>
      </c>
      <c r="AD131" s="64">
        <v>190</v>
      </c>
      <c r="AE131" s="64" t="s">
        <v>378</v>
      </c>
      <c r="AF131" s="64" t="s">
        <v>755</v>
      </c>
      <c r="AG131" s="64">
        <v>5</v>
      </c>
    </row>
    <row r="132" spans="1:33" ht="15" customHeight="1" x14ac:dyDescent="0.35">
      <c r="A132" s="64" t="str">
        <f t="shared" si="50"/>
        <v>LOWERSouthEast 23</v>
      </c>
      <c r="B132" s="66">
        <v>3</v>
      </c>
      <c r="C132" s="64" t="s">
        <v>354</v>
      </c>
      <c r="D132" s="371" t="str">
        <f t="shared" si="51"/>
        <v>Hast</v>
      </c>
      <c r="E132" s="372">
        <f t="shared" si="52"/>
        <v>3</v>
      </c>
      <c r="F132" s="66" t="s">
        <v>97</v>
      </c>
      <c r="G132" s="66" t="s">
        <v>372</v>
      </c>
      <c r="H132" s="89" t="str">
        <f t="shared" ref="H132:H136" si="53">H131</f>
        <v>East 2</v>
      </c>
      <c r="AD132" s="64">
        <v>311</v>
      </c>
      <c r="AE132" s="64" t="s">
        <v>965</v>
      </c>
      <c r="AF132" s="64" t="s">
        <v>966</v>
      </c>
      <c r="AG132" s="64">
        <v>6</v>
      </c>
    </row>
    <row r="133" spans="1:33" ht="15" customHeight="1" x14ac:dyDescent="0.35">
      <c r="A133" s="64" t="str">
        <f t="shared" si="50"/>
        <v>LOWERSouthEast 24</v>
      </c>
      <c r="B133" s="66">
        <v>4</v>
      </c>
      <c r="C133" s="64" t="s">
        <v>345</v>
      </c>
      <c r="D133" s="371" t="str">
        <f t="shared" si="51"/>
        <v>Lewes</v>
      </c>
      <c r="E133" s="372">
        <f t="shared" si="52"/>
        <v>4</v>
      </c>
      <c r="F133" s="66" t="s">
        <v>97</v>
      </c>
      <c r="G133" s="66" t="s">
        <v>372</v>
      </c>
      <c r="H133" s="89" t="str">
        <f t="shared" si="53"/>
        <v>East 2</v>
      </c>
      <c r="AD133" s="64">
        <v>240</v>
      </c>
      <c r="AE133" s="64" t="s">
        <v>390</v>
      </c>
      <c r="AF133" s="64" t="s">
        <v>756</v>
      </c>
      <c r="AG133" s="64">
        <v>7</v>
      </c>
    </row>
    <row r="134" spans="1:33" ht="15" customHeight="1" x14ac:dyDescent="0.35">
      <c r="A134" s="64" t="str">
        <f t="shared" si="50"/>
        <v>LOWERSouthEast 25</v>
      </c>
      <c r="B134" s="66">
        <v>5</v>
      </c>
      <c r="C134" s="64" t="s">
        <v>371</v>
      </c>
      <c r="D134" s="371" t="str">
        <f t="shared" si="51"/>
        <v>Med PP</v>
      </c>
      <c r="E134" s="372">
        <f t="shared" si="52"/>
        <v>5</v>
      </c>
      <c r="F134" s="66" t="s">
        <v>97</v>
      </c>
      <c r="G134" s="66" t="s">
        <v>372</v>
      </c>
      <c r="H134" s="89" t="str">
        <f t="shared" si="53"/>
        <v>East 2</v>
      </c>
      <c r="AD134" s="64">
        <v>5</v>
      </c>
      <c r="AE134" s="64" t="s">
        <v>1332</v>
      </c>
      <c r="AF134" s="64" t="s">
        <v>961</v>
      </c>
      <c r="AG134" s="64">
        <v>4</v>
      </c>
    </row>
    <row r="135" spans="1:33" ht="15" customHeight="1" x14ac:dyDescent="0.35">
      <c r="A135" s="64" t="str">
        <f t="shared" si="50"/>
        <v>LOWERSouthEast 26</v>
      </c>
      <c r="B135" s="66">
        <v>6</v>
      </c>
      <c r="C135" s="64" t="s">
        <v>937</v>
      </c>
      <c r="D135" s="371" t="str">
        <f t="shared" si="51"/>
        <v>NEB</v>
      </c>
      <c r="E135" s="372">
        <f t="shared" si="52"/>
        <v>6</v>
      </c>
      <c r="F135" s="66" t="s">
        <v>97</v>
      </c>
      <c r="G135" s="66" t="s">
        <v>372</v>
      </c>
      <c r="H135" s="89" t="str">
        <f t="shared" si="53"/>
        <v>East 2</v>
      </c>
      <c r="AD135" s="64">
        <v>39</v>
      </c>
      <c r="AE135" s="64" t="s">
        <v>129</v>
      </c>
      <c r="AF135" s="64" t="s">
        <v>634</v>
      </c>
      <c r="AG135" s="64">
        <v>4</v>
      </c>
    </row>
    <row r="136" spans="1:33" ht="15" customHeight="1" x14ac:dyDescent="0.35">
      <c r="A136" s="64" t="str">
        <f t="shared" si="50"/>
        <v>LOWERSouthEast 27</v>
      </c>
      <c r="B136" s="66">
        <v>7</v>
      </c>
      <c r="C136" s="64" t="s">
        <v>359</v>
      </c>
      <c r="D136" s="371" t="str">
        <f t="shared" si="51"/>
        <v>Orion</v>
      </c>
      <c r="E136" s="372">
        <f t="shared" si="52"/>
        <v>7</v>
      </c>
      <c r="F136" s="66" t="s">
        <v>97</v>
      </c>
      <c r="G136" s="66" t="s">
        <v>372</v>
      </c>
      <c r="H136" s="89" t="str">
        <f t="shared" si="53"/>
        <v>East 2</v>
      </c>
      <c r="AD136" s="64">
        <v>50</v>
      </c>
      <c r="AE136" s="64" t="s">
        <v>115</v>
      </c>
      <c r="AF136" s="64" t="s">
        <v>643</v>
      </c>
      <c r="AG136" s="64">
        <v>5</v>
      </c>
    </row>
    <row r="137" spans="1:33" ht="15" customHeight="1" x14ac:dyDescent="0.35">
      <c r="A137" s="64" t="str">
        <f t="shared" si="50"/>
        <v/>
      </c>
      <c r="AD137" s="64">
        <v>273</v>
      </c>
      <c r="AE137" s="64" t="s">
        <v>602</v>
      </c>
      <c r="AF137" s="64" t="s">
        <v>667</v>
      </c>
      <c r="AG137" s="64">
        <v>7</v>
      </c>
    </row>
    <row r="138" spans="1:33" ht="15" customHeight="1" x14ac:dyDescent="0.35">
      <c r="A138" s="64" t="str">
        <f t="shared" si="50"/>
        <v>Lower</v>
      </c>
      <c r="B138" s="96" t="s">
        <v>420</v>
      </c>
      <c r="C138" s="97" t="s">
        <v>411</v>
      </c>
      <c r="D138" s="97"/>
      <c r="E138" s="96"/>
      <c r="F138" s="96"/>
      <c r="G138" s="96"/>
      <c r="H138" s="98"/>
      <c r="AD138" s="64">
        <v>191</v>
      </c>
      <c r="AE138" s="64" t="s">
        <v>379</v>
      </c>
      <c r="AF138" s="64" t="s">
        <v>757</v>
      </c>
      <c r="AG138" s="64">
        <v>6</v>
      </c>
    </row>
    <row r="139" spans="1:33" ht="15" customHeight="1" x14ac:dyDescent="0.35">
      <c r="A139" s="64" t="str">
        <f t="shared" si="50"/>
        <v>LOWERMidlandPremier North/East1</v>
      </c>
      <c r="B139" s="66">
        <v>1</v>
      </c>
      <c r="C139" s="64" t="s">
        <v>963</v>
      </c>
      <c r="D139" s="371" t="str">
        <f>VLOOKUP(C139,$AE:$AF,2,FALSE)</f>
        <v>Amber</v>
      </c>
      <c r="E139" s="372">
        <f>VLOOKUP($C139,$AE:$AG,3,FALSE)</f>
        <v>1</v>
      </c>
      <c r="F139" s="66" t="s">
        <v>97</v>
      </c>
      <c r="G139" s="66" t="s">
        <v>410</v>
      </c>
      <c r="H139" s="89" t="str">
        <f>C138</f>
        <v>Premier North/East</v>
      </c>
      <c r="AD139" s="64">
        <v>297</v>
      </c>
      <c r="AE139" s="64" t="s">
        <v>605</v>
      </c>
      <c r="AF139" s="64" t="s">
        <v>668</v>
      </c>
      <c r="AG139" s="64">
        <v>5</v>
      </c>
    </row>
    <row r="140" spans="1:33" ht="15" customHeight="1" x14ac:dyDescent="0.35">
      <c r="A140" s="64" t="str">
        <f t="shared" si="50"/>
        <v>LOWERMidlandPremier North/East2</v>
      </c>
      <c r="B140" s="66">
        <v>2</v>
      </c>
      <c r="C140" s="64" t="s">
        <v>375</v>
      </c>
      <c r="D140" s="371" t="str">
        <f t="shared" ref="D140:D144" si="54">VLOOKUP(C140,$AE:$AF,2,FALSE)</f>
        <v>Bir</v>
      </c>
      <c r="E140" s="372">
        <f t="shared" ref="E140:E144" si="55">VLOOKUP($C140,$AE:$AG,3,FALSE)</f>
        <v>2</v>
      </c>
      <c r="F140" s="66" t="s">
        <v>97</v>
      </c>
      <c r="G140" s="66" t="s">
        <v>410</v>
      </c>
      <c r="H140" s="89" t="str">
        <f>H139</f>
        <v>Premier North/East</v>
      </c>
      <c r="AD140" s="64">
        <v>228</v>
      </c>
      <c r="AE140" s="64" t="s">
        <v>521</v>
      </c>
      <c r="AF140" s="64" t="s">
        <v>791</v>
      </c>
      <c r="AG140" s="64">
        <v>5</v>
      </c>
    </row>
    <row r="141" spans="1:33" ht="15" customHeight="1" x14ac:dyDescent="0.35">
      <c r="A141" s="64" t="str">
        <f t="shared" si="50"/>
        <v>LOWERMidlandPremier North/East3</v>
      </c>
      <c r="B141" s="66">
        <v>3</v>
      </c>
      <c r="C141" s="64" t="s">
        <v>377</v>
      </c>
      <c r="D141" s="371" t="str">
        <f t="shared" si="54"/>
        <v>MMK</v>
      </c>
      <c r="E141" s="372">
        <f t="shared" si="55"/>
        <v>3</v>
      </c>
      <c r="F141" s="66" t="s">
        <v>97</v>
      </c>
      <c r="G141" s="66" t="s">
        <v>410</v>
      </c>
      <c r="H141" s="89" t="str">
        <f t="shared" ref="H141:H144" si="56">H140</f>
        <v>Premier North/East</v>
      </c>
      <c r="AD141" s="64">
        <v>95</v>
      </c>
      <c r="AE141" s="64" t="s">
        <v>338</v>
      </c>
      <c r="AF141" s="64" t="s">
        <v>758</v>
      </c>
      <c r="AG141" s="64">
        <v>6</v>
      </c>
    </row>
    <row r="142" spans="1:33" ht="15" customHeight="1" x14ac:dyDescent="0.35">
      <c r="A142" s="64" t="str">
        <f t="shared" si="50"/>
        <v>LOWERMidlandPremier North/East4</v>
      </c>
      <c r="B142" s="66">
        <v>4</v>
      </c>
      <c r="C142" s="64" t="s">
        <v>385</v>
      </c>
      <c r="D142" s="371" t="str">
        <f t="shared" si="54"/>
        <v>Notts</v>
      </c>
      <c r="E142" s="372">
        <f t="shared" si="55"/>
        <v>4</v>
      </c>
      <c r="F142" s="66" t="s">
        <v>97</v>
      </c>
      <c r="G142" s="66" t="s">
        <v>410</v>
      </c>
      <c r="H142" s="89" t="str">
        <f t="shared" si="56"/>
        <v>Premier North/East</v>
      </c>
      <c r="AD142" s="64">
        <v>40</v>
      </c>
      <c r="AE142" s="64" t="s">
        <v>126</v>
      </c>
      <c r="AF142" s="64" t="s">
        <v>635</v>
      </c>
      <c r="AG142" s="64">
        <v>2</v>
      </c>
    </row>
    <row r="143" spans="1:33" ht="15" customHeight="1" x14ac:dyDescent="0.35">
      <c r="A143" s="64" t="str">
        <f t="shared" si="50"/>
        <v>LOWERMidlandPremier North/East5</v>
      </c>
      <c r="B143" s="66">
        <v>5</v>
      </c>
      <c r="C143" s="64" t="s">
        <v>378</v>
      </c>
      <c r="D143" s="371" t="str">
        <f t="shared" si="54"/>
        <v>R&amp;N</v>
      </c>
      <c r="E143" s="372">
        <f t="shared" si="55"/>
        <v>5</v>
      </c>
      <c r="F143" s="66" t="s">
        <v>97</v>
      </c>
      <c r="G143" s="66" t="s">
        <v>410</v>
      </c>
      <c r="H143" s="89" t="str">
        <f t="shared" si="56"/>
        <v>Premier North/East</v>
      </c>
      <c r="AD143" s="64">
        <v>51</v>
      </c>
      <c r="AE143" s="64" t="s">
        <v>116</v>
      </c>
      <c r="AF143" s="64" t="s">
        <v>644</v>
      </c>
      <c r="AG143" s="64">
        <v>5</v>
      </c>
    </row>
    <row r="144" spans="1:33" ht="15" customHeight="1" x14ac:dyDescent="0.35">
      <c r="A144" s="64" t="str">
        <f t="shared" si="50"/>
        <v>LOWERMidlandPremier North/East6</v>
      </c>
      <c r="B144" s="66">
        <v>6</v>
      </c>
      <c r="C144" s="411" t="s">
        <v>1353</v>
      </c>
      <c r="D144" s="371" t="str">
        <f t="shared" si="54"/>
        <v>SSH</v>
      </c>
      <c r="E144" s="372">
        <f t="shared" si="55"/>
        <v>6</v>
      </c>
      <c r="F144" s="66" t="s">
        <v>97</v>
      </c>
      <c r="G144" s="66" t="s">
        <v>410</v>
      </c>
      <c r="H144" s="89" t="str">
        <f t="shared" si="56"/>
        <v>Premier North/East</v>
      </c>
      <c r="AD144" s="64">
        <v>31</v>
      </c>
      <c r="AE144" s="64" t="s">
        <v>938</v>
      </c>
      <c r="AF144" s="64" t="s">
        <v>626</v>
      </c>
      <c r="AG144" s="64">
        <v>5</v>
      </c>
    </row>
    <row r="145" spans="1:33" ht="15" customHeight="1" x14ac:dyDescent="0.35">
      <c r="A145" s="64" t="str">
        <f t="shared" si="50"/>
        <v/>
      </c>
      <c r="AD145" s="64">
        <v>251</v>
      </c>
      <c r="AE145" s="64" t="s">
        <v>939</v>
      </c>
      <c r="AF145" s="64" t="s">
        <v>759</v>
      </c>
      <c r="AG145" s="64">
        <v>4</v>
      </c>
    </row>
    <row r="146" spans="1:33" ht="15" customHeight="1" x14ac:dyDescent="0.35">
      <c r="A146" s="64" t="str">
        <f t="shared" si="50"/>
        <v>Lower</v>
      </c>
      <c r="B146" s="96" t="s">
        <v>420</v>
      </c>
      <c r="C146" s="97" t="s">
        <v>417</v>
      </c>
      <c r="D146" s="97"/>
      <c r="E146" s="96"/>
      <c r="F146" s="96"/>
      <c r="G146" s="96"/>
      <c r="H146" s="98"/>
      <c r="AD146" s="64">
        <v>15</v>
      </c>
      <c r="AE146" s="64" t="s">
        <v>1333</v>
      </c>
      <c r="AF146" s="64" t="s">
        <v>795</v>
      </c>
      <c r="AG146" s="64">
        <v>5</v>
      </c>
    </row>
    <row r="147" spans="1:33" ht="15" customHeight="1" x14ac:dyDescent="0.35">
      <c r="A147" s="64" t="str">
        <f t="shared" si="50"/>
        <v>LOWERMidlandNorth/East 1A1</v>
      </c>
      <c r="B147" s="66">
        <v>1</v>
      </c>
      <c r="C147" s="64" t="s">
        <v>387</v>
      </c>
      <c r="D147" s="371" t="str">
        <f t="shared" ref="D147:D153" si="57">VLOOKUP(C147,$AE:$AF,2,FALSE)</f>
        <v>Burt</v>
      </c>
      <c r="E147" s="372">
        <f t="shared" ref="E147:E153" si="58">VLOOKUP($C147,$AE:$AG,3,FALSE)</f>
        <v>1</v>
      </c>
      <c r="F147" s="66" t="s">
        <v>97</v>
      </c>
      <c r="G147" s="66" t="s">
        <v>410</v>
      </c>
      <c r="H147" s="89" t="str">
        <f>C146</f>
        <v>North/East 1A</v>
      </c>
      <c r="AD147" s="64">
        <v>203</v>
      </c>
      <c r="AE147" s="64" t="s">
        <v>1334</v>
      </c>
      <c r="AF147" s="64" t="s">
        <v>760</v>
      </c>
      <c r="AG147" s="64">
        <v>8</v>
      </c>
    </row>
    <row r="148" spans="1:33" ht="15" customHeight="1" x14ac:dyDescent="0.35">
      <c r="A148" s="64" t="str">
        <f t="shared" si="50"/>
        <v>LOWERMidlandNorth/East 1A2</v>
      </c>
      <c r="B148" s="66">
        <v>2</v>
      </c>
      <c r="C148" s="64" t="s">
        <v>376</v>
      </c>
      <c r="D148" s="371" t="str">
        <f t="shared" si="57"/>
        <v>Charn</v>
      </c>
      <c r="E148" s="372">
        <f t="shared" si="58"/>
        <v>2</v>
      </c>
      <c r="F148" s="66" t="s">
        <v>97</v>
      </c>
      <c r="G148" s="66" t="s">
        <v>410</v>
      </c>
      <c r="H148" s="89" t="str">
        <f>H147</f>
        <v>North/East 1A</v>
      </c>
      <c r="AD148" s="64">
        <v>272</v>
      </c>
      <c r="AE148" s="64" t="s">
        <v>940</v>
      </c>
      <c r="AF148" s="64" t="s">
        <v>1335</v>
      </c>
      <c r="AG148" s="64">
        <v>5</v>
      </c>
    </row>
    <row r="149" spans="1:33" ht="15" customHeight="1" x14ac:dyDescent="0.35">
      <c r="A149" s="64" t="str">
        <f t="shared" si="50"/>
        <v>LOWERMidlandNorth/East 1A3</v>
      </c>
      <c r="B149" s="66">
        <v>3</v>
      </c>
      <c r="C149" s="64" t="s">
        <v>382</v>
      </c>
      <c r="D149" s="371" t="str">
        <f t="shared" si="57"/>
        <v>Stoke</v>
      </c>
      <c r="E149" s="372">
        <f t="shared" si="58"/>
        <v>3</v>
      </c>
      <c r="F149" s="66" t="s">
        <v>97</v>
      </c>
      <c r="G149" s="66" t="s">
        <v>410</v>
      </c>
      <c r="H149" s="89" t="str">
        <f t="shared" ref="H149:H153" si="59">H148</f>
        <v>North/East 1A</v>
      </c>
      <c r="AD149" s="64">
        <v>229</v>
      </c>
      <c r="AE149" s="64" t="s">
        <v>404</v>
      </c>
      <c r="AF149" s="64" t="s">
        <v>761</v>
      </c>
      <c r="AG149" s="64">
        <v>6</v>
      </c>
    </row>
    <row r="150" spans="1:33" ht="15" customHeight="1" x14ac:dyDescent="0.35">
      <c r="A150" s="64" t="str">
        <f t="shared" si="50"/>
        <v>LOWERMidlandNorth/East 1A4</v>
      </c>
      <c r="B150" s="66">
        <v>4</v>
      </c>
      <c r="C150" s="64" t="s">
        <v>383</v>
      </c>
      <c r="D150" s="371" t="str">
        <f t="shared" si="57"/>
        <v>Cov G</v>
      </c>
      <c r="E150" s="372">
        <f t="shared" si="58"/>
        <v>4</v>
      </c>
      <c r="F150" s="66" t="s">
        <v>97</v>
      </c>
      <c r="G150" s="66" t="s">
        <v>410</v>
      </c>
      <c r="H150" s="89" t="str">
        <f t="shared" si="59"/>
        <v>North/East 1A</v>
      </c>
      <c r="AD150" s="64">
        <v>215</v>
      </c>
      <c r="AE150" s="371" t="s">
        <v>395</v>
      </c>
      <c r="AF150" s="64" t="s">
        <v>1336</v>
      </c>
      <c r="AG150" s="64">
        <v>5</v>
      </c>
    </row>
    <row r="151" spans="1:33" ht="15" customHeight="1" x14ac:dyDescent="0.35">
      <c r="A151" s="64" t="str">
        <f t="shared" si="50"/>
        <v>LOWERMidlandNorth/East 1A5</v>
      </c>
      <c r="B151" s="66">
        <v>5</v>
      </c>
      <c r="C151" s="64" t="s">
        <v>384</v>
      </c>
      <c r="D151" s="371" t="str">
        <f t="shared" si="57"/>
        <v>Leic</v>
      </c>
      <c r="E151" s="372">
        <f t="shared" si="58"/>
        <v>5</v>
      </c>
      <c r="F151" s="66" t="s">
        <v>97</v>
      </c>
      <c r="G151" s="66" t="s">
        <v>410</v>
      </c>
      <c r="H151" s="89" t="str">
        <f t="shared" si="59"/>
        <v>North/East 1A</v>
      </c>
      <c r="AD151" s="64">
        <v>237</v>
      </c>
      <c r="AE151" s="64" t="s">
        <v>803</v>
      </c>
      <c r="AF151" s="64" t="s">
        <v>762</v>
      </c>
      <c r="AG151" s="64">
        <v>7</v>
      </c>
    </row>
    <row r="152" spans="1:33" ht="15" customHeight="1" x14ac:dyDescent="0.35">
      <c r="A152" s="64" t="str">
        <f t="shared" ref="A152" si="60">F152&amp;G152&amp;H152&amp;B152</f>
        <v>LOWERMidlandNorth/East 1A6</v>
      </c>
      <c r="B152" s="66">
        <v>6</v>
      </c>
      <c r="C152" s="64" t="s">
        <v>386</v>
      </c>
      <c r="D152" s="371" t="str">
        <f t="shared" si="57"/>
        <v>RSC</v>
      </c>
      <c r="E152" s="372">
        <f t="shared" si="58"/>
        <v>6</v>
      </c>
      <c r="F152" s="66" t="s">
        <v>97</v>
      </c>
      <c r="G152" s="66" t="s">
        <v>410</v>
      </c>
      <c r="H152" s="89" t="str">
        <f t="shared" si="59"/>
        <v>North/East 1A</v>
      </c>
      <c r="AD152" s="64">
        <v>312</v>
      </c>
      <c r="AE152" s="64" t="s">
        <v>973</v>
      </c>
      <c r="AF152" s="64" t="s">
        <v>974</v>
      </c>
      <c r="AG152" s="64">
        <v>5</v>
      </c>
    </row>
    <row r="153" spans="1:33" ht="15" customHeight="1" x14ac:dyDescent="0.35">
      <c r="A153" s="64" t="str">
        <f t="shared" si="50"/>
        <v>LOWERMidlandNorth/East 1A7</v>
      </c>
      <c r="B153" s="66">
        <v>7</v>
      </c>
      <c r="C153" s="64" t="s">
        <v>380</v>
      </c>
      <c r="D153" s="371" t="str">
        <f t="shared" si="57"/>
        <v>W&amp;B</v>
      </c>
      <c r="E153" s="372">
        <f t="shared" si="58"/>
        <v>7</v>
      </c>
      <c r="F153" s="66" t="s">
        <v>97</v>
      </c>
      <c r="G153" s="66" t="s">
        <v>410</v>
      </c>
      <c r="H153" s="89" t="str">
        <f t="shared" si="59"/>
        <v>North/East 1A</v>
      </c>
      <c r="AD153" s="64">
        <v>312</v>
      </c>
      <c r="AE153" s="64" t="s">
        <v>973</v>
      </c>
      <c r="AF153" s="64" t="s">
        <v>974</v>
      </c>
      <c r="AG153" s="64">
        <v>5</v>
      </c>
    </row>
    <row r="154" spans="1:33" ht="15" customHeight="1" x14ac:dyDescent="0.35">
      <c r="A154" s="64" t="str">
        <f t="shared" si="50"/>
        <v/>
      </c>
      <c r="AD154" s="64">
        <v>313</v>
      </c>
      <c r="AE154" s="64" t="s">
        <v>970</v>
      </c>
      <c r="AF154" s="64" t="s">
        <v>971</v>
      </c>
      <c r="AG154" s="64">
        <v>8</v>
      </c>
    </row>
    <row r="155" spans="1:33" ht="15" customHeight="1" x14ac:dyDescent="0.35">
      <c r="A155" s="64" t="str">
        <f t="shared" si="50"/>
        <v>Lower</v>
      </c>
      <c r="B155" s="96" t="s">
        <v>420</v>
      </c>
      <c r="C155" s="97" t="s">
        <v>413</v>
      </c>
      <c r="D155" s="97"/>
      <c r="E155" s="96"/>
      <c r="F155" s="96"/>
      <c r="G155" s="96"/>
      <c r="H155" s="98"/>
      <c r="AD155" s="64">
        <v>154</v>
      </c>
      <c r="AE155" s="64" t="s">
        <v>595</v>
      </c>
      <c r="AF155" s="64" t="s">
        <v>792</v>
      </c>
      <c r="AG155" s="64">
        <v>4</v>
      </c>
    </row>
    <row r="156" spans="1:33" ht="15" customHeight="1" x14ac:dyDescent="0.35">
      <c r="A156" s="64" t="str">
        <f t="shared" si="50"/>
        <v>LOWERMidlandNorth/East 1B1</v>
      </c>
      <c r="B156" s="66">
        <v>1</v>
      </c>
      <c r="C156" s="64" t="s">
        <v>388</v>
      </c>
      <c r="D156" s="371" t="str">
        <f t="shared" ref="D156:D163" si="61">VLOOKUP(C156,$AE:$AF,2,FALSE)</f>
        <v>Derby</v>
      </c>
      <c r="E156" s="372">
        <f t="shared" ref="E156:E163" si="62">VLOOKUP($C156,$AE:$AG,3,FALSE)</f>
        <v>1</v>
      </c>
      <c r="F156" s="66" t="s">
        <v>97</v>
      </c>
      <c r="G156" s="66" t="s">
        <v>410</v>
      </c>
      <c r="H156" s="89" t="str">
        <f>C155</f>
        <v>North/East 1B</v>
      </c>
      <c r="AD156" s="64">
        <v>302</v>
      </c>
      <c r="AE156" s="64" t="s">
        <v>571</v>
      </c>
      <c r="AF156" s="64" t="s">
        <v>1337</v>
      </c>
      <c r="AG156" s="64">
        <v>6</v>
      </c>
    </row>
    <row r="157" spans="1:33" ht="15" customHeight="1" x14ac:dyDescent="0.35">
      <c r="A157" s="64" t="str">
        <f t="shared" si="50"/>
        <v>LOWERMidlandNorth/East 1B2</v>
      </c>
      <c r="B157" s="66">
        <v>2</v>
      </c>
      <c r="C157" s="425" t="s">
        <v>1320</v>
      </c>
      <c r="D157" s="371" t="str">
        <f t="shared" si="61"/>
        <v>Mans</v>
      </c>
      <c r="E157" s="372">
        <f t="shared" si="62"/>
        <v>2</v>
      </c>
      <c r="F157" s="66" t="s">
        <v>97</v>
      </c>
      <c r="G157" s="66" t="s">
        <v>410</v>
      </c>
      <c r="H157" s="89" t="str">
        <f>H156</f>
        <v>North/East 1B</v>
      </c>
      <c r="AD157" s="64">
        <v>157</v>
      </c>
      <c r="AE157" s="64" t="s">
        <v>801</v>
      </c>
      <c r="AF157" s="64" t="s">
        <v>1338</v>
      </c>
      <c r="AG157" s="64">
        <v>7</v>
      </c>
    </row>
    <row r="158" spans="1:33" ht="15" customHeight="1" x14ac:dyDescent="0.35">
      <c r="A158" s="64" t="str">
        <f t="shared" si="50"/>
        <v>LOWERMidlandNorth/East 1B3</v>
      </c>
      <c r="B158" s="66">
        <v>3</v>
      </c>
      <c r="C158" s="64" t="s">
        <v>1322</v>
      </c>
      <c r="D158" s="371" t="str">
        <f t="shared" si="61"/>
        <v>Nhants</v>
      </c>
      <c r="E158" s="372">
        <f t="shared" si="62"/>
        <v>3</v>
      </c>
      <c r="F158" s="66" t="s">
        <v>97</v>
      </c>
      <c r="G158" s="66" t="s">
        <v>410</v>
      </c>
      <c r="H158" s="89" t="str">
        <f t="shared" ref="H158:H163" si="63">H157</f>
        <v>North/East 1B</v>
      </c>
      <c r="AD158" s="64">
        <v>16</v>
      </c>
      <c r="AE158" s="64" t="s">
        <v>606</v>
      </c>
      <c r="AF158" s="64" t="s">
        <v>1339</v>
      </c>
      <c r="AG158" s="64">
        <v>3</v>
      </c>
    </row>
    <row r="159" spans="1:33" ht="15" customHeight="1" x14ac:dyDescent="0.35">
      <c r="A159" s="64" t="str">
        <f t="shared" si="50"/>
        <v>LOWERMidlandNorth/East 1B4</v>
      </c>
      <c r="B159" s="66">
        <v>4</v>
      </c>
      <c r="C159" s="425" t="s">
        <v>1324</v>
      </c>
      <c r="D159" s="371" t="str">
        <f t="shared" si="61"/>
        <v>NNA</v>
      </c>
      <c r="E159" s="372">
        <f t="shared" si="62"/>
        <v>4</v>
      </c>
      <c r="F159" s="66" t="s">
        <v>97</v>
      </c>
      <c r="G159" s="66" t="s">
        <v>410</v>
      </c>
      <c r="H159" s="89" t="str">
        <f t="shared" si="63"/>
        <v>North/East 1B</v>
      </c>
      <c r="AD159" s="64">
        <v>306</v>
      </c>
      <c r="AE159" s="64" t="s">
        <v>972</v>
      </c>
      <c r="AF159" s="64" t="s">
        <v>1340</v>
      </c>
      <c r="AG159" s="64">
        <v>8</v>
      </c>
    </row>
    <row r="160" spans="1:33" ht="15" customHeight="1" x14ac:dyDescent="0.35">
      <c r="A160" s="64" t="str">
        <f t="shared" si="50"/>
        <v>LOWERMidlandNorth/East 1B5</v>
      </c>
      <c r="B160" s="66">
        <v>5</v>
      </c>
      <c r="C160" s="425" t="s">
        <v>520</v>
      </c>
      <c r="D160" s="371" t="str">
        <f t="shared" si="61"/>
        <v>Notts+Linc</v>
      </c>
      <c r="E160" s="372">
        <f t="shared" si="62"/>
        <v>5</v>
      </c>
      <c r="F160" s="66" t="s">
        <v>97</v>
      </c>
      <c r="G160" s="66" t="s">
        <v>410</v>
      </c>
      <c r="H160" s="89" t="str">
        <f t="shared" si="63"/>
        <v>North/East 1B</v>
      </c>
      <c r="AD160" s="64">
        <v>25</v>
      </c>
      <c r="AE160" s="64" t="s">
        <v>607</v>
      </c>
      <c r="AF160" s="64" t="s">
        <v>1341</v>
      </c>
      <c r="AG160" s="64">
        <v>4</v>
      </c>
    </row>
    <row r="161" spans="1:33" ht="15" customHeight="1" x14ac:dyDescent="0.35">
      <c r="A161" s="64" t="str">
        <f t="shared" ref="A161:A191" si="64">F161&amp;G161&amp;H161&amp;B161</f>
        <v>LOWERMidlandNorth/East 1B6</v>
      </c>
      <c r="B161" s="66">
        <v>6</v>
      </c>
      <c r="C161" s="64" t="s">
        <v>965</v>
      </c>
      <c r="D161" s="371" t="str">
        <f t="shared" si="61"/>
        <v>Rush</v>
      </c>
      <c r="E161" s="372">
        <f t="shared" si="62"/>
        <v>6</v>
      </c>
      <c r="F161" s="66" t="s">
        <v>97</v>
      </c>
      <c r="G161" s="66" t="s">
        <v>410</v>
      </c>
      <c r="H161" s="89" t="str">
        <f t="shared" si="63"/>
        <v>North/East 1B</v>
      </c>
      <c r="AD161" s="64">
        <v>289</v>
      </c>
      <c r="AE161" s="64" t="s">
        <v>804</v>
      </c>
      <c r="AF161" s="64" t="s">
        <v>1342</v>
      </c>
      <c r="AG161" s="64">
        <v>7</v>
      </c>
    </row>
    <row r="162" spans="1:33" ht="15" customHeight="1" x14ac:dyDescent="0.35">
      <c r="A162" s="64" t="str">
        <f t="shared" si="64"/>
        <v>LOWERMidlandNorth/East 1B7</v>
      </c>
      <c r="B162" s="66">
        <v>7</v>
      </c>
      <c r="C162" s="64" t="s">
        <v>390</v>
      </c>
      <c r="D162" s="371" t="str">
        <f t="shared" si="61"/>
        <v>Saff</v>
      </c>
      <c r="E162" s="372">
        <f t="shared" si="62"/>
        <v>7</v>
      </c>
      <c r="F162" s="66" t="s">
        <v>97</v>
      </c>
      <c r="G162" s="66" t="s">
        <v>410</v>
      </c>
      <c r="H162" s="89" t="str">
        <f t="shared" si="63"/>
        <v>North/East 1B</v>
      </c>
      <c r="AD162" s="64">
        <v>216</v>
      </c>
      <c r="AE162" s="64" t="s">
        <v>396</v>
      </c>
      <c r="AF162" s="64" t="s">
        <v>1343</v>
      </c>
      <c r="AG162" s="64">
        <v>6</v>
      </c>
    </row>
    <row r="163" spans="1:33" ht="15" customHeight="1" x14ac:dyDescent="0.35">
      <c r="A163" s="64" t="str">
        <f t="shared" si="64"/>
        <v>LOWERMidlandNorth/East 1B8</v>
      </c>
      <c r="B163" s="66">
        <v>8</v>
      </c>
      <c r="C163" s="425" t="s">
        <v>1334</v>
      </c>
      <c r="D163" s="371" t="str">
        <f t="shared" si="61"/>
        <v>SinA</v>
      </c>
      <c r="E163" s="372">
        <f t="shared" si="62"/>
        <v>8</v>
      </c>
      <c r="F163" s="66" t="s">
        <v>97</v>
      </c>
      <c r="G163" s="66" t="s">
        <v>410</v>
      </c>
      <c r="H163" s="89" t="str">
        <f t="shared" si="63"/>
        <v>North/East 1B</v>
      </c>
      <c r="AD163" s="64">
        <v>108</v>
      </c>
      <c r="AE163" s="64" t="s">
        <v>343</v>
      </c>
      <c r="AF163" s="64" t="s">
        <v>763</v>
      </c>
      <c r="AG163" s="64">
        <v>6</v>
      </c>
    </row>
    <row r="164" spans="1:33" ht="15" customHeight="1" x14ac:dyDescent="0.35">
      <c r="A164" s="64" t="str">
        <f t="shared" si="64"/>
        <v/>
      </c>
      <c r="AD164" s="64">
        <v>217</v>
      </c>
      <c r="AE164" s="371" t="s">
        <v>397</v>
      </c>
      <c r="AF164" s="64" t="s">
        <v>1344</v>
      </c>
      <c r="AG164" s="64">
        <v>6</v>
      </c>
    </row>
    <row r="165" spans="1:33" ht="15" customHeight="1" x14ac:dyDescent="0.35">
      <c r="A165" s="64" t="str">
        <f t="shared" si="64"/>
        <v>Lower</v>
      </c>
      <c r="B165" s="96" t="s">
        <v>420</v>
      </c>
      <c r="C165" s="97" t="s">
        <v>414</v>
      </c>
      <c r="D165" s="97"/>
      <c r="E165" s="96"/>
      <c r="F165" s="96"/>
      <c r="G165" s="96"/>
      <c r="H165" s="98"/>
      <c r="AD165" s="64">
        <v>123</v>
      </c>
      <c r="AE165" s="64" t="s">
        <v>347</v>
      </c>
      <c r="AF165" s="64" t="s">
        <v>1345</v>
      </c>
      <c r="AG165" s="64">
        <v>6</v>
      </c>
    </row>
    <row r="166" spans="1:33" ht="15" customHeight="1" x14ac:dyDescent="0.35">
      <c r="A166" s="64" t="str">
        <f t="shared" si="64"/>
        <v>LOWERMidlandNorth/East 1C1</v>
      </c>
      <c r="B166" s="66">
        <v>1</v>
      </c>
      <c r="C166" s="64" t="s">
        <v>389</v>
      </c>
      <c r="D166" s="371" t="str">
        <f t="shared" ref="D166:D171" si="65">VLOOKUP(C166,$AE:$AF,2,FALSE)</f>
        <v>Bic</v>
      </c>
      <c r="E166" s="372">
        <f t="shared" ref="E166:E171" si="66">VLOOKUP($C166,$AE:$AG,3,FALSE)</f>
        <v>1</v>
      </c>
      <c r="F166" s="66" t="s">
        <v>97</v>
      </c>
      <c r="G166" s="66" t="s">
        <v>410</v>
      </c>
      <c r="H166" s="89" t="str">
        <f>C165</f>
        <v>North/East 1C</v>
      </c>
      <c r="AD166" s="64">
        <v>17</v>
      </c>
      <c r="AE166" s="64" t="s">
        <v>119</v>
      </c>
      <c r="AF166" s="64" t="s">
        <v>764</v>
      </c>
      <c r="AG166" s="64">
        <v>5</v>
      </c>
    </row>
    <row r="167" spans="1:33" ht="15" customHeight="1" x14ac:dyDescent="0.35">
      <c r="A167" s="64" t="str">
        <f t="shared" si="64"/>
        <v>LOWERMidlandNorth/East 1C2</v>
      </c>
      <c r="B167" s="66">
        <v>2</v>
      </c>
      <c r="C167" s="64" t="s">
        <v>391</v>
      </c>
      <c r="D167" s="371" t="str">
        <f t="shared" si="65"/>
        <v>B&amp;R</v>
      </c>
      <c r="E167" s="372">
        <f t="shared" si="66"/>
        <v>2</v>
      </c>
      <c r="F167" s="66" t="s">
        <v>97</v>
      </c>
      <c r="G167" s="66" t="s">
        <v>410</v>
      </c>
      <c r="H167" s="89" t="str">
        <f>H166</f>
        <v>North/East 1C</v>
      </c>
      <c r="AD167" s="64">
        <v>160</v>
      </c>
      <c r="AE167" s="64" t="s">
        <v>373</v>
      </c>
      <c r="AF167" s="64" t="s">
        <v>765</v>
      </c>
      <c r="AG167" s="64">
        <v>7</v>
      </c>
    </row>
    <row r="168" spans="1:33" ht="15" customHeight="1" x14ac:dyDescent="0.35">
      <c r="A168" s="64" t="str">
        <f t="shared" si="64"/>
        <v>LOWERMidlandNorth/East 1C3</v>
      </c>
      <c r="B168" s="66">
        <v>3</v>
      </c>
      <c r="C168" s="64" t="s">
        <v>392</v>
      </c>
      <c r="D168" s="371" t="str">
        <f t="shared" si="65"/>
        <v>D&amp;S</v>
      </c>
      <c r="E168" s="372">
        <f t="shared" si="66"/>
        <v>3</v>
      </c>
      <c r="F168" s="66" t="s">
        <v>97</v>
      </c>
      <c r="G168" s="66" t="s">
        <v>410</v>
      </c>
      <c r="H168" s="89" t="str">
        <f t="shared" ref="H168:H171" si="67">H167</f>
        <v>North/East 1C</v>
      </c>
      <c r="AD168" s="64">
        <v>316</v>
      </c>
      <c r="AE168" s="64" t="s">
        <v>670</v>
      </c>
      <c r="AF168" s="64" t="s">
        <v>1346</v>
      </c>
      <c r="AG168" s="64">
        <v>8</v>
      </c>
    </row>
    <row r="169" spans="1:33" ht="15" customHeight="1" x14ac:dyDescent="0.35">
      <c r="A169" s="64" t="str">
        <f t="shared" si="64"/>
        <v>LOWERMidlandNorth/East 1C4</v>
      </c>
      <c r="B169" s="66">
        <v>4</v>
      </c>
      <c r="C169" s="64" t="s">
        <v>393</v>
      </c>
      <c r="D169" s="371" t="str">
        <f t="shared" si="65"/>
        <v>Hales</v>
      </c>
      <c r="E169" s="372">
        <f t="shared" si="66"/>
        <v>4</v>
      </c>
      <c r="F169" s="66" t="s">
        <v>97</v>
      </c>
      <c r="G169" s="66" t="s">
        <v>410</v>
      </c>
      <c r="H169" s="89" t="str">
        <f t="shared" si="67"/>
        <v>North/East 1C</v>
      </c>
      <c r="AD169" s="64">
        <v>110</v>
      </c>
      <c r="AE169" s="64" t="s">
        <v>975</v>
      </c>
      <c r="AF169" s="64" t="s">
        <v>766</v>
      </c>
      <c r="AG169" s="64">
        <v>6</v>
      </c>
    </row>
    <row r="170" spans="1:33" ht="15" customHeight="1" x14ac:dyDescent="0.35">
      <c r="A170" s="64" t="str">
        <f t="shared" si="64"/>
        <v>LOWERMidlandNorth/East 1C5</v>
      </c>
      <c r="B170" s="66">
        <v>5</v>
      </c>
      <c r="C170" s="423" t="s">
        <v>394</v>
      </c>
      <c r="D170" s="371" t="str">
        <f t="shared" si="65"/>
        <v>K&amp;S</v>
      </c>
      <c r="E170" s="372">
        <f t="shared" si="66"/>
        <v>5</v>
      </c>
      <c r="F170" s="66" t="s">
        <v>97</v>
      </c>
      <c r="G170" s="66" t="s">
        <v>410</v>
      </c>
      <c r="H170" s="89" t="str">
        <f t="shared" si="67"/>
        <v>North/East 1C</v>
      </c>
      <c r="AD170" s="64">
        <v>179</v>
      </c>
      <c r="AE170" s="64" t="s">
        <v>367</v>
      </c>
      <c r="AF170" s="64" t="s">
        <v>767</v>
      </c>
      <c r="AG170" s="64">
        <v>5</v>
      </c>
    </row>
    <row r="171" spans="1:33" ht="15" customHeight="1" x14ac:dyDescent="0.35">
      <c r="A171" s="64" t="str">
        <f t="shared" si="64"/>
        <v>LOWERMidlandNorth/East 1C6</v>
      </c>
      <c r="B171" s="66">
        <v>6</v>
      </c>
      <c r="C171" s="64" t="s">
        <v>397</v>
      </c>
      <c r="D171" s="371" t="str">
        <f t="shared" si="65"/>
        <v>Tipton</v>
      </c>
      <c r="E171" s="372">
        <f t="shared" si="66"/>
        <v>6</v>
      </c>
      <c r="F171" s="66" t="s">
        <v>97</v>
      </c>
      <c r="G171" s="66" t="s">
        <v>410</v>
      </c>
      <c r="H171" s="89" t="str">
        <f t="shared" si="67"/>
        <v>North/East 1C</v>
      </c>
      <c r="AD171" s="64">
        <v>32</v>
      </c>
      <c r="AE171" s="64" t="s">
        <v>123</v>
      </c>
      <c r="AF171" s="64" t="s">
        <v>627</v>
      </c>
      <c r="AG171" s="64">
        <v>6</v>
      </c>
    </row>
    <row r="172" spans="1:33" ht="15" customHeight="1" x14ac:dyDescent="0.35">
      <c r="A172" s="64" t="str">
        <f t="shared" si="64"/>
        <v/>
      </c>
      <c r="AD172" s="64">
        <v>6</v>
      </c>
      <c r="AE172" s="64" t="s">
        <v>107</v>
      </c>
      <c r="AF172" s="64" t="s">
        <v>614</v>
      </c>
      <c r="AG172" s="64">
        <v>6</v>
      </c>
    </row>
    <row r="173" spans="1:33" ht="15" customHeight="1" x14ac:dyDescent="0.35">
      <c r="A173" s="64" t="str">
        <f t="shared" si="64"/>
        <v>Lower</v>
      </c>
      <c r="B173" s="96" t="s">
        <v>420</v>
      </c>
      <c r="C173" s="97" t="s">
        <v>418</v>
      </c>
      <c r="D173" s="97"/>
      <c r="E173" s="96"/>
      <c r="F173" s="96"/>
      <c r="G173" s="96"/>
      <c r="H173" s="98"/>
      <c r="AD173" s="64">
        <v>18</v>
      </c>
      <c r="AE173" s="64" t="s">
        <v>1347</v>
      </c>
      <c r="AF173" s="64" t="s">
        <v>1348</v>
      </c>
      <c r="AG173" s="64">
        <v>6</v>
      </c>
    </row>
    <row r="174" spans="1:33" ht="15" customHeight="1" x14ac:dyDescent="0.35">
      <c r="A174" s="64" t="str">
        <f t="shared" si="64"/>
        <v>LOWERMidlandNorth/East 1D1</v>
      </c>
      <c r="B174" s="66">
        <v>1</v>
      </c>
      <c r="C174" s="64" t="s">
        <v>381</v>
      </c>
      <c r="D174" s="371" t="str">
        <f t="shared" ref="D174:D179" si="68">VLOOKUP(C174,$AE:$AF,2,FALSE)</f>
        <v>C&amp;S</v>
      </c>
      <c r="E174" s="372">
        <f t="shared" ref="E174:E179" si="69">VLOOKUP($C174,$AE:$AG,3,FALSE)</f>
        <v>1</v>
      </c>
      <c r="F174" s="66" t="s">
        <v>97</v>
      </c>
      <c r="G174" s="66" t="s">
        <v>410</v>
      </c>
      <c r="H174" s="89" t="str">
        <f>C173</f>
        <v>North/East 1D</v>
      </c>
      <c r="AD174" s="64">
        <v>128</v>
      </c>
      <c r="AE174" s="64" t="s">
        <v>349</v>
      </c>
      <c r="AF174" s="64" t="s">
        <v>768</v>
      </c>
      <c r="AG174" s="64">
        <v>6</v>
      </c>
    </row>
    <row r="175" spans="1:33" ht="15" customHeight="1" x14ac:dyDescent="0.35">
      <c r="A175" s="64" t="str">
        <f t="shared" si="64"/>
        <v>LOWERMidlandNorth/East 1D2</v>
      </c>
      <c r="B175" s="66">
        <v>2</v>
      </c>
      <c r="C175" s="64" t="s">
        <v>1300</v>
      </c>
      <c r="D175" s="371" t="str">
        <f t="shared" si="68"/>
        <v>Dav</v>
      </c>
      <c r="E175" s="372">
        <f t="shared" si="69"/>
        <v>2</v>
      </c>
      <c r="F175" s="66" t="s">
        <v>97</v>
      </c>
      <c r="G175" s="66" t="s">
        <v>410</v>
      </c>
      <c r="H175" s="89" t="str">
        <f>H174</f>
        <v>North/East 1D</v>
      </c>
      <c r="AD175" s="64">
        <v>96</v>
      </c>
      <c r="AE175" s="64" t="s">
        <v>798</v>
      </c>
      <c r="AF175" s="64" t="s">
        <v>669</v>
      </c>
      <c r="AG175" s="64">
        <v>6</v>
      </c>
    </row>
    <row r="176" spans="1:33" ht="15" customHeight="1" x14ac:dyDescent="0.35">
      <c r="A176" s="64" t="str">
        <f t="shared" si="64"/>
        <v>LOWERMidlandNorth/East 1D3</v>
      </c>
      <c r="B176" s="66">
        <v>3</v>
      </c>
      <c r="C176" s="64" t="s">
        <v>802</v>
      </c>
      <c r="D176" s="371" t="str">
        <f t="shared" si="68"/>
        <v>Leam</v>
      </c>
      <c r="E176" s="372">
        <f t="shared" si="69"/>
        <v>3</v>
      </c>
      <c r="F176" s="66" t="s">
        <v>97</v>
      </c>
      <c r="G176" s="66" t="s">
        <v>410</v>
      </c>
      <c r="H176" s="89" t="str">
        <f t="shared" ref="H176:H179" si="70">H175</f>
        <v>North/East 1D</v>
      </c>
      <c r="AD176" s="64">
        <v>70</v>
      </c>
      <c r="AE176" s="64" t="s">
        <v>108</v>
      </c>
      <c r="AF176" s="64" t="s">
        <v>618</v>
      </c>
      <c r="AG176" s="64">
        <v>7</v>
      </c>
    </row>
    <row r="177" spans="1:33" ht="15" customHeight="1" x14ac:dyDescent="0.35">
      <c r="A177" s="64" t="str">
        <f t="shared" si="64"/>
        <v>LOWERMidlandNorth/East 1D4</v>
      </c>
      <c r="B177" s="66">
        <v>4</v>
      </c>
      <c r="C177" s="64" t="s">
        <v>1326</v>
      </c>
      <c r="D177" s="371" t="str">
        <f t="shared" si="68"/>
        <v>Nun</v>
      </c>
      <c r="E177" s="372">
        <f t="shared" si="69"/>
        <v>4</v>
      </c>
      <c r="F177" s="66" t="s">
        <v>97</v>
      </c>
      <c r="G177" s="66" t="s">
        <v>410</v>
      </c>
      <c r="H177" s="89" t="str">
        <f t="shared" si="70"/>
        <v>North/East 1D</v>
      </c>
      <c r="AD177" s="64">
        <v>129</v>
      </c>
      <c r="AE177" s="64" t="s">
        <v>350</v>
      </c>
      <c r="AF177" s="64" t="s">
        <v>769</v>
      </c>
      <c r="AG177" s="64">
        <v>7</v>
      </c>
    </row>
    <row r="178" spans="1:33" ht="15" customHeight="1" x14ac:dyDescent="0.35">
      <c r="A178" s="64" t="str">
        <f t="shared" si="64"/>
        <v>LOWERMidlandNorth/East 1D5</v>
      </c>
      <c r="B178" s="66">
        <v>5</v>
      </c>
      <c r="C178" s="64" t="s">
        <v>395</v>
      </c>
      <c r="D178" s="371" t="str">
        <f t="shared" si="68"/>
        <v>Tamw</v>
      </c>
      <c r="E178" s="372">
        <f t="shared" si="69"/>
        <v>5</v>
      </c>
      <c r="F178" s="66" t="s">
        <v>97</v>
      </c>
      <c r="G178" s="66" t="s">
        <v>410</v>
      </c>
      <c r="H178" s="89" t="str">
        <f t="shared" si="70"/>
        <v>North/East 1D</v>
      </c>
      <c r="AD178" s="64">
        <v>243</v>
      </c>
      <c r="AE178" s="64" t="s">
        <v>380</v>
      </c>
      <c r="AF178" s="64" t="s">
        <v>770</v>
      </c>
      <c r="AG178" s="64">
        <v>7</v>
      </c>
    </row>
    <row r="179" spans="1:33" ht="15" customHeight="1" x14ac:dyDescent="0.35">
      <c r="A179" s="64" t="str">
        <f t="shared" si="64"/>
        <v>LOWERMidlandNorth/East 1D6</v>
      </c>
      <c r="B179" s="66">
        <v>6</v>
      </c>
      <c r="C179" s="64" t="s">
        <v>396</v>
      </c>
      <c r="D179" s="371" t="str">
        <f t="shared" si="68"/>
        <v>Telf</v>
      </c>
      <c r="E179" s="372">
        <f t="shared" si="69"/>
        <v>6</v>
      </c>
      <c r="F179" s="66" t="s">
        <v>97</v>
      </c>
      <c r="G179" s="66" t="s">
        <v>410</v>
      </c>
      <c r="H179" s="89" t="str">
        <f t="shared" si="70"/>
        <v>North/East 1D</v>
      </c>
      <c r="AD179" s="64">
        <v>320</v>
      </c>
      <c r="AE179" s="64" t="s">
        <v>1349</v>
      </c>
      <c r="AF179" s="64" t="s">
        <v>1350</v>
      </c>
      <c r="AG179" s="64">
        <v>7</v>
      </c>
    </row>
    <row r="180" spans="1:33" ht="15" customHeight="1" x14ac:dyDescent="0.35">
      <c r="A180" s="64" t="str">
        <f t="shared" si="64"/>
        <v/>
      </c>
      <c r="AD180" s="64">
        <v>230</v>
      </c>
      <c r="AE180" s="64" t="s">
        <v>405</v>
      </c>
      <c r="AF180" s="64" t="s">
        <v>771</v>
      </c>
      <c r="AG180" s="64">
        <v>7</v>
      </c>
    </row>
    <row r="181" spans="1:33" ht="15" customHeight="1" x14ac:dyDescent="0.35">
      <c r="A181" s="64" t="str">
        <f t="shared" si="64"/>
        <v>Lower</v>
      </c>
      <c r="B181" s="96" t="s">
        <v>420</v>
      </c>
      <c r="C181" s="97" t="s">
        <v>412</v>
      </c>
      <c r="D181" s="97"/>
      <c r="E181" s="96"/>
      <c r="F181" s="96"/>
      <c r="G181" s="96"/>
      <c r="H181" s="98"/>
      <c r="AD181" s="64">
        <v>142</v>
      </c>
      <c r="AE181" s="371" t="s">
        <v>1351</v>
      </c>
      <c r="AF181" s="371" t="s">
        <v>772</v>
      </c>
      <c r="AG181" s="64">
        <v>8</v>
      </c>
    </row>
    <row r="182" spans="1:33" ht="15" customHeight="1" x14ac:dyDescent="0.35">
      <c r="A182" s="64" t="str">
        <f t="shared" si="64"/>
        <v>LOWERMidlandPremier South/West1</v>
      </c>
      <c r="B182" s="66">
        <v>1</v>
      </c>
      <c r="C182" s="64" t="s">
        <v>968</v>
      </c>
      <c r="D182" s="371" t="str">
        <f t="shared" ref="D182:D187" si="71">VLOOKUP(C182,$AE:$AF,2,FALSE)</f>
        <v>BriW&amp;M</v>
      </c>
      <c r="E182" s="372">
        <f t="shared" ref="E182:E187" si="72">VLOOKUP($C182,$AE:$AG,3,FALSE)</f>
        <v>1</v>
      </c>
      <c r="F182" s="66" t="s">
        <v>97</v>
      </c>
      <c r="G182" s="66" t="s">
        <v>410</v>
      </c>
      <c r="H182" s="89" t="str">
        <f>C181</f>
        <v>Premier South/West</v>
      </c>
      <c r="AD182" s="64">
        <v>33</v>
      </c>
      <c r="AE182" s="371" t="s">
        <v>800</v>
      </c>
      <c r="AF182" s="371" t="s">
        <v>628</v>
      </c>
      <c r="AG182" s="64">
        <v>7</v>
      </c>
    </row>
    <row r="183" spans="1:33" ht="15" customHeight="1" x14ac:dyDescent="0.35">
      <c r="A183" s="64" t="str">
        <f t="shared" si="64"/>
        <v>LOWERMidlandPremier South/West2</v>
      </c>
      <c r="B183" s="66">
        <v>2</v>
      </c>
      <c r="C183" s="64" t="s">
        <v>398</v>
      </c>
      <c r="D183" s="371" t="str">
        <f t="shared" si="71"/>
        <v>Card</v>
      </c>
      <c r="E183" s="372">
        <f t="shared" si="72"/>
        <v>2</v>
      </c>
      <c r="F183" s="66" t="s">
        <v>97</v>
      </c>
      <c r="G183" s="66" t="s">
        <v>410</v>
      </c>
      <c r="H183" s="89" t="str">
        <f>H182</f>
        <v>Premier South/West</v>
      </c>
      <c r="AD183" s="64">
        <v>111</v>
      </c>
      <c r="AE183" s="64" t="s">
        <v>1352</v>
      </c>
      <c r="AF183" s="64" t="s">
        <v>773</v>
      </c>
      <c r="AG183" s="64">
        <v>8</v>
      </c>
    </row>
    <row r="184" spans="1:33" ht="15" customHeight="1" x14ac:dyDescent="0.35">
      <c r="A184" s="64" t="str">
        <f t="shared" si="64"/>
        <v>LOWERMidlandPremier South/West3</v>
      </c>
      <c r="B184" s="66">
        <v>3</v>
      </c>
      <c r="C184" s="64" t="s">
        <v>1292</v>
      </c>
      <c r="D184" s="371" t="str">
        <f t="shared" si="71"/>
        <v>C Arch</v>
      </c>
      <c r="E184" s="372">
        <f t="shared" si="72"/>
        <v>3</v>
      </c>
      <c r="F184" s="66" t="s">
        <v>97</v>
      </c>
      <c r="G184" s="66" t="s">
        <v>410</v>
      </c>
      <c r="H184" s="89" t="str">
        <f t="shared" ref="H184:H187" si="73">H183</f>
        <v>Premier South/West</v>
      </c>
      <c r="AD184" s="64">
        <v>491</v>
      </c>
      <c r="AE184" s="64" t="s">
        <v>400</v>
      </c>
      <c r="AF184" s="64" t="s">
        <v>925</v>
      </c>
      <c r="AG184" s="64">
        <v>6</v>
      </c>
    </row>
    <row r="185" spans="1:33" ht="15" customHeight="1" x14ac:dyDescent="0.35">
      <c r="A185" s="64" t="str">
        <f t="shared" si="64"/>
        <v>LOWERMidlandPremier South/West4</v>
      </c>
      <c r="B185" s="66">
        <v>4</v>
      </c>
      <c r="C185" s="64" t="s">
        <v>399</v>
      </c>
      <c r="D185" s="371" t="str">
        <f t="shared" si="71"/>
        <v>Chelt</v>
      </c>
      <c r="E185" s="372">
        <f t="shared" si="72"/>
        <v>4</v>
      </c>
      <c r="F185" s="66" t="s">
        <v>97</v>
      </c>
      <c r="G185" s="66" t="s">
        <v>410</v>
      </c>
      <c r="H185" s="89" t="str">
        <f t="shared" si="73"/>
        <v>Premier South/West</v>
      </c>
    </row>
    <row r="186" spans="1:33" ht="15" customHeight="1" x14ac:dyDescent="0.35">
      <c r="A186" s="64" t="str">
        <f t="shared" si="64"/>
        <v>LOWERMidlandPremier South/West5</v>
      </c>
      <c r="B186" s="66">
        <v>5</v>
      </c>
      <c r="C186" s="64" t="s">
        <v>940</v>
      </c>
      <c r="D186" s="371" t="str">
        <f t="shared" si="71"/>
        <v>Swan</v>
      </c>
      <c r="E186" s="372">
        <f t="shared" si="72"/>
        <v>5</v>
      </c>
      <c r="F186" s="66" t="s">
        <v>97</v>
      </c>
      <c r="G186" s="66" t="s">
        <v>410</v>
      </c>
      <c r="H186" s="89" t="str">
        <f t="shared" si="73"/>
        <v>Premier South/West</v>
      </c>
    </row>
    <row r="187" spans="1:33" ht="15" customHeight="1" x14ac:dyDescent="0.35">
      <c r="A187" s="64" t="str">
        <f t="shared" si="64"/>
        <v>LOWERMidlandPremier South/West6</v>
      </c>
      <c r="B187" s="66">
        <v>6</v>
      </c>
      <c r="C187" s="64" t="s">
        <v>400</v>
      </c>
      <c r="D187" s="371" t="str">
        <f t="shared" si="71"/>
        <v>Yate</v>
      </c>
      <c r="E187" s="372">
        <f t="shared" si="72"/>
        <v>6</v>
      </c>
      <c r="F187" s="66" t="s">
        <v>97</v>
      </c>
      <c r="G187" s="66" t="s">
        <v>410</v>
      </c>
      <c r="H187" s="89" t="str">
        <f t="shared" si="73"/>
        <v>Premier South/West</v>
      </c>
    </row>
    <row r="188" spans="1:33" ht="15" customHeight="1" x14ac:dyDescent="0.35">
      <c r="A188" s="64" t="str">
        <f t="shared" si="64"/>
        <v/>
      </c>
    </row>
    <row r="189" spans="1:33" ht="15" customHeight="1" x14ac:dyDescent="0.35">
      <c r="A189" s="64" t="str">
        <f t="shared" si="64"/>
        <v>Lower</v>
      </c>
      <c r="B189" s="96" t="s">
        <v>420</v>
      </c>
      <c r="C189" s="97" t="s">
        <v>416</v>
      </c>
      <c r="D189" s="97"/>
      <c r="E189" s="96"/>
      <c r="F189" s="96"/>
      <c r="G189" s="96"/>
      <c r="H189" s="98"/>
    </row>
    <row r="190" spans="1:33" ht="15" customHeight="1" x14ac:dyDescent="0.35">
      <c r="A190" s="64" t="str">
        <f t="shared" si="64"/>
        <v>LOWERMidlandSouth/West 1A1</v>
      </c>
      <c r="B190" s="66">
        <v>1</v>
      </c>
      <c r="C190" s="64" t="s">
        <v>401</v>
      </c>
      <c r="D190" s="371" t="str">
        <f t="shared" ref="D190:D196" si="74">VLOOKUP(C190,$AE:$AF,2,FALSE)</f>
        <v>Cwmb</v>
      </c>
      <c r="E190" s="372">
        <f t="shared" ref="E190:E196" si="75">VLOOKUP($C190,$AE:$AG,3,FALSE)</f>
        <v>1</v>
      </c>
      <c r="F190" s="66" t="s">
        <v>97</v>
      </c>
      <c r="G190" s="66" t="s">
        <v>410</v>
      </c>
      <c r="H190" s="89" t="str">
        <f>C189</f>
        <v>South/West 1A</v>
      </c>
    </row>
    <row r="191" spans="1:33" ht="15" customHeight="1" x14ac:dyDescent="0.35">
      <c r="A191" s="64" t="str">
        <f t="shared" si="64"/>
        <v>LOWERMidlandSouth/West 1A2</v>
      </c>
      <c r="B191" s="66">
        <v>2</v>
      </c>
      <c r="C191" s="64" t="s">
        <v>402</v>
      </c>
      <c r="D191" s="371" t="str">
        <f t="shared" si="74"/>
        <v>Glouc</v>
      </c>
      <c r="E191" s="372">
        <f t="shared" si="75"/>
        <v>2</v>
      </c>
      <c r="F191" s="66" t="s">
        <v>97</v>
      </c>
      <c r="G191" s="66" t="s">
        <v>410</v>
      </c>
      <c r="H191" s="89" t="str">
        <f>H190</f>
        <v>South/West 1A</v>
      </c>
    </row>
    <row r="192" spans="1:33" ht="15" customHeight="1" x14ac:dyDescent="0.35">
      <c r="A192" s="64" t="str">
        <f t="shared" ref="A192:A223" si="76">F192&amp;G192&amp;H192&amp;B192</f>
        <v>LOWERMidlandSouth/West 1A3</v>
      </c>
      <c r="B192" s="66">
        <v>3</v>
      </c>
      <c r="C192" s="64" t="s">
        <v>408</v>
      </c>
      <c r="D192" s="371" t="str">
        <f t="shared" si="74"/>
        <v>Newp</v>
      </c>
      <c r="E192" s="372">
        <f t="shared" si="75"/>
        <v>3</v>
      </c>
      <c r="F192" s="66" t="s">
        <v>97</v>
      </c>
      <c r="G192" s="66" t="s">
        <v>410</v>
      </c>
      <c r="H192" s="89" t="str">
        <f t="shared" ref="H192:H196" si="77">H191</f>
        <v>South/West 1A</v>
      </c>
    </row>
    <row r="193" spans="1:8" ht="15" customHeight="1" x14ac:dyDescent="0.35">
      <c r="A193" s="64" t="str">
        <f t="shared" si="76"/>
        <v>LOWERMidlandSouth/West 1A4</v>
      </c>
      <c r="B193" s="66">
        <v>4</v>
      </c>
      <c r="C193" s="64" t="s">
        <v>403</v>
      </c>
      <c r="D193" s="371" t="str">
        <f t="shared" si="74"/>
        <v>N Dev</v>
      </c>
      <c r="E193" s="372">
        <f t="shared" si="75"/>
        <v>4</v>
      </c>
      <c r="F193" s="66" t="s">
        <v>97</v>
      </c>
      <c r="G193" s="66" t="s">
        <v>410</v>
      </c>
      <c r="H193" s="89" t="str">
        <f t="shared" si="77"/>
        <v>South/West 1A</v>
      </c>
    </row>
    <row r="194" spans="1:8" ht="15" customHeight="1" x14ac:dyDescent="0.35">
      <c r="A194" s="64" t="str">
        <f t="shared" si="76"/>
        <v>LOWERMidlandSouth/West 1A5</v>
      </c>
      <c r="B194" s="66">
        <v>5</v>
      </c>
      <c r="C194" s="425" t="s">
        <v>521</v>
      </c>
      <c r="D194" s="371" t="str">
        <f t="shared" si="74"/>
        <v>S Wales</v>
      </c>
      <c r="E194" s="372">
        <f t="shared" si="75"/>
        <v>5</v>
      </c>
      <c r="F194" s="66" t="s">
        <v>97</v>
      </c>
      <c r="G194" s="66" t="s">
        <v>410</v>
      </c>
      <c r="H194" s="89" t="str">
        <f t="shared" si="77"/>
        <v>South/West 1A</v>
      </c>
    </row>
    <row r="195" spans="1:8" ht="15" customHeight="1" x14ac:dyDescent="0.35">
      <c r="A195" s="64" t="str">
        <f t="shared" si="76"/>
        <v>LOWERMidlandSouth/West 1A6</v>
      </c>
      <c r="B195" s="66">
        <v>6</v>
      </c>
      <c r="C195" s="64" t="s">
        <v>404</v>
      </c>
      <c r="D195" s="371" t="str">
        <f t="shared" si="74"/>
        <v>Swin</v>
      </c>
      <c r="E195" s="372">
        <f t="shared" si="75"/>
        <v>6</v>
      </c>
      <c r="F195" s="66" t="s">
        <v>97</v>
      </c>
      <c r="G195" s="66" t="s">
        <v>410</v>
      </c>
      <c r="H195" s="89" t="str">
        <f t="shared" si="77"/>
        <v>South/West 1A</v>
      </c>
    </row>
    <row r="196" spans="1:8" ht="15" customHeight="1" x14ac:dyDescent="0.35">
      <c r="A196" s="64" t="str">
        <f t="shared" si="76"/>
        <v>LOWERMidlandSouth/West 1A7</v>
      </c>
      <c r="B196" s="66">
        <v>7</v>
      </c>
      <c r="C196" s="64" t="s">
        <v>405</v>
      </c>
      <c r="D196" s="371" t="str">
        <f t="shared" si="74"/>
        <v>Worc</v>
      </c>
      <c r="E196" s="372">
        <f t="shared" si="75"/>
        <v>7</v>
      </c>
      <c r="F196" s="66" t="s">
        <v>97</v>
      </c>
      <c r="G196" s="66" t="s">
        <v>410</v>
      </c>
      <c r="H196" s="89" t="str">
        <f t="shared" si="77"/>
        <v>South/West 1A</v>
      </c>
    </row>
    <row r="197" spans="1:8" ht="15" customHeight="1" x14ac:dyDescent="0.35">
      <c r="A197" s="64" t="str">
        <f t="shared" si="76"/>
        <v/>
      </c>
    </row>
    <row r="198" spans="1:8" ht="15" customHeight="1" x14ac:dyDescent="0.35">
      <c r="A198" s="64" t="str">
        <f t="shared" si="76"/>
        <v>Lower</v>
      </c>
      <c r="B198" s="96" t="s">
        <v>420</v>
      </c>
      <c r="C198" s="97" t="s">
        <v>415</v>
      </c>
      <c r="D198" s="97"/>
      <c r="E198" s="96"/>
      <c r="F198" s="96"/>
      <c r="G198" s="96"/>
      <c r="H198" s="98"/>
    </row>
    <row r="199" spans="1:8" ht="15" customHeight="1" x14ac:dyDescent="0.35">
      <c r="A199" s="64" t="str">
        <f t="shared" si="76"/>
        <v>LOWERMidlandSouth/West 1B1</v>
      </c>
      <c r="B199" s="66">
        <v>1</v>
      </c>
      <c r="C199" s="64" t="s">
        <v>967</v>
      </c>
      <c r="D199" s="371" t="str">
        <f t="shared" ref="D199:D205" si="78">VLOOKUP(C199,$AE:$AF,2,FALSE)</f>
        <v>Blae G</v>
      </c>
      <c r="E199" s="372">
        <f t="shared" ref="E199:E205" si="79">VLOOKUP($C199,$AE:$AG,3,FALSE)</f>
        <v>1</v>
      </c>
      <c r="F199" s="66" t="s">
        <v>97</v>
      </c>
      <c r="G199" s="66" t="s">
        <v>410</v>
      </c>
      <c r="H199" s="89" t="str">
        <f>C198</f>
        <v>South/West 1B</v>
      </c>
    </row>
    <row r="200" spans="1:8" ht="15" customHeight="1" x14ac:dyDescent="0.35">
      <c r="A200" s="64" t="str">
        <f t="shared" si="76"/>
        <v>LOWERMidlandSouth/West 1B2</v>
      </c>
      <c r="B200" s="66">
        <v>2</v>
      </c>
      <c r="C200" s="64" t="s">
        <v>596</v>
      </c>
      <c r="D200" s="371" t="str">
        <f t="shared" si="78"/>
        <v>FoDean</v>
      </c>
      <c r="E200" s="372">
        <f t="shared" si="79"/>
        <v>2</v>
      </c>
      <c r="F200" s="66" t="s">
        <v>97</v>
      </c>
      <c r="G200" s="66" t="s">
        <v>410</v>
      </c>
      <c r="H200" s="89" t="str">
        <f>H199</f>
        <v>South/West 1B</v>
      </c>
    </row>
    <row r="201" spans="1:8" ht="15" customHeight="1" x14ac:dyDescent="0.35">
      <c r="A201" s="64" t="str">
        <f t="shared" si="76"/>
        <v>LOWERMidlandSouth/West 1B3</v>
      </c>
      <c r="B201" s="66">
        <v>3</v>
      </c>
      <c r="C201" s="64" t="s">
        <v>406</v>
      </c>
      <c r="D201" s="371" t="str">
        <f t="shared" si="78"/>
        <v>Here</v>
      </c>
      <c r="E201" s="372">
        <f t="shared" si="79"/>
        <v>3</v>
      </c>
      <c r="F201" s="66" t="s">
        <v>97</v>
      </c>
      <c r="G201" s="66" t="s">
        <v>410</v>
      </c>
      <c r="H201" s="89" t="str">
        <f t="shared" ref="H201:H205" si="80">H200</f>
        <v>South/West 1B</v>
      </c>
    </row>
    <row r="202" spans="1:8" ht="15" customHeight="1" x14ac:dyDescent="0.35">
      <c r="A202" s="64" t="str">
        <f t="shared" si="76"/>
        <v>LOWERMidlandSouth/West 1B4</v>
      </c>
      <c r="B202" s="66">
        <v>4</v>
      </c>
      <c r="C202" s="64" t="s">
        <v>407</v>
      </c>
      <c r="D202" s="371" t="str">
        <f t="shared" si="78"/>
        <v>Neath</v>
      </c>
      <c r="E202" s="372">
        <f t="shared" si="79"/>
        <v>4</v>
      </c>
      <c r="F202" s="66" t="s">
        <v>97</v>
      </c>
      <c r="G202" s="66" t="s">
        <v>410</v>
      </c>
      <c r="H202" s="89" t="str">
        <f t="shared" si="80"/>
        <v>South/West 1B</v>
      </c>
    </row>
    <row r="203" spans="1:8" ht="15" customHeight="1" x14ac:dyDescent="0.35">
      <c r="A203" s="64" t="str">
        <f t="shared" si="76"/>
        <v>LOWERMidlandSouth/West 1B5</v>
      </c>
      <c r="B203" s="66">
        <v>5</v>
      </c>
      <c r="C203" s="64" t="s">
        <v>409</v>
      </c>
      <c r="D203" s="371" t="str">
        <f t="shared" si="78"/>
        <v>N Som</v>
      </c>
      <c r="E203" s="372">
        <f t="shared" si="79"/>
        <v>5</v>
      </c>
      <c r="F203" s="66" t="s">
        <v>97</v>
      </c>
      <c r="G203" s="66" t="s">
        <v>410</v>
      </c>
      <c r="H203" s="89" t="str">
        <f t="shared" si="80"/>
        <v>South/West 1B</v>
      </c>
    </row>
    <row r="204" spans="1:8" ht="15" customHeight="1" x14ac:dyDescent="0.35">
      <c r="A204" s="64" t="str">
        <f t="shared" si="76"/>
        <v>LOWERMidlandSouth/West 1B6</v>
      </c>
      <c r="B204" s="66">
        <v>6</v>
      </c>
      <c r="C204" s="64" t="s">
        <v>597</v>
      </c>
      <c r="D204" s="371" t="str">
        <f t="shared" si="78"/>
        <v>RVAC</v>
      </c>
      <c r="E204" s="372">
        <f t="shared" si="79"/>
        <v>6</v>
      </c>
      <c r="F204" s="66" t="s">
        <v>97</v>
      </c>
      <c r="G204" s="66" t="s">
        <v>410</v>
      </c>
      <c r="H204" s="89" t="str">
        <f t="shared" si="80"/>
        <v>South/West 1B</v>
      </c>
    </row>
    <row r="205" spans="1:8" ht="15" customHeight="1" x14ac:dyDescent="0.35">
      <c r="A205" s="64" t="str">
        <f t="shared" si="76"/>
        <v>LOWERMidlandSouth/West 1B7</v>
      </c>
      <c r="B205" s="66">
        <v>7</v>
      </c>
      <c r="C205" s="64" t="s">
        <v>803</v>
      </c>
      <c r="D205" s="371" t="str">
        <f t="shared" si="78"/>
        <v>Bath</v>
      </c>
      <c r="E205" s="372">
        <f t="shared" si="79"/>
        <v>7</v>
      </c>
      <c r="F205" s="66" t="s">
        <v>97</v>
      </c>
      <c r="G205" s="66" t="s">
        <v>410</v>
      </c>
      <c r="H205" s="89" t="str">
        <f t="shared" si="80"/>
        <v>South/West 1B</v>
      </c>
    </row>
    <row r="206" spans="1:8" ht="15" customHeight="1" x14ac:dyDescent="0.35">
      <c r="A206" s="64" t="str">
        <f t="shared" si="76"/>
        <v/>
      </c>
    </row>
    <row r="207" spans="1:8" ht="15" customHeight="1" x14ac:dyDescent="0.35">
      <c r="A207" s="64" t="str">
        <f t="shared" si="76"/>
        <v>Lower</v>
      </c>
      <c r="B207" s="189" t="s">
        <v>420</v>
      </c>
      <c r="C207" s="190" t="s">
        <v>564</v>
      </c>
      <c r="D207" s="190"/>
      <c r="E207" s="189"/>
      <c r="F207" s="189"/>
      <c r="G207" s="189"/>
      <c r="H207" s="191"/>
    </row>
    <row r="208" spans="1:8" ht="15" customHeight="1" x14ac:dyDescent="0.35">
      <c r="A208" s="64" t="str">
        <f t="shared" si="76"/>
        <v>LOWERScotlandDivision 11</v>
      </c>
      <c r="B208" s="66">
        <v>1</v>
      </c>
      <c r="C208" s="64" t="s">
        <v>567</v>
      </c>
      <c r="D208" s="371" t="str">
        <f t="shared" ref="D208:D215" si="81">VLOOKUP(C208,$AE:$AF,2,FALSE)</f>
        <v>Centr</v>
      </c>
      <c r="E208" s="372">
        <f t="shared" ref="E208:E215" si="82">VLOOKUP($C208,$AE:$AG,3,FALSE)</f>
        <v>1</v>
      </c>
      <c r="F208" s="66" t="str">
        <f>UPPER(B207)</f>
        <v>LOWER</v>
      </c>
      <c r="G208" s="66" t="s">
        <v>598</v>
      </c>
      <c r="H208" s="89" t="str">
        <f>C207</f>
        <v>Division 1</v>
      </c>
    </row>
    <row r="209" spans="1:33" ht="15" customHeight="1" x14ac:dyDescent="0.35">
      <c r="A209" s="64" t="str">
        <f t="shared" si="76"/>
        <v>LOWERScotlandDivision 12</v>
      </c>
      <c r="B209" s="66">
        <v>2</v>
      </c>
      <c r="C209" s="64" t="s">
        <v>599</v>
      </c>
      <c r="D209" s="371" t="str">
        <f t="shared" si="81"/>
        <v>Edin</v>
      </c>
      <c r="E209" s="372">
        <f t="shared" si="82"/>
        <v>2</v>
      </c>
      <c r="F209" s="66" t="str">
        <f>F208</f>
        <v>LOWER</v>
      </c>
      <c r="G209" s="66" t="str">
        <f>G208</f>
        <v>Scotland</v>
      </c>
      <c r="H209" s="89" t="str">
        <f>H208</f>
        <v>Division 1</v>
      </c>
    </row>
    <row r="210" spans="1:33" ht="15" customHeight="1" x14ac:dyDescent="0.35">
      <c r="A210" s="64" t="str">
        <f t="shared" si="76"/>
        <v>LOWERScotlandDivision 13</v>
      </c>
      <c r="B210" s="66">
        <v>3</v>
      </c>
      <c r="C210" s="423" t="s">
        <v>1014</v>
      </c>
      <c r="D210" s="371" t="str">
        <f t="shared" si="81"/>
        <v>Giff N</v>
      </c>
      <c r="E210" s="372">
        <f t="shared" si="82"/>
        <v>3</v>
      </c>
      <c r="F210" s="66" t="str">
        <f t="shared" ref="F210:F215" si="83">F209</f>
        <v>LOWER</v>
      </c>
      <c r="G210" s="66" t="str">
        <f t="shared" ref="G210:H215" si="84">G209</f>
        <v>Scotland</v>
      </c>
      <c r="H210" s="89" t="str">
        <f t="shared" si="84"/>
        <v>Division 1</v>
      </c>
    </row>
    <row r="211" spans="1:33" ht="15" customHeight="1" x14ac:dyDescent="0.35">
      <c r="A211" s="64" t="str">
        <f t="shared" si="76"/>
        <v>LOWERScotlandDivision 14</v>
      </c>
      <c r="B211" s="66">
        <v>4</v>
      </c>
      <c r="C211" s="387" t="s">
        <v>600</v>
      </c>
      <c r="D211" s="371" t="str">
        <f t="shared" si="81"/>
        <v>Pit</v>
      </c>
      <c r="E211" s="372">
        <f t="shared" si="82"/>
        <v>4</v>
      </c>
      <c r="F211" s="66" t="str">
        <f t="shared" si="83"/>
        <v>LOWER</v>
      </c>
      <c r="G211" s="66" t="str">
        <f t="shared" si="84"/>
        <v>Scotland</v>
      </c>
      <c r="H211" s="89" t="str">
        <f t="shared" si="84"/>
        <v>Division 1</v>
      </c>
    </row>
    <row r="212" spans="1:33" ht="15" customHeight="1" x14ac:dyDescent="0.35">
      <c r="A212" s="64" t="str">
        <f t="shared" si="76"/>
        <v>LOWERScotlandDivision 15</v>
      </c>
      <c r="B212" s="66">
        <v>5</v>
      </c>
      <c r="C212" s="423" t="s">
        <v>605</v>
      </c>
      <c r="D212" s="371" t="str">
        <f t="shared" si="81"/>
        <v>S Lan</v>
      </c>
      <c r="E212" s="372">
        <f t="shared" si="82"/>
        <v>5</v>
      </c>
      <c r="F212" s="66" t="str">
        <f t="shared" si="83"/>
        <v>LOWER</v>
      </c>
      <c r="G212" s="66" t="str">
        <f t="shared" si="84"/>
        <v>Scotland</v>
      </c>
      <c r="H212" s="89" t="str">
        <f t="shared" si="84"/>
        <v>Division 1</v>
      </c>
    </row>
    <row r="213" spans="1:33" ht="15" customHeight="1" x14ac:dyDescent="0.35">
      <c r="A213" s="64" t="str">
        <f t="shared" si="76"/>
        <v>LOWERScotlandDivision 16</v>
      </c>
      <c r="B213" s="66">
        <v>6</v>
      </c>
      <c r="C213" s="423" t="s">
        <v>571</v>
      </c>
      <c r="D213" s="371" t="str">
        <f t="shared" si="81"/>
        <v>T E Loth</v>
      </c>
      <c r="E213" s="372">
        <f t="shared" si="82"/>
        <v>6</v>
      </c>
      <c r="F213" s="66" t="str">
        <f t="shared" si="83"/>
        <v>LOWER</v>
      </c>
      <c r="G213" s="66" t="str">
        <f t="shared" si="84"/>
        <v>Scotland</v>
      </c>
      <c r="H213" s="89" t="str">
        <f t="shared" si="84"/>
        <v>Division 1</v>
      </c>
    </row>
    <row r="214" spans="1:33" ht="15" customHeight="1" x14ac:dyDescent="0.35">
      <c r="A214" s="64" t="str">
        <f t="shared" si="76"/>
        <v>LOWERScotlandDivision 17</v>
      </c>
      <c r="B214" s="66">
        <v>7</v>
      </c>
      <c r="C214" s="423" t="s">
        <v>804</v>
      </c>
      <c r="D214" s="371" t="str">
        <f t="shared" si="81"/>
        <v>T N Lan</v>
      </c>
      <c r="E214" s="372">
        <f t="shared" si="82"/>
        <v>7</v>
      </c>
      <c r="F214" s="66" t="str">
        <f t="shared" si="83"/>
        <v>LOWER</v>
      </c>
      <c r="G214" s="66" t="str">
        <f t="shared" si="84"/>
        <v>Scotland</v>
      </c>
      <c r="H214" s="89" t="str">
        <f t="shared" si="84"/>
        <v>Division 1</v>
      </c>
    </row>
    <row r="215" spans="1:33" ht="15" customHeight="1" x14ac:dyDescent="0.45">
      <c r="A215" s="64" t="str">
        <f t="shared" si="76"/>
        <v>LOWERScotlandDivision 18</v>
      </c>
      <c r="B215" s="66">
        <v>8</v>
      </c>
      <c r="C215" s="423" t="s">
        <v>670</v>
      </c>
      <c r="D215" s="371" t="str">
        <f t="shared" si="81"/>
        <v>VPCG</v>
      </c>
      <c r="E215" s="372">
        <f t="shared" si="82"/>
        <v>8</v>
      </c>
      <c r="F215" s="66" t="str">
        <f t="shared" si="83"/>
        <v>LOWER</v>
      </c>
      <c r="G215" s="66" t="str">
        <f t="shared" si="84"/>
        <v>Scotland</v>
      </c>
      <c r="H215" s="89" t="str">
        <f t="shared" si="84"/>
        <v>Division 1</v>
      </c>
      <c r="AE215"/>
      <c r="AG215" s="64">
        <f t="shared" ref="AG215:AG272" si="85">LEN(AF215)</f>
        <v>0</v>
      </c>
    </row>
    <row r="216" spans="1:33" ht="15" customHeight="1" x14ac:dyDescent="0.45">
      <c r="A216" s="64" t="str">
        <f t="shared" si="76"/>
        <v/>
      </c>
      <c r="D216" s="64" t="str">
        <f>LEFT(C216,5)</f>
        <v/>
      </c>
      <c r="E216" s="66">
        <f t="shared" ref="E216" si="86">B216</f>
        <v>0</v>
      </c>
      <c r="AE216"/>
      <c r="AG216" s="64">
        <f t="shared" si="85"/>
        <v>0</v>
      </c>
    </row>
    <row r="217" spans="1:33" ht="15" customHeight="1" x14ac:dyDescent="0.45">
      <c r="A217" s="64" t="str">
        <f t="shared" si="76"/>
        <v>Lower</v>
      </c>
      <c r="B217" s="189" t="s">
        <v>420</v>
      </c>
      <c r="C217" s="190" t="s">
        <v>565</v>
      </c>
      <c r="D217" s="190"/>
      <c r="E217" s="189"/>
      <c r="F217" s="189"/>
      <c r="G217" s="189"/>
      <c r="H217" s="191"/>
      <c r="AE217"/>
      <c r="AG217" s="64">
        <f t="shared" si="85"/>
        <v>0</v>
      </c>
    </row>
    <row r="218" spans="1:33" ht="15" customHeight="1" x14ac:dyDescent="0.45">
      <c r="A218" s="64" t="str">
        <f t="shared" si="76"/>
        <v>LOWERScotlandDivision 21</v>
      </c>
      <c r="B218" s="66">
        <v>1</v>
      </c>
      <c r="C218" s="423" t="s">
        <v>1284</v>
      </c>
      <c r="D218" s="371" t="str">
        <f t="shared" ref="D218:D225" si="87">VLOOKUP(C218,$AE:$AF,2,FALSE)</f>
        <v>Ayr S</v>
      </c>
      <c r="E218" s="372">
        <f t="shared" ref="E218:E225" si="88">VLOOKUP($C218,$AE:$AG,3,FALSE)</f>
        <v>1</v>
      </c>
      <c r="F218" s="66" t="str">
        <f>UPPER(B217)</f>
        <v>LOWER</v>
      </c>
      <c r="G218" s="66" t="s">
        <v>598</v>
      </c>
      <c r="H218" s="89" t="str">
        <f>C217</f>
        <v>Division 2</v>
      </c>
      <c r="AE218"/>
      <c r="AG218" s="64">
        <f t="shared" si="85"/>
        <v>0</v>
      </c>
    </row>
    <row r="219" spans="1:33" ht="15" customHeight="1" x14ac:dyDescent="0.45">
      <c r="A219" s="64" t="str">
        <f t="shared" si="76"/>
        <v>LOWERScotlandDivision 22</v>
      </c>
      <c r="B219" s="66">
        <v>2</v>
      </c>
      <c r="C219" s="425" t="s">
        <v>1296</v>
      </c>
      <c r="D219" s="371" t="str">
        <f t="shared" si="87"/>
        <v>Clyde &amp; H</v>
      </c>
      <c r="E219" s="372">
        <f t="shared" si="88"/>
        <v>2</v>
      </c>
      <c r="F219" s="66" t="str">
        <f>F218</f>
        <v>LOWER</v>
      </c>
      <c r="G219" s="66" t="str">
        <f>G218</f>
        <v>Scotland</v>
      </c>
      <c r="H219" s="89" t="str">
        <f>H218</f>
        <v>Division 2</v>
      </c>
      <c r="AE219"/>
      <c r="AG219" s="64">
        <f t="shared" si="85"/>
        <v>0</v>
      </c>
    </row>
    <row r="220" spans="1:33" ht="15" customHeight="1" x14ac:dyDescent="0.45">
      <c r="A220" s="64" t="str">
        <f t="shared" si="76"/>
        <v>LOWERScotlandDivision 23</v>
      </c>
      <c r="B220" s="66">
        <v>3</v>
      </c>
      <c r="C220" s="64" t="s">
        <v>1280</v>
      </c>
      <c r="D220" s="371" t="str">
        <f t="shared" si="87"/>
        <v>Dunf</v>
      </c>
      <c r="E220" s="372">
        <f t="shared" si="88"/>
        <v>3</v>
      </c>
      <c r="F220" s="66" t="str">
        <f t="shared" ref="F220:F225" si="89">F219</f>
        <v>LOWER</v>
      </c>
      <c r="G220" s="66" t="str">
        <f t="shared" ref="G220:H225" si="90">G219</f>
        <v>Scotland</v>
      </c>
      <c r="H220" s="89" t="str">
        <f t="shared" si="90"/>
        <v>Division 2</v>
      </c>
      <c r="AE220"/>
      <c r="AG220" s="64">
        <f t="shared" si="85"/>
        <v>0</v>
      </c>
    </row>
    <row r="221" spans="1:33" ht="15" customHeight="1" x14ac:dyDescent="0.45">
      <c r="A221" s="64" t="str">
        <f t="shared" si="76"/>
        <v>LOWERScotlandDivision 24</v>
      </c>
      <c r="B221" s="66">
        <v>4</v>
      </c>
      <c r="C221" s="64" t="s">
        <v>601</v>
      </c>
      <c r="D221" s="371" t="str">
        <f t="shared" si="87"/>
        <v>Kilb</v>
      </c>
      <c r="E221" s="372">
        <f t="shared" si="88"/>
        <v>4</v>
      </c>
      <c r="F221" s="66" t="str">
        <f t="shared" si="89"/>
        <v>LOWER</v>
      </c>
      <c r="G221" s="66" t="str">
        <f t="shared" si="90"/>
        <v>Scotland</v>
      </c>
      <c r="H221" s="89" t="str">
        <f t="shared" si="90"/>
        <v>Division 2</v>
      </c>
      <c r="AE221"/>
      <c r="AG221" s="64">
        <f t="shared" si="85"/>
        <v>0</v>
      </c>
    </row>
    <row r="222" spans="1:33" ht="15" customHeight="1" x14ac:dyDescent="0.45">
      <c r="A222" s="64" t="str">
        <f t="shared" si="76"/>
        <v>LOWERScotlandDivision 25</v>
      </c>
      <c r="B222" s="66">
        <v>5</v>
      </c>
      <c r="C222" s="425" t="s">
        <v>1313</v>
      </c>
      <c r="D222" s="371" t="str">
        <f t="shared" si="87"/>
        <v>Kil'k</v>
      </c>
      <c r="E222" s="372">
        <f t="shared" si="88"/>
        <v>5</v>
      </c>
      <c r="F222" s="66" t="str">
        <f t="shared" si="89"/>
        <v>LOWER</v>
      </c>
      <c r="G222" s="66" t="str">
        <f t="shared" si="90"/>
        <v>Scotland</v>
      </c>
      <c r="H222" s="89" t="str">
        <f t="shared" si="90"/>
        <v>Division 2</v>
      </c>
      <c r="AE222"/>
      <c r="AG222" s="64">
        <f t="shared" si="85"/>
        <v>0</v>
      </c>
    </row>
    <row r="223" spans="1:33" ht="15" customHeight="1" x14ac:dyDescent="0.45">
      <c r="A223" s="64" t="str">
        <f t="shared" si="76"/>
        <v>LOWERScotlandDivision 26</v>
      </c>
      <c r="B223" s="66">
        <v>6</v>
      </c>
      <c r="C223" s="423" t="s">
        <v>982</v>
      </c>
      <c r="D223" s="371" t="str">
        <f t="shared" si="87"/>
        <v>Lass</v>
      </c>
      <c r="E223" s="372">
        <f t="shared" si="88"/>
        <v>6</v>
      </c>
      <c r="F223" s="66" t="str">
        <f t="shared" si="89"/>
        <v>LOWER</v>
      </c>
      <c r="G223" s="66" t="str">
        <f t="shared" si="90"/>
        <v>Scotland</v>
      </c>
      <c r="H223" s="89" t="str">
        <f t="shared" si="90"/>
        <v>Division 2</v>
      </c>
      <c r="AE223"/>
      <c r="AG223" s="64">
        <f t="shared" si="85"/>
        <v>0</v>
      </c>
    </row>
    <row r="224" spans="1:33" ht="15" customHeight="1" x14ac:dyDescent="0.45">
      <c r="A224" s="64" t="str">
        <f t="shared" ref="A224:A235" si="91">F224&amp;G224&amp;H224&amp;B224</f>
        <v>LOWERScotlandDivision 27</v>
      </c>
      <c r="B224" s="66">
        <v>7</v>
      </c>
      <c r="C224" s="64" t="s">
        <v>602</v>
      </c>
      <c r="D224" s="371" t="str">
        <f t="shared" si="87"/>
        <v>Shett</v>
      </c>
      <c r="E224" s="372">
        <f t="shared" si="88"/>
        <v>7</v>
      </c>
      <c r="F224" s="66" t="str">
        <f t="shared" si="89"/>
        <v>LOWER</v>
      </c>
      <c r="G224" s="66" t="str">
        <f t="shared" si="90"/>
        <v>Scotland</v>
      </c>
      <c r="H224" s="89" t="str">
        <f t="shared" si="90"/>
        <v>Division 2</v>
      </c>
      <c r="AE224"/>
      <c r="AG224" s="64">
        <f t="shared" si="85"/>
        <v>0</v>
      </c>
    </row>
    <row r="225" spans="1:33" ht="15" customHeight="1" x14ac:dyDescent="0.45">
      <c r="A225" s="64" t="str">
        <f t="shared" si="91"/>
        <v>LOWERScotlandDivision 28</v>
      </c>
      <c r="B225" s="66">
        <v>8</v>
      </c>
      <c r="C225" s="423" t="s">
        <v>970</v>
      </c>
      <c r="D225" s="371" t="str">
        <f t="shared" si="87"/>
        <v>TDG</v>
      </c>
      <c r="E225" s="372">
        <f t="shared" si="88"/>
        <v>8</v>
      </c>
      <c r="F225" s="66" t="str">
        <f t="shared" si="89"/>
        <v>LOWER</v>
      </c>
      <c r="G225" s="66" t="str">
        <f t="shared" si="90"/>
        <v>Scotland</v>
      </c>
      <c r="H225" s="89" t="str">
        <f t="shared" si="90"/>
        <v>Division 2</v>
      </c>
      <c r="AE225"/>
      <c r="AG225" s="64">
        <f t="shared" si="85"/>
        <v>0</v>
      </c>
    </row>
    <row r="226" spans="1:33" ht="15" customHeight="1" x14ac:dyDescent="0.45">
      <c r="A226" s="64" t="str">
        <f t="shared" si="91"/>
        <v/>
      </c>
      <c r="AE226"/>
      <c r="AG226" s="64">
        <f t="shared" si="85"/>
        <v>0</v>
      </c>
    </row>
    <row r="227" spans="1:33" ht="15" customHeight="1" x14ac:dyDescent="0.45">
      <c r="A227" s="64" t="str">
        <f t="shared" si="91"/>
        <v>Lower</v>
      </c>
      <c r="B227" s="189" t="s">
        <v>420</v>
      </c>
      <c r="C227" s="190" t="s">
        <v>566</v>
      </c>
      <c r="D227" s="190"/>
      <c r="E227" s="189"/>
      <c r="F227" s="189"/>
      <c r="G227" s="189"/>
      <c r="H227" s="191"/>
      <c r="AE227"/>
      <c r="AG227" s="64">
        <f t="shared" si="85"/>
        <v>0</v>
      </c>
    </row>
    <row r="228" spans="1:33" ht="15" customHeight="1" x14ac:dyDescent="0.45">
      <c r="A228" s="64" t="str">
        <f t="shared" si="91"/>
        <v>LOWERScotlandNE Division1</v>
      </c>
      <c r="B228" s="66">
        <v>1</v>
      </c>
      <c r="C228" s="64" t="s">
        <v>572</v>
      </c>
      <c r="D228" s="371" t="str">
        <f t="shared" ref="D228:D235" si="92">VLOOKUP(C228,$AE:$AF,2,FALSE)</f>
        <v>A'deen</v>
      </c>
      <c r="E228" s="372">
        <f t="shared" ref="E228:E235" si="93">VLOOKUP($C228,$AE:$AG,3,FALSE)</f>
        <v>1</v>
      </c>
      <c r="F228" s="66" t="str">
        <f>UPPER(B227)</f>
        <v>LOWER</v>
      </c>
      <c r="G228" s="66" t="s">
        <v>598</v>
      </c>
      <c r="H228" s="89" t="str">
        <f>C227</f>
        <v>NE Division</v>
      </c>
      <c r="AE228"/>
      <c r="AG228" s="64">
        <f t="shared" si="85"/>
        <v>0</v>
      </c>
    </row>
    <row r="229" spans="1:33" ht="15" customHeight="1" x14ac:dyDescent="0.45">
      <c r="A229" s="64" t="str">
        <f t="shared" si="91"/>
        <v>LOWERScotlandNE Division2</v>
      </c>
      <c r="B229" s="66">
        <v>2</v>
      </c>
      <c r="C229" s="64" t="s">
        <v>932</v>
      </c>
      <c r="D229" s="371" t="str">
        <f t="shared" si="92"/>
        <v>Arb</v>
      </c>
      <c r="E229" s="372">
        <f t="shared" si="93"/>
        <v>2</v>
      </c>
      <c r="F229" s="66" t="str">
        <f>F228</f>
        <v>LOWER</v>
      </c>
      <c r="G229" s="66" t="str">
        <f>G228</f>
        <v>Scotland</v>
      </c>
      <c r="H229" s="89" t="str">
        <f>H228</f>
        <v>NE Division</v>
      </c>
      <c r="AE229"/>
      <c r="AG229" s="64">
        <f t="shared" si="85"/>
        <v>0</v>
      </c>
    </row>
    <row r="230" spans="1:33" ht="15" customHeight="1" x14ac:dyDescent="0.45">
      <c r="A230" s="64" t="str">
        <f t="shared" si="91"/>
        <v>LOWERScotlandNE Division3</v>
      </c>
      <c r="B230" s="66">
        <v>3</v>
      </c>
      <c r="C230" s="64" t="s">
        <v>603</v>
      </c>
      <c r="D230" s="371" t="str">
        <f t="shared" si="92"/>
        <v>Banc</v>
      </c>
      <c r="E230" s="372">
        <f t="shared" si="93"/>
        <v>3</v>
      </c>
      <c r="F230" s="66" t="str">
        <f t="shared" ref="F230:F235" si="94">F229</f>
        <v>LOWER</v>
      </c>
      <c r="G230" s="66" t="str">
        <f t="shared" ref="G230:H235" si="95">G229</f>
        <v>Scotland</v>
      </c>
      <c r="H230" s="89" t="str">
        <f t="shared" si="95"/>
        <v>NE Division</v>
      </c>
      <c r="AE230"/>
      <c r="AG230" s="64">
        <f t="shared" si="85"/>
        <v>0</v>
      </c>
    </row>
    <row r="231" spans="1:33" ht="15" customHeight="1" x14ac:dyDescent="0.45">
      <c r="A231" s="64" t="str">
        <f t="shared" si="91"/>
        <v>LOWERScotlandNE Division4</v>
      </c>
      <c r="B231" s="66">
        <v>4</v>
      </c>
      <c r="C231" s="64" t="s">
        <v>578</v>
      </c>
      <c r="D231" s="371" t="str">
        <f t="shared" si="92"/>
        <v>Dund H</v>
      </c>
      <c r="E231" s="372">
        <f t="shared" si="93"/>
        <v>4</v>
      </c>
      <c r="F231" s="66" t="str">
        <f t="shared" si="94"/>
        <v>LOWER</v>
      </c>
      <c r="G231" s="66" t="str">
        <f t="shared" si="95"/>
        <v>Scotland</v>
      </c>
      <c r="H231" s="89" t="str">
        <f t="shared" si="95"/>
        <v>NE Division</v>
      </c>
      <c r="AE231"/>
      <c r="AG231" s="64">
        <f t="shared" si="85"/>
        <v>0</v>
      </c>
    </row>
    <row r="232" spans="1:33" ht="15" customHeight="1" x14ac:dyDescent="0.45">
      <c r="A232" s="64" t="str">
        <f t="shared" si="91"/>
        <v>LOWERScotlandNE Division5</v>
      </c>
      <c r="B232" s="66">
        <v>5</v>
      </c>
      <c r="C232" s="64" t="s">
        <v>935</v>
      </c>
      <c r="D232" s="371" t="str">
        <f t="shared" si="92"/>
        <v>I'ness</v>
      </c>
      <c r="E232" s="372">
        <f t="shared" si="93"/>
        <v>5</v>
      </c>
      <c r="F232" s="66" t="str">
        <f t="shared" si="94"/>
        <v>LOWER</v>
      </c>
      <c r="G232" s="66" t="str">
        <f t="shared" si="95"/>
        <v>Scotland</v>
      </c>
      <c r="H232" s="89" t="str">
        <f t="shared" si="95"/>
        <v>NE Division</v>
      </c>
      <c r="AE232"/>
      <c r="AG232" s="64">
        <f t="shared" si="85"/>
        <v>0</v>
      </c>
    </row>
    <row r="233" spans="1:33" ht="15" customHeight="1" x14ac:dyDescent="0.45">
      <c r="A233" s="64" t="str">
        <f t="shared" si="91"/>
        <v>LOWERScotlandNE Division6</v>
      </c>
      <c r="B233" s="66">
        <v>6</v>
      </c>
      <c r="C233" s="423" t="s">
        <v>604</v>
      </c>
      <c r="D233" s="371" t="str">
        <f t="shared" si="92"/>
        <v>Island</v>
      </c>
      <c r="E233" s="372">
        <f t="shared" si="93"/>
        <v>6</v>
      </c>
      <c r="F233" s="66" t="str">
        <f t="shared" si="94"/>
        <v>LOWER</v>
      </c>
      <c r="G233" s="66" t="str">
        <f t="shared" si="95"/>
        <v>Scotland</v>
      </c>
      <c r="H233" s="89" t="str">
        <f t="shared" si="95"/>
        <v>NE Division</v>
      </c>
      <c r="AE233"/>
      <c r="AG233" s="64">
        <f t="shared" si="85"/>
        <v>0</v>
      </c>
    </row>
    <row r="234" spans="1:33" ht="15" customHeight="1" x14ac:dyDescent="0.45">
      <c r="A234" s="64" t="str">
        <f t="shared" si="91"/>
        <v>LOWERScotlandNE Division7</v>
      </c>
      <c r="B234" s="66">
        <v>7</v>
      </c>
      <c r="C234" s="425" t="s">
        <v>1321</v>
      </c>
      <c r="D234" s="371" t="str">
        <f t="shared" si="92"/>
        <v>Mont/Perth</v>
      </c>
      <c r="E234" s="372">
        <f t="shared" si="93"/>
        <v>7</v>
      </c>
      <c r="F234" s="66" t="str">
        <f t="shared" si="94"/>
        <v>LOWER</v>
      </c>
      <c r="G234" s="66" t="str">
        <f t="shared" si="95"/>
        <v>Scotland</v>
      </c>
      <c r="H234" s="89" t="str">
        <f t="shared" si="95"/>
        <v>NE Division</v>
      </c>
      <c r="AE234"/>
      <c r="AG234" s="64">
        <f t="shared" si="85"/>
        <v>0</v>
      </c>
    </row>
    <row r="235" spans="1:33" ht="15" customHeight="1" x14ac:dyDescent="0.45">
      <c r="A235" s="64" t="str">
        <f t="shared" si="91"/>
        <v>LOWERScotlandNE Division8</v>
      </c>
      <c r="B235" s="66">
        <v>8</v>
      </c>
      <c r="C235" s="425" t="s">
        <v>972</v>
      </c>
      <c r="D235" s="371" t="str">
        <f t="shared" si="92"/>
        <v>T N Scot</v>
      </c>
      <c r="E235" s="372">
        <f t="shared" si="93"/>
        <v>8</v>
      </c>
      <c r="F235" s="66" t="str">
        <f t="shared" si="94"/>
        <v>LOWER</v>
      </c>
      <c r="G235" s="66" t="str">
        <f t="shared" si="95"/>
        <v>Scotland</v>
      </c>
      <c r="H235" s="89" t="str">
        <f t="shared" si="95"/>
        <v>NE Division</v>
      </c>
      <c r="AE235"/>
      <c r="AG235" s="64">
        <f t="shared" si="85"/>
        <v>0</v>
      </c>
    </row>
    <row r="236" spans="1:33" ht="15" customHeight="1" x14ac:dyDescent="0.45">
      <c r="AE236"/>
      <c r="AG236" s="64">
        <f t="shared" ref="AG236:AG246" si="96">LEN(AF236)</f>
        <v>0</v>
      </c>
    </row>
    <row r="237" spans="1:33" ht="15" customHeight="1" x14ac:dyDescent="0.45">
      <c r="A237" s="64" t="str">
        <f t="shared" ref="A237:A246" si="97">F237&amp;G237&amp;H237&amp;B237</f>
        <v/>
      </c>
      <c r="AE237"/>
      <c r="AG237" s="64">
        <f t="shared" si="96"/>
        <v>0</v>
      </c>
    </row>
    <row r="238" spans="1:33" ht="15" hidden="1" customHeight="1" x14ac:dyDescent="0.45">
      <c r="A238" s="64" t="str">
        <f t="shared" si="97"/>
        <v>Lower</v>
      </c>
      <c r="B238" s="189" t="s">
        <v>420</v>
      </c>
      <c r="C238" s="190" t="s">
        <v>957</v>
      </c>
      <c r="D238" s="190"/>
      <c r="E238" s="189"/>
      <c r="F238" s="189"/>
      <c r="G238" s="189"/>
      <c r="H238" s="191"/>
      <c r="AE238"/>
      <c r="AG238" s="64">
        <f t="shared" si="96"/>
        <v>0</v>
      </c>
    </row>
    <row r="239" spans="1:33" ht="15" hidden="1" customHeight="1" x14ac:dyDescent="0.45">
      <c r="A239" s="64" t="str">
        <f t="shared" si="97"/>
        <v>LOWERScotlandScottish Final1</v>
      </c>
      <c r="B239" s="66">
        <v>1</v>
      </c>
      <c r="D239" s="371" t="str">
        <f t="shared" ref="D239:D246" si="98">IFERROR(VLOOKUP(C239,$AE:$AF,2,FALSE),"")</f>
        <v/>
      </c>
      <c r="E239" s="372" t="str">
        <f t="shared" ref="E239:E246" si="99">IFERROR(VLOOKUP($C239,$AE:$AG,3,FALSE),"")</f>
        <v/>
      </c>
      <c r="F239" s="66" t="str">
        <f>UPPER(B238)</f>
        <v>LOWER</v>
      </c>
      <c r="G239" s="66" t="s">
        <v>598</v>
      </c>
      <c r="H239" s="89" t="str">
        <f>C238</f>
        <v>Scottish Final</v>
      </c>
      <c r="AE239"/>
      <c r="AG239" s="64">
        <f t="shared" si="96"/>
        <v>0</v>
      </c>
    </row>
    <row r="240" spans="1:33" ht="15" hidden="1" customHeight="1" x14ac:dyDescent="0.45">
      <c r="A240" s="64" t="str">
        <f t="shared" si="97"/>
        <v>LOWERScotlandScottish Final2</v>
      </c>
      <c r="B240" s="66">
        <v>2</v>
      </c>
      <c r="D240" s="371" t="str">
        <f t="shared" si="98"/>
        <v/>
      </c>
      <c r="E240" s="372" t="str">
        <f t="shared" si="99"/>
        <v/>
      </c>
      <c r="F240" s="66" t="str">
        <f>F239</f>
        <v>LOWER</v>
      </c>
      <c r="G240" s="66" t="str">
        <f>G239</f>
        <v>Scotland</v>
      </c>
      <c r="H240" s="89" t="str">
        <f>H239</f>
        <v>Scottish Final</v>
      </c>
      <c r="AE240"/>
      <c r="AG240" s="64">
        <f t="shared" si="96"/>
        <v>0</v>
      </c>
    </row>
    <row r="241" spans="1:33" ht="15" hidden="1" customHeight="1" x14ac:dyDescent="0.45">
      <c r="A241" s="64" t="str">
        <f t="shared" si="97"/>
        <v>LOWERScotlandScottish Final3</v>
      </c>
      <c r="B241" s="66">
        <v>3</v>
      </c>
      <c r="C241" s="387"/>
      <c r="D241" s="371" t="str">
        <f t="shared" si="98"/>
        <v/>
      </c>
      <c r="E241" s="372" t="str">
        <f t="shared" si="99"/>
        <v/>
      </c>
      <c r="F241" s="66" t="str">
        <f t="shared" ref="F241:H246" si="100">F240</f>
        <v>LOWER</v>
      </c>
      <c r="G241" s="66" t="str">
        <f t="shared" si="100"/>
        <v>Scotland</v>
      </c>
      <c r="H241" s="89" t="str">
        <f t="shared" si="100"/>
        <v>Scottish Final</v>
      </c>
      <c r="AE241"/>
      <c r="AG241" s="64">
        <f t="shared" si="96"/>
        <v>0</v>
      </c>
    </row>
    <row r="242" spans="1:33" ht="15" hidden="1" customHeight="1" x14ac:dyDescent="0.45">
      <c r="A242" s="64" t="str">
        <f t="shared" si="97"/>
        <v>LOWERScotlandScottish Final4</v>
      </c>
      <c r="B242" s="66">
        <v>4</v>
      </c>
      <c r="D242" s="371" t="str">
        <f t="shared" si="98"/>
        <v/>
      </c>
      <c r="E242" s="372" t="str">
        <f t="shared" si="99"/>
        <v/>
      </c>
      <c r="F242" s="66" t="str">
        <f t="shared" si="100"/>
        <v>LOWER</v>
      </c>
      <c r="G242" s="66" t="str">
        <f t="shared" si="100"/>
        <v>Scotland</v>
      </c>
      <c r="H242" s="89" t="str">
        <f t="shared" si="100"/>
        <v>Scottish Final</v>
      </c>
      <c r="AE242"/>
      <c r="AG242" s="64">
        <f t="shared" si="96"/>
        <v>0</v>
      </c>
    </row>
    <row r="243" spans="1:33" ht="15" hidden="1" customHeight="1" x14ac:dyDescent="0.45">
      <c r="A243" s="64" t="str">
        <f t="shared" si="97"/>
        <v>LOWERScotlandScottish Final5</v>
      </c>
      <c r="B243" s="66">
        <v>5</v>
      </c>
      <c r="D243" s="371" t="str">
        <f t="shared" si="98"/>
        <v/>
      </c>
      <c r="E243" s="372" t="str">
        <f t="shared" si="99"/>
        <v/>
      </c>
      <c r="F243" s="66" t="str">
        <f t="shared" si="100"/>
        <v>LOWER</v>
      </c>
      <c r="G243" s="66" t="str">
        <f t="shared" si="100"/>
        <v>Scotland</v>
      </c>
      <c r="H243" s="89" t="str">
        <f t="shared" si="100"/>
        <v>Scottish Final</v>
      </c>
      <c r="AE243"/>
      <c r="AG243" s="64">
        <f t="shared" si="96"/>
        <v>0</v>
      </c>
    </row>
    <row r="244" spans="1:33" ht="15" hidden="1" customHeight="1" x14ac:dyDescent="0.45">
      <c r="A244" s="64" t="str">
        <f t="shared" si="97"/>
        <v>LOWERScotlandScottish Final6</v>
      </c>
      <c r="B244" s="66">
        <v>6</v>
      </c>
      <c r="D244" s="371" t="str">
        <f t="shared" si="98"/>
        <v/>
      </c>
      <c r="E244" s="372" t="str">
        <f t="shared" si="99"/>
        <v/>
      </c>
      <c r="F244" s="66" t="str">
        <f t="shared" si="100"/>
        <v>LOWER</v>
      </c>
      <c r="G244" s="66" t="str">
        <f t="shared" si="100"/>
        <v>Scotland</v>
      </c>
      <c r="H244" s="89" t="str">
        <f t="shared" si="100"/>
        <v>Scottish Final</v>
      </c>
      <c r="AE244"/>
      <c r="AG244" s="64">
        <f t="shared" si="96"/>
        <v>0</v>
      </c>
    </row>
    <row r="245" spans="1:33" ht="15" hidden="1" customHeight="1" x14ac:dyDescent="0.45">
      <c r="A245" s="64" t="str">
        <f t="shared" si="97"/>
        <v>LOWERScotlandScottish Final7</v>
      </c>
      <c r="B245" s="66">
        <v>7</v>
      </c>
      <c r="D245" s="371" t="str">
        <f t="shared" si="98"/>
        <v/>
      </c>
      <c r="E245" s="372" t="str">
        <f t="shared" si="99"/>
        <v/>
      </c>
      <c r="F245" s="66" t="str">
        <f t="shared" si="100"/>
        <v>LOWER</v>
      </c>
      <c r="G245" s="66" t="str">
        <f t="shared" si="100"/>
        <v>Scotland</v>
      </c>
      <c r="H245" s="89" t="str">
        <f t="shared" si="100"/>
        <v>Scottish Final</v>
      </c>
      <c r="AE245"/>
      <c r="AG245" s="64">
        <f t="shared" si="96"/>
        <v>0</v>
      </c>
    </row>
    <row r="246" spans="1:33" ht="15" hidden="1" customHeight="1" x14ac:dyDescent="0.45">
      <c r="A246" s="64" t="str">
        <f t="shared" si="97"/>
        <v>LOWERScotlandScottish Final8</v>
      </c>
      <c r="B246" s="66">
        <v>8</v>
      </c>
      <c r="D246" s="371" t="str">
        <f t="shared" si="98"/>
        <v/>
      </c>
      <c r="E246" s="372" t="str">
        <f t="shared" si="99"/>
        <v/>
      </c>
      <c r="F246" s="66" t="str">
        <f t="shared" si="100"/>
        <v>LOWER</v>
      </c>
      <c r="G246" s="66" t="str">
        <f t="shared" si="100"/>
        <v>Scotland</v>
      </c>
      <c r="H246" s="89" t="str">
        <f t="shared" si="100"/>
        <v>Scottish Final</v>
      </c>
      <c r="AE246"/>
      <c r="AG246" s="64">
        <f t="shared" si="96"/>
        <v>0</v>
      </c>
    </row>
    <row r="247" spans="1:33" ht="15" hidden="1" customHeight="1" x14ac:dyDescent="0.35"/>
    <row r="248" spans="1:33" ht="15" hidden="1" customHeight="1" x14ac:dyDescent="0.35">
      <c r="A248" s="64" t="str">
        <f t="shared" ref="A248:A273" si="101">F248&amp;G248&amp;H248&amp;B248</f>
        <v>Lower</v>
      </c>
      <c r="B248" s="96" t="s">
        <v>420</v>
      </c>
      <c r="C248" s="97" t="s">
        <v>945</v>
      </c>
      <c r="D248" s="97"/>
      <c r="E248" s="96"/>
      <c r="F248" s="96"/>
      <c r="G248" s="96"/>
      <c r="H248" s="98"/>
    </row>
    <row r="249" spans="1:33" ht="15" hidden="1" customHeight="1" x14ac:dyDescent="0.35">
      <c r="A249" s="64" t="str">
        <f t="shared" si="101"/>
        <v>LOWERMidlandRegional Final1</v>
      </c>
      <c r="B249" s="66">
        <v>1</v>
      </c>
      <c r="D249" s="371" t="str">
        <f t="shared" ref="D249:D254" si="102">IFERROR(VLOOKUP(C249,$AE:$AF,2,FALSE),"")</f>
        <v/>
      </c>
      <c r="E249" s="372" t="str">
        <f t="shared" ref="E249:E254" si="103">IFERROR(VLOOKUP($C249,$AE:$AG,3,FALSE),"")</f>
        <v/>
      </c>
      <c r="F249" s="66" t="s">
        <v>97</v>
      </c>
      <c r="G249" s="66" t="s">
        <v>410</v>
      </c>
      <c r="H249" s="89" t="str">
        <f t="shared" ref="H249:H254" si="104">$C$248</f>
        <v>Regional Final</v>
      </c>
    </row>
    <row r="250" spans="1:33" ht="15" hidden="1" customHeight="1" x14ac:dyDescent="0.35">
      <c r="A250" s="64" t="str">
        <f t="shared" si="101"/>
        <v>LOWERMidlandRegional Final2</v>
      </c>
      <c r="B250" s="66">
        <v>2</v>
      </c>
      <c r="D250" s="371" t="str">
        <f t="shared" si="102"/>
        <v/>
      </c>
      <c r="E250" s="372" t="str">
        <f t="shared" si="103"/>
        <v/>
      </c>
      <c r="F250" s="66" t="s">
        <v>97</v>
      </c>
      <c r="G250" s="66" t="s">
        <v>410</v>
      </c>
      <c r="H250" s="89" t="str">
        <f t="shared" si="104"/>
        <v>Regional Final</v>
      </c>
    </row>
    <row r="251" spans="1:33" ht="15" hidden="1" customHeight="1" x14ac:dyDescent="0.35">
      <c r="A251" s="64" t="str">
        <f t="shared" si="101"/>
        <v>LOWERMidlandRegional Final3</v>
      </c>
      <c r="B251" s="66">
        <v>3</v>
      </c>
      <c r="D251" s="371" t="str">
        <f t="shared" si="102"/>
        <v/>
      </c>
      <c r="E251" s="372" t="str">
        <f t="shared" si="103"/>
        <v/>
      </c>
      <c r="F251" s="66" t="s">
        <v>97</v>
      </c>
      <c r="G251" s="66" t="s">
        <v>410</v>
      </c>
      <c r="H251" s="89" t="str">
        <f t="shared" si="104"/>
        <v>Regional Final</v>
      </c>
    </row>
    <row r="252" spans="1:33" ht="15" hidden="1" customHeight="1" x14ac:dyDescent="0.35">
      <c r="A252" s="64" t="str">
        <f t="shared" si="101"/>
        <v>LOWERMidlandRegional Final4</v>
      </c>
      <c r="B252" s="66">
        <v>4</v>
      </c>
      <c r="D252" s="371" t="str">
        <f t="shared" si="102"/>
        <v/>
      </c>
      <c r="E252" s="372" t="str">
        <f t="shared" si="103"/>
        <v/>
      </c>
      <c r="F252" s="66" t="s">
        <v>97</v>
      </c>
      <c r="G252" s="66" t="s">
        <v>410</v>
      </c>
      <c r="H252" s="89" t="str">
        <f t="shared" si="104"/>
        <v>Regional Final</v>
      </c>
    </row>
    <row r="253" spans="1:33" ht="15" hidden="1" customHeight="1" x14ac:dyDescent="0.35">
      <c r="A253" s="64" t="str">
        <f t="shared" si="101"/>
        <v>LOWERMidlandRegional Final5</v>
      </c>
      <c r="B253" s="66">
        <v>5</v>
      </c>
      <c r="D253" s="371" t="str">
        <f t="shared" si="102"/>
        <v/>
      </c>
      <c r="E253" s="372" t="str">
        <f t="shared" si="103"/>
        <v/>
      </c>
      <c r="F253" s="66" t="s">
        <v>97</v>
      </c>
      <c r="G253" s="66" t="s">
        <v>410</v>
      </c>
      <c r="H253" s="89" t="str">
        <f t="shared" si="104"/>
        <v>Regional Final</v>
      </c>
    </row>
    <row r="254" spans="1:33" ht="15" hidden="1" customHeight="1" x14ac:dyDescent="0.35">
      <c r="A254" s="64" t="str">
        <f t="shared" si="101"/>
        <v>LOWERMidlandRegional Final6</v>
      </c>
      <c r="B254" s="66">
        <v>6</v>
      </c>
      <c r="D254" s="371" t="str">
        <f t="shared" si="102"/>
        <v/>
      </c>
      <c r="E254" s="372" t="str">
        <f t="shared" si="103"/>
        <v/>
      </c>
      <c r="F254" s="66" t="s">
        <v>97</v>
      </c>
      <c r="G254" s="66" t="s">
        <v>410</v>
      </c>
      <c r="H254" s="89" t="str">
        <f t="shared" si="104"/>
        <v>Regional Final</v>
      </c>
    </row>
    <row r="255" spans="1:33" ht="15" hidden="1" customHeight="1" x14ac:dyDescent="0.35">
      <c r="A255" s="64" t="str">
        <f t="shared" si="101"/>
        <v/>
      </c>
    </row>
    <row r="256" spans="1:33" ht="15" hidden="1" customHeight="1" x14ac:dyDescent="0.35">
      <c r="A256" s="64" t="str">
        <f t="shared" si="101"/>
        <v>Lower</v>
      </c>
      <c r="B256" s="96" t="s">
        <v>420</v>
      </c>
      <c r="C256" s="97" t="s">
        <v>946</v>
      </c>
      <c r="D256" s="97"/>
      <c r="E256" s="96"/>
      <c r="F256" s="96"/>
      <c r="G256" s="96"/>
      <c r="H256" s="98"/>
    </row>
    <row r="257" spans="1:33" ht="15" hidden="1" customHeight="1" x14ac:dyDescent="0.35">
      <c r="A257" s="64" t="str">
        <f t="shared" si="101"/>
        <v>LOWERMidlandSW Promotion Match1</v>
      </c>
      <c r="B257" s="66">
        <v>1</v>
      </c>
      <c r="D257" s="371" t="str">
        <f t="shared" ref="D257:D263" si="105">IFERROR(VLOOKUP(C257,$AE:$AF,2,FALSE),"")</f>
        <v/>
      </c>
      <c r="E257" s="372" t="str">
        <f t="shared" ref="E257:E263" si="106">IFERROR(VLOOKUP($C257,$AE:$AG,3,FALSE),"")</f>
        <v/>
      </c>
      <c r="F257" s="66" t="s">
        <v>97</v>
      </c>
      <c r="G257" s="66" t="s">
        <v>410</v>
      </c>
      <c r="H257" s="89" t="str">
        <f t="shared" ref="H257:H263" si="107">$C$256</f>
        <v>SW Promotion Match</v>
      </c>
    </row>
    <row r="258" spans="1:33" ht="15" hidden="1" customHeight="1" x14ac:dyDescent="0.35">
      <c r="A258" s="64" t="str">
        <f t="shared" si="101"/>
        <v>LOWERMidlandSW Promotion Match2</v>
      </c>
      <c r="B258" s="66">
        <v>2</v>
      </c>
      <c r="D258" s="371" t="str">
        <f t="shared" si="105"/>
        <v/>
      </c>
      <c r="E258" s="372" t="str">
        <f t="shared" si="106"/>
        <v/>
      </c>
      <c r="F258" s="66" t="s">
        <v>97</v>
      </c>
      <c r="G258" s="66" t="s">
        <v>410</v>
      </c>
      <c r="H258" s="89" t="str">
        <f t="shared" si="107"/>
        <v>SW Promotion Match</v>
      </c>
    </row>
    <row r="259" spans="1:33" ht="15" hidden="1" customHeight="1" x14ac:dyDescent="0.35">
      <c r="A259" s="64" t="str">
        <f t="shared" si="101"/>
        <v>LOWERMidlandSW Promotion Match3</v>
      </c>
      <c r="B259" s="66">
        <v>3</v>
      </c>
      <c r="D259" s="371" t="str">
        <f t="shared" si="105"/>
        <v/>
      </c>
      <c r="E259" s="372" t="str">
        <f t="shared" si="106"/>
        <v/>
      </c>
      <c r="F259" s="66" t="s">
        <v>97</v>
      </c>
      <c r="G259" s="66" t="s">
        <v>410</v>
      </c>
      <c r="H259" s="89" t="str">
        <f t="shared" si="107"/>
        <v>SW Promotion Match</v>
      </c>
    </row>
    <row r="260" spans="1:33" ht="15" hidden="1" customHeight="1" x14ac:dyDescent="0.35">
      <c r="A260" s="64" t="str">
        <f t="shared" si="101"/>
        <v>LOWERMidlandSW Promotion Match4</v>
      </c>
      <c r="B260" s="66">
        <v>4</v>
      </c>
      <c r="D260" s="371" t="str">
        <f t="shared" si="105"/>
        <v/>
      </c>
      <c r="E260" s="372" t="str">
        <f t="shared" si="106"/>
        <v/>
      </c>
      <c r="F260" s="66" t="s">
        <v>97</v>
      </c>
      <c r="G260" s="66" t="s">
        <v>410</v>
      </c>
      <c r="H260" s="89" t="str">
        <f t="shared" si="107"/>
        <v>SW Promotion Match</v>
      </c>
    </row>
    <row r="261" spans="1:33" ht="15" hidden="1" customHeight="1" x14ac:dyDescent="0.35">
      <c r="A261" s="64" t="str">
        <f t="shared" si="101"/>
        <v>LOWERMidlandSW Promotion Match5</v>
      </c>
      <c r="B261" s="66">
        <v>5</v>
      </c>
      <c r="D261" s="371" t="str">
        <f t="shared" si="105"/>
        <v/>
      </c>
      <c r="E261" s="372" t="str">
        <f t="shared" si="106"/>
        <v/>
      </c>
      <c r="F261" s="66" t="s">
        <v>97</v>
      </c>
      <c r="G261" s="66" t="s">
        <v>410</v>
      </c>
      <c r="H261" s="89" t="str">
        <f t="shared" si="107"/>
        <v>SW Promotion Match</v>
      </c>
    </row>
    <row r="262" spans="1:33" ht="15" hidden="1" customHeight="1" x14ac:dyDescent="0.35">
      <c r="A262" s="64" t="str">
        <f t="shared" si="101"/>
        <v>LOWERMidlandSW Promotion Match6</v>
      </c>
      <c r="B262" s="66">
        <v>6</v>
      </c>
      <c r="D262" s="371" t="str">
        <f t="shared" si="105"/>
        <v/>
      </c>
      <c r="E262" s="372" t="str">
        <f t="shared" si="106"/>
        <v/>
      </c>
      <c r="F262" s="66" t="s">
        <v>97</v>
      </c>
      <c r="G262" s="66" t="s">
        <v>410</v>
      </c>
      <c r="H262" s="89" t="str">
        <f t="shared" si="107"/>
        <v>SW Promotion Match</v>
      </c>
    </row>
    <row r="263" spans="1:33" ht="15" hidden="1" customHeight="1" x14ac:dyDescent="0.35">
      <c r="A263" s="64" t="str">
        <f t="shared" ref="A263" si="108">F263&amp;G263&amp;H263&amp;B263</f>
        <v>LOWERMidlandSW Promotion Match7</v>
      </c>
      <c r="B263" s="66">
        <v>7</v>
      </c>
      <c r="D263" s="371" t="str">
        <f t="shared" si="105"/>
        <v/>
      </c>
      <c r="E263" s="372" t="str">
        <f t="shared" si="106"/>
        <v/>
      </c>
      <c r="F263" s="66" t="s">
        <v>97</v>
      </c>
      <c r="G263" s="66" t="s">
        <v>410</v>
      </c>
      <c r="H263" s="89" t="str">
        <f t="shared" si="107"/>
        <v>SW Promotion Match</v>
      </c>
    </row>
    <row r="264" spans="1:33" ht="15" hidden="1" customHeight="1" x14ac:dyDescent="0.35">
      <c r="A264" s="64" t="str">
        <f t="shared" si="101"/>
        <v/>
      </c>
    </row>
    <row r="265" spans="1:33" ht="15" hidden="1" customHeight="1" x14ac:dyDescent="0.35">
      <c r="A265" s="64" t="str">
        <f t="shared" si="101"/>
        <v>Lower</v>
      </c>
      <c r="B265" s="96" t="s">
        <v>420</v>
      </c>
      <c r="C265" s="97" t="s">
        <v>947</v>
      </c>
      <c r="D265" s="97"/>
      <c r="E265" s="96"/>
      <c r="F265" s="96"/>
      <c r="G265" s="96"/>
      <c r="H265" s="98"/>
    </row>
    <row r="266" spans="1:33" ht="15" hidden="1" customHeight="1" x14ac:dyDescent="0.35">
      <c r="A266" s="64" t="str">
        <f t="shared" si="101"/>
        <v>LOWERMidlandNE Promotion Match1</v>
      </c>
      <c r="B266" s="66">
        <v>1</v>
      </c>
      <c r="D266" s="371" t="str">
        <f t="shared" ref="D266:D273" si="109">IFERROR(VLOOKUP(C266,$AE:$AF,2,FALSE),"")</f>
        <v/>
      </c>
      <c r="E266" s="372" t="str">
        <f t="shared" ref="E266:E273" si="110">IFERROR(VLOOKUP($C266,$AE:$AG,3,FALSE),"")</f>
        <v/>
      </c>
      <c r="F266" s="66" t="s">
        <v>97</v>
      </c>
      <c r="G266" s="66" t="s">
        <v>410</v>
      </c>
      <c r="H266" s="89" t="str">
        <f t="shared" ref="H266:H273" si="111">$C$265</f>
        <v>NE Promotion Match</v>
      </c>
    </row>
    <row r="267" spans="1:33" ht="15" hidden="1" customHeight="1" x14ac:dyDescent="0.35">
      <c r="A267" s="64" t="str">
        <f t="shared" si="101"/>
        <v>LOWERMidlandNE Promotion Match2</v>
      </c>
      <c r="B267" s="66">
        <v>2</v>
      </c>
      <c r="D267" s="371" t="str">
        <f t="shared" si="109"/>
        <v/>
      </c>
      <c r="E267" s="372" t="str">
        <f t="shared" si="110"/>
        <v/>
      </c>
      <c r="F267" s="66" t="s">
        <v>97</v>
      </c>
      <c r="G267" s="66" t="s">
        <v>410</v>
      </c>
      <c r="H267" s="89" t="str">
        <f t="shared" si="111"/>
        <v>NE Promotion Match</v>
      </c>
    </row>
    <row r="268" spans="1:33" ht="15" hidden="1" customHeight="1" x14ac:dyDescent="0.35">
      <c r="A268" s="64" t="str">
        <f t="shared" si="101"/>
        <v>LOWERMidlandNE Promotion Match3</v>
      </c>
      <c r="B268" s="66">
        <v>3</v>
      </c>
      <c r="D268" s="371" t="str">
        <f t="shared" si="109"/>
        <v/>
      </c>
      <c r="E268" s="372" t="str">
        <f t="shared" si="110"/>
        <v/>
      </c>
      <c r="F268" s="66" t="s">
        <v>97</v>
      </c>
      <c r="G268" s="66" t="s">
        <v>410</v>
      </c>
      <c r="H268" s="89" t="str">
        <f t="shared" si="111"/>
        <v>NE Promotion Match</v>
      </c>
    </row>
    <row r="269" spans="1:33" ht="15" hidden="1" customHeight="1" x14ac:dyDescent="0.35">
      <c r="A269" s="64" t="str">
        <f t="shared" si="101"/>
        <v>LOWERMidlandNE Promotion Match4</v>
      </c>
      <c r="B269" s="66">
        <v>4</v>
      </c>
      <c r="D269" s="371" t="str">
        <f t="shared" si="109"/>
        <v/>
      </c>
      <c r="E269" s="372" t="str">
        <f t="shared" si="110"/>
        <v/>
      </c>
      <c r="F269" s="66" t="s">
        <v>97</v>
      </c>
      <c r="G269" s="66" t="s">
        <v>410</v>
      </c>
      <c r="H269" s="89" t="str">
        <f t="shared" si="111"/>
        <v>NE Promotion Match</v>
      </c>
    </row>
    <row r="270" spans="1:33" ht="15" hidden="1" customHeight="1" x14ac:dyDescent="0.35">
      <c r="A270" s="64" t="str">
        <f t="shared" si="101"/>
        <v>LOWERMidlandNE Promotion Match5</v>
      </c>
      <c r="B270" s="66">
        <v>5</v>
      </c>
      <c r="D270" s="371" t="str">
        <f t="shared" si="109"/>
        <v/>
      </c>
      <c r="E270" s="372" t="str">
        <f t="shared" si="110"/>
        <v/>
      </c>
      <c r="F270" s="66" t="s">
        <v>97</v>
      </c>
      <c r="G270" s="66" t="s">
        <v>410</v>
      </c>
      <c r="H270" s="89" t="str">
        <f t="shared" si="111"/>
        <v>NE Promotion Match</v>
      </c>
    </row>
    <row r="271" spans="1:33" ht="15" hidden="1" customHeight="1" x14ac:dyDescent="0.35">
      <c r="A271" s="64" t="str">
        <f t="shared" si="101"/>
        <v>LOWERMidlandNE Promotion Match6</v>
      </c>
      <c r="B271" s="66">
        <v>6</v>
      </c>
      <c r="D271" s="371" t="str">
        <f t="shared" si="109"/>
        <v/>
      </c>
      <c r="E271" s="372" t="str">
        <f t="shared" si="110"/>
        <v/>
      </c>
      <c r="F271" s="66" t="s">
        <v>97</v>
      </c>
      <c r="G271" s="66" t="s">
        <v>410</v>
      </c>
      <c r="H271" s="89" t="str">
        <f t="shared" si="111"/>
        <v>NE Promotion Match</v>
      </c>
    </row>
    <row r="272" spans="1:33" ht="15" hidden="1" customHeight="1" x14ac:dyDescent="0.45">
      <c r="A272" s="64" t="str">
        <f t="shared" si="101"/>
        <v>LOWERMidlandNE Promotion Match7</v>
      </c>
      <c r="B272" s="66">
        <v>7</v>
      </c>
      <c r="D272" s="371" t="str">
        <f t="shared" si="109"/>
        <v/>
      </c>
      <c r="E272" s="372" t="str">
        <f t="shared" si="110"/>
        <v/>
      </c>
      <c r="F272" s="66" t="s">
        <v>97</v>
      </c>
      <c r="G272" s="66" t="s">
        <v>410</v>
      </c>
      <c r="H272" s="89" t="str">
        <f t="shared" si="111"/>
        <v>NE Promotion Match</v>
      </c>
      <c r="AE272"/>
      <c r="AG272" s="64">
        <f t="shared" si="85"/>
        <v>0</v>
      </c>
    </row>
    <row r="273" spans="1:33" ht="15" hidden="1" customHeight="1" x14ac:dyDescent="0.45">
      <c r="A273" s="64" t="str">
        <f t="shared" si="101"/>
        <v>LOWERMidlandNE Promotion Match8</v>
      </c>
      <c r="B273" s="66">
        <v>8</v>
      </c>
      <c r="D273" s="371" t="str">
        <f t="shared" si="109"/>
        <v/>
      </c>
      <c r="E273" s="372" t="str">
        <f t="shared" si="110"/>
        <v/>
      </c>
      <c r="F273" s="66" t="s">
        <v>97</v>
      </c>
      <c r="G273" s="66" t="s">
        <v>410</v>
      </c>
      <c r="H273" s="89" t="str">
        <f t="shared" si="111"/>
        <v>NE Promotion Match</v>
      </c>
      <c r="AE273"/>
      <c r="AG273" s="64">
        <f>LEN(AF273)</f>
        <v>0</v>
      </c>
    </row>
    <row r="274" spans="1:33" ht="15" hidden="1" customHeight="1" x14ac:dyDescent="0.45">
      <c r="AE274"/>
      <c r="AG274" s="64">
        <f t="shared" ref="AG274:AG283" si="112">LEN(AF274)</f>
        <v>0</v>
      </c>
    </row>
    <row r="275" spans="1:33" ht="15" hidden="1" customHeight="1" x14ac:dyDescent="0.45">
      <c r="A275" s="64" t="str">
        <f t="shared" ref="A275:A282" si="113">F275&amp;G275&amp;H275&amp;B275</f>
        <v>Lower</v>
      </c>
      <c r="B275" s="365" t="s">
        <v>420</v>
      </c>
      <c r="C275" s="366" t="s">
        <v>958</v>
      </c>
      <c r="D275" s="366"/>
      <c r="E275" s="365"/>
      <c r="F275" s="365"/>
      <c r="G275" s="365"/>
      <c r="H275" s="367"/>
      <c r="AE275"/>
      <c r="AG275" s="64">
        <f t="shared" si="112"/>
        <v>0</v>
      </c>
    </row>
    <row r="276" spans="1:33" ht="15" hidden="1" customHeight="1" x14ac:dyDescent="0.45">
      <c r="A276" s="64" t="str">
        <f t="shared" si="113"/>
        <v>LOWERYDLUK FINAL1</v>
      </c>
      <c r="B276" s="66">
        <v>1</v>
      </c>
      <c r="D276" s="371" t="str">
        <f t="shared" ref="D276:D282" si="114">IFERROR(VLOOKUP(C276,$AE:$AF,2,FALSE),"")</f>
        <v/>
      </c>
      <c r="E276" s="372" t="str">
        <f t="shared" ref="E276:E282" si="115">IFERROR(VLOOKUP($C276,$AE:$AG,3,FALSE),"")</f>
        <v/>
      </c>
      <c r="F276" s="66" t="str">
        <f>UPPER(B275)</f>
        <v>LOWER</v>
      </c>
      <c r="G276" s="66" t="s">
        <v>959</v>
      </c>
      <c r="H276" s="89" t="str">
        <f>C275</f>
        <v>UK FINAL</v>
      </c>
      <c r="AE276"/>
      <c r="AG276" s="64">
        <f t="shared" si="112"/>
        <v>0</v>
      </c>
    </row>
    <row r="277" spans="1:33" ht="15" hidden="1" customHeight="1" x14ac:dyDescent="0.45">
      <c r="A277" s="64" t="str">
        <f t="shared" si="113"/>
        <v>LOWERYDLUK FINAL2</v>
      </c>
      <c r="B277" s="66">
        <v>2</v>
      </c>
      <c r="D277" s="371" t="str">
        <f t="shared" si="114"/>
        <v/>
      </c>
      <c r="E277" s="372" t="str">
        <f t="shared" si="115"/>
        <v/>
      </c>
      <c r="F277" s="66" t="str">
        <f>F276</f>
        <v>LOWER</v>
      </c>
      <c r="G277" s="66" t="str">
        <f>G276</f>
        <v>YDL</v>
      </c>
      <c r="H277" s="89" t="str">
        <f>H276</f>
        <v>UK FINAL</v>
      </c>
      <c r="AE277"/>
      <c r="AG277" s="64">
        <f t="shared" si="112"/>
        <v>0</v>
      </c>
    </row>
    <row r="278" spans="1:33" ht="15" hidden="1" customHeight="1" x14ac:dyDescent="0.45">
      <c r="A278" s="64" t="str">
        <f t="shared" si="113"/>
        <v>LOWERYDLUK FINAL3</v>
      </c>
      <c r="B278" s="66">
        <v>3</v>
      </c>
      <c r="D278" s="371" t="str">
        <f t="shared" si="114"/>
        <v/>
      </c>
      <c r="E278" s="372" t="str">
        <f t="shared" si="115"/>
        <v/>
      </c>
      <c r="F278" s="66" t="str">
        <f t="shared" ref="F278:H278" si="116">F277</f>
        <v>LOWER</v>
      </c>
      <c r="G278" s="66" t="str">
        <f t="shared" si="116"/>
        <v>YDL</v>
      </c>
      <c r="H278" s="89" t="str">
        <f t="shared" si="116"/>
        <v>UK FINAL</v>
      </c>
      <c r="AE278"/>
      <c r="AG278" s="64">
        <f t="shared" si="112"/>
        <v>0</v>
      </c>
    </row>
    <row r="279" spans="1:33" ht="15" hidden="1" customHeight="1" x14ac:dyDescent="0.45">
      <c r="A279" s="64" t="str">
        <f t="shared" si="113"/>
        <v>LOWERYDLUK FINAL4</v>
      </c>
      <c r="B279" s="66">
        <v>4</v>
      </c>
      <c r="D279" s="371" t="str">
        <f t="shared" si="114"/>
        <v/>
      </c>
      <c r="E279" s="372" t="str">
        <f t="shared" si="115"/>
        <v/>
      </c>
      <c r="F279" s="66" t="str">
        <f t="shared" ref="F279:H279" si="117">F278</f>
        <v>LOWER</v>
      </c>
      <c r="G279" s="66" t="str">
        <f t="shared" si="117"/>
        <v>YDL</v>
      </c>
      <c r="H279" s="89" t="str">
        <f t="shared" si="117"/>
        <v>UK FINAL</v>
      </c>
      <c r="AE279"/>
      <c r="AG279" s="64">
        <f t="shared" si="112"/>
        <v>0</v>
      </c>
    </row>
    <row r="280" spans="1:33" ht="15" hidden="1" customHeight="1" x14ac:dyDescent="0.45">
      <c r="A280" s="64" t="str">
        <f t="shared" si="113"/>
        <v>LOWERYDLUK FINAL5</v>
      </c>
      <c r="B280" s="66">
        <v>5</v>
      </c>
      <c r="D280" s="371" t="str">
        <f t="shared" si="114"/>
        <v/>
      </c>
      <c r="E280" s="372" t="str">
        <f t="shared" si="115"/>
        <v/>
      </c>
      <c r="F280" s="66" t="str">
        <f t="shared" ref="F280:H280" si="118">F279</f>
        <v>LOWER</v>
      </c>
      <c r="G280" s="66" t="str">
        <f t="shared" si="118"/>
        <v>YDL</v>
      </c>
      <c r="H280" s="89" t="str">
        <f t="shared" si="118"/>
        <v>UK FINAL</v>
      </c>
      <c r="AE280"/>
      <c r="AG280" s="64">
        <f t="shared" si="112"/>
        <v>0</v>
      </c>
    </row>
    <row r="281" spans="1:33" ht="15" hidden="1" customHeight="1" x14ac:dyDescent="0.45">
      <c r="A281" s="64" t="str">
        <f t="shared" si="113"/>
        <v>LOWERYDLUK FINAL6</v>
      </c>
      <c r="B281" s="66">
        <v>6</v>
      </c>
      <c r="D281" s="371" t="str">
        <f t="shared" si="114"/>
        <v/>
      </c>
      <c r="E281" s="372" t="str">
        <f t="shared" si="115"/>
        <v/>
      </c>
      <c r="F281" s="66" t="str">
        <f t="shared" ref="F281:H281" si="119">F280</f>
        <v>LOWER</v>
      </c>
      <c r="G281" s="66" t="str">
        <f t="shared" si="119"/>
        <v>YDL</v>
      </c>
      <c r="H281" s="89" t="str">
        <f t="shared" si="119"/>
        <v>UK FINAL</v>
      </c>
      <c r="AE281"/>
      <c r="AG281" s="64">
        <f t="shared" si="112"/>
        <v>0</v>
      </c>
    </row>
    <row r="282" spans="1:33" ht="15" hidden="1" customHeight="1" x14ac:dyDescent="0.45">
      <c r="A282" s="64" t="str">
        <f t="shared" si="113"/>
        <v>LOWERYDLUK FINAL7</v>
      </c>
      <c r="B282" s="66">
        <v>7</v>
      </c>
      <c r="D282" s="371" t="str">
        <f t="shared" si="114"/>
        <v/>
      </c>
      <c r="E282" s="372" t="str">
        <f t="shared" si="115"/>
        <v/>
      </c>
      <c r="F282" s="66" t="str">
        <f t="shared" ref="F282:H282" si="120">F281</f>
        <v>LOWER</v>
      </c>
      <c r="G282" s="66" t="str">
        <f t="shared" si="120"/>
        <v>YDL</v>
      </c>
      <c r="H282" s="89" t="str">
        <f t="shared" si="120"/>
        <v>UK FINAL</v>
      </c>
      <c r="AE282"/>
      <c r="AG282" s="64">
        <f t="shared" si="112"/>
        <v>0</v>
      </c>
    </row>
    <row r="283" spans="1:33" ht="15" customHeight="1" x14ac:dyDescent="0.45">
      <c r="AE283"/>
      <c r="AG283" s="64">
        <f t="shared" si="112"/>
        <v>0</v>
      </c>
    </row>
  </sheetData>
  <sheetProtection algorithmName="SHA-512" hashValue="V6fQufAICY8M+kFWsUq9l/aweacLOGElJGUkB6yPGxTddFCGiPOKD4vY6oiPT8uLRV97DM4i98CH8ez87rcnUA==" saltValue="Z08L/zdyYZaL6PKpB+pukg==" spinCount="100000" sheet="1" objects="1" scenarios="1" formatCells="0" formatColumns="0" formatRows="0" sort="0" autoFilter="0"/>
  <autoFilter ref="A1:AG281" xr:uid="{00000000-0009-0000-0000-00001B000000}"/>
  <sortState xmlns:xlrd2="http://schemas.microsoft.com/office/spreadsheetml/2017/richdata2" ref="AE2:AF243">
    <sortCondition ref="AE2:AE243"/>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O105"/>
  <sheetViews>
    <sheetView zoomScaleNormal="100" zoomScalePageLayoutView="168" workbookViewId="0">
      <selection activeCell="J1" sqref="J1:J1048576"/>
    </sheetView>
  </sheetViews>
  <sheetFormatPr defaultColWidth="8.86328125" defaultRowHeight="11.65" x14ac:dyDescent="0.35"/>
  <cols>
    <col min="1" max="1" width="41" style="64" customWidth="1"/>
    <col min="2" max="3" width="8.86328125" style="64"/>
    <col min="4" max="4" width="18.1328125" style="64" bestFit="1" customWidth="1"/>
    <col min="5" max="5" width="8.86328125" style="64"/>
    <col min="6" max="6" width="11.3984375" style="99" bestFit="1" customWidth="1"/>
    <col min="7" max="7" width="29.3984375" style="64" bestFit="1" customWidth="1"/>
    <col min="8" max="8" width="27.1328125" style="64" bestFit="1" customWidth="1"/>
    <col min="9" max="9" width="8.86328125" style="66"/>
    <col min="10" max="10" width="8.86328125" style="64" customWidth="1"/>
    <col min="11" max="11" width="30.3984375" style="66" bestFit="1" customWidth="1"/>
    <col min="12" max="16384" width="8.86328125" style="64"/>
  </cols>
  <sheetData>
    <row r="1" spans="1:15" x14ac:dyDescent="0.35">
      <c r="I1" s="66" t="s">
        <v>899</v>
      </c>
    </row>
    <row r="2" spans="1:15" x14ac:dyDescent="0.35">
      <c r="A2" s="64" t="str">
        <f>B2&amp;C2&amp;D2&amp;E2</f>
        <v>LOWERNORTHPremier EastMatch 1</v>
      </c>
      <c r="B2" s="64" t="s">
        <v>97</v>
      </c>
      <c r="C2" s="64" t="s">
        <v>200</v>
      </c>
      <c r="D2" s="423" t="s">
        <v>1278</v>
      </c>
      <c r="E2" s="64" t="s">
        <v>49</v>
      </c>
      <c r="F2" s="99">
        <v>43582</v>
      </c>
      <c r="G2" s="64" t="s">
        <v>104</v>
      </c>
      <c r="H2" s="426" t="s">
        <v>1354</v>
      </c>
      <c r="I2" s="66">
        <v>14</v>
      </c>
      <c r="O2" s="423"/>
    </row>
    <row r="3" spans="1:15" x14ac:dyDescent="0.35">
      <c r="A3" s="64" t="str">
        <f t="shared" ref="A3:A39" si="0">B3&amp;C3&amp;D3&amp;E3</f>
        <v>LOWERNORTHPremier EastMatch 2</v>
      </c>
      <c r="B3" s="64" t="s">
        <v>97</v>
      </c>
      <c r="C3" s="64" t="s">
        <v>200</v>
      </c>
      <c r="D3" s="64" t="str">
        <f>D2</f>
        <v>Premier East</v>
      </c>
      <c r="E3" s="64" t="s">
        <v>50</v>
      </c>
      <c r="F3" s="99">
        <v>43603</v>
      </c>
      <c r="G3" s="64" t="s">
        <v>1305</v>
      </c>
      <c r="H3" s="426" t="s">
        <v>1355</v>
      </c>
      <c r="I3" s="66">
        <v>14</v>
      </c>
      <c r="O3" s="423"/>
    </row>
    <row r="4" spans="1:15" x14ac:dyDescent="0.35">
      <c r="A4" s="64" t="str">
        <f t="shared" si="0"/>
        <v>LOWERNORTHPremier EastMatch 3</v>
      </c>
      <c r="B4" s="64" t="s">
        <v>97</v>
      </c>
      <c r="C4" s="64" t="s">
        <v>200</v>
      </c>
      <c r="D4" s="64" t="str">
        <f t="shared" ref="D4" si="1">D3</f>
        <v>Premier East</v>
      </c>
      <c r="E4" s="64" t="s">
        <v>51</v>
      </c>
      <c r="F4" s="99">
        <v>43638</v>
      </c>
      <c r="G4" s="64" t="s">
        <v>1331</v>
      </c>
      <c r="H4" s="64" t="s">
        <v>573</v>
      </c>
      <c r="I4" s="66">
        <v>14</v>
      </c>
      <c r="O4" s="423"/>
    </row>
    <row r="5" spans="1:15" x14ac:dyDescent="0.35">
      <c r="A5" s="64" t="str">
        <f t="shared" si="0"/>
        <v>LOWERNORTHPromotion MatchMatch 4</v>
      </c>
      <c r="B5" s="64" t="s">
        <v>97</v>
      </c>
      <c r="C5" s="64" t="s">
        <v>200</v>
      </c>
      <c r="D5" s="423" t="s">
        <v>1385</v>
      </c>
      <c r="E5" s="64" t="s">
        <v>52</v>
      </c>
      <c r="F5" s="99">
        <v>43666</v>
      </c>
      <c r="G5" s="423" t="s">
        <v>959</v>
      </c>
      <c r="H5" s="426" t="s">
        <v>1356</v>
      </c>
      <c r="I5" s="66">
        <v>51</v>
      </c>
      <c r="O5" s="423"/>
    </row>
    <row r="6" spans="1:15" x14ac:dyDescent="0.35">
      <c r="A6" s="64" t="str">
        <f t="shared" si="0"/>
        <v>LOWERNORTHPremier WestMatch 1</v>
      </c>
      <c r="B6" s="64" t="s">
        <v>97</v>
      </c>
      <c r="C6" s="64" t="s">
        <v>200</v>
      </c>
      <c r="D6" s="423" t="s">
        <v>1279</v>
      </c>
      <c r="E6" s="64" t="s">
        <v>49</v>
      </c>
      <c r="F6" s="99">
        <v>43582</v>
      </c>
      <c r="G6" s="64" t="s">
        <v>1332</v>
      </c>
      <c r="H6" s="426" t="s">
        <v>1357</v>
      </c>
      <c r="I6" s="66">
        <v>15</v>
      </c>
    </row>
    <row r="7" spans="1:15" x14ac:dyDescent="0.35">
      <c r="A7" s="64" t="str">
        <f t="shared" si="0"/>
        <v>LOWERNORTHPremier WestMatch 2</v>
      </c>
      <c r="B7" s="64" t="s">
        <v>97</v>
      </c>
      <c r="C7" s="64" t="s">
        <v>200</v>
      </c>
      <c r="D7" s="423" t="s">
        <v>1279</v>
      </c>
      <c r="E7" s="64" t="s">
        <v>50</v>
      </c>
      <c r="F7" s="99">
        <v>43603</v>
      </c>
      <c r="G7" s="64" t="s">
        <v>1317</v>
      </c>
      <c r="H7" s="64" t="s">
        <v>984</v>
      </c>
      <c r="I7" s="66">
        <v>15</v>
      </c>
    </row>
    <row r="8" spans="1:15" x14ac:dyDescent="0.35">
      <c r="A8" s="64" t="str">
        <f t="shared" si="0"/>
        <v>LOWERNORTHPremier WestMatch 3</v>
      </c>
      <c r="B8" s="64" t="s">
        <v>97</v>
      </c>
      <c r="C8" s="64" t="s">
        <v>200</v>
      </c>
      <c r="D8" s="423" t="s">
        <v>1279</v>
      </c>
      <c r="E8" s="64" t="s">
        <v>51</v>
      </c>
      <c r="F8" s="99">
        <v>43638</v>
      </c>
      <c r="G8" s="64" t="s">
        <v>108</v>
      </c>
      <c r="H8" s="426" t="s">
        <v>983</v>
      </c>
      <c r="I8" s="66">
        <v>15</v>
      </c>
    </row>
    <row r="9" spans="1:15" x14ac:dyDescent="0.35">
      <c r="A9" s="64" t="str">
        <f t="shared" si="0"/>
        <v>LOWERNORTHPromotion MatchMatch 4</v>
      </c>
      <c r="B9" s="64" t="s">
        <v>97</v>
      </c>
      <c r="C9" s="64" t="s">
        <v>200</v>
      </c>
      <c r="D9" s="423" t="s">
        <v>1385</v>
      </c>
      <c r="E9" s="64" t="s">
        <v>52</v>
      </c>
      <c r="F9" s="99">
        <v>43666</v>
      </c>
      <c r="G9" s="423" t="s">
        <v>959</v>
      </c>
      <c r="H9" s="426" t="s">
        <v>1356</v>
      </c>
      <c r="I9" s="66">
        <v>52</v>
      </c>
    </row>
    <row r="10" spans="1:15" x14ac:dyDescent="0.35">
      <c r="A10" s="64" t="str">
        <f t="shared" si="0"/>
        <v>LOWERNORTHWest 1Match 1</v>
      </c>
      <c r="B10" s="64" t="s">
        <v>97</v>
      </c>
      <c r="C10" s="64" t="s">
        <v>200</v>
      </c>
      <c r="D10" s="423" t="s">
        <v>117</v>
      </c>
      <c r="E10" s="64" t="s">
        <v>49</v>
      </c>
      <c r="F10" s="99">
        <v>43582</v>
      </c>
      <c r="G10" s="64" t="s">
        <v>119</v>
      </c>
      <c r="H10" s="64" t="s">
        <v>192</v>
      </c>
      <c r="I10" s="66">
        <v>16</v>
      </c>
    </row>
    <row r="11" spans="1:15" x14ac:dyDescent="0.35">
      <c r="A11" s="64" t="str">
        <f t="shared" si="0"/>
        <v>LOWERNORTHWest 1Match 2</v>
      </c>
      <c r="B11" s="64" t="s">
        <v>97</v>
      </c>
      <c r="C11" s="64" t="s">
        <v>200</v>
      </c>
      <c r="D11" s="423" t="s">
        <v>117</v>
      </c>
      <c r="E11" s="64" t="s">
        <v>50</v>
      </c>
      <c r="F11" s="99">
        <v>43603</v>
      </c>
      <c r="G11" s="64" t="s">
        <v>126</v>
      </c>
      <c r="H11" s="426" t="s">
        <v>1358</v>
      </c>
      <c r="I11" s="66">
        <v>16</v>
      </c>
    </row>
    <row r="12" spans="1:15" x14ac:dyDescent="0.35">
      <c r="A12" s="64" t="str">
        <f t="shared" si="0"/>
        <v>LOWERNORTHWest 1Match 3</v>
      </c>
      <c r="B12" s="64" t="s">
        <v>97</v>
      </c>
      <c r="C12" s="64" t="s">
        <v>200</v>
      </c>
      <c r="D12" s="423" t="s">
        <v>117</v>
      </c>
      <c r="E12" s="64" t="s">
        <v>51</v>
      </c>
      <c r="F12" s="99">
        <v>43638</v>
      </c>
      <c r="G12" s="64" t="s">
        <v>119</v>
      </c>
      <c r="H12" s="64" t="s">
        <v>192</v>
      </c>
      <c r="I12" s="66">
        <v>16</v>
      </c>
    </row>
    <row r="13" spans="1:15" x14ac:dyDescent="0.35">
      <c r="A13" s="64" t="str">
        <f t="shared" si="0"/>
        <v>LOWERNORTHWest 1Match 4</v>
      </c>
      <c r="B13" s="64" t="s">
        <v>97</v>
      </c>
      <c r="C13" s="64" t="s">
        <v>200</v>
      </c>
      <c r="D13" s="423" t="s">
        <v>117</v>
      </c>
      <c r="E13" s="64" t="s">
        <v>52</v>
      </c>
      <c r="F13" s="99">
        <v>43666</v>
      </c>
      <c r="G13" s="423" t="s">
        <v>1347</v>
      </c>
      <c r="H13" s="64" t="s">
        <v>986</v>
      </c>
      <c r="I13" s="66">
        <v>16</v>
      </c>
    </row>
    <row r="14" spans="1:15" x14ac:dyDescent="0.35">
      <c r="A14" s="64" t="str">
        <f t="shared" si="0"/>
        <v>LOWERNORTHWest 2Match 1</v>
      </c>
      <c r="B14" s="64" t="s">
        <v>97</v>
      </c>
      <c r="C14" s="64" t="s">
        <v>200</v>
      </c>
      <c r="D14" s="423" t="s">
        <v>120</v>
      </c>
      <c r="E14" s="64" t="s">
        <v>49</v>
      </c>
      <c r="F14" s="99">
        <v>43582</v>
      </c>
      <c r="G14" s="423" t="s">
        <v>124</v>
      </c>
      <c r="H14" s="426" t="s">
        <v>1359</v>
      </c>
      <c r="I14" s="66">
        <v>17</v>
      </c>
    </row>
    <row r="15" spans="1:15" x14ac:dyDescent="0.35">
      <c r="A15" s="64" t="str">
        <f t="shared" si="0"/>
        <v>LOWERNORTHWest 2Match 2</v>
      </c>
      <c r="B15" s="64" t="s">
        <v>97</v>
      </c>
      <c r="C15" s="64" t="s">
        <v>200</v>
      </c>
      <c r="D15" s="423" t="s">
        <v>120</v>
      </c>
      <c r="E15" s="64" t="s">
        <v>50</v>
      </c>
      <c r="F15" s="99">
        <v>43603</v>
      </c>
      <c r="G15" s="64" t="s">
        <v>125</v>
      </c>
      <c r="H15" s="426" t="s">
        <v>1360</v>
      </c>
      <c r="I15" s="66">
        <v>17</v>
      </c>
    </row>
    <row r="16" spans="1:15" x14ac:dyDescent="0.35">
      <c r="A16" s="64" t="str">
        <f t="shared" si="0"/>
        <v>LOWERNORTHWest 2Match 3</v>
      </c>
      <c r="B16" s="64" t="s">
        <v>97</v>
      </c>
      <c r="C16" s="64" t="s">
        <v>200</v>
      </c>
      <c r="D16" s="423" t="s">
        <v>120</v>
      </c>
      <c r="E16" s="64" t="s">
        <v>51</v>
      </c>
      <c r="F16" s="99">
        <v>43638</v>
      </c>
      <c r="G16" s="64" t="s">
        <v>593</v>
      </c>
      <c r="H16" s="426" t="s">
        <v>1361</v>
      </c>
      <c r="I16" s="66">
        <v>17</v>
      </c>
    </row>
    <row r="17" spans="1:9" x14ac:dyDescent="0.35">
      <c r="A17" s="64" t="str">
        <f t="shared" si="0"/>
        <v>LOWERNORTHWest 2Match 4</v>
      </c>
      <c r="B17" s="64" t="s">
        <v>97</v>
      </c>
      <c r="C17" s="64" t="s">
        <v>200</v>
      </c>
      <c r="D17" s="423" t="s">
        <v>120</v>
      </c>
      <c r="E17" s="64" t="s">
        <v>52</v>
      </c>
      <c r="F17" s="99">
        <v>43666</v>
      </c>
      <c r="G17" s="64" t="s">
        <v>1318</v>
      </c>
      <c r="H17" s="426" t="s">
        <v>1362</v>
      </c>
      <c r="I17" s="66">
        <v>17</v>
      </c>
    </row>
    <row r="18" spans="1:9" x14ac:dyDescent="0.35">
      <c r="A18" s="64" t="str">
        <f t="shared" si="0"/>
        <v>LOWERNORTHWest 3SMatch 1</v>
      </c>
      <c r="B18" s="64" t="s">
        <v>97</v>
      </c>
      <c r="C18" s="64" t="s">
        <v>200</v>
      </c>
      <c r="D18" s="64" t="s">
        <v>197</v>
      </c>
      <c r="E18" s="64" t="s">
        <v>49</v>
      </c>
      <c r="F18" s="99">
        <v>43582</v>
      </c>
      <c r="G18" s="64" t="s">
        <v>800</v>
      </c>
      <c r="H18" s="64" t="s">
        <v>987</v>
      </c>
      <c r="I18" s="66">
        <v>19</v>
      </c>
    </row>
    <row r="19" spans="1:9" x14ac:dyDescent="0.35">
      <c r="A19" s="64" t="str">
        <f t="shared" si="0"/>
        <v>LOWERNORTHWest 3SMatch 2</v>
      </c>
      <c r="B19" s="64" t="s">
        <v>97</v>
      </c>
      <c r="C19" s="64" t="s">
        <v>200</v>
      </c>
      <c r="D19" s="64" t="s">
        <v>197</v>
      </c>
      <c r="E19" s="64" t="s">
        <v>50</v>
      </c>
      <c r="F19" s="99">
        <v>43603</v>
      </c>
      <c r="G19" s="64" t="s">
        <v>127</v>
      </c>
      <c r="H19" s="64" t="s">
        <v>192</v>
      </c>
      <c r="I19" s="66">
        <v>19</v>
      </c>
    </row>
    <row r="20" spans="1:9" x14ac:dyDescent="0.35">
      <c r="A20" s="64" t="str">
        <f t="shared" si="0"/>
        <v>LOWERNORTHWest 3SMatch 3</v>
      </c>
      <c r="B20" s="64" t="s">
        <v>97</v>
      </c>
      <c r="C20" s="64" t="s">
        <v>200</v>
      </c>
      <c r="D20" s="64" t="s">
        <v>197</v>
      </c>
      <c r="E20" s="64" t="s">
        <v>51</v>
      </c>
      <c r="F20" s="99">
        <v>43638</v>
      </c>
      <c r="G20" s="64" t="s">
        <v>1319</v>
      </c>
      <c r="H20" s="426" t="s">
        <v>1357</v>
      </c>
      <c r="I20" s="66">
        <v>19</v>
      </c>
    </row>
    <row r="21" spans="1:9" x14ac:dyDescent="0.35">
      <c r="A21" s="64" t="str">
        <f t="shared" si="0"/>
        <v>LOWERNORTHWest 3SMatch 4</v>
      </c>
      <c r="B21" s="64" t="s">
        <v>97</v>
      </c>
      <c r="C21" s="64" t="s">
        <v>200</v>
      </c>
      <c r="D21" s="64" t="s">
        <v>197</v>
      </c>
      <c r="E21" s="64" t="s">
        <v>52</v>
      </c>
      <c r="F21" s="99">
        <v>43666</v>
      </c>
      <c r="G21" s="64" t="s">
        <v>123</v>
      </c>
      <c r="H21" s="64" t="s">
        <v>193</v>
      </c>
      <c r="I21" s="66">
        <v>19</v>
      </c>
    </row>
    <row r="22" spans="1:9" x14ac:dyDescent="0.35">
      <c r="A22" s="64" t="str">
        <f t="shared" si="0"/>
        <v>LOWERNORTHWest 3NMatch 1</v>
      </c>
      <c r="B22" s="64" t="s">
        <v>97</v>
      </c>
      <c r="C22" s="64" t="s">
        <v>200</v>
      </c>
      <c r="D22" s="64" t="s">
        <v>198</v>
      </c>
      <c r="E22" s="64" t="s">
        <v>49</v>
      </c>
      <c r="F22" s="99">
        <v>43582</v>
      </c>
      <c r="G22" s="64" t="s">
        <v>1288</v>
      </c>
      <c r="H22" s="383" t="s">
        <v>985</v>
      </c>
      <c r="I22" s="66">
        <v>18</v>
      </c>
    </row>
    <row r="23" spans="1:9" x14ac:dyDescent="0.35">
      <c r="A23" s="64" t="str">
        <f t="shared" si="0"/>
        <v>LOWERNORTHWest 3NMatch 2</v>
      </c>
      <c r="B23" s="64" t="s">
        <v>97</v>
      </c>
      <c r="C23" s="64" t="s">
        <v>200</v>
      </c>
      <c r="D23" s="64" t="s">
        <v>198</v>
      </c>
      <c r="E23" s="64" t="s">
        <v>50</v>
      </c>
      <c r="F23" s="99">
        <v>43603</v>
      </c>
      <c r="G23" s="64" t="s">
        <v>128</v>
      </c>
      <c r="H23" s="426" t="s">
        <v>1363</v>
      </c>
      <c r="I23" s="66">
        <v>18</v>
      </c>
    </row>
    <row r="24" spans="1:9" x14ac:dyDescent="0.35">
      <c r="A24" s="64" t="str">
        <f t="shared" si="0"/>
        <v>LOWERNORTHWest 3NMatch 3</v>
      </c>
      <c r="B24" s="64" t="s">
        <v>97</v>
      </c>
      <c r="C24" s="64" t="s">
        <v>200</v>
      </c>
      <c r="D24" s="64" t="s">
        <v>198</v>
      </c>
      <c r="E24" s="64" t="s">
        <v>51</v>
      </c>
      <c r="F24" s="99">
        <v>43638</v>
      </c>
      <c r="G24" s="64" t="s">
        <v>1316</v>
      </c>
      <c r="H24" s="100" t="s">
        <v>191</v>
      </c>
      <c r="I24" s="66">
        <v>18</v>
      </c>
    </row>
    <row r="25" spans="1:9" x14ac:dyDescent="0.35">
      <c r="A25" s="64" t="str">
        <f t="shared" si="0"/>
        <v>LOWERNORTHWest 3NMatch 4</v>
      </c>
      <c r="B25" s="64" t="s">
        <v>97</v>
      </c>
      <c r="C25" s="64" t="s">
        <v>200</v>
      </c>
      <c r="D25" s="64" t="s">
        <v>198</v>
      </c>
      <c r="E25" s="64" t="s">
        <v>52</v>
      </c>
      <c r="F25" s="99">
        <v>43666</v>
      </c>
      <c r="G25" s="64" t="s">
        <v>1328</v>
      </c>
      <c r="H25" s="426" t="s">
        <v>1364</v>
      </c>
      <c r="I25" s="66">
        <v>18</v>
      </c>
    </row>
    <row r="26" spans="1:9" x14ac:dyDescent="0.35">
      <c r="A26" s="64" t="str">
        <f t="shared" si="0"/>
        <v>LOWERNORTHEast 1Match 1</v>
      </c>
      <c r="B26" s="64" t="s">
        <v>97</v>
      </c>
      <c r="C26" s="64" t="s">
        <v>200</v>
      </c>
      <c r="D26" s="64" t="s">
        <v>109</v>
      </c>
      <c r="E26" s="64" t="s">
        <v>49</v>
      </c>
      <c r="F26" s="99">
        <v>43582</v>
      </c>
      <c r="G26" s="64" t="s">
        <v>98</v>
      </c>
      <c r="H26" s="426" t="s">
        <v>199</v>
      </c>
      <c r="I26" s="66">
        <v>12</v>
      </c>
    </row>
    <row r="27" spans="1:9" x14ac:dyDescent="0.35">
      <c r="A27" s="64" t="str">
        <f t="shared" si="0"/>
        <v>LOWERNORTHEast 1Match 2</v>
      </c>
      <c r="B27" s="64" t="s">
        <v>97</v>
      </c>
      <c r="C27" s="64" t="s">
        <v>200</v>
      </c>
      <c r="D27" s="64" t="s">
        <v>109</v>
      </c>
      <c r="E27" s="64" t="s">
        <v>50</v>
      </c>
      <c r="F27" s="99">
        <v>43603</v>
      </c>
      <c r="G27" s="64" t="s">
        <v>112</v>
      </c>
      <c r="H27" s="426" t="s">
        <v>194</v>
      </c>
      <c r="I27" s="66">
        <v>12</v>
      </c>
    </row>
    <row r="28" spans="1:9" x14ac:dyDescent="0.35">
      <c r="A28" s="64" t="str">
        <f t="shared" si="0"/>
        <v>LOWERNORTHEast 1Match 3</v>
      </c>
      <c r="B28" s="64" t="s">
        <v>97</v>
      </c>
      <c r="C28" s="64" t="s">
        <v>200</v>
      </c>
      <c r="D28" s="64" t="s">
        <v>109</v>
      </c>
      <c r="E28" s="64" t="s">
        <v>51</v>
      </c>
      <c r="F28" s="99">
        <v>43638</v>
      </c>
      <c r="G28" s="64" t="s">
        <v>594</v>
      </c>
      <c r="H28" s="426" t="s">
        <v>190</v>
      </c>
      <c r="I28" s="66">
        <v>12</v>
      </c>
    </row>
    <row r="29" spans="1:9" x14ac:dyDescent="0.35">
      <c r="A29" s="64" t="str">
        <f t="shared" si="0"/>
        <v>LOWERNORTHEast 1Match 4</v>
      </c>
      <c r="B29" s="64" t="s">
        <v>97</v>
      </c>
      <c r="C29" s="64" t="s">
        <v>200</v>
      </c>
      <c r="D29" s="64" t="s">
        <v>109</v>
      </c>
      <c r="E29" s="64" t="s">
        <v>52</v>
      </c>
      <c r="F29" s="99">
        <v>43666</v>
      </c>
      <c r="G29" s="64" t="s">
        <v>115</v>
      </c>
      <c r="H29" s="426" t="s">
        <v>195</v>
      </c>
      <c r="I29" s="66">
        <v>12</v>
      </c>
    </row>
    <row r="30" spans="1:9" x14ac:dyDescent="0.35">
      <c r="A30" s="64" t="str">
        <f t="shared" si="0"/>
        <v>LOWERNORTHEast 2Match 1</v>
      </c>
      <c r="B30" s="64" t="s">
        <v>97</v>
      </c>
      <c r="C30" s="64" t="s">
        <v>200</v>
      </c>
      <c r="D30" s="64" t="s">
        <v>113</v>
      </c>
      <c r="E30" s="64" t="s">
        <v>49</v>
      </c>
      <c r="F30" s="99">
        <v>43582</v>
      </c>
      <c r="G30" s="64" t="s">
        <v>110</v>
      </c>
      <c r="H30" s="426" t="s">
        <v>199</v>
      </c>
      <c r="I30" s="66">
        <v>13</v>
      </c>
    </row>
    <row r="31" spans="1:9" x14ac:dyDescent="0.35">
      <c r="A31" s="64" t="str">
        <f t="shared" si="0"/>
        <v>LOWERNORTHEast 2Match 2</v>
      </c>
      <c r="B31" s="64" t="s">
        <v>97</v>
      </c>
      <c r="C31" s="64" t="s">
        <v>200</v>
      </c>
      <c r="D31" s="64" t="s">
        <v>113</v>
      </c>
      <c r="E31" s="64" t="s">
        <v>50</v>
      </c>
      <c r="F31" s="99">
        <v>43603</v>
      </c>
      <c r="G31" s="64" t="s">
        <v>1285</v>
      </c>
      <c r="H31" s="426" t="s">
        <v>194</v>
      </c>
      <c r="I31" s="66">
        <v>13</v>
      </c>
    </row>
    <row r="32" spans="1:9" x14ac:dyDescent="0.35">
      <c r="A32" s="64" t="str">
        <f t="shared" si="0"/>
        <v>LOWERNORTHEast 2Match 3</v>
      </c>
      <c r="B32" s="64" t="s">
        <v>97</v>
      </c>
      <c r="C32" s="64" t="s">
        <v>200</v>
      </c>
      <c r="D32" s="64" t="s">
        <v>113</v>
      </c>
      <c r="E32" s="64" t="s">
        <v>51</v>
      </c>
      <c r="F32" s="99">
        <v>43638</v>
      </c>
      <c r="G32" s="425" t="s">
        <v>1306</v>
      </c>
      <c r="H32" s="426" t="s">
        <v>190</v>
      </c>
      <c r="I32" s="66">
        <v>13</v>
      </c>
    </row>
    <row r="33" spans="1:13" x14ac:dyDescent="0.35">
      <c r="A33" s="64" t="str">
        <f t="shared" si="0"/>
        <v>LOWERNORTHEast 2Match 4</v>
      </c>
      <c r="B33" s="64" t="s">
        <v>97</v>
      </c>
      <c r="C33" s="64" t="s">
        <v>200</v>
      </c>
      <c r="D33" s="64" t="s">
        <v>113</v>
      </c>
      <c r="E33" s="64" t="s">
        <v>52</v>
      </c>
      <c r="F33" s="99">
        <v>43666</v>
      </c>
      <c r="G33" s="64" t="s">
        <v>114</v>
      </c>
      <c r="H33" s="426" t="s">
        <v>195</v>
      </c>
      <c r="I33" s="66">
        <v>13</v>
      </c>
    </row>
    <row r="35" spans="1:13" x14ac:dyDescent="0.35">
      <c r="A35" s="64" t="str">
        <f t="shared" si="0"/>
        <v>LOWERSOUTHCentral 1Match 1</v>
      </c>
      <c r="B35" s="64" t="s">
        <v>97</v>
      </c>
      <c r="C35" s="64" t="s">
        <v>335</v>
      </c>
      <c r="D35" s="64" t="s">
        <v>341</v>
      </c>
      <c r="E35" s="64" t="s">
        <v>49</v>
      </c>
      <c r="F35" s="99">
        <v>43582</v>
      </c>
      <c r="G35" s="64" t="s">
        <v>342</v>
      </c>
      <c r="H35" s="426" t="s">
        <v>1365</v>
      </c>
      <c r="I35" s="66">
        <v>23</v>
      </c>
    </row>
    <row r="36" spans="1:13" x14ac:dyDescent="0.35">
      <c r="A36" s="64" t="str">
        <f t="shared" si="0"/>
        <v>LOWERSOUTHCentral 1Match 2</v>
      </c>
      <c r="B36" s="64" t="s">
        <v>97</v>
      </c>
      <c r="C36" s="64" t="s">
        <v>335</v>
      </c>
      <c r="D36" s="64" t="s">
        <v>341</v>
      </c>
      <c r="E36" s="64" t="s">
        <v>50</v>
      </c>
      <c r="F36" s="99">
        <v>43603</v>
      </c>
      <c r="G36" s="64" t="s">
        <v>352</v>
      </c>
      <c r="H36" s="426" t="s">
        <v>1366</v>
      </c>
      <c r="I36" s="66">
        <v>23</v>
      </c>
    </row>
    <row r="37" spans="1:13" x14ac:dyDescent="0.35">
      <c r="A37" s="64" t="str">
        <f t="shared" si="0"/>
        <v>LOWERSOUTHCentral 1Match 3</v>
      </c>
      <c r="B37" s="64" t="s">
        <v>97</v>
      </c>
      <c r="C37" s="64" t="s">
        <v>335</v>
      </c>
      <c r="D37" s="64" t="s">
        <v>341</v>
      </c>
      <c r="E37" s="64" t="s">
        <v>51</v>
      </c>
      <c r="F37" s="99">
        <v>43638</v>
      </c>
      <c r="G37" s="64" t="s">
        <v>973</v>
      </c>
      <c r="H37" s="426" t="s">
        <v>1367</v>
      </c>
      <c r="I37" s="66">
        <v>23</v>
      </c>
    </row>
    <row r="38" spans="1:13" x14ac:dyDescent="0.35">
      <c r="A38" s="64" t="str">
        <f t="shared" si="0"/>
        <v>LOWERSOUTHCentral 1Match 4</v>
      </c>
      <c r="B38" s="64" t="s">
        <v>97</v>
      </c>
      <c r="C38" s="64" t="s">
        <v>335</v>
      </c>
      <c r="D38" s="64" t="s">
        <v>341</v>
      </c>
      <c r="E38" s="64" t="s">
        <v>52</v>
      </c>
      <c r="F38" s="99">
        <v>43666</v>
      </c>
      <c r="G38" s="64" t="s">
        <v>343</v>
      </c>
      <c r="H38" s="64" t="s">
        <v>581</v>
      </c>
      <c r="I38" s="66">
        <v>23</v>
      </c>
    </row>
    <row r="39" spans="1:13" x14ac:dyDescent="0.35">
      <c r="A39" s="64" t="str">
        <f t="shared" si="0"/>
        <v>LOWERSOUTHCentral 2Match 1</v>
      </c>
      <c r="B39" s="64" t="s">
        <v>97</v>
      </c>
      <c r="C39" s="64" t="s">
        <v>335</v>
      </c>
      <c r="D39" s="64" t="s">
        <v>357</v>
      </c>
      <c r="E39" s="64" t="s">
        <v>49</v>
      </c>
      <c r="F39" s="99">
        <v>43582</v>
      </c>
      <c r="G39" s="64" t="s">
        <v>934</v>
      </c>
      <c r="H39" s="64" t="s">
        <v>994</v>
      </c>
      <c r="I39" s="66">
        <v>24</v>
      </c>
    </row>
    <row r="40" spans="1:13" x14ac:dyDescent="0.35">
      <c r="A40" s="64" t="str">
        <f t="shared" ref="A40:A76" si="2">B40&amp;C40&amp;D40&amp;E40</f>
        <v>LOWERSOUTHCentral 2Match 2</v>
      </c>
      <c r="B40" s="64" t="s">
        <v>97</v>
      </c>
      <c r="C40" s="64" t="s">
        <v>335</v>
      </c>
      <c r="D40" s="64" t="s">
        <v>357</v>
      </c>
      <c r="E40" s="64" t="s">
        <v>50</v>
      </c>
      <c r="F40" s="99">
        <v>43603</v>
      </c>
      <c r="G40" s="64" t="s">
        <v>368</v>
      </c>
      <c r="H40" s="426" t="s">
        <v>1368</v>
      </c>
      <c r="I40" s="66">
        <v>24</v>
      </c>
    </row>
    <row r="41" spans="1:13" x14ac:dyDescent="0.35">
      <c r="A41" s="64" t="str">
        <f t="shared" si="2"/>
        <v>LOWERSOUTHCentral 2Match 3</v>
      </c>
      <c r="B41" s="64" t="s">
        <v>97</v>
      </c>
      <c r="C41" s="64" t="s">
        <v>335</v>
      </c>
      <c r="D41" s="64" t="s">
        <v>357</v>
      </c>
      <c r="E41" s="64" t="s">
        <v>51</v>
      </c>
      <c r="F41" s="99">
        <v>43638</v>
      </c>
      <c r="G41" s="64" t="s">
        <v>351</v>
      </c>
      <c r="H41" s="64" t="s">
        <v>585</v>
      </c>
      <c r="I41" s="66">
        <v>24</v>
      </c>
    </row>
    <row r="42" spans="1:13" x14ac:dyDescent="0.35">
      <c r="A42" s="64" t="str">
        <f t="shared" si="2"/>
        <v>LOWERSOUTHCentral 2Match 4</v>
      </c>
      <c r="B42" s="64" t="s">
        <v>97</v>
      </c>
      <c r="C42" s="64" t="s">
        <v>335</v>
      </c>
      <c r="D42" s="64" t="s">
        <v>357</v>
      </c>
      <c r="E42" s="64" t="s">
        <v>52</v>
      </c>
      <c r="F42" s="99">
        <v>43666</v>
      </c>
      <c r="G42" s="64" t="s">
        <v>1310</v>
      </c>
      <c r="H42" s="426" t="s">
        <v>1369</v>
      </c>
      <c r="I42" s="66">
        <v>24</v>
      </c>
    </row>
    <row r="43" spans="1:13" x14ac:dyDescent="0.35">
      <c r="A43" s="64" t="str">
        <f t="shared" si="2"/>
        <v>LOWERSOUTHEast 1Match 1</v>
      </c>
      <c r="B43" s="64" t="s">
        <v>97</v>
      </c>
      <c r="C43" s="64" t="s">
        <v>335</v>
      </c>
      <c r="D43" s="64" t="s">
        <v>109</v>
      </c>
      <c r="E43" s="64" t="s">
        <v>49</v>
      </c>
      <c r="F43" s="99">
        <v>43582</v>
      </c>
      <c r="G43" s="64" t="s">
        <v>1349</v>
      </c>
      <c r="H43" s="64" t="s">
        <v>990</v>
      </c>
      <c r="I43" s="66">
        <v>25</v>
      </c>
    </row>
    <row r="44" spans="1:13" x14ac:dyDescent="0.35">
      <c r="A44" s="64" t="str">
        <f t="shared" si="2"/>
        <v>LOWERSOUTHEast 1Match 2</v>
      </c>
      <c r="B44" s="64" t="s">
        <v>97</v>
      </c>
      <c r="C44" s="64" t="s">
        <v>335</v>
      </c>
      <c r="D44" s="64" t="s">
        <v>109</v>
      </c>
      <c r="E44" s="64" t="s">
        <v>50</v>
      </c>
      <c r="F44" s="99">
        <v>43603</v>
      </c>
      <c r="G44" s="64" t="s">
        <v>355</v>
      </c>
      <c r="H44" s="426" t="s">
        <v>1370</v>
      </c>
      <c r="I44" s="66">
        <v>25</v>
      </c>
    </row>
    <row r="45" spans="1:13" x14ac:dyDescent="0.35">
      <c r="A45" s="64" t="str">
        <f t="shared" si="2"/>
        <v>LOWERSOUTHEast 1Match 3</v>
      </c>
      <c r="B45" s="64" t="s">
        <v>97</v>
      </c>
      <c r="C45" s="64" t="s">
        <v>335</v>
      </c>
      <c r="D45" s="64" t="s">
        <v>109</v>
      </c>
      <c r="E45" s="64" t="s">
        <v>51</v>
      </c>
      <c r="F45" s="99">
        <v>43638</v>
      </c>
      <c r="G45" s="64" t="s">
        <v>344</v>
      </c>
      <c r="H45" s="100" t="s">
        <v>582</v>
      </c>
      <c r="I45" s="66">
        <v>25</v>
      </c>
      <c r="M45" s="423"/>
    </row>
    <row r="46" spans="1:13" x14ac:dyDescent="0.35">
      <c r="A46" s="64" t="str">
        <f t="shared" si="2"/>
        <v>LOWERSOUTHEast 1Match 4</v>
      </c>
      <c r="B46" s="64" t="s">
        <v>97</v>
      </c>
      <c r="C46" s="64" t="s">
        <v>335</v>
      </c>
      <c r="D46" s="64" t="s">
        <v>109</v>
      </c>
      <c r="E46" s="64" t="s">
        <v>52</v>
      </c>
      <c r="F46" s="99">
        <v>43666</v>
      </c>
      <c r="G46" s="425" t="s">
        <v>975</v>
      </c>
      <c r="H46" s="426" t="s">
        <v>988</v>
      </c>
      <c r="I46" s="66">
        <v>25</v>
      </c>
    </row>
    <row r="47" spans="1:13" x14ac:dyDescent="0.35">
      <c r="A47" s="64" t="str">
        <f t="shared" si="2"/>
        <v>LOWERSOUTHEast 2Match 1</v>
      </c>
      <c r="B47" s="64" t="s">
        <v>97</v>
      </c>
      <c r="C47" s="64" t="s">
        <v>335</v>
      </c>
      <c r="D47" s="64" t="s">
        <v>113</v>
      </c>
      <c r="E47" s="64" t="s">
        <v>49</v>
      </c>
      <c r="F47" s="99">
        <v>43582</v>
      </c>
      <c r="G47" s="425" t="s">
        <v>1282</v>
      </c>
      <c r="H47" s="64" t="s">
        <v>989</v>
      </c>
      <c r="I47" s="66">
        <v>26</v>
      </c>
    </row>
    <row r="48" spans="1:13" x14ac:dyDescent="0.35">
      <c r="A48" s="64" t="str">
        <f t="shared" si="2"/>
        <v>LOWERSOUTHEast 2Match 2</v>
      </c>
      <c r="B48" s="64" t="s">
        <v>97</v>
      </c>
      <c r="C48" s="64" t="s">
        <v>335</v>
      </c>
      <c r="D48" s="64" t="s">
        <v>113</v>
      </c>
      <c r="E48" s="64" t="s">
        <v>50</v>
      </c>
      <c r="F48" s="99">
        <v>43603</v>
      </c>
      <c r="G48" s="64" t="s">
        <v>345</v>
      </c>
      <c r="H48" s="426" t="s">
        <v>583</v>
      </c>
      <c r="I48" s="66">
        <v>26</v>
      </c>
    </row>
    <row r="49" spans="1:9" x14ac:dyDescent="0.35">
      <c r="A49" s="64" t="str">
        <f t="shared" si="2"/>
        <v>LOWERSOUTHEast 2Match 3</v>
      </c>
      <c r="B49" s="64" t="s">
        <v>97</v>
      </c>
      <c r="C49" s="64" t="s">
        <v>335</v>
      </c>
      <c r="D49" s="64" t="s">
        <v>113</v>
      </c>
      <c r="E49" s="64" t="s">
        <v>51</v>
      </c>
      <c r="F49" s="99">
        <v>43639</v>
      </c>
      <c r="G49" s="64" t="s">
        <v>371</v>
      </c>
      <c r="H49" s="64" t="s">
        <v>989</v>
      </c>
      <c r="I49" s="66">
        <v>26</v>
      </c>
    </row>
    <row r="50" spans="1:9" x14ac:dyDescent="0.35">
      <c r="A50" s="64" t="str">
        <f t="shared" ref="A50" si="3">B50&amp;C50&amp;D50&amp;E50</f>
        <v>LOWERSOUTHEast 2Match 4</v>
      </c>
      <c r="B50" s="64" t="s">
        <v>97</v>
      </c>
      <c r="C50" s="64" t="s">
        <v>335</v>
      </c>
      <c r="D50" s="64" t="s">
        <v>113</v>
      </c>
      <c r="E50" s="382" t="s">
        <v>52</v>
      </c>
      <c r="F50" s="99">
        <v>43666</v>
      </c>
      <c r="G50" s="64" t="s">
        <v>345</v>
      </c>
      <c r="H50" s="426" t="s">
        <v>583</v>
      </c>
      <c r="I50" s="66">
        <v>26</v>
      </c>
    </row>
    <row r="51" spans="1:9" ht="15" customHeight="1" x14ac:dyDescent="0.35">
      <c r="A51" s="64" t="str">
        <f t="shared" si="2"/>
        <v>LOWERSOUTHPremier 1Match 1</v>
      </c>
      <c r="B51" s="64" t="s">
        <v>97</v>
      </c>
      <c r="C51" s="64" t="s">
        <v>335</v>
      </c>
      <c r="D51" s="64" t="s">
        <v>336</v>
      </c>
      <c r="E51" s="64" t="s">
        <v>49</v>
      </c>
      <c r="F51" s="99">
        <v>43582</v>
      </c>
      <c r="G51" s="64" t="s">
        <v>365</v>
      </c>
      <c r="H51" s="100" t="s">
        <v>993</v>
      </c>
      <c r="I51" s="66">
        <v>27</v>
      </c>
    </row>
    <row r="52" spans="1:9" ht="15" customHeight="1" x14ac:dyDescent="0.35">
      <c r="A52" s="64" t="str">
        <f t="shared" si="2"/>
        <v>LOWERSOUTHPremier 1Match 2</v>
      </c>
      <c r="B52" s="64" t="s">
        <v>97</v>
      </c>
      <c r="C52" s="64" t="s">
        <v>335</v>
      </c>
      <c r="D52" s="64" t="s">
        <v>336</v>
      </c>
      <c r="E52" s="64" t="s">
        <v>50</v>
      </c>
      <c r="F52" s="99">
        <v>43603</v>
      </c>
      <c r="G52" s="64" t="s">
        <v>361</v>
      </c>
      <c r="H52" s="64" t="s">
        <v>992</v>
      </c>
      <c r="I52" s="66">
        <v>27</v>
      </c>
    </row>
    <row r="53" spans="1:9" ht="15" customHeight="1" x14ac:dyDescent="0.35">
      <c r="A53" s="64" t="str">
        <f t="shared" si="2"/>
        <v>LOWERSOUTHPremier 1Match 3</v>
      </c>
      <c r="B53" s="64" t="s">
        <v>97</v>
      </c>
      <c r="C53" s="64" t="s">
        <v>335</v>
      </c>
      <c r="D53" s="64" t="s">
        <v>336</v>
      </c>
      <c r="E53" s="64" t="s">
        <v>51</v>
      </c>
      <c r="F53" s="99">
        <v>43639</v>
      </c>
      <c r="G53" s="64" t="s">
        <v>346</v>
      </c>
      <c r="H53" s="64" t="s">
        <v>991</v>
      </c>
      <c r="I53" s="66">
        <v>27</v>
      </c>
    </row>
    <row r="54" spans="1:9" ht="15" customHeight="1" x14ac:dyDescent="0.35">
      <c r="A54" s="64" t="str">
        <f t="shared" si="2"/>
        <v>LOWERSOUTHPremier 1Match 4</v>
      </c>
      <c r="B54" s="64" t="s">
        <v>97</v>
      </c>
      <c r="C54" s="64" t="s">
        <v>335</v>
      </c>
      <c r="D54" s="64" t="s">
        <v>336</v>
      </c>
      <c r="E54" s="64" t="s">
        <v>52</v>
      </c>
      <c r="F54" s="99">
        <v>43666</v>
      </c>
      <c r="G54" s="64" t="s">
        <v>950</v>
      </c>
      <c r="H54" s="100" t="s">
        <v>580</v>
      </c>
      <c r="I54" s="66">
        <v>27</v>
      </c>
    </row>
    <row r="55" spans="1:9" ht="15" customHeight="1" x14ac:dyDescent="0.35">
      <c r="A55" s="64" t="str">
        <f>B55&amp;C55&amp;D55&amp;E55</f>
        <v>LOWERSOUTHPremier 2Match 1</v>
      </c>
      <c r="B55" s="64" t="s">
        <v>97</v>
      </c>
      <c r="C55" s="64" t="s">
        <v>335</v>
      </c>
      <c r="D55" s="64" t="s">
        <v>356</v>
      </c>
      <c r="E55" s="64" t="s">
        <v>49</v>
      </c>
      <c r="F55" s="99">
        <v>43582</v>
      </c>
      <c r="G55" s="423" t="s">
        <v>338</v>
      </c>
      <c r="H55" s="426" t="s">
        <v>1371</v>
      </c>
      <c r="I55" s="66">
        <v>28</v>
      </c>
    </row>
    <row r="56" spans="1:9" ht="15" customHeight="1" x14ac:dyDescent="0.35">
      <c r="A56" s="64" t="str">
        <f>B56&amp;C56&amp;D56&amp;E56</f>
        <v>LOWERSOUTHPremier 2Match 2</v>
      </c>
      <c r="B56" s="64" t="s">
        <v>97</v>
      </c>
      <c r="C56" s="64" t="s">
        <v>335</v>
      </c>
      <c r="D56" s="64" t="s">
        <v>356</v>
      </c>
      <c r="E56" s="64" t="s">
        <v>50</v>
      </c>
      <c r="F56" s="99">
        <v>43603</v>
      </c>
      <c r="G56" s="64" t="s">
        <v>337</v>
      </c>
      <c r="H56" s="64" t="s">
        <v>579</v>
      </c>
      <c r="I56" s="66">
        <v>28</v>
      </c>
    </row>
    <row r="57" spans="1:9" ht="15" customHeight="1" x14ac:dyDescent="0.35">
      <c r="A57" s="64" t="str">
        <f>B57&amp;C57&amp;D57&amp;E57</f>
        <v>LOWERSOUTHPremier 2Match 3</v>
      </c>
      <c r="B57" s="64" t="s">
        <v>97</v>
      </c>
      <c r="C57" s="64" t="s">
        <v>335</v>
      </c>
      <c r="D57" s="64" t="s">
        <v>356</v>
      </c>
      <c r="E57" s="64" t="s">
        <v>51</v>
      </c>
      <c r="F57" s="99">
        <v>43639</v>
      </c>
      <c r="G57" s="64" t="s">
        <v>1015</v>
      </c>
      <c r="H57" s="426" t="s">
        <v>1372</v>
      </c>
      <c r="I57" s="66">
        <v>28</v>
      </c>
    </row>
    <row r="58" spans="1:9" ht="15" customHeight="1" x14ac:dyDescent="0.35">
      <c r="A58" s="64" t="str">
        <f>B58&amp;C58&amp;D58&amp;E58</f>
        <v>LOWERSOUTHPremier 2Match 4</v>
      </c>
      <c r="B58" s="64" t="s">
        <v>97</v>
      </c>
      <c r="C58" s="64" t="s">
        <v>335</v>
      </c>
      <c r="D58" s="64" t="s">
        <v>356</v>
      </c>
      <c r="E58" s="64" t="s">
        <v>52</v>
      </c>
      <c r="F58" s="99">
        <v>43666</v>
      </c>
      <c r="G58" s="64" t="s">
        <v>339</v>
      </c>
      <c r="H58" s="426" t="s">
        <v>1373</v>
      </c>
      <c r="I58" s="66">
        <v>28</v>
      </c>
    </row>
    <row r="59" spans="1:9" ht="15" customHeight="1" x14ac:dyDescent="0.35">
      <c r="A59" s="64" t="str">
        <f t="shared" si="2"/>
        <v>LOWERSOUTHWest 1Match 1</v>
      </c>
      <c r="B59" s="64" t="s">
        <v>97</v>
      </c>
      <c r="C59" s="64" t="s">
        <v>335</v>
      </c>
      <c r="D59" s="64" t="s">
        <v>117</v>
      </c>
      <c r="E59" s="64" t="s">
        <v>49</v>
      </c>
      <c r="F59" s="99">
        <v>43582</v>
      </c>
      <c r="G59" s="64" t="s">
        <v>367</v>
      </c>
      <c r="H59" s="64" t="s">
        <v>996</v>
      </c>
      <c r="I59" s="66">
        <v>29</v>
      </c>
    </row>
    <row r="60" spans="1:9" ht="15" customHeight="1" x14ac:dyDescent="0.35">
      <c r="A60" s="64" t="str">
        <f t="shared" si="2"/>
        <v>LOWERSOUTHWest 1Match 2</v>
      </c>
      <c r="B60" s="64" t="s">
        <v>97</v>
      </c>
      <c r="C60" s="64" t="s">
        <v>335</v>
      </c>
      <c r="D60" s="64" t="s">
        <v>117</v>
      </c>
      <c r="E60" s="64" t="s">
        <v>50</v>
      </c>
      <c r="F60" s="99">
        <v>43603</v>
      </c>
      <c r="G60" s="425" t="s">
        <v>595</v>
      </c>
      <c r="H60" s="64" t="s">
        <v>995</v>
      </c>
      <c r="I60" s="66">
        <v>29</v>
      </c>
    </row>
    <row r="61" spans="1:9" ht="15" customHeight="1" x14ac:dyDescent="0.35">
      <c r="A61" s="64" t="str">
        <f t="shared" si="2"/>
        <v>LOWERSOUTHWest 1Match 3</v>
      </c>
      <c r="B61" s="64" t="s">
        <v>97</v>
      </c>
      <c r="C61" s="64" t="s">
        <v>335</v>
      </c>
      <c r="D61" s="64" t="s">
        <v>117</v>
      </c>
      <c r="E61" s="64" t="s">
        <v>51</v>
      </c>
      <c r="F61" s="99">
        <v>43638</v>
      </c>
      <c r="G61" s="425" t="s">
        <v>1289</v>
      </c>
      <c r="H61" s="64" t="s">
        <v>997</v>
      </c>
      <c r="I61" s="66">
        <v>29</v>
      </c>
    </row>
    <row r="62" spans="1:9" ht="15" customHeight="1" x14ac:dyDescent="0.35">
      <c r="A62" s="64" t="str">
        <f t="shared" si="2"/>
        <v>LOWERSOUTHWest 1Match 4</v>
      </c>
      <c r="B62" s="64" t="s">
        <v>97</v>
      </c>
      <c r="C62" s="64" t="s">
        <v>335</v>
      </c>
      <c r="D62" s="64" t="s">
        <v>117</v>
      </c>
      <c r="E62" s="64" t="s">
        <v>52</v>
      </c>
      <c r="F62" s="99">
        <v>43666</v>
      </c>
      <c r="G62" s="425" t="s">
        <v>798</v>
      </c>
      <c r="H62" s="426" t="s">
        <v>1374</v>
      </c>
      <c r="I62" s="66">
        <v>29</v>
      </c>
    </row>
    <row r="63" spans="1:9" ht="15" customHeight="1" x14ac:dyDescent="0.35">
      <c r="A63" s="64" t="str">
        <f t="shared" si="2"/>
        <v>LOWERSOUTHWest 2Match 1</v>
      </c>
      <c r="B63" s="64" t="s">
        <v>97</v>
      </c>
      <c r="C63" s="64" t="s">
        <v>335</v>
      </c>
      <c r="D63" s="64" t="s">
        <v>120</v>
      </c>
      <c r="E63" s="64" t="s">
        <v>49</v>
      </c>
      <c r="F63" s="99">
        <v>43582</v>
      </c>
      <c r="G63" s="64" t="s">
        <v>978</v>
      </c>
      <c r="H63" s="426" t="s">
        <v>1375</v>
      </c>
      <c r="I63" s="66">
        <v>30</v>
      </c>
    </row>
    <row r="64" spans="1:9" ht="15" customHeight="1" x14ac:dyDescent="0.35">
      <c r="A64" s="64" t="str">
        <f t="shared" si="2"/>
        <v>LOWERSOUTHWest 2Match 2</v>
      </c>
      <c r="B64" s="64" t="s">
        <v>97</v>
      </c>
      <c r="C64" s="64" t="s">
        <v>335</v>
      </c>
      <c r="D64" s="64" t="s">
        <v>120</v>
      </c>
      <c r="E64" s="64" t="s">
        <v>50</v>
      </c>
      <c r="F64" s="99">
        <v>43603</v>
      </c>
      <c r="G64" s="64" t="s">
        <v>349</v>
      </c>
      <c r="H64" s="100" t="s">
        <v>584</v>
      </c>
      <c r="I64" s="66">
        <v>30</v>
      </c>
    </row>
    <row r="65" spans="1:13" ht="15" customHeight="1" x14ac:dyDescent="0.35">
      <c r="A65" s="64" t="str">
        <f t="shared" si="2"/>
        <v>LOWERSOUTHWest 2Match 3</v>
      </c>
      <c r="B65" s="64" t="s">
        <v>97</v>
      </c>
      <c r="C65" s="64" t="s">
        <v>335</v>
      </c>
      <c r="D65" s="64" t="s">
        <v>120</v>
      </c>
      <c r="E65" s="64" t="s">
        <v>51</v>
      </c>
      <c r="F65" s="99">
        <v>43639</v>
      </c>
      <c r="G65" s="64" t="s">
        <v>349</v>
      </c>
      <c r="H65" s="100" t="s">
        <v>584</v>
      </c>
      <c r="I65" s="66">
        <v>30</v>
      </c>
    </row>
    <row r="66" spans="1:13" ht="15" customHeight="1" x14ac:dyDescent="0.35">
      <c r="A66" s="64" t="str">
        <f t="shared" si="2"/>
        <v>LOWERSOUTHWest 2Match 4</v>
      </c>
      <c r="B66" s="64" t="s">
        <v>97</v>
      </c>
      <c r="C66" s="64" t="s">
        <v>335</v>
      </c>
      <c r="D66" s="64" t="s">
        <v>120</v>
      </c>
      <c r="E66" s="64" t="s">
        <v>52</v>
      </c>
      <c r="F66" s="99">
        <v>43666</v>
      </c>
      <c r="G66" s="423" t="s">
        <v>1351</v>
      </c>
      <c r="H66" s="64" t="s">
        <v>998</v>
      </c>
      <c r="I66" s="66">
        <v>30</v>
      </c>
    </row>
    <row r="67" spans="1:13" ht="15" customHeight="1" x14ac:dyDescent="0.35"/>
    <row r="68" spans="1:13" ht="15" customHeight="1" x14ac:dyDescent="0.35">
      <c r="A68" s="64" t="str">
        <f t="shared" si="2"/>
        <v>LOWERMIDLANDNorth/East 1aMatch 1</v>
      </c>
      <c r="B68" s="64" t="s">
        <v>97</v>
      </c>
      <c r="C68" s="64" t="s">
        <v>419</v>
      </c>
      <c r="D68" s="64" t="s">
        <v>999</v>
      </c>
      <c r="E68" s="64" t="s">
        <v>49</v>
      </c>
      <c r="F68" s="99">
        <v>43582</v>
      </c>
      <c r="G68" s="64" t="s">
        <v>384</v>
      </c>
      <c r="H68" s="64" t="s">
        <v>1002</v>
      </c>
      <c r="I68" s="66">
        <v>1</v>
      </c>
    </row>
    <row r="69" spans="1:13" ht="15" customHeight="1" x14ac:dyDescent="0.35">
      <c r="A69" s="64" t="str">
        <f t="shared" si="2"/>
        <v>LOWERMIDLANDNorth/East 1aMatch 2</v>
      </c>
      <c r="B69" s="64" t="s">
        <v>97</v>
      </c>
      <c r="C69" s="64" t="s">
        <v>419</v>
      </c>
      <c r="D69" s="64" t="s">
        <v>999</v>
      </c>
      <c r="E69" s="64" t="s">
        <v>50</v>
      </c>
      <c r="F69" s="99">
        <v>43603</v>
      </c>
      <c r="G69" s="64" t="s">
        <v>382</v>
      </c>
      <c r="H69" s="64" t="s">
        <v>587</v>
      </c>
      <c r="I69" s="66">
        <v>1</v>
      </c>
    </row>
    <row r="70" spans="1:13" ht="15" customHeight="1" x14ac:dyDescent="0.35">
      <c r="A70" s="64" t="str">
        <f t="shared" si="2"/>
        <v>LOWERMIDLANDNorth/East 1aMatch 3</v>
      </c>
      <c r="B70" s="64" t="s">
        <v>97</v>
      </c>
      <c r="C70" s="64" t="s">
        <v>419</v>
      </c>
      <c r="D70" s="64" t="s">
        <v>999</v>
      </c>
      <c r="E70" s="64" t="s">
        <v>51</v>
      </c>
      <c r="F70" s="99">
        <v>43639</v>
      </c>
      <c r="G70" s="64" t="s">
        <v>380</v>
      </c>
      <c r="H70" s="426" t="s">
        <v>1376</v>
      </c>
      <c r="I70" s="66">
        <v>1</v>
      </c>
    </row>
    <row r="71" spans="1:13" ht="15" customHeight="1" x14ac:dyDescent="0.35">
      <c r="A71" s="64" t="str">
        <f>B71&amp;C71&amp;D71&amp;E71</f>
        <v>LOWERMIDLANDNorth/East 1bMatch 1</v>
      </c>
      <c r="B71" s="64" t="s">
        <v>97</v>
      </c>
      <c r="C71" s="64" t="s">
        <v>419</v>
      </c>
      <c r="D71" s="64" t="s">
        <v>1000</v>
      </c>
      <c r="E71" s="64" t="s">
        <v>49</v>
      </c>
      <c r="F71" s="99">
        <v>43582</v>
      </c>
      <c r="G71" s="432" t="s">
        <v>388</v>
      </c>
      <c r="H71" s="426" t="s">
        <v>576</v>
      </c>
      <c r="I71" s="66">
        <v>2</v>
      </c>
    </row>
    <row r="72" spans="1:13" ht="15" customHeight="1" x14ac:dyDescent="0.35">
      <c r="A72" s="64" t="str">
        <f t="shared" si="2"/>
        <v>LOWERMIDLANDNorth/East 1bMatch 2</v>
      </c>
      <c r="B72" s="64" t="s">
        <v>97</v>
      </c>
      <c r="C72" s="64" t="s">
        <v>419</v>
      </c>
      <c r="D72" s="64" t="s">
        <v>1000</v>
      </c>
      <c r="E72" s="64" t="s">
        <v>50</v>
      </c>
      <c r="F72" s="99">
        <v>43603</v>
      </c>
      <c r="G72" s="432" t="s">
        <v>388</v>
      </c>
      <c r="H72" s="426" t="s">
        <v>576</v>
      </c>
      <c r="I72" s="66">
        <v>2</v>
      </c>
    </row>
    <row r="73" spans="1:13" x14ac:dyDescent="0.35">
      <c r="A73" s="64" t="str">
        <f t="shared" si="2"/>
        <v>LOWERMIDLANDNorth/East 1bMatch 3</v>
      </c>
      <c r="B73" s="64" t="s">
        <v>97</v>
      </c>
      <c r="C73" s="64" t="s">
        <v>419</v>
      </c>
      <c r="D73" s="64" t="s">
        <v>1000</v>
      </c>
      <c r="E73" s="64" t="s">
        <v>51</v>
      </c>
      <c r="F73" s="99">
        <v>43639</v>
      </c>
      <c r="G73" s="432" t="s">
        <v>1322</v>
      </c>
      <c r="H73" s="426" t="s">
        <v>576</v>
      </c>
      <c r="I73" s="66">
        <v>2</v>
      </c>
    </row>
    <row r="74" spans="1:13" x14ac:dyDescent="0.35">
      <c r="A74" s="64" t="str">
        <f t="shared" si="2"/>
        <v>LOWERMIDLANDNorth/East 1cMatch 1</v>
      </c>
      <c r="B74" s="64" t="s">
        <v>97</v>
      </c>
      <c r="C74" s="64" t="s">
        <v>419</v>
      </c>
      <c r="D74" s="64" t="s">
        <v>1001</v>
      </c>
      <c r="E74" s="64" t="s">
        <v>49</v>
      </c>
      <c r="F74" s="99">
        <v>43582</v>
      </c>
      <c r="G74" s="64" t="s">
        <v>393</v>
      </c>
      <c r="H74" s="426" t="s">
        <v>1379</v>
      </c>
      <c r="I74" s="66">
        <v>3</v>
      </c>
      <c r="M74" s="423"/>
    </row>
    <row r="75" spans="1:13" x14ac:dyDescent="0.35">
      <c r="A75" s="64" t="str">
        <f>B75&amp;C75&amp;D75&amp;E75</f>
        <v>LOWERMIDLANDNorth/East 1cMatch 2</v>
      </c>
      <c r="B75" s="64" t="s">
        <v>97</v>
      </c>
      <c r="C75" s="64" t="s">
        <v>419</v>
      </c>
      <c r="D75" s="64" t="s">
        <v>1001</v>
      </c>
      <c r="E75" s="64" t="s">
        <v>50</v>
      </c>
      <c r="F75" s="99">
        <v>43603</v>
      </c>
      <c r="G75" s="64" t="s">
        <v>389</v>
      </c>
      <c r="H75" s="426" t="s">
        <v>1380</v>
      </c>
      <c r="I75" s="66">
        <v>3</v>
      </c>
    </row>
    <row r="76" spans="1:13" x14ac:dyDescent="0.35">
      <c r="A76" s="64" t="str">
        <f t="shared" si="2"/>
        <v>LOWERMIDLANDNorth/East 1cMatch 3</v>
      </c>
      <c r="B76" s="64" t="s">
        <v>97</v>
      </c>
      <c r="C76" s="64" t="s">
        <v>419</v>
      </c>
      <c r="D76" s="64" t="s">
        <v>1001</v>
      </c>
      <c r="E76" s="64" t="s">
        <v>51</v>
      </c>
      <c r="F76" s="99">
        <v>43639</v>
      </c>
      <c r="G76" s="64" t="s">
        <v>395</v>
      </c>
      <c r="H76" s="426" t="s">
        <v>1381</v>
      </c>
      <c r="I76" s="66">
        <v>3</v>
      </c>
    </row>
    <row r="77" spans="1:13" x14ac:dyDescent="0.35">
      <c r="A77" s="64" t="str">
        <f t="shared" ref="A77:A104" si="4">B77&amp;C77&amp;D77&amp;E77</f>
        <v>LOWERMIDLANDNorth/East 1dMatch 1</v>
      </c>
      <c r="B77" s="64" t="s">
        <v>97</v>
      </c>
      <c r="C77" s="64" t="s">
        <v>419</v>
      </c>
      <c r="D77" s="64" t="s">
        <v>1003</v>
      </c>
      <c r="E77" s="64" t="s">
        <v>49</v>
      </c>
      <c r="F77" s="99">
        <v>43582</v>
      </c>
      <c r="G77" s="64" t="s">
        <v>397</v>
      </c>
      <c r="H77" s="426" t="s">
        <v>1379</v>
      </c>
      <c r="I77" s="66">
        <v>4</v>
      </c>
    </row>
    <row r="78" spans="1:13" x14ac:dyDescent="0.35">
      <c r="A78" s="64" t="str">
        <f t="shared" si="4"/>
        <v>LOWERMIDLANDNorth/East 1dMatch 2</v>
      </c>
      <c r="B78" s="64" t="s">
        <v>97</v>
      </c>
      <c r="C78" s="64" t="s">
        <v>419</v>
      </c>
      <c r="D78" s="64" t="s">
        <v>1003</v>
      </c>
      <c r="E78" s="64" t="s">
        <v>50</v>
      </c>
      <c r="F78" s="99">
        <v>43603</v>
      </c>
      <c r="G78" s="64" t="s">
        <v>802</v>
      </c>
      <c r="H78" s="426" t="s">
        <v>1380</v>
      </c>
      <c r="I78" s="66">
        <v>4</v>
      </c>
    </row>
    <row r="79" spans="1:13" x14ac:dyDescent="0.35">
      <c r="A79" s="64" t="str">
        <f>B79&amp;C79&amp;D79&amp;E79</f>
        <v>LOWERMIDLANDNorth/East 1dMatch 3</v>
      </c>
      <c r="B79" s="64" t="s">
        <v>97</v>
      </c>
      <c r="C79" s="64" t="s">
        <v>419</v>
      </c>
      <c r="D79" s="64" t="s">
        <v>1003</v>
      </c>
      <c r="E79" s="64" t="s">
        <v>51</v>
      </c>
      <c r="F79" s="99">
        <v>43639</v>
      </c>
      <c r="G79" s="64" t="s">
        <v>395</v>
      </c>
      <c r="H79" s="426" t="s">
        <v>1381</v>
      </c>
      <c r="I79" s="66">
        <v>4</v>
      </c>
    </row>
    <row r="80" spans="1:13" x14ac:dyDescent="0.35">
      <c r="A80" s="64" t="str">
        <f t="shared" si="4"/>
        <v>LOWERMIDLANDPremier North/EastMatch 1</v>
      </c>
      <c r="B80" s="64" t="s">
        <v>97</v>
      </c>
      <c r="C80" s="64" t="s">
        <v>419</v>
      </c>
      <c r="D80" s="64" t="s">
        <v>411</v>
      </c>
      <c r="E80" s="64" t="s">
        <v>49</v>
      </c>
      <c r="F80" s="99">
        <v>43582</v>
      </c>
      <c r="G80" s="64" t="s">
        <v>375</v>
      </c>
      <c r="H80" s="426" t="s">
        <v>1377</v>
      </c>
      <c r="I80" s="66">
        <v>5</v>
      </c>
    </row>
    <row r="81" spans="1:13" x14ac:dyDescent="0.35">
      <c r="A81" s="64" t="str">
        <f t="shared" si="4"/>
        <v>LOWERMIDLANDPremier North/EastMatch 2</v>
      </c>
      <c r="B81" s="64" t="s">
        <v>97</v>
      </c>
      <c r="C81" s="64" t="s">
        <v>419</v>
      </c>
      <c r="D81" s="64" t="s">
        <v>411</v>
      </c>
      <c r="E81" s="64" t="s">
        <v>50</v>
      </c>
      <c r="F81" s="99">
        <v>43603</v>
      </c>
      <c r="G81" s="64" t="s">
        <v>385</v>
      </c>
      <c r="H81" s="426" t="s">
        <v>1378</v>
      </c>
      <c r="I81" s="66">
        <v>5</v>
      </c>
    </row>
    <row r="82" spans="1:13" x14ac:dyDescent="0.35">
      <c r="A82" s="64" t="str">
        <f t="shared" si="4"/>
        <v>LOWERMIDLANDPremier North/EastMatch 3</v>
      </c>
      <c r="B82" s="64" t="s">
        <v>97</v>
      </c>
      <c r="C82" s="64" t="s">
        <v>419</v>
      </c>
      <c r="D82" s="64" t="s">
        <v>411</v>
      </c>
      <c r="E82" s="64" t="s">
        <v>51</v>
      </c>
      <c r="F82" s="99">
        <v>43639</v>
      </c>
      <c r="G82" s="64" t="s">
        <v>377</v>
      </c>
      <c r="H82" s="426" t="s">
        <v>586</v>
      </c>
      <c r="I82" s="66">
        <v>5</v>
      </c>
    </row>
    <row r="83" spans="1:13" x14ac:dyDescent="0.35">
      <c r="A83" s="64" t="str">
        <f>B83&amp;C83&amp;D83&amp;E83</f>
        <v>LOWERMIDLANDPremier South/WestMatch 1</v>
      </c>
      <c r="B83" s="64" t="s">
        <v>97</v>
      </c>
      <c r="C83" s="64" t="s">
        <v>419</v>
      </c>
      <c r="D83" s="64" t="s">
        <v>412</v>
      </c>
      <c r="E83" s="64" t="s">
        <v>49</v>
      </c>
      <c r="F83" s="99">
        <v>43582</v>
      </c>
      <c r="G83" s="64" t="s">
        <v>940</v>
      </c>
      <c r="H83" s="100" t="s">
        <v>1005</v>
      </c>
      <c r="I83" s="66">
        <v>6</v>
      </c>
    </row>
    <row r="84" spans="1:13" x14ac:dyDescent="0.35">
      <c r="A84" s="64" t="str">
        <f t="shared" si="4"/>
        <v>LOWERMIDLANDPremier South/WestMatch 2</v>
      </c>
      <c r="B84" s="64" t="s">
        <v>97</v>
      </c>
      <c r="C84" s="64" t="s">
        <v>419</v>
      </c>
      <c r="D84" s="64" t="s">
        <v>412</v>
      </c>
      <c r="E84" s="64" t="s">
        <v>50</v>
      </c>
      <c r="F84" s="99">
        <v>43603</v>
      </c>
      <c r="G84" s="64" t="s">
        <v>399</v>
      </c>
      <c r="H84" s="426" t="s">
        <v>1382</v>
      </c>
      <c r="I84" s="66">
        <v>6</v>
      </c>
    </row>
    <row r="85" spans="1:13" x14ac:dyDescent="0.35">
      <c r="A85" s="64" t="str">
        <f t="shared" si="4"/>
        <v>LOWERMIDLANDPremier South/WestMatch 3</v>
      </c>
      <c r="B85" s="64" t="s">
        <v>97</v>
      </c>
      <c r="C85" s="64" t="s">
        <v>419</v>
      </c>
      <c r="D85" s="64" t="s">
        <v>412</v>
      </c>
      <c r="E85" s="64" t="s">
        <v>51</v>
      </c>
      <c r="F85" s="99">
        <v>43639</v>
      </c>
      <c r="G85" s="64" t="s">
        <v>400</v>
      </c>
      <c r="H85" s="64" t="s">
        <v>575</v>
      </c>
      <c r="I85" s="66">
        <v>6</v>
      </c>
    </row>
    <row r="86" spans="1:13" x14ac:dyDescent="0.35">
      <c r="A86" s="64" t="str">
        <f t="shared" si="4"/>
        <v>LOWERMIDLANDSouth/West 1aMatch 1</v>
      </c>
      <c r="B86" s="64" t="s">
        <v>97</v>
      </c>
      <c r="C86" s="64" t="s">
        <v>419</v>
      </c>
      <c r="D86" s="64" t="s">
        <v>1006</v>
      </c>
      <c r="E86" s="64" t="s">
        <v>49</v>
      </c>
      <c r="F86" s="99">
        <v>43582</v>
      </c>
      <c r="G86" s="64" t="s">
        <v>403</v>
      </c>
      <c r="H86" s="64" t="s">
        <v>1007</v>
      </c>
      <c r="I86" s="66">
        <v>7</v>
      </c>
    </row>
    <row r="87" spans="1:13" x14ac:dyDescent="0.35">
      <c r="A87" s="64" t="str">
        <f>B87&amp;C87&amp;D87&amp;E87</f>
        <v>LOWERMIDLANDSouth/West 1aMatch 2</v>
      </c>
      <c r="B87" s="64" t="s">
        <v>97</v>
      </c>
      <c r="C87" s="64" t="s">
        <v>419</v>
      </c>
      <c r="D87" s="64" t="s">
        <v>1006</v>
      </c>
      <c r="E87" s="64" t="s">
        <v>50</v>
      </c>
      <c r="F87" s="99">
        <v>43603</v>
      </c>
      <c r="G87" s="64" t="s">
        <v>404</v>
      </c>
      <c r="H87" s="426" t="s">
        <v>574</v>
      </c>
      <c r="I87" s="66">
        <v>7</v>
      </c>
    </row>
    <row r="88" spans="1:13" x14ac:dyDescent="0.35">
      <c r="A88" s="64" t="str">
        <f t="shared" si="4"/>
        <v>LOWERMIDLANDSouth/West 1aMatch 3</v>
      </c>
      <c r="B88" s="64" t="s">
        <v>97</v>
      </c>
      <c r="C88" s="64" t="s">
        <v>419</v>
      </c>
      <c r="D88" s="64" t="s">
        <v>1006</v>
      </c>
      <c r="E88" s="64" t="s">
        <v>51</v>
      </c>
      <c r="F88" s="99">
        <v>43639</v>
      </c>
      <c r="G88" s="64" t="s">
        <v>402</v>
      </c>
      <c r="H88" s="426" t="s">
        <v>1383</v>
      </c>
      <c r="I88" s="66">
        <v>7</v>
      </c>
    </row>
    <row r="89" spans="1:13" x14ac:dyDescent="0.35">
      <c r="A89" s="64" t="str">
        <f t="shared" si="4"/>
        <v>LOWERMIDLANDSouth/West 1bMatch 1</v>
      </c>
      <c r="B89" s="64" t="s">
        <v>97</v>
      </c>
      <c r="C89" s="64" t="s">
        <v>419</v>
      </c>
      <c r="D89" s="64" t="s">
        <v>1008</v>
      </c>
      <c r="E89" s="64" t="s">
        <v>49</v>
      </c>
      <c r="F89" s="99">
        <v>43582</v>
      </c>
      <c r="G89" s="64" t="s">
        <v>406</v>
      </c>
      <c r="H89" s="100" t="s">
        <v>588</v>
      </c>
      <c r="I89" s="66">
        <v>8</v>
      </c>
    </row>
    <row r="90" spans="1:13" x14ac:dyDescent="0.35">
      <c r="A90" s="64" t="str">
        <f t="shared" si="4"/>
        <v>LOWERMIDLANDSouth/West 1bMatch 2</v>
      </c>
      <c r="B90" s="64" t="s">
        <v>97</v>
      </c>
      <c r="C90" s="64" t="s">
        <v>419</v>
      </c>
      <c r="D90" s="64" t="s">
        <v>1008</v>
      </c>
      <c r="E90" s="64" t="s">
        <v>50</v>
      </c>
      <c r="F90" s="99">
        <v>43603</v>
      </c>
      <c r="G90" s="64" t="s">
        <v>597</v>
      </c>
      <c r="H90" s="426" t="s">
        <v>1384</v>
      </c>
      <c r="I90" s="66">
        <v>8</v>
      </c>
    </row>
    <row r="91" spans="1:13" x14ac:dyDescent="0.35">
      <c r="A91" s="64" t="str">
        <f>B91&amp;C91&amp;D91&amp;E91</f>
        <v>LOWERMIDLANDSouth/West 1bMatch 3</v>
      </c>
      <c r="B91" s="64" t="s">
        <v>97</v>
      </c>
      <c r="C91" s="64" t="s">
        <v>419</v>
      </c>
      <c r="D91" s="64" t="s">
        <v>1008</v>
      </c>
      <c r="E91" s="64" t="s">
        <v>51</v>
      </c>
      <c r="F91" s="99">
        <v>43639</v>
      </c>
      <c r="G91" s="64" t="s">
        <v>407</v>
      </c>
      <c r="H91" s="64" t="s">
        <v>1009</v>
      </c>
      <c r="I91" s="66">
        <v>8</v>
      </c>
    </row>
    <row r="92" spans="1:13" x14ac:dyDescent="0.35">
      <c r="A92" s="64" t="str">
        <f t="shared" si="4"/>
        <v>LOWERMIDLANDRegional FinalMatch 4</v>
      </c>
      <c r="B92" s="64" t="s">
        <v>97</v>
      </c>
      <c r="C92" s="64" t="s">
        <v>419</v>
      </c>
      <c r="D92" s="64" t="s">
        <v>945</v>
      </c>
      <c r="E92" s="64" t="s">
        <v>52</v>
      </c>
      <c r="F92" s="99">
        <v>43666</v>
      </c>
      <c r="G92" s="64" t="s">
        <v>980</v>
      </c>
      <c r="H92" s="426" t="s">
        <v>575</v>
      </c>
      <c r="I92" s="66">
        <v>53</v>
      </c>
      <c r="J92" s="427"/>
    </row>
    <row r="93" spans="1:13" x14ac:dyDescent="0.35">
      <c r="A93" s="64" t="str">
        <f t="shared" si="4"/>
        <v>LOWERMIDLANDSW Promotion matchMatch 4</v>
      </c>
      <c r="B93" s="64" t="s">
        <v>97</v>
      </c>
      <c r="C93" s="64" t="s">
        <v>419</v>
      </c>
      <c r="D93" s="409" t="s">
        <v>1248</v>
      </c>
      <c r="E93" s="64" t="s">
        <v>52</v>
      </c>
      <c r="F93" s="99">
        <v>43666</v>
      </c>
      <c r="G93" s="64" t="s">
        <v>980</v>
      </c>
      <c r="H93" s="64" t="s">
        <v>574</v>
      </c>
      <c r="I93" s="66">
        <v>54</v>
      </c>
      <c r="J93" s="427"/>
    </row>
    <row r="94" spans="1:13" x14ac:dyDescent="0.35">
      <c r="A94" s="64" t="str">
        <f t="shared" si="4"/>
        <v>LOWERMIDLANDNE Promotion matchMatch 4</v>
      </c>
      <c r="B94" s="64" t="s">
        <v>97</v>
      </c>
      <c r="C94" s="64" t="s">
        <v>419</v>
      </c>
      <c r="D94" s="409" t="s">
        <v>1249</v>
      </c>
      <c r="E94" s="64" t="s">
        <v>52</v>
      </c>
      <c r="F94" s="99">
        <v>43666</v>
      </c>
      <c r="G94" s="64" t="s">
        <v>980</v>
      </c>
      <c r="H94" s="426" t="s">
        <v>1004</v>
      </c>
      <c r="I94" s="66">
        <v>55</v>
      </c>
      <c r="J94" s="427"/>
      <c r="M94" s="423"/>
    </row>
    <row r="96" spans="1:13" x14ac:dyDescent="0.35">
      <c r="A96" s="64" t="str">
        <f t="shared" si="4"/>
        <v>LOWERSCOTLANDDivision 1Match 1</v>
      </c>
      <c r="B96" s="64" t="s">
        <v>97</v>
      </c>
      <c r="C96" s="64" t="s">
        <v>563</v>
      </c>
      <c r="D96" s="64" t="s">
        <v>564</v>
      </c>
      <c r="E96" s="64" t="s">
        <v>49</v>
      </c>
      <c r="F96" s="99">
        <v>43582</v>
      </c>
      <c r="G96" s="423" t="s">
        <v>1014</v>
      </c>
      <c r="H96" s="100" t="s">
        <v>568</v>
      </c>
      <c r="I96" s="66">
        <v>20</v>
      </c>
    </row>
    <row r="97" spans="1:9" x14ac:dyDescent="0.35">
      <c r="A97" s="64" t="str">
        <f t="shared" si="4"/>
        <v>LOWERSCOTLANDDivision 1Match 2</v>
      </c>
      <c r="B97" s="64" t="s">
        <v>97</v>
      </c>
      <c r="C97" s="64" t="s">
        <v>563</v>
      </c>
      <c r="D97" s="64" t="s">
        <v>564</v>
      </c>
      <c r="E97" s="64" t="s">
        <v>50</v>
      </c>
      <c r="F97" s="99">
        <v>43604</v>
      </c>
      <c r="G97" s="425" t="s">
        <v>804</v>
      </c>
      <c r="H97" s="100" t="s">
        <v>568</v>
      </c>
      <c r="I97" s="66">
        <v>20</v>
      </c>
    </row>
    <row r="98" spans="1:9" x14ac:dyDescent="0.35">
      <c r="A98" s="64" t="str">
        <f t="shared" si="4"/>
        <v>LOWERSCOTLANDDivision 1Match 3</v>
      </c>
      <c r="B98" s="64" t="s">
        <v>97</v>
      </c>
      <c r="C98" s="64" t="s">
        <v>563</v>
      </c>
      <c r="D98" s="64" t="s">
        <v>564</v>
      </c>
      <c r="E98" s="64" t="s">
        <v>51</v>
      </c>
      <c r="F98" s="99">
        <v>43639</v>
      </c>
      <c r="G98" s="425" t="s">
        <v>670</v>
      </c>
      <c r="H98" s="100" t="s">
        <v>1010</v>
      </c>
      <c r="I98" s="66">
        <v>20</v>
      </c>
    </row>
    <row r="99" spans="1:9" x14ac:dyDescent="0.35">
      <c r="A99" s="64" t="str">
        <f>B99&amp;C99&amp;D99&amp;E99</f>
        <v>LOWERSCOTLANDDivision 2Match 1</v>
      </c>
      <c r="B99" s="64" t="s">
        <v>97</v>
      </c>
      <c r="C99" s="64" t="s">
        <v>563</v>
      </c>
      <c r="D99" s="64" t="s">
        <v>565</v>
      </c>
      <c r="E99" s="64" t="s">
        <v>49</v>
      </c>
      <c r="F99" s="99">
        <v>43583</v>
      </c>
      <c r="G99" s="64" t="s">
        <v>1313</v>
      </c>
      <c r="H99" s="100" t="s">
        <v>805</v>
      </c>
      <c r="I99" s="66">
        <v>21</v>
      </c>
    </row>
    <row r="100" spans="1:9" x14ac:dyDescent="0.35">
      <c r="A100" s="64" t="str">
        <f t="shared" si="4"/>
        <v>LOWERSCOTLANDDivision 2Match 2</v>
      </c>
      <c r="B100" s="64" t="s">
        <v>97</v>
      </c>
      <c r="C100" s="64" t="s">
        <v>563</v>
      </c>
      <c r="D100" s="64" t="s">
        <v>565</v>
      </c>
      <c r="E100" s="64" t="s">
        <v>50</v>
      </c>
      <c r="F100" s="99">
        <v>43604</v>
      </c>
      <c r="G100" s="423" t="s">
        <v>1284</v>
      </c>
      <c r="H100" s="100" t="s">
        <v>805</v>
      </c>
      <c r="I100" s="66">
        <v>21</v>
      </c>
    </row>
    <row r="101" spans="1:9" x14ac:dyDescent="0.35">
      <c r="A101" s="64" t="str">
        <f t="shared" si="4"/>
        <v>LOWERSCOTLANDDivision 2Match 3</v>
      </c>
      <c r="B101" s="64" t="s">
        <v>97</v>
      </c>
      <c r="C101" s="64" t="s">
        <v>563</v>
      </c>
      <c r="D101" s="64" t="s">
        <v>565</v>
      </c>
      <c r="E101" s="64" t="s">
        <v>51</v>
      </c>
      <c r="F101" s="99">
        <v>43639</v>
      </c>
      <c r="G101" s="64" t="s">
        <v>602</v>
      </c>
      <c r="H101" s="100" t="s">
        <v>568</v>
      </c>
      <c r="I101" s="66">
        <v>21</v>
      </c>
    </row>
    <row r="102" spans="1:9" x14ac:dyDescent="0.35">
      <c r="A102" s="64" t="str">
        <f t="shared" si="4"/>
        <v>LOWERSCOTLANDNE DivisionMatch 1</v>
      </c>
      <c r="B102" s="64" t="s">
        <v>97</v>
      </c>
      <c r="C102" s="64" t="s">
        <v>563</v>
      </c>
      <c r="D102" s="64" t="s">
        <v>566</v>
      </c>
      <c r="E102" s="64" t="s">
        <v>49</v>
      </c>
      <c r="F102" s="99">
        <v>43583</v>
      </c>
      <c r="G102" s="64" t="s">
        <v>572</v>
      </c>
      <c r="H102" s="100" t="s">
        <v>569</v>
      </c>
      <c r="I102" s="66">
        <v>22</v>
      </c>
    </row>
    <row r="103" spans="1:9" x14ac:dyDescent="0.35">
      <c r="A103" s="64" t="str">
        <f t="shared" si="4"/>
        <v>LOWERSCOTLANDNE DivisionMatch 2</v>
      </c>
      <c r="B103" s="64" t="s">
        <v>97</v>
      </c>
      <c r="C103" s="64" t="s">
        <v>563</v>
      </c>
      <c r="D103" s="64" t="s">
        <v>566</v>
      </c>
      <c r="E103" s="64" t="s">
        <v>50</v>
      </c>
      <c r="F103" s="99">
        <v>43604</v>
      </c>
      <c r="G103" s="64" t="s">
        <v>935</v>
      </c>
      <c r="H103" s="100" t="s">
        <v>570</v>
      </c>
      <c r="I103" s="66">
        <v>22</v>
      </c>
    </row>
    <row r="104" spans="1:9" x14ac:dyDescent="0.35">
      <c r="A104" s="64" t="str">
        <f t="shared" si="4"/>
        <v>LOWERSCOTLANDNE DivisionMatch 3</v>
      </c>
      <c r="B104" s="64" t="s">
        <v>97</v>
      </c>
      <c r="C104" s="64" t="s">
        <v>563</v>
      </c>
      <c r="D104" s="64" t="s">
        <v>566</v>
      </c>
      <c r="E104" s="64" t="s">
        <v>51</v>
      </c>
      <c r="F104" s="99">
        <v>43639</v>
      </c>
      <c r="G104" s="64" t="s">
        <v>578</v>
      </c>
      <c r="H104" s="100" t="s">
        <v>569</v>
      </c>
      <c r="I104" s="66">
        <v>22</v>
      </c>
    </row>
    <row r="105" spans="1:9" x14ac:dyDescent="0.35">
      <c r="A105" s="64" t="str">
        <f t="shared" ref="A105" si="5">B105&amp;C105&amp;D105&amp;E105</f>
        <v>LOWERSCOTLANDScottish FinalMatch 4</v>
      </c>
      <c r="B105" s="64" t="s">
        <v>97</v>
      </c>
      <c r="C105" s="64" t="s">
        <v>563</v>
      </c>
      <c r="D105" s="410" t="s">
        <v>957</v>
      </c>
      <c r="E105" s="410" t="s">
        <v>52</v>
      </c>
      <c r="F105" s="373">
        <v>43681</v>
      </c>
      <c r="G105" s="410" t="s">
        <v>1260</v>
      </c>
      <c r="H105" s="426" t="s">
        <v>568</v>
      </c>
      <c r="I105" s="66">
        <v>56</v>
      </c>
    </row>
  </sheetData>
  <sheetProtection algorithmName="SHA-512" hashValue="cp7ZnXvxURImn675JZFE3qU+qRyHing102kaV+cTn8D2K0juVuw+EbH2ip1o6yY3weUs4Cx+LaCipKyxSkbFUg==" saltValue="rwKLjyPPeUJaSUy08tIRtQ==" spinCount="100000" sheet="1" objects="1" scenarios="1" formatCells="0" formatColumns="0" formatRows="0" sort="0" autoFilter="0"/>
  <autoFilter ref="E1:E105" xr:uid="{00000000-0009-0000-0000-00001C000000}"/>
  <sortState xmlns:xlrd2="http://schemas.microsoft.com/office/spreadsheetml/2017/richdata2" ref="K89:M91">
    <sortCondition ref="K89:K9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tabColor theme="5" tint="-0.249977111117893"/>
    <pageSetUpPr autoPageBreaks="0"/>
  </sheetPr>
  <dimension ref="A1:W81"/>
  <sheetViews>
    <sheetView showGridLines="0" showZeros="0" tabSelected="1" workbookViewId="0">
      <pane xSplit="4" ySplit="2" topLeftCell="H3" activePane="bottomRight" state="frozen"/>
      <selection activeCell="K3" sqref="K3"/>
      <selection pane="topRight" activeCell="K3" sqref="K3"/>
      <selection pane="bottomLeft" activeCell="K3" sqref="K3"/>
      <selection pane="bottomRight" activeCell="D13" sqref="D13"/>
    </sheetView>
  </sheetViews>
  <sheetFormatPr defaultColWidth="8.86328125" defaultRowHeight="24.95" customHeight="1" x14ac:dyDescent="0.45"/>
  <cols>
    <col min="1" max="1" width="8.73046875" style="221" hidden="1" customWidth="1"/>
    <col min="2" max="2" width="14.86328125" style="222" hidden="1" customWidth="1"/>
    <col min="3" max="3" width="16.73046875" style="222" hidden="1" customWidth="1"/>
    <col min="4" max="4" width="2.73046875" style="222" customWidth="1"/>
    <col min="5" max="5" width="30.1328125" style="222" customWidth="1"/>
    <col min="6" max="7" width="11.73046875" style="222" customWidth="1"/>
    <col min="8" max="8" width="2.73046875" style="222" customWidth="1"/>
    <col min="9" max="9" width="11.73046875" style="222" customWidth="1"/>
    <col min="10" max="10" width="35.1328125" style="222" customWidth="1"/>
    <col min="11" max="11" width="11.73046875" style="222" customWidth="1"/>
    <col min="12" max="12" width="2.73046875" style="222" customWidth="1"/>
    <col min="13" max="14" width="8.73046875" style="222" customWidth="1"/>
    <col min="15" max="15" width="11.73046875" style="222" customWidth="1"/>
    <col min="16" max="16" width="2.73046875" style="222" customWidth="1"/>
    <col min="17" max="18" width="8.86328125" style="222" customWidth="1"/>
    <col min="19" max="19" width="11.73046875" style="222" customWidth="1"/>
    <col min="20" max="20" width="8.86328125" style="221" hidden="1" customWidth="1"/>
    <col min="21" max="21" width="15" style="221" hidden="1" customWidth="1"/>
    <col min="22" max="22" width="8.73046875" style="296" hidden="1" customWidth="1"/>
    <col min="23" max="23" width="12.73046875" style="222" customWidth="1"/>
    <col min="24" max="16384" width="8.86328125" style="222"/>
  </cols>
  <sheetData>
    <row r="1" spans="1:23" ht="24.95" customHeight="1" x14ac:dyDescent="0.45">
      <c r="B1" s="222" t="str">
        <f>MatchDay!U8</f>
        <v>X</v>
      </c>
      <c r="E1" s="223" t="str">
        <f>MatchDay!$C$2&amp;" "&amp;MatchDay!$C$3&amp;" "&amp;MatchDay!$C$4&amp;" "&amp;MatchDay!$C$8</f>
        <v>LOWER NORTH East 1 @ Doncaster</v>
      </c>
    </row>
    <row r="2" spans="1:23" ht="24.95" customHeight="1" x14ac:dyDescent="0.45">
      <c r="B2" s="224"/>
      <c r="C2" s="225"/>
      <c r="E2" s="226">
        <f>MatchDay!$C$7</f>
        <v>43582</v>
      </c>
    </row>
    <row r="3" spans="1:23" ht="24.95" customHeight="1" thickBot="1" x14ac:dyDescent="0.5">
      <c r="B3" s="227"/>
      <c r="C3" s="225"/>
      <c r="E3" s="228" t="s">
        <v>589</v>
      </c>
      <c r="F3" s="229" t="str">
        <f>IF(MatchDay!$C$2="LOWER","LAG Boys","UAG Men")</f>
        <v>LAG Boys</v>
      </c>
      <c r="G3" s="229" t="str">
        <f>IF(MatchDay!$C$2="LOWER","LAG Girls","UAG Women")</f>
        <v>LAG Girls</v>
      </c>
      <c r="I3" s="230" t="s">
        <v>97</v>
      </c>
      <c r="J3" s="230" t="s">
        <v>788</v>
      </c>
      <c r="K3" s="230" t="s">
        <v>97</v>
      </c>
      <c r="M3" s="231" t="s">
        <v>781</v>
      </c>
      <c r="N3" s="232"/>
      <c r="O3" s="233" t="s">
        <v>785</v>
      </c>
      <c r="Q3" s="234" t="s">
        <v>782</v>
      </c>
      <c r="R3" s="234"/>
      <c r="S3" s="235"/>
    </row>
    <row r="4" spans="1:23" ht="24.95" customHeight="1" x14ac:dyDescent="0.45">
      <c r="A4" s="298" t="s">
        <v>891</v>
      </c>
      <c r="B4" s="355"/>
      <c r="C4" s="236"/>
      <c r="E4" s="237" t="str">
        <f>MatchDay!C13</f>
        <v>Chesterfield &amp; District AC</v>
      </c>
      <c r="F4" s="238" t="str">
        <f t="shared" ref="F4:F11" si="0">IF(E4&lt;&gt;"",HYPERLINK("#"&amp;"'"&amp;$F$3&amp;"'!"&amp;A4,"X"),"")</f>
        <v>X</v>
      </c>
      <c r="G4" s="238" t="str">
        <f t="shared" ref="G4:G11" si="1">IF(E4&lt;&gt;"",HYPERLINK("#"&amp;"'"&amp;$G$3&amp;"'!"&amp;A4,"X"),"")</f>
        <v>X</v>
      </c>
      <c r="I4" s="239"/>
      <c r="J4" s="240" t="s">
        <v>590</v>
      </c>
      <c r="K4" s="241"/>
      <c r="M4" s="242" t="s">
        <v>519</v>
      </c>
      <c r="N4" s="242" t="str">
        <f>CONCATENATE(Track1!R1,"/",26)</f>
        <v>18/26</v>
      </c>
      <c r="O4" s="243"/>
      <c r="Q4" s="343" t="s">
        <v>886</v>
      </c>
      <c r="R4" s="343" t="str">
        <f ca="1">CONCATENATE(U15Be!R1,"/",17)</f>
        <v>15/17</v>
      </c>
      <c r="S4" s="244"/>
      <c r="T4" s="245" t="str">
        <f ca="1">IF(R4="17/17","Y","X")</f>
        <v>X</v>
      </c>
    </row>
    <row r="5" spans="1:23" ht="24.95" customHeight="1" x14ac:dyDescent="0.45">
      <c r="A5" s="298" t="s">
        <v>892</v>
      </c>
      <c r="B5" s="355"/>
      <c r="C5" s="236"/>
      <c r="E5" s="246" t="str">
        <f>MatchDay!C14</f>
        <v>City of Sheffield &amp; Dearne AC</v>
      </c>
      <c r="F5" s="247" t="str">
        <f t="shared" si="0"/>
        <v>X</v>
      </c>
      <c r="G5" s="247" t="str">
        <f t="shared" si="1"/>
        <v>X</v>
      </c>
      <c r="I5" s="248"/>
      <c r="J5" s="292" t="s">
        <v>774</v>
      </c>
      <c r="K5" s="249"/>
      <c r="M5" s="244" t="s">
        <v>775</v>
      </c>
      <c r="N5" s="244" t="str">
        <f>CONCATENATE(SUM(Track1!R4+Track1!R15+Track1!R26+Track1!R37),"/",4)</f>
        <v>4/4</v>
      </c>
      <c r="O5" s="244"/>
      <c r="Q5" s="250"/>
      <c r="R5" s="250"/>
      <c r="S5" s="251"/>
      <c r="V5" s="296" t="str">
        <f>IF(N5="4/4","Y","X")</f>
        <v>Y</v>
      </c>
      <c r="W5" s="296"/>
    </row>
    <row r="6" spans="1:23" ht="24.95" customHeight="1" x14ac:dyDescent="0.45">
      <c r="A6" s="298" t="s">
        <v>893</v>
      </c>
      <c r="B6" s="356"/>
      <c r="C6" s="236"/>
      <c r="E6" s="252" t="str">
        <f>MatchDay!C15</f>
        <v>City of York AC</v>
      </c>
      <c r="F6" s="253" t="str">
        <f t="shared" si="0"/>
        <v>X</v>
      </c>
      <c r="G6" s="253" t="str">
        <f t="shared" si="1"/>
        <v>X</v>
      </c>
      <c r="I6" s="248"/>
      <c r="J6" s="293" t="s">
        <v>806</v>
      </c>
      <c r="K6" s="241"/>
      <c r="M6" s="254" t="s">
        <v>776</v>
      </c>
      <c r="N6" s="254" t="str">
        <f>CONCATENATE(SUM(Track1!R48+Track1!R59+Track1!R70+Track1!R81),"/",4)</f>
        <v>4/4</v>
      </c>
      <c r="O6" s="255"/>
      <c r="Q6" s="343" t="s">
        <v>887</v>
      </c>
      <c r="R6" s="343" t="str">
        <f ca="1">CONCATENATE(U15G!R1,"/",17)</f>
        <v>15/17</v>
      </c>
      <c r="S6" s="244"/>
      <c r="T6" s="245" t="str">
        <f ca="1">IF(R6="17/17","Y","X")</f>
        <v>X</v>
      </c>
      <c r="V6" s="296" t="str">
        <f>IF(N6="4/4","Y","X")</f>
        <v>Y</v>
      </c>
      <c r="W6" s="296"/>
    </row>
    <row r="7" spans="1:23" ht="24.95" customHeight="1" x14ac:dyDescent="0.45">
      <c r="A7" s="298" t="s">
        <v>894</v>
      </c>
      <c r="B7" s="356"/>
      <c r="C7" s="236"/>
      <c r="E7" s="246" t="str">
        <f>MatchDay!C16</f>
        <v>Middlesbrough AC (Mandale)</v>
      </c>
      <c r="F7" s="247" t="str">
        <f t="shared" si="0"/>
        <v>X</v>
      </c>
      <c r="G7" s="247" t="str">
        <f t="shared" si="1"/>
        <v>X</v>
      </c>
      <c r="I7" s="289"/>
      <c r="J7" s="293" t="s">
        <v>807</v>
      </c>
      <c r="K7" s="249"/>
      <c r="M7" s="244" t="s">
        <v>777</v>
      </c>
      <c r="N7" s="244" t="str">
        <f>CONCATENATE(SUM(Track1!R92+Track1!R103+Track1!R114+Track1!R125),"/",4)</f>
        <v>4/4</v>
      </c>
      <c r="O7" s="244"/>
      <c r="Q7" s="250"/>
      <c r="R7" s="250"/>
      <c r="S7" s="251"/>
      <c r="V7" s="296" t="str">
        <f>IF(N7="4/4","Y","X")</f>
        <v>Y</v>
      </c>
      <c r="W7" s="296"/>
    </row>
    <row r="8" spans="1:23" ht="24.95" customHeight="1" x14ac:dyDescent="0.45">
      <c r="A8" s="298" t="s">
        <v>895</v>
      </c>
      <c r="B8" s="356"/>
      <c r="C8" s="236"/>
      <c r="E8" s="252" t="str">
        <f>MatchDay!C17</f>
        <v>Scunthorpe &amp; District AC</v>
      </c>
      <c r="F8" s="253" t="str">
        <f t="shared" si="0"/>
        <v>X</v>
      </c>
      <c r="G8" s="253" t="str">
        <f t="shared" si="1"/>
        <v>X</v>
      </c>
      <c r="I8" s="248"/>
      <c r="J8" s="293" t="s">
        <v>808</v>
      </c>
      <c r="K8" s="291"/>
      <c r="M8" s="342" t="s">
        <v>778</v>
      </c>
      <c r="N8" s="254" t="str">
        <f>CONCATENATE(SUM(Track1!R136+Track1!R147+Track1!R158+Track1!R169),"/",4)</f>
        <v>0/4</v>
      </c>
      <c r="O8" s="255"/>
      <c r="Q8" s="343" t="s">
        <v>888</v>
      </c>
      <c r="R8" s="343" t="str">
        <f ca="1">CONCATENATE(U13B!R1,"/",12)</f>
        <v>10/12</v>
      </c>
      <c r="S8" s="244"/>
      <c r="T8" s="245" t="str">
        <f ca="1">IF(R8="12/12","Y","X")</f>
        <v>X</v>
      </c>
      <c r="V8" s="296" t="str">
        <f>IF(N8="4/4","Y","X")</f>
        <v>X</v>
      </c>
      <c r="W8" s="296"/>
    </row>
    <row r="9" spans="1:23" ht="24.95" customHeight="1" x14ac:dyDescent="0.45">
      <c r="A9" s="298" t="s">
        <v>896</v>
      </c>
      <c r="B9" s="356"/>
      <c r="C9" s="236"/>
      <c r="E9" s="246" t="str">
        <f>MatchDay!C18</f>
        <v/>
      </c>
      <c r="F9" s="247" t="str">
        <f t="shared" si="0"/>
        <v/>
      </c>
      <c r="G9" s="247" t="str">
        <f t="shared" si="1"/>
        <v/>
      </c>
      <c r="I9" s="289"/>
      <c r="J9" s="352" t="s">
        <v>809</v>
      </c>
      <c r="K9" s="249"/>
      <c r="M9" s="244" t="s">
        <v>779</v>
      </c>
      <c r="N9" s="244" t="str">
        <f>CONCATENATE(SUM(Track1!R180+Track1!R191+Track1!R202+Track1!R213),"/",4)</f>
        <v>4/4</v>
      </c>
      <c r="O9" s="244"/>
      <c r="Q9" s="250"/>
      <c r="R9" s="250"/>
      <c r="S9" s="251"/>
      <c r="V9" s="296" t="str">
        <f>IF(N9="2/2","Y","X")</f>
        <v>X</v>
      </c>
      <c r="W9" s="296"/>
    </row>
    <row r="10" spans="1:23" ht="24.95" customHeight="1" x14ac:dyDescent="0.45">
      <c r="A10" s="298" t="s">
        <v>897</v>
      </c>
      <c r="B10" s="356"/>
      <c r="C10" s="236"/>
      <c r="E10" s="252" t="str">
        <f>MatchDay!C19</f>
        <v/>
      </c>
      <c r="F10" s="253" t="str">
        <f t="shared" si="0"/>
        <v/>
      </c>
      <c r="G10" s="253" t="str">
        <f t="shared" si="1"/>
        <v/>
      </c>
      <c r="I10" s="248"/>
      <c r="J10" s="293" t="s">
        <v>810</v>
      </c>
      <c r="K10" s="291"/>
      <c r="M10" s="254" t="s">
        <v>780</v>
      </c>
      <c r="N10" s="254" t="str">
        <f>CONCATENATE(SUM(Track1!R224+Track1!R235+Track1!R246+Track1!R257),"/",4)</f>
        <v>2/4</v>
      </c>
      <c r="O10" s="255"/>
      <c r="Q10" s="343" t="s">
        <v>889</v>
      </c>
      <c r="R10" s="343" t="str">
        <f ca="1">CONCATENATE(U13G!R1,"/",12)</f>
        <v>10/12</v>
      </c>
      <c r="S10" s="244"/>
      <c r="T10" s="245" t="str">
        <f ca="1">IF(R10="12/12","Y","X")</f>
        <v>X</v>
      </c>
      <c r="V10" s="296" t="str">
        <f>IF(N10="4/4","Y","X")</f>
        <v>X</v>
      </c>
      <c r="W10" s="296"/>
    </row>
    <row r="11" spans="1:23" ht="24.95" customHeight="1" x14ac:dyDescent="0.45">
      <c r="A11" s="298" t="s">
        <v>898</v>
      </c>
      <c r="B11" s="356"/>
      <c r="C11" s="236"/>
      <c r="E11" s="246" t="str">
        <f>MatchDay!C20</f>
        <v/>
      </c>
      <c r="F11" s="247" t="str">
        <f t="shared" si="0"/>
        <v/>
      </c>
      <c r="G11" s="247" t="str">
        <f t="shared" si="1"/>
        <v/>
      </c>
      <c r="I11" s="289"/>
      <c r="J11" s="293" t="s">
        <v>811</v>
      </c>
      <c r="K11" s="249"/>
      <c r="M11" s="351" t="s">
        <v>941</v>
      </c>
      <c r="N11" s="244" t="str">
        <f>CONCATENATE(SUM(Track1!R268+Track1!R279),"/",2)</f>
        <v>0/2</v>
      </c>
      <c r="O11" s="244"/>
      <c r="Q11" s="250"/>
      <c r="R11" s="250"/>
      <c r="S11" s="251"/>
      <c r="V11" s="296" t="str">
        <f>IF(N11="4/4","Y","X")</f>
        <v>X</v>
      </c>
      <c r="W11" s="296"/>
    </row>
    <row r="12" spans="1:23" ht="24.95" customHeight="1" x14ac:dyDescent="0.45">
      <c r="I12" s="248"/>
      <c r="J12" s="293" t="s">
        <v>812</v>
      </c>
      <c r="K12" s="291"/>
      <c r="M12" s="256" t="s">
        <v>518</v>
      </c>
      <c r="N12" s="256" t="str">
        <f ca="1">CONCATENATE(Track2!R1,"/",4)</f>
        <v>4/4</v>
      </c>
      <c r="O12" s="257"/>
      <c r="Q12" s="343" t="s">
        <v>942</v>
      </c>
      <c r="R12" s="343" t="str">
        <f ca="1">CONCATENATE(MatchDay!D33+MatchDay!D34,"/",MatchDay!D32)</f>
        <v>50/50</v>
      </c>
      <c r="S12" s="244"/>
      <c r="T12" s="245" t="str">
        <f ca="1">IF(MatchDay!D35=0,"Y","X")</f>
        <v>Y</v>
      </c>
      <c r="W12" s="296"/>
    </row>
    <row r="13" spans="1:23" ht="24.95" customHeight="1" x14ac:dyDescent="0.45">
      <c r="A13" s="221" t="s">
        <v>671</v>
      </c>
      <c r="B13" s="222" t="s">
        <v>91</v>
      </c>
      <c r="C13" s="259"/>
      <c r="E13" s="258" t="s">
        <v>679</v>
      </c>
      <c r="F13" s="259" t="s">
        <v>591</v>
      </c>
      <c r="G13" s="259" t="s">
        <v>592</v>
      </c>
      <c r="I13" s="289"/>
      <c r="J13" s="352" t="s">
        <v>813</v>
      </c>
      <c r="K13" s="249"/>
      <c r="M13" s="244" t="s">
        <v>775</v>
      </c>
      <c r="N13" s="244" t="str">
        <f ca="1">CONCATENATE(SUM(Track2!R4+Track2!R15+Track2!R26+Track2!R37),"/",4)</f>
        <v>4/4</v>
      </c>
      <c r="O13" s="244"/>
      <c r="Q13" s="353"/>
      <c r="R13" s="353"/>
      <c r="S13" s="353"/>
      <c r="V13" s="296" t="str">
        <f ca="1">IF(N13="4/4","Y","X")</f>
        <v>Y</v>
      </c>
      <c r="W13" s="296"/>
    </row>
    <row r="14" spans="1:23" ht="24.95" customHeight="1" x14ac:dyDescent="0.45">
      <c r="A14" s="221">
        <v>3</v>
      </c>
      <c r="B14" s="222" t="s">
        <v>32</v>
      </c>
      <c r="C14" s="354"/>
      <c r="E14" s="260" t="s">
        <v>828</v>
      </c>
      <c r="F14" s="261" t="str">
        <f t="shared" ref="F14:F45" ca="1" si="2">IFERROR(HYPERLINK("#"&amp;VLOOKUP(B14,timetables,128,FALSE),"X"),"")</f>
        <v>X</v>
      </c>
      <c r="G14" s="262" t="str">
        <f ca="1">IFERROR(IF(INDIRECT(VLOOKUP(B14,timetables,133,FALSE))=1,"þ",""),"")</f>
        <v>þ</v>
      </c>
      <c r="I14" s="248"/>
      <c r="J14" s="352" t="s">
        <v>814</v>
      </c>
      <c r="K14" s="291"/>
      <c r="L14" s="263"/>
      <c r="M14" s="256" t="s">
        <v>523</v>
      </c>
      <c r="N14" s="256" t="str">
        <f>CONCATENATE(Relays!M1,"/",6)</f>
        <v>6/6</v>
      </c>
      <c r="O14" s="257"/>
      <c r="P14" s="259"/>
      <c r="Q14" s="490" t="s">
        <v>1277</v>
      </c>
      <c r="R14" s="491"/>
      <c r="S14" s="491"/>
      <c r="W14" s="296"/>
    </row>
    <row r="15" spans="1:23" ht="24.95" customHeight="1" x14ac:dyDescent="0.45">
      <c r="A15" s="221">
        <v>4</v>
      </c>
      <c r="B15" s="222" t="s">
        <v>33</v>
      </c>
      <c r="C15" s="354"/>
      <c r="E15" s="260" t="s">
        <v>829</v>
      </c>
      <c r="F15" s="261" t="str">
        <f t="shared" ca="1" si="2"/>
        <v>X</v>
      </c>
      <c r="G15" s="262" t="str">
        <f t="shared" ref="G15:G45" ca="1" si="3">IFERROR(IF(INDIRECT(VLOOKUP(B15,timetables,133,FALSE))=1,"þ",""),"")</f>
        <v>þ</v>
      </c>
      <c r="I15" s="289"/>
      <c r="J15" s="352" t="s">
        <v>815</v>
      </c>
      <c r="K15" s="249"/>
      <c r="L15" s="263"/>
      <c r="M15" s="244" t="s">
        <v>775</v>
      </c>
      <c r="N15" s="244" t="str">
        <f>CONCATENATE(SUM(Relays!M4+Relays!M15+Relays!M26+Relays!M37),"/",4)</f>
        <v>4/4</v>
      </c>
      <c r="O15" s="244"/>
      <c r="P15" s="264"/>
      <c r="Q15" s="491"/>
      <c r="R15" s="491"/>
      <c r="S15" s="491"/>
      <c r="V15" s="296" t="str">
        <f t="shared" ref="V15:V22" si="4">IF(N15="4/4","Y","X")</f>
        <v>Y</v>
      </c>
      <c r="W15" s="296"/>
    </row>
    <row r="16" spans="1:23" ht="24.95" customHeight="1" x14ac:dyDescent="0.45">
      <c r="A16" s="221">
        <v>5</v>
      </c>
      <c r="B16" s="222" t="s">
        <v>34</v>
      </c>
      <c r="C16" s="354"/>
      <c r="E16" s="260" t="s">
        <v>830</v>
      </c>
      <c r="F16" s="261" t="str">
        <f t="shared" ca="1" si="2"/>
        <v>X</v>
      </c>
      <c r="G16" s="262" t="str">
        <f t="shared" ca="1" si="3"/>
        <v>þ</v>
      </c>
      <c r="I16" s="248"/>
      <c r="J16" s="352" t="s">
        <v>816</v>
      </c>
      <c r="K16" s="291"/>
      <c r="M16" s="254" t="s">
        <v>776</v>
      </c>
      <c r="N16" s="254" t="str">
        <f>CONCATENATE(SUM(Relays!M48+Relays!M59),"/",2)</f>
        <v>2/2</v>
      </c>
      <c r="O16" s="255"/>
      <c r="P16" s="264"/>
      <c r="Q16" s="491"/>
      <c r="R16" s="491"/>
      <c r="S16" s="491"/>
      <c r="V16" s="296" t="str">
        <f>IF(N16="2/2","Y","X")</f>
        <v>Y</v>
      </c>
      <c r="W16" s="296"/>
    </row>
    <row r="17" spans="1:23" ht="24.95" customHeight="1" x14ac:dyDescent="0.45">
      <c r="A17" s="221">
        <v>6</v>
      </c>
      <c r="B17" s="222" t="s">
        <v>35</v>
      </c>
      <c r="C17" s="354"/>
      <c r="E17" s="260" t="s">
        <v>831</v>
      </c>
      <c r="F17" s="261" t="str">
        <f t="shared" ca="1" si="2"/>
        <v>X</v>
      </c>
      <c r="G17" s="262" t="str">
        <f t="shared" ca="1" si="3"/>
        <v>þ</v>
      </c>
      <c r="I17" s="289"/>
      <c r="J17" s="293" t="s">
        <v>817</v>
      </c>
      <c r="K17" s="249"/>
      <c r="M17" s="256" t="s">
        <v>254</v>
      </c>
      <c r="N17" s="256" t="str">
        <f ca="1">CONCATENATE(Field!R1,"/",22)</f>
        <v>22/22</v>
      </c>
      <c r="O17" s="257"/>
      <c r="P17" s="264"/>
      <c r="Q17" s="491"/>
      <c r="R17" s="491"/>
      <c r="S17" s="491"/>
      <c r="W17" s="296"/>
    </row>
    <row r="18" spans="1:23" ht="24.95" customHeight="1" x14ac:dyDescent="0.45">
      <c r="A18" s="221">
        <v>7</v>
      </c>
      <c r="B18" s="222" t="s">
        <v>36</v>
      </c>
      <c r="C18" s="354"/>
      <c r="E18" s="260" t="s">
        <v>832</v>
      </c>
      <c r="F18" s="261" t="str">
        <f t="shared" ca="1" si="2"/>
        <v>X</v>
      </c>
      <c r="G18" s="262" t="str">
        <f t="shared" ca="1" si="3"/>
        <v>þ</v>
      </c>
      <c r="I18" s="248"/>
      <c r="J18" s="293" t="s">
        <v>818</v>
      </c>
      <c r="K18" s="291"/>
      <c r="M18" s="244" t="s">
        <v>775</v>
      </c>
      <c r="N18" s="244" t="str">
        <f ca="1">CONCATENATE(SUM(Field!R4+Field!R15+Field!R26+Field!R37),"/",4)</f>
        <v>4/4</v>
      </c>
      <c r="O18" s="244"/>
      <c r="P18" s="264"/>
      <c r="Q18" s="491"/>
      <c r="R18" s="491"/>
      <c r="S18" s="491"/>
      <c r="V18" s="296" t="str">
        <f t="shared" ca="1" si="4"/>
        <v>Y</v>
      </c>
      <c r="W18" s="296"/>
    </row>
    <row r="19" spans="1:23" ht="24.95" customHeight="1" x14ac:dyDescent="0.45">
      <c r="A19" s="221">
        <v>8</v>
      </c>
      <c r="B19" s="222" t="s">
        <v>37</v>
      </c>
      <c r="C19" s="354"/>
      <c r="E19" s="260" t="s">
        <v>833</v>
      </c>
      <c r="F19" s="261" t="str">
        <f t="shared" ca="1" si="2"/>
        <v>X</v>
      </c>
      <c r="G19" s="262" t="str">
        <f t="shared" ca="1" si="3"/>
        <v>þ</v>
      </c>
      <c r="I19" s="289"/>
      <c r="J19" s="293" t="s">
        <v>819</v>
      </c>
      <c r="K19" s="249"/>
      <c r="M19" s="254" t="s">
        <v>776</v>
      </c>
      <c r="N19" s="254" t="str">
        <f ca="1">CONCATENATE(SUM(Field!R48+Field!R59+Field!R70+Field!R81),"/",4)</f>
        <v>4/4</v>
      </c>
      <c r="O19" s="255"/>
      <c r="P19" s="264"/>
      <c r="V19" s="296" t="str">
        <f t="shared" ca="1" si="4"/>
        <v>Y</v>
      </c>
      <c r="W19" s="296"/>
    </row>
    <row r="20" spans="1:23" ht="24.95" customHeight="1" x14ac:dyDescent="0.45">
      <c r="A20" s="221">
        <v>9</v>
      </c>
      <c r="B20" s="222" t="s">
        <v>38</v>
      </c>
      <c r="C20" s="354"/>
      <c r="E20" s="260" t="s">
        <v>834</v>
      </c>
      <c r="F20" s="261" t="str">
        <f t="shared" ca="1" si="2"/>
        <v>X</v>
      </c>
      <c r="G20" s="262" t="str">
        <f t="shared" ca="1" si="3"/>
        <v>þ</v>
      </c>
      <c r="I20" s="248"/>
      <c r="J20" s="293" t="s">
        <v>820</v>
      </c>
      <c r="K20" s="291"/>
      <c r="M20" s="244" t="s">
        <v>777</v>
      </c>
      <c r="N20" s="244" t="str">
        <f ca="1">CONCATENATE(SUM(Field!R92+Field!R103+Field!R114+Field!R125),"/",4)</f>
        <v>4/4</v>
      </c>
      <c r="O20" s="244"/>
      <c r="P20" s="264"/>
      <c r="V20" s="296" t="str">
        <f t="shared" ca="1" si="4"/>
        <v>Y</v>
      </c>
      <c r="W20" s="296"/>
    </row>
    <row r="21" spans="1:23" ht="24.95" customHeight="1" x14ac:dyDescent="0.45">
      <c r="A21" s="221">
        <v>10</v>
      </c>
      <c r="B21" s="222" t="s">
        <v>39</v>
      </c>
      <c r="C21" s="354"/>
      <c r="E21" s="260" t="s">
        <v>835</v>
      </c>
      <c r="F21" s="261" t="str">
        <f t="shared" ca="1" si="2"/>
        <v>X</v>
      </c>
      <c r="G21" s="262" t="str">
        <f t="shared" ca="1" si="3"/>
        <v>þ</v>
      </c>
      <c r="I21" s="289"/>
      <c r="J21" s="293" t="s">
        <v>821</v>
      </c>
      <c r="K21" s="249"/>
      <c r="M21" s="342" t="s">
        <v>778</v>
      </c>
      <c r="N21" s="342" t="str">
        <f ca="1">CONCATENATE(SUM(Field!R136+Field!R147+Field!R158+Field!R169),"/",4)</f>
        <v>4/4</v>
      </c>
      <c r="O21" s="342"/>
      <c r="P21" s="259"/>
      <c r="V21" s="296" t="str">
        <f t="shared" ca="1" si="4"/>
        <v>Y</v>
      </c>
      <c r="W21" s="296"/>
    </row>
    <row r="22" spans="1:23" ht="24.95" customHeight="1" x14ac:dyDescent="0.45">
      <c r="A22" s="221">
        <v>11</v>
      </c>
      <c r="B22" s="222" t="s">
        <v>506</v>
      </c>
      <c r="C22" s="354"/>
      <c r="E22" s="260" t="s">
        <v>836</v>
      </c>
      <c r="F22" s="261" t="str">
        <f t="shared" ca="1" si="2"/>
        <v>X</v>
      </c>
      <c r="G22" s="262" t="str">
        <f t="shared" ca="1" si="3"/>
        <v>þ</v>
      </c>
      <c r="I22" s="248"/>
      <c r="J22" s="352" t="s">
        <v>822</v>
      </c>
      <c r="K22" s="291"/>
      <c r="M22" s="244" t="s">
        <v>779</v>
      </c>
      <c r="N22" s="244" t="str">
        <f ca="1">CONCATENATE(SUM(Field!R180+Field!R191+Field!R202+Field!R213),"/",4)</f>
        <v>4/4</v>
      </c>
      <c r="O22" s="244"/>
      <c r="P22" s="264"/>
      <c r="V22" s="296" t="str">
        <f t="shared" ca="1" si="4"/>
        <v>Y</v>
      </c>
      <c r="W22" s="296"/>
    </row>
    <row r="23" spans="1:23" ht="24.95" customHeight="1" x14ac:dyDescent="0.45">
      <c r="A23" s="221">
        <v>12</v>
      </c>
      <c r="B23" s="222" t="s">
        <v>507</v>
      </c>
      <c r="C23" s="354"/>
      <c r="E23" s="260" t="s">
        <v>837</v>
      </c>
      <c r="F23" s="261" t="str">
        <f t="shared" ca="1" si="2"/>
        <v>X</v>
      </c>
      <c r="G23" s="262" t="str">
        <f t="shared" ca="1" si="3"/>
        <v>þ</v>
      </c>
      <c r="I23" s="289"/>
      <c r="J23" s="293" t="s">
        <v>823</v>
      </c>
      <c r="K23" s="249"/>
      <c r="M23" s="254" t="s">
        <v>780</v>
      </c>
      <c r="N23" s="254" t="str">
        <f ca="1">CONCATENATE(SUM(Field!R224+Field!R235),"/",2)</f>
        <v>2/2</v>
      </c>
      <c r="O23" s="255"/>
      <c r="P23" s="264"/>
      <c r="V23" s="296" t="str">
        <f ca="1">IF(N23="2/2","Y","X")</f>
        <v>Y</v>
      </c>
      <c r="W23" s="296"/>
    </row>
    <row r="24" spans="1:23" ht="24.95" customHeight="1" x14ac:dyDescent="0.45">
      <c r="A24" s="221">
        <v>13</v>
      </c>
      <c r="B24" s="222" t="s">
        <v>508</v>
      </c>
      <c r="C24" s="354"/>
      <c r="E24" s="260" t="s">
        <v>838</v>
      </c>
      <c r="F24" s="261" t="str">
        <f t="shared" ca="1" si="2"/>
        <v>X</v>
      </c>
      <c r="G24" s="262" t="str">
        <f t="shared" ca="1" si="3"/>
        <v>þ</v>
      </c>
      <c r="I24" s="248"/>
      <c r="J24" s="293" t="s">
        <v>824</v>
      </c>
      <c r="K24" s="291"/>
      <c r="P24" s="264"/>
      <c r="W24" s="296"/>
    </row>
    <row r="25" spans="1:23" ht="24.95" customHeight="1" x14ac:dyDescent="0.45">
      <c r="A25" s="221">
        <v>14</v>
      </c>
      <c r="B25" s="222" t="s">
        <v>509</v>
      </c>
      <c r="C25" s="354"/>
      <c r="E25" s="260" t="s">
        <v>839</v>
      </c>
      <c r="F25" s="261" t="str">
        <f t="shared" ca="1" si="2"/>
        <v>X</v>
      </c>
      <c r="G25" s="262" t="str">
        <f t="shared" ca="1" si="3"/>
        <v>þ</v>
      </c>
      <c r="I25" s="289"/>
      <c r="J25" s="293" t="s">
        <v>825</v>
      </c>
      <c r="K25" s="249"/>
      <c r="P25" s="259"/>
      <c r="W25" s="296"/>
    </row>
    <row r="26" spans="1:23" ht="24.95" customHeight="1" x14ac:dyDescent="0.45">
      <c r="A26" s="221">
        <v>15</v>
      </c>
      <c r="B26" s="222" t="s">
        <v>510</v>
      </c>
      <c r="C26" s="354"/>
      <c r="E26" s="260" t="s">
        <v>840</v>
      </c>
      <c r="F26" s="261" t="str">
        <f t="shared" ca="1" si="2"/>
        <v>X</v>
      </c>
      <c r="G26" s="262" t="str">
        <f t="shared" ca="1" si="3"/>
        <v/>
      </c>
      <c r="I26" s="248"/>
      <c r="J26" s="293" t="s">
        <v>826</v>
      </c>
      <c r="K26" s="291"/>
      <c r="P26" s="265"/>
      <c r="W26" s="296"/>
    </row>
    <row r="27" spans="1:23" ht="24.95" customHeight="1" x14ac:dyDescent="0.45">
      <c r="A27" s="221">
        <v>16</v>
      </c>
      <c r="B27" s="222" t="s">
        <v>511</v>
      </c>
      <c r="C27" s="354"/>
      <c r="E27" s="260" t="s">
        <v>841</v>
      </c>
      <c r="F27" s="261" t="str">
        <f t="shared" ca="1" si="2"/>
        <v>X</v>
      </c>
      <c r="G27" s="262" t="str">
        <f t="shared" ca="1" si="3"/>
        <v/>
      </c>
      <c r="I27" s="290"/>
      <c r="J27" s="294" t="s">
        <v>827</v>
      </c>
      <c r="K27" s="266"/>
      <c r="P27" s="265"/>
      <c r="W27" s="296"/>
    </row>
    <row r="28" spans="1:23" ht="24.95" customHeight="1" x14ac:dyDescent="0.45">
      <c r="A28" s="221">
        <v>17</v>
      </c>
      <c r="B28" s="222" t="s">
        <v>512</v>
      </c>
      <c r="C28" s="354"/>
      <c r="E28" s="260" t="s">
        <v>842</v>
      </c>
      <c r="F28" s="261" t="str">
        <f t="shared" ca="1" si="2"/>
        <v>X</v>
      </c>
      <c r="G28" s="262" t="str">
        <f t="shared" ca="1" si="3"/>
        <v/>
      </c>
      <c r="I28" s="267"/>
      <c r="J28" s="268"/>
      <c r="K28" s="269"/>
      <c r="P28" s="259"/>
      <c r="W28" s="296"/>
    </row>
    <row r="29" spans="1:23" ht="24.95" customHeight="1" x14ac:dyDescent="0.45">
      <c r="A29" s="221">
        <v>18</v>
      </c>
      <c r="B29" s="222" t="s">
        <v>513</v>
      </c>
      <c r="C29" s="354"/>
      <c r="E29" s="260" t="s">
        <v>843</v>
      </c>
      <c r="F29" s="261" t="str">
        <f t="shared" ca="1" si="2"/>
        <v>X</v>
      </c>
      <c r="G29" s="262" t="str">
        <f t="shared" ca="1" si="3"/>
        <v/>
      </c>
      <c r="I29" s="271" t="str">
        <f>I3</f>
        <v>LOWER</v>
      </c>
      <c r="J29" s="272" t="s">
        <v>789</v>
      </c>
      <c r="K29" s="273" t="str">
        <f>K3</f>
        <v>LOWER</v>
      </c>
      <c r="P29" s="265"/>
    </row>
    <row r="30" spans="1:23" ht="24.95" customHeight="1" x14ac:dyDescent="0.45">
      <c r="A30" s="221">
        <v>19</v>
      </c>
      <c r="B30" s="222" t="s">
        <v>40</v>
      </c>
      <c r="C30" s="354"/>
      <c r="E30" s="260" t="s">
        <v>844</v>
      </c>
      <c r="F30" s="261" t="str">
        <f t="shared" ca="1" si="2"/>
        <v>X</v>
      </c>
      <c r="G30" s="262" t="str">
        <f t="shared" ca="1" si="3"/>
        <v>þ</v>
      </c>
      <c r="I30" s="274"/>
      <c r="J30" s="493" t="s">
        <v>790</v>
      </c>
      <c r="K30" s="275"/>
      <c r="P30" s="265"/>
    </row>
    <row r="31" spans="1:23" ht="24.95" customHeight="1" x14ac:dyDescent="0.45">
      <c r="A31" s="221">
        <v>20</v>
      </c>
      <c r="B31" s="222" t="s">
        <v>41</v>
      </c>
      <c r="C31" s="354"/>
      <c r="E31" s="260" t="s">
        <v>845</v>
      </c>
      <c r="F31" s="261" t="str">
        <f t="shared" ca="1" si="2"/>
        <v>X</v>
      </c>
      <c r="G31" s="262" t="str">
        <f t="shared" ca="1" si="3"/>
        <v/>
      </c>
      <c r="I31" s="274"/>
      <c r="J31" s="494"/>
      <c r="K31" s="275"/>
      <c r="P31" s="265"/>
    </row>
    <row r="32" spans="1:23" ht="24.95" customHeight="1" x14ac:dyDescent="0.45">
      <c r="A32" s="221">
        <v>21</v>
      </c>
      <c r="B32" s="222" t="s">
        <v>42</v>
      </c>
      <c r="C32" s="354"/>
      <c r="E32" s="260" t="s">
        <v>846</v>
      </c>
      <c r="F32" s="261" t="str">
        <f t="shared" ca="1" si="2"/>
        <v>X</v>
      </c>
      <c r="G32" s="262" t="str">
        <f t="shared" ca="1" si="3"/>
        <v>þ</v>
      </c>
      <c r="I32" s="276"/>
      <c r="J32" s="489" t="str">
        <f>E14&amp;", "&amp;E15&amp;", "&amp;E16&amp;", "&amp;E17</f>
        <v>U13 Girls 70m Hurdles, U13 Boys 75m Hurdles, U15 Girls 75m Hurdles, U15 Boys 80m Hurdles</v>
      </c>
      <c r="K32" s="277"/>
      <c r="P32" s="265"/>
    </row>
    <row r="33" spans="1:16" ht="24.95" customHeight="1" x14ac:dyDescent="0.45">
      <c r="A33" s="221">
        <v>22</v>
      </c>
      <c r="B33" s="222" t="s">
        <v>43</v>
      </c>
      <c r="C33" s="354"/>
      <c r="E33" s="260" t="s">
        <v>847</v>
      </c>
      <c r="F33" s="261" t="str">
        <f t="shared" ca="1" si="2"/>
        <v>X</v>
      </c>
      <c r="G33" s="262" t="str">
        <f t="shared" ca="1" si="3"/>
        <v>þ</v>
      </c>
      <c r="I33" s="276"/>
      <c r="J33" s="489"/>
      <c r="K33" s="277"/>
      <c r="P33" s="265"/>
    </row>
    <row r="34" spans="1:16" ht="24.95" customHeight="1" x14ac:dyDescent="0.45">
      <c r="A34" s="221">
        <v>23</v>
      </c>
      <c r="B34" s="222" t="s">
        <v>44</v>
      </c>
      <c r="C34" s="354"/>
      <c r="E34" s="260" t="s">
        <v>848</v>
      </c>
      <c r="F34" s="261" t="str">
        <f t="shared" ca="1" si="2"/>
        <v>X</v>
      </c>
      <c r="G34" s="262" t="str">
        <f t="shared" ca="1" si="3"/>
        <v>þ</v>
      </c>
      <c r="I34" s="278"/>
      <c r="J34" s="486" t="str">
        <f>E18&amp;", "&amp;E19&amp;", "&amp;E20&amp;", "&amp;E21</f>
        <v>U13 Girls 150m, U13 Boys 200m, U15 Girls 200m, U15 Boys 200m</v>
      </c>
      <c r="K34" s="279"/>
      <c r="P34" s="265"/>
    </row>
    <row r="35" spans="1:16" ht="24.95" customHeight="1" x14ac:dyDescent="0.45">
      <c r="A35" s="221">
        <v>24</v>
      </c>
      <c r="B35" s="222" t="s">
        <v>45</v>
      </c>
      <c r="C35" s="354"/>
      <c r="E35" s="260" t="s">
        <v>849</v>
      </c>
      <c r="F35" s="261" t="str">
        <f t="shared" ca="1" si="2"/>
        <v>X</v>
      </c>
      <c r="G35" s="262" t="str">
        <f t="shared" ca="1" si="3"/>
        <v/>
      </c>
      <c r="I35" s="278"/>
      <c r="J35" s="486"/>
      <c r="K35" s="279"/>
      <c r="P35" s="265"/>
    </row>
    <row r="36" spans="1:16" ht="24.95" customHeight="1" x14ac:dyDescent="0.45">
      <c r="A36" s="221">
        <v>25</v>
      </c>
      <c r="B36" s="222" t="s">
        <v>46</v>
      </c>
      <c r="C36" s="354"/>
      <c r="E36" s="260" t="s">
        <v>850</v>
      </c>
      <c r="F36" s="261" t="str">
        <f t="shared" ca="1" si="2"/>
        <v>X</v>
      </c>
      <c r="G36" s="262" t="str">
        <f t="shared" ca="1" si="3"/>
        <v/>
      </c>
      <c r="I36" s="280"/>
      <c r="J36" s="489" t="str">
        <f>E22&amp;", "&amp;E23&amp;", "&amp;E24&amp;", "&amp;E25</f>
        <v>U13 Girls 800m, U13 Boys 800m, U15 Girls 800m, U15 Boys 800m</v>
      </c>
      <c r="K36" s="281"/>
      <c r="P36" s="265"/>
    </row>
    <row r="37" spans="1:16" ht="24.95" customHeight="1" x14ac:dyDescent="0.45">
      <c r="A37" s="221">
        <v>26</v>
      </c>
      <c r="B37" s="222" t="s">
        <v>47</v>
      </c>
      <c r="C37" s="354"/>
      <c r="E37" s="260" t="s">
        <v>851</v>
      </c>
      <c r="F37" s="261" t="str">
        <f t="shared" ca="1" si="2"/>
        <v>X</v>
      </c>
      <c r="G37" s="262" t="str">
        <f t="shared" ca="1" si="3"/>
        <v/>
      </c>
      <c r="I37" s="280"/>
      <c r="J37" s="489"/>
      <c r="K37" s="281"/>
    </row>
    <row r="38" spans="1:16" ht="24.95" customHeight="1" x14ac:dyDescent="0.45">
      <c r="A38" s="221">
        <v>27</v>
      </c>
      <c r="B38" s="222" t="s">
        <v>48</v>
      </c>
      <c r="C38" s="354"/>
      <c r="E38" s="260" t="s">
        <v>852</v>
      </c>
      <c r="F38" s="261" t="str">
        <f t="shared" ca="1" si="2"/>
        <v>X</v>
      </c>
      <c r="G38" s="262" t="str">
        <f t="shared" ca="1" si="3"/>
        <v>þ</v>
      </c>
      <c r="I38" s="278"/>
      <c r="J38" s="492" t="str">
        <f>E26&amp;", "&amp;E27&amp;", "&amp;E28&amp;", "&amp;E29</f>
        <v>U13 Girls 800m NS, U13 Boys 800m NS, U15 Girls 800m NS, U15 Boys 800m NS</v>
      </c>
      <c r="K38" s="279"/>
    </row>
    <row r="39" spans="1:16" ht="24.95" customHeight="1" x14ac:dyDescent="0.45">
      <c r="A39" s="221">
        <v>28</v>
      </c>
      <c r="B39" s="222" t="s">
        <v>514</v>
      </c>
      <c r="C39" s="354"/>
      <c r="E39" s="260" t="s">
        <v>853</v>
      </c>
      <c r="F39" s="261" t="str">
        <f t="shared" ca="1" si="2"/>
        <v>X</v>
      </c>
      <c r="G39" s="262" t="str">
        <f t="shared" ca="1" si="3"/>
        <v>þ</v>
      </c>
      <c r="I39" s="278"/>
      <c r="J39" s="492"/>
      <c r="K39" s="279"/>
    </row>
    <row r="40" spans="1:16" ht="24.95" customHeight="1" x14ac:dyDescent="0.45">
      <c r="A40" s="221">
        <v>29</v>
      </c>
      <c r="B40" s="222" t="s">
        <v>309</v>
      </c>
      <c r="C40" s="354"/>
      <c r="E40" s="260" t="s">
        <v>854</v>
      </c>
      <c r="F40" s="261" t="str">
        <f t="shared" ca="1" si="2"/>
        <v>X</v>
      </c>
      <c r="G40" s="262" t="str">
        <f t="shared" ca="1" si="3"/>
        <v>þ</v>
      </c>
      <c r="I40" s="282"/>
      <c r="J40" s="489" t="str">
        <f>E30&amp;", "&amp;E32&amp;", "&amp;E33&amp;", "&amp;E34</f>
        <v>U13 Girls 75m, U13 Boys 100m, U15 Girls 100m, U15 Boys 100m</v>
      </c>
      <c r="K40" s="283"/>
      <c r="L40" s="224"/>
    </row>
    <row r="41" spans="1:16" ht="24.95" customHeight="1" x14ac:dyDescent="0.45">
      <c r="A41" s="221">
        <v>30</v>
      </c>
      <c r="B41" s="222" t="s">
        <v>310</v>
      </c>
      <c r="C41" s="354"/>
      <c r="E41" s="260" t="s">
        <v>855</v>
      </c>
      <c r="F41" s="261" t="str">
        <f t="shared" ca="1" si="2"/>
        <v>X</v>
      </c>
      <c r="G41" s="262" t="str">
        <f t="shared" ca="1" si="3"/>
        <v>þ</v>
      </c>
      <c r="I41" s="282"/>
      <c r="J41" s="489"/>
      <c r="K41" s="283"/>
      <c r="L41" s="224"/>
    </row>
    <row r="42" spans="1:16" ht="24.95" customHeight="1" x14ac:dyDescent="0.45">
      <c r="A42" s="221">
        <v>31</v>
      </c>
      <c r="B42" s="222" t="s">
        <v>311</v>
      </c>
      <c r="C42" s="354"/>
      <c r="E42" s="260" t="s">
        <v>856</v>
      </c>
      <c r="F42" s="261" t="str">
        <f t="shared" ca="1" si="2"/>
        <v>X</v>
      </c>
      <c r="G42" s="262" t="str">
        <f t="shared" ca="1" si="3"/>
        <v>þ</v>
      </c>
      <c r="I42" s="284"/>
      <c r="J42" s="492" t="str">
        <f>E31&amp;", "&amp;E35&amp;", "&amp;E36&amp;", "&amp;E37</f>
        <v>U13 Girls 75m NS, U13 Boys 100m NS, U15 Girls 100m NS, U15 Boys 100m NS</v>
      </c>
      <c r="K42" s="285"/>
      <c r="L42" s="224"/>
    </row>
    <row r="43" spans="1:16" ht="24.95" customHeight="1" x14ac:dyDescent="0.45">
      <c r="A43" s="221">
        <v>32</v>
      </c>
      <c r="B43" s="222" t="s">
        <v>312</v>
      </c>
      <c r="C43" s="354"/>
      <c r="E43" s="260" t="s">
        <v>857</v>
      </c>
      <c r="F43" s="261" t="str">
        <f t="shared" ca="1" si="2"/>
        <v>X</v>
      </c>
      <c r="G43" s="262" t="str">
        <f t="shared" ca="1" si="3"/>
        <v>þ</v>
      </c>
      <c r="I43" s="284"/>
      <c r="J43" s="492"/>
      <c r="K43" s="285"/>
      <c r="L43" s="224"/>
    </row>
    <row r="44" spans="1:16" ht="24.95" customHeight="1" x14ac:dyDescent="0.45">
      <c r="A44" s="221">
        <v>33</v>
      </c>
      <c r="B44" s="222" t="s">
        <v>315</v>
      </c>
      <c r="C44" s="354"/>
      <c r="E44" s="260" t="s">
        <v>858</v>
      </c>
      <c r="F44" s="261" t="str">
        <f t="shared" ca="1" si="2"/>
        <v>X</v>
      </c>
      <c r="G44" s="262" t="str">
        <f t="shared" ca="1" si="3"/>
        <v>þ</v>
      </c>
      <c r="I44" s="282"/>
      <c r="J44" s="489" t="str">
        <f>E38&amp;", "&amp;E39&amp;", "&amp;E40&amp;", "&amp;E41</f>
        <v>U15 Girls 300m, U15 Boys 300m, U13 Girls 1200m, U13 Boys 1500m</v>
      </c>
      <c r="K44" s="283"/>
      <c r="L44" s="224"/>
    </row>
    <row r="45" spans="1:16" ht="24.95" customHeight="1" x14ac:dyDescent="0.45">
      <c r="A45" s="221">
        <v>34</v>
      </c>
      <c r="B45" s="222" t="s">
        <v>316</v>
      </c>
      <c r="C45" s="354"/>
      <c r="E45" s="260" t="s">
        <v>859</v>
      </c>
      <c r="F45" s="261" t="str">
        <f t="shared" ca="1" si="2"/>
        <v>X</v>
      </c>
      <c r="G45" s="262" t="str">
        <f t="shared" ca="1" si="3"/>
        <v>þ</v>
      </c>
      <c r="I45" s="282"/>
      <c r="J45" s="489"/>
      <c r="K45" s="283"/>
      <c r="L45" s="224"/>
    </row>
    <row r="46" spans="1:16" ht="24.95" customHeight="1" x14ac:dyDescent="0.45">
      <c r="A46" s="221">
        <v>35</v>
      </c>
      <c r="B46" s="222" t="s">
        <v>317</v>
      </c>
      <c r="C46" s="354"/>
      <c r="E46" s="260" t="s">
        <v>860</v>
      </c>
      <c r="F46" s="261" t="str">
        <f t="shared" ref="F46:F71" ca="1" si="5">IFERROR(HYPERLINK("#"&amp;VLOOKUP(B46,timetables,128,FALSE),"X"),"")</f>
        <v>X</v>
      </c>
      <c r="G46" s="262" t="str">
        <f t="shared" ref="G46:G71" ca="1" si="6">IFERROR(IF(INDIRECT(VLOOKUP(B46,timetables,133,FALSE))=1,"þ",""),"")</f>
        <v>þ</v>
      </c>
      <c r="I46" s="284"/>
      <c r="J46" s="486" t="str">
        <f>E42&amp;", "&amp;E43</f>
        <v>U15 Girls 1500m, U15 Boys 1500m</v>
      </c>
      <c r="K46" s="285"/>
      <c r="L46" s="224"/>
    </row>
    <row r="47" spans="1:16" ht="24.95" customHeight="1" x14ac:dyDescent="0.45">
      <c r="A47" s="221">
        <v>36</v>
      </c>
      <c r="B47" s="222" t="s">
        <v>318</v>
      </c>
      <c r="C47" s="354"/>
      <c r="E47" s="260" t="s">
        <v>861</v>
      </c>
      <c r="F47" s="261" t="str">
        <f t="shared" ca="1" si="5"/>
        <v>X</v>
      </c>
      <c r="G47" s="262" t="str">
        <f t="shared" ca="1" si="6"/>
        <v>þ</v>
      </c>
      <c r="I47" s="284"/>
      <c r="J47" s="486"/>
      <c r="K47" s="285"/>
      <c r="L47" s="224"/>
    </row>
    <row r="48" spans="1:16" ht="24.95" customHeight="1" x14ac:dyDescent="0.45">
      <c r="A48" s="221">
        <v>37</v>
      </c>
      <c r="B48" s="222" t="s">
        <v>313</v>
      </c>
      <c r="E48" s="260" t="s">
        <v>862</v>
      </c>
      <c r="F48" s="261" t="str">
        <f t="shared" ca="1" si="5"/>
        <v>X</v>
      </c>
      <c r="G48" s="262" t="str">
        <f t="shared" ca="1" si="6"/>
        <v>þ</v>
      </c>
      <c r="I48" s="282"/>
      <c r="J48" s="489" t="str">
        <f>E44&amp;", "&amp;E45&amp;", "&amp;E46&amp;", "&amp;E47</f>
        <v>U13 Girls 4 x 100m, U13 Boys 4 x 100m, U15 Girls 4 x 100m, U15 Boys 4 x 100m</v>
      </c>
      <c r="K48" s="283"/>
    </row>
    <row r="49" spans="1:11" ht="24.95" customHeight="1" x14ac:dyDescent="0.45">
      <c r="A49" s="221">
        <v>38</v>
      </c>
      <c r="B49" s="222" t="s">
        <v>314</v>
      </c>
      <c r="E49" s="260" t="s">
        <v>863</v>
      </c>
      <c r="F49" s="261" t="str">
        <f t="shared" ca="1" si="5"/>
        <v>X</v>
      </c>
      <c r="G49" s="262" t="str">
        <f t="shared" ca="1" si="6"/>
        <v>þ</v>
      </c>
      <c r="I49" s="282"/>
      <c r="J49" s="489"/>
      <c r="K49" s="283"/>
    </row>
    <row r="50" spans="1:11" ht="24.95" customHeight="1" x14ac:dyDescent="0.45">
      <c r="A50" s="221">
        <v>39</v>
      </c>
      <c r="B50" s="222" t="s">
        <v>231</v>
      </c>
      <c r="E50" s="260" t="s">
        <v>864</v>
      </c>
      <c r="F50" s="261" t="str">
        <f t="shared" ca="1" si="5"/>
        <v>X</v>
      </c>
      <c r="G50" s="262" t="str">
        <f t="shared" ca="1" si="6"/>
        <v>þ</v>
      </c>
      <c r="I50" s="284"/>
      <c r="J50" s="486" t="str">
        <f>E48&amp;", "&amp;E49</f>
        <v>U15 Girls 4 x 300m, U15 Boys 4 x 300m</v>
      </c>
      <c r="K50" s="285"/>
    </row>
    <row r="51" spans="1:11" ht="24.95" customHeight="1" x14ac:dyDescent="0.45">
      <c r="A51" s="221">
        <v>40</v>
      </c>
      <c r="B51" s="222" t="s">
        <v>232</v>
      </c>
      <c r="E51" s="260" t="s">
        <v>865</v>
      </c>
      <c r="F51" s="261" t="str">
        <f t="shared" ca="1" si="5"/>
        <v>X</v>
      </c>
      <c r="G51" s="262" t="str">
        <f t="shared" ca="1" si="6"/>
        <v>þ</v>
      </c>
      <c r="I51" s="284"/>
      <c r="J51" s="486"/>
      <c r="K51" s="285"/>
    </row>
    <row r="52" spans="1:11" ht="24.95" customHeight="1" x14ac:dyDescent="0.45">
      <c r="A52" s="221">
        <v>41</v>
      </c>
      <c r="B52" s="222" t="s">
        <v>297</v>
      </c>
      <c r="E52" s="260" t="s">
        <v>866</v>
      </c>
      <c r="F52" s="261" t="str">
        <f t="shared" ca="1" si="5"/>
        <v>X</v>
      </c>
      <c r="G52" s="262" t="str">
        <f t="shared" ca="1" si="6"/>
        <v>þ</v>
      </c>
      <c r="I52" s="282"/>
      <c r="J52" s="487" t="s">
        <v>1264</v>
      </c>
      <c r="K52" s="283"/>
    </row>
    <row r="53" spans="1:11" ht="24.95" customHeight="1" x14ac:dyDescent="0.45">
      <c r="A53" s="221">
        <v>42</v>
      </c>
      <c r="B53" s="222" t="s">
        <v>233</v>
      </c>
      <c r="E53" s="260" t="s">
        <v>867</v>
      </c>
      <c r="F53" s="261" t="str">
        <f t="shared" ca="1" si="5"/>
        <v>X</v>
      </c>
      <c r="G53" s="262" t="str">
        <f t="shared" ca="1" si="6"/>
        <v>þ</v>
      </c>
      <c r="I53" s="286"/>
      <c r="J53" s="488"/>
      <c r="K53" s="287"/>
    </row>
    <row r="54" spans="1:11" ht="24.95" customHeight="1" x14ac:dyDescent="0.45">
      <c r="A54" s="221">
        <v>43</v>
      </c>
      <c r="B54" s="222" t="s">
        <v>236</v>
      </c>
      <c r="E54" s="260" t="s">
        <v>868</v>
      </c>
      <c r="F54" s="261" t="str">
        <f t="shared" ca="1" si="5"/>
        <v>X</v>
      </c>
      <c r="G54" s="262" t="str">
        <f t="shared" ca="1" si="6"/>
        <v>þ</v>
      </c>
      <c r="J54" s="221"/>
    </row>
    <row r="55" spans="1:11" ht="24.95" customHeight="1" x14ac:dyDescent="0.45">
      <c r="A55" s="221">
        <v>44</v>
      </c>
      <c r="B55" s="222" t="s">
        <v>237</v>
      </c>
      <c r="E55" s="260" t="s">
        <v>869</v>
      </c>
      <c r="F55" s="261" t="str">
        <f t="shared" ca="1" si="5"/>
        <v>X</v>
      </c>
      <c r="G55" s="262" t="str">
        <f t="shared" ca="1" si="6"/>
        <v>þ</v>
      </c>
      <c r="J55" s="221"/>
    </row>
    <row r="56" spans="1:11" ht="24.95" customHeight="1" x14ac:dyDescent="0.45">
      <c r="A56" s="221">
        <v>45</v>
      </c>
      <c r="B56" s="222" t="s">
        <v>298</v>
      </c>
      <c r="E56" s="260" t="s">
        <v>870</v>
      </c>
      <c r="F56" s="261" t="str">
        <f t="shared" ca="1" si="5"/>
        <v>X</v>
      </c>
      <c r="G56" s="262" t="str">
        <f t="shared" ca="1" si="6"/>
        <v>þ</v>
      </c>
      <c r="J56" s="221"/>
    </row>
    <row r="57" spans="1:11" ht="24.95" customHeight="1" x14ac:dyDescent="0.45">
      <c r="A57" s="221">
        <v>46</v>
      </c>
      <c r="B57" s="222" t="s">
        <v>234</v>
      </c>
      <c r="E57" s="260" t="s">
        <v>871</v>
      </c>
      <c r="F57" s="261" t="str">
        <f t="shared" ca="1" si="5"/>
        <v>X</v>
      </c>
      <c r="G57" s="262" t="str">
        <f t="shared" ca="1" si="6"/>
        <v>þ</v>
      </c>
      <c r="J57" s="221"/>
    </row>
    <row r="58" spans="1:11" ht="24.95" customHeight="1" x14ac:dyDescent="0.45">
      <c r="A58" s="221">
        <v>47</v>
      </c>
      <c r="B58" s="222" t="s">
        <v>238</v>
      </c>
      <c r="E58" s="260" t="s">
        <v>872</v>
      </c>
      <c r="F58" s="261" t="str">
        <f t="shared" ca="1" si="5"/>
        <v>X</v>
      </c>
      <c r="G58" s="262" t="str">
        <f t="shared" ca="1" si="6"/>
        <v>þ</v>
      </c>
      <c r="J58" s="221"/>
    </row>
    <row r="59" spans="1:11" ht="24.95" customHeight="1" x14ac:dyDescent="0.45">
      <c r="A59" s="221">
        <v>48</v>
      </c>
      <c r="B59" s="222" t="s">
        <v>239</v>
      </c>
      <c r="E59" s="260" t="s">
        <v>873</v>
      </c>
      <c r="F59" s="261" t="str">
        <f t="shared" ca="1" si="5"/>
        <v>X</v>
      </c>
      <c r="G59" s="262" t="str">
        <f t="shared" ca="1" si="6"/>
        <v>þ</v>
      </c>
      <c r="J59" s="221"/>
    </row>
    <row r="60" spans="1:11" ht="24.95" customHeight="1" x14ac:dyDescent="0.45">
      <c r="A60" s="221">
        <v>49</v>
      </c>
      <c r="B60" s="222" t="s">
        <v>240</v>
      </c>
      <c r="E60" s="260" t="s">
        <v>874</v>
      </c>
      <c r="F60" s="261" t="str">
        <f t="shared" ca="1" si="5"/>
        <v>X</v>
      </c>
      <c r="G60" s="262" t="str">
        <f t="shared" ca="1" si="6"/>
        <v>þ</v>
      </c>
      <c r="J60" s="221"/>
    </row>
    <row r="61" spans="1:11" ht="24.95" customHeight="1" x14ac:dyDescent="0.45">
      <c r="A61" s="221">
        <v>50</v>
      </c>
      <c r="B61" s="222" t="s">
        <v>235</v>
      </c>
      <c r="E61" s="260" t="s">
        <v>875</v>
      </c>
      <c r="F61" s="261" t="str">
        <f t="shared" ca="1" si="5"/>
        <v>X</v>
      </c>
      <c r="G61" s="262" t="str">
        <f t="shared" ca="1" si="6"/>
        <v>þ</v>
      </c>
      <c r="J61" s="221"/>
    </row>
    <row r="62" spans="1:11" ht="24.95" customHeight="1" x14ac:dyDescent="0.45">
      <c r="A62" s="221">
        <v>51</v>
      </c>
      <c r="B62" s="222" t="s">
        <v>242</v>
      </c>
      <c r="E62" s="260" t="s">
        <v>876</v>
      </c>
      <c r="F62" s="261" t="str">
        <f t="shared" ca="1" si="5"/>
        <v>X</v>
      </c>
      <c r="G62" s="262" t="str">
        <f t="shared" ca="1" si="6"/>
        <v>þ</v>
      </c>
      <c r="J62" s="221"/>
    </row>
    <row r="63" spans="1:11" ht="24.95" customHeight="1" x14ac:dyDescent="0.45">
      <c r="A63" s="221">
        <v>52</v>
      </c>
      <c r="B63" s="222" t="s">
        <v>243</v>
      </c>
      <c r="E63" s="260" t="s">
        <v>877</v>
      </c>
      <c r="F63" s="261" t="str">
        <f t="shared" ca="1" si="5"/>
        <v>X</v>
      </c>
      <c r="G63" s="262" t="str">
        <f t="shared" ca="1" si="6"/>
        <v>þ</v>
      </c>
      <c r="J63" s="221"/>
    </row>
    <row r="64" spans="1:11" ht="24.95" customHeight="1" x14ac:dyDescent="0.45">
      <c r="A64" s="221">
        <v>53</v>
      </c>
      <c r="B64" s="222" t="s">
        <v>244</v>
      </c>
      <c r="E64" s="260" t="s">
        <v>878</v>
      </c>
      <c r="F64" s="261" t="str">
        <f t="shared" ca="1" si="5"/>
        <v>X</v>
      </c>
      <c r="G64" s="262" t="str">
        <f t="shared" ca="1" si="6"/>
        <v>þ</v>
      </c>
      <c r="J64" s="221"/>
    </row>
    <row r="65" spans="1:10" ht="24.95" customHeight="1" x14ac:dyDescent="0.45">
      <c r="A65" s="221">
        <v>54</v>
      </c>
      <c r="B65" s="222" t="s">
        <v>299</v>
      </c>
      <c r="E65" s="260" t="s">
        <v>879</v>
      </c>
      <c r="F65" s="261" t="str">
        <f t="shared" ca="1" si="5"/>
        <v>X</v>
      </c>
      <c r="G65" s="262" t="str">
        <f t="shared" ca="1" si="6"/>
        <v>þ</v>
      </c>
      <c r="J65" s="221"/>
    </row>
    <row r="66" spans="1:10" ht="24.95" customHeight="1" x14ac:dyDescent="0.45">
      <c r="A66" s="221">
        <v>55</v>
      </c>
      <c r="B66" s="222" t="s">
        <v>241</v>
      </c>
      <c r="E66" s="260" t="s">
        <v>880</v>
      </c>
      <c r="F66" s="261" t="str">
        <f t="shared" ca="1" si="5"/>
        <v>X</v>
      </c>
      <c r="G66" s="262" t="str">
        <f t="shared" ca="1" si="6"/>
        <v>þ</v>
      </c>
      <c r="J66" s="221"/>
    </row>
    <row r="67" spans="1:10" ht="24.95" customHeight="1" x14ac:dyDescent="0.45">
      <c r="A67" s="221">
        <v>56</v>
      </c>
      <c r="B67" s="222" t="s">
        <v>245</v>
      </c>
      <c r="E67" s="260" t="s">
        <v>881</v>
      </c>
      <c r="F67" s="261" t="str">
        <f t="shared" ca="1" si="5"/>
        <v>X</v>
      </c>
      <c r="G67" s="262" t="str">
        <f t="shared" ca="1" si="6"/>
        <v>þ</v>
      </c>
      <c r="J67" s="221"/>
    </row>
    <row r="68" spans="1:10" ht="24.95" customHeight="1" x14ac:dyDescent="0.45">
      <c r="A68" s="221">
        <v>57</v>
      </c>
      <c r="B68" s="222" t="s">
        <v>246</v>
      </c>
      <c r="E68" s="260" t="s">
        <v>882</v>
      </c>
      <c r="F68" s="261" t="str">
        <f t="shared" ca="1" si="5"/>
        <v>X</v>
      </c>
      <c r="G68" s="262" t="str">
        <f t="shared" ca="1" si="6"/>
        <v>þ</v>
      </c>
      <c r="J68" s="221"/>
    </row>
    <row r="69" spans="1:10" ht="24.95" customHeight="1" x14ac:dyDescent="0.45">
      <c r="A69" s="221">
        <v>58</v>
      </c>
      <c r="B69" s="222" t="s">
        <v>300</v>
      </c>
      <c r="E69" s="260" t="s">
        <v>883</v>
      </c>
      <c r="F69" s="261" t="str">
        <f t="shared" ca="1" si="5"/>
        <v>X</v>
      </c>
      <c r="G69" s="262" t="str">
        <f t="shared" ca="1" si="6"/>
        <v>þ</v>
      </c>
      <c r="J69" s="221"/>
    </row>
    <row r="70" spans="1:10" ht="24.95" customHeight="1" x14ac:dyDescent="0.45">
      <c r="A70" s="221">
        <v>59</v>
      </c>
      <c r="B70" s="222" t="s">
        <v>247</v>
      </c>
      <c r="E70" s="260" t="s">
        <v>884</v>
      </c>
      <c r="F70" s="261" t="str">
        <f t="shared" ca="1" si="5"/>
        <v>X</v>
      </c>
      <c r="G70" s="262" t="str">
        <f t="shared" ca="1" si="6"/>
        <v>þ</v>
      </c>
      <c r="J70" s="221"/>
    </row>
    <row r="71" spans="1:10" ht="24.95" customHeight="1" x14ac:dyDescent="0.45">
      <c r="A71" s="221">
        <v>60</v>
      </c>
      <c r="B71" s="222" t="s">
        <v>248</v>
      </c>
      <c r="E71" s="260" t="s">
        <v>885</v>
      </c>
      <c r="F71" s="261" t="str">
        <f t="shared" ca="1" si="5"/>
        <v>X</v>
      </c>
      <c r="G71" s="262" t="str">
        <f t="shared" ca="1" si="6"/>
        <v>þ</v>
      </c>
      <c r="J71" s="221"/>
    </row>
    <row r="74" spans="1:10" ht="24.95" customHeight="1" x14ac:dyDescent="0.45">
      <c r="G74" s="295"/>
    </row>
    <row r="75" spans="1:10" ht="24.95" customHeight="1" x14ac:dyDescent="0.45">
      <c r="G75" s="295"/>
    </row>
    <row r="76" spans="1:10" ht="24.95" customHeight="1" x14ac:dyDescent="0.45">
      <c r="G76" s="295"/>
    </row>
    <row r="77" spans="1:10" ht="24.95" customHeight="1" x14ac:dyDescent="0.45">
      <c r="G77" s="295"/>
    </row>
    <row r="78" spans="1:10" ht="24.95" customHeight="1" x14ac:dyDescent="0.45">
      <c r="G78" s="295"/>
    </row>
    <row r="79" spans="1:10" ht="24.95" customHeight="1" x14ac:dyDescent="0.45">
      <c r="G79" s="295"/>
    </row>
    <row r="80" spans="1:10" ht="24.95" customHeight="1" x14ac:dyDescent="0.45">
      <c r="G80" s="295"/>
    </row>
    <row r="81" spans="7:7" ht="24.95" customHeight="1" x14ac:dyDescent="0.45">
      <c r="G81" s="295"/>
    </row>
  </sheetData>
  <sheetProtection algorithmName="SHA-512" hashValue="VAgi4Gsmko9R3gVbaptno99RiX+2QManOflvdLjVSjjVfCeZdcgOlo9gkxnXnssz7yuinYNn9DMT2Qz0H5LVzw==" saltValue="7IRhdpJbVweb3fFoEMms3A==" spinCount="100000" sheet="1" objects="1" scenarios="1" formatCells="0" formatColumns="0" formatRows="0" sort="0" autoFilter="0"/>
  <mergeCells count="13">
    <mergeCell ref="Q14:S18"/>
    <mergeCell ref="J40:J41"/>
    <mergeCell ref="J42:J43"/>
    <mergeCell ref="J30:J31"/>
    <mergeCell ref="J32:J33"/>
    <mergeCell ref="J34:J35"/>
    <mergeCell ref="J36:J37"/>
    <mergeCell ref="J38:J39"/>
    <mergeCell ref="J50:J51"/>
    <mergeCell ref="J52:J53"/>
    <mergeCell ref="J44:J45"/>
    <mergeCell ref="J46:J47"/>
    <mergeCell ref="J48:J49"/>
  </mergeCells>
  <conditionalFormatting sqref="M5:O23">
    <cfRule type="expression" dxfId="181" priority="3">
      <formula>$V5="Y"</formula>
    </cfRule>
  </conditionalFormatting>
  <conditionalFormatting sqref="S4:S10">
    <cfRule type="expression" dxfId="180" priority="2">
      <formula>$T4="Y"</formula>
    </cfRule>
  </conditionalFormatting>
  <conditionalFormatting sqref="S11:S12">
    <cfRule type="expression" dxfId="179" priority="1">
      <formula>$T11="Y"</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 r:id="rId4" name="Button 30">
              <controlPr defaultSize="0" print="0" autoFill="0" autoPict="0" macro="[0]!Height_ALL">
                <anchor moveWithCells="1" sizeWithCells="1">
                  <from>
                    <xdr:col>10</xdr:col>
                    <xdr:colOff>152400</xdr:colOff>
                    <xdr:row>4</xdr:row>
                    <xdr:rowOff>38100</xdr:rowOff>
                  </from>
                  <to>
                    <xdr:col>10</xdr:col>
                    <xdr:colOff>638175</xdr:colOff>
                    <xdr:row>4</xdr:row>
                    <xdr:rowOff>295275</xdr:rowOff>
                  </to>
                </anchor>
              </controlPr>
            </control>
          </mc:Choice>
        </mc:AlternateContent>
        <mc:AlternateContent xmlns:mc="http://schemas.openxmlformats.org/markup-compatibility/2006">
          <mc:Choice Requires="x14">
            <control shapeId="1059" r:id="rId5" name="Button 35">
              <controlPr defaultSize="0" print="0" autoFill="0" autoPict="0" macro="[0]!Dist_ALL">
                <anchor moveWithCells="1" sizeWithCells="1">
                  <from>
                    <xdr:col>8</xdr:col>
                    <xdr:colOff>152400</xdr:colOff>
                    <xdr:row>3</xdr:row>
                    <xdr:rowOff>28575</xdr:rowOff>
                  </from>
                  <to>
                    <xdr:col>8</xdr:col>
                    <xdr:colOff>638175</xdr:colOff>
                    <xdr:row>3</xdr:row>
                    <xdr:rowOff>295275</xdr:rowOff>
                  </to>
                </anchor>
              </controlPr>
            </control>
          </mc:Choice>
        </mc:AlternateContent>
      </controls>
    </mc:Choice>
  </mc:AlternateContent>
  <tableParts count="1">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M28"/>
  <sheetViews>
    <sheetView workbookViewId="0">
      <pane xSplit="3" ySplit="2" topLeftCell="D3" activePane="bottomRight" state="frozen"/>
      <selection activeCell="N45" sqref="N45"/>
      <selection pane="topRight" activeCell="N45" sqref="N45"/>
      <selection pane="bottomLeft" activeCell="N45" sqref="N45"/>
      <selection pane="bottomRight" activeCell="Z27" sqref="Z27"/>
    </sheetView>
  </sheetViews>
  <sheetFormatPr defaultColWidth="8.86328125" defaultRowHeight="15" customHeight="1" x14ac:dyDescent="0.45"/>
  <cols>
    <col min="1" max="1" width="6.3984375" style="101" bestFit="1" customWidth="1"/>
    <col min="2" max="2" width="10.1328125" style="101" customWidth="1"/>
    <col min="3" max="3" width="8.86328125" style="101" customWidth="1"/>
    <col min="4" max="4" width="8.86328125" style="101"/>
    <col min="5" max="33" width="3.86328125" style="104" customWidth="1"/>
    <col min="34" max="34" width="8.86328125" style="104"/>
    <col min="35" max="39" width="8.86328125" style="104" customWidth="1"/>
    <col min="40" max="16384" width="8.86328125" style="101"/>
  </cols>
  <sheetData>
    <row r="1" spans="1:39" ht="15" customHeight="1" x14ac:dyDescent="0.45">
      <c r="E1" s="102" t="s">
        <v>1942</v>
      </c>
      <c r="F1" s="103"/>
      <c r="G1" s="103"/>
      <c r="H1" s="103"/>
      <c r="I1" s="103"/>
      <c r="J1" s="102" t="s">
        <v>1943</v>
      </c>
      <c r="K1" s="103"/>
      <c r="L1" s="103"/>
      <c r="M1" s="103"/>
      <c r="N1" s="103"/>
      <c r="O1" s="102" t="s">
        <v>205</v>
      </c>
      <c r="P1" s="103"/>
      <c r="Q1" s="103"/>
      <c r="R1" s="103"/>
      <c r="S1" s="103"/>
      <c r="T1" s="102" t="s">
        <v>206</v>
      </c>
      <c r="U1" s="103"/>
      <c r="V1" s="103"/>
      <c r="W1" s="103"/>
      <c r="X1" s="103"/>
      <c r="Y1" s="102" t="s">
        <v>207</v>
      </c>
      <c r="Z1" s="103"/>
      <c r="AA1" s="103"/>
      <c r="AB1" s="103"/>
      <c r="AC1" s="103"/>
      <c r="AD1" s="102" t="s">
        <v>208</v>
      </c>
      <c r="AE1" s="103"/>
      <c r="AF1" s="103"/>
      <c r="AG1" s="103"/>
    </row>
    <row r="2" spans="1:39" ht="15" customHeight="1" x14ac:dyDescent="0.45">
      <c r="E2" s="103">
        <v>1</v>
      </c>
      <c r="F2" s="103">
        <v>2</v>
      </c>
      <c r="G2" s="103">
        <v>3</v>
      </c>
      <c r="H2" s="103">
        <v>4</v>
      </c>
      <c r="I2" s="103"/>
      <c r="J2" s="103">
        <v>1</v>
      </c>
      <c r="K2" s="103">
        <v>2</v>
      </c>
      <c r="L2" s="103">
        <v>3</v>
      </c>
      <c r="M2" s="103">
        <v>4</v>
      </c>
      <c r="N2" s="103"/>
      <c r="O2" s="103">
        <v>1</v>
      </c>
      <c r="P2" s="103">
        <v>2</v>
      </c>
      <c r="Q2" s="103">
        <v>3</v>
      </c>
      <c r="R2" s="103">
        <v>4</v>
      </c>
      <c r="S2" s="103"/>
      <c r="T2" s="103">
        <v>1</v>
      </c>
      <c r="U2" s="103">
        <v>2</v>
      </c>
      <c r="V2" s="103">
        <v>3</v>
      </c>
      <c r="W2" s="103">
        <v>4</v>
      </c>
      <c r="X2" s="103"/>
      <c r="Y2" s="103">
        <v>1</v>
      </c>
      <c r="Z2" s="103">
        <v>2</v>
      </c>
      <c r="AA2" s="103">
        <v>3</v>
      </c>
      <c r="AB2" s="103">
        <v>4</v>
      </c>
      <c r="AC2" s="103"/>
      <c r="AD2" s="103">
        <v>1</v>
      </c>
      <c r="AE2" s="103">
        <v>2</v>
      </c>
      <c r="AF2" s="103">
        <v>3</v>
      </c>
      <c r="AG2" s="103">
        <v>4</v>
      </c>
    </row>
    <row r="3" spans="1:39" ht="15" customHeight="1" x14ac:dyDescent="0.35">
      <c r="A3" s="101" t="s">
        <v>231</v>
      </c>
      <c r="B3" s="101" t="s">
        <v>21</v>
      </c>
      <c r="C3" s="101" t="s">
        <v>9</v>
      </c>
      <c r="E3" s="454">
        <v>3</v>
      </c>
      <c r="F3" s="454">
        <v>6</v>
      </c>
      <c r="G3" s="454">
        <v>4</v>
      </c>
      <c r="H3" s="454">
        <v>5</v>
      </c>
      <c r="I3" s="453"/>
      <c r="J3" s="453">
        <v>6</v>
      </c>
      <c r="K3" s="453">
        <v>1</v>
      </c>
      <c r="L3" s="453">
        <v>2</v>
      </c>
      <c r="M3" s="453">
        <v>3</v>
      </c>
      <c r="N3" s="453"/>
      <c r="O3" s="453">
        <v>2</v>
      </c>
      <c r="P3" s="453">
        <v>4</v>
      </c>
      <c r="Q3" s="453">
        <v>3</v>
      </c>
      <c r="R3" s="453">
        <v>5</v>
      </c>
      <c r="S3" s="453"/>
      <c r="T3" s="454">
        <v>4</v>
      </c>
      <c r="U3" s="454">
        <v>3</v>
      </c>
      <c r="V3" s="454">
        <v>1</v>
      </c>
      <c r="W3" s="454">
        <v>5</v>
      </c>
      <c r="X3" s="453"/>
      <c r="Y3" s="453">
        <v>3</v>
      </c>
      <c r="Z3" s="453">
        <v>5</v>
      </c>
      <c r="AA3" s="453">
        <v>7</v>
      </c>
      <c r="AB3" s="453">
        <v>4</v>
      </c>
      <c r="AC3" s="453"/>
      <c r="AD3" s="453">
        <v>7</v>
      </c>
      <c r="AE3" s="453">
        <v>1</v>
      </c>
      <c r="AF3" s="453">
        <v>4</v>
      </c>
      <c r="AG3" s="453">
        <v>6</v>
      </c>
      <c r="AI3" s="455" t="s">
        <v>157</v>
      </c>
      <c r="AJ3" s="455" t="s">
        <v>139</v>
      </c>
      <c r="AK3" s="455" t="s">
        <v>131</v>
      </c>
      <c r="AL3" s="455" t="s">
        <v>140</v>
      </c>
      <c r="AM3" s="455" t="s">
        <v>141</v>
      </c>
    </row>
    <row r="4" spans="1:39" ht="15" customHeight="1" x14ac:dyDescent="0.35">
      <c r="A4" s="101" t="s">
        <v>232</v>
      </c>
      <c r="B4" s="101" t="s">
        <v>21</v>
      </c>
      <c r="C4" s="101" t="s">
        <v>7</v>
      </c>
      <c r="E4" s="454">
        <v>4</v>
      </c>
      <c r="F4" s="454">
        <v>3</v>
      </c>
      <c r="G4" s="454">
        <v>6</v>
      </c>
      <c r="H4" s="454">
        <v>2</v>
      </c>
      <c r="I4" s="453"/>
      <c r="J4" s="454">
        <v>4</v>
      </c>
      <c r="K4" s="454">
        <v>3</v>
      </c>
      <c r="L4" s="454">
        <v>7</v>
      </c>
      <c r="M4" s="454">
        <v>2</v>
      </c>
      <c r="N4" s="453"/>
      <c r="O4" s="453">
        <v>2</v>
      </c>
      <c r="P4" s="453">
        <v>4</v>
      </c>
      <c r="Q4" s="453">
        <v>3</v>
      </c>
      <c r="R4" s="453">
        <v>5</v>
      </c>
      <c r="S4" s="453"/>
      <c r="T4" s="454">
        <v>4</v>
      </c>
      <c r="U4" s="454">
        <v>3</v>
      </c>
      <c r="V4" s="454">
        <v>1</v>
      </c>
      <c r="W4" s="454">
        <v>5</v>
      </c>
      <c r="X4" s="453"/>
      <c r="Y4" s="453">
        <v>3</v>
      </c>
      <c r="Z4" s="453">
        <v>5</v>
      </c>
      <c r="AA4" s="453">
        <v>7</v>
      </c>
      <c r="AB4" s="453">
        <v>4</v>
      </c>
      <c r="AC4" s="453"/>
      <c r="AD4" s="453">
        <v>7</v>
      </c>
      <c r="AE4" s="453">
        <v>1</v>
      </c>
      <c r="AF4" s="453">
        <v>4</v>
      </c>
      <c r="AG4" s="453">
        <v>6</v>
      </c>
      <c r="AI4" s="455">
        <f>AJ4*10+AK4</f>
        <v>81</v>
      </c>
      <c r="AJ4" s="455">
        <v>8</v>
      </c>
      <c r="AK4" s="455">
        <v>1</v>
      </c>
      <c r="AL4" s="455" t="s">
        <v>1944</v>
      </c>
      <c r="AM4" s="455">
        <v>30</v>
      </c>
    </row>
    <row r="5" spans="1:39" ht="15" customHeight="1" x14ac:dyDescent="0.35">
      <c r="A5" s="101" t="s">
        <v>297</v>
      </c>
      <c r="B5" s="101" t="s">
        <v>22</v>
      </c>
      <c r="C5" s="101" t="s">
        <v>6</v>
      </c>
      <c r="E5" s="454">
        <f>E11</f>
        <v>2</v>
      </c>
      <c r="F5" s="454">
        <f t="shared" ref="F5:H5" si="0">F11</f>
        <v>5</v>
      </c>
      <c r="G5" s="454">
        <f t="shared" si="0"/>
        <v>1</v>
      </c>
      <c r="H5" s="454">
        <f t="shared" si="0"/>
        <v>4</v>
      </c>
      <c r="I5" s="453"/>
      <c r="J5" s="453">
        <v>6</v>
      </c>
      <c r="K5" s="453">
        <v>1</v>
      </c>
      <c r="L5" s="453">
        <v>2</v>
      </c>
      <c r="M5" s="453">
        <v>3</v>
      </c>
      <c r="N5" s="453"/>
      <c r="O5" s="453">
        <v>5</v>
      </c>
      <c r="P5" s="453">
        <v>2</v>
      </c>
      <c r="Q5" s="453">
        <v>4</v>
      </c>
      <c r="R5" s="453">
        <v>1</v>
      </c>
      <c r="S5" s="453"/>
      <c r="T5" s="454">
        <v>2</v>
      </c>
      <c r="U5" s="454">
        <v>5</v>
      </c>
      <c r="V5" s="454">
        <v>4</v>
      </c>
      <c r="W5" s="454">
        <v>6</v>
      </c>
      <c r="X5" s="453"/>
      <c r="Y5" s="453">
        <v>5</v>
      </c>
      <c r="Z5" s="453">
        <v>7</v>
      </c>
      <c r="AA5" s="453">
        <v>1</v>
      </c>
      <c r="AB5" s="453">
        <v>6</v>
      </c>
      <c r="AC5" s="453"/>
      <c r="AD5" s="453">
        <v>2</v>
      </c>
      <c r="AE5" s="453">
        <v>4</v>
      </c>
      <c r="AF5" s="453">
        <v>7</v>
      </c>
      <c r="AG5" s="453">
        <v>1</v>
      </c>
      <c r="AI5" s="455">
        <f>AJ4*10+AK5</f>
        <v>82</v>
      </c>
      <c r="AJ5" s="455"/>
      <c r="AK5" s="455">
        <v>2</v>
      </c>
      <c r="AL5" s="455" t="s">
        <v>1945</v>
      </c>
      <c r="AM5" s="455">
        <f>AM4+1</f>
        <v>31</v>
      </c>
    </row>
    <row r="6" spans="1:39" ht="15" customHeight="1" x14ac:dyDescent="0.35">
      <c r="A6" s="101" t="s">
        <v>233</v>
      </c>
      <c r="B6" s="101" t="s">
        <v>23</v>
      </c>
      <c r="C6" s="101" t="s">
        <v>7</v>
      </c>
      <c r="E6" s="454">
        <f>E4</f>
        <v>4</v>
      </c>
      <c r="F6" s="454">
        <f t="shared" ref="F6:H6" si="1">F4</f>
        <v>3</v>
      </c>
      <c r="G6" s="454">
        <f t="shared" si="1"/>
        <v>6</v>
      </c>
      <c r="H6" s="454">
        <f t="shared" si="1"/>
        <v>2</v>
      </c>
      <c r="I6" s="453"/>
      <c r="J6" s="454">
        <v>1</v>
      </c>
      <c r="K6" s="454">
        <v>2</v>
      </c>
      <c r="L6" s="454">
        <v>5</v>
      </c>
      <c r="M6" s="454">
        <v>6</v>
      </c>
      <c r="N6" s="453"/>
      <c r="O6" s="453">
        <v>4</v>
      </c>
      <c r="P6" s="453">
        <v>1</v>
      </c>
      <c r="Q6" s="453">
        <v>5</v>
      </c>
      <c r="R6" s="453">
        <v>3</v>
      </c>
      <c r="S6" s="453"/>
      <c r="T6" s="454">
        <v>5</v>
      </c>
      <c r="U6" s="454">
        <v>2</v>
      </c>
      <c r="V6" s="454">
        <v>6</v>
      </c>
      <c r="W6" s="454">
        <v>4</v>
      </c>
      <c r="X6" s="453"/>
      <c r="Y6" s="453">
        <v>4</v>
      </c>
      <c r="Z6" s="453">
        <v>6</v>
      </c>
      <c r="AA6" s="453">
        <v>2</v>
      </c>
      <c r="AB6" s="453">
        <v>3</v>
      </c>
      <c r="AC6" s="453"/>
      <c r="AD6" s="453">
        <v>1</v>
      </c>
      <c r="AE6" s="453">
        <v>3</v>
      </c>
      <c r="AF6" s="453">
        <v>6</v>
      </c>
      <c r="AG6" s="453">
        <v>8</v>
      </c>
      <c r="AI6" s="455">
        <f>AJ4*10+AK6</f>
        <v>83</v>
      </c>
      <c r="AJ6" s="455"/>
      <c r="AK6" s="455">
        <v>3</v>
      </c>
      <c r="AL6" s="455" t="s">
        <v>1946</v>
      </c>
      <c r="AM6" s="455">
        <f>AM5+1</f>
        <v>32</v>
      </c>
    </row>
    <row r="7" spans="1:39" ht="15" customHeight="1" x14ac:dyDescent="0.35">
      <c r="A7" s="101" t="s">
        <v>236</v>
      </c>
      <c r="B7" s="101" t="s">
        <v>24</v>
      </c>
      <c r="C7" s="101" t="s">
        <v>4</v>
      </c>
      <c r="E7" s="454">
        <f>E9</f>
        <v>5</v>
      </c>
      <c r="F7" s="454">
        <f t="shared" ref="F7:H7" si="2">F9</f>
        <v>4</v>
      </c>
      <c r="G7" s="454">
        <f t="shared" si="2"/>
        <v>3</v>
      </c>
      <c r="H7" s="454">
        <f t="shared" si="2"/>
        <v>1</v>
      </c>
      <c r="I7" s="453"/>
      <c r="J7" s="454">
        <v>4</v>
      </c>
      <c r="K7" s="454">
        <v>3</v>
      </c>
      <c r="L7" s="454">
        <v>7</v>
      </c>
      <c r="M7" s="454">
        <v>2</v>
      </c>
      <c r="N7" s="453"/>
      <c r="O7" s="453">
        <v>3</v>
      </c>
      <c r="P7" s="453">
        <v>5</v>
      </c>
      <c r="Q7" s="453">
        <v>1</v>
      </c>
      <c r="R7" s="453">
        <v>2</v>
      </c>
      <c r="S7" s="453"/>
      <c r="T7" s="454">
        <v>6</v>
      </c>
      <c r="U7" s="454">
        <v>1</v>
      </c>
      <c r="V7" s="454">
        <v>2</v>
      </c>
      <c r="W7" s="454">
        <v>3</v>
      </c>
      <c r="X7" s="453"/>
      <c r="Y7" s="453">
        <v>7</v>
      </c>
      <c r="Z7" s="453">
        <v>2</v>
      </c>
      <c r="AA7" s="453">
        <v>4</v>
      </c>
      <c r="AB7" s="453">
        <v>1</v>
      </c>
      <c r="AC7" s="453"/>
      <c r="AD7" s="453">
        <v>4</v>
      </c>
      <c r="AE7" s="453">
        <v>6</v>
      </c>
      <c r="AF7" s="453">
        <v>1</v>
      </c>
      <c r="AG7" s="453">
        <v>2</v>
      </c>
      <c r="AI7" s="455">
        <f>AJ4*10+AK7</f>
        <v>84</v>
      </c>
      <c r="AJ7" s="455"/>
      <c r="AK7" s="455">
        <v>4</v>
      </c>
      <c r="AL7" s="455" t="s">
        <v>144</v>
      </c>
      <c r="AM7" s="455">
        <f>AM6+1</f>
        <v>33</v>
      </c>
    </row>
    <row r="8" spans="1:39" ht="15" customHeight="1" x14ac:dyDescent="0.35">
      <c r="A8" s="101" t="s">
        <v>237</v>
      </c>
      <c r="B8" s="101" t="s">
        <v>25</v>
      </c>
      <c r="C8" s="101" t="s">
        <v>26</v>
      </c>
      <c r="E8" s="454">
        <v>6</v>
      </c>
      <c r="F8" s="454">
        <v>1</v>
      </c>
      <c r="G8" s="454">
        <v>2</v>
      </c>
      <c r="H8" s="454">
        <v>3</v>
      </c>
      <c r="I8" s="453"/>
      <c r="J8" s="453">
        <v>2</v>
      </c>
      <c r="K8" s="453">
        <v>7</v>
      </c>
      <c r="L8" s="453">
        <v>6</v>
      </c>
      <c r="M8" s="453">
        <v>1</v>
      </c>
      <c r="N8" s="453"/>
      <c r="O8" s="453">
        <v>1</v>
      </c>
      <c r="P8" s="453">
        <v>3</v>
      </c>
      <c r="Q8" s="453">
        <v>2</v>
      </c>
      <c r="R8" s="453">
        <v>4</v>
      </c>
      <c r="S8" s="453"/>
      <c r="T8" s="454">
        <v>1</v>
      </c>
      <c r="U8" s="454">
        <v>4</v>
      </c>
      <c r="V8" s="454">
        <v>3</v>
      </c>
      <c r="W8" s="454">
        <v>2</v>
      </c>
      <c r="X8" s="453"/>
      <c r="Y8" s="453">
        <v>1</v>
      </c>
      <c r="Z8" s="453">
        <v>3</v>
      </c>
      <c r="AA8" s="453">
        <v>5</v>
      </c>
      <c r="AB8" s="453">
        <v>2</v>
      </c>
      <c r="AC8" s="453"/>
      <c r="AD8" s="453">
        <v>5</v>
      </c>
      <c r="AE8" s="453">
        <v>7</v>
      </c>
      <c r="AF8" s="453">
        <v>2</v>
      </c>
      <c r="AG8" s="453">
        <v>3</v>
      </c>
      <c r="AI8" s="455">
        <f>AJ8*10+AK8</f>
        <v>71</v>
      </c>
      <c r="AJ8" s="455">
        <v>7</v>
      </c>
      <c r="AK8" s="455">
        <v>1</v>
      </c>
      <c r="AL8" s="455" t="s">
        <v>143</v>
      </c>
      <c r="AM8" s="455">
        <v>25</v>
      </c>
    </row>
    <row r="9" spans="1:39" ht="15" customHeight="1" x14ac:dyDescent="0.35">
      <c r="A9" s="101" t="s">
        <v>298</v>
      </c>
      <c r="B9" s="101" t="s">
        <v>22</v>
      </c>
      <c r="C9" s="101" t="s">
        <v>7</v>
      </c>
      <c r="E9" s="454">
        <v>5</v>
      </c>
      <c r="F9" s="454">
        <v>4</v>
      </c>
      <c r="G9" s="454">
        <v>3</v>
      </c>
      <c r="H9" s="454">
        <v>1</v>
      </c>
      <c r="I9" s="453"/>
      <c r="J9" s="454">
        <v>5</v>
      </c>
      <c r="K9" s="454">
        <v>4</v>
      </c>
      <c r="L9" s="454">
        <v>3</v>
      </c>
      <c r="M9" s="454">
        <v>7</v>
      </c>
      <c r="N9" s="453"/>
      <c r="O9" s="453">
        <v>2</v>
      </c>
      <c r="P9" s="453">
        <v>4</v>
      </c>
      <c r="Q9" s="453">
        <v>3</v>
      </c>
      <c r="R9" s="453">
        <v>5</v>
      </c>
      <c r="S9" s="453"/>
      <c r="T9" s="454">
        <v>4</v>
      </c>
      <c r="U9" s="454">
        <v>3</v>
      </c>
      <c r="V9" s="454">
        <v>1</v>
      </c>
      <c r="W9" s="454">
        <v>5</v>
      </c>
      <c r="X9" s="453"/>
      <c r="Y9" s="453">
        <v>6</v>
      </c>
      <c r="Z9" s="453">
        <v>1</v>
      </c>
      <c r="AA9" s="453">
        <v>3</v>
      </c>
      <c r="AB9" s="453">
        <v>7</v>
      </c>
      <c r="AC9" s="453"/>
      <c r="AD9" s="453">
        <v>3</v>
      </c>
      <c r="AE9" s="453">
        <v>5</v>
      </c>
      <c r="AF9" s="453">
        <v>8</v>
      </c>
      <c r="AG9" s="453">
        <v>4</v>
      </c>
      <c r="AI9" s="455">
        <f>AJ8*10+AK9</f>
        <v>72</v>
      </c>
      <c r="AJ9" s="455"/>
      <c r="AK9" s="455">
        <v>2</v>
      </c>
      <c r="AL9" s="455" t="s">
        <v>209</v>
      </c>
      <c r="AM9" s="455">
        <f>AM8+1</f>
        <v>26</v>
      </c>
    </row>
    <row r="10" spans="1:39" ht="15" customHeight="1" x14ac:dyDescent="0.35">
      <c r="A10" s="101" t="s">
        <v>234</v>
      </c>
      <c r="B10" s="101" t="s">
        <v>23</v>
      </c>
      <c r="C10" s="101" t="s">
        <v>6</v>
      </c>
      <c r="E10" s="454">
        <f>E4</f>
        <v>4</v>
      </c>
      <c r="F10" s="454">
        <f t="shared" ref="F10:H10" si="3">F4</f>
        <v>3</v>
      </c>
      <c r="G10" s="454">
        <f t="shared" si="3"/>
        <v>6</v>
      </c>
      <c r="H10" s="454">
        <f t="shared" si="3"/>
        <v>2</v>
      </c>
      <c r="I10" s="453"/>
      <c r="J10" s="453">
        <v>6</v>
      </c>
      <c r="K10" s="453">
        <v>1</v>
      </c>
      <c r="L10" s="453">
        <v>2</v>
      </c>
      <c r="M10" s="453">
        <v>3</v>
      </c>
      <c r="N10" s="453"/>
      <c r="O10" s="453">
        <v>5</v>
      </c>
      <c r="P10" s="453">
        <v>2</v>
      </c>
      <c r="Q10" s="453">
        <v>4</v>
      </c>
      <c r="R10" s="453">
        <v>1</v>
      </c>
      <c r="S10" s="453"/>
      <c r="T10" s="454">
        <v>2</v>
      </c>
      <c r="U10" s="454">
        <v>5</v>
      </c>
      <c r="V10" s="454">
        <v>4</v>
      </c>
      <c r="W10" s="454">
        <v>6</v>
      </c>
      <c r="X10" s="453"/>
      <c r="Y10" s="453">
        <v>3</v>
      </c>
      <c r="Z10" s="453">
        <v>5</v>
      </c>
      <c r="AA10" s="453">
        <v>7</v>
      </c>
      <c r="AB10" s="453">
        <v>4</v>
      </c>
      <c r="AC10" s="453"/>
      <c r="AD10" s="453">
        <v>8</v>
      </c>
      <c r="AE10" s="453">
        <v>2</v>
      </c>
      <c r="AF10" s="453">
        <v>5</v>
      </c>
      <c r="AG10" s="453">
        <v>7</v>
      </c>
      <c r="AI10" s="455">
        <f>AJ8*10+AK10</f>
        <v>73</v>
      </c>
      <c r="AJ10" s="455"/>
      <c r="AK10" s="455">
        <v>3</v>
      </c>
      <c r="AL10" s="455" t="s">
        <v>210</v>
      </c>
      <c r="AM10" s="455">
        <f>AM9+1</f>
        <v>27</v>
      </c>
    </row>
    <row r="11" spans="1:39" ht="15" customHeight="1" x14ac:dyDescent="0.35">
      <c r="A11" s="101" t="s">
        <v>238</v>
      </c>
      <c r="B11" s="101" t="s">
        <v>23</v>
      </c>
      <c r="C11" s="101" t="s">
        <v>4</v>
      </c>
      <c r="E11" s="454">
        <v>2</v>
      </c>
      <c r="F11" s="454">
        <v>5</v>
      </c>
      <c r="G11" s="454">
        <v>1</v>
      </c>
      <c r="H11" s="454">
        <v>4</v>
      </c>
      <c r="I11" s="453"/>
      <c r="J11" s="454">
        <v>1</v>
      </c>
      <c r="K11" s="454">
        <v>2</v>
      </c>
      <c r="L11" s="454">
        <v>5</v>
      </c>
      <c r="M11" s="454">
        <v>6</v>
      </c>
      <c r="N11" s="453"/>
      <c r="O11" s="453">
        <v>5</v>
      </c>
      <c r="P11" s="453">
        <v>2</v>
      </c>
      <c r="Q11" s="453">
        <v>4</v>
      </c>
      <c r="R11" s="453">
        <v>1</v>
      </c>
      <c r="S11" s="453"/>
      <c r="T11" s="454">
        <v>2</v>
      </c>
      <c r="U11" s="454">
        <v>5</v>
      </c>
      <c r="V11" s="454">
        <v>4</v>
      </c>
      <c r="W11" s="454">
        <v>6</v>
      </c>
      <c r="X11" s="453"/>
      <c r="Y11" s="453">
        <v>3</v>
      </c>
      <c r="Z11" s="453">
        <v>5</v>
      </c>
      <c r="AA11" s="453">
        <v>7</v>
      </c>
      <c r="AB11" s="453">
        <v>4</v>
      </c>
      <c r="AC11" s="453"/>
      <c r="AD11" s="453">
        <v>8</v>
      </c>
      <c r="AE11" s="453">
        <v>2</v>
      </c>
      <c r="AF11" s="453">
        <v>5</v>
      </c>
      <c r="AG11" s="453">
        <v>7</v>
      </c>
      <c r="AI11" s="455">
        <f>AJ8*10+AK11</f>
        <v>74</v>
      </c>
      <c r="AJ11" s="455"/>
      <c r="AK11" s="455">
        <v>4</v>
      </c>
      <c r="AL11" s="455" t="s">
        <v>211</v>
      </c>
      <c r="AM11" s="455">
        <f>AM10+1</f>
        <v>28</v>
      </c>
    </row>
    <row r="12" spans="1:39" ht="15" customHeight="1" x14ac:dyDescent="0.35">
      <c r="A12" s="101" t="s">
        <v>239</v>
      </c>
      <c r="B12" s="101" t="s">
        <v>27</v>
      </c>
      <c r="C12" s="101" t="s">
        <v>9</v>
      </c>
      <c r="E12" s="454">
        <f>E3</f>
        <v>3</v>
      </c>
      <c r="F12" s="454">
        <f t="shared" ref="F12:H12" si="4">F3</f>
        <v>6</v>
      </c>
      <c r="G12" s="454">
        <f t="shared" si="4"/>
        <v>4</v>
      </c>
      <c r="H12" s="454">
        <f t="shared" si="4"/>
        <v>5</v>
      </c>
      <c r="I12" s="453"/>
      <c r="J12" s="454">
        <v>7</v>
      </c>
      <c r="K12" s="454">
        <v>5</v>
      </c>
      <c r="L12" s="454">
        <v>1</v>
      </c>
      <c r="M12" s="454">
        <v>4</v>
      </c>
      <c r="N12" s="453"/>
      <c r="O12" s="453">
        <v>3</v>
      </c>
      <c r="P12" s="453">
        <v>5</v>
      </c>
      <c r="Q12" s="453">
        <v>1</v>
      </c>
      <c r="R12" s="453">
        <v>2</v>
      </c>
      <c r="S12" s="453"/>
      <c r="T12" s="454">
        <v>3</v>
      </c>
      <c r="U12" s="454">
        <v>6</v>
      </c>
      <c r="V12" s="454">
        <v>5</v>
      </c>
      <c r="W12" s="454">
        <v>1</v>
      </c>
      <c r="X12" s="453"/>
      <c r="Y12" s="453">
        <v>2</v>
      </c>
      <c r="Z12" s="453">
        <v>4</v>
      </c>
      <c r="AA12" s="453">
        <v>6</v>
      </c>
      <c r="AB12" s="453">
        <v>5</v>
      </c>
      <c r="AC12" s="453"/>
      <c r="AD12" s="453">
        <v>8</v>
      </c>
      <c r="AE12" s="453">
        <v>2</v>
      </c>
      <c r="AF12" s="453">
        <v>5</v>
      </c>
      <c r="AG12" s="453">
        <v>7</v>
      </c>
      <c r="AI12" s="455">
        <f>AJ12*10+AK12</f>
        <v>61</v>
      </c>
      <c r="AJ12" s="455">
        <v>6</v>
      </c>
      <c r="AK12" s="455">
        <v>1</v>
      </c>
      <c r="AL12" s="455" t="s">
        <v>212</v>
      </c>
      <c r="AM12" s="455">
        <v>20</v>
      </c>
    </row>
    <row r="13" spans="1:39" ht="15" customHeight="1" x14ac:dyDescent="0.35">
      <c r="A13" s="101" t="s">
        <v>240</v>
      </c>
      <c r="B13" s="101" t="s">
        <v>27</v>
      </c>
      <c r="C13" s="101" t="s">
        <v>7</v>
      </c>
      <c r="E13" s="454">
        <f>E3</f>
        <v>3</v>
      </c>
      <c r="F13" s="454">
        <f t="shared" ref="F13:H13" si="5">F3</f>
        <v>6</v>
      </c>
      <c r="G13" s="454">
        <f t="shared" si="5"/>
        <v>4</v>
      </c>
      <c r="H13" s="454">
        <f t="shared" si="5"/>
        <v>5</v>
      </c>
      <c r="I13" s="453"/>
      <c r="J13" s="454">
        <v>7</v>
      </c>
      <c r="K13" s="454">
        <v>5</v>
      </c>
      <c r="L13" s="454">
        <v>1</v>
      </c>
      <c r="M13" s="454">
        <v>4</v>
      </c>
      <c r="N13" s="453"/>
      <c r="O13" s="453">
        <v>3</v>
      </c>
      <c r="P13" s="453">
        <v>5</v>
      </c>
      <c r="Q13" s="453">
        <v>1</v>
      </c>
      <c r="R13" s="453">
        <v>2</v>
      </c>
      <c r="S13" s="453"/>
      <c r="T13" s="454">
        <v>3</v>
      </c>
      <c r="U13" s="454">
        <v>6</v>
      </c>
      <c r="V13" s="454">
        <v>5</v>
      </c>
      <c r="W13" s="454">
        <v>1</v>
      </c>
      <c r="X13" s="453"/>
      <c r="Y13" s="453">
        <v>2</v>
      </c>
      <c r="Z13" s="453">
        <v>4</v>
      </c>
      <c r="AA13" s="453">
        <v>6</v>
      </c>
      <c r="AB13" s="453">
        <v>5</v>
      </c>
      <c r="AC13" s="453"/>
      <c r="AD13" s="453">
        <v>8</v>
      </c>
      <c r="AE13" s="453">
        <v>2</v>
      </c>
      <c r="AF13" s="453">
        <v>5</v>
      </c>
      <c r="AG13" s="453">
        <v>7</v>
      </c>
      <c r="AI13" s="455">
        <f>AJ12*10+AK13</f>
        <v>62</v>
      </c>
      <c r="AJ13" s="455"/>
      <c r="AK13" s="455">
        <v>2</v>
      </c>
      <c r="AL13" s="455" t="s">
        <v>213</v>
      </c>
      <c r="AM13" s="455">
        <f>AM12+1</f>
        <v>21</v>
      </c>
    </row>
    <row r="14" spans="1:39" ht="15" customHeight="1" x14ac:dyDescent="0.35">
      <c r="A14" s="101" t="s">
        <v>235</v>
      </c>
      <c r="B14" s="101" t="s">
        <v>25</v>
      </c>
      <c r="C14" s="101" t="s">
        <v>7</v>
      </c>
      <c r="E14" s="454">
        <f>E11</f>
        <v>2</v>
      </c>
      <c r="F14" s="454">
        <f t="shared" ref="F14:H14" si="6">F11</f>
        <v>5</v>
      </c>
      <c r="G14" s="454">
        <f t="shared" si="6"/>
        <v>1</v>
      </c>
      <c r="H14" s="454">
        <f t="shared" si="6"/>
        <v>4</v>
      </c>
      <c r="I14" s="453"/>
      <c r="J14" s="454">
        <v>5</v>
      </c>
      <c r="K14" s="454">
        <v>4</v>
      </c>
      <c r="L14" s="454">
        <v>3</v>
      </c>
      <c r="M14" s="454">
        <v>7</v>
      </c>
      <c r="N14" s="453"/>
      <c r="O14" s="453">
        <v>4</v>
      </c>
      <c r="P14" s="453">
        <v>1</v>
      </c>
      <c r="Q14" s="453">
        <v>5</v>
      </c>
      <c r="R14" s="453">
        <v>3</v>
      </c>
      <c r="S14" s="453"/>
      <c r="T14" s="454">
        <v>6</v>
      </c>
      <c r="U14" s="454">
        <v>1</v>
      </c>
      <c r="V14" s="454">
        <v>2</v>
      </c>
      <c r="W14" s="454">
        <v>3</v>
      </c>
      <c r="X14" s="453"/>
      <c r="Y14" s="453">
        <v>5</v>
      </c>
      <c r="Z14" s="453">
        <v>7</v>
      </c>
      <c r="AA14" s="453">
        <v>1</v>
      </c>
      <c r="AB14" s="453">
        <v>6</v>
      </c>
      <c r="AC14" s="453"/>
      <c r="AD14" s="453">
        <v>1</v>
      </c>
      <c r="AE14" s="453">
        <v>3</v>
      </c>
      <c r="AF14" s="453">
        <v>6</v>
      </c>
      <c r="AG14" s="453">
        <v>8</v>
      </c>
      <c r="AI14" s="455">
        <f>AJ12*10+AK14</f>
        <v>63</v>
      </c>
      <c r="AJ14" s="455"/>
      <c r="AK14" s="455">
        <v>3</v>
      </c>
      <c r="AL14" s="455" t="s">
        <v>214</v>
      </c>
      <c r="AM14" s="455">
        <f>AM13+1</f>
        <v>22</v>
      </c>
    </row>
    <row r="15" spans="1:39" ht="15" customHeight="1" x14ac:dyDescent="0.35">
      <c r="A15" s="101" t="s">
        <v>242</v>
      </c>
      <c r="B15" s="101" t="s">
        <v>24</v>
      </c>
      <c r="C15" s="101" t="s">
        <v>9</v>
      </c>
      <c r="E15" s="454">
        <f>E8</f>
        <v>6</v>
      </c>
      <c r="F15" s="454">
        <f t="shared" ref="F15:H15" si="7">F8</f>
        <v>1</v>
      </c>
      <c r="G15" s="454">
        <f t="shared" si="7"/>
        <v>2</v>
      </c>
      <c r="H15" s="454">
        <f t="shared" si="7"/>
        <v>3</v>
      </c>
      <c r="I15" s="453"/>
      <c r="J15" s="453">
        <v>2</v>
      </c>
      <c r="K15" s="453">
        <v>7</v>
      </c>
      <c r="L15" s="453">
        <v>6</v>
      </c>
      <c r="M15" s="453">
        <v>1</v>
      </c>
      <c r="N15" s="453"/>
      <c r="O15" s="453">
        <v>1</v>
      </c>
      <c r="P15" s="453">
        <v>3</v>
      </c>
      <c r="Q15" s="453">
        <v>2</v>
      </c>
      <c r="R15" s="453">
        <v>4</v>
      </c>
      <c r="S15" s="453"/>
      <c r="T15" s="454">
        <v>5</v>
      </c>
      <c r="U15" s="454">
        <v>2</v>
      </c>
      <c r="V15" s="454">
        <v>6</v>
      </c>
      <c r="W15" s="454">
        <v>4</v>
      </c>
      <c r="X15" s="453"/>
      <c r="Y15" s="453">
        <v>4</v>
      </c>
      <c r="Z15" s="453">
        <v>6</v>
      </c>
      <c r="AA15" s="453">
        <v>2</v>
      </c>
      <c r="AB15" s="453">
        <v>3</v>
      </c>
      <c r="AC15" s="453"/>
      <c r="AD15" s="453">
        <v>7</v>
      </c>
      <c r="AE15" s="453">
        <v>1</v>
      </c>
      <c r="AF15" s="453">
        <v>4</v>
      </c>
      <c r="AG15" s="453">
        <v>6</v>
      </c>
      <c r="AI15" s="455">
        <f>AJ12*10+AK15</f>
        <v>64</v>
      </c>
      <c r="AJ15" s="455"/>
      <c r="AK15" s="455">
        <v>4</v>
      </c>
      <c r="AL15" s="455" t="s">
        <v>215</v>
      </c>
      <c r="AM15" s="455">
        <f>AM14+1</f>
        <v>23</v>
      </c>
    </row>
    <row r="16" spans="1:39" ht="15" customHeight="1" x14ac:dyDescent="0.35">
      <c r="A16" s="101" t="s">
        <v>243</v>
      </c>
      <c r="B16" s="101" t="s">
        <v>28</v>
      </c>
      <c r="C16" s="101" t="s">
        <v>9</v>
      </c>
      <c r="E16" s="454">
        <f>E8</f>
        <v>6</v>
      </c>
      <c r="F16" s="454">
        <f t="shared" ref="F16:H16" si="8">F8</f>
        <v>1</v>
      </c>
      <c r="G16" s="454">
        <f t="shared" si="8"/>
        <v>2</v>
      </c>
      <c r="H16" s="454">
        <f t="shared" si="8"/>
        <v>3</v>
      </c>
      <c r="I16" s="453"/>
      <c r="J16" s="454">
        <v>1</v>
      </c>
      <c r="K16" s="454">
        <v>2</v>
      </c>
      <c r="L16" s="454">
        <v>5</v>
      </c>
      <c r="M16" s="454">
        <v>6</v>
      </c>
      <c r="N16" s="453"/>
      <c r="O16" s="453">
        <v>2</v>
      </c>
      <c r="P16" s="453">
        <v>4</v>
      </c>
      <c r="Q16" s="453">
        <v>3</v>
      </c>
      <c r="R16" s="453">
        <v>5</v>
      </c>
      <c r="S16" s="453"/>
      <c r="T16" s="454">
        <v>1</v>
      </c>
      <c r="U16" s="454">
        <v>4</v>
      </c>
      <c r="V16" s="454">
        <v>3</v>
      </c>
      <c r="W16" s="454">
        <v>2</v>
      </c>
      <c r="X16" s="453"/>
      <c r="Y16" s="453">
        <v>7</v>
      </c>
      <c r="Z16" s="453">
        <v>2</v>
      </c>
      <c r="AA16" s="453">
        <v>4</v>
      </c>
      <c r="AB16" s="453">
        <v>1</v>
      </c>
      <c r="AC16" s="453"/>
      <c r="AD16" s="453">
        <v>2</v>
      </c>
      <c r="AE16" s="453">
        <v>4</v>
      </c>
      <c r="AF16" s="453">
        <v>7</v>
      </c>
      <c r="AG16" s="453">
        <v>1</v>
      </c>
      <c r="AI16" s="455">
        <f>AJ16*10+AK16</f>
        <v>51</v>
      </c>
      <c r="AJ16" s="455">
        <v>5</v>
      </c>
      <c r="AK16" s="455">
        <v>1</v>
      </c>
      <c r="AL16" s="455" t="s">
        <v>216</v>
      </c>
      <c r="AM16" s="455">
        <v>14</v>
      </c>
    </row>
    <row r="17" spans="1:39" ht="15" customHeight="1" x14ac:dyDescent="0.35">
      <c r="A17" s="101" t="s">
        <v>244</v>
      </c>
      <c r="B17" s="101" t="s">
        <v>28</v>
      </c>
      <c r="C17" s="101" t="s">
        <v>7</v>
      </c>
      <c r="E17" s="454">
        <f>E20</f>
        <v>1</v>
      </c>
      <c r="F17" s="454">
        <f t="shared" ref="F17:H17" si="9">F20</f>
        <v>2</v>
      </c>
      <c r="G17" s="454">
        <f t="shared" si="9"/>
        <v>5</v>
      </c>
      <c r="H17" s="454">
        <f t="shared" si="9"/>
        <v>6</v>
      </c>
      <c r="I17" s="453"/>
      <c r="J17" s="454">
        <v>3</v>
      </c>
      <c r="K17" s="454">
        <v>6</v>
      </c>
      <c r="L17" s="454">
        <v>4</v>
      </c>
      <c r="M17" s="454">
        <v>5</v>
      </c>
      <c r="N17" s="453"/>
      <c r="O17" s="453">
        <v>5</v>
      </c>
      <c r="P17" s="453">
        <v>2</v>
      </c>
      <c r="Q17" s="453">
        <v>4</v>
      </c>
      <c r="R17" s="453">
        <v>1</v>
      </c>
      <c r="S17" s="453"/>
      <c r="T17" s="454">
        <v>4</v>
      </c>
      <c r="U17" s="454">
        <v>3</v>
      </c>
      <c r="V17" s="454">
        <v>1</v>
      </c>
      <c r="W17" s="454">
        <v>5</v>
      </c>
      <c r="X17" s="453"/>
      <c r="Y17" s="453">
        <v>4</v>
      </c>
      <c r="Z17" s="453">
        <v>6</v>
      </c>
      <c r="AA17" s="453">
        <v>2</v>
      </c>
      <c r="AB17" s="453">
        <v>3</v>
      </c>
      <c r="AC17" s="453"/>
      <c r="AD17" s="453">
        <v>4</v>
      </c>
      <c r="AE17" s="453">
        <v>6</v>
      </c>
      <c r="AF17" s="453">
        <v>1</v>
      </c>
      <c r="AG17" s="453">
        <v>2</v>
      </c>
      <c r="AI17" s="455">
        <f>AJ16*10+AK17</f>
        <v>52</v>
      </c>
      <c r="AJ17" s="455"/>
      <c r="AK17" s="455">
        <v>2</v>
      </c>
      <c r="AL17" s="455" t="s">
        <v>217</v>
      </c>
      <c r="AM17" s="455">
        <f>AM16+1</f>
        <v>15</v>
      </c>
    </row>
    <row r="18" spans="1:39" ht="15" customHeight="1" x14ac:dyDescent="0.35">
      <c r="A18" s="101" t="s">
        <v>299</v>
      </c>
      <c r="B18" s="101" t="s">
        <v>22</v>
      </c>
      <c r="C18" s="101" t="s">
        <v>4</v>
      </c>
      <c r="E18" s="454">
        <f>E3</f>
        <v>3</v>
      </c>
      <c r="F18" s="454">
        <f t="shared" ref="F18:H18" si="10">F3</f>
        <v>6</v>
      </c>
      <c r="G18" s="454">
        <f t="shared" si="10"/>
        <v>4</v>
      </c>
      <c r="H18" s="454">
        <f t="shared" si="10"/>
        <v>5</v>
      </c>
      <c r="I18" s="453"/>
      <c r="J18" s="454">
        <v>4</v>
      </c>
      <c r="K18" s="454">
        <v>3</v>
      </c>
      <c r="L18" s="454">
        <v>7</v>
      </c>
      <c r="M18" s="454">
        <v>2</v>
      </c>
      <c r="N18" s="453"/>
      <c r="O18" s="453">
        <v>4</v>
      </c>
      <c r="P18" s="453">
        <v>1</v>
      </c>
      <c r="Q18" s="453">
        <v>5</v>
      </c>
      <c r="R18" s="453">
        <v>3</v>
      </c>
      <c r="S18" s="453"/>
      <c r="T18" s="454">
        <v>5</v>
      </c>
      <c r="U18" s="454">
        <v>2</v>
      </c>
      <c r="V18" s="454">
        <v>6</v>
      </c>
      <c r="W18" s="454">
        <v>4</v>
      </c>
      <c r="X18" s="453"/>
      <c r="Y18" s="453">
        <v>1</v>
      </c>
      <c r="Z18" s="453">
        <v>3</v>
      </c>
      <c r="AA18" s="453">
        <v>5</v>
      </c>
      <c r="AB18" s="453">
        <v>2</v>
      </c>
      <c r="AC18" s="453"/>
      <c r="AD18" s="453">
        <v>5</v>
      </c>
      <c r="AE18" s="453">
        <v>7</v>
      </c>
      <c r="AF18" s="453">
        <v>2</v>
      </c>
      <c r="AG18" s="453">
        <v>3</v>
      </c>
      <c r="AI18" s="455">
        <f>AJ16*10+AK18</f>
        <v>53</v>
      </c>
      <c r="AJ18" s="455"/>
      <c r="AK18" s="455">
        <v>3</v>
      </c>
      <c r="AL18" s="455" t="s">
        <v>142</v>
      </c>
      <c r="AM18" s="455">
        <f>AM17+1</f>
        <v>16</v>
      </c>
    </row>
    <row r="19" spans="1:39" ht="15" customHeight="1" x14ac:dyDescent="0.35">
      <c r="A19" s="101" t="s">
        <v>241</v>
      </c>
      <c r="B19" s="101" t="s">
        <v>23</v>
      </c>
      <c r="C19" s="101" t="s">
        <v>9</v>
      </c>
      <c r="E19" s="454">
        <f>E9</f>
        <v>5</v>
      </c>
      <c r="F19" s="454">
        <f t="shared" ref="F19:H19" si="11">F9</f>
        <v>4</v>
      </c>
      <c r="G19" s="454">
        <f t="shared" si="11"/>
        <v>3</v>
      </c>
      <c r="H19" s="454">
        <f t="shared" si="11"/>
        <v>1</v>
      </c>
      <c r="I19" s="453"/>
      <c r="J19" s="453">
        <v>2</v>
      </c>
      <c r="K19" s="453">
        <v>7</v>
      </c>
      <c r="L19" s="453">
        <v>6</v>
      </c>
      <c r="M19" s="453">
        <v>1</v>
      </c>
      <c r="N19" s="453"/>
      <c r="O19" s="453">
        <v>3</v>
      </c>
      <c r="P19" s="453">
        <v>5</v>
      </c>
      <c r="Q19" s="453">
        <v>1</v>
      </c>
      <c r="R19" s="453">
        <v>2</v>
      </c>
      <c r="S19" s="453"/>
      <c r="T19" s="454">
        <v>6</v>
      </c>
      <c r="U19" s="454">
        <v>1</v>
      </c>
      <c r="V19" s="454">
        <v>2</v>
      </c>
      <c r="W19" s="454">
        <v>3</v>
      </c>
      <c r="X19" s="453"/>
      <c r="Y19" s="453">
        <v>5</v>
      </c>
      <c r="Z19" s="453">
        <v>7</v>
      </c>
      <c r="AA19" s="453">
        <v>1</v>
      </c>
      <c r="AB19" s="453">
        <v>6</v>
      </c>
      <c r="AC19" s="453"/>
      <c r="AD19" s="453">
        <v>3</v>
      </c>
      <c r="AE19" s="453">
        <v>5</v>
      </c>
      <c r="AF19" s="453">
        <v>8</v>
      </c>
      <c r="AG19" s="453">
        <v>4</v>
      </c>
      <c r="AI19" s="455">
        <f>AJ16*10+AK19</f>
        <v>54</v>
      </c>
      <c r="AJ19" s="455"/>
      <c r="AK19" s="455">
        <v>4</v>
      </c>
      <c r="AL19" s="455" t="s">
        <v>218</v>
      </c>
      <c r="AM19" s="455">
        <f>AM18+1</f>
        <v>17</v>
      </c>
    </row>
    <row r="20" spans="1:39" ht="15" customHeight="1" x14ac:dyDescent="0.35">
      <c r="A20" s="101" t="s">
        <v>245</v>
      </c>
      <c r="B20" s="101" t="s">
        <v>24</v>
      </c>
      <c r="C20" s="101" t="s">
        <v>6</v>
      </c>
      <c r="E20" s="454">
        <v>1</v>
      </c>
      <c r="F20" s="454">
        <v>2</v>
      </c>
      <c r="G20" s="454">
        <v>5</v>
      </c>
      <c r="H20" s="454">
        <v>6</v>
      </c>
      <c r="I20" s="453"/>
      <c r="J20" s="454">
        <v>3</v>
      </c>
      <c r="K20" s="454">
        <v>6</v>
      </c>
      <c r="L20" s="454">
        <v>4</v>
      </c>
      <c r="M20" s="454">
        <v>5</v>
      </c>
      <c r="N20" s="453"/>
      <c r="O20" s="453">
        <v>1</v>
      </c>
      <c r="P20" s="453">
        <v>3</v>
      </c>
      <c r="Q20" s="453">
        <v>2</v>
      </c>
      <c r="R20" s="453">
        <v>4</v>
      </c>
      <c r="S20" s="453"/>
      <c r="T20" s="454">
        <v>3</v>
      </c>
      <c r="U20" s="454">
        <v>6</v>
      </c>
      <c r="V20" s="454">
        <v>5</v>
      </c>
      <c r="W20" s="454">
        <v>1</v>
      </c>
      <c r="X20" s="453"/>
      <c r="Y20" s="453">
        <v>6</v>
      </c>
      <c r="Z20" s="453">
        <v>1</v>
      </c>
      <c r="AA20" s="453">
        <v>3</v>
      </c>
      <c r="AB20" s="453">
        <v>7</v>
      </c>
      <c r="AC20" s="453"/>
      <c r="AD20" s="453">
        <v>1</v>
      </c>
      <c r="AE20" s="453">
        <v>3</v>
      </c>
      <c r="AF20" s="453">
        <v>6</v>
      </c>
      <c r="AG20" s="453">
        <v>8</v>
      </c>
      <c r="AI20" s="455"/>
      <c r="AJ20" s="455"/>
      <c r="AK20" s="455"/>
      <c r="AL20" s="455"/>
      <c r="AM20" s="455"/>
    </row>
    <row r="21" spans="1:39" ht="15" customHeight="1" x14ac:dyDescent="0.45">
      <c r="A21" s="101" t="s">
        <v>246</v>
      </c>
      <c r="B21" s="101" t="s">
        <v>28</v>
      </c>
      <c r="C21" s="101" t="s">
        <v>6</v>
      </c>
      <c r="E21" s="454">
        <f>E4</f>
        <v>4</v>
      </c>
      <c r="F21" s="454">
        <f t="shared" ref="F21:H21" si="12">F4</f>
        <v>3</v>
      </c>
      <c r="G21" s="454">
        <f t="shared" si="12"/>
        <v>6</v>
      </c>
      <c r="H21" s="454">
        <f t="shared" si="12"/>
        <v>2</v>
      </c>
      <c r="I21" s="453"/>
      <c r="J21" s="454">
        <v>5</v>
      </c>
      <c r="K21" s="454">
        <v>4</v>
      </c>
      <c r="L21" s="454">
        <v>3</v>
      </c>
      <c r="M21" s="454">
        <v>7</v>
      </c>
      <c r="N21" s="453"/>
      <c r="O21" s="453">
        <v>2</v>
      </c>
      <c r="P21" s="453">
        <v>4</v>
      </c>
      <c r="Q21" s="453">
        <v>3</v>
      </c>
      <c r="R21" s="453">
        <v>5</v>
      </c>
      <c r="S21" s="453"/>
      <c r="T21" s="454">
        <v>2</v>
      </c>
      <c r="U21" s="454">
        <v>5</v>
      </c>
      <c r="V21" s="454">
        <v>4</v>
      </c>
      <c r="W21" s="454">
        <v>6</v>
      </c>
      <c r="X21" s="453"/>
      <c r="Y21" s="453">
        <v>2</v>
      </c>
      <c r="Z21" s="453">
        <v>4</v>
      </c>
      <c r="AA21" s="453">
        <v>6</v>
      </c>
      <c r="AB21" s="453">
        <v>5</v>
      </c>
      <c r="AC21" s="453"/>
      <c r="AD21" s="453">
        <v>8</v>
      </c>
      <c r="AE21" s="453">
        <v>2</v>
      </c>
      <c r="AF21" s="453">
        <v>5</v>
      </c>
      <c r="AG21" s="453">
        <v>7</v>
      </c>
      <c r="AI21" s="104">
        <v>61</v>
      </c>
      <c r="AJ21" s="104">
        <v>6</v>
      </c>
      <c r="AK21" s="104">
        <v>1</v>
      </c>
      <c r="AL21" s="104" t="s">
        <v>223</v>
      </c>
      <c r="AM21" s="104">
        <v>5</v>
      </c>
    </row>
    <row r="22" spans="1:39" ht="15" customHeight="1" x14ac:dyDescent="0.45">
      <c r="A22" s="101" t="s">
        <v>300</v>
      </c>
      <c r="B22" s="101" t="s">
        <v>22</v>
      </c>
      <c r="C22" s="101" t="s">
        <v>9</v>
      </c>
      <c r="E22" s="454">
        <f>E20</f>
        <v>1</v>
      </c>
      <c r="F22" s="454">
        <f t="shared" ref="F22:H22" si="13">F20</f>
        <v>2</v>
      </c>
      <c r="G22" s="454">
        <f t="shared" si="13"/>
        <v>5</v>
      </c>
      <c r="H22" s="454">
        <f t="shared" si="13"/>
        <v>6</v>
      </c>
      <c r="I22" s="453"/>
      <c r="J22" s="454">
        <v>3</v>
      </c>
      <c r="K22" s="454">
        <v>6</v>
      </c>
      <c r="L22" s="454">
        <v>4</v>
      </c>
      <c r="M22" s="454">
        <v>5</v>
      </c>
      <c r="N22" s="453"/>
      <c r="O22" s="453">
        <v>5</v>
      </c>
      <c r="P22" s="453">
        <v>2</v>
      </c>
      <c r="Q22" s="453">
        <v>4</v>
      </c>
      <c r="R22" s="453">
        <v>1</v>
      </c>
      <c r="S22" s="453"/>
      <c r="T22" s="454">
        <v>1</v>
      </c>
      <c r="U22" s="454">
        <v>4</v>
      </c>
      <c r="V22" s="454">
        <v>3</v>
      </c>
      <c r="W22" s="454">
        <v>2</v>
      </c>
      <c r="X22" s="453"/>
      <c r="Y22" s="453">
        <v>3</v>
      </c>
      <c r="Z22" s="453">
        <v>5</v>
      </c>
      <c r="AA22" s="453">
        <v>7</v>
      </c>
      <c r="AB22" s="453">
        <v>4</v>
      </c>
      <c r="AC22" s="453"/>
      <c r="AD22" s="453">
        <v>7</v>
      </c>
      <c r="AE22" s="453">
        <v>1</v>
      </c>
      <c r="AF22" s="453">
        <v>4</v>
      </c>
      <c r="AG22" s="453">
        <v>6</v>
      </c>
      <c r="AI22" s="104">
        <v>62</v>
      </c>
      <c r="AK22" s="104">
        <v>2</v>
      </c>
      <c r="AL22" s="104" t="s">
        <v>224</v>
      </c>
      <c r="AM22" s="104">
        <f>AM21+1</f>
        <v>6</v>
      </c>
    </row>
    <row r="23" spans="1:39" ht="15" customHeight="1" x14ac:dyDescent="0.45">
      <c r="A23" s="101" t="s">
        <v>247</v>
      </c>
      <c r="B23" s="101" t="s">
        <v>24</v>
      </c>
      <c r="C23" s="101" t="s">
        <v>7</v>
      </c>
      <c r="E23" s="454">
        <f>E11</f>
        <v>2</v>
      </c>
      <c r="F23" s="454">
        <f t="shared" ref="F23:H23" si="14">F11</f>
        <v>5</v>
      </c>
      <c r="G23" s="454">
        <f t="shared" si="14"/>
        <v>1</v>
      </c>
      <c r="H23" s="454">
        <f t="shared" si="14"/>
        <v>4</v>
      </c>
      <c r="I23" s="453"/>
      <c r="J23" s="454">
        <v>7</v>
      </c>
      <c r="K23" s="454">
        <v>5</v>
      </c>
      <c r="L23" s="454">
        <v>1</v>
      </c>
      <c r="M23" s="454">
        <v>4</v>
      </c>
      <c r="N23" s="453"/>
      <c r="O23" s="453">
        <v>4</v>
      </c>
      <c r="P23" s="453">
        <v>1</v>
      </c>
      <c r="Q23" s="453">
        <v>5</v>
      </c>
      <c r="R23" s="453">
        <v>3</v>
      </c>
      <c r="S23" s="453"/>
      <c r="T23" s="454">
        <v>4</v>
      </c>
      <c r="U23" s="454">
        <v>3</v>
      </c>
      <c r="V23" s="454">
        <v>1</v>
      </c>
      <c r="W23" s="454">
        <v>5</v>
      </c>
      <c r="X23" s="453"/>
      <c r="Y23" s="453">
        <v>7</v>
      </c>
      <c r="Z23" s="453">
        <v>2</v>
      </c>
      <c r="AA23" s="453">
        <v>4</v>
      </c>
      <c r="AB23" s="453">
        <v>1</v>
      </c>
      <c r="AC23" s="453"/>
      <c r="AD23" s="453">
        <v>2</v>
      </c>
      <c r="AE23" s="453">
        <v>4</v>
      </c>
      <c r="AF23" s="453">
        <v>7</v>
      </c>
      <c r="AG23" s="453">
        <v>1</v>
      </c>
      <c r="AI23" s="104">
        <v>63</v>
      </c>
      <c r="AK23" s="104">
        <v>3</v>
      </c>
      <c r="AL23" s="104" t="s">
        <v>225</v>
      </c>
      <c r="AM23" s="104">
        <f>AM22+1</f>
        <v>7</v>
      </c>
    </row>
    <row r="24" spans="1:39" ht="15" customHeight="1" x14ac:dyDescent="0.45">
      <c r="A24" s="101" t="s">
        <v>248</v>
      </c>
      <c r="B24" s="101" t="s">
        <v>28</v>
      </c>
      <c r="C24" s="101" t="s">
        <v>4</v>
      </c>
      <c r="E24" s="454">
        <f>E9</f>
        <v>5</v>
      </c>
      <c r="F24" s="454">
        <f t="shared" ref="F24:H24" si="15">F9</f>
        <v>4</v>
      </c>
      <c r="G24" s="454">
        <f t="shared" si="15"/>
        <v>3</v>
      </c>
      <c r="H24" s="454">
        <f t="shared" si="15"/>
        <v>1</v>
      </c>
      <c r="I24" s="453"/>
      <c r="J24" s="454">
        <v>7</v>
      </c>
      <c r="K24" s="454">
        <v>5</v>
      </c>
      <c r="L24" s="454">
        <v>1</v>
      </c>
      <c r="M24" s="454">
        <v>4</v>
      </c>
      <c r="N24" s="453"/>
      <c r="O24" s="453">
        <v>1</v>
      </c>
      <c r="P24" s="453">
        <v>3</v>
      </c>
      <c r="Q24" s="453">
        <v>2</v>
      </c>
      <c r="R24" s="453">
        <v>4</v>
      </c>
      <c r="S24" s="453"/>
      <c r="T24" s="454">
        <v>3</v>
      </c>
      <c r="U24" s="454">
        <v>6</v>
      </c>
      <c r="V24" s="454">
        <v>5</v>
      </c>
      <c r="W24" s="454">
        <v>1</v>
      </c>
      <c r="X24" s="453"/>
      <c r="Y24" s="453">
        <v>1</v>
      </c>
      <c r="Z24" s="453">
        <v>3</v>
      </c>
      <c r="AA24" s="453">
        <v>5</v>
      </c>
      <c r="AB24" s="453">
        <v>2</v>
      </c>
      <c r="AC24" s="453"/>
      <c r="AD24" s="453">
        <v>8</v>
      </c>
      <c r="AE24" s="453">
        <v>2</v>
      </c>
      <c r="AF24" s="453">
        <v>5</v>
      </c>
      <c r="AG24" s="453">
        <v>7</v>
      </c>
      <c r="AI24" s="104">
        <v>64</v>
      </c>
      <c r="AK24" s="104">
        <v>4</v>
      </c>
      <c r="AL24" s="104" t="s">
        <v>226</v>
      </c>
      <c r="AM24" s="104">
        <f>AM23+1</f>
        <v>8</v>
      </c>
    </row>
    <row r="25" spans="1:39" ht="15" customHeight="1" x14ac:dyDescent="0.45">
      <c r="AI25" s="104">
        <v>71</v>
      </c>
      <c r="AJ25" s="104">
        <v>7</v>
      </c>
      <c r="AK25" s="104">
        <v>1</v>
      </c>
      <c r="AL25" s="104" t="s">
        <v>219</v>
      </c>
      <c r="AM25" s="104">
        <v>10</v>
      </c>
    </row>
    <row r="26" spans="1:39" ht="15" customHeight="1" x14ac:dyDescent="0.45">
      <c r="AI26" s="104">
        <v>72</v>
      </c>
      <c r="AK26" s="104">
        <v>2</v>
      </c>
      <c r="AL26" s="104" t="s">
        <v>220</v>
      </c>
      <c r="AM26" s="104">
        <f>AM25+1</f>
        <v>11</v>
      </c>
    </row>
    <row r="27" spans="1:39" ht="15" customHeight="1" x14ac:dyDescent="0.45">
      <c r="AI27" s="104">
        <v>73</v>
      </c>
      <c r="AK27" s="104">
        <v>3</v>
      </c>
      <c r="AL27" s="104" t="s">
        <v>221</v>
      </c>
      <c r="AM27" s="104">
        <f>AM26+1</f>
        <v>12</v>
      </c>
    </row>
    <row r="28" spans="1:39" ht="15" customHeight="1" x14ac:dyDescent="0.45">
      <c r="AI28" s="104">
        <v>74</v>
      </c>
      <c r="AK28" s="104">
        <v>4</v>
      </c>
      <c r="AL28" s="104" t="s">
        <v>222</v>
      </c>
      <c r="AM28" s="104">
        <f>AM27+1</f>
        <v>13</v>
      </c>
    </row>
  </sheetData>
  <sheetProtection algorithmName="SHA-512" hashValue="UrvmhY90/GQBc8mtprRr4PVW7uHmqPx43d2yMDLcIDC+nMqtwDzoS3h/5XxP/Vbj+jr6AyMMdEuA+1ngPrCgGw==" saltValue="ryLcgY3oXEzFpdoq2iBhyA==" spinCount="100000" sheet="1" objects="1" scenarios="1" formatCells="0" formatColumns="0" formatRows="0" sort="0" autoFilter="0"/>
  <autoFilter ref="A1:C24" xr:uid="{00000000-0009-0000-0000-00001D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C00000"/>
    <pageSetUpPr fitToPage="1"/>
  </sheetPr>
  <dimension ref="A1:AH43"/>
  <sheetViews>
    <sheetView showGridLines="0" showZeros="0" topLeftCell="B1" workbookViewId="0">
      <selection activeCell="F7" sqref="F7"/>
    </sheetView>
  </sheetViews>
  <sheetFormatPr defaultColWidth="8.86328125" defaultRowHeight="15" customHeight="1" x14ac:dyDescent="0.45"/>
  <cols>
    <col min="1" max="1" width="8.86328125" style="204" hidden="1" customWidth="1"/>
    <col min="2" max="2" width="9" style="204" customWidth="1"/>
    <col min="3" max="3" width="38.3984375" style="204" bestFit="1" customWidth="1"/>
    <col min="4" max="4" width="10.1328125" style="206" customWidth="1"/>
    <col min="5" max="9" width="8.73046875" style="204" customWidth="1"/>
    <col min="10" max="10" width="9.59765625" style="204" bestFit="1" customWidth="1"/>
    <col min="11" max="11" width="8.86328125" style="204" hidden="1" customWidth="1"/>
    <col min="12" max="12" width="7.3984375" style="204" hidden="1" customWidth="1"/>
    <col min="13" max="17" width="8.86328125" style="204" hidden="1" customWidth="1"/>
    <col min="18" max="18" width="9.73046875" style="204" hidden="1" customWidth="1"/>
    <col min="19" max="26" width="8.86328125" style="204" hidden="1" customWidth="1"/>
    <col min="27" max="16384" width="8.86328125" style="204"/>
  </cols>
  <sheetData>
    <row r="1" spans="1:34" ht="15" customHeight="1" x14ac:dyDescent="0.45">
      <c r="AA1" s="5" t="s">
        <v>1276</v>
      </c>
    </row>
    <row r="2" spans="1:34" ht="20.100000000000001" customHeight="1" x14ac:dyDescent="0.35">
      <c r="B2" s="205" t="s">
        <v>560</v>
      </c>
      <c r="C2" s="379" t="s">
        <v>97</v>
      </c>
      <c r="D2" s="496" t="s">
        <v>1261</v>
      </c>
      <c r="M2" s="64" t="s">
        <v>130</v>
      </c>
      <c r="N2" s="64" t="s">
        <v>95</v>
      </c>
      <c r="O2" s="66" t="s">
        <v>131</v>
      </c>
      <c r="P2" s="369" t="s">
        <v>1419</v>
      </c>
      <c r="S2" s="204" t="s">
        <v>132</v>
      </c>
      <c r="U2" s="207">
        <f>IFERROR(COUNTIFS(Teams!$F:$F,MatchDay!C2,Teams!$G:$G,MatchDay!C3,Teams!$H:$H,MatchDay!C4),"X")</f>
        <v>5</v>
      </c>
      <c r="W2" s="204" t="str">
        <f>IFERROR(CONCATENATE("points",U2),"")</f>
        <v>points5</v>
      </c>
      <c r="Y2" s="204" t="str">
        <f>LEFT(C2,1)&amp;"AG"&amp;LEFT(C3,2)</f>
        <v>LAGNO</v>
      </c>
    </row>
    <row r="3" spans="1:34" ht="20.100000000000001" customHeight="1" x14ac:dyDescent="0.45">
      <c r="B3" s="205" t="s">
        <v>559</v>
      </c>
      <c r="C3" s="378" t="s">
        <v>200</v>
      </c>
      <c r="D3" s="496"/>
      <c r="G3" s="207"/>
      <c r="H3" s="207"/>
      <c r="M3" s="64" t="s">
        <v>97</v>
      </c>
      <c r="N3" s="64" t="s">
        <v>200</v>
      </c>
      <c r="O3" s="66">
        <v>1</v>
      </c>
      <c r="P3" s="204">
        <v>1</v>
      </c>
      <c r="S3" s="204" t="s">
        <v>680</v>
      </c>
      <c r="U3" s="207">
        <v>36</v>
      </c>
      <c r="AE3"/>
    </row>
    <row r="4" spans="1:34" ht="20.100000000000001" customHeight="1" x14ac:dyDescent="0.45">
      <c r="B4" s="205" t="s">
        <v>561</v>
      </c>
      <c r="C4" s="378" t="s">
        <v>109</v>
      </c>
      <c r="D4" s="496"/>
      <c r="M4" s="64"/>
      <c r="N4" s="64" t="s">
        <v>335</v>
      </c>
      <c r="O4" s="66">
        <v>2</v>
      </c>
      <c r="P4" s="204">
        <f>IF(U2=8,1,2)</f>
        <v>2</v>
      </c>
      <c r="R4" s="369"/>
      <c r="S4" s="369" t="s">
        <v>158</v>
      </c>
      <c r="T4" s="369"/>
      <c r="U4" s="428">
        <f>IFERROR(VLOOKUP(U2*10+C5,Timetables!$DN$3:$DR$18,5,FALSE),"X")</f>
        <v>96</v>
      </c>
      <c r="AA4"/>
    </row>
    <row r="5" spans="1:34" ht="20.100000000000001" customHeight="1" x14ac:dyDescent="0.35">
      <c r="B5" s="205" t="s">
        <v>562</v>
      </c>
      <c r="C5" s="208">
        <v>1</v>
      </c>
      <c r="D5" s="496"/>
      <c r="M5" s="64"/>
      <c r="N5" s="64" t="s">
        <v>419</v>
      </c>
      <c r="O5" s="66">
        <v>3</v>
      </c>
    </row>
    <row r="6" spans="1:34" ht="20.100000000000001" customHeight="1" x14ac:dyDescent="0.35">
      <c r="B6" s="341" t="s">
        <v>917</v>
      </c>
      <c r="C6" s="346" t="s">
        <v>919</v>
      </c>
      <c r="D6" s="412">
        <v>1</v>
      </c>
      <c r="M6" s="64"/>
      <c r="N6" s="64" t="s">
        <v>563</v>
      </c>
      <c r="O6" s="66">
        <v>4</v>
      </c>
      <c r="S6" s="204" t="s">
        <v>189</v>
      </c>
      <c r="U6" s="207" t="str">
        <f>IFERROR(SEARCH("Premier",C4),"X")</f>
        <v>X</v>
      </c>
      <c r="AA6" s="381" t="s">
        <v>1013</v>
      </c>
      <c r="AE6" s="495" t="s">
        <v>1241</v>
      </c>
      <c r="AF6" s="495"/>
      <c r="AG6" s="495"/>
      <c r="AH6" s="407"/>
    </row>
    <row r="7" spans="1:34" ht="20.100000000000001" customHeight="1" x14ac:dyDescent="0.45">
      <c r="B7" s="204" t="s">
        <v>133</v>
      </c>
      <c r="C7" s="408">
        <f>IFERROR(VLOOKUP($C$2&amp;$C$3&amp;$C$4&amp;"Match "&amp;$C$5,'Dates &amp; Venues'!$A:$H,6,FALSE),"")</f>
        <v>43582</v>
      </c>
      <c r="N7" s="364"/>
      <c r="O7" s="207"/>
      <c r="S7" s="270" t="s">
        <v>787</v>
      </c>
      <c r="U7" s="413">
        <f>IFERROR(SEARCH("Premier",C4),0)</f>
        <v>0</v>
      </c>
      <c r="AE7" s="495"/>
      <c r="AF7" s="495"/>
      <c r="AG7" s="495"/>
      <c r="AH7" s="407"/>
    </row>
    <row r="8" spans="1:34" ht="20.100000000000001" customHeight="1" x14ac:dyDescent="0.45">
      <c r="B8" s="204" t="s">
        <v>134</v>
      </c>
      <c r="C8" s="204" t="str">
        <f>IFERROR(VLOOKUP($C$2&amp;$C$3&amp;$C$4&amp;"Match "&amp;$C$5,'Dates &amp; Venues'!$A:$H,8,FALSE),"")</f>
        <v>@ Doncaster</v>
      </c>
      <c r="S8" s="340" t="s">
        <v>918</v>
      </c>
      <c r="U8" s="207" t="str">
        <f>IFERROR(VLOOKUP(S8,$C$6,1,FALSE),"X")</f>
        <v>X</v>
      </c>
      <c r="AE8" s="495"/>
      <c r="AF8" s="495"/>
      <c r="AG8" s="495"/>
      <c r="AH8" s="407"/>
    </row>
    <row r="9" spans="1:34" ht="20.100000000000001" customHeight="1" x14ac:dyDescent="0.45">
      <c r="B9" s="204" t="s">
        <v>135</v>
      </c>
      <c r="C9" s="204" t="str">
        <f>IFERROR(VLOOKUP($C$2&amp;$C$3&amp;$C$4&amp;"Match "&amp;$C$5,'Dates &amp; Venues'!$A:$H,7,FALSE),"")</f>
        <v>Chesterfield &amp; District AC</v>
      </c>
      <c r="M9" s="316" t="s">
        <v>899</v>
      </c>
      <c r="N9" s="316"/>
      <c r="O9" s="317">
        <f>IFERROR(VLOOKUP($C$2&amp;$C$3&amp;$C$4&amp;"Match "&amp;$C$5,'Dates &amp; Venues'!$A:$J,9,FALSE),"")</f>
        <v>12</v>
      </c>
      <c r="S9" s="340" t="s">
        <v>919</v>
      </c>
      <c r="U9" s="207" t="str">
        <f>IFERROR(VLOOKUP(S9,$C$6,1,FALSE),"X")</f>
        <v>NO</v>
      </c>
      <c r="AE9" s="495"/>
      <c r="AF9" s="495"/>
      <c r="AG9" s="495"/>
      <c r="AH9" s="407"/>
    </row>
    <row r="10" spans="1:34" ht="15" customHeight="1" x14ac:dyDescent="0.45">
      <c r="AE10" s="495"/>
      <c r="AF10" s="495"/>
      <c r="AG10" s="495"/>
      <c r="AH10" s="407"/>
    </row>
    <row r="11" spans="1:34" ht="15" customHeight="1" x14ac:dyDescent="0.45">
      <c r="F11" s="209"/>
      <c r="G11" s="209"/>
      <c r="H11" s="209"/>
      <c r="I11" s="209"/>
      <c r="J11" s="209"/>
      <c r="AE11" s="407"/>
      <c r="AF11" s="407"/>
      <c r="AG11" s="407"/>
      <c r="AH11" s="407"/>
    </row>
    <row r="12" spans="1:34" ht="15" customHeight="1" x14ac:dyDescent="0.45">
      <c r="B12" s="220" t="s">
        <v>159</v>
      </c>
      <c r="C12" s="201" t="s">
        <v>136</v>
      </c>
      <c r="D12" s="220" t="s">
        <v>137</v>
      </c>
      <c r="E12" s="209" t="s">
        <v>524</v>
      </c>
      <c r="F12" s="209" t="s">
        <v>519</v>
      </c>
      <c r="G12" s="209" t="s">
        <v>518</v>
      </c>
      <c r="H12" s="209" t="s">
        <v>523</v>
      </c>
      <c r="I12" s="209" t="s">
        <v>254</v>
      </c>
      <c r="J12" s="209" t="s">
        <v>255</v>
      </c>
      <c r="K12" s="207" t="s">
        <v>230</v>
      </c>
      <c r="Q12" s="207"/>
    </row>
    <row r="13" spans="1:34" ht="15" customHeight="1" x14ac:dyDescent="0.45">
      <c r="A13" s="207">
        <f t="shared" ref="A13:A19" ca="1" si="0">IFERROR(RANK(L13,$L$13:$L$20),"")</f>
        <v>3</v>
      </c>
      <c r="B13" s="207">
        <v>1</v>
      </c>
      <c r="C13" s="204" t="str">
        <f>IFERROR(VLOOKUP($C$2&amp;$C$3&amp;$C$4&amp;$B13,Teams!$A:$E,3,FALSE),"")</f>
        <v>Chesterfield &amp; District AC</v>
      </c>
      <c r="D13" s="207" t="str">
        <f>IFERROR(VLOOKUP($C$2&amp;$C$3&amp;$C$4&amp;$B13,Teams!$A:$E,4,FALSE),"")</f>
        <v>C'field</v>
      </c>
      <c r="E13" s="362">
        <v>36</v>
      </c>
      <c r="F13" s="217">
        <f ca="1">SUMIF(Track1!$E:$E,MatchDay!D13,Track1!$P:$P)+SUMIF(Track1!$L:$L,MatchDay!D13,Track1!$Q:$Q)</f>
        <v>131</v>
      </c>
      <c r="G13" s="217">
        <f ca="1">SUMIF(Track2!$E:$E,MatchDay!D13,Track2!$P:$P)+SUMIF(Track2!$L:$L,MatchDay!D13,Track2!$Q:$Q)</f>
        <v>17</v>
      </c>
      <c r="H13" s="217">
        <f ca="1">SUMIF(Relays!$D:$D,MatchDay!D13,Relays!$L:$L)</f>
        <v>27</v>
      </c>
      <c r="I13" s="217">
        <f ca="1">SUMIF(Field!$E:$E,MatchDay!D13,Field!$P:$P)+SUMIF(Field!$L:$L,MatchDay!D13,Field!$Q:$Q)</f>
        <v>182</v>
      </c>
      <c r="J13" s="217">
        <f ca="1">IFERROR(IF(F13+I13+G13+H13+I13=0,"",F13+I13+G13+H13+E13),"")</f>
        <v>393</v>
      </c>
      <c r="K13" s="207">
        <f ca="1">IFERROR(RANK(J13,$J$13:$J$20,0),"")</f>
        <v>3</v>
      </c>
      <c r="L13" s="210">
        <f t="shared" ref="L13:L20" ca="1" si="1">IFERROR(J13+B13/100000,"")</f>
        <v>393.00000999999997</v>
      </c>
      <c r="M13" s="211" t="str">
        <f t="shared" ref="M13:M20" si="2">C13</f>
        <v>Chesterfield &amp; District AC</v>
      </c>
      <c r="N13" s="204">
        <f>IFERROR(VLOOKUP(Table1[[#This Row],[Bib]],downloads!$AD$3:$AF$11,2,FALSE),0)</f>
        <v>0</v>
      </c>
      <c r="O13" s="204">
        <f>IFERROR(VLOOKUP(Table1[[#This Row],[Bib]],downloads!$AD$3:$AF$11,3,FALSE),0)</f>
        <v>0</v>
      </c>
      <c r="P13" s="207">
        <v>1</v>
      </c>
      <c r="Q13" s="207">
        <f>U2</f>
        <v>5</v>
      </c>
      <c r="R13" s="207">
        <f ca="1">COUNTIF(Table2[Posn],P13)</f>
        <v>1</v>
      </c>
      <c r="S13" s="204">
        <f ca="1">IF(R13=2,(Q13+Q14)/2,IF(R13=3,(Q13+Q14+Q15)/3,IF(R13=4,(Q13+Q14+Q15+Q16)/4,IF(R13=5,(Q13+Q14+Q15+Q16+Q17)/5,IF(R13=6,(Q13+Q14+Q15+Q16+Q17+Q18)/6,IF(R13=7,(Q13+Q14+Q15+Q16+Q17+Q18+Q19)/7,IF(R13=8,(Q13+Q14+Q15+Q16+Q17+Q18+Q19+Q20)/8,Q13)))))))</f>
        <v>5</v>
      </c>
    </row>
    <row r="14" spans="1:34" ht="15" customHeight="1" x14ac:dyDescent="0.45">
      <c r="A14" s="207">
        <f t="shared" ca="1" si="0"/>
        <v>2</v>
      </c>
      <c r="B14" s="207">
        <v>2</v>
      </c>
      <c r="C14" s="204" t="str">
        <f>IFERROR(VLOOKUP($C$2&amp;$C$3&amp;$C$4&amp;$B14,Teams!$A:$E,3,FALSE),"")</f>
        <v>City of Sheffield &amp; Dearne AC</v>
      </c>
      <c r="D14" s="207" t="str">
        <f>IFERROR(VLOOKUP($C$2&amp;$C$3&amp;$C$4&amp;$B14,Teams!$A:$E,4,FALSE),"")</f>
        <v>Sheff+D</v>
      </c>
      <c r="E14" s="362">
        <v>36</v>
      </c>
      <c r="F14" s="217">
        <f ca="1">SUMIF(Track1!$E:$E,MatchDay!D14,Track1!$P:$P)+SUMIF(Track1!$L:$L,MatchDay!D14,Track1!$Q:$Q)</f>
        <v>153</v>
      </c>
      <c r="G14" s="217">
        <f ca="1">SUMIF(Track2!$E:$E,MatchDay!D14,Track2!$P:$P)+SUMIF(Track2!$L:$L,MatchDay!D14,Track2!$Q:$Q)</f>
        <v>14</v>
      </c>
      <c r="H14" s="217">
        <f ca="1">SUMIF(Relays!$D:$D,MatchDay!D14,Relays!$L:$L)</f>
        <v>20</v>
      </c>
      <c r="I14" s="217">
        <f ca="1">SUMIF(Field!$E:$E,MatchDay!D14,Field!$P:$P)+SUMIF(Field!$L:$L,MatchDay!D14,Field!$Q:$Q)</f>
        <v>187</v>
      </c>
      <c r="J14" s="217">
        <f t="shared" ref="J14:J20" ca="1" si="3">IFERROR(IF(F14+I14+G14+H14+I14=0,"",F14+I14+G14+H14+E14),"")</f>
        <v>410</v>
      </c>
      <c r="K14" s="207">
        <f t="shared" ref="K14:K20" ca="1" si="4">IFERROR(RANK(J14,$J$13:$J$20,0),"")</f>
        <v>2</v>
      </c>
      <c r="L14" s="210">
        <f t="shared" ca="1" si="1"/>
        <v>410.00002000000001</v>
      </c>
      <c r="M14" s="211" t="str">
        <f t="shared" si="2"/>
        <v>City of Sheffield &amp; Dearne AC</v>
      </c>
      <c r="N14" s="204">
        <f>IFERROR(VLOOKUP(Table1[[#This Row],[Bib]],downloads!$AD$3:$AF$11,2,FALSE),0)</f>
        <v>0</v>
      </c>
      <c r="O14" s="204">
        <f>IFERROR(VLOOKUP(Table1[[#This Row],[Bib]],downloads!$AD$3:$AF$11,3,FALSE),0)</f>
        <v>0</v>
      </c>
      <c r="P14" s="207">
        <v>2</v>
      </c>
      <c r="Q14" s="207">
        <f>(IF(Q13-1&lt;0,0,Q13-1))</f>
        <v>4</v>
      </c>
      <c r="R14" s="207">
        <f ca="1">COUNTIF(Table2[Posn],P14)</f>
        <v>1</v>
      </c>
      <c r="S14" s="204">
        <f ca="1">IF(R14=2,(Q14+Q15)/2,IF(R14=3,(Q14+Q15+Q16)/3,IF(R14=4,(Q14+Q15+Q16+Q17)/4,IF(R14=5,(Q14+Q15+Q16+Q17+Q18)/5,IF(R14=6,(Q14+Q15+Q16+Q17+Q18+Q19)/6,IF(R14=7,(Q14+Q15+Q16+Q17+Q18+Q19+Q20)/7,Q14))))))</f>
        <v>4</v>
      </c>
    </row>
    <row r="15" spans="1:34" ht="15" customHeight="1" x14ac:dyDescent="0.45">
      <c r="A15" s="207">
        <f t="shared" ca="1" si="0"/>
        <v>1</v>
      </c>
      <c r="B15" s="207">
        <v>3</v>
      </c>
      <c r="C15" s="204" t="str">
        <f>IFERROR(VLOOKUP($C$2&amp;$C$3&amp;$C$4&amp;$B15,Teams!$A:$E,3,FALSE),"")</f>
        <v>City of York AC</v>
      </c>
      <c r="D15" s="207" t="str">
        <f>IFERROR(VLOOKUP($C$2&amp;$C$3&amp;$C$4&amp;$B15,Teams!$A:$E,4,FALSE),"")</f>
        <v>York</v>
      </c>
      <c r="E15" s="362">
        <v>44</v>
      </c>
      <c r="F15" s="217">
        <f ca="1">SUMIF(Track1!$E:$E,MatchDay!D15,Track1!$P:$P)+SUMIF(Track1!$L:$L,MatchDay!D15,Track1!$Q:$Q)</f>
        <v>194</v>
      </c>
      <c r="G15" s="217">
        <f ca="1">SUMIF(Track2!$E:$E,MatchDay!D15,Track2!$P:$P)+SUMIF(Track2!$L:$L,MatchDay!D15,Track2!$Q:$Q)</f>
        <v>44</v>
      </c>
      <c r="H15" s="217">
        <f ca="1">SUMIF(Relays!$D:$D,MatchDay!D15,Relays!$L:$L)</f>
        <v>42</v>
      </c>
      <c r="I15" s="217">
        <f ca="1">SUMIF(Field!$E:$E,MatchDay!D15,Field!$P:$P)+SUMIF(Field!$L:$L,MatchDay!D15,Field!$Q:$Q)</f>
        <v>218</v>
      </c>
      <c r="J15" s="217">
        <f t="shared" ca="1" si="3"/>
        <v>542</v>
      </c>
      <c r="K15" s="207">
        <f t="shared" ca="1" si="4"/>
        <v>1</v>
      </c>
      <c r="L15" s="210">
        <f t="shared" ca="1" si="1"/>
        <v>542.00003000000004</v>
      </c>
      <c r="M15" s="211" t="str">
        <f t="shared" si="2"/>
        <v>City of York AC</v>
      </c>
      <c r="N15" s="204">
        <f>IFERROR(VLOOKUP(Table1[[#This Row],[Bib]],downloads!$AD$3:$AF$11,2,FALSE),0)</f>
        <v>0</v>
      </c>
      <c r="O15" s="204">
        <f>IFERROR(VLOOKUP(Table1[[#This Row],[Bib]],downloads!$AD$3:$AF$11,3,FALSE),0)</f>
        <v>0</v>
      </c>
      <c r="P15" s="207">
        <v>3</v>
      </c>
      <c r="Q15" s="207">
        <f t="shared" ref="Q15:Q20" si="5">(IF(Q14-1&lt;0,0,Q14-1))</f>
        <v>3</v>
      </c>
      <c r="R15" s="207">
        <f ca="1">COUNTIF(Table2[Posn],P15)</f>
        <v>1</v>
      </c>
      <c r="S15" s="204">
        <f ca="1">IF(R15=2,(Q15+Q16)/2,IF(R15=3,(Q15+Q16+Q17)/3,IF(R15=4,(Q15+Q16+Q17+Q18)/4,IF(R15=5,(Q15+Q16+Q17+Q18+Q19)/5,IF(R15=6,(Q15+Q16+Q17+Q18+Q19+Q20)/6,Q15)))))</f>
        <v>3</v>
      </c>
    </row>
    <row r="16" spans="1:34" ht="15" customHeight="1" x14ac:dyDescent="0.45">
      <c r="A16" s="207">
        <f t="shared" ca="1" si="0"/>
        <v>4</v>
      </c>
      <c r="B16" s="207">
        <v>4</v>
      </c>
      <c r="C16" s="204" t="str">
        <f>IFERROR(VLOOKUP($C$2&amp;$C$3&amp;$C$4&amp;$B16,Teams!$A:$E,3,FALSE),"")</f>
        <v>Middlesbrough AC (Mandale)</v>
      </c>
      <c r="D16" s="207" t="str">
        <f>IFERROR(VLOOKUP($C$2&amp;$C$3&amp;$C$4&amp;$B16,Teams!$A:$E,4,FALSE),"")</f>
        <v>M'bro</v>
      </c>
      <c r="E16" s="362">
        <v>52</v>
      </c>
      <c r="F16" s="217">
        <f ca="1">SUMIF(Track1!$E:$E,MatchDay!D16,Track1!$P:$P)+SUMIF(Track1!$L:$L,MatchDay!D16,Track1!$Q:$Q)</f>
        <v>150</v>
      </c>
      <c r="G16" s="217">
        <f ca="1">SUMIF(Track2!$E:$E,MatchDay!D16,Track2!$P:$P)+SUMIF(Track2!$L:$L,MatchDay!D16,Track2!$Q:$Q)</f>
        <v>42</v>
      </c>
      <c r="H16" s="217">
        <f ca="1">SUMIF(Relays!$D:$D,MatchDay!D16,Relays!$L:$L)</f>
        <v>41</v>
      </c>
      <c r="I16" s="217">
        <f ca="1">SUMIF(Field!$E:$E,MatchDay!D16,Field!$P:$P)+SUMIF(Field!$L:$L,MatchDay!D16,Field!$Q:$Q)</f>
        <v>81</v>
      </c>
      <c r="J16" s="217">
        <f t="shared" ca="1" si="3"/>
        <v>366</v>
      </c>
      <c r="K16" s="207">
        <f t="shared" ca="1" si="4"/>
        <v>4</v>
      </c>
      <c r="L16" s="210">
        <f t="shared" ca="1" si="1"/>
        <v>366.00004000000001</v>
      </c>
      <c r="M16" s="211" t="str">
        <f t="shared" si="2"/>
        <v>Middlesbrough AC (Mandale)</v>
      </c>
      <c r="N16" s="204">
        <f>IFERROR(VLOOKUP(Table1[[#This Row],[Bib]],downloads!$AD$3:$AF$11,2,FALSE),0)</f>
        <v>0</v>
      </c>
      <c r="O16" s="204">
        <f>IFERROR(VLOOKUP(Table1[[#This Row],[Bib]],downloads!$AD$3:$AF$11,3,FALSE),0)</f>
        <v>0</v>
      </c>
      <c r="P16" s="207">
        <v>4</v>
      </c>
      <c r="Q16" s="207">
        <f t="shared" si="5"/>
        <v>2</v>
      </c>
      <c r="R16" s="207">
        <f ca="1">COUNTIF(Table2[Posn],P16)</f>
        <v>1</v>
      </c>
      <c r="S16" s="204">
        <f ca="1">IF(R16=2,(Q16+Q17)/2,IF(R16=3,(Q16+Q17+Q18)/3,IF(R16=4,(Q16+Q17+Q18+Q19)/4,IF(R16=5,(Q16+Q17+Q18+Q19+Q20)/5,Q16))))</f>
        <v>2</v>
      </c>
    </row>
    <row r="17" spans="1:19" ht="15" customHeight="1" x14ac:dyDescent="0.45">
      <c r="A17" s="207">
        <f t="shared" ca="1" si="0"/>
        <v>5</v>
      </c>
      <c r="B17" s="207">
        <v>5</v>
      </c>
      <c r="C17" s="204" t="str">
        <f>IFERROR(VLOOKUP($C$2&amp;$C$3&amp;$C$4&amp;$B17,Teams!$A:$E,3,FALSE),"")</f>
        <v>Scunthorpe &amp; District AC</v>
      </c>
      <c r="D17" s="207" t="str">
        <f>IFERROR(VLOOKUP($C$2&amp;$C$3&amp;$C$4&amp;$B17,Teams!$A:$E,4,FALSE),"")</f>
        <v>Scun</v>
      </c>
      <c r="E17" s="362">
        <v>32</v>
      </c>
      <c r="F17" s="217">
        <f ca="1">SUMIF(Track1!$E:$E,MatchDay!D17,Track1!$P:$P)+SUMIF(Track1!$L:$L,MatchDay!D17,Track1!$Q:$Q)</f>
        <v>40</v>
      </c>
      <c r="G17" s="217">
        <f ca="1">SUMIF(Track2!$E:$E,MatchDay!D17,Track2!$P:$P)+SUMIF(Track2!$L:$L,MatchDay!D17,Track2!$Q:$Q)</f>
        <v>16.5</v>
      </c>
      <c r="H17" s="217">
        <f ca="1">SUMIF(Relays!$D:$D,MatchDay!D17,Relays!$L:$L)</f>
        <v>3</v>
      </c>
      <c r="I17" s="217">
        <f ca="1">SUMIF(Field!$E:$E,MatchDay!D17,Field!$P:$P)+SUMIF(Field!$L:$L,MatchDay!D17,Field!$Q:$Q)</f>
        <v>80</v>
      </c>
      <c r="J17" s="217">
        <f t="shared" ca="1" si="3"/>
        <v>171.5</v>
      </c>
      <c r="K17" s="207">
        <f t="shared" ca="1" si="4"/>
        <v>5</v>
      </c>
      <c r="L17" s="210">
        <f t="shared" ca="1" si="1"/>
        <v>171.50004999999999</v>
      </c>
      <c r="M17" s="211" t="str">
        <f t="shared" si="2"/>
        <v>Scunthorpe &amp; District AC</v>
      </c>
      <c r="N17" s="204">
        <f>IFERROR(VLOOKUP(Table1[[#This Row],[Bib]],downloads!$AD$3:$AF$11,2,FALSE),0)</f>
        <v>0</v>
      </c>
      <c r="O17" s="204">
        <f>IFERROR(VLOOKUP(Table1[[#This Row],[Bib]],downloads!$AD$3:$AF$11,3,FALSE),0)</f>
        <v>0</v>
      </c>
      <c r="P17" s="207">
        <v>5</v>
      </c>
      <c r="Q17" s="207">
        <f t="shared" si="5"/>
        <v>1</v>
      </c>
      <c r="R17" s="207">
        <f ca="1">COUNTIF(Table2[Posn],P17)</f>
        <v>1</v>
      </c>
      <c r="S17" s="204">
        <f ca="1">IF(R17=2,(Q17+Q18)/2,IF(R17=3,(Q17+Q18+Q19)/3,IF(R17=4,(Q17+Q18+Q19+Q20)/4,Q17)))</f>
        <v>1</v>
      </c>
    </row>
    <row r="18" spans="1:19" ht="15" customHeight="1" x14ac:dyDescent="0.45">
      <c r="A18" s="207" t="str">
        <f t="shared" ca="1" si="0"/>
        <v/>
      </c>
      <c r="B18" s="207" t="str">
        <f>IF(6&gt;U2,"-",6)</f>
        <v>-</v>
      </c>
      <c r="C18" s="204" t="str">
        <f>IFERROR(VLOOKUP($C$2&amp;$C$3&amp;$C$4&amp;$B18,Teams!$A:$E,3,FALSE),"")</f>
        <v/>
      </c>
      <c r="D18" s="207" t="str">
        <f>IFERROR(VLOOKUP($C$2&amp;$C$3&amp;$C$4&amp;$B18,Teams!$A:$E,4,FALSE),"")</f>
        <v/>
      </c>
      <c r="E18" s="362"/>
      <c r="F18" s="217">
        <f ca="1">SUMIF(Track1!$E:$E,MatchDay!D18,Track1!$P:$P)+SUMIF(Track1!$L:$L,MatchDay!D18,Track1!$Q:$Q)</f>
        <v>0</v>
      </c>
      <c r="G18" s="217">
        <f ca="1">SUMIF(Track2!$E:$E,MatchDay!D18,Track2!$P:$P)+SUMIF(Track2!$L:$L,MatchDay!D18,Track2!$Q:$Q)</f>
        <v>0</v>
      </c>
      <c r="H18" s="217">
        <f ca="1">SUMIF(Relays!$D:$D,MatchDay!D18,Relays!$L:$L)</f>
        <v>0</v>
      </c>
      <c r="I18" s="217">
        <f ca="1">SUMIF(Field!$E:$E,MatchDay!D18,Field!$P:$P)+SUMIF(Field!$L:$L,MatchDay!D18,Field!$Q:$Q)</f>
        <v>0</v>
      </c>
      <c r="J18" s="217" t="str">
        <f t="shared" ca="1" si="3"/>
        <v/>
      </c>
      <c r="K18" s="207" t="str">
        <f t="shared" ca="1" si="4"/>
        <v/>
      </c>
      <c r="L18" s="210" t="str">
        <f t="shared" ca="1" si="1"/>
        <v/>
      </c>
      <c r="M18" s="211" t="str">
        <f t="shared" si="2"/>
        <v/>
      </c>
      <c r="N18" s="204">
        <f>IFERROR(VLOOKUP(Table1[[#This Row],[Bib]],downloads!$AD$3:$AF$11,2,FALSE),0)</f>
        <v>0</v>
      </c>
      <c r="O18" s="204">
        <f>IFERROR(VLOOKUP(Table1[[#This Row],[Bib]],downloads!$AD$3:$AF$11,3,FALSE),0)</f>
        <v>0</v>
      </c>
      <c r="P18" s="207">
        <v>6</v>
      </c>
      <c r="Q18" s="207">
        <f t="shared" si="5"/>
        <v>0</v>
      </c>
      <c r="R18" s="207">
        <f ca="1">COUNTIF(Table2[Posn],P18)</f>
        <v>0</v>
      </c>
      <c r="S18" s="204">
        <f ca="1">IF(R18=2,(Q18+Q19)/2,IF(R18=3,(Q18+Q19+Q20)/3,Q18))</f>
        <v>0</v>
      </c>
    </row>
    <row r="19" spans="1:19" ht="15" customHeight="1" x14ac:dyDescent="0.45">
      <c r="A19" s="207" t="str">
        <f t="shared" ca="1" si="0"/>
        <v/>
      </c>
      <c r="B19" s="207" t="str">
        <f>IF(7&gt;U2,"-",7)</f>
        <v>-</v>
      </c>
      <c r="C19" s="204" t="str">
        <f>IFERROR(VLOOKUP($C$2&amp;$C$3&amp;$C$4&amp;$B19,Teams!$A:$E,3,FALSE),"")</f>
        <v/>
      </c>
      <c r="D19" s="207" t="str">
        <f>IFERROR(VLOOKUP($C$2&amp;$C$3&amp;$C$4&amp;$B19,Teams!$A:$E,4,FALSE),"")</f>
        <v/>
      </c>
      <c r="E19" s="362"/>
      <c r="F19" s="217">
        <f ca="1">SUMIF(Track1!$E:$E,MatchDay!D19,Track1!$P:$P)+SUMIF(Track1!$L:$L,MatchDay!D19,Track1!$Q:$Q)</f>
        <v>0</v>
      </c>
      <c r="G19" s="217">
        <f ca="1">SUMIF(Track2!$E:$E,MatchDay!D19,Track2!$P:$P)+SUMIF(Track2!$L:$L,MatchDay!D19,Track2!$Q:$Q)</f>
        <v>0</v>
      </c>
      <c r="H19" s="217">
        <f ca="1">SUMIF(Relays!$D:$D,MatchDay!D19,Relays!$L:$L)</f>
        <v>0</v>
      </c>
      <c r="I19" s="217">
        <f ca="1">SUMIF(Field!$E:$E,MatchDay!D19,Field!$P:$P)+SUMIF(Field!$L:$L,MatchDay!D19,Field!$Q:$Q)</f>
        <v>0</v>
      </c>
      <c r="J19" s="217" t="str">
        <f t="shared" ca="1" si="3"/>
        <v/>
      </c>
      <c r="K19" s="207" t="str">
        <f t="shared" ca="1" si="4"/>
        <v/>
      </c>
      <c r="L19" s="210" t="str">
        <f t="shared" ca="1" si="1"/>
        <v/>
      </c>
      <c r="M19" s="211" t="str">
        <f t="shared" si="2"/>
        <v/>
      </c>
      <c r="N19" s="204">
        <f>IFERROR(VLOOKUP(Table1[[#This Row],[Bib]],downloads!$AD$3:$AF$11,2,FALSE),0)</f>
        <v>0</v>
      </c>
      <c r="O19" s="204">
        <f>IFERROR(VLOOKUP(Table1[[#This Row],[Bib]],downloads!$AD$3:$AF$11,3,FALSE),0)</f>
        <v>0</v>
      </c>
      <c r="P19" s="207">
        <v>7</v>
      </c>
      <c r="Q19" s="207">
        <f t="shared" si="5"/>
        <v>0</v>
      </c>
      <c r="R19" s="207">
        <f ca="1">COUNTIF(Table2[Posn],P19)</f>
        <v>0</v>
      </c>
      <c r="S19" s="204">
        <f ca="1">IF(R19=2,(Q19+Q20)/2,Q19)</f>
        <v>0</v>
      </c>
    </row>
    <row r="20" spans="1:19" ht="15" customHeight="1" x14ac:dyDescent="0.45">
      <c r="A20" s="207" t="str">
        <f ca="1">IFERROR(RANK(L20,$L$13:$L$20),"")</f>
        <v/>
      </c>
      <c r="B20" s="207" t="str">
        <f>IF(8&gt;U2,"-",8)</f>
        <v>-</v>
      </c>
      <c r="C20" s="204" t="str">
        <f>IFERROR(VLOOKUP($C$2&amp;$C$3&amp;$C$4&amp;$B20,Teams!$A:$E,3,FALSE),"")</f>
        <v/>
      </c>
      <c r="D20" s="207" t="str">
        <f>IFERROR(VLOOKUP($C$2&amp;$C$3&amp;$C$4&amp;$B20,Teams!$A:$E,4,FALSE),"")</f>
        <v/>
      </c>
      <c r="E20" s="362">
        <v>0</v>
      </c>
      <c r="F20" s="217">
        <f ca="1">SUMIF(Track1!$E:$E,MatchDay!D20,Track1!$P:$P)+SUMIF(Track1!$L:$L,MatchDay!D20,Track1!$Q:$Q)</f>
        <v>0</v>
      </c>
      <c r="G20" s="217">
        <f ca="1">SUMIF(Track2!$E:$E,MatchDay!D20,Track2!$P:$P)+SUMIF(Track2!$L:$L,MatchDay!D20,Track2!$Q:$Q)</f>
        <v>0</v>
      </c>
      <c r="H20" s="217">
        <f ca="1">SUMIF(Relays!$D:$D,MatchDay!D20,Relays!$L:$L)</f>
        <v>0</v>
      </c>
      <c r="I20" s="217">
        <f ca="1">SUMIF(Field!$E:$E,MatchDay!D20,Field!$P:$P)+SUMIF(Field!$L:$L,MatchDay!D20,Field!$Q:$Q)</f>
        <v>0</v>
      </c>
      <c r="J20" s="217" t="str">
        <f t="shared" ca="1" si="3"/>
        <v/>
      </c>
      <c r="K20" s="207" t="str">
        <f t="shared" ca="1" si="4"/>
        <v/>
      </c>
      <c r="L20" s="210" t="str">
        <f t="shared" ca="1" si="1"/>
        <v/>
      </c>
      <c r="M20" s="211" t="str">
        <f t="shared" si="2"/>
        <v/>
      </c>
      <c r="N20" s="204">
        <f>IFERROR(VLOOKUP(Table1[[#This Row],[Bib]],downloads!$AD$3:$AF$11,2,FALSE),0)</f>
        <v>0</v>
      </c>
      <c r="O20" s="204">
        <f>IFERROR(VLOOKUP(Table1[[#This Row],[Bib]],downloads!$AD$3:$AF$11,3,FALSE),0)</f>
        <v>0</v>
      </c>
      <c r="P20" s="207">
        <v>8</v>
      </c>
      <c r="Q20" s="207">
        <f t="shared" si="5"/>
        <v>0</v>
      </c>
      <c r="R20" s="207">
        <f ca="1">COUNTIF(Table2[Posn],P20)</f>
        <v>0</v>
      </c>
      <c r="S20" s="204">
        <f>Q20</f>
        <v>0</v>
      </c>
    </row>
    <row r="21" spans="1:19" ht="15" customHeight="1" x14ac:dyDescent="0.45">
      <c r="E21" s="363"/>
    </row>
    <row r="22" spans="1:19" ht="15" customHeight="1" x14ac:dyDescent="0.45">
      <c r="B22" s="213" t="s">
        <v>230</v>
      </c>
      <c r="C22" s="214" t="s">
        <v>136</v>
      </c>
      <c r="D22" s="405" t="s">
        <v>253</v>
      </c>
      <c r="E22" s="405" t="s">
        <v>553</v>
      </c>
      <c r="F22" s="404" t="s">
        <v>1247</v>
      </c>
      <c r="G22" s="404" t="s">
        <v>554</v>
      </c>
      <c r="H22" s="405" t="s">
        <v>1227</v>
      </c>
      <c r="I22" s="405" t="s">
        <v>555</v>
      </c>
      <c r="J22" s="406" t="s">
        <v>931</v>
      </c>
    </row>
    <row r="23" spans="1:19" ht="15" customHeight="1" x14ac:dyDescent="0.45">
      <c r="A23" s="207">
        <v>1</v>
      </c>
      <c r="B23" s="207">
        <f t="shared" ref="B23:B30" ca="1" si="6">IFERROR(VLOOKUP(A23,$A$13:$M$20,11,FALSE),"")</f>
        <v>1</v>
      </c>
      <c r="C23" s="369" t="str">
        <f ca="1">IFERROR(IF($D$35=58,downloads!AC3,VLOOKUP($A23,$A$13:$M$20,3,FALSE)),"")</f>
        <v>City of York AC</v>
      </c>
      <c r="D23" s="217">
        <f t="shared" ref="D23:D30" ca="1" si="7">IFERROR(VLOOKUP($A23,$A$13:$M$20,10,FALSE),0)</f>
        <v>542</v>
      </c>
      <c r="E23" s="357">
        <f ca="1">IFERROR(VLOOKUP(Table2[[#This Row],[Posn]],$P$13:$S$20,4,FALSE),0)</f>
        <v>5</v>
      </c>
      <c r="F23" s="358">
        <f ca="1">IFERROR(VLOOKUP(Table2[[#This Row],[Team Name]],$M$13:$O$20,3,FALSE),0)</f>
        <v>0</v>
      </c>
      <c r="G23" s="358">
        <f ca="1">IFERROR(VLOOKUP(Table2[[#This Row],[Team Name]],$M$13:$O$20,2,FALSE),0)</f>
        <v>0</v>
      </c>
      <c r="H23" s="357">
        <f ca="1">Table2[[#This Row],[Points]]+Table2[[#This Row],[B/fwd M]]</f>
        <v>542</v>
      </c>
      <c r="I23" s="357">
        <f ca="1">Table2[[#This Row],[League]]+Table2[[#This Row],[B/fwd L]]</f>
        <v>5</v>
      </c>
      <c r="J23" s="359">
        <f ca="1">IF(Table2[[#This Row],[Posn]]="-","",IF(RANK(M23,$M$23:$M$30,0)&gt;$U$2,"",RANK(M23,$M$23:$M$30,0)))</f>
        <v>1</v>
      </c>
      <c r="M23" s="204">
        <f ca="1">Table2[[#This Row],[Total L]]+(Table2[[#This Row],[Total Pts]]/100000)</f>
        <v>5.00542</v>
      </c>
    </row>
    <row r="24" spans="1:19" ht="15" customHeight="1" x14ac:dyDescent="0.45">
      <c r="A24" s="207">
        <v>2</v>
      </c>
      <c r="B24" s="207">
        <f t="shared" ca="1" si="6"/>
        <v>2</v>
      </c>
      <c r="C24" s="204" t="str">
        <f ca="1">IFERROR(IF($D$35=58,downloads!AC4,VLOOKUP($A24,$A$13:$M$20,3,FALSE)),"")</f>
        <v>City of Sheffield &amp; Dearne AC</v>
      </c>
      <c r="D24" s="217">
        <f t="shared" ca="1" si="7"/>
        <v>410</v>
      </c>
      <c r="E24" s="357">
        <f ca="1">IFERROR(VLOOKUP(Table2[[#This Row],[Posn]],$P$13:$S$20,4,FALSE),0)</f>
        <v>4</v>
      </c>
      <c r="F24" s="358">
        <f ca="1">IFERROR(VLOOKUP(Table2[[#This Row],[Team Name]],$M$13:$O$20,3,FALSE),0)</f>
        <v>0</v>
      </c>
      <c r="G24" s="358">
        <f ca="1">IFERROR(VLOOKUP(Table2[[#This Row],[Team Name]],$M$13:$O$20,2,FALSE),0)</f>
        <v>0</v>
      </c>
      <c r="H24" s="357">
        <f ca="1">Table2[[#This Row],[Points]]+Table2[[#This Row],[B/fwd M]]</f>
        <v>410</v>
      </c>
      <c r="I24" s="357">
        <f ca="1">Table2[[#This Row],[League]]+Table2[[#This Row],[B/fwd L]]</f>
        <v>4</v>
      </c>
      <c r="J24" s="359">
        <f ca="1">IF(Table2[[#This Row],[Posn]]="-","",IF(RANK(M24,$M$23:$M$30,0)&gt;$U$2,"",RANK(M24,$M$23:$M$30,0)))</f>
        <v>2</v>
      </c>
      <c r="M24" s="204">
        <f ca="1">Table2[[#This Row],[Total L]]+(Table2[[#This Row],[Total Pts]]/100000)</f>
        <v>4.0041000000000002</v>
      </c>
    </row>
    <row r="25" spans="1:19" ht="15" customHeight="1" x14ac:dyDescent="0.45">
      <c r="A25" s="207">
        <v>3</v>
      </c>
      <c r="B25" s="207">
        <f t="shared" ca="1" si="6"/>
        <v>3</v>
      </c>
      <c r="C25" s="204" t="str">
        <f ca="1">IFERROR(IF($D$35=58,downloads!AC5,VLOOKUP($A25,$A$13:$M$20,3,FALSE)),"")</f>
        <v>Chesterfield &amp; District AC</v>
      </c>
      <c r="D25" s="217">
        <f t="shared" ca="1" si="7"/>
        <v>393</v>
      </c>
      <c r="E25" s="357">
        <f ca="1">IFERROR(VLOOKUP(Table2[[#This Row],[Posn]],$P$13:$S$20,4,FALSE),0)</f>
        <v>3</v>
      </c>
      <c r="F25" s="358">
        <f ca="1">IFERROR(VLOOKUP(Table2[[#This Row],[Team Name]],$M$13:$O$20,3,FALSE),0)</f>
        <v>0</v>
      </c>
      <c r="G25" s="358">
        <f ca="1">IFERROR(VLOOKUP(Table2[[#This Row],[Team Name]],$M$13:$O$20,2,FALSE),0)</f>
        <v>0</v>
      </c>
      <c r="H25" s="357">
        <f ca="1">Table2[[#This Row],[Points]]+Table2[[#This Row],[B/fwd M]]</f>
        <v>393</v>
      </c>
      <c r="I25" s="357">
        <f ca="1">Table2[[#This Row],[League]]+Table2[[#This Row],[B/fwd L]]</f>
        <v>3</v>
      </c>
      <c r="J25" s="359">
        <f ca="1">IF(Table2[[#This Row],[Posn]]="-","",IF(RANK(M25,$M$23:$M$30,0)&gt;$U$2,"",RANK(M25,$M$23:$M$30,0)))</f>
        <v>3</v>
      </c>
      <c r="M25" s="204">
        <f ca="1">Table2[[#This Row],[Total L]]+(Table2[[#This Row],[Total Pts]]/100000)</f>
        <v>3.00393</v>
      </c>
    </row>
    <row r="26" spans="1:19" ht="15" customHeight="1" x14ac:dyDescent="0.45">
      <c r="A26" s="207">
        <v>4</v>
      </c>
      <c r="B26" s="207">
        <f t="shared" ca="1" si="6"/>
        <v>4</v>
      </c>
      <c r="C26" s="204" t="str">
        <f ca="1">IFERROR(IF($D$35=58,downloads!AC6,VLOOKUP($A26,$A$13:$M$20,3,FALSE)),"")</f>
        <v>Middlesbrough AC (Mandale)</v>
      </c>
      <c r="D26" s="217">
        <f t="shared" ca="1" si="7"/>
        <v>366</v>
      </c>
      <c r="E26" s="357">
        <f ca="1">IFERROR(VLOOKUP(Table2[[#This Row],[Posn]],$P$13:$S$20,4,FALSE),0)</f>
        <v>2</v>
      </c>
      <c r="F26" s="358">
        <f ca="1">IFERROR(VLOOKUP(Table2[[#This Row],[Team Name]],$M$13:$O$20,3,FALSE),0)</f>
        <v>0</v>
      </c>
      <c r="G26" s="358">
        <f ca="1">IFERROR(VLOOKUP(Table2[[#This Row],[Team Name]],$M$13:$O$20,2,FALSE),0)</f>
        <v>0</v>
      </c>
      <c r="H26" s="357">
        <f ca="1">Table2[[#This Row],[Points]]+Table2[[#This Row],[B/fwd M]]</f>
        <v>366</v>
      </c>
      <c r="I26" s="357">
        <f ca="1">Table2[[#This Row],[League]]+Table2[[#This Row],[B/fwd L]]</f>
        <v>2</v>
      </c>
      <c r="J26" s="359">
        <f ca="1">IF(Table2[[#This Row],[Posn]]="-","",IF(RANK(M26,$M$23:$M$30,0)&gt;$U$2,"",RANK(M26,$M$23:$M$30,0)))</f>
        <v>4</v>
      </c>
      <c r="M26" s="204">
        <f ca="1">Table2[[#This Row],[Total L]]+(Table2[[#This Row],[Total Pts]]/100000)</f>
        <v>2.00366</v>
      </c>
    </row>
    <row r="27" spans="1:19" ht="15" customHeight="1" x14ac:dyDescent="0.45">
      <c r="A27" s="207">
        <v>5</v>
      </c>
      <c r="B27" s="207">
        <f t="shared" ca="1" si="6"/>
        <v>5</v>
      </c>
      <c r="C27" s="204" t="str">
        <f ca="1">IFERROR(IF($D$35=58,downloads!AC7,VLOOKUP($A27,$A$13:$M$20,3,FALSE)),"")</f>
        <v>Scunthorpe &amp; District AC</v>
      </c>
      <c r="D27" s="217">
        <f t="shared" ca="1" si="7"/>
        <v>171.5</v>
      </c>
      <c r="E27" s="357">
        <f ca="1">IFERROR(VLOOKUP(Table2[[#This Row],[Posn]],$P$13:$S$20,4,FALSE),0)</f>
        <v>1</v>
      </c>
      <c r="F27" s="358">
        <f ca="1">IFERROR(VLOOKUP(Table2[[#This Row],[Team Name]],$M$13:$O$20,3,FALSE),0)</f>
        <v>0</v>
      </c>
      <c r="G27" s="358">
        <f ca="1">IFERROR(VLOOKUP(Table2[[#This Row],[Team Name]],$M$13:$O$20,2,FALSE),0)</f>
        <v>0</v>
      </c>
      <c r="H27" s="357">
        <f ca="1">Table2[[#This Row],[Points]]+Table2[[#This Row],[B/fwd M]]</f>
        <v>171.5</v>
      </c>
      <c r="I27" s="357">
        <f ca="1">Table2[[#This Row],[League]]+Table2[[#This Row],[B/fwd L]]</f>
        <v>1</v>
      </c>
      <c r="J27" s="359">
        <f ca="1">IF(Table2[[#This Row],[Posn]]="-","",IF(RANK(M27,$M$23:$M$30,0)&gt;$U$2,"",RANK(M27,$M$23:$M$30,0)))</f>
        <v>5</v>
      </c>
      <c r="M27" s="204">
        <f ca="1">Table2[[#This Row],[Total L]]+(Table2[[#This Row],[Total Pts]]/100000)</f>
        <v>1.0017149999999999</v>
      </c>
    </row>
    <row r="28" spans="1:19" ht="15" customHeight="1" x14ac:dyDescent="0.45">
      <c r="A28" s="207">
        <v>6</v>
      </c>
      <c r="B28" s="207" t="str">
        <f t="shared" ca="1" si="6"/>
        <v/>
      </c>
      <c r="C28" s="204" t="str">
        <f ca="1">IFERROR(IF($D$35=58,downloads!AC8,VLOOKUP($A28,$A$13:$M$20,3,FALSE)),"")</f>
        <v/>
      </c>
      <c r="D28" s="217">
        <f t="shared" ca="1" si="7"/>
        <v>0</v>
      </c>
      <c r="E28" s="357">
        <f ca="1">IFERROR(VLOOKUP(Table2[[#This Row],[Posn]],$P$13:$S$20,4,FALSE),0)</f>
        <v>0</v>
      </c>
      <c r="F28" s="358">
        <f ca="1">IFERROR(VLOOKUP(Table2[[#This Row],[Team Name]],$M$13:$O$20,3,FALSE),0)</f>
        <v>0</v>
      </c>
      <c r="G28" s="358">
        <f ca="1">IFERROR(VLOOKUP(Table2[[#This Row],[Team Name]],$M$13:$O$20,2,FALSE),0)</f>
        <v>0</v>
      </c>
      <c r="H28" s="357">
        <f ca="1">Table2[[#This Row],[Points]]+Table2[[#This Row],[B/fwd M]]</f>
        <v>0</v>
      </c>
      <c r="I28" s="357">
        <f ca="1">Table2[[#This Row],[League]]+Table2[[#This Row],[B/fwd L]]</f>
        <v>0</v>
      </c>
      <c r="J28" s="359" t="str">
        <f ca="1">IF(Table2[[#This Row],[Posn]]="-","",IF(RANK(M28,$M$23:$M$30,0)&gt;$U$2,"",RANK(M28,$M$23:$M$30,0)))</f>
        <v/>
      </c>
      <c r="M28" s="204">
        <f ca="1">Table2[[#This Row],[Total L]]+(Table2[[#This Row],[Total Pts]]/100000)</f>
        <v>0</v>
      </c>
    </row>
    <row r="29" spans="1:19" ht="15" customHeight="1" x14ac:dyDescent="0.45">
      <c r="A29" s="207">
        <v>7</v>
      </c>
      <c r="B29" s="207" t="str">
        <f t="shared" ca="1" si="6"/>
        <v/>
      </c>
      <c r="C29" s="204" t="str">
        <f ca="1">IFERROR(IF($D$35=58,downloads!AC9,VLOOKUP($A29,$A$13:$M$20,3,FALSE)),"")</f>
        <v/>
      </c>
      <c r="D29" s="217">
        <f t="shared" ca="1" si="7"/>
        <v>0</v>
      </c>
      <c r="E29" s="357">
        <f ca="1">IFERROR(VLOOKUP(Table2[[#This Row],[Posn]],$P$13:$S$20,4,FALSE),0)</f>
        <v>0</v>
      </c>
      <c r="F29" s="358">
        <f ca="1">IFERROR(VLOOKUP(Table2[[#This Row],[Team Name]],$M$13:$O$20,3,FALSE),0)</f>
        <v>0</v>
      </c>
      <c r="G29" s="358">
        <f ca="1">IFERROR(VLOOKUP(Table2[[#This Row],[Team Name]],$M$13:$O$20,2,FALSE),0)</f>
        <v>0</v>
      </c>
      <c r="H29" s="357">
        <f ca="1">Table2[[#This Row],[Points]]+Table2[[#This Row],[B/fwd M]]</f>
        <v>0</v>
      </c>
      <c r="I29" s="357">
        <f ca="1">Table2[[#This Row],[League]]+Table2[[#This Row],[B/fwd L]]</f>
        <v>0</v>
      </c>
      <c r="J29" s="359" t="str">
        <f ca="1">IF(Table2[[#This Row],[Posn]]="-","",IF(RANK(M29,$M$23:$M$30,0)&gt;$U$2,"",RANK(M29,$M$23:$M$30,0)))</f>
        <v/>
      </c>
      <c r="M29" s="204">
        <f ca="1">Table2[[#This Row],[Total L]]+(Table2[[#This Row],[Total Pts]]/100000)</f>
        <v>0</v>
      </c>
    </row>
    <row r="30" spans="1:19" ht="15" customHeight="1" x14ac:dyDescent="0.45">
      <c r="A30" s="207">
        <v>8</v>
      </c>
      <c r="B30" s="207" t="str">
        <f t="shared" ca="1" si="6"/>
        <v/>
      </c>
      <c r="C30" s="204" t="str">
        <f ca="1">IFERROR(IF($D$35=58,downloads!AC10,VLOOKUP($A30,$A$13:$M$20,3,FALSE)),"")</f>
        <v/>
      </c>
      <c r="D30" s="217">
        <f t="shared" ca="1" si="7"/>
        <v>0</v>
      </c>
      <c r="E30" s="357">
        <f ca="1">IFERROR(VLOOKUP(Table2[[#This Row],[Posn]],$P$13:$S$20,4,FALSE),0)</f>
        <v>0</v>
      </c>
      <c r="F30" s="358">
        <f ca="1">IFERROR(VLOOKUP(Table2[[#This Row],[Team Name]],$M$13:$O$20,3,FALSE),0)</f>
        <v>0</v>
      </c>
      <c r="G30" s="358">
        <f ca="1">IFERROR(VLOOKUP(Table2[[#This Row],[Team Name]],$M$13:$O$20,2,FALSE),0)</f>
        <v>0</v>
      </c>
      <c r="H30" s="357">
        <f ca="1">Table2[[#This Row],[Points]]+Table2[[#This Row],[B/fwd M]]</f>
        <v>0</v>
      </c>
      <c r="I30" s="357">
        <f ca="1">Table2[[#This Row],[League]]+Table2[[#This Row],[B/fwd L]]</f>
        <v>0</v>
      </c>
      <c r="J30" s="359" t="str">
        <f ca="1">IF(Table2[[#This Row],[Posn]]="-","",IF(RANK(M30,$M$23:$M$30,0)&gt;$U$2,"",RANK(M30,$M$23:$M$30,0)))</f>
        <v/>
      </c>
      <c r="M30" s="204">
        <f ca="1">Table2[[#This Row],[Total L]]+(Table2[[#This Row],[Total Pts]]/100000)</f>
        <v>0</v>
      </c>
    </row>
    <row r="31" spans="1:19" ht="15" customHeight="1" x14ac:dyDescent="0.45">
      <c r="D31" s="212"/>
    </row>
    <row r="32" spans="1:19" ht="15" customHeight="1" x14ac:dyDescent="0.45">
      <c r="C32" s="204" t="s">
        <v>556</v>
      </c>
      <c r="D32" s="215">
        <v>50</v>
      </c>
    </row>
    <row r="33" spans="3:5" ht="15" customHeight="1" x14ac:dyDescent="0.45">
      <c r="C33" s="340" t="s">
        <v>920</v>
      </c>
      <c r="D33" s="215">
        <f ca="1">Track1!S1+Track2!S1+Relays!N1+Field!S1</f>
        <v>0</v>
      </c>
    </row>
    <row r="34" spans="3:5" ht="15" customHeight="1" x14ac:dyDescent="0.45">
      <c r="C34" s="204" t="s">
        <v>557</v>
      </c>
      <c r="D34" s="215">
        <f ca="1">Track1!R1+Track2!R1+Relays!M1+Field!R1-D33</f>
        <v>50</v>
      </c>
    </row>
    <row r="35" spans="3:5" ht="15" customHeight="1" thickBot="1" x14ac:dyDescent="0.5">
      <c r="C35" s="204" t="s">
        <v>558</v>
      </c>
      <c r="D35" s="216">
        <f ca="1">D32-D33-D34</f>
        <v>0</v>
      </c>
    </row>
    <row r="36" spans="3:5" ht="15" customHeight="1" thickTop="1" x14ac:dyDescent="0.45"/>
    <row r="37" spans="3:5" ht="15" customHeight="1" x14ac:dyDescent="0.45">
      <c r="C37" s="223"/>
    </row>
    <row r="38" spans="3:5" ht="15" customHeight="1" x14ac:dyDescent="0.45">
      <c r="E38" s="370"/>
    </row>
    <row r="39" spans="3:5" ht="15" customHeight="1" x14ac:dyDescent="0.45">
      <c r="C39" s="369"/>
    </row>
    <row r="40" spans="3:5" ht="15" customHeight="1" x14ac:dyDescent="0.45">
      <c r="C40" s="223"/>
    </row>
    <row r="42" spans="3:5" ht="15" customHeight="1" x14ac:dyDescent="0.45">
      <c r="C42" s="369"/>
    </row>
    <row r="43" spans="3:5" ht="15" customHeight="1" x14ac:dyDescent="0.45">
      <c r="C43" s="223"/>
    </row>
  </sheetData>
  <sheetProtection algorithmName="SHA-512" hashValue="yeoj7eBROcQeuMjuQOa47E6kvyglhSFY0BDEs7tmJWhWhl1ym82chKJJpGXYo8sva+ZKV0iai9sxFqhNLvUe1g==" saltValue="PaN4P2pAiOxwBkRNWwVeNQ==" spinCount="100000" sheet="1" objects="1" scenarios="1" formatCells="0" formatColumns="0" formatRows="0" sort="0" autoFilter="0"/>
  <mergeCells count="2">
    <mergeCell ref="AE6:AG10"/>
    <mergeCell ref="D2:D5"/>
  </mergeCells>
  <dataValidations count="5">
    <dataValidation type="list" allowBlank="1" showInputMessage="1" showErrorMessage="1" sqref="C4" xr:uid="{00000000-0002-0000-0300-000000000000}">
      <formula1>INDIRECT($Y$2)</formula1>
    </dataValidation>
    <dataValidation type="list" allowBlank="1" showInputMessage="1" showErrorMessage="1" sqref="C3" xr:uid="{00000000-0002-0000-0300-000001000000}">
      <formula1>$N$3:$N$7</formula1>
    </dataValidation>
    <dataValidation type="list" allowBlank="1" showInputMessage="1" showErrorMessage="1" sqref="C5" xr:uid="{00000000-0002-0000-0300-000002000000}">
      <formula1>$O$3:$O$6</formula1>
    </dataValidation>
    <dataValidation type="list" allowBlank="1" showInputMessage="1" showErrorMessage="1" sqref="C6" xr:uid="{00000000-0002-0000-0300-000003000000}">
      <formula1>$S$8:$S$9</formula1>
    </dataValidation>
    <dataValidation type="list" allowBlank="1" showInputMessage="1" showErrorMessage="1" sqref="D6" xr:uid="{00000000-0002-0000-0300-000004000000}">
      <formula1>$P$3:$P$4</formula1>
    </dataValidation>
  </dataValidations>
  <printOptions horizontalCentered="1"/>
  <pageMargins left="0.31496062992125984" right="0.31496062992125984" top="1.1417322834645669" bottom="0.74803149606299213" header="0.31496062992125984" footer="0.31496062992125984"/>
  <pageSetup paperSize="9" scale="87" orientation="portrait" r:id="rId1"/>
  <headerFooter>
    <oddHeader>&amp;L&amp;G&amp;C&amp;"+,Regular"&amp;12UK ATHLETICS :: YOUTH DEVELOPMENT LEAGUE 2018</oddHeader>
    <oddFooter>&amp;L&amp;9&amp;D &amp;T&amp;C&amp;G&amp;R&amp;9&amp;A
Page &amp;P of &amp;N</oddFooter>
  </headerFooter>
  <drawing r:id="rId2"/>
  <legacyDrawingHF r:id="rId3"/>
  <tableParts count="2">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tabColor rgb="FFFFFF00"/>
  </sheetPr>
  <dimension ref="A1:AB352"/>
  <sheetViews>
    <sheetView showZeros="0" topLeftCell="B1" zoomScaleNormal="100" workbookViewId="0">
      <pane ySplit="1" topLeftCell="A74" activePane="bottomLeft" state="frozen"/>
      <selection activeCell="T1" sqref="T1:W1048576"/>
      <selection pane="bottomLeft" activeCell="B56" sqref="A56:XFD68"/>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65"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67" customWidth="1"/>
    <col min="14" max="14" width="4" style="121" customWidth="1"/>
    <col min="15" max="17" width="8.86328125" style="64"/>
    <col min="18" max="18" width="8.86328125" style="64" customWidth="1"/>
    <col min="19" max="19" width="8.86328125" style="64"/>
    <col min="20" max="21" width="0" style="64" hidden="1" customWidth="1"/>
    <col min="22" max="23" width="0" style="422" hidden="1" customWidth="1"/>
    <col min="24" max="28" width="8.86328125" style="422"/>
    <col min="29" max="16384" width="8.86328125" style="64"/>
  </cols>
  <sheetData>
    <row r="1" spans="1:26" ht="45" customHeight="1" x14ac:dyDescent="0.35">
      <c r="A1" s="201" t="s">
        <v>784</v>
      </c>
      <c r="B1" s="223" t="str">
        <f>Dashboard!E1</f>
        <v>LOWER NORTH East 1 @ Doncaster</v>
      </c>
      <c r="D1" s="288"/>
      <c r="G1" s="198"/>
      <c r="I1" s="64"/>
      <c r="J1" s="64"/>
      <c r="K1" s="202"/>
      <c r="L1" s="497">
        <f>Dashboard!E2</f>
        <v>43582</v>
      </c>
      <c r="M1" s="498"/>
      <c r="N1" s="200"/>
      <c r="P1" s="82"/>
      <c r="Q1" s="70"/>
      <c r="R1" s="82">
        <f ca="1">SUM(R2:R300)</f>
        <v>15</v>
      </c>
    </row>
    <row r="2" spans="1:26" x14ac:dyDescent="0.35">
      <c r="A2" s="66" t="s">
        <v>44</v>
      </c>
      <c r="B2" s="115" t="str">
        <f ca="1">IFERROR(INDIRECT(CONCATENATE("Track1!B",A3)),"")</f>
        <v>100m U15 Boys A</v>
      </c>
      <c r="E2" s="89" t="s">
        <v>259</v>
      </c>
      <c r="F2" s="299">
        <f ca="1">IFERROR(INDIRECT(CONCATENATE("Track1!f",A3)),"")</f>
        <v>0</v>
      </c>
      <c r="G2" s="121" t="str">
        <f ca="1">IFERROR(INDIRECT(CONCATENATE("Track1!g",A3)),"")</f>
        <v/>
      </c>
      <c r="I2" s="115" t="str">
        <f ca="1">IFERROR(INDIRECT(CONCATENATE("Track1!I",A3)),"")</f>
        <v>100m U15 Boys B</v>
      </c>
      <c r="L2" s="89" t="s">
        <v>259</v>
      </c>
      <c r="M2" s="299">
        <f ca="1">IFERROR(INDIRECT(CONCATENATE("Track1!M",A3)),"")</f>
        <v>0</v>
      </c>
    </row>
    <row r="3" spans="1:26" x14ac:dyDescent="0.35">
      <c r="A3" s="66">
        <f>IFERROR(MATCH(A2,Track1!A:A,0),"")</f>
        <v>123</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149"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149" t="str">
        <f ca="1">IFERROR(INDIRECT(CONCATENATE("Track1!M",A3+1)),"")</f>
        <v>Perf</v>
      </c>
      <c r="N3" s="218" t="str">
        <f ca="1">IFERROR(INDIRECT(CONCATENATE("Track1!N",A3+1)),"")</f>
        <v>AAA</v>
      </c>
      <c r="O3" s="67"/>
    </row>
    <row r="4" spans="1:26" x14ac:dyDescent="0.35">
      <c r="B4" s="66">
        <f ca="1">IFERROR(INDIRECT(CONCATENATE("Track1!B",A3+2)),"")</f>
        <v>1</v>
      </c>
      <c r="C4" s="66">
        <f ca="1">IFERROR(INDIRECT(CONCATENATE("Track1!C",A3+2)),"")</f>
        <v>44</v>
      </c>
      <c r="D4" s="89" t="str">
        <f ca="1">IFERROR(INDIRECT(CONCATENATE("Track1!D",A3+2)),"")</f>
        <v>OKEY Chieme</v>
      </c>
      <c r="E4" s="89" t="str">
        <f ca="1">IFERROR(INDIRECT(CONCATENATE("Track1!E",A3+2)),"")</f>
        <v>M'bro</v>
      </c>
      <c r="F4" s="65">
        <f ca="1">IFERROR(INDIRECT(CONCATENATE("Track1!F",A3+2)),"")</f>
        <v>12.3</v>
      </c>
      <c r="G4" s="121">
        <f ca="1">IFERROR(INDIRECT(CONCATENATE("Track1!G",A3+2)),"")</f>
        <v>4</v>
      </c>
      <c r="H4" s="66"/>
      <c r="I4" s="66">
        <f ca="1">IFERROR(INDIRECT(CONCATENATE("Track1!I",A3+2)),"")</f>
        <v>1</v>
      </c>
      <c r="J4" s="66">
        <f ca="1">IFERROR(INDIRECT(CONCATENATE("Track1!J",A3+2)),"")</f>
        <v>4</v>
      </c>
      <c r="K4" s="89" t="str">
        <f ca="1">IFERROR(INDIRECT(CONCATENATE("Track1!K",A3+2)),"")</f>
        <v>MAYNARD Tom</v>
      </c>
      <c r="L4" s="89" t="str">
        <f ca="1">IFERROR(INDIRECT(CONCATENATE("Track1!L",A3+2)),"")</f>
        <v>M'bro</v>
      </c>
      <c r="M4" s="65">
        <f ca="1">IFERROR(INDIRECT(CONCATENATE("Track1!M",A3+2)),"")</f>
        <v>12.6</v>
      </c>
      <c r="N4" s="121" t="str">
        <f ca="1">IFERROR(INDIRECT(CONCATENATE("Track1!N",A3+2)),"")</f>
        <v/>
      </c>
      <c r="R4" s="219">
        <f ca="1">IFERROR(INDIRECT(CONCATENATE("Track1!r",A3+2)),"")</f>
        <v>1</v>
      </c>
      <c r="T4" s="64">
        <f ca="1">IF(OR(D4=0,D4="",D4="Athlete"),"",COUNTIF($D$4:$D$352,D4))</f>
        <v>1</v>
      </c>
      <c r="U4" s="64">
        <f ca="1">IF(OR(K4=0,K4="",K4="Athlete"),"",COUNTIF($D$4:$D$352,K4))</f>
        <v>2</v>
      </c>
      <c r="V4" s="422">
        <f ca="1">IF(OR(D4=0,D4="",D4="Athlete"),"",COUNTIF($D$4:$D4,D4))</f>
        <v>1</v>
      </c>
      <c r="W4" s="422" t="str">
        <f ca="1">IF(OR(D4=0,D4="",D4="Athlete"),"",E4)</f>
        <v>M'bro</v>
      </c>
      <c r="Z4" s="422">
        <f ca="1">IF(OR(G4=0,G4="",G4="Athlete"),"",H4)</f>
        <v>0</v>
      </c>
    </row>
    <row r="5" spans="1:26" x14ac:dyDescent="0.35">
      <c r="B5" s="66">
        <f ca="1">IFERROR(INDIRECT(CONCATENATE("Track1!B",A3+3)),"")</f>
        <v>2</v>
      </c>
      <c r="C5" s="66">
        <f ca="1">IFERROR(INDIRECT(CONCATENATE("Track1!C",A3+3)),"")</f>
        <v>1</v>
      </c>
      <c r="D5" s="89" t="str">
        <f ca="1">IFERROR(INDIRECT(CONCATENATE("Track1!D",A3+3)),"")</f>
        <v>FOGDEN Ben</v>
      </c>
      <c r="E5" s="89" t="str">
        <f ca="1">IFERROR(INDIRECT(CONCATENATE("Track1!E",A3+3)),"")</f>
        <v>C'field</v>
      </c>
      <c r="F5" s="65">
        <f ca="1">IFERROR(INDIRECT(CONCATENATE("Track1!F",A3+3)),"")</f>
        <v>12.4</v>
      </c>
      <c r="G5" s="121">
        <f ca="1">IFERROR(INDIRECT(CONCATENATE("Track1!G",A3+3)),"")</f>
        <v>4</v>
      </c>
      <c r="H5" s="66"/>
      <c r="I5" s="66">
        <f ca="1">IFERROR(INDIRECT(CONCATENATE("Track1!I",A3+3)),"")</f>
        <v>2</v>
      </c>
      <c r="J5" s="66">
        <f ca="1">IFERROR(INDIRECT(CONCATENATE("Track1!J",A3+3)),"")</f>
        <v>33</v>
      </c>
      <c r="K5" s="89" t="str">
        <f ca="1">IFERROR(INDIRECT(CONCATENATE("Track1!K",A3+3)),"")</f>
        <v>PYE George</v>
      </c>
      <c r="L5" s="89" t="str">
        <f ca="1">IFERROR(INDIRECT(CONCATENATE("Track1!L",A3+3)),"")</f>
        <v>York</v>
      </c>
      <c r="M5" s="65">
        <f ca="1">IFERROR(INDIRECT(CONCATENATE("Track1!M",A3+3)),"")</f>
        <v>12.8</v>
      </c>
      <c r="N5" s="121" t="str">
        <f ca="1">IFERROR(INDIRECT(CONCATENATE("Track1!N",A3+3)),"")</f>
        <v/>
      </c>
      <c r="T5" s="64">
        <f t="shared" ref="T5:T68" ca="1" si="0">IF(OR(D5=0,D5="",D5="Athlete"),"",COUNTIF($D$4:$D$352,D5))</f>
        <v>3</v>
      </c>
      <c r="U5" s="64">
        <f t="shared" ref="U5:U68" ca="1" si="1">IF(OR(K5=0,K5="",K5="Athlete"),"",COUNTIF($D$4:$D$352,K5))</f>
        <v>2</v>
      </c>
      <c r="V5" s="422">
        <f ca="1">IF(OR(D5=0,D5="",D5="Athlete"),"",COUNTIF($D$4:$D5,D5))</f>
        <v>1</v>
      </c>
      <c r="W5" s="422" t="str">
        <f t="shared" ref="W5:W68" ca="1" si="2">IF(OR(D5=0,D5="",D5="Athlete"),"",E5)</f>
        <v>C'field</v>
      </c>
      <c r="Z5" s="422">
        <f t="shared" ref="Z5:Z68" ca="1" si="3">IF(OR(G5=0,G5="",G5="Athlete"),"",H5)</f>
        <v>0</v>
      </c>
    </row>
    <row r="6" spans="1:26" x14ac:dyDescent="0.35">
      <c r="B6" s="66">
        <f ca="1">IFERROR(INDIRECT(CONCATENATE("Track1!B",A3+4)),"")</f>
        <v>3</v>
      </c>
      <c r="C6" s="66">
        <f ca="1">IFERROR(INDIRECT(CONCATENATE("Track1!C",A3+4)),"")</f>
        <v>3</v>
      </c>
      <c r="D6" s="89" t="str">
        <f ca="1">IFERROR(INDIRECT(CONCATENATE("Track1!D",A3+4)),"")</f>
        <v>MEIGH William</v>
      </c>
      <c r="E6" s="89" t="str">
        <f ca="1">IFERROR(INDIRECT(CONCATENATE("Track1!E",A3+4)),"")</f>
        <v>York</v>
      </c>
      <c r="F6" s="65">
        <f ca="1">IFERROR(INDIRECT(CONCATENATE("Track1!F",A3+4)),"")</f>
        <v>12.6</v>
      </c>
      <c r="G6" s="121" t="str">
        <f ca="1">IFERROR(INDIRECT(CONCATENATE("Track1!G",A3+4)),"")</f>
        <v/>
      </c>
      <c r="H6" s="66"/>
      <c r="I6" s="66">
        <f ca="1">IFERROR(INDIRECT(CONCATENATE("Track1!I",A3+4)),"")</f>
        <v>3</v>
      </c>
      <c r="J6" s="66">
        <f ca="1">IFERROR(INDIRECT(CONCATENATE("Track1!J",A3+4)),"")</f>
        <v>0</v>
      </c>
      <c r="K6" s="89" t="str">
        <f ca="1">IFERROR(INDIRECT(CONCATENATE("Track1!K",A3+4)),"")</f>
        <v/>
      </c>
      <c r="L6" s="89" t="str">
        <f ca="1">IFERROR(INDIRECT(CONCATENATE("Track1!L",A3+4)),"")</f>
        <v/>
      </c>
      <c r="M6" s="65">
        <f ca="1">IFERROR(INDIRECT(CONCATENATE("Track1!M",A3+4)),"")</f>
        <v>0</v>
      </c>
      <c r="N6" s="121" t="str">
        <f ca="1">IFERROR(INDIRECT(CONCATENATE("Track1!N",A3+4)),"")</f>
        <v/>
      </c>
      <c r="T6" s="64">
        <f t="shared" ca="1" si="0"/>
        <v>3</v>
      </c>
      <c r="U6" s="64" t="str">
        <f t="shared" ca="1" si="1"/>
        <v/>
      </c>
      <c r="V6" s="422">
        <f ca="1">IF(OR(D6=0,D6="",D6="Athlete"),"",COUNTIF($D$4:$D6,D6))</f>
        <v>1</v>
      </c>
      <c r="W6" s="422" t="str">
        <f t="shared" ca="1" si="2"/>
        <v>York</v>
      </c>
      <c r="Z6" s="422" t="str">
        <f t="shared" ca="1" si="3"/>
        <v/>
      </c>
    </row>
    <row r="7" spans="1:26" x14ac:dyDescent="0.35">
      <c r="B7" s="66">
        <f ca="1">IFERROR(INDIRECT(CONCATENATE("Track1!B",A3+5)),"")</f>
        <v>4</v>
      </c>
      <c r="C7" s="66">
        <f ca="1">IFERROR(INDIRECT(CONCATENATE("Track1!C",A3+5)),"")</f>
        <v>2</v>
      </c>
      <c r="D7" s="89" t="str">
        <f ca="1">IFERROR(INDIRECT(CONCATENATE("Track1!D",A3+5)),"")</f>
        <v>WAINWRIGHT James</v>
      </c>
      <c r="E7" s="89" t="str">
        <f ca="1">IFERROR(INDIRECT(CONCATENATE("Track1!E",A3+5)),"")</f>
        <v>Sheff+D</v>
      </c>
      <c r="F7" s="65">
        <f ca="1">IFERROR(INDIRECT(CONCATENATE("Track1!F",A3+5)),"")</f>
        <v>13.7</v>
      </c>
      <c r="G7" s="121" t="str">
        <f ca="1">IFERROR(INDIRECT(CONCATENATE("Track1!G",A3+5)),"")</f>
        <v/>
      </c>
      <c r="H7" s="66"/>
      <c r="I7" s="66">
        <f ca="1">IFERROR(INDIRECT(CONCATENATE("Track1!I",A3+5)),"")</f>
        <v>4</v>
      </c>
      <c r="J7" s="66">
        <f ca="1">IFERROR(INDIRECT(CONCATENATE("Track1!J",A3+5)),"")</f>
        <v>0</v>
      </c>
      <c r="K7" s="89" t="str">
        <f ca="1">IFERROR(INDIRECT(CONCATENATE("Track1!K",A3+5)),"")</f>
        <v/>
      </c>
      <c r="L7" s="89" t="str">
        <f ca="1">IFERROR(INDIRECT(CONCATENATE("Track1!L",A3+5)),"")</f>
        <v/>
      </c>
      <c r="M7" s="65">
        <f ca="1">IFERROR(INDIRECT(CONCATENATE("Track1!M",A3+5)),"")</f>
        <v>0</v>
      </c>
      <c r="N7" s="121" t="str">
        <f ca="1">IFERROR(INDIRECT(CONCATENATE("Track1!N",A3+5)),"")</f>
        <v/>
      </c>
      <c r="T7" s="64">
        <f t="shared" ca="1" si="0"/>
        <v>3</v>
      </c>
      <c r="U7" s="64" t="str">
        <f t="shared" ca="1" si="1"/>
        <v/>
      </c>
      <c r="V7" s="422">
        <f ca="1">IF(OR(D7=0,D7="",D7="Athlete"),"",COUNTIF($D$4:$D7,D7))</f>
        <v>1</v>
      </c>
      <c r="W7" s="422" t="str">
        <f t="shared" ca="1" si="2"/>
        <v>Sheff+D</v>
      </c>
      <c r="Z7" s="422" t="str">
        <f t="shared" ca="1" si="3"/>
        <v/>
      </c>
    </row>
    <row r="8" spans="1:26" x14ac:dyDescent="0.35">
      <c r="B8" s="66">
        <f ca="1">IFERROR(INDIRECT(CONCATENATE("Track1!B",A3+6)),"")</f>
        <v>5</v>
      </c>
      <c r="C8" s="66">
        <f ca="1">IFERROR(INDIRECT(CONCATENATE("Track1!C",A3+6)),"")</f>
        <v>0</v>
      </c>
      <c r="D8" s="89" t="str">
        <f ca="1">IFERROR(INDIRECT(CONCATENATE("Track1!D",A3+6)),"")</f>
        <v/>
      </c>
      <c r="E8" s="89" t="str">
        <f ca="1">IFERROR(INDIRECT(CONCATENATE("Track1!E",A3+6)),"")</f>
        <v/>
      </c>
      <c r="F8" s="65">
        <f ca="1">IFERROR(INDIRECT(CONCATENATE("Track1!F",A3+6)),"")</f>
        <v>0</v>
      </c>
      <c r="G8" s="121" t="str">
        <f ca="1">IFERROR(INDIRECT(CONCATENATE("Track1!G",A3+6)),"")</f>
        <v/>
      </c>
      <c r="H8" s="66"/>
      <c r="I8" s="66">
        <f ca="1">IFERROR(INDIRECT(CONCATENATE("Track1!I",A3+6)),"")</f>
        <v>5</v>
      </c>
      <c r="J8" s="66">
        <f ca="1">IFERROR(INDIRECT(CONCATENATE("Track1!J",A3+6)),"")</f>
        <v>0</v>
      </c>
      <c r="K8" s="89" t="str">
        <f ca="1">IFERROR(INDIRECT(CONCATENATE("Track1!K",A3+6)),"")</f>
        <v/>
      </c>
      <c r="L8" s="89" t="str">
        <f ca="1">IFERROR(INDIRECT(CONCATENATE("Track1!L",A3+6)),"")</f>
        <v/>
      </c>
      <c r="M8" s="65">
        <f ca="1">IFERROR(INDIRECT(CONCATENATE("Track1!M",A3+6)),"")</f>
        <v>0</v>
      </c>
      <c r="N8" s="121" t="str">
        <f ca="1">IFERROR(INDIRECT(CONCATENATE("Track1!N",A3+6)),"")</f>
        <v/>
      </c>
      <c r="T8" s="64" t="str">
        <f t="shared" ca="1" si="0"/>
        <v/>
      </c>
      <c r="U8" s="64" t="str">
        <f t="shared" ca="1" si="1"/>
        <v/>
      </c>
      <c r="V8" s="422" t="str">
        <f ca="1">IF(OR(D8=0,D8="",D8="Athlete"),"",COUNTIF($D$4:$D8,D8))</f>
        <v/>
      </c>
      <c r="W8" s="422" t="str">
        <f t="shared" ca="1" si="2"/>
        <v/>
      </c>
      <c r="Z8" s="422" t="str">
        <f t="shared" ca="1" si="3"/>
        <v/>
      </c>
    </row>
    <row r="9" spans="1:26" x14ac:dyDescent="0.35">
      <c r="B9" s="66">
        <f ca="1">IFERROR(INDIRECT(CONCATENATE("Track1!B",A3+7)),"")</f>
        <v>6</v>
      </c>
      <c r="C9" s="66">
        <f ca="1">IFERROR(INDIRECT(CONCATENATE("Track1!C",A3+7)),"")</f>
        <v>0</v>
      </c>
      <c r="D9" s="89" t="str">
        <f ca="1">IFERROR(INDIRECT(CONCATENATE("Track1!D",A3+7)),"")</f>
        <v/>
      </c>
      <c r="E9" s="89" t="str">
        <f ca="1">IFERROR(INDIRECT(CONCATENATE("Track1!E",A3+7)),"")</f>
        <v/>
      </c>
      <c r="F9" s="65">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65">
        <f ca="1">IFERROR(INDIRECT(CONCATENATE("Track1!M",A3+7)),"")</f>
        <v>0</v>
      </c>
      <c r="N9" s="121" t="str">
        <f ca="1">IFERROR(INDIRECT(CONCATENATE("Track1!N",A3+7)),"")</f>
        <v/>
      </c>
      <c r="T9" s="64" t="str">
        <f t="shared" ca="1" si="0"/>
        <v/>
      </c>
      <c r="U9" s="64" t="str">
        <f t="shared" ca="1" si="1"/>
        <v/>
      </c>
      <c r="V9" s="422" t="str">
        <f ca="1">IF(OR(D9=0,D9="",D9="Athlete"),"",COUNTIF($D$4:$D9,D9))</f>
        <v/>
      </c>
      <c r="W9" s="422" t="str">
        <f t="shared" ca="1" si="2"/>
        <v/>
      </c>
      <c r="Z9" s="422" t="str">
        <f t="shared" ca="1" si="3"/>
        <v/>
      </c>
    </row>
    <row r="10" spans="1:26" x14ac:dyDescent="0.35">
      <c r="B10" s="66">
        <f ca="1">IFERROR(INDIRECT(CONCATENATE("Track1!B",A3+8)),"")</f>
        <v>7</v>
      </c>
      <c r="C10" s="66">
        <f ca="1">IFERROR(INDIRECT(CONCATENATE("Track1!C",A3+8)),"")</f>
        <v>0</v>
      </c>
      <c r="D10" s="89" t="str">
        <f ca="1">IFERROR(INDIRECT(CONCATENATE("Track1!D",A3+8)),"")</f>
        <v/>
      </c>
      <c r="E10" s="89" t="str">
        <f ca="1">IFERROR(INDIRECT(CONCATENATE("Track1!E",A3+8)),"")</f>
        <v/>
      </c>
      <c r="F10" s="65">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65">
        <f ca="1">IFERROR(INDIRECT(CONCATENATE("Track1!M",A3+8)),"")</f>
        <v>0</v>
      </c>
      <c r="N10" s="121" t="str">
        <f ca="1">IFERROR(INDIRECT(CONCATENATE("Track1!N",A3+8)),"")</f>
        <v/>
      </c>
      <c r="T10" s="64" t="str">
        <f t="shared" ca="1" si="0"/>
        <v/>
      </c>
      <c r="U10" s="64" t="str">
        <f t="shared" ca="1" si="1"/>
        <v/>
      </c>
      <c r="V10" s="422" t="str">
        <f ca="1">IF(OR(D10=0,D10="",D10="Athlete"),"",COUNTIF($D$4:$D10,D10))</f>
        <v/>
      </c>
      <c r="W10" s="422" t="str">
        <f t="shared" ca="1" si="2"/>
        <v/>
      </c>
      <c r="Z10" s="422" t="str">
        <f t="shared" ca="1" si="3"/>
        <v/>
      </c>
    </row>
    <row r="11" spans="1:26" x14ac:dyDescent="0.35">
      <c r="B11" s="66">
        <f ca="1">IFERROR(INDIRECT(CONCATENATE("Track1!B",A3+9)),"")</f>
        <v>8</v>
      </c>
      <c r="C11" s="66">
        <f ca="1">IFERROR(INDIRECT(CONCATENATE("Track1!C",A3+9)),"")</f>
        <v>0</v>
      </c>
      <c r="D11" s="89" t="str">
        <f ca="1">IFERROR(INDIRECT(CONCATENATE("Track1!D",A3+9)),"")</f>
        <v/>
      </c>
      <c r="E11" s="89" t="str">
        <f ca="1">IFERROR(INDIRECT(CONCATENATE("Track1!E",A3+9)),"")</f>
        <v/>
      </c>
      <c r="F11" s="65">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65">
        <f ca="1">IFERROR(INDIRECT(CONCATENATE("Track1!M",A3+9)),"")</f>
        <v>0</v>
      </c>
      <c r="N11" s="121" t="str">
        <f ca="1">IFERROR(INDIRECT(CONCATENATE("Track1!N",A3+9)),"")</f>
        <v/>
      </c>
      <c r="T11" s="64" t="str">
        <f t="shared" ca="1" si="0"/>
        <v/>
      </c>
      <c r="U11" s="64" t="str">
        <f t="shared" ca="1" si="1"/>
        <v/>
      </c>
      <c r="V11" s="422" t="str">
        <f ca="1">IF(OR(D11=0,D11="",D11="Athlete"),"",COUNTIF($D$4:$D11,D11))</f>
        <v/>
      </c>
      <c r="W11" s="422" t="str">
        <f t="shared" ca="1" si="2"/>
        <v/>
      </c>
      <c r="Z11" s="422" t="str">
        <f t="shared" ca="1" si="3"/>
        <v/>
      </c>
    </row>
    <row r="12" spans="1:26" x14ac:dyDescent="0.35">
      <c r="T12" s="64" t="str">
        <f t="shared" si="0"/>
        <v/>
      </c>
      <c r="U12" s="64" t="str">
        <f t="shared" si="1"/>
        <v/>
      </c>
      <c r="V12" s="422" t="str">
        <f>IF(OR(D12=0,D12="",D12="Athlete"),"",COUNTIF($D$4:$D12,D12))</f>
        <v/>
      </c>
      <c r="W12" s="422" t="str">
        <f t="shared" si="2"/>
        <v/>
      </c>
      <c r="Z12" s="422" t="str">
        <f t="shared" si="3"/>
        <v/>
      </c>
    </row>
    <row r="13" spans="1:26" x14ac:dyDescent="0.35">
      <c r="A13" s="66" t="s">
        <v>47</v>
      </c>
      <c r="B13" s="115" t="str">
        <f ca="1">IFERROR(INDIRECT(CONCATENATE("Track1!B",A14)),"")</f>
        <v>100m NS U15 Boys A</v>
      </c>
      <c r="E13" s="89" t="s">
        <v>259</v>
      </c>
      <c r="F13" s="299">
        <f ca="1">IFERROR(INDIRECT(CONCATENATE("Track1!f",A14)),"")</f>
        <v>0</v>
      </c>
      <c r="G13" s="121" t="str">
        <f ca="1">IFERROR(INDIRECT(CONCATENATE("Track1!g",A14)),"")</f>
        <v/>
      </c>
      <c r="I13" s="115" t="str">
        <f ca="1">IFERROR(INDIRECT(CONCATENATE("Track1!I",A14)),"")</f>
        <v>100m NS U15 Boys B</v>
      </c>
      <c r="L13" s="89" t="s">
        <v>259</v>
      </c>
      <c r="M13" s="299">
        <f ca="1">IFERROR(INDIRECT(CONCATENATE("Track1!M",A14)),"")</f>
        <v>0</v>
      </c>
      <c r="T13" s="64" t="str">
        <f t="shared" si="0"/>
        <v/>
      </c>
      <c r="U13" s="64" t="str">
        <f t="shared" si="1"/>
        <v/>
      </c>
      <c r="V13" s="422" t="str">
        <f>IF(OR(D13=0,D13="",D13="Athlete"),"",COUNTIF($D$4:$D13,D13))</f>
        <v/>
      </c>
      <c r="W13" s="422" t="str">
        <f t="shared" si="2"/>
        <v/>
      </c>
      <c r="Z13" s="422" t="str">
        <f t="shared" ca="1" si="3"/>
        <v/>
      </c>
    </row>
    <row r="14" spans="1:26" x14ac:dyDescent="0.35">
      <c r="A14" s="66">
        <f>IFERROR(MATCH(A13,Track1!A:A,0),"")</f>
        <v>167</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149"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149" t="str">
        <f ca="1">IFERROR(INDIRECT(CONCATENATE("Track1!M",A14+1)),"")</f>
        <v>Perf</v>
      </c>
      <c r="N14" s="218" t="str">
        <f ca="1">IFERROR(INDIRECT(CONCATENATE("Track1!N",A14+1)),"")</f>
        <v>AAA</v>
      </c>
      <c r="T14" s="64" t="str">
        <f t="shared" ca="1" si="0"/>
        <v/>
      </c>
      <c r="U14" s="64" t="str">
        <f t="shared" ca="1" si="1"/>
        <v/>
      </c>
      <c r="V14" s="422" t="str">
        <f ca="1">IF(OR(D14=0,D14="",D14="Athlete"),"",COUNTIF($D$4:$D14,D14))</f>
        <v/>
      </c>
      <c r="W14" s="422" t="str">
        <f t="shared" ca="1" si="2"/>
        <v/>
      </c>
      <c r="Z14" s="422">
        <f t="shared" ca="1" si="3"/>
        <v>0</v>
      </c>
    </row>
    <row r="15" spans="1:26" x14ac:dyDescent="0.35">
      <c r="B15" s="66">
        <f ca="1">IFERROR(INDIRECT(CONCATENATE("Track1!B",A14+2)),"")</f>
        <v>1</v>
      </c>
      <c r="C15" s="66">
        <f ca="1">IFERROR(INDIRECT(CONCATENATE("Track1!C",A14+2)),"")</f>
        <v>0</v>
      </c>
      <c r="D15" s="89" t="str">
        <f ca="1">IFERROR(INDIRECT(CONCATENATE("Track1!D",A14+2)),"")</f>
        <v/>
      </c>
      <c r="E15" s="89" t="str">
        <f ca="1">IFERROR(INDIRECT(CONCATENATE("Track1!E",A14+2)),"")</f>
        <v/>
      </c>
      <c r="F15" s="65">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65">
        <f ca="1">IFERROR(INDIRECT(CONCATENATE("Track1!M",A14+2)),"")</f>
        <v>0</v>
      </c>
      <c r="N15" s="121" t="str">
        <f ca="1">IFERROR(INDIRECT(CONCATENATE("Track1!N",A14+2)),"")</f>
        <v/>
      </c>
      <c r="R15" s="219">
        <f ca="1">IFERROR(INDIRECT(CONCATENATE("Track1!r",A14+2)),"")</f>
        <v>0</v>
      </c>
      <c r="T15" s="64" t="str">
        <f t="shared" ca="1" si="0"/>
        <v/>
      </c>
      <c r="U15" s="64" t="str">
        <f t="shared" ca="1" si="1"/>
        <v/>
      </c>
      <c r="V15" s="422" t="str">
        <f ca="1">IF(OR(D15=0,D15="",D15="Athlete"),"",COUNTIF($D$4:$D15,D15))</f>
        <v/>
      </c>
      <c r="W15" s="422" t="str">
        <f t="shared" ca="1" si="2"/>
        <v/>
      </c>
      <c r="Z15" s="422" t="str">
        <f t="shared" ca="1" si="3"/>
        <v/>
      </c>
    </row>
    <row r="16" spans="1:26" x14ac:dyDescent="0.35">
      <c r="B16" s="66">
        <f ca="1">IFERROR(INDIRECT(CONCATENATE("Track1!B",A14+3)),"")</f>
        <v>2</v>
      </c>
      <c r="C16" s="66">
        <f ca="1">IFERROR(INDIRECT(CONCATENATE("Track1!C",A14+3)),"")</f>
        <v>0</v>
      </c>
      <c r="D16" s="89" t="str">
        <f ca="1">IFERROR(INDIRECT(CONCATENATE("Track1!D",A14+3)),"")</f>
        <v/>
      </c>
      <c r="E16" s="89" t="str">
        <f ca="1">IFERROR(INDIRECT(CONCATENATE("Track1!E",A14+3)),"")</f>
        <v/>
      </c>
      <c r="F16" s="65">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65">
        <f ca="1">IFERROR(INDIRECT(CONCATENATE("Track1!M",A14+3)),"")</f>
        <v>0</v>
      </c>
      <c r="N16" s="121" t="str">
        <f ca="1">IFERROR(INDIRECT(CONCATENATE("Track1!N",A14+3)),"")</f>
        <v/>
      </c>
      <c r="T16" s="64" t="str">
        <f t="shared" ca="1" si="0"/>
        <v/>
      </c>
      <c r="U16" s="64" t="str">
        <f t="shared" ca="1" si="1"/>
        <v/>
      </c>
      <c r="V16" s="422" t="str">
        <f ca="1">IF(OR(D16=0,D16="",D16="Athlete"),"",COUNTIF($D$4:$D16,D16))</f>
        <v/>
      </c>
      <c r="W16" s="422" t="str">
        <f t="shared" ca="1" si="2"/>
        <v/>
      </c>
      <c r="Z16" s="422" t="str">
        <f t="shared" ca="1" si="3"/>
        <v/>
      </c>
    </row>
    <row r="17" spans="1:26" x14ac:dyDescent="0.35">
      <c r="B17" s="66">
        <f ca="1">IFERROR(INDIRECT(CONCATENATE("Track1!B",A14+4)),"")</f>
        <v>3</v>
      </c>
      <c r="C17" s="66">
        <f ca="1">IFERROR(INDIRECT(CONCATENATE("Track1!C",A14+4)),"")</f>
        <v>0</v>
      </c>
      <c r="D17" s="89" t="str">
        <f ca="1">IFERROR(INDIRECT(CONCATENATE("Track1!D",A14+4)),"")</f>
        <v/>
      </c>
      <c r="E17" s="89" t="str">
        <f ca="1">IFERROR(INDIRECT(CONCATENATE("Track1!E",A14+4)),"")</f>
        <v/>
      </c>
      <c r="F17" s="65">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65">
        <f ca="1">IFERROR(INDIRECT(CONCATENATE("Track1!M",A14+4)),"")</f>
        <v>0</v>
      </c>
      <c r="N17" s="121" t="str">
        <f ca="1">IFERROR(INDIRECT(CONCATENATE("Track1!N",A14+4)),"")</f>
        <v/>
      </c>
      <c r="T17" s="64" t="str">
        <f t="shared" ca="1" si="0"/>
        <v/>
      </c>
      <c r="U17" s="64" t="str">
        <f t="shared" ca="1" si="1"/>
        <v/>
      </c>
      <c r="V17" s="422" t="str">
        <f ca="1">IF(OR(D17=0,D17="",D17="Athlete"),"",COUNTIF($D$4:$D17,D17))</f>
        <v/>
      </c>
      <c r="W17" s="422" t="str">
        <f t="shared" ca="1" si="2"/>
        <v/>
      </c>
      <c r="Z17" s="422" t="str">
        <f t="shared" ca="1" si="3"/>
        <v/>
      </c>
    </row>
    <row r="18" spans="1:26" x14ac:dyDescent="0.35">
      <c r="B18" s="66">
        <f ca="1">IFERROR(INDIRECT(CONCATENATE("Track1!B",A14+5)),"")</f>
        <v>4</v>
      </c>
      <c r="C18" s="66">
        <f ca="1">IFERROR(INDIRECT(CONCATENATE("Track1!C",A14+5)),"")</f>
        <v>0</v>
      </c>
      <c r="D18" s="89" t="str">
        <f ca="1">IFERROR(INDIRECT(CONCATENATE("Track1!D",A14+5)),"")</f>
        <v/>
      </c>
      <c r="E18" s="89" t="str">
        <f ca="1">IFERROR(INDIRECT(CONCATENATE("Track1!E",A14+5)),"")</f>
        <v/>
      </c>
      <c r="F18" s="65">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65">
        <f ca="1">IFERROR(INDIRECT(CONCATENATE("Track1!M",A14+5)),"")</f>
        <v>0</v>
      </c>
      <c r="N18" s="121" t="str">
        <f ca="1">IFERROR(INDIRECT(CONCATENATE("Track1!N",A14+5)),"")</f>
        <v/>
      </c>
      <c r="T18" s="64" t="str">
        <f t="shared" ca="1" si="0"/>
        <v/>
      </c>
      <c r="U18" s="64" t="str">
        <f t="shared" ca="1" si="1"/>
        <v/>
      </c>
      <c r="V18" s="422" t="str">
        <f ca="1">IF(OR(D18=0,D18="",D18="Athlete"),"",COUNTIF($D$4:$D18,D18))</f>
        <v/>
      </c>
      <c r="W18" s="422" t="str">
        <f t="shared" ca="1" si="2"/>
        <v/>
      </c>
      <c r="Z18" s="422" t="str">
        <f t="shared" ca="1" si="3"/>
        <v/>
      </c>
    </row>
    <row r="19" spans="1:26" x14ac:dyDescent="0.35">
      <c r="B19" s="66">
        <f ca="1">IFERROR(INDIRECT(CONCATENATE("Track1!B",A14+6)),"")</f>
        <v>5</v>
      </c>
      <c r="C19" s="66">
        <f ca="1">IFERROR(INDIRECT(CONCATENATE("Track1!C",A14+6)),"")</f>
        <v>0</v>
      </c>
      <c r="D19" s="89" t="str">
        <f ca="1">IFERROR(INDIRECT(CONCATENATE("Track1!D",A14+6)),"")</f>
        <v/>
      </c>
      <c r="E19" s="89" t="str">
        <f ca="1">IFERROR(INDIRECT(CONCATENATE("Track1!E",A14+6)),"")</f>
        <v/>
      </c>
      <c r="F19" s="65">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65">
        <f ca="1">IFERROR(INDIRECT(CONCATENATE("Track1!M",A14+6)),"")</f>
        <v>0</v>
      </c>
      <c r="N19" s="121" t="str">
        <f ca="1">IFERROR(INDIRECT(CONCATENATE("Track1!N",A14+6)),"")</f>
        <v/>
      </c>
      <c r="T19" s="64" t="str">
        <f t="shared" ca="1" si="0"/>
        <v/>
      </c>
      <c r="U19" s="64" t="str">
        <f t="shared" ca="1" si="1"/>
        <v/>
      </c>
      <c r="V19" s="422" t="str">
        <f ca="1">IF(OR(D19=0,D19="",D19="Athlete"),"",COUNTIF($D$4:$D19,D19))</f>
        <v/>
      </c>
      <c r="W19" s="422" t="str">
        <f t="shared" ca="1" si="2"/>
        <v/>
      </c>
      <c r="Z19" s="422" t="str">
        <f t="shared" ca="1" si="3"/>
        <v/>
      </c>
    </row>
    <row r="20" spans="1:26" x14ac:dyDescent="0.35">
      <c r="B20" s="66">
        <f ca="1">IFERROR(INDIRECT(CONCATENATE("Track1!B",A14+7)),"")</f>
        <v>6</v>
      </c>
      <c r="C20" s="66">
        <f ca="1">IFERROR(INDIRECT(CONCATENATE("Track1!C",A14+7)),"")</f>
        <v>0</v>
      </c>
      <c r="D20" s="89" t="str">
        <f ca="1">IFERROR(INDIRECT(CONCATENATE("Track1!D",A14+7)),"")</f>
        <v/>
      </c>
      <c r="E20" s="89" t="str">
        <f ca="1">IFERROR(INDIRECT(CONCATENATE("Track1!E",A14+7)),"")</f>
        <v/>
      </c>
      <c r="F20" s="65">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65">
        <f ca="1">IFERROR(INDIRECT(CONCATENATE("Track1!M",A14+7)),"")</f>
        <v>0</v>
      </c>
      <c r="N20" s="121" t="str">
        <f ca="1">IFERROR(INDIRECT(CONCATENATE("Track1!N",A14+7)),"")</f>
        <v/>
      </c>
      <c r="T20" s="64" t="str">
        <f t="shared" ca="1" si="0"/>
        <v/>
      </c>
      <c r="U20" s="64" t="str">
        <f t="shared" ca="1" si="1"/>
        <v/>
      </c>
      <c r="V20" s="422" t="str">
        <f ca="1">IF(OR(D20=0,D20="",D20="Athlete"),"",COUNTIF($D$4:$D20,D20))</f>
        <v/>
      </c>
      <c r="W20" s="422" t="str">
        <f t="shared" ca="1" si="2"/>
        <v/>
      </c>
      <c r="Z20" s="422" t="str">
        <f t="shared" ca="1" si="3"/>
        <v/>
      </c>
    </row>
    <row r="21" spans="1:26" x14ac:dyDescent="0.35">
      <c r="B21" s="66">
        <f ca="1">IFERROR(INDIRECT(CONCATENATE("Track1!B",A14+8)),"")</f>
        <v>7</v>
      </c>
      <c r="C21" s="66">
        <f ca="1">IFERROR(INDIRECT(CONCATENATE("Track1!C",A14+8)),"")</f>
        <v>0</v>
      </c>
      <c r="D21" s="89" t="str">
        <f ca="1">IFERROR(INDIRECT(CONCATENATE("Track1!D",A14+8)),"")</f>
        <v/>
      </c>
      <c r="E21" s="89" t="str">
        <f ca="1">IFERROR(INDIRECT(CONCATENATE("Track1!E",A14+8)),"")</f>
        <v/>
      </c>
      <c r="F21" s="65">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65">
        <f ca="1">IFERROR(INDIRECT(CONCATENATE("Track1!M",A14+8)),"")</f>
        <v>0</v>
      </c>
      <c r="N21" s="121" t="str">
        <f ca="1">IFERROR(INDIRECT(CONCATENATE("Track1!N",A14+8)),"")</f>
        <v/>
      </c>
      <c r="T21" s="64" t="str">
        <f t="shared" ca="1" si="0"/>
        <v/>
      </c>
      <c r="U21" s="64" t="str">
        <f t="shared" ca="1" si="1"/>
        <v/>
      </c>
      <c r="V21" s="422" t="str">
        <f ca="1">IF(OR(D21=0,D21="",D21="Athlete"),"",COUNTIF($D$4:$D21,D21))</f>
        <v/>
      </c>
      <c r="W21" s="422" t="str">
        <f t="shared" ca="1" si="2"/>
        <v/>
      </c>
      <c r="Z21" s="422" t="str">
        <f t="shared" ca="1" si="3"/>
        <v/>
      </c>
    </row>
    <row r="22" spans="1:26" x14ac:dyDescent="0.35">
      <c r="B22" s="66">
        <f ca="1">IFERROR(INDIRECT(CONCATENATE("Track1!B",A14+9)),"")</f>
        <v>8</v>
      </c>
      <c r="C22" s="66">
        <f ca="1">IFERROR(INDIRECT(CONCATENATE("Track1!C",A14+9)),"")</f>
        <v>0</v>
      </c>
      <c r="D22" s="89" t="str">
        <f ca="1">IFERROR(INDIRECT(CONCATENATE("Track1!D",A14+9)),"")</f>
        <v/>
      </c>
      <c r="E22" s="89" t="str">
        <f ca="1">IFERROR(INDIRECT(CONCATENATE("Track1!E",A14+9)),"")</f>
        <v/>
      </c>
      <c r="F22" s="65">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65">
        <f ca="1">IFERROR(INDIRECT(CONCATENATE("Track1!M",A14+9)),"")</f>
        <v>0</v>
      </c>
      <c r="N22" s="121" t="str">
        <f ca="1">IFERROR(INDIRECT(CONCATENATE("Track1!N",A14+9)),"")</f>
        <v/>
      </c>
      <c r="T22" s="64" t="str">
        <f t="shared" ca="1" si="0"/>
        <v/>
      </c>
      <c r="U22" s="64" t="str">
        <f t="shared" ca="1" si="1"/>
        <v/>
      </c>
      <c r="V22" s="422" t="str">
        <f ca="1">IF(OR(D22=0,D22="",D22="Athlete"),"",COUNTIF($D$4:$D22,D22))</f>
        <v/>
      </c>
      <c r="W22" s="422" t="str">
        <f t="shared" ca="1" si="2"/>
        <v/>
      </c>
      <c r="Z22" s="422" t="str">
        <f t="shared" ca="1" si="3"/>
        <v/>
      </c>
    </row>
    <row r="23" spans="1:26" x14ac:dyDescent="0.35">
      <c r="T23" s="64" t="str">
        <f t="shared" si="0"/>
        <v/>
      </c>
      <c r="U23" s="64" t="str">
        <f t="shared" si="1"/>
        <v/>
      </c>
      <c r="V23" s="422" t="str">
        <f>IF(OR(D23=0,D23="",D23="Athlete"),"",COUNTIF($D$4:$D23,D23))</f>
        <v/>
      </c>
      <c r="W23" s="422" t="str">
        <f t="shared" si="2"/>
        <v/>
      </c>
      <c r="Z23" s="422" t="str">
        <f t="shared" si="3"/>
        <v/>
      </c>
    </row>
    <row r="24" spans="1:26" x14ac:dyDescent="0.35">
      <c r="A24" s="66" t="s">
        <v>39</v>
      </c>
      <c r="B24" s="115" t="str">
        <f ca="1">IFERROR(INDIRECT(CONCATENATE("Track1!B",A25)),"")</f>
        <v>200m U15 Boys A</v>
      </c>
      <c r="E24" s="89" t="s">
        <v>259</v>
      </c>
      <c r="F24" s="299">
        <f ca="1">IFERROR(INDIRECT(CONCATENATE("Track1!f",A25)),"")</f>
        <v>0</v>
      </c>
      <c r="G24" s="121" t="str">
        <f ca="1">IFERROR(INDIRECT(CONCATENATE("Track1!g",A25)),"")</f>
        <v/>
      </c>
      <c r="I24" s="115" t="str">
        <f ca="1">IFERROR(INDIRECT(CONCATENATE("Track1!I",A25)),"")</f>
        <v>200m U15 Boys B</v>
      </c>
      <c r="L24" s="89" t="s">
        <v>259</v>
      </c>
      <c r="M24" s="299">
        <f ca="1">IFERROR(INDIRECT(CONCATENATE("Track1!M",A25)),"")</f>
        <v>0</v>
      </c>
      <c r="T24" s="64" t="str">
        <f t="shared" si="0"/>
        <v/>
      </c>
      <c r="U24" s="64" t="str">
        <f t="shared" si="1"/>
        <v/>
      </c>
      <c r="V24" s="422" t="str">
        <f>IF(OR(D24=0,D24="",D24="Athlete"),"",COUNTIF($D$4:$D24,D24))</f>
        <v/>
      </c>
      <c r="W24" s="422" t="str">
        <f t="shared" si="2"/>
        <v/>
      </c>
      <c r="Z24" s="422" t="str">
        <f t="shared" ca="1" si="3"/>
        <v/>
      </c>
    </row>
    <row r="25" spans="1:26" x14ac:dyDescent="0.35">
      <c r="A25" s="66">
        <f>IFERROR(MATCH(A24,Track1!A:A,0),"")</f>
        <v>79</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149"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149" t="str">
        <f ca="1">IFERROR(INDIRECT(CONCATENATE("Track1!M",A25+1)),"")</f>
        <v>Perf</v>
      </c>
      <c r="N25" s="218" t="str">
        <f ca="1">IFERROR(INDIRECT(CONCATENATE("Track1!N",A25+1)),"")</f>
        <v>AAA</v>
      </c>
      <c r="T25" s="64" t="str">
        <f t="shared" ca="1" si="0"/>
        <v/>
      </c>
      <c r="U25" s="64" t="str">
        <f t="shared" ca="1" si="1"/>
        <v/>
      </c>
      <c r="V25" s="422" t="str">
        <f ca="1">IF(OR(D25=0,D25="",D25="Athlete"),"",COUNTIF($D$4:$D25,D25))</f>
        <v/>
      </c>
      <c r="W25" s="422" t="str">
        <f t="shared" ca="1" si="2"/>
        <v/>
      </c>
      <c r="Z25" s="422">
        <f t="shared" ca="1" si="3"/>
        <v>0</v>
      </c>
    </row>
    <row r="26" spans="1:26" x14ac:dyDescent="0.35">
      <c r="B26" s="66">
        <f ca="1">IFERROR(INDIRECT(CONCATENATE("Track1!B",A25+2)),"")</f>
        <v>1</v>
      </c>
      <c r="C26" s="66">
        <f ca="1">IFERROR(INDIRECT(CONCATENATE("Track1!C",A25+2)),"")</f>
        <v>4</v>
      </c>
      <c r="D26" s="89" t="str">
        <f ca="1">IFERROR(INDIRECT(CONCATENATE("Track1!D",A25+2)),"")</f>
        <v>MAYNARD Tom</v>
      </c>
      <c r="E26" s="89" t="str">
        <f ca="1">IFERROR(INDIRECT(CONCATENATE("Track1!E",A25+2)),"")</f>
        <v>M'bro</v>
      </c>
      <c r="F26" s="65">
        <f ca="1">IFERROR(INDIRECT(CONCATENATE("Track1!F",A25+2)),"")</f>
        <v>25.2</v>
      </c>
      <c r="G26" s="121">
        <f ca="1">IFERROR(INDIRECT(CONCATENATE("Track1!G",A25+2)),"")</f>
        <v>4</v>
      </c>
      <c r="H26" s="66"/>
      <c r="I26" s="66">
        <f ca="1">IFERROR(INDIRECT(CONCATENATE("Track1!I",A25+2)),"")</f>
        <v>1</v>
      </c>
      <c r="J26" s="66">
        <f ca="1">IFERROR(INDIRECT(CONCATENATE("Track1!J",A25+2)),"")</f>
        <v>33</v>
      </c>
      <c r="K26" s="89" t="str">
        <f ca="1">IFERROR(INDIRECT(CONCATENATE("Track1!K",A25+2)),"")</f>
        <v>PYE George</v>
      </c>
      <c r="L26" s="89" t="str">
        <f ca="1">IFERROR(INDIRECT(CONCATENATE("Track1!L",A25+2)),"")</f>
        <v>York</v>
      </c>
      <c r="M26" s="65">
        <f ca="1">IFERROR(INDIRECT(CONCATENATE("Track1!M",A25+2)),"")</f>
        <v>26.1</v>
      </c>
      <c r="N26" s="121" t="str">
        <f ca="1">IFERROR(INDIRECT(CONCATENATE("Track1!N",A25+2)),"")</f>
        <v/>
      </c>
      <c r="R26" s="219">
        <f ca="1">IFERROR(INDIRECT(CONCATENATE("Track1!r",A25+2)),"")</f>
        <v>1</v>
      </c>
      <c r="T26" s="64">
        <f t="shared" ca="1" si="0"/>
        <v>2</v>
      </c>
      <c r="U26" s="64">
        <f t="shared" ca="1" si="1"/>
        <v>2</v>
      </c>
      <c r="V26" s="422">
        <f ca="1">IF(OR(D26=0,D26="",D26="Athlete"),"",COUNTIF($D$4:$D26,D26))</f>
        <v>1</v>
      </c>
      <c r="W26" s="422" t="str">
        <f t="shared" ca="1" si="2"/>
        <v>M'bro</v>
      </c>
      <c r="Z26" s="422">
        <f t="shared" ca="1" si="3"/>
        <v>0</v>
      </c>
    </row>
    <row r="27" spans="1:26" x14ac:dyDescent="0.35">
      <c r="B27" s="66">
        <f ca="1">IFERROR(INDIRECT(CONCATENATE("Track1!B",A25+3)),"")</f>
        <v>2</v>
      </c>
      <c r="C27" s="66">
        <f ca="1">IFERROR(INDIRECT(CONCATENATE("Track1!C",A25+3)),"")</f>
        <v>1</v>
      </c>
      <c r="D27" s="89" t="str">
        <f ca="1">IFERROR(INDIRECT(CONCATENATE("Track1!D",A25+3)),"")</f>
        <v>FOGDEN Ben</v>
      </c>
      <c r="E27" s="89" t="str">
        <f ca="1">IFERROR(INDIRECT(CONCATENATE("Track1!E",A25+3)),"")</f>
        <v>C'field</v>
      </c>
      <c r="F27" s="65">
        <f ca="1">IFERROR(INDIRECT(CONCATENATE("Track1!F",A25+3)),"")</f>
        <v>25.5</v>
      </c>
      <c r="G27" s="121">
        <f ca="1">IFERROR(INDIRECT(CONCATENATE("Track1!G",A25+3)),"")</f>
        <v>4</v>
      </c>
      <c r="H27" s="66"/>
      <c r="I27" s="66">
        <f ca="1">IFERROR(INDIRECT(CONCATENATE("Track1!I",A25+3)),"")</f>
        <v>2</v>
      </c>
      <c r="J27" s="66">
        <f ca="1">IFERROR(INDIRECT(CONCATENATE("Track1!J",A25+3)),"")</f>
        <v>22</v>
      </c>
      <c r="K27" s="89" t="str">
        <f ca="1">IFERROR(INDIRECT(CONCATENATE("Track1!K",A25+3)),"")</f>
        <v>BENTLEY Tom</v>
      </c>
      <c r="L27" s="89" t="str">
        <f ca="1">IFERROR(INDIRECT(CONCATENATE("Track1!L",A25+3)),"")</f>
        <v>Sheff+D</v>
      </c>
      <c r="M27" s="65">
        <f ca="1">IFERROR(INDIRECT(CONCATENATE("Track1!M",A25+3)),"")</f>
        <v>26.1</v>
      </c>
      <c r="N27" s="121" t="str">
        <f ca="1">IFERROR(INDIRECT(CONCATENATE("Track1!N",A25+3)),"")</f>
        <v/>
      </c>
      <c r="T27" s="64">
        <f t="shared" ca="1" si="0"/>
        <v>3</v>
      </c>
      <c r="U27" s="64">
        <f t="shared" ca="1" si="1"/>
        <v>3</v>
      </c>
      <c r="V27" s="422">
        <f ca="1">IF(OR(D27=0,D27="",D27="Athlete"),"",COUNTIF($D$4:$D27,D27))</f>
        <v>2</v>
      </c>
      <c r="W27" s="422" t="str">
        <f t="shared" ca="1" si="2"/>
        <v>C'field</v>
      </c>
      <c r="Z27" s="422">
        <f t="shared" ca="1" si="3"/>
        <v>0</v>
      </c>
    </row>
    <row r="28" spans="1:26" x14ac:dyDescent="0.35">
      <c r="B28" s="66">
        <f ca="1">IFERROR(INDIRECT(CONCATENATE("Track1!B",A25+4)),"")</f>
        <v>3</v>
      </c>
      <c r="C28" s="66">
        <f ca="1">IFERROR(INDIRECT(CONCATENATE("Track1!C",A25+4)),"")</f>
        <v>3</v>
      </c>
      <c r="D28" s="89" t="str">
        <f ca="1">IFERROR(INDIRECT(CONCATENATE("Track1!D",A25+4)),"")</f>
        <v>HOW Louis</v>
      </c>
      <c r="E28" s="89" t="str">
        <f ca="1">IFERROR(INDIRECT(CONCATENATE("Track1!E",A25+4)),"")</f>
        <v>York</v>
      </c>
      <c r="F28" s="65">
        <f ca="1">IFERROR(INDIRECT(CONCATENATE("Track1!F",A25+4)),"")</f>
        <v>25.7</v>
      </c>
      <c r="G28" s="121" t="str">
        <f ca="1">IFERROR(INDIRECT(CONCATENATE("Track1!G",A25+4)),"")</f>
        <v/>
      </c>
      <c r="H28" s="66"/>
      <c r="I28" s="66">
        <f ca="1">IFERROR(INDIRECT(CONCATENATE("Track1!I",A25+4)),"")</f>
        <v>3</v>
      </c>
      <c r="J28" s="66">
        <f ca="1">IFERROR(INDIRECT(CONCATENATE("Track1!J",A25+4)),"")</f>
        <v>44</v>
      </c>
      <c r="K28" s="89" t="str">
        <f ca="1">IFERROR(INDIRECT(CONCATENATE("Track1!K",A25+4)),"")</f>
        <v>CHINNERY Norton</v>
      </c>
      <c r="L28" s="89" t="str">
        <f ca="1">IFERROR(INDIRECT(CONCATENATE("Track1!L",A25+4)),"")</f>
        <v>M'bro</v>
      </c>
      <c r="M28" s="65">
        <f ca="1">IFERROR(INDIRECT(CONCATENATE("Track1!M",A25+4)),"")</f>
        <v>26.2</v>
      </c>
      <c r="N28" s="121" t="str">
        <f ca="1">IFERROR(INDIRECT(CONCATENATE("Track1!N",A25+4)),"")</f>
        <v/>
      </c>
      <c r="T28" s="64">
        <f t="shared" ca="1" si="0"/>
        <v>2</v>
      </c>
      <c r="U28" s="64">
        <f t="shared" ca="1" si="1"/>
        <v>2</v>
      </c>
      <c r="V28" s="422">
        <f ca="1">IF(OR(D28=0,D28="",D28="Athlete"),"",COUNTIF($D$4:$D28,D28))</f>
        <v>1</v>
      </c>
      <c r="W28" s="422" t="str">
        <f t="shared" ca="1" si="2"/>
        <v>York</v>
      </c>
      <c r="Z28" s="422" t="str">
        <f t="shared" ca="1" si="3"/>
        <v/>
      </c>
    </row>
    <row r="29" spans="1:26" x14ac:dyDescent="0.35">
      <c r="B29" s="66">
        <f ca="1">IFERROR(INDIRECT(CONCATENATE("Track1!B",A25+5)),"")</f>
        <v>4</v>
      </c>
      <c r="C29" s="66">
        <f ca="1">IFERROR(INDIRECT(CONCATENATE("Track1!C",A25+5)),"")</f>
        <v>2</v>
      </c>
      <c r="D29" s="89" t="str">
        <f ca="1">IFERROR(INDIRECT(CONCATENATE("Track1!D",A25+5)),"")</f>
        <v>OR KAM FAT Matteo</v>
      </c>
      <c r="E29" s="89" t="str">
        <f ca="1">IFERROR(INDIRECT(CONCATENATE("Track1!E",A25+5)),"")</f>
        <v>Sheff+D</v>
      </c>
      <c r="F29" s="65">
        <f ca="1">IFERROR(INDIRECT(CONCATENATE("Track1!F",A25+5)),"")</f>
        <v>26.2</v>
      </c>
      <c r="G29" s="121" t="str">
        <f ca="1">IFERROR(INDIRECT(CONCATENATE("Track1!G",A25+5)),"")</f>
        <v/>
      </c>
      <c r="H29" s="66"/>
      <c r="I29" s="66">
        <f ca="1">IFERROR(INDIRECT(CONCATENATE("Track1!I",A25+5)),"")</f>
        <v>4</v>
      </c>
      <c r="J29" s="66">
        <f ca="1">IFERROR(INDIRECT(CONCATENATE("Track1!J",A25+5)),"")</f>
        <v>11</v>
      </c>
      <c r="K29" s="89" t="str">
        <f ca="1">IFERROR(INDIRECT(CONCATENATE("Track1!K",A25+5)),"")</f>
        <v>SAS Reuben</v>
      </c>
      <c r="L29" s="89" t="str">
        <f ca="1">IFERROR(INDIRECT(CONCATENATE("Track1!L",A25+5)),"")</f>
        <v>C'field</v>
      </c>
      <c r="M29" s="65">
        <f ca="1">IFERROR(INDIRECT(CONCATENATE("Track1!M",A25+5)),"")</f>
        <v>29.6</v>
      </c>
      <c r="N29" s="121" t="str">
        <f ca="1">IFERROR(INDIRECT(CONCATENATE("Track1!N",A25+5)),"")</f>
        <v/>
      </c>
      <c r="T29" s="64">
        <f t="shared" ca="1" si="0"/>
        <v>1</v>
      </c>
      <c r="U29" s="64">
        <f t="shared" ca="1" si="1"/>
        <v>2</v>
      </c>
      <c r="V29" s="422">
        <f ca="1">IF(OR(D29=0,D29="",D29="Athlete"),"",COUNTIF($D$4:$D29,D29))</f>
        <v>1</v>
      </c>
      <c r="W29" s="422" t="str">
        <f t="shared" ca="1" si="2"/>
        <v>Sheff+D</v>
      </c>
      <c r="Z29" s="422" t="str">
        <f t="shared" ca="1" si="3"/>
        <v/>
      </c>
    </row>
    <row r="30" spans="1:26" x14ac:dyDescent="0.35">
      <c r="B30" s="66">
        <f ca="1">IFERROR(INDIRECT(CONCATENATE("Track1!B",A25+6)),"")</f>
        <v>5</v>
      </c>
      <c r="C30" s="66">
        <f ca="1">IFERROR(INDIRECT(CONCATENATE("Track1!C",A25+6)),"")</f>
        <v>0</v>
      </c>
      <c r="D30" s="89" t="str">
        <f ca="1">IFERROR(INDIRECT(CONCATENATE("Track1!D",A25+6)),"")</f>
        <v/>
      </c>
      <c r="E30" s="89" t="str">
        <f ca="1">IFERROR(INDIRECT(CONCATENATE("Track1!E",A25+6)),"")</f>
        <v/>
      </c>
      <c r="F30" s="65">
        <f ca="1">IFERROR(INDIRECT(CONCATENATE("Track1!F",A25+6)),"")</f>
        <v>0</v>
      </c>
      <c r="G30" s="121" t="str">
        <f ca="1">IFERROR(INDIRECT(CONCATENATE("Track1!G",A25+6)),"")</f>
        <v/>
      </c>
      <c r="H30" s="66"/>
      <c r="I30" s="66">
        <f ca="1">IFERROR(INDIRECT(CONCATENATE("Track1!I",A25+6)),"")</f>
        <v>5</v>
      </c>
      <c r="J30" s="66">
        <f ca="1">IFERROR(INDIRECT(CONCATENATE("Track1!J",A25+6)),"")</f>
        <v>0</v>
      </c>
      <c r="K30" s="89" t="str">
        <f ca="1">IFERROR(INDIRECT(CONCATENATE("Track1!K",A25+6)),"")</f>
        <v/>
      </c>
      <c r="L30" s="89" t="str">
        <f ca="1">IFERROR(INDIRECT(CONCATENATE("Track1!L",A25+6)),"")</f>
        <v/>
      </c>
      <c r="M30" s="65">
        <f ca="1">IFERROR(INDIRECT(CONCATENATE("Track1!M",A25+6)),"")</f>
        <v>0</v>
      </c>
      <c r="N30" s="121" t="str">
        <f ca="1">IFERROR(INDIRECT(CONCATENATE("Track1!N",A25+6)),"")</f>
        <v/>
      </c>
      <c r="T30" s="64" t="str">
        <f t="shared" ca="1" si="0"/>
        <v/>
      </c>
      <c r="U30" s="64" t="str">
        <f t="shared" ca="1" si="1"/>
        <v/>
      </c>
      <c r="V30" s="422" t="str">
        <f ca="1">IF(OR(D30=0,D30="",D30="Athlete"),"",COUNTIF($D$4:$D30,D30))</f>
        <v/>
      </c>
      <c r="W30" s="422" t="str">
        <f t="shared" ca="1" si="2"/>
        <v/>
      </c>
      <c r="Z30" s="422" t="str">
        <f t="shared" ca="1" si="3"/>
        <v/>
      </c>
    </row>
    <row r="31" spans="1:26" x14ac:dyDescent="0.35">
      <c r="B31" s="66">
        <f ca="1">IFERROR(INDIRECT(CONCATENATE("Track1!B",A25+7)),"")</f>
        <v>6</v>
      </c>
      <c r="C31" s="66">
        <f ca="1">IFERROR(INDIRECT(CONCATENATE("Track1!C",A25+7)),"")</f>
        <v>0</v>
      </c>
      <c r="D31" s="89" t="str">
        <f ca="1">IFERROR(INDIRECT(CONCATENATE("Track1!D",A25+7)),"")</f>
        <v/>
      </c>
      <c r="E31" s="89" t="str">
        <f ca="1">IFERROR(INDIRECT(CONCATENATE("Track1!E",A25+7)),"")</f>
        <v/>
      </c>
      <c r="F31" s="65">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65">
        <f ca="1">IFERROR(INDIRECT(CONCATENATE("Track1!M",A25+7)),"")</f>
        <v>0</v>
      </c>
      <c r="N31" s="121" t="str">
        <f ca="1">IFERROR(INDIRECT(CONCATENATE("Track1!N",A25+7)),"")</f>
        <v/>
      </c>
      <c r="T31" s="64" t="str">
        <f t="shared" ca="1" si="0"/>
        <v/>
      </c>
      <c r="U31" s="64" t="str">
        <f t="shared" ca="1" si="1"/>
        <v/>
      </c>
      <c r="V31" s="422" t="str">
        <f ca="1">IF(OR(D31=0,D31="",D31="Athlete"),"",COUNTIF($D$4:$D31,D31))</f>
        <v/>
      </c>
      <c r="W31" s="422" t="str">
        <f t="shared" ca="1" si="2"/>
        <v/>
      </c>
      <c r="Z31" s="422" t="str">
        <f t="shared" ca="1" si="3"/>
        <v/>
      </c>
    </row>
    <row r="32" spans="1:26" x14ac:dyDescent="0.35">
      <c r="B32" s="66">
        <f ca="1">IFERROR(INDIRECT(CONCATENATE("Track1!B",A25+8)),"")</f>
        <v>7</v>
      </c>
      <c r="C32" s="66">
        <f ca="1">IFERROR(INDIRECT(CONCATENATE("Track1!C",A25+8)),"")</f>
        <v>0</v>
      </c>
      <c r="D32" s="89" t="str">
        <f ca="1">IFERROR(INDIRECT(CONCATENATE("Track1!D",A25+8)),"")</f>
        <v/>
      </c>
      <c r="E32" s="89" t="str">
        <f ca="1">IFERROR(INDIRECT(CONCATENATE("Track1!E",A25+8)),"")</f>
        <v/>
      </c>
      <c r="F32" s="65">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65">
        <f ca="1">IFERROR(INDIRECT(CONCATENATE("Track1!M",A25+8)),"")</f>
        <v>0</v>
      </c>
      <c r="N32" s="121" t="str">
        <f ca="1">IFERROR(INDIRECT(CONCATENATE("Track1!N",A25+8)),"")</f>
        <v/>
      </c>
      <c r="T32" s="64" t="str">
        <f t="shared" ca="1" si="0"/>
        <v/>
      </c>
      <c r="U32" s="64" t="str">
        <f t="shared" ca="1" si="1"/>
        <v/>
      </c>
      <c r="V32" s="422" t="str">
        <f ca="1">IF(OR(D32=0,D32="",D32="Athlete"),"",COUNTIF($D$4:$D32,D32))</f>
        <v/>
      </c>
      <c r="W32" s="422" t="str">
        <f t="shared" ca="1" si="2"/>
        <v/>
      </c>
      <c r="Z32" s="422" t="str">
        <f t="shared" ca="1" si="3"/>
        <v/>
      </c>
    </row>
    <row r="33" spans="1:26" x14ac:dyDescent="0.35">
      <c r="B33" s="66">
        <f ca="1">IFERROR(INDIRECT(CONCATENATE("Track1!B",A25+9)),"")</f>
        <v>8</v>
      </c>
      <c r="C33" s="66">
        <f ca="1">IFERROR(INDIRECT(CONCATENATE("Track1!C",A25+9)),"")</f>
        <v>0</v>
      </c>
      <c r="D33" s="89" t="str">
        <f ca="1">IFERROR(INDIRECT(CONCATENATE("Track1!D",A25+9)),"")</f>
        <v/>
      </c>
      <c r="E33" s="89" t="str">
        <f ca="1">IFERROR(INDIRECT(CONCATENATE("Track1!E",A25+9)),"")</f>
        <v/>
      </c>
      <c r="F33" s="65">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65">
        <f ca="1">IFERROR(INDIRECT(CONCATENATE("Track1!M",A25+9)),"")</f>
        <v>0</v>
      </c>
      <c r="N33" s="121" t="str">
        <f ca="1">IFERROR(INDIRECT(CONCATENATE("Track1!N",A25+9)),"")</f>
        <v/>
      </c>
      <c r="T33" s="64" t="str">
        <f t="shared" ca="1" si="0"/>
        <v/>
      </c>
      <c r="U33" s="64" t="str">
        <f t="shared" ca="1" si="1"/>
        <v/>
      </c>
      <c r="V33" s="422" t="str">
        <f ca="1">IF(OR(D33=0,D33="",D33="Athlete"),"",COUNTIF($D$4:$D33,D33))</f>
        <v/>
      </c>
      <c r="W33" s="422" t="str">
        <f t="shared" ca="1" si="2"/>
        <v/>
      </c>
      <c r="Z33" s="422" t="str">
        <f t="shared" ca="1" si="3"/>
        <v/>
      </c>
    </row>
    <row r="34" spans="1:26" x14ac:dyDescent="0.35">
      <c r="T34" s="64" t="str">
        <f t="shared" si="0"/>
        <v/>
      </c>
      <c r="U34" s="64" t="str">
        <f t="shared" si="1"/>
        <v/>
      </c>
      <c r="V34" s="422" t="str">
        <f>IF(OR(D34=0,D34="",D34="Athlete"),"",COUNTIF($D$4:$D34,D34))</f>
        <v/>
      </c>
      <c r="W34" s="422" t="str">
        <f t="shared" si="2"/>
        <v/>
      </c>
      <c r="Z34" s="422" t="str">
        <f t="shared" si="3"/>
        <v/>
      </c>
    </row>
    <row r="35" spans="1:26" x14ac:dyDescent="0.35">
      <c r="A35" s="66" t="s">
        <v>514</v>
      </c>
      <c r="B35" s="115" t="str">
        <f ca="1">IFERROR(INDIRECT(CONCATENATE("Track1!B",A36)),"")</f>
        <v>300m U15 Boys A</v>
      </c>
      <c r="F35" s="299">
        <f ca="1">IFERROR(INDIRECT(CONCATENATE("Track1!f",A36)),"")</f>
        <v>0</v>
      </c>
      <c r="G35" s="121" t="str">
        <f ca="1">IFERROR(INDIRECT(CONCATENATE("Track1!g",A36)),"")</f>
        <v/>
      </c>
      <c r="I35" s="115" t="str">
        <f ca="1">IFERROR(INDIRECT(CONCATENATE("Track1!I",A36)),"")</f>
        <v>300m U15 Boys B</v>
      </c>
      <c r="T35" s="64" t="str">
        <f t="shared" si="0"/>
        <v/>
      </c>
      <c r="U35" s="64" t="str">
        <f t="shared" si="1"/>
        <v/>
      </c>
      <c r="V35" s="422" t="str">
        <f>IF(OR(D35=0,D35="",D35="Athlete"),"",COUNTIF($D$4:$D35,D35))</f>
        <v/>
      </c>
      <c r="W35" s="422" t="str">
        <f t="shared" si="2"/>
        <v/>
      </c>
      <c r="Z35" s="422" t="str">
        <f t="shared" ca="1" si="3"/>
        <v/>
      </c>
    </row>
    <row r="36" spans="1:26" x14ac:dyDescent="0.35">
      <c r="A36" s="66">
        <f>IFERROR(MATCH(A35,Track1!A:A,0),"")</f>
        <v>189</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149"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149" t="str">
        <f ca="1">IFERROR(INDIRECT(CONCATENATE("Track1!M",A36+1)),"")</f>
        <v>Perf</v>
      </c>
      <c r="N36" s="218" t="str">
        <f ca="1">IFERROR(INDIRECT(CONCATENATE("Track1!N",A36+1)),"")</f>
        <v>AAA</v>
      </c>
      <c r="T36" s="64" t="str">
        <f t="shared" ca="1" si="0"/>
        <v/>
      </c>
      <c r="U36" s="64" t="str">
        <f t="shared" ca="1" si="1"/>
        <v/>
      </c>
      <c r="V36" s="422" t="str">
        <f ca="1">IF(OR(D36=0,D36="",D36="Athlete"),"",COUNTIF($D$4:$D36,D36))</f>
        <v/>
      </c>
      <c r="W36" s="422" t="str">
        <f t="shared" ca="1" si="2"/>
        <v/>
      </c>
      <c r="Z36" s="422">
        <f t="shared" ca="1" si="3"/>
        <v>0</v>
      </c>
    </row>
    <row r="37" spans="1:26" x14ac:dyDescent="0.35">
      <c r="B37" s="66">
        <f ca="1">IFERROR(INDIRECT(CONCATENATE("Track1!B",A36+2)),"")</f>
        <v>1</v>
      </c>
      <c r="C37" s="66">
        <f ca="1">IFERROR(INDIRECT(CONCATENATE("Track1!C",A36+2)),"")</f>
        <v>1</v>
      </c>
      <c r="D37" s="89" t="str">
        <f ca="1">IFERROR(INDIRECT(CONCATENATE("Track1!D",A36+2)),"")</f>
        <v>MARRIOTT Thomas</v>
      </c>
      <c r="E37" s="89" t="str">
        <f ca="1">IFERROR(INDIRECT(CONCATENATE("Track1!E",A36+2)),"")</f>
        <v>C'field</v>
      </c>
      <c r="F37" s="65">
        <f ca="1">IFERROR(INDIRECT(CONCATENATE("Track1!F",A36+2)),"")</f>
        <v>42.8</v>
      </c>
      <c r="G37" s="121" t="str">
        <f ca="1">IFERROR(INDIRECT(CONCATENATE("Track1!G",A36+2)),"")</f>
        <v/>
      </c>
      <c r="H37" s="66"/>
      <c r="I37" s="66">
        <f ca="1">IFERROR(INDIRECT(CONCATENATE("Track1!I",A36+2)),"")</f>
        <v>1</v>
      </c>
      <c r="J37" s="66">
        <f ca="1">IFERROR(INDIRECT(CONCATENATE("Track1!J",A36+2)),"")</f>
        <v>44</v>
      </c>
      <c r="K37" s="89" t="str">
        <f ca="1">IFERROR(INDIRECT(CONCATENATE("Track1!K",A36+2)),"")</f>
        <v>KAYE Charlie</v>
      </c>
      <c r="L37" s="89" t="str">
        <f ca="1">IFERROR(INDIRECT(CONCATENATE("Track1!L",A36+2)),"")</f>
        <v>M'bro</v>
      </c>
      <c r="M37" s="65">
        <f ca="1">IFERROR(INDIRECT(CONCATENATE("Track1!M",A36+2)),"")</f>
        <v>47.8</v>
      </c>
      <c r="N37" s="121" t="str">
        <f ca="1">IFERROR(INDIRECT(CONCATENATE("Track1!N",A36+2)),"")</f>
        <v/>
      </c>
      <c r="R37" s="219">
        <f ca="1">IFERROR(INDIRECT(CONCATENATE("Track1!r",A36+2)),"")</f>
        <v>1</v>
      </c>
      <c r="T37" s="64">
        <f t="shared" ca="1" si="0"/>
        <v>3</v>
      </c>
      <c r="U37" s="64">
        <f t="shared" ca="1" si="1"/>
        <v>2</v>
      </c>
      <c r="V37" s="422">
        <f ca="1">IF(OR(D37=0,D37="",D37="Athlete"),"",COUNTIF($D$4:$D37,D37))</f>
        <v>1</v>
      </c>
      <c r="W37" s="422" t="str">
        <f t="shared" ca="1" si="2"/>
        <v>C'field</v>
      </c>
      <c r="Z37" s="422" t="str">
        <f t="shared" ca="1" si="3"/>
        <v/>
      </c>
    </row>
    <row r="38" spans="1:26" x14ac:dyDescent="0.35">
      <c r="B38" s="66">
        <f ca="1">IFERROR(INDIRECT(CONCATENATE("Track1!B",A36+3)),"")</f>
        <v>2</v>
      </c>
      <c r="C38" s="66">
        <f ca="1">IFERROR(INDIRECT(CONCATENATE("Track1!C",A36+3)),"")</f>
        <v>2</v>
      </c>
      <c r="D38" s="89" t="str">
        <f ca="1">IFERROR(INDIRECT(CONCATENATE("Track1!D",A36+3)),"")</f>
        <v>KRIEL PARR George</v>
      </c>
      <c r="E38" s="89" t="str">
        <f ca="1">IFERROR(INDIRECT(CONCATENATE("Track1!E",A36+3)),"")</f>
        <v>Sheff+D</v>
      </c>
      <c r="F38" s="65">
        <f ca="1">IFERROR(INDIRECT(CONCATENATE("Track1!F",A36+3)),"")</f>
        <v>44.4</v>
      </c>
      <c r="G38" s="121" t="str">
        <f ca="1">IFERROR(INDIRECT(CONCATENATE("Track1!G",A36+3)),"")</f>
        <v/>
      </c>
      <c r="H38" s="66"/>
      <c r="I38" s="66">
        <f ca="1">IFERROR(INDIRECT(CONCATENATE("Track1!I",A36+3)),"")</f>
        <v>2</v>
      </c>
      <c r="J38" s="66">
        <f ca="1">IFERROR(INDIRECT(CONCATENATE("Track1!J",A36+3)),"")</f>
        <v>11</v>
      </c>
      <c r="K38" s="89" t="str">
        <f ca="1">IFERROR(INDIRECT(CONCATENATE("Track1!K",A36+3)),"")</f>
        <v>BAKER Joseph</v>
      </c>
      <c r="L38" s="89" t="str">
        <f ca="1">IFERROR(INDIRECT(CONCATENATE("Track1!L",A36+3)),"")</f>
        <v>C'field</v>
      </c>
      <c r="M38" s="65">
        <f ca="1">IFERROR(INDIRECT(CONCATENATE("Track1!M",A36+3)),"")</f>
        <v>48.9</v>
      </c>
      <c r="N38" s="121" t="str">
        <f ca="1">IFERROR(INDIRECT(CONCATENATE("Track1!N",A36+3)),"")</f>
        <v/>
      </c>
      <c r="T38" s="64">
        <f t="shared" ca="1" si="0"/>
        <v>3</v>
      </c>
      <c r="U38" s="64">
        <f t="shared" ca="1" si="1"/>
        <v>1</v>
      </c>
      <c r="V38" s="422">
        <f ca="1">IF(OR(D38=0,D38="",D38="Athlete"),"",COUNTIF($D$4:$D38,D38))</f>
        <v>1</v>
      </c>
      <c r="W38" s="422" t="str">
        <f t="shared" ca="1" si="2"/>
        <v>Sheff+D</v>
      </c>
      <c r="Z38" s="422" t="str">
        <f t="shared" ca="1" si="3"/>
        <v/>
      </c>
    </row>
    <row r="39" spans="1:26" x14ac:dyDescent="0.35">
      <c r="B39" s="66">
        <f ca="1">IFERROR(INDIRECT(CONCATENATE("Track1!B",A36+4)),"")</f>
        <v>3</v>
      </c>
      <c r="C39" s="66">
        <f ca="1">IFERROR(INDIRECT(CONCATENATE("Track1!C",A36+4)),"")</f>
        <v>3</v>
      </c>
      <c r="D39" s="89" t="str">
        <f ca="1">IFERROR(INDIRECT(CONCATENATE("Track1!D",A36+4)),"")</f>
        <v>BRATLEY Jack</v>
      </c>
      <c r="E39" s="89" t="str">
        <f ca="1">IFERROR(INDIRECT(CONCATENATE("Track1!E",A36+4)),"")</f>
        <v>York</v>
      </c>
      <c r="F39" s="65">
        <f ca="1">IFERROR(INDIRECT(CONCATENATE("Track1!F",A36+4)),"")</f>
        <v>44.4</v>
      </c>
      <c r="G39" s="121" t="str">
        <f ca="1">IFERROR(INDIRECT(CONCATENATE("Track1!G",A36+4)),"")</f>
        <v/>
      </c>
      <c r="H39" s="66"/>
      <c r="I39" s="66">
        <f ca="1">IFERROR(INDIRECT(CONCATENATE("Track1!I",A36+4)),"")</f>
        <v>3</v>
      </c>
      <c r="J39" s="66">
        <f ca="1">IFERROR(INDIRECT(CONCATENATE("Track1!J",A36+4)),"")</f>
        <v>33</v>
      </c>
      <c r="K39" s="89" t="str">
        <f ca="1">IFERROR(INDIRECT(CONCATENATE("Track1!K",A36+4)),"")</f>
        <v>BROOKS Rory</v>
      </c>
      <c r="L39" s="89" t="str">
        <f ca="1">IFERROR(INDIRECT(CONCATENATE("Track1!L",A36+4)),"")</f>
        <v>York</v>
      </c>
      <c r="M39" s="65">
        <f ca="1">IFERROR(INDIRECT(CONCATENATE("Track1!M",A36+4)),"")</f>
        <v>51.2</v>
      </c>
      <c r="N39" s="121" t="str">
        <f ca="1">IFERROR(INDIRECT(CONCATENATE("Track1!N",A36+4)),"")</f>
        <v/>
      </c>
      <c r="T39" s="64">
        <f t="shared" ca="1" si="0"/>
        <v>2</v>
      </c>
      <c r="U39" s="64">
        <f t="shared" ca="1" si="1"/>
        <v>3</v>
      </c>
      <c r="V39" s="422">
        <f ca="1">IF(OR(D39=0,D39="",D39="Athlete"),"",COUNTIF($D$4:$D39,D39))</f>
        <v>1</v>
      </c>
      <c r="W39" s="422" t="str">
        <f t="shared" ca="1" si="2"/>
        <v>York</v>
      </c>
      <c r="Z39" s="422" t="str">
        <f t="shared" ca="1" si="3"/>
        <v/>
      </c>
    </row>
    <row r="40" spans="1:26" x14ac:dyDescent="0.35">
      <c r="B40" s="66">
        <f ca="1">IFERROR(INDIRECT(CONCATENATE("Track1!B",A36+5)),"")</f>
        <v>4</v>
      </c>
      <c r="C40" s="66">
        <f ca="1">IFERROR(INDIRECT(CONCATENATE("Track1!C",A36+5)),"")</f>
        <v>4</v>
      </c>
      <c r="D40" s="89" t="str">
        <f ca="1">IFERROR(INDIRECT(CONCATENATE("Track1!D",A36+5)),"")</f>
        <v>FRENCH William</v>
      </c>
      <c r="E40" s="89" t="str">
        <f ca="1">IFERROR(INDIRECT(CONCATENATE("Track1!E",A36+5)),"")</f>
        <v>M'bro</v>
      </c>
      <c r="F40" s="65">
        <f ca="1">IFERROR(INDIRECT(CONCATENATE("Track1!F",A36+5)),"")</f>
        <v>44.8</v>
      </c>
      <c r="G40" s="121" t="str">
        <f ca="1">IFERROR(INDIRECT(CONCATENATE("Track1!G",A36+5)),"")</f>
        <v/>
      </c>
      <c r="H40" s="66"/>
      <c r="I40" s="66">
        <f ca="1">IFERROR(INDIRECT(CONCATENATE("Track1!I",A36+5)),"")</f>
        <v>4</v>
      </c>
      <c r="J40" s="66">
        <f ca="1">IFERROR(INDIRECT(CONCATENATE("Track1!J",A36+5)),"")</f>
        <v>0</v>
      </c>
      <c r="K40" s="89" t="str">
        <f ca="1">IFERROR(INDIRECT(CONCATENATE("Track1!K",A36+5)),"")</f>
        <v/>
      </c>
      <c r="L40" s="89" t="str">
        <f ca="1">IFERROR(INDIRECT(CONCATENATE("Track1!L",A36+5)),"")</f>
        <v/>
      </c>
      <c r="M40" s="65">
        <f ca="1">IFERROR(INDIRECT(CONCATENATE("Track1!M",A36+5)),"")</f>
        <v>0</v>
      </c>
      <c r="N40" s="121" t="str">
        <f ca="1">IFERROR(INDIRECT(CONCATENATE("Track1!N",A36+5)),"")</f>
        <v/>
      </c>
      <c r="T40" s="64">
        <f t="shared" ca="1" si="0"/>
        <v>1</v>
      </c>
      <c r="U40" s="64" t="str">
        <f t="shared" ca="1" si="1"/>
        <v/>
      </c>
      <c r="V40" s="422">
        <f ca="1">IF(OR(D40=0,D40="",D40="Athlete"),"",COUNTIF($D$4:$D40,D40))</f>
        <v>1</v>
      </c>
      <c r="W40" s="422" t="str">
        <f t="shared" ca="1" si="2"/>
        <v>M'bro</v>
      </c>
      <c r="Z40" s="422" t="str">
        <f t="shared" ca="1" si="3"/>
        <v/>
      </c>
    </row>
    <row r="41" spans="1:26" x14ac:dyDescent="0.35">
      <c r="B41" s="66">
        <f ca="1">IFERROR(INDIRECT(CONCATENATE("Track1!B",A36+6)),"")</f>
        <v>5</v>
      </c>
      <c r="C41" s="66">
        <f ca="1">IFERROR(INDIRECT(CONCATENATE("Track1!C",A36+6)),"")</f>
        <v>5</v>
      </c>
      <c r="D41" s="89" t="str">
        <f ca="1">IFERROR(INDIRECT(CONCATENATE("Track1!D",A36+6)),"")</f>
        <v>OADES Matthew</v>
      </c>
      <c r="E41" s="89" t="str">
        <f ca="1">IFERROR(INDIRECT(CONCATENATE("Track1!E",A36+6)),"")</f>
        <v>Scun</v>
      </c>
      <c r="F41" s="65">
        <f ca="1">IFERROR(INDIRECT(CONCATENATE("Track1!F",A36+6)),"")</f>
        <v>50.8</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65">
        <f ca="1">IFERROR(INDIRECT(CONCATENATE("Track1!M",A36+6)),"")</f>
        <v>0</v>
      </c>
      <c r="N41" s="121" t="str">
        <f ca="1">IFERROR(INDIRECT(CONCATENATE("Track1!N",A36+6)),"")</f>
        <v/>
      </c>
      <c r="T41" s="64">
        <f t="shared" ca="1" si="0"/>
        <v>3</v>
      </c>
      <c r="U41" s="64" t="str">
        <f t="shared" ca="1" si="1"/>
        <v/>
      </c>
      <c r="V41" s="422">
        <f ca="1">IF(OR(D41=0,D41="",D41="Athlete"),"",COUNTIF($D$4:$D41,D41))</f>
        <v>1</v>
      </c>
      <c r="W41" s="422" t="str">
        <f t="shared" ca="1" si="2"/>
        <v>Scun</v>
      </c>
      <c r="Z41" s="422" t="str">
        <f t="shared" ca="1" si="3"/>
        <v/>
      </c>
    </row>
    <row r="42" spans="1:26" x14ac:dyDescent="0.35">
      <c r="B42" s="66">
        <f ca="1">IFERROR(INDIRECT(CONCATENATE("Track1!B",A36+7)),"")</f>
        <v>6</v>
      </c>
      <c r="C42" s="66">
        <f ca="1">IFERROR(INDIRECT(CONCATENATE("Track1!C",A36+7)),"")</f>
        <v>0</v>
      </c>
      <c r="D42" s="89" t="str">
        <f ca="1">IFERROR(INDIRECT(CONCATENATE("Track1!D",A36+7)),"")</f>
        <v/>
      </c>
      <c r="E42" s="89" t="str">
        <f ca="1">IFERROR(INDIRECT(CONCATENATE("Track1!E",A36+7)),"")</f>
        <v/>
      </c>
      <c r="F42" s="65">
        <f ca="1">IFERROR(INDIRECT(CONCATENATE("Track1!F",A36+7)),"")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65">
        <f ca="1">IFERROR(INDIRECT(CONCATENATE("Track1!M",A36+7)),"")</f>
        <v>0</v>
      </c>
      <c r="N42" s="121" t="str">
        <f ca="1">IFERROR(INDIRECT(CONCATENATE("Track1!N",A36+7)),"")</f>
        <v/>
      </c>
      <c r="T42" s="64" t="str">
        <f t="shared" ca="1" si="0"/>
        <v/>
      </c>
      <c r="U42" s="64" t="str">
        <f t="shared" ca="1" si="1"/>
        <v/>
      </c>
      <c r="V42" s="422" t="str">
        <f ca="1">IF(OR(D42=0,D42="",D42="Athlete"),"",COUNTIF($D$4:$D42,D42))</f>
        <v/>
      </c>
      <c r="W42" s="422" t="str">
        <f t="shared" ca="1" si="2"/>
        <v/>
      </c>
      <c r="Z42" s="422" t="str">
        <f t="shared" ca="1" si="3"/>
        <v/>
      </c>
    </row>
    <row r="43" spans="1:26" x14ac:dyDescent="0.35">
      <c r="B43" s="66">
        <f ca="1">IFERROR(INDIRECT(CONCATENATE("Track1!B",A36+8)),"")</f>
        <v>7</v>
      </c>
      <c r="C43" s="66">
        <f ca="1">IFERROR(INDIRECT(CONCATENATE("Track1!C",A36+8)),"")</f>
        <v>0</v>
      </c>
      <c r="D43" s="89" t="str">
        <f ca="1">IFERROR(INDIRECT(CONCATENATE("Track1!D",A36+8)),"")</f>
        <v/>
      </c>
      <c r="E43" s="89" t="str">
        <f ca="1">IFERROR(INDIRECT(CONCATENATE("Track1!E",A36+8)),"")</f>
        <v/>
      </c>
      <c r="F43" s="65">
        <f ca="1">IFERROR(INDIRECT(CONCATENATE("Track1!F",A36+8)),"")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65">
        <f ca="1">IFERROR(INDIRECT(CONCATENATE("Track1!M",A36+8)),"")</f>
        <v>0</v>
      </c>
      <c r="N43" s="121" t="str">
        <f ca="1">IFERROR(INDIRECT(CONCATENATE("Track1!N",A36+8)),"")</f>
        <v/>
      </c>
      <c r="T43" s="64" t="str">
        <f t="shared" ca="1" si="0"/>
        <v/>
      </c>
      <c r="U43" s="64" t="str">
        <f t="shared" ca="1" si="1"/>
        <v/>
      </c>
      <c r="V43" s="422" t="str">
        <f ca="1">IF(OR(D43=0,D43="",D43="Athlete"),"",COUNTIF($D$4:$D43,D43))</f>
        <v/>
      </c>
      <c r="W43" s="422" t="str">
        <f t="shared" ca="1" si="2"/>
        <v/>
      </c>
      <c r="Z43" s="422" t="str">
        <f t="shared" ca="1" si="3"/>
        <v/>
      </c>
    </row>
    <row r="44" spans="1:26" x14ac:dyDescent="0.35">
      <c r="B44" s="66">
        <f ca="1">IFERROR(INDIRECT(CONCATENATE("Track1!B",A36+9)),"")</f>
        <v>8</v>
      </c>
      <c r="C44" s="66">
        <f ca="1">IFERROR(INDIRECT(CONCATENATE("Track1!C",A36+9)),"")</f>
        <v>0</v>
      </c>
      <c r="D44" s="89" t="str">
        <f ca="1">IFERROR(INDIRECT(CONCATENATE("Track1!D",A36+9)),"")</f>
        <v/>
      </c>
      <c r="E44" s="89" t="str">
        <f ca="1">IFERROR(INDIRECT(CONCATENATE("Track1!E",A36+9)),"")</f>
        <v/>
      </c>
      <c r="F44" s="65">
        <f ca="1">IFERROR(INDIRECT(CONCATENATE("Track1!F",A36+9)),"")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65">
        <f ca="1">IFERROR(INDIRECT(CONCATENATE("Track1!M",A36+9)),"")</f>
        <v>0</v>
      </c>
      <c r="N44" s="121" t="str">
        <f ca="1">IFERROR(INDIRECT(CONCATENATE("Track1!N",A36+9)),"")</f>
        <v/>
      </c>
      <c r="T44" s="64" t="str">
        <f t="shared" ca="1" si="0"/>
        <v/>
      </c>
      <c r="U44" s="64" t="str">
        <f t="shared" ca="1" si="1"/>
        <v/>
      </c>
      <c r="V44" s="422" t="str">
        <f ca="1">IF(OR(D44=0,D44="",D44="Athlete"),"",COUNTIF($D$4:$D44,D44))</f>
        <v/>
      </c>
      <c r="W44" s="422" t="str">
        <f t="shared" ca="1" si="2"/>
        <v/>
      </c>
      <c r="Z44" s="422" t="str">
        <f t="shared" ca="1" si="3"/>
        <v/>
      </c>
    </row>
    <row r="45" spans="1:26" x14ac:dyDescent="0.35">
      <c r="T45" s="64" t="str">
        <f t="shared" si="0"/>
        <v/>
      </c>
      <c r="U45" s="64" t="str">
        <f t="shared" si="1"/>
        <v/>
      </c>
      <c r="V45" s="422" t="str">
        <f>IF(OR(D45=0,D45="",D45="Athlete"),"",COUNTIF($D$4:$D45,D45))</f>
        <v/>
      </c>
      <c r="W45" s="422" t="str">
        <f t="shared" si="2"/>
        <v/>
      </c>
      <c r="Z45" s="422" t="str">
        <f t="shared" si="3"/>
        <v/>
      </c>
    </row>
    <row r="46" spans="1:26" x14ac:dyDescent="0.35">
      <c r="A46" s="66" t="s">
        <v>509</v>
      </c>
      <c r="B46" s="115" t="str">
        <f ca="1">IFERROR(INDIRECT(CONCATENATE("Track1!B",A47)),"")</f>
        <v>800m U15 Boys A</v>
      </c>
      <c r="F46" s="299">
        <f ca="1">IFERROR(INDIRECT(CONCATENATE("Track1!f",A47)),"")</f>
        <v>0</v>
      </c>
      <c r="G46" s="121" t="str">
        <f ca="1">IFERROR(INDIRECT(CONCATENATE("Track1!g",A47)),"")</f>
        <v/>
      </c>
      <c r="I46" s="115" t="str">
        <f ca="1">IFERROR(INDIRECT(CONCATENATE("Track1!I",A47)),"")</f>
        <v>800m U15 Boys B</v>
      </c>
      <c r="T46" s="64" t="str">
        <f t="shared" si="0"/>
        <v/>
      </c>
      <c r="U46" s="64" t="str">
        <f t="shared" si="1"/>
        <v/>
      </c>
      <c r="V46" s="422" t="str">
        <f>IF(OR(D46=0,D46="",D46="Athlete"),"",COUNTIF($D$4:$D46,D46))</f>
        <v/>
      </c>
      <c r="W46" s="422" t="str">
        <f t="shared" si="2"/>
        <v/>
      </c>
      <c r="Z46" s="422" t="str">
        <f t="shared" ca="1" si="3"/>
        <v/>
      </c>
    </row>
    <row r="47" spans="1:26" x14ac:dyDescent="0.35">
      <c r="A47" s="66">
        <f>IFERROR(MATCH(A46,Track1!A:A,0),"")</f>
        <v>233</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149"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149" t="str">
        <f ca="1">IFERROR(INDIRECT(CONCATENATE("Track1!M",A47+1)),"")</f>
        <v>Perf</v>
      </c>
      <c r="N47" s="218" t="str">
        <f ca="1">IFERROR(INDIRECT(CONCATENATE("Track1!N",A47+1)),"")</f>
        <v>AAA</v>
      </c>
      <c r="T47" s="64" t="str">
        <f t="shared" ca="1" si="0"/>
        <v/>
      </c>
      <c r="U47" s="64" t="str">
        <f t="shared" ca="1" si="1"/>
        <v/>
      </c>
      <c r="V47" s="422" t="str">
        <f ca="1">IF(OR(D47=0,D47="",D47="Athlete"),"",COUNTIF($D$4:$D47,D47))</f>
        <v/>
      </c>
      <c r="W47" s="422" t="str">
        <f t="shared" ca="1" si="2"/>
        <v/>
      </c>
      <c r="Z47" s="422">
        <f t="shared" ca="1" si="3"/>
        <v>0</v>
      </c>
    </row>
    <row r="48" spans="1:26" x14ac:dyDescent="0.35">
      <c r="B48" s="66">
        <f ca="1">IFERROR(INDIRECT(CONCATENATE("Track1!B",A47+2)),"")</f>
        <v>1</v>
      </c>
      <c r="C48" s="66">
        <f ca="1">IFERROR(INDIRECT(CONCATENATE("Track1!C",A47+2)),"")</f>
        <v>2</v>
      </c>
      <c r="D48" s="89" t="str">
        <f ca="1">IFERROR(INDIRECT(CONCATENATE("Track1!D",A47+2)),"")</f>
        <v>SCOTT Leni</v>
      </c>
      <c r="E48" s="89" t="str">
        <f ca="1">IFERROR(INDIRECT(CONCATENATE("Track1!E",A47+2)),"")</f>
        <v>Sheff+D</v>
      </c>
      <c r="F48" s="109">
        <f ca="1">IFERROR(INDIRECT(CONCATENATE("Track1!T",A47+2)),"")</f>
        <v>1.6342592592592596E-3</v>
      </c>
      <c r="G48" s="121" t="str">
        <f ca="1">IFERROR(INDIRECT(CONCATENATE("Track1!G",A47+2)),"")</f>
        <v/>
      </c>
      <c r="H48" s="66"/>
      <c r="I48" s="66">
        <f ca="1">IFERROR(INDIRECT(CONCATENATE("Track1!I",A47+2)),"")</f>
        <v>1</v>
      </c>
      <c r="J48" s="66">
        <f ca="1">IFERROR(INDIRECT(CONCATENATE("Track1!J",A47+2)),"")</f>
        <v>3</v>
      </c>
      <c r="K48" s="89" t="str">
        <f ca="1">IFERROR(INDIRECT(CONCATENATE("Track1!K",A47+2)),"")</f>
        <v>HOW Louis</v>
      </c>
      <c r="L48" s="89" t="str">
        <f ca="1">IFERROR(INDIRECT(CONCATENATE("Track1!L",A47+2)),"")</f>
        <v>York</v>
      </c>
      <c r="M48" s="109">
        <f ca="1">IFERROR(INDIRECT(CONCATENATE("Track1!U",A47+2)),"")</f>
        <v>1.652777777777778E-3</v>
      </c>
      <c r="N48" s="121" t="str">
        <f ca="1">IFERROR(INDIRECT(CONCATENATE("Track1!N",A47+2)),"")</f>
        <v/>
      </c>
      <c r="R48" s="219">
        <f ca="1">IFERROR(INDIRECT(CONCATENATE("Track1!r",A47+2)),"")</f>
        <v>1</v>
      </c>
      <c r="T48" s="64">
        <f t="shared" ca="1" si="0"/>
        <v>3</v>
      </c>
      <c r="U48" s="64">
        <f t="shared" ca="1" si="1"/>
        <v>2</v>
      </c>
      <c r="V48" s="422">
        <f ca="1">IF(OR(D48=0,D48="",D48="Athlete"),"",COUNTIF($D$4:$D48,D48))</f>
        <v>1</v>
      </c>
      <c r="W48" s="422" t="str">
        <f t="shared" ca="1" si="2"/>
        <v>Sheff+D</v>
      </c>
      <c r="Z48" s="422" t="str">
        <f t="shared" ca="1" si="3"/>
        <v/>
      </c>
    </row>
    <row r="49" spans="1:26" x14ac:dyDescent="0.35">
      <c r="B49" s="66">
        <f ca="1">IFERROR(INDIRECT(CONCATENATE("Track1!B",A47+3)),"")</f>
        <v>2</v>
      </c>
      <c r="C49" s="66">
        <f ca="1">IFERROR(INDIRECT(CONCATENATE("Track1!C",A47+3)),"")</f>
        <v>33</v>
      </c>
      <c r="D49" s="89" t="str">
        <f ca="1">IFERROR(INDIRECT(CONCATENATE("Track1!D",A47+3)),"")</f>
        <v>HANLEY Edward</v>
      </c>
      <c r="E49" s="89" t="str">
        <f ca="1">IFERROR(INDIRECT(CONCATENATE("Track1!E",A47+3)),"")</f>
        <v>York</v>
      </c>
      <c r="F49" s="109">
        <f ca="1">IFERROR(INDIRECT(CONCATENATE("Track1!T",A47+3)),"")</f>
        <v>1.6493055555555556E-3</v>
      </c>
      <c r="G49" s="121" t="str">
        <f ca="1">IFERROR(INDIRECT(CONCATENATE("Track1!G",A47+3)),"")</f>
        <v/>
      </c>
      <c r="H49" s="66"/>
      <c r="I49" s="66">
        <f ca="1">IFERROR(INDIRECT(CONCATENATE("Track1!I",A47+3)),"")</f>
        <v>2</v>
      </c>
      <c r="J49" s="66">
        <f ca="1">IFERROR(INDIRECT(CONCATENATE("Track1!J",A47+3)),"")</f>
        <v>22</v>
      </c>
      <c r="K49" s="89" t="str">
        <f ca="1">IFERROR(INDIRECT(CONCATENATE("Track1!K",A47+3)),"")</f>
        <v>KRIEL PARR George</v>
      </c>
      <c r="L49" s="89" t="str">
        <f ca="1">IFERROR(INDIRECT(CONCATENATE("Track1!L",A47+3)),"")</f>
        <v>Sheff+D</v>
      </c>
      <c r="M49" s="109">
        <f ca="1">IFERROR(INDIRECT(CONCATENATE("Track1!U",A47+3)),"")</f>
        <v>1.6574074074074076E-3</v>
      </c>
      <c r="N49" s="121" t="str">
        <f ca="1">IFERROR(INDIRECT(CONCATENATE("Track1!N",A47+3)),"")</f>
        <v/>
      </c>
      <c r="T49" s="64">
        <f t="shared" ca="1" si="0"/>
        <v>1</v>
      </c>
      <c r="U49" s="64">
        <f t="shared" ca="1" si="1"/>
        <v>3</v>
      </c>
      <c r="V49" s="422">
        <f ca="1">IF(OR(D49=0,D49="",D49="Athlete"),"",COUNTIF($D$4:$D49,D49))</f>
        <v>1</v>
      </c>
      <c r="W49" s="422" t="str">
        <f t="shared" ca="1" si="2"/>
        <v>York</v>
      </c>
      <c r="Z49" s="422" t="str">
        <f t="shared" ca="1" si="3"/>
        <v/>
      </c>
    </row>
    <row r="50" spans="1:26" x14ac:dyDescent="0.35">
      <c r="B50" s="66">
        <f ca="1">IFERROR(INDIRECT(CONCATENATE("Track1!B",A47+4)),"")</f>
        <v>3</v>
      </c>
      <c r="C50" s="66">
        <f ca="1">IFERROR(INDIRECT(CONCATENATE("Track1!C",A47+4)),"")</f>
        <v>1</v>
      </c>
      <c r="D50" s="89" t="str">
        <f ca="1">IFERROR(INDIRECT(CONCATENATE("Track1!D",A47+4)),"")</f>
        <v>MARRIOTT Thomas</v>
      </c>
      <c r="E50" s="89" t="str">
        <f ca="1">IFERROR(INDIRECT(CONCATENATE("Track1!E",A47+4)),"")</f>
        <v>C'field</v>
      </c>
      <c r="F50" s="109">
        <f ca="1">IFERROR(INDIRECT(CONCATENATE("Track1!T",A47+4)),"")</f>
        <v>1.7916666666666665E-3</v>
      </c>
      <c r="G50" s="121" t="str">
        <f ca="1">IFERROR(INDIRECT(CONCATENATE("Track1!G",A47+4)),"")</f>
        <v/>
      </c>
      <c r="H50" s="66"/>
      <c r="I50" s="66">
        <f ca="1">IFERROR(INDIRECT(CONCATENATE("Track1!I",A47+4)),"")</f>
        <v>3</v>
      </c>
      <c r="J50" s="66">
        <f ca="1">IFERROR(INDIRECT(CONCATENATE("Track1!J",A47+4)),"")</f>
        <v>11</v>
      </c>
      <c r="K50" s="89" t="str">
        <f ca="1">IFERROR(INDIRECT(CONCATENATE("Track1!K",A47+4)),"")</f>
        <v>MAZUREK Gracjan</v>
      </c>
      <c r="L50" s="89" t="str">
        <f ca="1">IFERROR(INDIRECT(CONCATENATE("Track1!L",A47+4)),"")</f>
        <v>C'field</v>
      </c>
      <c r="M50" s="109">
        <f ca="1">IFERROR(INDIRECT(CONCATENATE("Track1!U",A47+4)),"")</f>
        <v>1.9039351851851852E-3</v>
      </c>
      <c r="N50" s="121" t="str">
        <f ca="1">IFERROR(INDIRECT(CONCATENATE("Track1!N",A47+4)),"")</f>
        <v/>
      </c>
      <c r="T50" s="64">
        <f t="shared" ca="1" si="0"/>
        <v>3</v>
      </c>
      <c r="U50" s="64">
        <f t="shared" ca="1" si="1"/>
        <v>2</v>
      </c>
      <c r="V50" s="422">
        <f ca="1">IF(OR(D50=0,D50="",D50="Athlete"),"",COUNTIF($D$4:$D50,D50))</f>
        <v>2</v>
      </c>
      <c r="W50" s="422" t="str">
        <f t="shared" ca="1" si="2"/>
        <v>C'field</v>
      </c>
      <c r="Z50" s="422" t="str">
        <f t="shared" ca="1" si="3"/>
        <v/>
      </c>
    </row>
    <row r="51" spans="1:26" x14ac:dyDescent="0.35">
      <c r="B51" s="66">
        <f ca="1">IFERROR(INDIRECT(CONCATENATE("Track1!B",A47+5)),"")</f>
        <v>4</v>
      </c>
      <c r="C51" s="66">
        <f ca="1">IFERROR(INDIRECT(CONCATENATE("Track1!C",A47+5)),"")</f>
        <v>5</v>
      </c>
      <c r="D51" s="89" t="str">
        <f ca="1">IFERROR(INDIRECT(CONCATENATE("Track1!D",A47+5)),"")</f>
        <v>OADES Matthew</v>
      </c>
      <c r="E51" s="89" t="str">
        <f ca="1">IFERROR(INDIRECT(CONCATENATE("Track1!E",A47+5)),"")</f>
        <v>Scun</v>
      </c>
      <c r="F51" s="109">
        <f ca="1">IFERROR(INDIRECT(CONCATENATE("Track1!T",A47+5)),"")</f>
        <v>1.9016203703703706E-3</v>
      </c>
      <c r="G51" s="121" t="str">
        <f ca="1">IFERROR(INDIRECT(CONCATENATE("Track1!G",A47+5)),"")</f>
        <v/>
      </c>
      <c r="H51" s="66"/>
      <c r="I51" s="66">
        <f ca="1">IFERROR(INDIRECT(CONCATENATE("Track1!I",A47+5)),"")</f>
        <v>4</v>
      </c>
      <c r="J51" s="66">
        <f ca="1">IFERROR(INDIRECT(CONCATENATE("Track1!J",A47+5)),"")</f>
        <v>0</v>
      </c>
      <c r="K51" s="89" t="str">
        <f ca="1">IFERROR(INDIRECT(CONCATENATE("Track1!K",A47+5)),"")</f>
        <v/>
      </c>
      <c r="L51" s="89" t="str">
        <f ca="1">IFERROR(INDIRECT(CONCATENATE("Track1!L",A47+5)),"")</f>
        <v/>
      </c>
      <c r="M51" s="109">
        <f ca="1">IFERROR(INDIRECT(CONCATENATE("Track1!U",A47+5)),"")</f>
        <v>0</v>
      </c>
      <c r="N51" s="121" t="str">
        <f ca="1">IFERROR(INDIRECT(CONCATENATE("Track1!N",A47+5)),"")</f>
        <v/>
      </c>
      <c r="T51" s="64">
        <f t="shared" ca="1" si="0"/>
        <v>3</v>
      </c>
      <c r="U51" s="64" t="str">
        <f t="shared" ca="1" si="1"/>
        <v/>
      </c>
      <c r="V51" s="422">
        <f ca="1">IF(OR(D51=0,D51="",D51="Athlete"),"",COUNTIF($D$4:$D51,D51))</f>
        <v>2</v>
      </c>
      <c r="W51" s="422" t="str">
        <f t="shared" ca="1" si="2"/>
        <v>Scun</v>
      </c>
      <c r="Z51" s="422" t="str">
        <f t="shared" ca="1" si="3"/>
        <v/>
      </c>
    </row>
    <row r="52" spans="1:26" x14ac:dyDescent="0.35">
      <c r="B52" s="66">
        <f ca="1">IFERROR(INDIRECT(CONCATENATE("Track1!B",A47+6)),"")</f>
        <v>5</v>
      </c>
      <c r="C52" s="66">
        <f ca="1">IFERROR(INDIRECT(CONCATENATE("Track1!C",A47+6)),"")</f>
        <v>4</v>
      </c>
      <c r="D52" s="89" t="str">
        <f ca="1">IFERROR(INDIRECT(CONCATENATE("Track1!D",A47+6)),"")</f>
        <v>BELL Callum</v>
      </c>
      <c r="E52" s="89" t="str">
        <f ca="1">IFERROR(INDIRECT(CONCATENATE("Track1!E",A47+6)),"")</f>
        <v>M'bro</v>
      </c>
      <c r="F52" s="109">
        <f ca="1">IFERROR(INDIRECT(CONCATENATE("Track1!T",A47+6)),"")</f>
        <v>2.0648148148148149E-3</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109">
        <f ca="1">IFERROR(INDIRECT(CONCATENATE("Track1!U",A47+6)),"")</f>
        <v>0</v>
      </c>
      <c r="N52" s="121" t="str">
        <f ca="1">IFERROR(INDIRECT(CONCATENATE("Track1!N",A47+6)),"")</f>
        <v/>
      </c>
      <c r="T52" s="64">
        <f t="shared" ca="1" si="0"/>
        <v>3</v>
      </c>
      <c r="U52" s="64" t="str">
        <f t="shared" ca="1" si="1"/>
        <v/>
      </c>
      <c r="V52" s="422">
        <f ca="1">IF(OR(D52=0,D52="",D52="Athlete"),"",COUNTIF($D$4:$D52,D52))</f>
        <v>1</v>
      </c>
      <c r="W52" s="422" t="str">
        <f t="shared" ca="1" si="2"/>
        <v>M'bro</v>
      </c>
      <c r="Z52" s="422" t="str">
        <f t="shared" ca="1" si="3"/>
        <v/>
      </c>
    </row>
    <row r="53" spans="1:26" x14ac:dyDescent="0.35">
      <c r="B53" s="66">
        <f ca="1">IFERROR(INDIRECT(CONCATENATE("Track1!B",A47+7)),"")</f>
        <v>6</v>
      </c>
      <c r="C53" s="66">
        <f ca="1">IFERROR(INDIRECT(CONCATENATE("Track1!C",A47+7)),"")</f>
        <v>0</v>
      </c>
      <c r="D53" s="89" t="str">
        <f ca="1">IFERROR(INDIRECT(CONCATENATE("Track1!D",A47+7)),"")</f>
        <v/>
      </c>
      <c r="E53" s="89" t="str">
        <f ca="1">IFERROR(INDIRECT(CONCATENATE("Track1!E",A47+7)),"")</f>
        <v/>
      </c>
      <c r="F53" s="109">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109">
        <f ca="1">IFERROR(INDIRECT(CONCATENATE("Track1!U",A47+7)),"")</f>
        <v>0</v>
      </c>
      <c r="N53" s="121" t="str">
        <f ca="1">IFERROR(INDIRECT(CONCATENATE("Track1!N",A47+7)),"")</f>
        <v/>
      </c>
      <c r="T53" s="64" t="str">
        <f t="shared" ca="1" si="0"/>
        <v/>
      </c>
      <c r="U53" s="64" t="str">
        <f t="shared" ca="1" si="1"/>
        <v/>
      </c>
      <c r="V53" s="422" t="str">
        <f ca="1">IF(OR(D53=0,D53="",D53="Athlete"),"",COUNTIF($D$4:$D53,D53))</f>
        <v/>
      </c>
      <c r="W53" s="422" t="str">
        <f t="shared" ca="1" si="2"/>
        <v/>
      </c>
      <c r="Z53" s="422" t="str">
        <f t="shared" ca="1" si="3"/>
        <v/>
      </c>
    </row>
    <row r="54" spans="1:26" x14ac:dyDescent="0.35">
      <c r="B54" s="66">
        <f ca="1">IFERROR(INDIRECT(CONCATENATE("Track1!B",A47+8)),"")</f>
        <v>7</v>
      </c>
      <c r="C54" s="66">
        <f ca="1">IFERROR(INDIRECT(CONCATENATE("Track1!C",A47+8)),"")</f>
        <v>0</v>
      </c>
      <c r="D54" s="89" t="str">
        <f ca="1">IFERROR(INDIRECT(CONCATENATE("Track1!D",A47+8)),"")</f>
        <v/>
      </c>
      <c r="E54" s="89" t="str">
        <f ca="1">IFERROR(INDIRECT(CONCATENATE("Track1!E",A47+8)),"")</f>
        <v/>
      </c>
      <c r="F54" s="109">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109">
        <f ca="1">IFERROR(INDIRECT(CONCATENATE("Track1!U",A47+8)),"")</f>
        <v>0</v>
      </c>
      <c r="N54" s="121" t="str">
        <f ca="1">IFERROR(INDIRECT(CONCATENATE("Track1!N",A47+8)),"")</f>
        <v/>
      </c>
      <c r="T54" s="64" t="str">
        <f t="shared" ca="1" si="0"/>
        <v/>
      </c>
      <c r="U54" s="64" t="str">
        <f t="shared" ca="1" si="1"/>
        <v/>
      </c>
      <c r="V54" s="422" t="str">
        <f ca="1">IF(OR(D54=0,D54="",D54="Athlete"),"",COUNTIF($D$4:$D54,D54))</f>
        <v/>
      </c>
      <c r="W54" s="422" t="str">
        <f t="shared" ca="1" si="2"/>
        <v/>
      </c>
      <c r="Z54" s="422" t="str">
        <f t="shared" ca="1" si="3"/>
        <v/>
      </c>
    </row>
    <row r="55" spans="1:26" x14ac:dyDescent="0.35">
      <c r="B55" s="66">
        <f ca="1">IFERROR(INDIRECT(CONCATENATE("Track1!B",A47+9)),"")</f>
        <v>8</v>
      </c>
      <c r="C55" s="66">
        <f ca="1">IFERROR(INDIRECT(CONCATENATE("Track1!C",A47+9)),"")</f>
        <v>0</v>
      </c>
      <c r="D55" s="89" t="str">
        <f ca="1">IFERROR(INDIRECT(CONCATENATE("Track1!D",A47+9)),"")</f>
        <v/>
      </c>
      <c r="E55" s="89" t="str">
        <f ca="1">IFERROR(INDIRECT(CONCATENATE("Track1!E",A47+9)),"")</f>
        <v/>
      </c>
      <c r="F55" s="109">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109">
        <f ca="1">IFERROR(INDIRECT(CONCATENATE("Track1!U",A47+9)),"")</f>
        <v>0</v>
      </c>
      <c r="N55" s="121" t="str">
        <f ca="1">IFERROR(INDIRECT(CONCATENATE("Track1!N",A47+9)),"")</f>
        <v/>
      </c>
      <c r="T55" s="64" t="str">
        <f t="shared" ca="1" si="0"/>
        <v/>
      </c>
      <c r="U55" s="64" t="str">
        <f t="shared" ca="1" si="1"/>
        <v/>
      </c>
      <c r="V55" s="422" t="str">
        <f ca="1">IF(OR(D55=0,D55="",D55="Athlete"),"",COUNTIF($D$4:$D55,D55))</f>
        <v/>
      </c>
      <c r="W55" s="422" t="str">
        <f t="shared" ca="1" si="2"/>
        <v/>
      </c>
      <c r="Z55" s="422" t="str">
        <f t="shared" ca="1" si="3"/>
        <v/>
      </c>
    </row>
    <row r="56" spans="1:26" x14ac:dyDescent="0.35">
      <c r="T56" s="64" t="str">
        <f t="shared" si="0"/>
        <v/>
      </c>
      <c r="U56" s="64" t="str">
        <f t="shared" si="1"/>
        <v/>
      </c>
      <c r="V56" s="422" t="str">
        <f>IF(OR(D56=0,D56="",D56="Athlete"),"",COUNTIF($D$4:$D56,D56))</f>
        <v/>
      </c>
      <c r="W56" s="422" t="str">
        <f t="shared" si="2"/>
        <v/>
      </c>
      <c r="Z56" s="422" t="str">
        <f t="shared" si="3"/>
        <v/>
      </c>
    </row>
    <row r="57" spans="1:26" x14ac:dyDescent="0.35">
      <c r="A57" s="66" t="s">
        <v>513</v>
      </c>
      <c r="B57" s="115" t="str">
        <f ca="1">IFERROR(INDIRECT(CONCATENATE("Track1!B",A58)),"")</f>
        <v>800m NS U15 Boys A</v>
      </c>
      <c r="F57" s="299">
        <f ca="1">IFERROR(INDIRECT(CONCATENATE("Track1!f",A58)),"")</f>
        <v>0</v>
      </c>
      <c r="G57" s="121" t="str">
        <f ca="1">IFERROR(INDIRECT(CONCATENATE("Track1!g",A58)),"")</f>
        <v/>
      </c>
      <c r="I57" s="115" t="str">
        <f ca="1">IFERROR(INDIRECT(CONCATENATE("Track1!I",A58)),"")</f>
        <v>800m NS U15 Boys B</v>
      </c>
      <c r="T57" s="64" t="str">
        <f t="shared" si="0"/>
        <v/>
      </c>
      <c r="U57" s="64" t="str">
        <f t="shared" si="1"/>
        <v/>
      </c>
      <c r="V57" s="422" t="str">
        <f>IF(OR(D57=0,D57="",D57="Athlete"),"",COUNTIF($D$4:$D57,D57))</f>
        <v/>
      </c>
      <c r="W57" s="422" t="str">
        <f t="shared" si="2"/>
        <v/>
      </c>
      <c r="Z57" s="422" t="str">
        <f t="shared" ca="1" si="3"/>
        <v/>
      </c>
    </row>
    <row r="58" spans="1:26" x14ac:dyDescent="0.35">
      <c r="A58" s="66">
        <f>IFERROR(MATCH(A57,Track1!A:A,0),"")</f>
        <v>277</v>
      </c>
      <c r="B58" s="45" t="str">
        <f ca="1">IFERROR(INDIRECT(CONCATENATE("Track1!B",A58+1)),"")</f>
        <v>Posn</v>
      </c>
      <c r="C58" s="45" t="str">
        <f ca="1">IFERROR(INDIRECT(CONCATENATE("Track1!C",A58+1)),"")</f>
        <v>No.</v>
      </c>
      <c r="D58" s="182" t="str">
        <f ca="1">IFERROR(INDIRECT(CONCATENATE("Track1!D",A58+1)),"")</f>
        <v>Athlete</v>
      </c>
      <c r="E58" s="182" t="str">
        <f ca="1">IFERROR(INDIRECT(CONCATENATE("Track1!E",A58+1)),"")</f>
        <v>Club</v>
      </c>
      <c r="F58" s="149" t="str">
        <f ca="1">IFERROR(INDIRECT(CONCATENATE("Track1!F",A58+1)),"")</f>
        <v>Perf</v>
      </c>
      <c r="G58" s="218" t="str">
        <f ca="1">IFERROR(INDIRECT(CONCATENATE("Track1!G",A58+1)),"")</f>
        <v>AAA</v>
      </c>
      <c r="H58" s="45"/>
      <c r="I58" s="45" t="str">
        <f ca="1">IFERROR(INDIRECT(CONCATENATE("Track1!I",A58+1)),"")</f>
        <v>Posn</v>
      </c>
      <c r="J58" s="45" t="str">
        <f ca="1">IFERROR(INDIRECT(CONCATENATE("Track1!J",A58+1)),"")</f>
        <v>No.</v>
      </c>
      <c r="K58" s="182" t="str">
        <f ca="1">IFERROR(INDIRECT(CONCATENATE("Track1!K",A58+1)),"")</f>
        <v>Athlete</v>
      </c>
      <c r="L58" s="182" t="str">
        <f ca="1">IFERROR(INDIRECT(CONCATENATE("Track1!L",A58+1)),"")</f>
        <v>Club</v>
      </c>
      <c r="M58" s="149" t="str">
        <f ca="1">IFERROR(INDIRECT(CONCATENATE("Track1!M",A58+1)),"")</f>
        <v>Perf</v>
      </c>
      <c r="N58" s="218" t="str">
        <f ca="1">IFERROR(INDIRECT(CONCATENATE("Track1!N",A58+1)),"")</f>
        <v>AAA</v>
      </c>
      <c r="T58" s="64" t="str">
        <f t="shared" ca="1" si="0"/>
        <v/>
      </c>
      <c r="U58" s="64" t="str">
        <f t="shared" ca="1" si="1"/>
        <v/>
      </c>
      <c r="V58" s="422" t="str">
        <f ca="1">IF(OR(D58=0,D58="",D58="Athlete"),"",COUNTIF($D$4:$D58,D58))</f>
        <v/>
      </c>
      <c r="W58" s="422" t="str">
        <f t="shared" ca="1" si="2"/>
        <v/>
      </c>
      <c r="Z58" s="422">
        <f t="shared" ca="1" si="3"/>
        <v>0</v>
      </c>
    </row>
    <row r="59" spans="1:26" x14ac:dyDescent="0.35">
      <c r="B59" s="66">
        <f ca="1">IFERROR(INDIRECT(CONCATENATE("Track1!B",A58+2)),"")</f>
        <v>1</v>
      </c>
      <c r="C59" s="66">
        <f ca="1">IFERROR(INDIRECT(CONCATENATE("Track1!C",A58+2)),"")</f>
        <v>0</v>
      </c>
      <c r="D59" s="89" t="str">
        <f ca="1">IFERROR(INDIRECT(CONCATENATE("Track1!D",A58+2)),"")</f>
        <v/>
      </c>
      <c r="E59" s="89" t="str">
        <f ca="1">IFERROR(INDIRECT(CONCATENATE("Track1!E",A58+2)),"")</f>
        <v/>
      </c>
      <c r="F59" s="109">
        <f ca="1">IFERROR(INDIRECT(CONCATENATE("Track1!T",A58+2)),"")</f>
        <v>0</v>
      </c>
      <c r="G59" s="121" t="str">
        <f ca="1">IFERROR(INDIRECT(CONCATENATE("Track1!G",A58+2)),"")</f>
        <v/>
      </c>
      <c r="H59" s="66"/>
      <c r="I59" s="66">
        <f ca="1">IFERROR(INDIRECT(CONCATENATE("Track1!I",A58+2)),"")</f>
        <v>1</v>
      </c>
      <c r="J59" s="66">
        <f ca="1">IFERROR(INDIRECT(CONCATENATE("Track1!J",A58+2)),"")</f>
        <v>0</v>
      </c>
      <c r="K59" s="89" t="str">
        <f ca="1">IFERROR(INDIRECT(CONCATENATE("Track1!K",A58+2)),"")</f>
        <v/>
      </c>
      <c r="L59" s="89" t="str">
        <f ca="1">IFERROR(INDIRECT(CONCATENATE("Track1!L",A58+2)),"")</f>
        <v/>
      </c>
      <c r="M59" s="109">
        <f ca="1">IFERROR(INDIRECT(CONCATENATE("Track1!U",A58+2)),"")</f>
        <v>0</v>
      </c>
      <c r="N59" s="121" t="str">
        <f ca="1">IFERROR(INDIRECT(CONCATENATE("Track1!N",A58+2)),"")</f>
        <v/>
      </c>
      <c r="R59" s="219">
        <f ca="1">IFERROR(INDIRECT(CONCATENATE("Track1!r",A58+2)),"")</f>
        <v>0</v>
      </c>
      <c r="T59" s="64" t="str">
        <f t="shared" ca="1" si="0"/>
        <v/>
      </c>
      <c r="U59" s="64" t="str">
        <f t="shared" ca="1" si="1"/>
        <v/>
      </c>
      <c r="V59" s="422" t="str">
        <f ca="1">IF(OR(D59=0,D59="",D59="Athlete"),"",COUNTIF($D$4:$D59,D59))</f>
        <v/>
      </c>
      <c r="W59" s="422" t="str">
        <f t="shared" ca="1" si="2"/>
        <v/>
      </c>
      <c r="Z59" s="422" t="str">
        <f t="shared" ca="1" si="3"/>
        <v/>
      </c>
    </row>
    <row r="60" spans="1:26" x14ac:dyDescent="0.35">
      <c r="B60" s="66">
        <f ca="1">IFERROR(INDIRECT(CONCATENATE("Track1!B",A58+3)),"")</f>
        <v>2</v>
      </c>
      <c r="C60" s="66">
        <f ca="1">IFERROR(INDIRECT(CONCATENATE("Track1!C",A58+3)),"")</f>
        <v>0</v>
      </c>
      <c r="D60" s="89" t="str">
        <f ca="1">IFERROR(INDIRECT(CONCATENATE("Track1!D",A58+3)),"")</f>
        <v/>
      </c>
      <c r="E60" s="89" t="str">
        <f ca="1">IFERROR(INDIRECT(CONCATENATE("Track1!E",A58+3)),"")</f>
        <v/>
      </c>
      <c r="F60" s="109">
        <f ca="1">IFERROR(INDIRECT(CONCATENATE("Track1!T",A58+3)),"")</f>
        <v>0</v>
      </c>
      <c r="G60" s="121" t="str">
        <f ca="1">IFERROR(INDIRECT(CONCATENATE("Track1!G",A58+3)),"")</f>
        <v/>
      </c>
      <c r="H60" s="66"/>
      <c r="I60" s="66">
        <f ca="1">IFERROR(INDIRECT(CONCATENATE("Track1!I",A58+3)),"")</f>
        <v>2</v>
      </c>
      <c r="J60" s="66">
        <f ca="1">IFERROR(INDIRECT(CONCATENATE("Track1!J",A58+3)),"")</f>
        <v>0</v>
      </c>
      <c r="K60" s="89" t="str">
        <f ca="1">IFERROR(INDIRECT(CONCATENATE("Track1!K",A58+3)),"")</f>
        <v/>
      </c>
      <c r="L60" s="89" t="str">
        <f ca="1">IFERROR(INDIRECT(CONCATENATE("Track1!L",A58+3)),"")</f>
        <v/>
      </c>
      <c r="M60" s="109">
        <f ca="1">IFERROR(INDIRECT(CONCATENATE("Track1!U",A58+3)),"")</f>
        <v>0</v>
      </c>
      <c r="N60" s="121" t="str">
        <f ca="1">IFERROR(INDIRECT(CONCATENATE("Track1!N",A58+3)),"")</f>
        <v/>
      </c>
      <c r="T60" s="64" t="str">
        <f t="shared" ca="1" si="0"/>
        <v/>
      </c>
      <c r="U60" s="64" t="str">
        <f t="shared" ca="1" si="1"/>
        <v/>
      </c>
      <c r="V60" s="422" t="str">
        <f ca="1">IF(OR(D60=0,D60="",D60="Athlete"),"",COUNTIF($D$4:$D60,D60))</f>
        <v/>
      </c>
      <c r="W60" s="422" t="str">
        <f t="shared" ca="1" si="2"/>
        <v/>
      </c>
      <c r="Z60" s="422" t="str">
        <f t="shared" ca="1" si="3"/>
        <v/>
      </c>
    </row>
    <row r="61" spans="1:26" x14ac:dyDescent="0.35">
      <c r="B61" s="66">
        <f ca="1">IFERROR(INDIRECT(CONCATENATE("Track1!B",A58+4)),"")</f>
        <v>3</v>
      </c>
      <c r="C61" s="66">
        <f ca="1">IFERROR(INDIRECT(CONCATENATE("Track1!C",A58+4)),"")</f>
        <v>0</v>
      </c>
      <c r="D61" s="89" t="str">
        <f ca="1">IFERROR(INDIRECT(CONCATENATE("Track1!D",A58+4)),"")</f>
        <v/>
      </c>
      <c r="E61" s="89" t="str">
        <f ca="1">IFERROR(INDIRECT(CONCATENATE("Track1!E",A58+4)),"")</f>
        <v/>
      </c>
      <c r="F61" s="109">
        <f ca="1">IFERROR(INDIRECT(CONCATENATE("Track1!T",A58+4)),"")</f>
        <v>0</v>
      </c>
      <c r="G61" s="121" t="str">
        <f ca="1">IFERROR(INDIRECT(CONCATENATE("Track1!G",A58+4)),"")</f>
        <v/>
      </c>
      <c r="H61" s="66"/>
      <c r="I61" s="66">
        <f ca="1">IFERROR(INDIRECT(CONCATENATE("Track1!I",A58+4)),"")</f>
        <v>3</v>
      </c>
      <c r="J61" s="66">
        <f ca="1">IFERROR(INDIRECT(CONCATENATE("Track1!J",A58+4)),"")</f>
        <v>0</v>
      </c>
      <c r="K61" s="89" t="str">
        <f ca="1">IFERROR(INDIRECT(CONCATENATE("Track1!K",A58+4)),"")</f>
        <v/>
      </c>
      <c r="L61" s="89" t="str">
        <f ca="1">IFERROR(INDIRECT(CONCATENATE("Track1!L",A58+4)),"")</f>
        <v/>
      </c>
      <c r="M61" s="109">
        <f ca="1">IFERROR(INDIRECT(CONCATENATE("Track1!U",A58+4)),"")</f>
        <v>0</v>
      </c>
      <c r="N61" s="121" t="str">
        <f ca="1">IFERROR(INDIRECT(CONCATENATE("Track1!N",A58+4)),"")</f>
        <v/>
      </c>
      <c r="T61" s="64" t="str">
        <f t="shared" ca="1" si="0"/>
        <v/>
      </c>
      <c r="U61" s="64" t="str">
        <f t="shared" ca="1" si="1"/>
        <v/>
      </c>
      <c r="V61" s="422" t="str">
        <f ca="1">IF(OR(D61=0,D61="",D61="Athlete"),"",COUNTIF($D$4:$D61,D61))</f>
        <v/>
      </c>
      <c r="W61" s="422" t="str">
        <f t="shared" ca="1" si="2"/>
        <v/>
      </c>
      <c r="Z61" s="422" t="str">
        <f t="shared" ca="1" si="3"/>
        <v/>
      </c>
    </row>
    <row r="62" spans="1:26" x14ac:dyDescent="0.35">
      <c r="B62" s="66">
        <f ca="1">IFERROR(INDIRECT(CONCATENATE("Track1!B",A58+5)),"")</f>
        <v>4</v>
      </c>
      <c r="C62" s="66">
        <f ca="1">IFERROR(INDIRECT(CONCATENATE("Track1!C",A58+5)),"")</f>
        <v>0</v>
      </c>
      <c r="D62" s="89" t="str">
        <f ca="1">IFERROR(INDIRECT(CONCATENATE("Track1!D",A58+5)),"")</f>
        <v/>
      </c>
      <c r="E62" s="89" t="str">
        <f ca="1">IFERROR(INDIRECT(CONCATENATE("Track1!E",A58+5)),"")</f>
        <v/>
      </c>
      <c r="F62" s="109">
        <f ca="1">IFERROR(INDIRECT(CONCATENATE("Track1!T",A58+5)),"")</f>
        <v>0</v>
      </c>
      <c r="G62" s="121" t="str">
        <f ca="1">IFERROR(INDIRECT(CONCATENATE("Track1!G",A58+5)),"")</f>
        <v/>
      </c>
      <c r="H62" s="66"/>
      <c r="I62" s="66">
        <f ca="1">IFERROR(INDIRECT(CONCATENATE("Track1!I",A58+5)),"")</f>
        <v>4</v>
      </c>
      <c r="J62" s="66">
        <f ca="1">IFERROR(INDIRECT(CONCATENATE("Track1!J",A58+5)),"")</f>
        <v>0</v>
      </c>
      <c r="K62" s="89" t="str">
        <f ca="1">IFERROR(INDIRECT(CONCATENATE("Track1!K",A58+5)),"")</f>
        <v/>
      </c>
      <c r="L62" s="89" t="str">
        <f ca="1">IFERROR(INDIRECT(CONCATENATE("Track1!L",A58+5)),"")</f>
        <v/>
      </c>
      <c r="M62" s="109">
        <f ca="1">IFERROR(INDIRECT(CONCATENATE("Track1!U",A58+5)),"")</f>
        <v>0</v>
      </c>
      <c r="N62" s="121" t="str">
        <f ca="1">IFERROR(INDIRECT(CONCATENATE("Track1!N",A58+5)),"")</f>
        <v/>
      </c>
      <c r="T62" s="64" t="str">
        <f t="shared" ca="1" si="0"/>
        <v/>
      </c>
      <c r="U62" s="64" t="str">
        <f t="shared" ca="1" si="1"/>
        <v/>
      </c>
      <c r="V62" s="422" t="str">
        <f ca="1">IF(OR(D62=0,D62="",D62="Athlete"),"",COUNTIF($D$4:$D62,D62))</f>
        <v/>
      </c>
      <c r="W62" s="422" t="str">
        <f t="shared" ca="1" si="2"/>
        <v/>
      </c>
      <c r="Z62" s="422" t="str">
        <f t="shared" ca="1" si="3"/>
        <v/>
      </c>
    </row>
    <row r="63" spans="1:26" x14ac:dyDescent="0.35">
      <c r="B63" s="66">
        <f ca="1">IFERROR(INDIRECT(CONCATENATE("Track1!B",A58+6)),"")</f>
        <v>5</v>
      </c>
      <c r="C63" s="66">
        <f ca="1">IFERROR(INDIRECT(CONCATENATE("Track1!C",A58+6)),"")</f>
        <v>0</v>
      </c>
      <c r="D63" s="89" t="str">
        <f ca="1">IFERROR(INDIRECT(CONCATENATE("Track1!D",A58+6)),"")</f>
        <v/>
      </c>
      <c r="E63" s="89" t="str">
        <f ca="1">IFERROR(INDIRECT(CONCATENATE("Track1!E",A58+6)),"")</f>
        <v/>
      </c>
      <c r="F63" s="109">
        <f ca="1">IFERROR(INDIRECT(CONCATENATE("Track1!T",A58+6)),"")</f>
        <v>0</v>
      </c>
      <c r="G63" s="121" t="str">
        <f ca="1">IFERROR(INDIRECT(CONCATENATE("Track1!G",A58+6)),"")</f>
        <v/>
      </c>
      <c r="H63" s="66"/>
      <c r="I63" s="66">
        <f ca="1">IFERROR(INDIRECT(CONCATENATE("Track1!I",A58+6)),"")</f>
        <v>5</v>
      </c>
      <c r="J63" s="66">
        <f ca="1">IFERROR(INDIRECT(CONCATENATE("Track1!J",A58+6)),"")</f>
        <v>0</v>
      </c>
      <c r="K63" s="89" t="str">
        <f ca="1">IFERROR(INDIRECT(CONCATENATE("Track1!K",A58+6)),"")</f>
        <v/>
      </c>
      <c r="L63" s="89" t="str">
        <f ca="1">IFERROR(INDIRECT(CONCATENATE("Track1!L",A58+6)),"")</f>
        <v/>
      </c>
      <c r="M63" s="109">
        <f ca="1">IFERROR(INDIRECT(CONCATENATE("Track1!U",A58+6)),"")</f>
        <v>0</v>
      </c>
      <c r="N63" s="121" t="str">
        <f ca="1">IFERROR(INDIRECT(CONCATENATE("Track1!N",A58+6)),"")</f>
        <v/>
      </c>
      <c r="T63" s="64" t="str">
        <f t="shared" ca="1" si="0"/>
        <v/>
      </c>
      <c r="U63" s="64" t="str">
        <f t="shared" ca="1" si="1"/>
        <v/>
      </c>
      <c r="V63" s="422" t="str">
        <f ca="1">IF(OR(D63=0,D63="",D63="Athlete"),"",COUNTIF($D$4:$D63,D63))</f>
        <v/>
      </c>
      <c r="W63" s="422" t="str">
        <f t="shared" ca="1" si="2"/>
        <v/>
      </c>
      <c r="Z63" s="422" t="str">
        <f t="shared" ca="1" si="3"/>
        <v/>
      </c>
    </row>
    <row r="64" spans="1:26" x14ac:dyDescent="0.35">
      <c r="B64" s="66">
        <f ca="1">IFERROR(INDIRECT(CONCATENATE("Track1!B",A58+7)),"")</f>
        <v>6</v>
      </c>
      <c r="C64" s="66">
        <f ca="1">IFERROR(INDIRECT(CONCATENATE("Track1!C",A58+7)),"")</f>
        <v>0</v>
      </c>
      <c r="D64" s="89" t="str">
        <f ca="1">IFERROR(INDIRECT(CONCATENATE("Track1!D",A58+7)),"")</f>
        <v/>
      </c>
      <c r="E64" s="89" t="str">
        <f ca="1">IFERROR(INDIRECT(CONCATENATE("Track1!E",A58+7)),"")</f>
        <v/>
      </c>
      <c r="F64" s="109">
        <f ca="1">IFERROR(INDIRECT(CONCATENATE("Track1!T",A58+7)),"")</f>
        <v>0</v>
      </c>
      <c r="G64" s="121" t="str">
        <f ca="1">IFERROR(INDIRECT(CONCATENATE("Track1!G",A58+7)),"")</f>
        <v/>
      </c>
      <c r="H64" s="66"/>
      <c r="I64" s="66">
        <f ca="1">IFERROR(INDIRECT(CONCATENATE("Track1!I",A58+7)),"")</f>
        <v>6</v>
      </c>
      <c r="J64" s="66">
        <f ca="1">IFERROR(INDIRECT(CONCATENATE("Track1!J",A58+7)),"")</f>
        <v>0</v>
      </c>
      <c r="K64" s="89" t="str">
        <f ca="1">IFERROR(INDIRECT(CONCATENATE("Track1!K",A58+7)),"")</f>
        <v/>
      </c>
      <c r="L64" s="89" t="str">
        <f ca="1">IFERROR(INDIRECT(CONCATENATE("Track1!L",A58+7)),"")</f>
        <v/>
      </c>
      <c r="M64" s="109">
        <f ca="1">IFERROR(INDIRECT(CONCATENATE("Track1!U",A58+7)),"")</f>
        <v>0</v>
      </c>
      <c r="N64" s="121" t="str">
        <f ca="1">IFERROR(INDIRECT(CONCATENATE("Track1!N",A58+7)),"")</f>
        <v/>
      </c>
      <c r="T64" s="64" t="str">
        <f t="shared" ca="1" si="0"/>
        <v/>
      </c>
      <c r="U64" s="64" t="str">
        <f t="shared" ca="1" si="1"/>
        <v/>
      </c>
      <c r="V64" s="422" t="str">
        <f ca="1">IF(OR(D64=0,D64="",D64="Athlete"),"",COUNTIF($D$4:$D64,D64))</f>
        <v/>
      </c>
      <c r="W64" s="422" t="str">
        <f t="shared" ca="1" si="2"/>
        <v/>
      </c>
      <c r="Z64" s="422" t="str">
        <f t="shared" ca="1" si="3"/>
        <v/>
      </c>
    </row>
    <row r="65" spans="1:26" x14ac:dyDescent="0.35">
      <c r="B65" s="66">
        <f ca="1">IFERROR(INDIRECT(CONCATENATE("Track1!B",A58+8)),"")</f>
        <v>7</v>
      </c>
      <c r="C65" s="66">
        <f ca="1">IFERROR(INDIRECT(CONCATENATE("Track1!C",A58+8)),"")</f>
        <v>0</v>
      </c>
      <c r="D65" s="89" t="str">
        <f ca="1">IFERROR(INDIRECT(CONCATENATE("Track1!D",A58+8)),"")</f>
        <v/>
      </c>
      <c r="E65" s="89" t="str">
        <f ca="1">IFERROR(INDIRECT(CONCATENATE("Track1!E",A58+8)),"")</f>
        <v/>
      </c>
      <c r="F65" s="109">
        <f ca="1">IFERROR(INDIRECT(CONCATENATE("Track1!T",A58+8)),"")</f>
        <v>0</v>
      </c>
      <c r="G65" s="121" t="str">
        <f ca="1">IFERROR(INDIRECT(CONCATENATE("Track1!G",A58+8)),"")</f>
        <v/>
      </c>
      <c r="H65" s="66"/>
      <c r="I65" s="66">
        <f ca="1">IFERROR(INDIRECT(CONCATENATE("Track1!I",A58+8)),"")</f>
        <v>7</v>
      </c>
      <c r="J65" s="66">
        <f ca="1">IFERROR(INDIRECT(CONCATENATE("Track1!J",A58+8)),"")</f>
        <v>0</v>
      </c>
      <c r="K65" s="89" t="str">
        <f ca="1">IFERROR(INDIRECT(CONCATENATE("Track1!K",A58+8)),"")</f>
        <v/>
      </c>
      <c r="L65" s="89" t="str">
        <f ca="1">IFERROR(INDIRECT(CONCATENATE("Track1!L",A58+8)),"")</f>
        <v/>
      </c>
      <c r="M65" s="109">
        <f ca="1">IFERROR(INDIRECT(CONCATENATE("Track1!U",A58+8)),"")</f>
        <v>0</v>
      </c>
      <c r="N65" s="121" t="str">
        <f ca="1">IFERROR(INDIRECT(CONCATENATE("Track1!N",A58+8)),"")</f>
        <v/>
      </c>
      <c r="T65" s="64" t="str">
        <f t="shared" ca="1" si="0"/>
        <v/>
      </c>
      <c r="U65" s="64" t="str">
        <f t="shared" ca="1" si="1"/>
        <v/>
      </c>
      <c r="V65" s="422" t="str">
        <f ca="1">IF(OR(D65=0,D65="",D65="Athlete"),"",COUNTIF($D$4:$D65,D65))</f>
        <v/>
      </c>
      <c r="W65" s="422" t="str">
        <f t="shared" ca="1" si="2"/>
        <v/>
      </c>
      <c r="Z65" s="422" t="str">
        <f t="shared" ca="1" si="3"/>
        <v/>
      </c>
    </row>
    <row r="66" spans="1:26" x14ac:dyDescent="0.35">
      <c r="B66" s="66">
        <f ca="1">IFERROR(INDIRECT(CONCATENATE("Track1!B",A58+9)),"")</f>
        <v>8</v>
      </c>
      <c r="C66" s="66">
        <f ca="1">IFERROR(INDIRECT(CONCATENATE("Track1!C",A58+9)),"")</f>
        <v>0</v>
      </c>
      <c r="D66" s="89" t="str">
        <f ca="1">IFERROR(INDIRECT(CONCATENATE("Track1!D",A58+9)),"")</f>
        <v/>
      </c>
      <c r="E66" s="89" t="str">
        <f ca="1">IFERROR(INDIRECT(CONCATENATE("Track1!E",A58+9)),"")</f>
        <v/>
      </c>
      <c r="F66" s="109">
        <f ca="1">IFERROR(INDIRECT(CONCATENATE("Track1!T",A58+9)),"")</f>
        <v>0</v>
      </c>
      <c r="G66" s="121" t="str">
        <f ca="1">IFERROR(INDIRECT(CONCATENATE("Track1!G",A58+9)),"")</f>
        <v/>
      </c>
      <c r="H66" s="66"/>
      <c r="I66" s="66">
        <f ca="1">IFERROR(INDIRECT(CONCATENATE("Track1!I",A58+9)),"")</f>
        <v>8</v>
      </c>
      <c r="J66" s="66">
        <f ca="1">IFERROR(INDIRECT(CONCATENATE("Track1!J",A58+9)),"")</f>
        <v>0</v>
      </c>
      <c r="K66" s="89" t="str">
        <f ca="1">IFERROR(INDIRECT(CONCATENATE("Track1!K",A58+9)),"")</f>
        <v/>
      </c>
      <c r="L66" s="89" t="str">
        <f ca="1">IFERROR(INDIRECT(CONCATENATE("Track1!L",A58+9)),"")</f>
        <v/>
      </c>
      <c r="M66" s="109">
        <f ca="1">IFERROR(INDIRECT(CONCATENATE("Track1!U",A58+9)),"")</f>
        <v>0</v>
      </c>
      <c r="N66" s="121" t="str">
        <f ca="1">IFERROR(INDIRECT(CONCATENATE("Track1!N",A58+9)),"")</f>
        <v/>
      </c>
      <c r="T66" s="64" t="str">
        <f t="shared" ca="1" si="0"/>
        <v/>
      </c>
      <c r="U66" s="64" t="str">
        <f t="shared" ca="1" si="1"/>
        <v/>
      </c>
      <c r="V66" s="422" t="str">
        <f ca="1">IF(OR(D66=0,D66="",D66="Athlete"),"",COUNTIF($D$4:$D66,D66))</f>
        <v/>
      </c>
      <c r="W66" s="422" t="str">
        <f t="shared" ca="1" si="2"/>
        <v/>
      </c>
      <c r="Z66" s="422" t="str">
        <f t="shared" ca="1" si="3"/>
        <v/>
      </c>
    </row>
    <row r="67" spans="1:26" x14ac:dyDescent="0.35">
      <c r="T67" s="64" t="str">
        <f t="shared" si="0"/>
        <v/>
      </c>
      <c r="U67" s="64" t="str">
        <f t="shared" si="1"/>
        <v/>
      </c>
      <c r="V67" s="422" t="str">
        <f>IF(OR(D67=0,D67="",D67="Athlete"),"",COUNTIF($D$4:$D67,D67))</f>
        <v/>
      </c>
      <c r="W67" s="422" t="str">
        <f t="shared" si="2"/>
        <v/>
      </c>
      <c r="Z67" s="422" t="str">
        <f t="shared" si="3"/>
        <v/>
      </c>
    </row>
    <row r="68" spans="1:26" x14ac:dyDescent="0.35">
      <c r="A68" s="66" t="s">
        <v>312</v>
      </c>
      <c r="B68" s="115" t="str">
        <f ca="1">IFERROR(INDIRECT(CONCATENATE("Track2!B",A69)),"")</f>
        <v>1500m U15 Boys A</v>
      </c>
      <c r="F68" s="299" t="str">
        <f ca="1">IFERROR(INDIRECT(CONCATENATE("Track2!f",A69)),"")</f>
        <v/>
      </c>
      <c r="G68" s="66">
        <f ca="1">IFERROR(INDIRECT(CONCATENATE("Track2!g",A69)),"")</f>
        <v>0</v>
      </c>
      <c r="I68" s="115" t="str">
        <f ca="1">IFERROR(INDIRECT(CONCATENATE("Track2!I",A69)),"")</f>
        <v>1500m U15 Boys B</v>
      </c>
      <c r="T68" s="64" t="str">
        <f t="shared" si="0"/>
        <v/>
      </c>
      <c r="U68" s="64" t="str">
        <f t="shared" si="1"/>
        <v/>
      </c>
      <c r="V68" s="422" t="str">
        <f>IF(OR(D68=0,D68="",D68="Athlete"),"",COUNTIF($D$4:$D68,D68))</f>
        <v/>
      </c>
      <c r="W68" s="422" t="str">
        <f t="shared" si="2"/>
        <v/>
      </c>
      <c r="Z68" s="422" t="str">
        <f t="shared" ca="1" si="3"/>
        <v/>
      </c>
    </row>
    <row r="69" spans="1:26" x14ac:dyDescent="0.35">
      <c r="A69" s="66">
        <f>IFERROR(MATCH(A68,Track2!A:A,0),"")</f>
        <v>35</v>
      </c>
      <c r="B69" s="45" t="str">
        <f ca="1">IFERROR(INDIRECT(CONCATENATE("Track2!B",A69+1)),"")</f>
        <v>Posn</v>
      </c>
      <c r="C69" s="45" t="str">
        <f ca="1">IFERROR(INDIRECT(CONCATENATE("Track2!C",A69+1)),"")</f>
        <v>No.</v>
      </c>
      <c r="D69" s="182" t="str">
        <f ca="1">IFERROR(INDIRECT(CONCATENATE("Track2!D",A69+1)),"")</f>
        <v>Athlete</v>
      </c>
      <c r="E69" s="182" t="str">
        <f ca="1">IFERROR(INDIRECT(CONCATENATE("Track2!E",A69+1)),"")</f>
        <v>Club</v>
      </c>
      <c r="F69" s="149" t="str">
        <f ca="1">IFERROR(INDIRECT(CONCATENATE("Track2!F",A69+1)),"")</f>
        <v>Perf</v>
      </c>
      <c r="G69" s="218" t="str">
        <f ca="1">IFERROR(INDIRECT(CONCATENATE("Track2!G",A69+1)),"")</f>
        <v>AAA</v>
      </c>
      <c r="H69" s="45"/>
      <c r="I69" s="45" t="str">
        <f ca="1">IFERROR(INDIRECT(CONCATENATE("Track2!I",A69+1)),"")</f>
        <v>Posn</v>
      </c>
      <c r="J69" s="45" t="str">
        <f ca="1">IFERROR(INDIRECT(CONCATENATE("Track2!J",A69+1)),"")</f>
        <v>No.</v>
      </c>
      <c r="K69" s="182" t="str">
        <f ca="1">IFERROR(INDIRECT(CONCATENATE("Track2!K",A69+1)),"")</f>
        <v>Athlete</v>
      </c>
      <c r="L69" s="182" t="str">
        <f ca="1">IFERROR(INDIRECT(CONCATENATE("Track2!L",A69+1)),"")</f>
        <v>Club</v>
      </c>
      <c r="M69" s="149" t="str">
        <f ca="1">IFERROR(INDIRECT(CONCATENATE("Track2!M",A69+1)),"")</f>
        <v>Perf</v>
      </c>
      <c r="N69" s="218" t="str">
        <f ca="1">IFERROR(INDIRECT(CONCATENATE("Track2!N",A69+1)),"")</f>
        <v>AAA</v>
      </c>
      <c r="T69" s="64" t="str">
        <f t="shared" ref="T69:T132" ca="1" si="4">IF(OR(D69=0,D69="",D69="Athlete"),"",COUNTIF($D$4:$D$352,D69))</f>
        <v/>
      </c>
      <c r="U69" s="64" t="str">
        <f t="shared" ref="U69:U132" ca="1" si="5">IF(OR(K69=0,K69="",K69="Athlete"),"",COUNTIF($D$4:$D$352,K69))</f>
        <v/>
      </c>
      <c r="V69" s="422" t="str">
        <f ca="1">IF(OR(D69=0,D69="",D69="Athlete"),"",COUNTIF($D$4:$D69,D69))</f>
        <v/>
      </c>
      <c r="W69" s="422" t="str">
        <f t="shared" ref="W69:W132" ca="1" si="6">IF(OR(D69=0,D69="",D69="Athlete"),"",E69)</f>
        <v/>
      </c>
      <c r="Z69" s="422">
        <f t="shared" ref="Z69:Z132" ca="1" si="7">IF(OR(G69=0,G69="",G69="Athlete"),"",H69)</f>
        <v>0</v>
      </c>
    </row>
    <row r="70" spans="1:26" x14ac:dyDescent="0.35">
      <c r="B70" s="66">
        <f ca="1">IFERROR(INDIRECT(CONCATENATE("Track2!B",A69+2)),"")</f>
        <v>1</v>
      </c>
      <c r="C70" s="66">
        <f ca="1">IFERROR(INDIRECT(CONCATENATE("Track2!C",A69+2)),"")</f>
        <v>4</v>
      </c>
      <c r="D70" s="89" t="str">
        <f ca="1">IFERROR(INDIRECT(CONCATENATE("Track2!D",A69+2)),"")</f>
        <v>SAYERS James</v>
      </c>
      <c r="E70" s="89" t="str">
        <f ca="1">IFERROR(INDIRECT(CONCATENATE("Track2!E",A69+2)),"")</f>
        <v>M'bro</v>
      </c>
      <c r="F70" s="109">
        <f ca="1">IFERROR(INDIRECT(CONCATENATE("Track2!F",A69+2)),"")</f>
        <v>3.4699074074074068E-3</v>
      </c>
      <c r="G70" s="121" t="str">
        <f ca="1">IFERROR(INDIRECT(CONCATENATE("Track2!G",A69+2)),"")</f>
        <v/>
      </c>
      <c r="H70" s="66"/>
      <c r="I70" s="66">
        <f ca="1">IFERROR(INDIRECT(CONCATENATE("Track2!I",A69+2)),"")</f>
        <v>1</v>
      </c>
      <c r="J70" s="66">
        <f ca="1">IFERROR(INDIRECT(CONCATENATE("Track2!J",A69+2)),"")</f>
        <v>33</v>
      </c>
      <c r="K70" s="89" t="str">
        <f ca="1">IFERROR(INDIRECT(CONCATENATE("Track2!K",A69+2)),"")</f>
        <v>HENSON Isaac</v>
      </c>
      <c r="L70" s="89" t="str">
        <f ca="1">IFERROR(INDIRECT(CONCATENATE("Track2!L",A69+2)),"")</f>
        <v>York</v>
      </c>
      <c r="M70" s="109">
        <f ca="1">IFERROR(INDIRECT(CONCATENATE("Track2!M",A69+2)),"")</f>
        <v>3.7037037037037038E-3</v>
      </c>
      <c r="N70" s="121" t="str">
        <f ca="1">IFERROR(INDIRECT(CONCATENATE("Track2!N",A69+2)),"")</f>
        <v/>
      </c>
      <c r="R70" s="219">
        <f ca="1">IFERROR(INDIRECT(CONCATENATE("Track2!r",A69+2)),"")</f>
        <v>1</v>
      </c>
      <c r="T70" s="64">
        <f t="shared" ca="1" si="4"/>
        <v>1</v>
      </c>
      <c r="U70" s="64">
        <f t="shared" ca="1" si="5"/>
        <v>3</v>
      </c>
      <c r="V70" s="422">
        <f ca="1">IF(OR(D70=0,D70="",D70="Athlete"),"",COUNTIF($D$4:$D70,D70))</f>
        <v>1</v>
      </c>
      <c r="W70" s="422" t="str">
        <f t="shared" ca="1" si="6"/>
        <v>M'bro</v>
      </c>
      <c r="Z70" s="422" t="str">
        <f t="shared" ca="1" si="7"/>
        <v/>
      </c>
    </row>
    <row r="71" spans="1:26" x14ac:dyDescent="0.35">
      <c r="B71" s="66">
        <f ca="1">IFERROR(INDIRECT(CONCATENATE("Track2!B",A69+3)),"")</f>
        <v>2</v>
      </c>
      <c r="C71" s="66">
        <f ca="1">IFERROR(INDIRECT(CONCATENATE("Track2!C",A69+3)),"")</f>
        <v>3</v>
      </c>
      <c r="D71" s="89" t="str">
        <f ca="1">IFERROR(INDIRECT(CONCATENATE("Track2!D",A69+3)),"")</f>
        <v>BRATLEY Jack</v>
      </c>
      <c r="E71" s="89" t="str">
        <f ca="1">IFERROR(INDIRECT(CONCATENATE("Track2!E",A69+3)),"")</f>
        <v>York</v>
      </c>
      <c r="F71" s="109">
        <f ca="1">IFERROR(INDIRECT(CONCATENATE("Track2!F",A69+3)),"")</f>
        <v>3.5405092592592597E-3</v>
      </c>
      <c r="G71" s="121" t="str">
        <f ca="1">IFERROR(INDIRECT(CONCATENATE("Track2!G",A69+3)),"")</f>
        <v/>
      </c>
      <c r="H71" s="66"/>
      <c r="I71" s="66">
        <f ca="1">IFERROR(INDIRECT(CONCATENATE("Track2!I",A69+3)),"")</f>
        <v>2</v>
      </c>
      <c r="J71" s="66" t="str">
        <f ca="1">IFERROR(INDIRECT(CONCATENATE("Track2!J",A69+3)),"")</f>
        <v/>
      </c>
      <c r="K71" s="89" t="str">
        <f ca="1">IFERROR(INDIRECT(CONCATENATE("Track2!K",A69+3)),"")</f>
        <v/>
      </c>
      <c r="L71" s="89" t="str">
        <f ca="1">IFERROR(INDIRECT(CONCATENATE("Track2!L",A69+3)),"")</f>
        <v/>
      </c>
      <c r="M71" s="109" t="str">
        <f ca="1">IFERROR(INDIRECT(CONCATENATE("Track2!M",A69+3)),"")</f>
        <v/>
      </c>
      <c r="N71" s="121" t="str">
        <f ca="1">IFERROR(INDIRECT(CONCATENATE("Track2!N",A69+3)),"")</f>
        <v/>
      </c>
      <c r="T71" s="64">
        <f t="shared" ca="1" si="4"/>
        <v>2</v>
      </c>
      <c r="U71" s="64" t="str">
        <f t="shared" ca="1" si="5"/>
        <v/>
      </c>
      <c r="V71" s="422">
        <f ca="1">IF(OR(D71=0,D71="",D71="Athlete"),"",COUNTIF($D$4:$D71,D71))</f>
        <v>2</v>
      </c>
      <c r="W71" s="422" t="str">
        <f t="shared" ca="1" si="6"/>
        <v>York</v>
      </c>
      <c r="Z71" s="422" t="str">
        <f t="shared" ca="1" si="7"/>
        <v/>
      </c>
    </row>
    <row r="72" spans="1:26" x14ac:dyDescent="0.35">
      <c r="B72" s="66">
        <f ca="1">IFERROR(INDIRECT(CONCATENATE("Track2!B",A69+4)),"")</f>
        <v>3</v>
      </c>
      <c r="C72" s="66">
        <f ca="1">IFERROR(INDIRECT(CONCATENATE("Track2!C",A69+4)),"")</f>
        <v>2</v>
      </c>
      <c r="D72" s="89" t="str">
        <f ca="1">IFERROR(INDIRECT(CONCATENATE("Track2!D",A69+4)),"")</f>
        <v>COLLINI Joseph</v>
      </c>
      <c r="E72" s="89" t="str">
        <f ca="1">IFERROR(INDIRECT(CONCATENATE("Track2!E",A69+4)),"")</f>
        <v>Sheff+D</v>
      </c>
      <c r="F72" s="109">
        <f ca="1">IFERROR(INDIRECT(CONCATENATE("Track2!F",A69+4)),"")</f>
        <v>3.6724537037037038E-3</v>
      </c>
      <c r="G72" s="121" t="str">
        <f ca="1">IFERROR(INDIRECT(CONCATENATE("Track2!G",A69+4)),"")</f>
        <v/>
      </c>
      <c r="H72" s="66"/>
      <c r="I72" s="66">
        <f ca="1">IFERROR(INDIRECT(CONCATENATE("Track2!I",A69+4)),"")</f>
        <v>3</v>
      </c>
      <c r="J72" s="66" t="str">
        <f ca="1">IFERROR(INDIRECT(CONCATENATE("Track2!J",A69+4)),"")</f>
        <v/>
      </c>
      <c r="K72" s="89" t="str">
        <f ca="1">IFERROR(INDIRECT(CONCATENATE("Track2!K",A69+4)),"")</f>
        <v/>
      </c>
      <c r="L72" s="89" t="str">
        <f ca="1">IFERROR(INDIRECT(CONCATENATE("Track2!L",A69+4)),"")</f>
        <v/>
      </c>
      <c r="M72" s="109" t="str">
        <f ca="1">IFERROR(INDIRECT(CONCATENATE("Track2!M",A69+4)),"")</f>
        <v/>
      </c>
      <c r="N72" s="121" t="str">
        <f ca="1">IFERROR(INDIRECT(CONCATENATE("Track2!N",A69+4)),"")</f>
        <v/>
      </c>
      <c r="T72" s="64">
        <f t="shared" ca="1" si="4"/>
        <v>2</v>
      </c>
      <c r="U72" s="64" t="str">
        <f t="shared" ca="1" si="5"/>
        <v/>
      </c>
      <c r="V72" s="422">
        <f ca="1">IF(OR(D72=0,D72="",D72="Athlete"),"",COUNTIF($D$4:$D72,D72))</f>
        <v>1</v>
      </c>
      <c r="W72" s="422" t="str">
        <f t="shared" ca="1" si="6"/>
        <v>Sheff+D</v>
      </c>
      <c r="Z72" s="422" t="str">
        <f t="shared" ca="1" si="7"/>
        <v/>
      </c>
    </row>
    <row r="73" spans="1:26" x14ac:dyDescent="0.35">
      <c r="B73" s="66">
        <f ca="1">IFERROR(INDIRECT(CONCATENATE("Track2!B",A69+5)),"")</f>
        <v>4</v>
      </c>
      <c r="C73" s="66">
        <f ca="1">IFERROR(INDIRECT(CONCATENATE("Track2!C",A69+5)),"")</f>
        <v>1</v>
      </c>
      <c r="D73" s="89" t="str">
        <f ca="1">IFERROR(INDIRECT(CONCATENATE("Track2!D",A69+5)),"")</f>
        <v>BETTNEY Thomas</v>
      </c>
      <c r="E73" s="89" t="str">
        <f ca="1">IFERROR(INDIRECT(CONCATENATE("Track2!E",A69+5)),"")</f>
        <v>C'field</v>
      </c>
      <c r="F73" s="109">
        <f ca="1">IFERROR(INDIRECT(CONCATENATE("Track2!F",A69+5)),"")</f>
        <v>4.0428240740740745E-3</v>
      </c>
      <c r="G73" s="121" t="str">
        <f ca="1">IFERROR(INDIRECT(CONCATENATE("Track2!G",A69+5)),"")</f>
        <v/>
      </c>
      <c r="H73" s="66"/>
      <c r="I73" s="66">
        <f ca="1">IFERROR(INDIRECT(CONCATENATE("Track2!I",A69+5)),"")</f>
        <v>4</v>
      </c>
      <c r="J73" s="66" t="str">
        <f ca="1">IFERROR(INDIRECT(CONCATENATE("Track2!J",A69+5)),"")</f>
        <v/>
      </c>
      <c r="K73" s="89" t="str">
        <f ca="1">IFERROR(INDIRECT(CONCATENATE("Track2!K",A69+5)),"")</f>
        <v/>
      </c>
      <c r="L73" s="89" t="str">
        <f ca="1">IFERROR(INDIRECT(CONCATENATE("Track2!L",A69+5)),"")</f>
        <v/>
      </c>
      <c r="M73" s="109" t="str">
        <f ca="1">IFERROR(INDIRECT(CONCATENATE("Track2!M",A69+5)),"")</f>
        <v/>
      </c>
      <c r="N73" s="121" t="str">
        <f ca="1">IFERROR(INDIRECT(CONCATENATE("Track2!N",A69+5)),"")</f>
        <v/>
      </c>
      <c r="T73" s="64">
        <f t="shared" ca="1" si="4"/>
        <v>3</v>
      </c>
      <c r="U73" s="64" t="str">
        <f t="shared" ca="1" si="5"/>
        <v/>
      </c>
      <c r="V73" s="422">
        <f ca="1">IF(OR(D73=0,D73="",D73="Athlete"),"",COUNTIF($D$4:$D73,D73))</f>
        <v>1</v>
      </c>
      <c r="W73" s="422" t="str">
        <f t="shared" ca="1" si="6"/>
        <v>C'field</v>
      </c>
      <c r="Z73" s="422" t="str">
        <f t="shared" ca="1" si="7"/>
        <v/>
      </c>
    </row>
    <row r="74" spans="1:26" x14ac:dyDescent="0.35">
      <c r="B74" s="66">
        <f ca="1">IFERROR(INDIRECT(CONCATENATE("Track2!B",A69+6)),"")</f>
        <v>5</v>
      </c>
      <c r="C74" s="66" t="str">
        <f ca="1">IFERROR(INDIRECT(CONCATENATE("Track2!C",A69+6)),"")</f>
        <v/>
      </c>
      <c r="D74" s="89" t="str">
        <f ca="1">IFERROR(INDIRECT(CONCATENATE("Track2!D",A69+6)),"")</f>
        <v/>
      </c>
      <c r="E74" s="89" t="str">
        <f ca="1">IFERROR(INDIRECT(CONCATENATE("Track2!E",A69+6)),"")</f>
        <v/>
      </c>
      <c r="F74" s="109" t="str">
        <f ca="1">IFERROR(INDIRECT(CONCATENATE("Track2!F",A69+6)),"")</f>
        <v/>
      </c>
      <c r="G74" s="121" t="str">
        <f ca="1">IFERROR(INDIRECT(CONCATENATE("Track2!G",A69+6)),"")</f>
        <v/>
      </c>
      <c r="H74" s="66"/>
      <c r="I74" s="66">
        <f ca="1">IFERROR(INDIRECT(CONCATENATE("Track2!I",A69+6)),"")</f>
        <v>5</v>
      </c>
      <c r="J74" s="66" t="str">
        <f ca="1">IFERROR(INDIRECT(CONCATENATE("Track2!J",A69+6)),"")</f>
        <v/>
      </c>
      <c r="K74" s="89" t="str">
        <f ca="1">IFERROR(INDIRECT(CONCATENATE("Track2!K",A69+6)),"")</f>
        <v/>
      </c>
      <c r="L74" s="89" t="str">
        <f ca="1">IFERROR(INDIRECT(CONCATENATE("Track2!L",A69+6)),"")</f>
        <v/>
      </c>
      <c r="M74" s="109" t="str">
        <f ca="1">IFERROR(INDIRECT(CONCATENATE("Track2!M",A69+6)),"")</f>
        <v/>
      </c>
      <c r="N74" s="121" t="str">
        <f ca="1">IFERROR(INDIRECT(CONCATENATE("Track2!N",A69+6)),"")</f>
        <v/>
      </c>
      <c r="T74" s="64" t="str">
        <f t="shared" ca="1" si="4"/>
        <v/>
      </c>
      <c r="U74" s="64" t="str">
        <f t="shared" ca="1" si="5"/>
        <v/>
      </c>
      <c r="V74" s="422" t="str">
        <f ca="1">IF(OR(D74=0,D74="",D74="Athlete"),"",COUNTIF($D$4:$D74,D74))</f>
        <v/>
      </c>
      <c r="W74" s="422" t="str">
        <f t="shared" ca="1" si="6"/>
        <v/>
      </c>
      <c r="Z74" s="422" t="str">
        <f t="shared" ca="1" si="7"/>
        <v/>
      </c>
    </row>
    <row r="75" spans="1:26" x14ac:dyDescent="0.35">
      <c r="B75" s="66">
        <f ca="1">IFERROR(INDIRECT(CONCATENATE("Track2!B",A69+7)),"")</f>
        <v>6</v>
      </c>
      <c r="C75" s="66" t="str">
        <f ca="1">IFERROR(INDIRECT(CONCATENATE("Track2!C",A69+7)),"")</f>
        <v/>
      </c>
      <c r="D75" s="89" t="str">
        <f ca="1">IFERROR(INDIRECT(CONCATENATE("Track2!D",A69+7)),"")</f>
        <v/>
      </c>
      <c r="E75" s="89" t="str">
        <f ca="1">IFERROR(INDIRECT(CONCATENATE("Track2!E",A69+7)),"")</f>
        <v/>
      </c>
      <c r="F75" s="109" t="str">
        <f ca="1">IFERROR(INDIRECT(CONCATENATE("Track2!F",A69+7)),"")</f>
        <v/>
      </c>
      <c r="G75" s="121" t="str">
        <f ca="1">IFERROR(INDIRECT(CONCATENATE("Track2!G",A69+7)),"")</f>
        <v/>
      </c>
      <c r="H75" s="66"/>
      <c r="I75" s="66">
        <f ca="1">IFERROR(INDIRECT(CONCATENATE("Track2!I",A69+7)),"")</f>
        <v>6</v>
      </c>
      <c r="J75" s="66" t="str">
        <f ca="1">IFERROR(INDIRECT(CONCATENATE("Track2!J",A69+7)),"")</f>
        <v/>
      </c>
      <c r="K75" s="89" t="str">
        <f ca="1">IFERROR(INDIRECT(CONCATENATE("Track2!K",A69+7)),"")</f>
        <v/>
      </c>
      <c r="L75" s="89" t="str">
        <f ca="1">IFERROR(INDIRECT(CONCATENATE("Track2!L",A69+7)),"")</f>
        <v/>
      </c>
      <c r="M75" s="109" t="str">
        <f ca="1">IFERROR(INDIRECT(CONCATENATE("Track2!M",A69+7)),"")</f>
        <v/>
      </c>
      <c r="N75" s="121" t="str">
        <f ca="1">IFERROR(INDIRECT(CONCATENATE("Track2!N",A69+7)),"")</f>
        <v/>
      </c>
      <c r="T75" s="64" t="str">
        <f t="shared" ca="1" si="4"/>
        <v/>
      </c>
      <c r="U75" s="64" t="str">
        <f t="shared" ca="1" si="5"/>
        <v/>
      </c>
      <c r="V75" s="422" t="str">
        <f ca="1">IF(OR(D75=0,D75="",D75="Athlete"),"",COUNTIF($D$4:$D75,D75))</f>
        <v/>
      </c>
      <c r="W75" s="422" t="str">
        <f t="shared" ca="1" si="6"/>
        <v/>
      </c>
      <c r="Z75" s="422" t="str">
        <f t="shared" ca="1" si="7"/>
        <v/>
      </c>
    </row>
    <row r="76" spans="1:26" x14ac:dyDescent="0.35">
      <c r="B76" s="66">
        <f ca="1">IFERROR(INDIRECT(CONCATENATE("Track2!B",A69+8)),"")</f>
        <v>7</v>
      </c>
      <c r="C76" s="66" t="str">
        <f ca="1">IFERROR(INDIRECT(CONCATENATE("Track2!C",A69+8)),"")</f>
        <v/>
      </c>
      <c r="D76" s="89" t="str">
        <f ca="1">IFERROR(INDIRECT(CONCATENATE("Track2!D",A69+8)),"")</f>
        <v/>
      </c>
      <c r="E76" s="89" t="str">
        <f ca="1">IFERROR(INDIRECT(CONCATENATE("Track2!E",A69+8)),"")</f>
        <v/>
      </c>
      <c r="F76" s="109" t="str">
        <f ca="1">IFERROR(INDIRECT(CONCATENATE("Track2!F",A69+8)),"")</f>
        <v/>
      </c>
      <c r="G76" s="121" t="str">
        <f ca="1">IFERROR(INDIRECT(CONCATENATE("Track2!G",A69+8)),"")</f>
        <v/>
      </c>
      <c r="H76" s="66"/>
      <c r="I76" s="66">
        <f ca="1">IFERROR(INDIRECT(CONCATENATE("Track2!I",A69+8)),"")</f>
        <v>7</v>
      </c>
      <c r="J76" s="66" t="str">
        <f ca="1">IFERROR(INDIRECT(CONCATENATE("Track2!J",A69+8)),"")</f>
        <v/>
      </c>
      <c r="K76" s="89" t="str">
        <f ca="1">IFERROR(INDIRECT(CONCATENATE("Track2!K",A69+8)),"")</f>
        <v/>
      </c>
      <c r="L76" s="89" t="str">
        <f ca="1">IFERROR(INDIRECT(CONCATENATE("Track2!L",A69+8)),"")</f>
        <v/>
      </c>
      <c r="M76" s="109" t="str">
        <f ca="1">IFERROR(INDIRECT(CONCATENATE("Track2!M",A69+8)),"")</f>
        <v/>
      </c>
      <c r="N76" s="121" t="str">
        <f ca="1">IFERROR(INDIRECT(CONCATENATE("Track2!N",A69+8)),"")</f>
        <v/>
      </c>
      <c r="T76" s="64" t="str">
        <f t="shared" ca="1" si="4"/>
        <v/>
      </c>
      <c r="U76" s="64" t="str">
        <f t="shared" ca="1" si="5"/>
        <v/>
      </c>
      <c r="V76" s="422" t="str">
        <f ca="1">IF(OR(D76=0,D76="",D76="Athlete"),"",COUNTIF($D$4:$D76,D76))</f>
        <v/>
      </c>
      <c r="W76" s="422" t="str">
        <f t="shared" ca="1" si="6"/>
        <v/>
      </c>
      <c r="Z76" s="422" t="str">
        <f t="shared" ca="1" si="7"/>
        <v/>
      </c>
    </row>
    <row r="77" spans="1:26" x14ac:dyDescent="0.35">
      <c r="B77" s="66">
        <f ca="1">IFERROR(INDIRECT(CONCATENATE("Track2!B",A69+9)),"")</f>
        <v>8</v>
      </c>
      <c r="C77" s="66" t="str">
        <f ca="1">IFERROR(INDIRECT(CONCATENATE("Track2!C",A69+9)),"")</f>
        <v/>
      </c>
      <c r="D77" s="89" t="str">
        <f ca="1">IFERROR(INDIRECT(CONCATENATE("Track2!D",A69+9)),"")</f>
        <v/>
      </c>
      <c r="E77" s="89" t="str">
        <f ca="1">IFERROR(INDIRECT(CONCATENATE("Track2!E",A69+9)),"")</f>
        <v/>
      </c>
      <c r="F77" s="109" t="str">
        <f ca="1">IFERROR(INDIRECT(CONCATENATE("Track2!F",A69+9)),"")</f>
        <v/>
      </c>
      <c r="G77" s="121" t="str">
        <f ca="1">IFERROR(INDIRECT(CONCATENATE("Track2!G",A69+9)),"")</f>
        <v/>
      </c>
      <c r="H77" s="66"/>
      <c r="I77" s="66">
        <f ca="1">IFERROR(INDIRECT(CONCATENATE("Track2!I",A69+9)),"")</f>
        <v>8</v>
      </c>
      <c r="J77" s="66" t="str">
        <f ca="1">IFERROR(INDIRECT(CONCATENATE("Track2!J",A69+9)),"")</f>
        <v/>
      </c>
      <c r="K77" s="89" t="str">
        <f ca="1">IFERROR(INDIRECT(CONCATENATE("Track2!K",A69+9)),"")</f>
        <v/>
      </c>
      <c r="L77" s="89" t="str">
        <f ca="1">IFERROR(INDIRECT(CONCATENATE("Track2!L",A69+9)),"")</f>
        <v/>
      </c>
      <c r="M77" s="109" t="str">
        <f ca="1">IFERROR(INDIRECT(CONCATENATE("Track2!M",A69+9)),"")</f>
        <v/>
      </c>
      <c r="N77" s="121" t="str">
        <f ca="1">IFERROR(INDIRECT(CONCATENATE("Track2!N",A69+9)),"")</f>
        <v/>
      </c>
      <c r="T77" s="64" t="str">
        <f t="shared" ca="1" si="4"/>
        <v/>
      </c>
      <c r="U77" s="64" t="str">
        <f t="shared" ca="1" si="5"/>
        <v/>
      </c>
      <c r="V77" s="422" t="str">
        <f ca="1">IF(OR(D77=0,D77="",D77="Athlete"),"",COUNTIF($D$4:$D77,D77))</f>
        <v/>
      </c>
      <c r="W77" s="422" t="str">
        <f t="shared" ca="1" si="6"/>
        <v/>
      </c>
      <c r="Z77" s="422" t="str">
        <f t="shared" ca="1" si="7"/>
        <v/>
      </c>
    </row>
    <row r="78" spans="1:26" x14ac:dyDescent="0.35">
      <c r="T78" s="64" t="str">
        <f t="shared" si="4"/>
        <v/>
      </c>
      <c r="U78" s="64" t="str">
        <f t="shared" si="5"/>
        <v/>
      </c>
      <c r="V78" s="422" t="str">
        <f>IF(OR(D78=0,D78="",D78="Athlete"),"",COUNTIF($D$4:$D78,D78))</f>
        <v/>
      </c>
      <c r="W78" s="422" t="str">
        <f t="shared" si="6"/>
        <v/>
      </c>
      <c r="Z78" s="422" t="str">
        <f t="shared" si="7"/>
        <v/>
      </c>
    </row>
    <row r="79" spans="1:26" x14ac:dyDescent="0.35">
      <c r="A79" s="66" t="s">
        <v>35</v>
      </c>
      <c r="B79" s="115" t="str">
        <f ca="1">IFERROR(INDIRECT(CONCATENATE("Track1!B",A80)),"")</f>
        <v>80m Hurdles U15 Boys A</v>
      </c>
      <c r="E79" s="89" t="s">
        <v>259</v>
      </c>
      <c r="F79" s="299">
        <f ca="1">IFERROR(INDIRECT(CONCATENATE("Track1!f",A80)),"")</f>
        <v>0</v>
      </c>
      <c r="G79" s="121" t="str">
        <f ca="1">IFERROR(INDIRECT(CONCATENATE("Track1!g",A80)),"")</f>
        <v/>
      </c>
      <c r="I79" s="115" t="str">
        <f ca="1">IFERROR(INDIRECT(CONCATENATE("Track1!I",A80)),"")</f>
        <v>80m Hurdles U15 Boys B</v>
      </c>
      <c r="L79" s="89" t="s">
        <v>259</v>
      </c>
      <c r="M79" s="299">
        <f ca="1">IFERROR(INDIRECT(CONCATENATE("Track1!M",A80)),"")</f>
        <v>0</v>
      </c>
      <c r="T79" s="64" t="str">
        <f t="shared" si="4"/>
        <v/>
      </c>
      <c r="U79" s="64" t="str">
        <f t="shared" si="5"/>
        <v/>
      </c>
      <c r="V79" s="422" t="str">
        <f>IF(OR(D79=0,D79="",D79="Athlete"),"",COUNTIF($D$4:$D79,D79))</f>
        <v/>
      </c>
      <c r="W79" s="422" t="str">
        <f t="shared" si="6"/>
        <v/>
      </c>
      <c r="Z79" s="422" t="str">
        <f t="shared" ca="1" si="7"/>
        <v/>
      </c>
    </row>
    <row r="80" spans="1:26" x14ac:dyDescent="0.35">
      <c r="A80" s="66">
        <f>IFERROR(MATCH(A79,Track1!A:A,0),"")</f>
        <v>35</v>
      </c>
      <c r="B80" s="45" t="str">
        <f ca="1">IFERROR(INDIRECT(CONCATENATE("Track1!B",A80+1)),"")</f>
        <v>Posn</v>
      </c>
      <c r="C80" s="45" t="str">
        <f ca="1">IFERROR(INDIRECT(CONCATENATE("Track1!C",A80+1)),"")</f>
        <v>No.</v>
      </c>
      <c r="D80" s="182" t="str">
        <f ca="1">IFERROR(INDIRECT(CONCATENATE("Track1!D",A80+1)),"")</f>
        <v>Athlete</v>
      </c>
      <c r="E80" s="182" t="str">
        <f ca="1">IFERROR(INDIRECT(CONCATENATE("Track1!E",A80+1)),"")</f>
        <v>Club</v>
      </c>
      <c r="F80" s="149" t="str">
        <f ca="1">IFERROR(INDIRECT(CONCATENATE("Track1!F",A80+1)),"")</f>
        <v>Perf</v>
      </c>
      <c r="G80" s="218" t="str">
        <f ca="1">IFERROR(INDIRECT(CONCATENATE("Track1!G",A80+1)),"")</f>
        <v>AAA</v>
      </c>
      <c r="H80" s="45"/>
      <c r="I80" s="45" t="str">
        <f ca="1">IFERROR(INDIRECT(CONCATENATE("Track1!I",A80+1)),"")</f>
        <v>Posn</v>
      </c>
      <c r="J80" s="45" t="str">
        <f ca="1">IFERROR(INDIRECT(CONCATENATE("Track1!J",A80+1)),"")</f>
        <v>No.</v>
      </c>
      <c r="K80" s="182" t="str">
        <f ca="1">IFERROR(INDIRECT(CONCATENATE("Track1!K",A80+1)),"")</f>
        <v>Athlete</v>
      </c>
      <c r="L80" s="182" t="str">
        <f ca="1">IFERROR(INDIRECT(CONCATENATE("Track1!L",A80+1)),"")</f>
        <v>Club</v>
      </c>
      <c r="M80" s="149" t="str">
        <f ca="1">IFERROR(INDIRECT(CONCATENATE("Track1!M",A80+1)),"")</f>
        <v>Perf</v>
      </c>
      <c r="N80" s="218" t="str">
        <f ca="1">IFERROR(INDIRECT(CONCATENATE("Track1!N",A80+1)),"")</f>
        <v>AAA</v>
      </c>
      <c r="T80" s="64" t="str">
        <f t="shared" ca="1" si="4"/>
        <v/>
      </c>
      <c r="U80" s="64" t="str">
        <f t="shared" ca="1" si="5"/>
        <v/>
      </c>
      <c r="V80" s="422" t="str">
        <f ca="1">IF(OR(D80=0,D80="",D80="Athlete"),"",COUNTIF($D$4:$D80,D80))</f>
        <v/>
      </c>
      <c r="W80" s="422" t="str">
        <f t="shared" ca="1" si="6"/>
        <v/>
      </c>
      <c r="Z80" s="422">
        <f t="shared" ca="1" si="7"/>
        <v>0</v>
      </c>
    </row>
    <row r="81" spans="1:26" x14ac:dyDescent="0.35">
      <c r="B81" s="66">
        <f ca="1">IFERROR(INDIRECT(CONCATENATE("Track1!B",A80+2)),"")</f>
        <v>1</v>
      </c>
      <c r="C81" s="66">
        <f ca="1">IFERROR(INDIRECT(CONCATENATE("Track1!C",A80+2)),"")</f>
        <v>2</v>
      </c>
      <c r="D81" s="89" t="str">
        <f ca="1">IFERROR(INDIRECT(CONCATENATE("Track1!D",A80+2)),"")</f>
        <v>BENTLEY Tom</v>
      </c>
      <c r="E81" s="89" t="str">
        <f ca="1">IFERROR(INDIRECT(CONCATENATE("Track1!E",A80+2)),"")</f>
        <v>Sheff+D</v>
      </c>
      <c r="F81" s="65">
        <f ca="1">IFERROR(INDIRECT(CONCATENATE("Track1!F",A80+2)),"")</f>
        <v>13.8</v>
      </c>
      <c r="G81" s="121" t="str">
        <f ca="1">IFERROR(INDIRECT(CONCATENATE("Track1!G",A80+2)),"")</f>
        <v/>
      </c>
      <c r="H81" s="66"/>
      <c r="I81" s="66">
        <f ca="1">IFERROR(INDIRECT(CONCATENATE("Track1!I",A80+2)),"")</f>
        <v>1</v>
      </c>
      <c r="J81" s="66">
        <f ca="1">IFERROR(INDIRECT(CONCATENATE("Track1!J",A80+2)),"")</f>
        <v>1</v>
      </c>
      <c r="K81" s="89" t="str">
        <f ca="1">IFERROR(INDIRECT(CONCATENATE("Track1!K",A80+2)),"")</f>
        <v>MARRIOTT Thomas</v>
      </c>
      <c r="L81" s="89" t="str">
        <f ca="1">IFERROR(INDIRECT(CONCATENATE("Track1!L",A80+2)),"")</f>
        <v>C'field</v>
      </c>
      <c r="M81" s="65">
        <f ca="1">IFERROR(INDIRECT(CONCATENATE("Track1!M",A80+2)),"")</f>
        <v>16.2</v>
      </c>
      <c r="N81" s="121" t="str">
        <f ca="1">IFERROR(INDIRECT(CONCATENATE("Track1!N",A80+2)),"")</f>
        <v/>
      </c>
      <c r="R81" s="219">
        <f ca="1">IFERROR(INDIRECT(CONCATENATE("Track1!r",A80+2)),"")</f>
        <v>1</v>
      </c>
      <c r="T81" s="64">
        <f t="shared" ca="1" si="4"/>
        <v>3</v>
      </c>
      <c r="U81" s="64">
        <f t="shared" ca="1" si="5"/>
        <v>3</v>
      </c>
      <c r="V81" s="422">
        <f ca="1">IF(OR(D81=0,D81="",D81="Athlete"),"",COUNTIF($D$4:$D81,D81))</f>
        <v>1</v>
      </c>
      <c r="W81" s="422" t="str">
        <f t="shared" ca="1" si="6"/>
        <v>Sheff+D</v>
      </c>
      <c r="Z81" s="422" t="str">
        <f t="shared" ca="1" si="7"/>
        <v/>
      </c>
    </row>
    <row r="82" spans="1:26" x14ac:dyDescent="0.35">
      <c r="B82" s="66">
        <f ca="1">IFERROR(INDIRECT(CONCATENATE("Track1!B",A80+3)),"")</f>
        <v>2</v>
      </c>
      <c r="C82" s="66">
        <f ca="1">IFERROR(INDIRECT(CONCATENATE("Track1!C",A80+3)),"")</f>
        <v>11</v>
      </c>
      <c r="D82" s="89" t="str">
        <f ca="1">IFERROR(INDIRECT(CONCATENATE("Track1!D",A80+3)),"")</f>
        <v>FOOT James</v>
      </c>
      <c r="E82" s="89" t="str">
        <f ca="1">IFERROR(INDIRECT(CONCATENATE("Track1!E",A80+3)),"")</f>
        <v>C'field</v>
      </c>
      <c r="F82" s="65">
        <f ca="1">IFERROR(INDIRECT(CONCATENATE("Track1!F",A80+3)),"")</f>
        <v>15.3</v>
      </c>
      <c r="G82" s="121" t="str">
        <f ca="1">IFERROR(INDIRECT(CONCATENATE("Track1!G",A80+3)),"")</f>
        <v/>
      </c>
      <c r="H82" s="66"/>
      <c r="I82" s="66">
        <f ca="1">IFERROR(INDIRECT(CONCATENATE("Track1!I",A80+3)),"")</f>
        <v>2</v>
      </c>
      <c r="J82" s="66">
        <f ca="1">IFERROR(INDIRECT(CONCATENATE("Track1!J",A80+3)),"")</f>
        <v>3</v>
      </c>
      <c r="K82" s="89" t="str">
        <f ca="1">IFERROR(INDIRECT(CONCATENATE("Track1!K",A80+3)),"")</f>
        <v>HENSON Isaac</v>
      </c>
      <c r="L82" s="89" t="str">
        <f ca="1">IFERROR(INDIRECT(CONCATENATE("Track1!L",A80+3)),"")</f>
        <v>York</v>
      </c>
      <c r="M82" s="65">
        <f ca="1">IFERROR(INDIRECT(CONCATENATE("Track1!M",A80+3)),"")</f>
        <v>16.399999999999999</v>
      </c>
      <c r="N82" s="121" t="str">
        <f ca="1">IFERROR(INDIRECT(CONCATENATE("Track1!N",A80+3)),"")</f>
        <v/>
      </c>
      <c r="T82" s="64">
        <f t="shared" ca="1" si="4"/>
        <v>3</v>
      </c>
      <c r="U82" s="64">
        <f t="shared" ca="1" si="5"/>
        <v>3</v>
      </c>
      <c r="V82" s="422">
        <f ca="1">IF(OR(D82=0,D82="",D82="Athlete"),"",COUNTIF($D$4:$D82,D82))</f>
        <v>1</v>
      </c>
      <c r="W82" s="422" t="str">
        <f t="shared" ca="1" si="6"/>
        <v>C'field</v>
      </c>
      <c r="Z82" s="422" t="str">
        <f t="shared" ca="1" si="7"/>
        <v/>
      </c>
    </row>
    <row r="83" spans="1:26" x14ac:dyDescent="0.35">
      <c r="B83" s="66">
        <f ca="1">IFERROR(INDIRECT(CONCATENATE("Track1!B",A80+4)),"")</f>
        <v>3</v>
      </c>
      <c r="C83" s="66">
        <f ca="1">IFERROR(INDIRECT(CONCATENATE("Track1!C",A80+4)),"")</f>
        <v>33</v>
      </c>
      <c r="D83" s="89" t="str">
        <f ca="1">IFERROR(INDIRECT(CONCATENATE("Track1!D",A80+4)),"")</f>
        <v>LANSFORD Hollis</v>
      </c>
      <c r="E83" s="89" t="str">
        <f ca="1">IFERROR(INDIRECT(CONCATENATE("Track1!E",A80+4)),"")</f>
        <v>York</v>
      </c>
      <c r="F83" s="65">
        <f ca="1">IFERROR(INDIRECT(CONCATENATE("Track1!F",A80+4)),"")</f>
        <v>16.2</v>
      </c>
      <c r="G83" s="121" t="str">
        <f ca="1">IFERROR(INDIRECT(CONCATENATE("Track1!G",A80+4)),"")</f>
        <v/>
      </c>
      <c r="H83" s="66"/>
      <c r="I83" s="66">
        <f ca="1">IFERROR(INDIRECT(CONCATENATE("Track1!I",A80+4)),"")</f>
        <v>3</v>
      </c>
      <c r="J83" s="66">
        <f ca="1">IFERROR(INDIRECT(CONCATENATE("Track1!J",A80+4)),"")</f>
        <v>22</v>
      </c>
      <c r="K83" s="89" t="str">
        <f ca="1">IFERROR(INDIRECT(CONCATENATE("Track1!K",A80+4)),"")</f>
        <v>SCOTT Leni</v>
      </c>
      <c r="L83" s="89" t="str">
        <f ca="1">IFERROR(INDIRECT(CONCATENATE("Track1!L",A80+4)),"")</f>
        <v>Sheff+D</v>
      </c>
      <c r="M83" s="65">
        <f ca="1">IFERROR(INDIRECT(CONCATENATE("Track1!M",A80+4)),"")</f>
        <v>17</v>
      </c>
      <c r="N83" s="121" t="str">
        <f ca="1">IFERROR(INDIRECT(CONCATENATE("Track1!N",A80+4)),"")</f>
        <v/>
      </c>
      <c r="T83" s="64">
        <f t="shared" ca="1" si="4"/>
        <v>2</v>
      </c>
      <c r="U83" s="64">
        <f t="shared" ca="1" si="5"/>
        <v>3</v>
      </c>
      <c r="V83" s="422">
        <f ca="1">IF(OR(D83=0,D83="",D83="Athlete"),"",COUNTIF($D$4:$D83,D83))</f>
        <v>1</v>
      </c>
      <c r="W83" s="422" t="str">
        <f t="shared" ca="1" si="6"/>
        <v>York</v>
      </c>
      <c r="Z83" s="422" t="str">
        <f t="shared" ca="1" si="7"/>
        <v/>
      </c>
    </row>
    <row r="84" spans="1:26" x14ac:dyDescent="0.35">
      <c r="B84" s="66">
        <f ca="1">IFERROR(INDIRECT(CONCATENATE("Track1!B",A80+5)),"")</f>
        <v>4</v>
      </c>
      <c r="C84" s="66">
        <f ca="1">IFERROR(INDIRECT(CONCATENATE("Track1!C",A80+5)),"")</f>
        <v>0</v>
      </c>
      <c r="D84" s="89" t="str">
        <f ca="1">IFERROR(INDIRECT(CONCATENATE("Track1!D",A80+5)),"")</f>
        <v/>
      </c>
      <c r="E84" s="89" t="str">
        <f ca="1">IFERROR(INDIRECT(CONCATENATE("Track1!E",A80+5)),"")</f>
        <v/>
      </c>
      <c r="F84" s="65">
        <f ca="1">IFERROR(INDIRECT(CONCATENATE("Track1!F",A80+5)),"")</f>
        <v>0</v>
      </c>
      <c r="G84" s="121" t="str">
        <f ca="1">IFERROR(INDIRECT(CONCATENATE("Track1!G",A80+5)),"")</f>
        <v/>
      </c>
      <c r="H84" s="66"/>
      <c r="I84" s="66">
        <f ca="1">IFERROR(INDIRECT(CONCATENATE("Track1!I",A80+5)),"")</f>
        <v>4</v>
      </c>
      <c r="J84" s="66">
        <f ca="1">IFERROR(INDIRECT(CONCATENATE("Track1!J",A80+5)),"")</f>
        <v>0</v>
      </c>
      <c r="K84" s="89" t="str">
        <f ca="1">IFERROR(INDIRECT(CONCATENATE("Track1!K",A80+5)),"")</f>
        <v/>
      </c>
      <c r="L84" s="89" t="str">
        <f ca="1">IFERROR(INDIRECT(CONCATENATE("Track1!L",A80+5)),"")</f>
        <v/>
      </c>
      <c r="M84" s="65">
        <f ca="1">IFERROR(INDIRECT(CONCATENATE("Track1!M",A80+5)),"")</f>
        <v>0</v>
      </c>
      <c r="N84" s="121" t="str">
        <f ca="1">IFERROR(INDIRECT(CONCATENATE("Track1!N",A80+5)),"")</f>
        <v/>
      </c>
      <c r="T84" s="64" t="str">
        <f t="shared" ca="1" si="4"/>
        <v/>
      </c>
      <c r="U84" s="64" t="str">
        <f t="shared" ca="1" si="5"/>
        <v/>
      </c>
      <c r="V84" s="422" t="str">
        <f ca="1">IF(OR(D84=0,D84="",D84="Athlete"),"",COUNTIF($D$4:$D84,D84))</f>
        <v/>
      </c>
      <c r="W84" s="422" t="str">
        <f t="shared" ca="1" si="6"/>
        <v/>
      </c>
      <c r="Z84" s="422" t="str">
        <f t="shared" ca="1" si="7"/>
        <v/>
      </c>
    </row>
    <row r="85" spans="1:26" x14ac:dyDescent="0.35">
      <c r="B85" s="66">
        <f ca="1">IFERROR(INDIRECT(CONCATENATE("Track1!B",A80+6)),"")</f>
        <v>5</v>
      </c>
      <c r="C85" s="66">
        <f ca="1">IFERROR(INDIRECT(CONCATENATE("Track1!C",A80+6)),"")</f>
        <v>0</v>
      </c>
      <c r="D85" s="89" t="str">
        <f ca="1">IFERROR(INDIRECT(CONCATENATE("Track1!D",A80+6)),"")</f>
        <v/>
      </c>
      <c r="E85" s="89" t="str">
        <f ca="1">IFERROR(INDIRECT(CONCATENATE("Track1!E",A80+6)),"")</f>
        <v/>
      </c>
      <c r="F85" s="65">
        <f ca="1">IFERROR(INDIRECT(CONCATENATE("Track1!F",A80+6)),"")</f>
        <v>0</v>
      </c>
      <c r="G85" s="121" t="str">
        <f ca="1">IFERROR(INDIRECT(CONCATENATE("Track1!G",A80+6)),"")</f>
        <v/>
      </c>
      <c r="H85" s="66"/>
      <c r="I85" s="66">
        <f ca="1">IFERROR(INDIRECT(CONCATENATE("Track1!I",A80+6)),"")</f>
        <v>5</v>
      </c>
      <c r="J85" s="66">
        <f ca="1">IFERROR(INDIRECT(CONCATENATE("Track1!J",A80+6)),"")</f>
        <v>0</v>
      </c>
      <c r="K85" s="89" t="str">
        <f ca="1">IFERROR(INDIRECT(CONCATENATE("Track1!K",A80+6)),"")</f>
        <v/>
      </c>
      <c r="L85" s="89" t="str">
        <f ca="1">IFERROR(INDIRECT(CONCATENATE("Track1!L",A80+6)),"")</f>
        <v/>
      </c>
      <c r="M85" s="65">
        <f ca="1">IFERROR(INDIRECT(CONCATENATE("Track1!M",A80+6)),"")</f>
        <v>0</v>
      </c>
      <c r="N85" s="121" t="str">
        <f ca="1">IFERROR(INDIRECT(CONCATENATE("Track1!N",A80+6)),"")</f>
        <v/>
      </c>
      <c r="T85" s="64" t="str">
        <f t="shared" ca="1" si="4"/>
        <v/>
      </c>
      <c r="U85" s="64" t="str">
        <f t="shared" ca="1" si="5"/>
        <v/>
      </c>
      <c r="V85" s="422" t="str">
        <f ca="1">IF(OR(D85=0,D85="",D85="Athlete"),"",COUNTIF($D$4:$D85,D85))</f>
        <v/>
      </c>
      <c r="W85" s="422" t="str">
        <f t="shared" ca="1" si="6"/>
        <v/>
      </c>
      <c r="Z85" s="422" t="str">
        <f t="shared" ca="1" si="7"/>
        <v/>
      </c>
    </row>
    <row r="86" spans="1:26" x14ac:dyDescent="0.35">
      <c r="B86" s="66">
        <f ca="1">IFERROR(INDIRECT(CONCATENATE("Track1!B",A80+7)),"")</f>
        <v>6</v>
      </c>
      <c r="C86" s="66">
        <f ca="1">IFERROR(INDIRECT(CONCATENATE("Track1!C",A80+7)),"")</f>
        <v>0</v>
      </c>
      <c r="D86" s="89" t="str">
        <f ca="1">IFERROR(INDIRECT(CONCATENATE("Track1!D",A80+7)),"")</f>
        <v/>
      </c>
      <c r="E86" s="89" t="str">
        <f ca="1">IFERROR(INDIRECT(CONCATENATE("Track1!E",A80+7)),"")</f>
        <v/>
      </c>
      <c r="F86" s="65">
        <f ca="1">IFERROR(INDIRECT(CONCATENATE("Track1!F",A80+7)),"")</f>
        <v>0</v>
      </c>
      <c r="G86" s="121" t="str">
        <f ca="1">IFERROR(INDIRECT(CONCATENATE("Track1!G",A80+7)),"")</f>
        <v/>
      </c>
      <c r="H86" s="66"/>
      <c r="I86" s="66">
        <f ca="1">IFERROR(INDIRECT(CONCATENATE("Track1!I",A80+7)),"")</f>
        <v>6</v>
      </c>
      <c r="J86" s="66">
        <f ca="1">IFERROR(INDIRECT(CONCATENATE("Track1!J",A80+7)),"")</f>
        <v>0</v>
      </c>
      <c r="K86" s="89" t="str">
        <f ca="1">IFERROR(INDIRECT(CONCATENATE("Track1!K",A80+7)),"")</f>
        <v/>
      </c>
      <c r="L86" s="89" t="str">
        <f ca="1">IFERROR(INDIRECT(CONCATENATE("Track1!L",A80+7)),"")</f>
        <v/>
      </c>
      <c r="M86" s="65">
        <f ca="1">IFERROR(INDIRECT(CONCATENATE("Track1!M",A80+7)),"")</f>
        <v>0</v>
      </c>
      <c r="N86" s="121" t="str">
        <f ca="1">IFERROR(INDIRECT(CONCATENATE("Track1!N",A80+7)),"")</f>
        <v/>
      </c>
      <c r="T86" s="64" t="str">
        <f t="shared" ca="1" si="4"/>
        <v/>
      </c>
      <c r="U86" s="64" t="str">
        <f t="shared" ca="1" si="5"/>
        <v/>
      </c>
      <c r="V86" s="422" t="str">
        <f ca="1">IF(OR(D86=0,D86="",D86="Athlete"),"",COUNTIF($D$4:$D86,D86))</f>
        <v/>
      </c>
      <c r="W86" s="422" t="str">
        <f t="shared" ca="1" si="6"/>
        <v/>
      </c>
      <c r="Z86" s="422" t="str">
        <f t="shared" ca="1" si="7"/>
        <v/>
      </c>
    </row>
    <row r="87" spans="1:26" x14ac:dyDescent="0.35">
      <c r="B87" s="66">
        <f ca="1">IFERROR(INDIRECT(CONCATENATE("Track1!B",A80+8)),"")</f>
        <v>7</v>
      </c>
      <c r="C87" s="66">
        <f ca="1">IFERROR(INDIRECT(CONCATENATE("Track1!C",A80+8)),"")</f>
        <v>0</v>
      </c>
      <c r="D87" s="89" t="str">
        <f ca="1">IFERROR(INDIRECT(CONCATENATE("Track1!D",A80+8)),"")</f>
        <v/>
      </c>
      <c r="E87" s="89" t="str">
        <f ca="1">IFERROR(INDIRECT(CONCATENATE("Track1!E",A80+8)),"")</f>
        <v/>
      </c>
      <c r="F87" s="65">
        <f ca="1">IFERROR(INDIRECT(CONCATENATE("Track1!F",A80+8)),"")</f>
        <v>0</v>
      </c>
      <c r="G87" s="121" t="str">
        <f ca="1">IFERROR(INDIRECT(CONCATENATE("Track1!G",A80+8)),"")</f>
        <v/>
      </c>
      <c r="H87" s="66"/>
      <c r="I87" s="66">
        <f ca="1">IFERROR(INDIRECT(CONCATENATE("Track1!I",A80+8)),"")</f>
        <v>7</v>
      </c>
      <c r="J87" s="66">
        <f ca="1">IFERROR(INDIRECT(CONCATENATE("Track1!J",A80+8)),"")</f>
        <v>0</v>
      </c>
      <c r="K87" s="89" t="str">
        <f ca="1">IFERROR(INDIRECT(CONCATENATE("Track1!K",A80+8)),"")</f>
        <v/>
      </c>
      <c r="L87" s="89" t="str">
        <f ca="1">IFERROR(INDIRECT(CONCATENATE("Track1!L",A80+8)),"")</f>
        <v/>
      </c>
      <c r="M87" s="65">
        <f ca="1">IFERROR(INDIRECT(CONCATENATE("Track1!M",A80+8)),"")</f>
        <v>0</v>
      </c>
      <c r="N87" s="121" t="str">
        <f ca="1">IFERROR(INDIRECT(CONCATENATE("Track1!N",A80+8)),"")</f>
        <v/>
      </c>
      <c r="T87" s="64" t="str">
        <f t="shared" ca="1" si="4"/>
        <v/>
      </c>
      <c r="U87" s="64" t="str">
        <f t="shared" ca="1" si="5"/>
        <v/>
      </c>
      <c r="V87" s="422" t="str">
        <f ca="1">IF(OR(D87=0,D87="",D87="Athlete"),"",COUNTIF($D$4:$D87,D87))</f>
        <v/>
      </c>
      <c r="W87" s="422" t="str">
        <f t="shared" ca="1" si="6"/>
        <v/>
      </c>
      <c r="Z87" s="422" t="str">
        <f t="shared" ca="1" si="7"/>
        <v/>
      </c>
    </row>
    <row r="88" spans="1:26" x14ac:dyDescent="0.35">
      <c r="B88" s="66">
        <f ca="1">IFERROR(INDIRECT(CONCATENATE("Track1!B",A80+9)),"")</f>
        <v>8</v>
      </c>
      <c r="C88" s="66">
        <f ca="1">IFERROR(INDIRECT(CONCATENATE("Track1!C",A80+9)),"")</f>
        <v>0</v>
      </c>
      <c r="D88" s="89" t="str">
        <f ca="1">IFERROR(INDIRECT(CONCATENATE("Track1!D",A80+9)),"")</f>
        <v/>
      </c>
      <c r="E88" s="89" t="str">
        <f ca="1">IFERROR(INDIRECT(CONCATENATE("Track1!E",A80+9)),"")</f>
        <v/>
      </c>
      <c r="F88" s="65">
        <f ca="1">IFERROR(INDIRECT(CONCATENATE("Track1!F",A80+9)),"")</f>
        <v>0</v>
      </c>
      <c r="G88" s="121" t="str">
        <f ca="1">IFERROR(INDIRECT(CONCATENATE("Track1!G",A80+9)),"")</f>
        <v/>
      </c>
      <c r="H88" s="66"/>
      <c r="I88" s="66">
        <f ca="1">IFERROR(INDIRECT(CONCATENATE("Track1!I",A80+9)),"")</f>
        <v>8</v>
      </c>
      <c r="J88" s="66">
        <f ca="1">IFERROR(INDIRECT(CONCATENATE("Track1!J",A80+9)),"")</f>
        <v>0</v>
      </c>
      <c r="K88" s="89" t="str">
        <f ca="1">IFERROR(INDIRECT(CONCATENATE("Track1!K",A80+9)),"")</f>
        <v/>
      </c>
      <c r="L88" s="89" t="str">
        <f ca="1">IFERROR(INDIRECT(CONCATENATE("Track1!L",A80+9)),"")</f>
        <v/>
      </c>
      <c r="M88" s="65">
        <f ca="1">IFERROR(INDIRECT(CONCATENATE("Track1!M",A80+9)),"")</f>
        <v>0</v>
      </c>
      <c r="N88" s="121" t="str">
        <f ca="1">IFERROR(INDIRECT(CONCATENATE("Track1!N",A80+9)),"")</f>
        <v/>
      </c>
      <c r="T88" s="64" t="str">
        <f t="shared" ca="1" si="4"/>
        <v/>
      </c>
      <c r="U88" s="64" t="str">
        <f t="shared" ca="1" si="5"/>
        <v/>
      </c>
      <c r="V88" s="422" t="str">
        <f ca="1">IF(OR(D88=0,D88="",D88="Athlete"),"",COUNTIF($D$4:$D88,D88))</f>
        <v/>
      </c>
      <c r="W88" s="422" t="str">
        <f t="shared" ca="1" si="6"/>
        <v/>
      </c>
      <c r="Z88" s="422" t="str">
        <f t="shared" ca="1" si="7"/>
        <v/>
      </c>
    </row>
    <row r="89" spans="1:26" x14ac:dyDescent="0.35">
      <c r="T89" s="64" t="str">
        <f t="shared" si="4"/>
        <v/>
      </c>
      <c r="U89" s="64" t="str">
        <f t="shared" si="5"/>
        <v/>
      </c>
      <c r="V89" s="422" t="str">
        <f>IF(OR(D89=0,D89="",D89="Athlete"),"",COUNTIF($D$4:$D89,D89))</f>
        <v/>
      </c>
      <c r="W89" s="422" t="str">
        <f t="shared" si="6"/>
        <v/>
      </c>
      <c r="Z89" s="422" t="str">
        <f t="shared" si="7"/>
        <v/>
      </c>
    </row>
    <row r="90" spans="1:26" x14ac:dyDescent="0.35">
      <c r="A90" s="66" t="s">
        <v>300</v>
      </c>
      <c r="B90" s="115" t="str">
        <f ca="1">IFERROR(INDIRECT(CONCATENATE("Field!B",A91)),"")</f>
        <v>Long Jump U15 Boys A</v>
      </c>
      <c r="G90" s="403" t="str">
        <f ca="1">IFERROR(INDIRECT(CONCATENATE("Field!g",A91)),"")</f>
        <v/>
      </c>
      <c r="I90" s="115" t="str">
        <f ca="1">IFERROR(INDIRECT(CONCATENATE("Field!I",A91)),"")</f>
        <v>Long Jump U15 Boys B</v>
      </c>
      <c r="T90" s="64" t="str">
        <f t="shared" si="4"/>
        <v/>
      </c>
      <c r="U90" s="64" t="str">
        <f t="shared" si="5"/>
        <v/>
      </c>
      <c r="V90" s="422" t="str">
        <f>IF(OR(D90=0,D90="",D90="Athlete"),"",COUNTIF($D$4:$D90,D90))</f>
        <v/>
      </c>
      <c r="W90" s="422" t="str">
        <f t="shared" si="6"/>
        <v/>
      </c>
      <c r="Z90" s="422" t="str">
        <f t="shared" ca="1" si="7"/>
        <v/>
      </c>
    </row>
    <row r="91" spans="1:26" x14ac:dyDescent="0.35">
      <c r="A91" s="66">
        <f>IFERROR(MATCH(A90,Field!A:A,0),"")</f>
        <v>167</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c r="T91" s="64" t="str">
        <f t="shared" ca="1" si="4"/>
        <v/>
      </c>
      <c r="U91" s="64" t="str">
        <f t="shared" ca="1" si="5"/>
        <v/>
      </c>
      <c r="V91" s="422" t="str">
        <f ca="1">IF(OR(D91=0,D91="",D91="Athlete"),"",COUNTIF($D$4:$D91,D91))</f>
        <v/>
      </c>
      <c r="W91" s="422" t="str">
        <f t="shared" ca="1" si="6"/>
        <v/>
      </c>
      <c r="Z91" s="422">
        <f t="shared" ca="1" si="7"/>
        <v>0</v>
      </c>
    </row>
    <row r="92" spans="1:26" x14ac:dyDescent="0.35">
      <c r="A92" s="66" t="str">
        <f>"_"&amp;A90</f>
        <v>_LFW04</v>
      </c>
      <c r="B92" s="66">
        <f ca="1">IFERROR(INDIRECT(CONCATENATE("Field!B",A91+2)),"")</f>
        <v>1</v>
      </c>
      <c r="C92" s="66">
        <f ca="1">IFERROR(INDIRECT(CONCATENATE("Field!C",A91+2)),"")</f>
        <v>2</v>
      </c>
      <c r="D92" s="89" t="str">
        <f ca="1">IFERROR(INDIRECT(CONCATENATE("Field!D",A91+2)),"")</f>
        <v>BENTLEY Tom</v>
      </c>
      <c r="E92" s="89" t="str">
        <f ca="1">IFERROR(INDIRECT(CONCATENATE("Field!E",A91+2)),"")</f>
        <v>Sheff+D</v>
      </c>
      <c r="F92" s="149" t="str">
        <f ca="1">IFERROR(TEXT(INDIRECT(CONCATENATE("Field!F",A91+2)),"#.#0")&amp;" "&amp;VLOOKUP(C92,INDIRECT($A$92),5,FALSE),"")</f>
        <v xml:space="preserve">4.92 </v>
      </c>
      <c r="G92" s="121" t="str">
        <f ca="1">IFERROR(INDIRECT(CONCATENATE("Field!G",A91+2)),"")</f>
        <v/>
      </c>
      <c r="H92" s="66"/>
      <c r="I92" s="66">
        <f ca="1">IFERROR(INDIRECT(CONCATENATE("Field!I",A91+2)),"")</f>
        <v>1</v>
      </c>
      <c r="J92" s="66">
        <f ca="1">IFERROR(INDIRECT(CONCATENATE("Field!J",A91+2)),"")</f>
        <v>11</v>
      </c>
      <c r="K92" s="89" t="str">
        <f ca="1">IFERROR(INDIRECT(CONCATENATE("Field!K",A91+2)),"")</f>
        <v>FOOT James</v>
      </c>
      <c r="L92" s="89" t="str">
        <f ca="1">IFERROR(INDIRECT(CONCATENATE("Field!L",A91+2)),"")</f>
        <v>C'field</v>
      </c>
      <c r="M92" s="149" t="str">
        <f ca="1">IFERROR(TEXT(INDIRECT(CONCATENATE("Field!m",A91+2)),"#.#0")&amp;" "&amp;VLOOKUP(J92,INDIRECT($A$92),5,FALSE),"")</f>
        <v xml:space="preserve">4.17 </v>
      </c>
      <c r="N92" s="121" t="str">
        <f ca="1">IFERROR(INDIRECT(CONCATENATE("Field!N",A91+2)),"")</f>
        <v/>
      </c>
      <c r="R92" s="219">
        <f ca="1">IFERROR(INDIRECT(CONCATENATE("Field!r",A91+2)),"")</f>
        <v>1</v>
      </c>
      <c r="T92" s="64">
        <f t="shared" ca="1" si="4"/>
        <v>3</v>
      </c>
      <c r="U92" s="64">
        <f t="shared" ca="1" si="5"/>
        <v>3</v>
      </c>
      <c r="V92" s="422">
        <f ca="1">IF(OR(D92=0,D92="",D92="Athlete"),"",COUNTIF($D$4:$D92,D92))</f>
        <v>2</v>
      </c>
      <c r="W92" s="422" t="str">
        <f t="shared" ca="1" si="6"/>
        <v>Sheff+D</v>
      </c>
      <c r="Z92" s="422" t="str">
        <f t="shared" ca="1" si="7"/>
        <v/>
      </c>
    </row>
    <row r="93" spans="1:26" x14ac:dyDescent="0.35">
      <c r="B93" s="66">
        <f ca="1">IFERROR(INDIRECT(CONCATENATE("Field!B",A91+3)),"")</f>
        <v>2</v>
      </c>
      <c r="C93" s="66">
        <f ca="1">IFERROR(INDIRECT(CONCATENATE("Field!C",A91+3)),"")</f>
        <v>1</v>
      </c>
      <c r="D93" s="89" t="str">
        <f ca="1">IFERROR(INDIRECT(CONCATENATE("Field!D",A91+3)),"")</f>
        <v>FOGDEN Ben</v>
      </c>
      <c r="E93" s="89" t="str">
        <f ca="1">IFERROR(INDIRECT(CONCATENATE("Field!E",A91+3)),"")</f>
        <v>C'field</v>
      </c>
      <c r="F93" s="149" t="str">
        <f ca="1">IFERROR(TEXT(INDIRECT(CONCATENATE("Field!F",A91+3)),"#.#0")&amp;" "&amp;VLOOKUP(C93,INDIRECT($A$92),5,FALSE),"")</f>
        <v xml:space="preserve">4.83 </v>
      </c>
      <c r="G93" s="121" t="str">
        <f ca="1">IFERROR(INDIRECT(CONCATENATE("Field!G",A91+3)),"")</f>
        <v/>
      </c>
      <c r="H93" s="66"/>
      <c r="I93" s="66">
        <f ca="1">IFERROR(INDIRECT(CONCATENATE("Field!I",A91+3)),"")</f>
        <v>2</v>
      </c>
      <c r="J93" s="66">
        <f ca="1">IFERROR(INDIRECT(CONCATENATE("Field!J",A91+3)),"")</f>
        <v>33</v>
      </c>
      <c r="K93" s="89" t="str">
        <f ca="1">IFERROR(INDIRECT(CONCATENATE("Field!K",A91+3)),"")</f>
        <v>LANSFORD Hollis</v>
      </c>
      <c r="L93" s="89" t="str">
        <f ca="1">IFERROR(INDIRECT(CONCATENATE("Field!L",A91+3)),"")</f>
        <v>York</v>
      </c>
      <c r="M93" s="149" t="str">
        <f ca="1">IFERROR(TEXT(INDIRECT(CONCATENATE("Field!m",A91+3)),"#.#0")&amp;" "&amp;VLOOKUP(J93,INDIRECT($A$92),5,FALSE),"")</f>
        <v xml:space="preserve">4.17 </v>
      </c>
      <c r="N93" s="121" t="str">
        <f ca="1">IFERROR(INDIRECT(CONCATENATE("Field!N",A91+3)),"")</f>
        <v/>
      </c>
      <c r="T93" s="64">
        <f t="shared" ca="1" si="4"/>
        <v>3</v>
      </c>
      <c r="U93" s="64">
        <f t="shared" ca="1" si="5"/>
        <v>2</v>
      </c>
      <c r="V93" s="422">
        <f ca="1">IF(OR(D93=0,D93="",D93="Athlete"),"",COUNTIF($D$4:$D93,D93))</f>
        <v>3</v>
      </c>
      <c r="W93" s="422" t="str">
        <f t="shared" ca="1" si="6"/>
        <v>C'field</v>
      </c>
      <c r="Z93" s="422" t="str">
        <f t="shared" ca="1" si="7"/>
        <v/>
      </c>
    </row>
    <row r="94" spans="1:26" x14ac:dyDescent="0.35">
      <c r="B94" s="66">
        <f ca="1">IFERROR(INDIRECT(CONCATENATE("Field!B",A91+4)),"")</f>
        <v>3</v>
      </c>
      <c r="C94" s="66">
        <f ca="1">IFERROR(INDIRECT(CONCATENATE("Field!C",A91+4)),"")</f>
        <v>4</v>
      </c>
      <c r="D94" s="89" t="str">
        <f ca="1">IFERROR(INDIRECT(CONCATENATE("Field!D",A91+4)),"")</f>
        <v>CHINNERY Norton</v>
      </c>
      <c r="E94" s="89" t="str">
        <f ca="1">IFERROR(INDIRECT(CONCATENATE("Field!E",A91+4)),"")</f>
        <v>M'bro</v>
      </c>
      <c r="F94" s="149" t="str">
        <f ca="1">IFERROR(TEXT(INDIRECT(CONCATENATE("Field!F",A91+4)),"#.#0")&amp;" "&amp;VLOOKUP(C94,INDIRECT($A$92),5,FALSE),"")</f>
        <v xml:space="preserve">4.61 </v>
      </c>
      <c r="G94" s="121" t="str">
        <f ca="1">IFERROR(INDIRECT(CONCATENATE("Field!G",A91+4)),"")</f>
        <v/>
      </c>
      <c r="H94" s="66"/>
      <c r="I94" s="66">
        <f ca="1">IFERROR(INDIRECT(CONCATENATE("Field!I",A91+4)),"")</f>
        <v>3</v>
      </c>
      <c r="J94" s="66">
        <f ca="1">IFERROR(INDIRECT(CONCATENATE("Field!J",A91+4)),"")</f>
        <v>22</v>
      </c>
      <c r="K94" s="89" t="str">
        <f ca="1">IFERROR(INDIRECT(CONCATENATE("Field!K",A91+4)),"")</f>
        <v>SCOTT Leni</v>
      </c>
      <c r="L94" s="89" t="str">
        <f ca="1">IFERROR(INDIRECT(CONCATENATE("Field!L",A91+4)),"")</f>
        <v>Sheff+D</v>
      </c>
      <c r="M94" s="149" t="str">
        <f ca="1">IFERROR(TEXT(INDIRECT(CONCATENATE("Field!m",A91+4)),"#.#0")&amp;" "&amp;VLOOKUP(J94,INDIRECT($A$92),5,FALSE),"")</f>
        <v xml:space="preserve">4.11 </v>
      </c>
      <c r="N94" s="121" t="str">
        <f ca="1">IFERROR(INDIRECT(CONCATENATE("Field!N",A91+4)),"")</f>
        <v/>
      </c>
      <c r="T94" s="64">
        <f t="shared" ca="1" si="4"/>
        <v>2</v>
      </c>
      <c r="U94" s="64">
        <f t="shared" ca="1" si="5"/>
        <v>3</v>
      </c>
      <c r="V94" s="422">
        <f ca="1">IF(OR(D94=0,D94="",D94="Athlete"),"",COUNTIF($D$4:$D94,D94))</f>
        <v>1</v>
      </c>
      <c r="W94" s="422" t="str">
        <f t="shared" ca="1" si="6"/>
        <v>M'bro</v>
      </c>
      <c r="Z94" s="422" t="str">
        <f t="shared" ca="1" si="7"/>
        <v/>
      </c>
    </row>
    <row r="95" spans="1:26" x14ac:dyDescent="0.35">
      <c r="B95" s="66">
        <f ca="1">IFERROR(INDIRECT(CONCATENATE("Field!B",A91+5)),"")</f>
        <v>4</v>
      </c>
      <c r="C95" s="66">
        <f ca="1">IFERROR(INDIRECT(CONCATENATE("Field!C",A91+5)),"")</f>
        <v>3</v>
      </c>
      <c r="D95" s="89" t="str">
        <f ca="1">IFERROR(INDIRECT(CONCATENATE("Field!D",A91+5)),"")</f>
        <v>COOK Harry</v>
      </c>
      <c r="E95" s="89" t="str">
        <f ca="1">IFERROR(INDIRECT(CONCATENATE("Field!E",A91+5)),"")</f>
        <v>York</v>
      </c>
      <c r="F95" s="149" t="str">
        <f ca="1">IFERROR(TEXT(INDIRECT(CONCATENATE("Field!F",A91+5)),"#.#0")&amp;" "&amp;VLOOKUP(C95,INDIRECT($A$92),5,FALSE),"")</f>
        <v xml:space="preserve">4.41 </v>
      </c>
      <c r="G95" s="121" t="str">
        <f ca="1">IFERROR(INDIRECT(CONCATENATE("Field!G",A91+5)),"")</f>
        <v/>
      </c>
      <c r="H95" s="66"/>
      <c r="I95" s="66">
        <f ca="1">IFERROR(INDIRECT(CONCATENATE("Field!I",A91+5)),"")</f>
        <v>4</v>
      </c>
      <c r="J95" s="66">
        <f ca="1">IFERROR(INDIRECT(CONCATENATE("Field!J",A91+5)),"")</f>
        <v>44</v>
      </c>
      <c r="K95" s="89" t="str">
        <f ca="1">IFERROR(INDIRECT(CONCATENATE("Field!K",A91+5)),"")</f>
        <v>IBEH Terrell</v>
      </c>
      <c r="L95" s="89" t="str">
        <f ca="1">IFERROR(INDIRECT(CONCATENATE("Field!L",A91+5)),"")</f>
        <v>M'bro</v>
      </c>
      <c r="M95" s="149" t="str">
        <f ca="1">IFERROR(TEXT(INDIRECT(CONCATENATE("Field!m",A91+5)),"#.#0")&amp;" "&amp;VLOOKUP(J95,INDIRECT($A$92),5,FALSE),"")</f>
        <v xml:space="preserve">3.75 </v>
      </c>
      <c r="N95" s="121" t="str">
        <f ca="1">IFERROR(INDIRECT(CONCATENATE("Field!N",A91+5)),"")</f>
        <v/>
      </c>
      <c r="T95" s="64">
        <f t="shared" ca="1" si="4"/>
        <v>1</v>
      </c>
      <c r="U95" s="64">
        <f t="shared" ca="1" si="5"/>
        <v>2</v>
      </c>
      <c r="V95" s="422">
        <f ca="1">IF(OR(D95=0,D95="",D95="Athlete"),"",COUNTIF($D$4:$D95,D95))</f>
        <v>1</v>
      </c>
      <c r="W95" s="422" t="str">
        <f t="shared" ca="1" si="6"/>
        <v>York</v>
      </c>
      <c r="Z95" s="422" t="str">
        <f t="shared" ca="1" si="7"/>
        <v/>
      </c>
    </row>
    <row r="96" spans="1:26" x14ac:dyDescent="0.35">
      <c r="B96" s="66">
        <f ca="1">IFERROR(INDIRECT(CONCATENATE("Field!B",A91+6)),"")</f>
        <v>5</v>
      </c>
      <c r="C96" s="66" t="str">
        <f ca="1">IFERROR(INDIRECT(CONCATENATE("Field!C",A91+6)),"")</f>
        <v/>
      </c>
      <c r="D96" s="89" t="str">
        <f ca="1">IFERROR(INDIRECT(CONCATENATE("Field!D",A91+6)),"")</f>
        <v/>
      </c>
      <c r="E96" s="89" t="str">
        <f ca="1">IFERROR(INDIRECT(CONCATENATE("Field!E",A91+6)),"")</f>
        <v/>
      </c>
      <c r="F96" s="149" t="str">
        <f ca="1">IFERROR(TEXT(INDIRECT(CONCATENATE("Field!F",A91+6)),"#.#0")&amp;" "&amp;VLOOKUP(C96,INDIRECT($A$92),5,FALSE),"")</f>
        <v/>
      </c>
      <c r="G96" s="121" t="str">
        <f ca="1">IFERROR(INDIRECT(CONCATENATE("Field!G",A91+6)),"")</f>
        <v/>
      </c>
      <c r="H96" s="66"/>
      <c r="I96" s="66">
        <f ca="1">IFERROR(INDIRECT(CONCATENATE("Field!I",A91+6)),"")</f>
        <v>5</v>
      </c>
      <c r="J96" s="66" t="str">
        <f ca="1">IFERROR(INDIRECT(CONCATENATE("Field!J",A91+6)),"")</f>
        <v/>
      </c>
      <c r="K96" s="89" t="str">
        <f ca="1">IFERROR(INDIRECT(CONCATENATE("Field!K",A91+6)),"")</f>
        <v/>
      </c>
      <c r="L96" s="89" t="str">
        <f ca="1">IFERROR(INDIRECT(CONCATENATE("Field!L",A91+6)),"")</f>
        <v/>
      </c>
      <c r="M96" s="149" t="str">
        <f ca="1">IFERROR(TEXT(INDIRECT(CONCATENATE("Field!m",A91+6)),"#.#0")&amp;" "&amp;VLOOKUP(J96,INDIRECT($A$92),5,FALSE),"")</f>
        <v/>
      </c>
      <c r="N96" s="121" t="str">
        <f ca="1">IFERROR(INDIRECT(CONCATENATE("Field!N",A91+6)),"")</f>
        <v/>
      </c>
      <c r="T96" s="64" t="str">
        <f t="shared" ca="1" si="4"/>
        <v/>
      </c>
      <c r="U96" s="64" t="str">
        <f t="shared" ca="1" si="5"/>
        <v/>
      </c>
      <c r="V96" s="422" t="str">
        <f ca="1">IF(OR(D96=0,D96="",D96="Athlete"),"",COUNTIF($D$4:$D96,D96))</f>
        <v/>
      </c>
      <c r="W96" s="422" t="str">
        <f t="shared" ca="1" si="6"/>
        <v/>
      </c>
      <c r="Z96" s="422" t="str">
        <f t="shared" ca="1" si="7"/>
        <v/>
      </c>
    </row>
    <row r="97" spans="1:26" x14ac:dyDescent="0.35">
      <c r="B97" s="66">
        <f ca="1">IFERROR(INDIRECT(CONCATENATE("Field!B",A91+7)),"")</f>
        <v>6</v>
      </c>
      <c r="C97" s="66" t="str">
        <f ca="1">IFERROR(INDIRECT(CONCATENATE("Field!C",A91+7)),"")</f>
        <v/>
      </c>
      <c r="D97" s="89" t="str">
        <f ca="1">IFERROR(INDIRECT(CONCATENATE("Field!D",A91+7)),"")</f>
        <v/>
      </c>
      <c r="E97" s="89" t="str">
        <f ca="1">IFERROR(INDIRECT(CONCATENATE("Field!E",A91+7)),"")</f>
        <v/>
      </c>
      <c r="F97" s="149" t="str">
        <f ca="1">IFERROR(TEXT(INDIRECT(CONCATENATE("Field!F",A91+7)),"#.#0")&amp;" "&amp;VLOOKUP(C97,INDIRECT($A$92),5,FALSE),"")</f>
        <v/>
      </c>
      <c r="G97" s="121" t="str">
        <f ca="1">IFERROR(INDIRECT(CONCATENATE("Field!G",A91+7)),"")</f>
        <v/>
      </c>
      <c r="H97" s="66"/>
      <c r="I97" s="66">
        <f ca="1">IFERROR(INDIRECT(CONCATENATE("Field!I",A91+7)),"")</f>
        <v>6</v>
      </c>
      <c r="J97" s="66" t="str">
        <f ca="1">IFERROR(INDIRECT(CONCATENATE("Field!J",A91+7)),"")</f>
        <v/>
      </c>
      <c r="K97" s="89" t="str">
        <f ca="1">IFERROR(INDIRECT(CONCATENATE("Field!K",A91+7)),"")</f>
        <v/>
      </c>
      <c r="L97" s="89" t="str">
        <f ca="1">IFERROR(INDIRECT(CONCATENATE("Field!L",A91+7)),"")</f>
        <v/>
      </c>
      <c r="M97" s="149" t="str">
        <f ca="1">IFERROR(TEXT(INDIRECT(CONCATENATE("Field!m",A91+7)),"#.#0")&amp;" "&amp;VLOOKUP(J97,INDIRECT($A$92),5,FALSE),"")</f>
        <v/>
      </c>
      <c r="N97" s="121" t="str">
        <f ca="1">IFERROR(INDIRECT(CONCATENATE("Field!N",A91+7)),"")</f>
        <v/>
      </c>
      <c r="T97" s="64" t="str">
        <f t="shared" ca="1" si="4"/>
        <v/>
      </c>
      <c r="U97" s="64" t="str">
        <f t="shared" ca="1" si="5"/>
        <v/>
      </c>
      <c r="V97" s="422" t="str">
        <f ca="1">IF(OR(D97=0,D97="",D97="Athlete"),"",COUNTIF($D$4:$D97,D97))</f>
        <v/>
      </c>
      <c r="W97" s="422" t="str">
        <f t="shared" ca="1" si="6"/>
        <v/>
      </c>
      <c r="Z97" s="422" t="str">
        <f t="shared" ca="1" si="7"/>
        <v/>
      </c>
    </row>
    <row r="98" spans="1:26" x14ac:dyDescent="0.35">
      <c r="B98" s="66">
        <f ca="1">IFERROR(INDIRECT(CONCATENATE("Field!B",A91+8)),"")</f>
        <v>7</v>
      </c>
      <c r="C98" s="66" t="str">
        <f ca="1">IFERROR(INDIRECT(CONCATENATE("Field!C",A91+8)),"")</f>
        <v/>
      </c>
      <c r="D98" s="89" t="str">
        <f ca="1">IFERROR(INDIRECT(CONCATENATE("Field!D",A91+8)),"")</f>
        <v/>
      </c>
      <c r="E98" s="89" t="str">
        <f ca="1">IFERROR(INDIRECT(CONCATENATE("Field!E",A91+8)),"")</f>
        <v/>
      </c>
      <c r="F98" s="149" t="str">
        <f ca="1">IFERROR(TEXT(INDIRECT(CONCATENATE("Field!F",A91+8)),"#.#0")&amp;" "&amp;VLOOKUP(C98,INDIRECT($A$92),5,FALSE),"")</f>
        <v/>
      </c>
      <c r="G98" s="121" t="str">
        <f ca="1">IFERROR(INDIRECT(CONCATENATE("Field!G",A91+8)),"")</f>
        <v/>
      </c>
      <c r="H98" s="66"/>
      <c r="I98" s="66">
        <f ca="1">IFERROR(INDIRECT(CONCATENATE("Field!I",A91+8)),"")</f>
        <v>7</v>
      </c>
      <c r="J98" s="66" t="str">
        <f ca="1">IFERROR(INDIRECT(CONCATENATE("Field!J",A91+8)),"")</f>
        <v/>
      </c>
      <c r="K98" s="89" t="str">
        <f ca="1">IFERROR(INDIRECT(CONCATENATE("Field!K",A91+8)),"")</f>
        <v/>
      </c>
      <c r="L98" s="89" t="str">
        <f ca="1">IFERROR(INDIRECT(CONCATENATE("Field!L",A91+8)),"")</f>
        <v/>
      </c>
      <c r="M98" s="149" t="str">
        <f ca="1">IFERROR(TEXT(INDIRECT(CONCATENATE("Field!m",A91+8)),"#.#0")&amp;" "&amp;VLOOKUP(J98,INDIRECT($A$92),5,FALSE),"")</f>
        <v/>
      </c>
      <c r="N98" s="121" t="str">
        <f ca="1">IFERROR(INDIRECT(CONCATENATE("Field!N",A91+8)),"")</f>
        <v/>
      </c>
      <c r="T98" s="64" t="str">
        <f t="shared" ca="1" si="4"/>
        <v/>
      </c>
      <c r="U98" s="64" t="str">
        <f t="shared" ca="1" si="5"/>
        <v/>
      </c>
      <c r="V98" s="422" t="str">
        <f ca="1">IF(OR(D98=0,D98="",D98="Athlete"),"",COUNTIF($D$4:$D98,D98))</f>
        <v/>
      </c>
      <c r="W98" s="422" t="str">
        <f t="shared" ca="1" si="6"/>
        <v/>
      </c>
      <c r="Z98" s="422" t="str">
        <f t="shared" ca="1" si="7"/>
        <v/>
      </c>
    </row>
    <row r="99" spans="1:26" x14ac:dyDescent="0.35">
      <c r="B99" s="66">
        <f ca="1">IFERROR(INDIRECT(CONCATENATE("Field!B",A91+9)),"")</f>
        <v>8</v>
      </c>
      <c r="C99" s="66" t="str">
        <f ca="1">IFERROR(INDIRECT(CONCATENATE("Field!C",A91+9)),"")</f>
        <v/>
      </c>
      <c r="D99" s="89" t="str">
        <f ca="1">IFERROR(INDIRECT(CONCATENATE("Field!D",A91+9)),"")</f>
        <v/>
      </c>
      <c r="E99" s="89" t="str">
        <f ca="1">IFERROR(INDIRECT(CONCATENATE("Field!E",A91+9)),"")</f>
        <v/>
      </c>
      <c r="F99" s="149" t="str">
        <f ca="1">IFERROR(TEXT(INDIRECT(CONCATENATE("Field!F",A91+9)),"#.#0")&amp;" "&amp;VLOOKUP(C99,INDIRECT($A$92),5,FALSE),"")</f>
        <v/>
      </c>
      <c r="G99" s="121" t="str">
        <f ca="1">IFERROR(INDIRECT(CONCATENATE("Field!G",A91+9)),"")</f>
        <v/>
      </c>
      <c r="H99" s="66"/>
      <c r="I99" s="66">
        <f ca="1">IFERROR(INDIRECT(CONCATENATE("Field!I",A91+9)),"")</f>
        <v>8</v>
      </c>
      <c r="J99" s="66" t="str">
        <f ca="1">IFERROR(INDIRECT(CONCATENATE("Field!J",A91+9)),"")</f>
        <v/>
      </c>
      <c r="K99" s="89" t="str">
        <f ca="1">IFERROR(INDIRECT(CONCATENATE("Field!K",A91+9)),"")</f>
        <v/>
      </c>
      <c r="L99" s="89" t="str">
        <f ca="1">IFERROR(INDIRECT(CONCATENATE("Field!L",A91+9)),"")</f>
        <v/>
      </c>
      <c r="M99" s="149" t="str">
        <f ca="1">IFERROR(TEXT(INDIRECT(CONCATENATE("Field!m",A91+9)),"#.#0")&amp;" "&amp;VLOOKUP(J99,INDIRECT($A$92),5,FALSE),"")</f>
        <v/>
      </c>
      <c r="N99" s="121" t="str">
        <f ca="1">IFERROR(INDIRECT(CONCATENATE("Field!N",A91+9)),"")</f>
        <v/>
      </c>
      <c r="T99" s="64" t="str">
        <f t="shared" ca="1" si="4"/>
        <v/>
      </c>
      <c r="U99" s="64" t="str">
        <f t="shared" ca="1" si="5"/>
        <v/>
      </c>
      <c r="V99" s="422" t="str">
        <f ca="1">IF(OR(D99=0,D99="",D99="Athlete"),"",COUNTIF($D$4:$D99,D99))</f>
        <v/>
      </c>
      <c r="W99" s="422" t="str">
        <f t="shared" ca="1" si="6"/>
        <v/>
      </c>
      <c r="Z99" s="422" t="str">
        <f t="shared" ca="1" si="7"/>
        <v/>
      </c>
    </row>
    <row r="100" spans="1:26" x14ac:dyDescent="0.35">
      <c r="T100" s="64" t="str">
        <f t="shared" si="4"/>
        <v/>
      </c>
      <c r="U100" s="64" t="str">
        <f t="shared" si="5"/>
        <v/>
      </c>
      <c r="V100" s="422" t="str">
        <f>IF(OR(D100=0,D100="",D100="Athlete"),"",COUNTIF($D$4:$D100,D100))</f>
        <v/>
      </c>
      <c r="W100" s="422" t="str">
        <f t="shared" si="6"/>
        <v/>
      </c>
      <c r="Z100" s="422" t="str">
        <f t="shared" si="7"/>
        <v/>
      </c>
    </row>
    <row r="101" spans="1:26" x14ac:dyDescent="0.35">
      <c r="A101" s="66" t="s">
        <v>241</v>
      </c>
      <c r="B101" s="115" t="str">
        <f ca="1">IFERROR(INDIRECT(CONCATENATE("Field!B",A102)),"")</f>
        <v>High Jump U15 Boys A</v>
      </c>
      <c r="G101" s="403" t="str">
        <f ca="1">IFERROR(INDIRECT(CONCATENATE("Field!g",A102)),"")</f>
        <v/>
      </c>
      <c r="I101" s="115" t="str">
        <f ca="1">IFERROR(INDIRECT(CONCATENATE("Field!I",A102)),"")</f>
        <v>High Jump U15 Boys B</v>
      </c>
      <c r="T101" s="64" t="str">
        <f t="shared" si="4"/>
        <v/>
      </c>
      <c r="U101" s="64" t="str">
        <f t="shared" si="5"/>
        <v/>
      </c>
      <c r="V101" s="422" t="str">
        <f>IF(OR(D101=0,D101="",D101="Athlete"),"",COUNTIF($D$4:$D101,D101))</f>
        <v/>
      </c>
      <c r="W101" s="422" t="str">
        <f t="shared" si="6"/>
        <v/>
      </c>
      <c r="Z101" s="422" t="str">
        <f t="shared" ca="1" si="7"/>
        <v/>
      </c>
    </row>
    <row r="102" spans="1:26" x14ac:dyDescent="0.35">
      <c r="A102" s="66">
        <f>IFERROR(MATCH(A101,Field!A:A,0),"")</f>
        <v>233</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c r="T102" s="64" t="str">
        <f t="shared" ca="1" si="4"/>
        <v/>
      </c>
      <c r="U102" s="64" t="str">
        <f t="shared" ca="1" si="5"/>
        <v/>
      </c>
      <c r="V102" s="422" t="str">
        <f ca="1">IF(OR(D102=0,D102="",D102="Athlete"),"",COUNTIF($D$4:$D102,D102))</f>
        <v/>
      </c>
      <c r="W102" s="422" t="str">
        <f t="shared" ca="1" si="6"/>
        <v/>
      </c>
      <c r="Z102" s="422">
        <f t="shared" ca="1" si="7"/>
        <v>0</v>
      </c>
    </row>
    <row r="103" spans="1:26" x14ac:dyDescent="0.35">
      <c r="B103" s="66">
        <f ca="1">IFERROR(INDIRECT(CONCATENATE("Field!B",A102+2)),"")</f>
        <v>1</v>
      </c>
      <c r="C103" s="66">
        <f ca="1">IFERROR(INDIRECT(CONCATENATE("Field!C",A102+2)),"")</f>
        <v>3</v>
      </c>
      <c r="D103" s="89" t="str">
        <f ca="1">IFERROR(INDIRECT(CONCATENATE("Field!D",A102+2)),"")</f>
        <v>HENSON Isaac</v>
      </c>
      <c r="E103" s="89" t="str">
        <f ca="1">IFERROR(INDIRECT(CONCATENATE("Field!E",A102+2)),"")</f>
        <v>York</v>
      </c>
      <c r="F103" s="65">
        <f ca="1">IFERROR(INDIRECT(CONCATENATE("Field!F",A102+2)),"")</f>
        <v>1.35</v>
      </c>
      <c r="G103" s="121" t="str">
        <f ca="1">IFERROR(INDIRECT(CONCATENATE("Field!G",A102+2)),"")</f>
        <v/>
      </c>
      <c r="H103" s="66"/>
      <c r="I103" s="66">
        <f ca="1">IFERROR(INDIRECT(CONCATENATE("Field!I",A102+2)),"")</f>
        <v>1</v>
      </c>
      <c r="J103" s="66">
        <f ca="1">IFERROR(INDIRECT(CONCATENATE("Field!J",A102+2)),"")</f>
        <v>1</v>
      </c>
      <c r="K103" s="89" t="str">
        <f ca="1">IFERROR(INDIRECT(CONCATENATE("Field!K",A102+2)),"")</f>
        <v>PEERS-WAIN Jacob</v>
      </c>
      <c r="L103" s="89" t="str">
        <f ca="1">IFERROR(INDIRECT(CONCATENATE("Field!L",A102+2)),"")</f>
        <v>C'field</v>
      </c>
      <c r="M103" s="65">
        <f ca="1">IFERROR(INDIRECT(CONCATENATE("Field!M",A102+2)),"")</f>
        <v>1.25</v>
      </c>
      <c r="N103" s="121" t="str">
        <f ca="1">IFERROR(INDIRECT(CONCATENATE("Field!N",A102+2)),"")</f>
        <v/>
      </c>
      <c r="R103" s="219">
        <f ca="1">IFERROR(INDIRECT(CONCATENATE("Field!r",A102+2)),"")</f>
        <v>1</v>
      </c>
      <c r="T103" s="64">
        <f t="shared" ca="1" si="4"/>
        <v>3</v>
      </c>
      <c r="U103" s="64">
        <f t="shared" ca="1" si="5"/>
        <v>3</v>
      </c>
      <c r="V103" s="422">
        <f ca="1">IF(OR(D103=0,D103="",D103="Athlete"),"",COUNTIF($D$4:$D103,D103))</f>
        <v>1</v>
      </c>
      <c r="W103" s="422" t="str">
        <f t="shared" ca="1" si="6"/>
        <v>York</v>
      </c>
      <c r="Z103" s="422" t="str">
        <f t="shared" ca="1" si="7"/>
        <v/>
      </c>
    </row>
    <row r="104" spans="1:26" x14ac:dyDescent="0.35">
      <c r="B104" s="66">
        <f ca="1">IFERROR(INDIRECT(CONCATENATE("Field!B",A102+3)),"")</f>
        <v>2</v>
      </c>
      <c r="C104" s="66">
        <f ca="1">IFERROR(INDIRECT(CONCATENATE("Field!C",A102+3)),"")</f>
        <v>11</v>
      </c>
      <c r="D104" s="89" t="str">
        <f ca="1">IFERROR(INDIRECT(CONCATENATE("Field!D",A102+3)),"")</f>
        <v>FOOT James</v>
      </c>
      <c r="E104" s="89" t="str">
        <f ca="1">IFERROR(INDIRECT(CONCATENATE("Field!E",A102+3)),"")</f>
        <v>C'field</v>
      </c>
      <c r="F104" s="65">
        <f ca="1">IFERROR(INDIRECT(CONCATENATE("Field!F",A102+3)),"")</f>
        <v>1.35</v>
      </c>
      <c r="G104" s="121" t="str">
        <f ca="1">IFERROR(INDIRECT(CONCATENATE("Field!G",A102+3)),"")</f>
        <v/>
      </c>
      <c r="H104" s="66"/>
      <c r="I104" s="66" t="str">
        <f ca="1">IFERROR(INDIRECT(CONCATENATE("Field!I",A102+3)),"")</f>
        <v/>
      </c>
      <c r="J104" s="66" t="str">
        <f ca="1">IFERROR(INDIRECT(CONCATENATE("Field!J",A102+3)),"")</f>
        <v/>
      </c>
      <c r="K104" s="89" t="str">
        <f ca="1">IFERROR(INDIRECT(CONCATENATE("Field!K",A102+3)),"")</f>
        <v/>
      </c>
      <c r="L104" s="89" t="str">
        <f ca="1">IFERROR(INDIRECT(CONCATENATE("Field!L",A102+3)),"")</f>
        <v/>
      </c>
      <c r="M104" s="65">
        <f ca="1">IFERROR(INDIRECT(CONCATENATE("Field!M",A102+3)),"")</f>
        <v>0</v>
      </c>
      <c r="N104" s="121" t="str">
        <f ca="1">IFERROR(INDIRECT(CONCATENATE("Field!N",A102+3)),"")</f>
        <v/>
      </c>
      <c r="T104" s="64">
        <f t="shared" ca="1" si="4"/>
        <v>3</v>
      </c>
      <c r="U104" s="64" t="str">
        <f t="shared" ca="1" si="5"/>
        <v/>
      </c>
      <c r="V104" s="422">
        <f ca="1">IF(OR(D104=0,D104="",D104="Athlete"),"",COUNTIF($D$4:$D104,D104))</f>
        <v>2</v>
      </c>
      <c r="W104" s="422" t="str">
        <f t="shared" ca="1" si="6"/>
        <v>C'field</v>
      </c>
      <c r="Z104" s="422" t="str">
        <f t="shared" ca="1" si="7"/>
        <v/>
      </c>
    </row>
    <row r="105" spans="1:26" x14ac:dyDescent="0.35">
      <c r="B105" s="66">
        <f ca="1">IFERROR(INDIRECT(CONCATENATE("Field!B",A102+4)),"")</f>
        <v>3</v>
      </c>
      <c r="C105" s="66">
        <f ca="1">IFERROR(INDIRECT(CONCATENATE("Field!C",A102+4)),"")</f>
        <v>2</v>
      </c>
      <c r="D105" s="89" t="str">
        <f ca="1">IFERROR(INDIRECT(CONCATENATE("Field!D",A102+4)),"")</f>
        <v>LANE William</v>
      </c>
      <c r="E105" s="89" t="str">
        <f ca="1">IFERROR(INDIRECT(CONCATENATE("Field!E",A102+4)),"")</f>
        <v>Sheff+D</v>
      </c>
      <c r="F105" s="65">
        <f ca="1">IFERROR(INDIRECT(CONCATENATE("Field!F",A102+4)),"")</f>
        <v>1.25</v>
      </c>
      <c r="G105" s="121" t="str">
        <f ca="1">IFERROR(INDIRECT(CONCATENATE("Field!G",A102+4)),"")</f>
        <v/>
      </c>
      <c r="H105" s="66"/>
      <c r="I105" s="66" t="str">
        <f ca="1">IFERROR(INDIRECT(CONCATENATE("Field!I",A102+4)),"")</f>
        <v/>
      </c>
      <c r="J105" s="66" t="str">
        <f ca="1">IFERROR(INDIRECT(CONCATENATE("Field!J",A102+4)),"")</f>
        <v/>
      </c>
      <c r="K105" s="89" t="str">
        <f ca="1">IFERROR(INDIRECT(CONCATENATE("Field!K",A102+4)),"")</f>
        <v/>
      </c>
      <c r="L105" s="89" t="str">
        <f ca="1">IFERROR(INDIRECT(CONCATENATE("Field!L",A102+4)),"")</f>
        <v/>
      </c>
      <c r="M105" s="65">
        <f ca="1">IFERROR(INDIRECT(CONCATENATE("Field!M",A102+4)),"")</f>
        <v>0</v>
      </c>
      <c r="N105" s="121" t="str">
        <f ca="1">IFERROR(INDIRECT(CONCATENATE("Field!N",A102+4)),"")</f>
        <v/>
      </c>
      <c r="T105" s="64">
        <f t="shared" ca="1" si="4"/>
        <v>3</v>
      </c>
      <c r="U105" s="64" t="str">
        <f t="shared" ca="1" si="5"/>
        <v/>
      </c>
      <c r="V105" s="422">
        <f ca="1">IF(OR(D105=0,D105="",D105="Athlete"),"",COUNTIF($D$4:$D105,D105))</f>
        <v>1</v>
      </c>
      <c r="W105" s="422" t="str">
        <f t="shared" ca="1" si="6"/>
        <v>Sheff+D</v>
      </c>
      <c r="Z105" s="422" t="str">
        <f t="shared" ca="1" si="7"/>
        <v/>
      </c>
    </row>
    <row r="106" spans="1:26" x14ac:dyDescent="0.35">
      <c r="B106" s="66" t="str">
        <f ca="1">IFERROR(INDIRECT(CONCATENATE("Field!B",A102+5)),"")</f>
        <v/>
      </c>
      <c r="C106" s="66" t="str">
        <f ca="1">IFERROR(INDIRECT(CONCATENATE("Field!C",A102+5)),"")</f>
        <v/>
      </c>
      <c r="D106" s="89" t="str">
        <f ca="1">IFERROR(INDIRECT(CONCATENATE("Field!D",A102+5)),"")</f>
        <v/>
      </c>
      <c r="E106" s="89" t="str">
        <f ca="1">IFERROR(INDIRECT(CONCATENATE("Field!E",A102+5)),"")</f>
        <v/>
      </c>
      <c r="F106" s="65">
        <f ca="1">IFERROR(INDIRECT(CONCATENATE("Field!F",A102+5)),"")</f>
        <v>0</v>
      </c>
      <c r="G106" s="121" t="str">
        <f ca="1">IFERROR(INDIRECT(CONCATENATE("Field!G",A102+5)),"")</f>
        <v/>
      </c>
      <c r="H106" s="66"/>
      <c r="I106" s="66" t="str">
        <f ca="1">IFERROR(INDIRECT(CONCATENATE("Field!I",A102+5)),"")</f>
        <v/>
      </c>
      <c r="J106" s="66" t="str">
        <f ca="1">IFERROR(INDIRECT(CONCATENATE("Field!J",A102+5)),"")</f>
        <v/>
      </c>
      <c r="K106" s="89" t="str">
        <f ca="1">IFERROR(INDIRECT(CONCATENATE("Field!K",A102+5)),"")</f>
        <v/>
      </c>
      <c r="L106" s="89" t="str">
        <f ca="1">IFERROR(INDIRECT(CONCATENATE("Field!L",A102+5)),"")</f>
        <v/>
      </c>
      <c r="M106" s="65">
        <f ca="1">IFERROR(INDIRECT(CONCATENATE("Field!M",A102+5)),"")</f>
        <v>0</v>
      </c>
      <c r="N106" s="121" t="str">
        <f ca="1">IFERROR(INDIRECT(CONCATENATE("Field!N",A102+5)),"")</f>
        <v/>
      </c>
      <c r="T106" s="64" t="str">
        <f t="shared" ca="1" si="4"/>
        <v/>
      </c>
      <c r="U106" s="64" t="str">
        <f t="shared" ca="1" si="5"/>
        <v/>
      </c>
      <c r="V106" s="422" t="str">
        <f ca="1">IF(OR(D106=0,D106="",D106="Athlete"),"",COUNTIF($D$4:$D106,D106))</f>
        <v/>
      </c>
      <c r="W106" s="422" t="str">
        <f t="shared" ca="1" si="6"/>
        <v/>
      </c>
      <c r="Z106" s="422" t="str">
        <f t="shared" ca="1" si="7"/>
        <v/>
      </c>
    </row>
    <row r="107" spans="1:26" x14ac:dyDescent="0.35">
      <c r="B107" s="66" t="str">
        <f ca="1">IFERROR(INDIRECT(CONCATENATE("Field!B",A102+6)),"")</f>
        <v/>
      </c>
      <c r="C107" s="66" t="str">
        <f ca="1">IFERROR(INDIRECT(CONCATENATE("Field!C",A102+6)),"")</f>
        <v/>
      </c>
      <c r="D107" s="89" t="str">
        <f ca="1">IFERROR(INDIRECT(CONCATENATE("Field!D",A102+6)),"")</f>
        <v/>
      </c>
      <c r="E107" s="89" t="str">
        <f ca="1">IFERROR(INDIRECT(CONCATENATE("Field!E",A102+6)),"")</f>
        <v/>
      </c>
      <c r="F107" s="65">
        <f ca="1">IFERROR(INDIRECT(CONCATENATE("Field!F",A102+6)),"")</f>
        <v>0</v>
      </c>
      <c r="G107" s="121" t="str">
        <f ca="1">IFERROR(INDIRECT(CONCATENATE("Field!G",A102+6)),"")</f>
        <v/>
      </c>
      <c r="H107" s="66"/>
      <c r="I107" s="66" t="str">
        <f ca="1">IFERROR(INDIRECT(CONCATENATE("Field!I",A102+6)),"")</f>
        <v/>
      </c>
      <c r="J107" s="66" t="str">
        <f ca="1">IFERROR(INDIRECT(CONCATENATE("Field!J",A102+6)),"")</f>
        <v/>
      </c>
      <c r="K107" s="89" t="str">
        <f ca="1">IFERROR(INDIRECT(CONCATENATE("Field!K",A102+6)),"")</f>
        <v/>
      </c>
      <c r="L107" s="89" t="str">
        <f ca="1">IFERROR(INDIRECT(CONCATENATE("Field!L",A102+6)),"")</f>
        <v/>
      </c>
      <c r="M107" s="65">
        <f ca="1">IFERROR(INDIRECT(CONCATENATE("Field!M",A102+6)),"")</f>
        <v>0</v>
      </c>
      <c r="N107" s="121" t="str">
        <f ca="1">IFERROR(INDIRECT(CONCATENATE("Field!N",A102+6)),"")</f>
        <v/>
      </c>
      <c r="T107" s="64" t="str">
        <f t="shared" ca="1" si="4"/>
        <v/>
      </c>
      <c r="U107" s="64" t="str">
        <f t="shared" ca="1" si="5"/>
        <v/>
      </c>
      <c r="V107" s="422" t="str">
        <f ca="1">IF(OR(D107=0,D107="",D107="Athlete"),"",COUNTIF($D$4:$D107,D107))</f>
        <v/>
      </c>
      <c r="W107" s="422" t="str">
        <f t="shared" ca="1" si="6"/>
        <v/>
      </c>
      <c r="Z107" s="422" t="str">
        <f t="shared" ca="1" si="7"/>
        <v/>
      </c>
    </row>
    <row r="108" spans="1:26" x14ac:dyDescent="0.35">
      <c r="B108" s="66" t="str">
        <f ca="1">IFERROR(INDIRECT(CONCATENATE("Field!B",A102+7)),"")</f>
        <v/>
      </c>
      <c r="C108" s="66" t="str">
        <f ca="1">IFERROR(INDIRECT(CONCATENATE("Field!C",A102+7)),"")</f>
        <v/>
      </c>
      <c r="D108" s="89" t="str">
        <f ca="1">IFERROR(INDIRECT(CONCATENATE("Field!D",A102+7)),"")</f>
        <v/>
      </c>
      <c r="E108" s="89" t="str">
        <f ca="1">IFERROR(INDIRECT(CONCATENATE("Field!E",A102+7)),"")</f>
        <v/>
      </c>
      <c r="F108" s="65">
        <f ca="1">IFERROR(INDIRECT(CONCATENATE("Field!F",A102+7)),"")</f>
        <v>0</v>
      </c>
      <c r="G108" s="121" t="str">
        <f ca="1">IFERROR(INDIRECT(CONCATENATE("Field!G",A102+7)),"")</f>
        <v/>
      </c>
      <c r="H108" s="66"/>
      <c r="I108" s="66" t="str">
        <f ca="1">IFERROR(INDIRECT(CONCATENATE("Field!I",A102+7)),"")</f>
        <v/>
      </c>
      <c r="J108" s="66" t="str">
        <f ca="1">IFERROR(INDIRECT(CONCATENATE("Field!J",A102+7)),"")</f>
        <v/>
      </c>
      <c r="K108" s="89" t="str">
        <f ca="1">IFERROR(INDIRECT(CONCATENATE("Field!K",A102+7)),"")</f>
        <v/>
      </c>
      <c r="L108" s="89" t="str">
        <f ca="1">IFERROR(INDIRECT(CONCATENATE("Field!L",A102+7)),"")</f>
        <v/>
      </c>
      <c r="M108" s="65">
        <f ca="1">IFERROR(INDIRECT(CONCATENATE("Field!M",A102+7)),"")</f>
        <v>0</v>
      </c>
      <c r="N108" s="121" t="str">
        <f ca="1">IFERROR(INDIRECT(CONCATENATE("Field!N",A102+7)),"")</f>
        <v/>
      </c>
      <c r="T108" s="64" t="str">
        <f t="shared" ca="1" si="4"/>
        <v/>
      </c>
      <c r="U108" s="64" t="str">
        <f t="shared" ca="1" si="5"/>
        <v/>
      </c>
      <c r="V108" s="422" t="str">
        <f ca="1">IF(OR(D108=0,D108="",D108="Athlete"),"",COUNTIF($D$4:$D108,D108))</f>
        <v/>
      </c>
      <c r="W108" s="422" t="str">
        <f t="shared" ca="1" si="6"/>
        <v/>
      </c>
      <c r="Z108" s="422" t="str">
        <f t="shared" ca="1" si="7"/>
        <v/>
      </c>
    </row>
    <row r="109" spans="1:26" x14ac:dyDescent="0.35">
      <c r="B109" s="66" t="str">
        <f ca="1">IFERROR(INDIRECT(CONCATENATE("Field!B",A102+8)),"")</f>
        <v/>
      </c>
      <c r="C109" s="66" t="str">
        <f ca="1">IFERROR(INDIRECT(CONCATENATE("Field!C",A102+8)),"")</f>
        <v/>
      </c>
      <c r="D109" s="89" t="str">
        <f ca="1">IFERROR(INDIRECT(CONCATENATE("Field!D",A102+8)),"")</f>
        <v/>
      </c>
      <c r="E109" s="89" t="str">
        <f ca="1">IFERROR(INDIRECT(CONCATENATE("Field!E",A102+8)),"")</f>
        <v/>
      </c>
      <c r="F109" s="65">
        <f ca="1">IFERROR(INDIRECT(CONCATENATE("Field!F",A102+8)),"")</f>
        <v>0</v>
      </c>
      <c r="G109" s="121" t="str">
        <f ca="1">IFERROR(INDIRECT(CONCATENATE("Field!G",A102+8)),"")</f>
        <v/>
      </c>
      <c r="H109" s="66"/>
      <c r="I109" s="66" t="str">
        <f ca="1">IFERROR(INDIRECT(CONCATENATE("Field!I",A102+8)),"")</f>
        <v/>
      </c>
      <c r="J109" s="66" t="str">
        <f ca="1">IFERROR(INDIRECT(CONCATENATE("Field!J",A102+8)),"")</f>
        <v/>
      </c>
      <c r="K109" s="89" t="str">
        <f ca="1">IFERROR(INDIRECT(CONCATENATE("Field!K",A102+8)),"")</f>
        <v/>
      </c>
      <c r="L109" s="89" t="str">
        <f ca="1">IFERROR(INDIRECT(CONCATENATE("Field!L",A102+8)),"")</f>
        <v/>
      </c>
      <c r="M109" s="65">
        <f ca="1">IFERROR(INDIRECT(CONCATENATE("Field!M",A102+8)),"")</f>
        <v>0</v>
      </c>
      <c r="N109" s="121" t="str">
        <f ca="1">IFERROR(INDIRECT(CONCATENATE("Field!N",A102+8)),"")</f>
        <v/>
      </c>
      <c r="T109" s="64" t="str">
        <f t="shared" ca="1" si="4"/>
        <v/>
      </c>
      <c r="U109" s="64" t="str">
        <f t="shared" ca="1" si="5"/>
        <v/>
      </c>
      <c r="V109" s="422" t="str">
        <f ca="1">IF(OR(D109=0,D109="",D109="Athlete"),"",COUNTIF($D$4:$D109,D109))</f>
        <v/>
      </c>
      <c r="W109" s="422" t="str">
        <f t="shared" ca="1" si="6"/>
        <v/>
      </c>
      <c r="Z109" s="422" t="str">
        <f t="shared" ca="1" si="7"/>
        <v/>
      </c>
    </row>
    <row r="110" spans="1:26" x14ac:dyDescent="0.35">
      <c r="B110" s="66" t="str">
        <f ca="1">IFERROR(INDIRECT(CONCATENATE("Field!B",A102+9)),"")</f>
        <v/>
      </c>
      <c r="C110" s="66" t="str">
        <f ca="1">IFERROR(INDIRECT(CONCATENATE("Field!C",A102+9)),"")</f>
        <v/>
      </c>
      <c r="D110" s="89" t="str">
        <f ca="1">IFERROR(INDIRECT(CONCATENATE("Field!D",A102+9)),"")</f>
        <v/>
      </c>
      <c r="E110" s="89" t="str">
        <f ca="1">IFERROR(INDIRECT(CONCATENATE("Field!E",A102+9)),"")</f>
        <v/>
      </c>
      <c r="F110" s="65">
        <f ca="1">IFERROR(INDIRECT(CONCATENATE("Field!F",A102+9)),"")</f>
        <v>0</v>
      </c>
      <c r="G110" s="121" t="str">
        <f ca="1">IFERROR(INDIRECT(CONCATENATE("Field!G",A102+9)),"")</f>
        <v/>
      </c>
      <c r="H110" s="66"/>
      <c r="I110" s="66" t="str">
        <f ca="1">IFERROR(INDIRECT(CONCATENATE("Field!I",A102+9)),"")</f>
        <v/>
      </c>
      <c r="J110" s="66" t="str">
        <f ca="1">IFERROR(INDIRECT(CONCATENATE("Field!J",A102+9)),"")</f>
        <v/>
      </c>
      <c r="K110" s="89" t="str">
        <f ca="1">IFERROR(INDIRECT(CONCATENATE("Field!K",A102+9)),"")</f>
        <v/>
      </c>
      <c r="L110" s="89" t="str">
        <f ca="1">IFERROR(INDIRECT(CONCATENATE("Field!L",A102+9)),"")</f>
        <v/>
      </c>
      <c r="M110" s="65">
        <f ca="1">IFERROR(INDIRECT(CONCATENATE("Field!M",A102+9)),"")</f>
        <v>0</v>
      </c>
      <c r="N110" s="121" t="str">
        <f ca="1">IFERROR(INDIRECT(CONCATENATE("Field!N",A102+9)),"")</f>
        <v/>
      </c>
      <c r="T110" s="64" t="str">
        <f t="shared" ca="1" si="4"/>
        <v/>
      </c>
      <c r="U110" s="64" t="str">
        <f t="shared" ca="1" si="5"/>
        <v/>
      </c>
      <c r="V110" s="422" t="str">
        <f ca="1">IF(OR(D110=0,D110="",D110="Athlete"),"",COUNTIF($D$4:$D110,D110))</f>
        <v/>
      </c>
      <c r="W110" s="422" t="str">
        <f t="shared" ca="1" si="6"/>
        <v/>
      </c>
      <c r="Z110" s="422" t="str">
        <f t="shared" ca="1" si="7"/>
        <v/>
      </c>
    </row>
    <row r="111" spans="1:26" x14ac:dyDescent="0.35">
      <c r="T111" s="64" t="str">
        <f t="shared" si="4"/>
        <v/>
      </c>
      <c r="U111" s="64" t="str">
        <f t="shared" si="5"/>
        <v/>
      </c>
      <c r="V111" s="422" t="str">
        <f>IF(OR(D111=0,D111="",D111="Athlete"),"",COUNTIF($D$4:$D111,D111))</f>
        <v/>
      </c>
      <c r="W111" s="422" t="str">
        <f t="shared" si="6"/>
        <v/>
      </c>
      <c r="Z111" s="422" t="str">
        <f t="shared" si="7"/>
        <v/>
      </c>
    </row>
    <row r="112" spans="1:26" x14ac:dyDescent="0.35">
      <c r="A112" s="66" t="s">
        <v>239</v>
      </c>
      <c r="B112" s="115" t="str">
        <f ca="1">IFERROR(INDIRECT(CONCATENATE("Field!B",A113)),"")</f>
        <v>Pole Vault U15 Boys A</v>
      </c>
      <c r="G112" s="403" t="str">
        <f ca="1">IFERROR(INDIRECT(CONCATENATE("Field!g",A113)),"")</f>
        <v/>
      </c>
      <c r="I112" s="115" t="str">
        <f ca="1">IFERROR(INDIRECT(CONCATENATE("Field!I",A113)),"")</f>
        <v>Pole Vault U15 Boys B</v>
      </c>
      <c r="T112" s="64" t="str">
        <f t="shared" si="4"/>
        <v/>
      </c>
      <c r="U112" s="64" t="str">
        <f t="shared" si="5"/>
        <v/>
      </c>
      <c r="V112" s="422" t="str">
        <f>IF(OR(D112=0,D112="",D112="Athlete"),"",COUNTIF($D$4:$D112,D112))</f>
        <v/>
      </c>
      <c r="W112" s="422" t="str">
        <f t="shared" si="6"/>
        <v/>
      </c>
      <c r="Z112" s="422" t="str">
        <f t="shared" ca="1" si="7"/>
        <v/>
      </c>
    </row>
    <row r="113" spans="1:26" x14ac:dyDescent="0.35">
      <c r="A113" s="66">
        <f>IFERROR(MATCH(A112,Field!A:A,0),"")</f>
        <v>211</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c r="T113" s="64" t="str">
        <f t="shared" ca="1" si="4"/>
        <v/>
      </c>
      <c r="U113" s="64" t="str">
        <f t="shared" ca="1" si="5"/>
        <v/>
      </c>
      <c r="V113" s="422" t="str">
        <f ca="1">IF(OR(D113=0,D113="",D113="Athlete"),"",COUNTIF($D$4:$D113,D113))</f>
        <v/>
      </c>
      <c r="W113" s="422" t="str">
        <f t="shared" ca="1" si="6"/>
        <v/>
      </c>
      <c r="Z113" s="422">
        <f t="shared" ca="1" si="7"/>
        <v>0</v>
      </c>
    </row>
    <row r="114" spans="1:26" x14ac:dyDescent="0.35">
      <c r="B114" s="66">
        <f ca="1">IFERROR(INDIRECT(CONCATENATE("Field!B",A113+2)),"")</f>
        <v>1</v>
      </c>
      <c r="C114" s="66">
        <f ca="1">IFERROR(INDIRECT(CONCATENATE("Field!C",A113+2)),"")</f>
        <v>2</v>
      </c>
      <c r="D114" s="89" t="str">
        <f ca="1">IFERROR(INDIRECT(CONCATENATE("Field!D",A113+2)),"")</f>
        <v>LANE William</v>
      </c>
      <c r="E114" s="89" t="str">
        <f ca="1">IFERROR(INDIRECT(CONCATENATE("Field!E",A113+2)),"")</f>
        <v>Sheff+D</v>
      </c>
      <c r="F114" s="65">
        <f ca="1">IFERROR(INDIRECT(CONCATENATE("Field!F",A113+2)),"")</f>
        <v>3</v>
      </c>
      <c r="G114" s="121">
        <f ca="1">IFERROR(INDIRECT(CONCATENATE("Field!G",A113+2)),"")</f>
        <v>3</v>
      </c>
      <c r="H114" s="66"/>
      <c r="I114" s="66" t="str">
        <f ca="1">IFERROR(INDIRECT(CONCATENATE("Field!I",A113+2)),"")</f>
        <v/>
      </c>
      <c r="J114" s="66" t="str">
        <f ca="1">IFERROR(INDIRECT(CONCATENATE("Field!J",A113+2)),"")</f>
        <v/>
      </c>
      <c r="K114" s="89" t="str">
        <f ca="1">IFERROR(INDIRECT(CONCATENATE("Field!K",A113+2)),"")</f>
        <v/>
      </c>
      <c r="L114" s="89" t="str">
        <f ca="1">IFERROR(INDIRECT(CONCATENATE("Field!L",A113+2)),"")</f>
        <v/>
      </c>
      <c r="M114" s="65">
        <f ca="1">IFERROR(INDIRECT(CONCATENATE("Field!M",A113+2)),"")</f>
        <v>0</v>
      </c>
      <c r="N114" s="121" t="str">
        <f ca="1">IFERROR(INDIRECT(CONCATENATE("Field!N",A113+2)),"")</f>
        <v/>
      </c>
      <c r="R114" s="219">
        <f ca="1">IFERROR(INDIRECT(CONCATENATE("Field!r",A113+2)),"")</f>
        <v>1</v>
      </c>
      <c r="T114" s="64">
        <f t="shared" ca="1" si="4"/>
        <v>3</v>
      </c>
      <c r="U114" s="64" t="str">
        <f t="shared" ca="1" si="5"/>
        <v/>
      </c>
      <c r="V114" s="422">
        <f ca="1">IF(OR(D114=0,D114="",D114="Athlete"),"",COUNTIF($D$4:$D114,D114))</f>
        <v>2</v>
      </c>
      <c r="W114" s="422" t="str">
        <f t="shared" ca="1" si="6"/>
        <v>Sheff+D</v>
      </c>
      <c r="Z114" s="422">
        <f t="shared" ca="1" si="7"/>
        <v>0</v>
      </c>
    </row>
    <row r="115" spans="1:26" x14ac:dyDescent="0.35">
      <c r="B115" s="66">
        <f ca="1">IFERROR(INDIRECT(CONCATENATE("Field!B",A113+3)),"")</f>
        <v>2</v>
      </c>
      <c r="C115" s="66">
        <f ca="1">IFERROR(INDIRECT(CONCATENATE("Field!C",A113+3)),"")</f>
        <v>3</v>
      </c>
      <c r="D115" s="89" t="str">
        <f ca="1">IFERROR(INDIRECT(CONCATENATE("Field!D",A113+3)),"")</f>
        <v>BOWSHER James</v>
      </c>
      <c r="E115" s="89" t="str">
        <f ca="1">IFERROR(INDIRECT(CONCATENATE("Field!E",A113+3)),"")</f>
        <v>York</v>
      </c>
      <c r="F115" s="65">
        <f ca="1">IFERROR(INDIRECT(CONCATENATE("Field!F",A113+3)),"")</f>
        <v>2.1</v>
      </c>
      <c r="G115" s="121" t="str">
        <f ca="1">IFERROR(INDIRECT(CONCATENATE("Field!G",A113+3)),"")</f>
        <v/>
      </c>
      <c r="H115" s="66"/>
      <c r="I115" s="66" t="str">
        <f ca="1">IFERROR(INDIRECT(CONCATENATE("Field!I",A113+3)),"")</f>
        <v/>
      </c>
      <c r="J115" s="66" t="str">
        <f ca="1">IFERROR(INDIRECT(CONCATENATE("Field!J",A113+3)),"")</f>
        <v/>
      </c>
      <c r="K115" s="89" t="str">
        <f ca="1">IFERROR(INDIRECT(CONCATENATE("Field!K",A113+3)),"")</f>
        <v/>
      </c>
      <c r="L115" s="89" t="str">
        <f ca="1">IFERROR(INDIRECT(CONCATENATE("Field!L",A113+3)),"")</f>
        <v/>
      </c>
      <c r="M115" s="65">
        <f ca="1">IFERROR(INDIRECT(CONCATENATE("Field!M",A113+3)),"")</f>
        <v>0</v>
      </c>
      <c r="N115" s="121" t="str">
        <f ca="1">IFERROR(INDIRECT(CONCATENATE("Field!N",A113+3)),"")</f>
        <v/>
      </c>
      <c r="T115" s="64">
        <f t="shared" ca="1" si="4"/>
        <v>1</v>
      </c>
      <c r="U115" s="64" t="str">
        <f t="shared" ca="1" si="5"/>
        <v/>
      </c>
      <c r="V115" s="422">
        <f ca="1">IF(OR(D115=0,D115="",D115="Athlete"),"",COUNTIF($D$4:$D115,D115))</f>
        <v>1</v>
      </c>
      <c r="W115" s="422" t="str">
        <f t="shared" ca="1" si="6"/>
        <v>York</v>
      </c>
      <c r="Z115" s="422" t="str">
        <f t="shared" ca="1" si="7"/>
        <v/>
      </c>
    </row>
    <row r="116" spans="1:26" x14ac:dyDescent="0.35">
      <c r="B116" s="66" t="str">
        <f ca="1">IFERROR(INDIRECT(CONCATENATE("Field!B",A113+4)),"")</f>
        <v/>
      </c>
      <c r="C116" s="66" t="str">
        <f ca="1">IFERROR(INDIRECT(CONCATENATE("Field!C",A113+4)),"")</f>
        <v/>
      </c>
      <c r="D116" s="89" t="str">
        <f ca="1">IFERROR(INDIRECT(CONCATENATE("Field!D",A113+4)),"")</f>
        <v/>
      </c>
      <c r="E116" s="89" t="str">
        <f ca="1">IFERROR(INDIRECT(CONCATENATE("Field!E",A113+4)),"")</f>
        <v/>
      </c>
      <c r="F116" s="65">
        <f ca="1">IFERROR(INDIRECT(CONCATENATE("Field!F",A113+4)),"")</f>
        <v>0</v>
      </c>
      <c r="G116" s="121" t="str">
        <f ca="1">IFERROR(INDIRECT(CONCATENATE("Field!G",A113+4)),"")</f>
        <v/>
      </c>
      <c r="H116" s="66"/>
      <c r="I116" s="66" t="str">
        <f ca="1">IFERROR(INDIRECT(CONCATENATE("Field!I",A113+4)),"")</f>
        <v/>
      </c>
      <c r="J116" s="66" t="str">
        <f ca="1">IFERROR(INDIRECT(CONCATENATE("Field!J",A113+4)),"")</f>
        <v/>
      </c>
      <c r="K116" s="89" t="str">
        <f ca="1">IFERROR(INDIRECT(CONCATENATE("Field!K",A113+4)),"")</f>
        <v/>
      </c>
      <c r="L116" s="89" t="str">
        <f ca="1">IFERROR(INDIRECT(CONCATENATE("Field!L",A113+4)),"")</f>
        <v/>
      </c>
      <c r="M116" s="65">
        <f ca="1">IFERROR(INDIRECT(CONCATENATE("Field!M",A113+4)),"")</f>
        <v>0</v>
      </c>
      <c r="N116" s="121" t="str">
        <f ca="1">IFERROR(INDIRECT(CONCATENATE("Field!N",A113+4)),"")</f>
        <v/>
      </c>
      <c r="T116" s="64" t="str">
        <f t="shared" ca="1" si="4"/>
        <v/>
      </c>
      <c r="U116" s="64" t="str">
        <f t="shared" ca="1" si="5"/>
        <v/>
      </c>
      <c r="V116" s="422" t="str">
        <f ca="1">IF(OR(D116=0,D116="",D116="Athlete"),"",COUNTIF($D$4:$D116,D116))</f>
        <v/>
      </c>
      <c r="W116" s="422" t="str">
        <f t="shared" ca="1" si="6"/>
        <v/>
      </c>
      <c r="Z116" s="422" t="str">
        <f t="shared" ca="1" si="7"/>
        <v/>
      </c>
    </row>
    <row r="117" spans="1:26" x14ac:dyDescent="0.35">
      <c r="B117" s="66" t="str">
        <f ca="1">IFERROR(INDIRECT(CONCATENATE("Field!B",A113+5)),"")</f>
        <v/>
      </c>
      <c r="C117" s="66" t="str">
        <f ca="1">IFERROR(INDIRECT(CONCATENATE("Field!C",A113+5)),"")</f>
        <v/>
      </c>
      <c r="D117" s="89" t="str">
        <f ca="1">IFERROR(INDIRECT(CONCATENATE("Field!D",A113+5)),"")</f>
        <v/>
      </c>
      <c r="E117" s="89" t="str">
        <f ca="1">IFERROR(INDIRECT(CONCATENATE("Field!E",A113+5)),"")</f>
        <v/>
      </c>
      <c r="F117" s="65">
        <f ca="1">IFERROR(INDIRECT(CONCATENATE("Field!F",A113+5)),"")</f>
        <v>0</v>
      </c>
      <c r="G117" s="121" t="str">
        <f ca="1">IFERROR(INDIRECT(CONCATENATE("Field!G",A113+5)),"")</f>
        <v/>
      </c>
      <c r="H117" s="66"/>
      <c r="I117" s="66" t="str">
        <f ca="1">IFERROR(INDIRECT(CONCATENATE("Field!I",A113+5)),"")</f>
        <v/>
      </c>
      <c r="J117" s="66" t="str">
        <f ca="1">IFERROR(INDIRECT(CONCATENATE("Field!J",A113+5)),"")</f>
        <v/>
      </c>
      <c r="K117" s="89" t="str">
        <f ca="1">IFERROR(INDIRECT(CONCATENATE("Field!K",A113+5)),"")</f>
        <v/>
      </c>
      <c r="L117" s="89" t="str">
        <f ca="1">IFERROR(INDIRECT(CONCATENATE("Field!L",A113+5)),"")</f>
        <v/>
      </c>
      <c r="M117" s="65">
        <f ca="1">IFERROR(INDIRECT(CONCATENATE("Field!M",A113+5)),"")</f>
        <v>0</v>
      </c>
      <c r="N117" s="121" t="str">
        <f ca="1">IFERROR(INDIRECT(CONCATENATE("Field!N",A113+5)),"")</f>
        <v/>
      </c>
      <c r="T117" s="64" t="str">
        <f t="shared" ca="1" si="4"/>
        <v/>
      </c>
      <c r="U117" s="64" t="str">
        <f t="shared" ca="1" si="5"/>
        <v/>
      </c>
      <c r="V117" s="422" t="str">
        <f ca="1">IF(OR(D117=0,D117="",D117="Athlete"),"",COUNTIF($D$4:$D117,D117))</f>
        <v/>
      </c>
      <c r="W117" s="422" t="str">
        <f t="shared" ca="1" si="6"/>
        <v/>
      </c>
      <c r="Z117" s="422" t="str">
        <f t="shared" ca="1" si="7"/>
        <v/>
      </c>
    </row>
    <row r="118" spans="1:26" x14ac:dyDescent="0.35">
      <c r="B118" s="66" t="str">
        <f ca="1">IFERROR(INDIRECT(CONCATENATE("Field!B",A113+6)),"")</f>
        <v/>
      </c>
      <c r="C118" s="66" t="str">
        <f ca="1">IFERROR(INDIRECT(CONCATENATE("Field!C",A113+6)),"")</f>
        <v/>
      </c>
      <c r="D118" s="89" t="str">
        <f ca="1">IFERROR(INDIRECT(CONCATENATE("Field!D",A113+6)),"")</f>
        <v/>
      </c>
      <c r="E118" s="89" t="str">
        <f ca="1">IFERROR(INDIRECT(CONCATENATE("Field!E",A113+6)),"")</f>
        <v/>
      </c>
      <c r="F118" s="65">
        <f ca="1">IFERROR(INDIRECT(CONCATENATE("Field!F",A113+6)),"")</f>
        <v>0</v>
      </c>
      <c r="G118" s="121" t="str">
        <f ca="1">IFERROR(INDIRECT(CONCATENATE("Field!G",A113+6)),"")</f>
        <v/>
      </c>
      <c r="H118" s="66"/>
      <c r="I118" s="66" t="str">
        <f ca="1">IFERROR(INDIRECT(CONCATENATE("Field!I",A113+6)),"")</f>
        <v/>
      </c>
      <c r="J118" s="66" t="str">
        <f ca="1">IFERROR(INDIRECT(CONCATENATE("Field!J",A113+6)),"")</f>
        <v/>
      </c>
      <c r="K118" s="89" t="str">
        <f ca="1">IFERROR(INDIRECT(CONCATENATE("Field!K",A113+6)),"")</f>
        <v/>
      </c>
      <c r="L118" s="89" t="str">
        <f ca="1">IFERROR(INDIRECT(CONCATENATE("Field!L",A113+6)),"")</f>
        <v/>
      </c>
      <c r="M118" s="65">
        <f ca="1">IFERROR(INDIRECT(CONCATENATE("Field!M",A113+6)),"")</f>
        <v>0</v>
      </c>
      <c r="N118" s="121" t="str">
        <f ca="1">IFERROR(INDIRECT(CONCATENATE("Field!N",A113+6)),"")</f>
        <v/>
      </c>
      <c r="T118" s="64" t="str">
        <f t="shared" ca="1" si="4"/>
        <v/>
      </c>
      <c r="U118" s="64" t="str">
        <f t="shared" ca="1" si="5"/>
        <v/>
      </c>
      <c r="V118" s="422" t="str">
        <f ca="1">IF(OR(D118=0,D118="",D118="Athlete"),"",COUNTIF($D$4:$D118,D118))</f>
        <v/>
      </c>
      <c r="W118" s="422" t="str">
        <f t="shared" ca="1" si="6"/>
        <v/>
      </c>
      <c r="Z118" s="422" t="str">
        <f t="shared" ca="1" si="7"/>
        <v/>
      </c>
    </row>
    <row r="119" spans="1:26" x14ac:dyDescent="0.35">
      <c r="B119" s="66" t="str">
        <f ca="1">IFERROR(INDIRECT(CONCATENATE("Field!B",A113+7)),"")</f>
        <v/>
      </c>
      <c r="C119" s="66" t="str">
        <f ca="1">IFERROR(INDIRECT(CONCATENATE("Field!C",A113+7)),"")</f>
        <v/>
      </c>
      <c r="D119" s="89" t="str">
        <f ca="1">IFERROR(INDIRECT(CONCATENATE("Field!D",A113+7)),"")</f>
        <v/>
      </c>
      <c r="E119" s="89" t="str">
        <f ca="1">IFERROR(INDIRECT(CONCATENATE("Field!E",A113+7)),"")</f>
        <v/>
      </c>
      <c r="F119" s="65">
        <f ca="1">IFERROR(INDIRECT(CONCATENATE("Field!F",A113+7)),"")</f>
        <v>0</v>
      </c>
      <c r="G119" s="121" t="str">
        <f ca="1">IFERROR(INDIRECT(CONCATENATE("Field!G",A113+7)),"")</f>
        <v/>
      </c>
      <c r="H119" s="66"/>
      <c r="I119" s="66" t="str">
        <f ca="1">IFERROR(INDIRECT(CONCATENATE("Field!I",A113+7)),"")</f>
        <v/>
      </c>
      <c r="J119" s="66" t="str">
        <f ca="1">IFERROR(INDIRECT(CONCATENATE("Field!J",A113+7)),"")</f>
        <v/>
      </c>
      <c r="K119" s="89" t="str">
        <f ca="1">IFERROR(INDIRECT(CONCATENATE("Field!K",A113+7)),"")</f>
        <v/>
      </c>
      <c r="L119" s="89" t="str">
        <f ca="1">IFERROR(INDIRECT(CONCATENATE("Field!L",A113+7)),"")</f>
        <v/>
      </c>
      <c r="M119" s="65">
        <f ca="1">IFERROR(INDIRECT(CONCATENATE("Field!M",A113+7)),"")</f>
        <v>0</v>
      </c>
      <c r="N119" s="121" t="str">
        <f ca="1">IFERROR(INDIRECT(CONCATENATE("Field!N",A113+7)),"")</f>
        <v/>
      </c>
      <c r="T119" s="64" t="str">
        <f t="shared" ca="1" si="4"/>
        <v/>
      </c>
      <c r="U119" s="64" t="str">
        <f t="shared" ca="1" si="5"/>
        <v/>
      </c>
      <c r="V119" s="422" t="str">
        <f ca="1">IF(OR(D119=0,D119="",D119="Athlete"),"",COUNTIF($D$4:$D119,D119))</f>
        <v/>
      </c>
      <c r="W119" s="422" t="str">
        <f t="shared" ca="1" si="6"/>
        <v/>
      </c>
      <c r="Z119" s="422" t="str">
        <f t="shared" ca="1" si="7"/>
        <v/>
      </c>
    </row>
    <row r="120" spans="1:26" x14ac:dyDescent="0.35">
      <c r="B120" s="66" t="str">
        <f ca="1">IFERROR(INDIRECT(CONCATENATE("Field!B",A113+8)),"")</f>
        <v/>
      </c>
      <c r="C120" s="66" t="str">
        <f ca="1">IFERROR(INDIRECT(CONCATENATE("Field!C",A113+8)),"")</f>
        <v/>
      </c>
      <c r="D120" s="89" t="str">
        <f ca="1">IFERROR(INDIRECT(CONCATENATE("Field!D",A113+8)),"")</f>
        <v/>
      </c>
      <c r="E120" s="89" t="str">
        <f ca="1">IFERROR(INDIRECT(CONCATENATE("Field!E",A113+8)),"")</f>
        <v/>
      </c>
      <c r="F120" s="65">
        <f ca="1">IFERROR(INDIRECT(CONCATENATE("Field!F",A113+8)),"")</f>
        <v>0</v>
      </c>
      <c r="G120" s="121" t="str">
        <f ca="1">IFERROR(INDIRECT(CONCATENATE("Field!G",A113+8)),"")</f>
        <v/>
      </c>
      <c r="H120" s="66"/>
      <c r="I120" s="66" t="str">
        <f ca="1">IFERROR(INDIRECT(CONCATENATE("Field!I",A113+8)),"")</f>
        <v/>
      </c>
      <c r="J120" s="66" t="str">
        <f ca="1">IFERROR(INDIRECT(CONCATENATE("Field!J",A113+8)),"")</f>
        <v/>
      </c>
      <c r="K120" s="89" t="str">
        <f ca="1">IFERROR(INDIRECT(CONCATENATE("Field!K",A113+8)),"")</f>
        <v/>
      </c>
      <c r="L120" s="89" t="str">
        <f ca="1">IFERROR(INDIRECT(CONCATENATE("Field!L",A113+8)),"")</f>
        <v/>
      </c>
      <c r="M120" s="65">
        <f ca="1">IFERROR(INDIRECT(CONCATENATE("Field!M",A113+8)),"")</f>
        <v>0</v>
      </c>
      <c r="N120" s="121" t="str">
        <f ca="1">IFERROR(INDIRECT(CONCATENATE("Field!N",A113+8)),"")</f>
        <v/>
      </c>
      <c r="T120" s="64" t="str">
        <f t="shared" ca="1" si="4"/>
        <v/>
      </c>
      <c r="U120" s="64" t="str">
        <f t="shared" ca="1" si="5"/>
        <v/>
      </c>
      <c r="V120" s="422" t="str">
        <f ca="1">IF(OR(D120=0,D120="",D120="Athlete"),"",COUNTIF($D$4:$D120,D120))</f>
        <v/>
      </c>
      <c r="W120" s="422" t="str">
        <f t="shared" ca="1" si="6"/>
        <v/>
      </c>
      <c r="Z120" s="422" t="str">
        <f t="shared" ca="1" si="7"/>
        <v/>
      </c>
    </row>
    <row r="121" spans="1:26" x14ac:dyDescent="0.35">
      <c r="B121" s="66" t="str">
        <f ca="1">IFERROR(INDIRECT(CONCATENATE("Field!B",A113+9)),"")</f>
        <v/>
      </c>
      <c r="C121" s="66" t="str">
        <f ca="1">IFERROR(INDIRECT(CONCATENATE("Field!C",A113+9)),"")</f>
        <v/>
      </c>
      <c r="D121" s="89" t="str">
        <f ca="1">IFERROR(INDIRECT(CONCATENATE("Field!D",A113+9)),"")</f>
        <v/>
      </c>
      <c r="E121" s="89" t="str">
        <f ca="1">IFERROR(INDIRECT(CONCATENATE("Field!E",A113+9)),"")</f>
        <v/>
      </c>
      <c r="F121" s="65">
        <f ca="1">IFERROR(INDIRECT(CONCATENATE("Field!F",A113+9)),"")</f>
        <v>0</v>
      </c>
      <c r="G121" s="121" t="str">
        <f ca="1">IFERROR(INDIRECT(CONCATENATE("Field!G",A113+9)),"")</f>
        <v/>
      </c>
      <c r="H121" s="66"/>
      <c r="I121" s="66" t="str">
        <f ca="1">IFERROR(INDIRECT(CONCATENATE("Field!I",A113+9)),"")</f>
        <v/>
      </c>
      <c r="J121" s="66" t="str">
        <f ca="1">IFERROR(INDIRECT(CONCATENATE("Field!J",A113+9)),"")</f>
        <v/>
      </c>
      <c r="K121" s="89" t="str">
        <f ca="1">IFERROR(INDIRECT(CONCATENATE("Field!K",A113+9)),"")</f>
        <v/>
      </c>
      <c r="L121" s="89" t="str">
        <f ca="1">IFERROR(INDIRECT(CONCATENATE("Field!L",A113+9)),"")</f>
        <v/>
      </c>
      <c r="M121" s="65">
        <f ca="1">IFERROR(INDIRECT(CONCATENATE("Field!M",A113+9)),"")</f>
        <v>0</v>
      </c>
      <c r="N121" s="121" t="str">
        <f ca="1">IFERROR(INDIRECT(CONCATENATE("Field!N",A113+9)),"")</f>
        <v/>
      </c>
      <c r="T121" s="64" t="str">
        <f t="shared" ca="1" si="4"/>
        <v/>
      </c>
      <c r="U121" s="64" t="str">
        <f t="shared" ca="1" si="5"/>
        <v/>
      </c>
      <c r="V121" s="422" t="str">
        <f ca="1">IF(OR(D121=0,D121="",D121="Athlete"),"",COUNTIF($D$4:$D121,D121))</f>
        <v/>
      </c>
      <c r="W121" s="422" t="str">
        <f t="shared" ca="1" si="6"/>
        <v/>
      </c>
      <c r="Z121" s="422" t="str">
        <f t="shared" ca="1" si="7"/>
        <v/>
      </c>
    </row>
    <row r="122" spans="1:26" x14ac:dyDescent="0.35">
      <c r="T122" s="64" t="str">
        <f t="shared" si="4"/>
        <v/>
      </c>
      <c r="U122" s="64" t="str">
        <f t="shared" si="5"/>
        <v/>
      </c>
      <c r="V122" s="422" t="str">
        <f>IF(OR(D122=0,D122="",D122="Athlete"),"",COUNTIF($D$4:$D122,D122))</f>
        <v/>
      </c>
      <c r="W122" s="422" t="str">
        <f t="shared" si="6"/>
        <v/>
      </c>
      <c r="Z122" s="422" t="str">
        <f t="shared" si="7"/>
        <v/>
      </c>
    </row>
    <row r="123" spans="1:26" x14ac:dyDescent="0.35">
      <c r="A123" s="66" t="s">
        <v>242</v>
      </c>
      <c r="B123" s="115" t="str">
        <f ca="1">IFERROR(INDIRECT(CONCATENATE("Field!B",A124)),"")</f>
        <v>Shot U15 Boys A</v>
      </c>
      <c r="G123" s="403" t="str">
        <f ca="1">IFERROR(INDIRECT(CONCATENATE("Field!g",A124)),"")</f>
        <v/>
      </c>
      <c r="I123" s="115" t="str">
        <f ca="1">IFERROR(INDIRECT(CONCATENATE("Field!I",A124)),"")</f>
        <v>Shot U15 Boys B</v>
      </c>
      <c r="T123" s="64" t="str">
        <f t="shared" si="4"/>
        <v/>
      </c>
      <c r="U123" s="64" t="str">
        <f t="shared" si="5"/>
        <v/>
      </c>
      <c r="V123" s="422" t="str">
        <f>IF(OR(D123=0,D123="",D123="Athlete"),"",COUNTIF($D$4:$D123,D123))</f>
        <v/>
      </c>
      <c r="W123" s="422" t="str">
        <f t="shared" si="6"/>
        <v/>
      </c>
      <c r="Z123" s="422" t="str">
        <f t="shared" ca="1" si="7"/>
        <v/>
      </c>
    </row>
    <row r="124" spans="1:26" x14ac:dyDescent="0.35">
      <c r="A124" s="66">
        <f>IFERROR(MATCH(A123,Field!A:A,0),"")</f>
        <v>57</v>
      </c>
      <c r="B124" s="45" t="str">
        <f ca="1">IFERROR(INDIRECT(CONCATENATE("Field!B",A124+1)),"")</f>
        <v>Posn</v>
      </c>
      <c r="C124" s="45" t="str">
        <f ca="1">IFERROR(INDIRECT(CONCATENATE("Field!C",A124+1)),"")</f>
        <v>Bib</v>
      </c>
      <c r="D124" s="182" t="str">
        <f ca="1">IFERROR(INDIRECT(CONCATENATE("Field!D",A124+1)),"")</f>
        <v>Athlete</v>
      </c>
      <c r="E124" s="182" t="str">
        <f ca="1">IFERROR(INDIRECT(CONCATENATE("Field!E",A124+1)),"")</f>
        <v>Club</v>
      </c>
      <c r="F124" s="149" t="str">
        <f ca="1">IFERROR(INDIRECT(CONCATENATE("Field!F",A124+1)),"")</f>
        <v>Perf</v>
      </c>
      <c r="G124" s="218" t="str">
        <f ca="1">IFERROR(INDIRECT(CONCATENATE("Field!G",A124+1)),"")</f>
        <v>AAA</v>
      </c>
      <c r="H124" s="45"/>
      <c r="I124" s="45" t="str">
        <f ca="1">IFERROR(INDIRECT(CONCATENATE("Field!I",A124+1)),"")</f>
        <v>Posn</v>
      </c>
      <c r="J124" s="45" t="str">
        <f ca="1">IFERROR(INDIRECT(CONCATENATE("Field!J",A124+1)),"")</f>
        <v>Bib</v>
      </c>
      <c r="K124" s="182" t="str">
        <f ca="1">IFERROR(INDIRECT(CONCATENATE("Field!K",A124+1)),"")</f>
        <v>Athlete</v>
      </c>
      <c r="L124" s="182" t="str">
        <f ca="1">IFERROR(INDIRECT(CONCATENATE("Field!L",A124+1)),"")</f>
        <v>Club</v>
      </c>
      <c r="M124" s="149" t="str">
        <f ca="1">IFERROR(INDIRECT(CONCATENATE("Field!M",A124+1)),"")</f>
        <v>Perf</v>
      </c>
      <c r="N124" s="218" t="str">
        <f ca="1">IFERROR(INDIRECT(CONCATENATE("Field!N",A124+1)),"")</f>
        <v>AAA</v>
      </c>
      <c r="T124" s="64" t="str">
        <f t="shared" ca="1" si="4"/>
        <v/>
      </c>
      <c r="U124" s="64" t="str">
        <f t="shared" ca="1" si="5"/>
        <v/>
      </c>
      <c r="V124" s="422" t="str">
        <f ca="1">IF(OR(D124=0,D124="",D124="Athlete"),"",COUNTIF($D$4:$D124,D124))</f>
        <v/>
      </c>
      <c r="W124" s="422" t="str">
        <f t="shared" ca="1" si="6"/>
        <v/>
      </c>
      <c r="Z124" s="422">
        <f t="shared" ca="1" si="7"/>
        <v>0</v>
      </c>
    </row>
    <row r="125" spans="1:26" x14ac:dyDescent="0.35">
      <c r="B125" s="66">
        <f ca="1">IFERROR(INDIRECT(CONCATENATE("Field!B",A124+2)),"")</f>
        <v>1</v>
      </c>
      <c r="C125" s="66">
        <f ca="1">IFERROR(INDIRECT(CONCATENATE("Field!C",A124+2)),"")</f>
        <v>33</v>
      </c>
      <c r="D125" s="89" t="str">
        <f ca="1">IFERROR(INDIRECT(CONCATENATE("Field!D",A124+2)),"")</f>
        <v>RUTTER Aaron</v>
      </c>
      <c r="E125" s="89" t="str">
        <f ca="1">IFERROR(INDIRECT(CONCATENATE("Field!E",A124+2)),"")</f>
        <v>York</v>
      </c>
      <c r="F125" s="65">
        <f ca="1">IFERROR(INDIRECT(CONCATENATE("Field!F",A124+2)),"")</f>
        <v>11.8</v>
      </c>
      <c r="G125" s="121">
        <f ca="1">IFERROR(INDIRECT(CONCATENATE("Field!G",A124+2)),"")</f>
        <v>2</v>
      </c>
      <c r="H125" s="66"/>
      <c r="I125" s="66">
        <f ca="1">IFERROR(INDIRECT(CONCATENATE("Field!I",A124+2)),"")</f>
        <v>1</v>
      </c>
      <c r="J125" s="66">
        <f ca="1">IFERROR(INDIRECT(CONCATENATE("Field!J",A124+2)),"")</f>
        <v>3</v>
      </c>
      <c r="K125" s="89" t="str">
        <f ca="1">IFERROR(INDIRECT(CONCATENATE("Field!K",A124+2)),"")</f>
        <v>MEIGH William</v>
      </c>
      <c r="L125" s="89" t="str">
        <f ca="1">IFERROR(INDIRECT(CONCATENATE("Field!L",A124+2)),"")</f>
        <v>York</v>
      </c>
      <c r="M125" s="65">
        <f ca="1">IFERROR(INDIRECT(CONCATENATE("Field!M",A124+2)),"")</f>
        <v>7.59</v>
      </c>
      <c r="N125" s="121" t="str">
        <f ca="1">IFERROR(INDIRECT(CONCATENATE("Field!N",A124+2)),"")</f>
        <v/>
      </c>
      <c r="R125" s="219">
        <f ca="1">IFERROR(INDIRECT(CONCATENATE("Field!r",A124+2)),"")</f>
        <v>1</v>
      </c>
      <c r="T125" s="64">
        <f t="shared" ca="1" si="4"/>
        <v>2</v>
      </c>
      <c r="U125" s="64">
        <f t="shared" ca="1" si="5"/>
        <v>3</v>
      </c>
      <c r="V125" s="422">
        <f ca="1">IF(OR(D125=0,D125="",D125="Athlete"),"",COUNTIF($D$4:$D125,D125))</f>
        <v>1</v>
      </c>
      <c r="W125" s="422" t="str">
        <f t="shared" ca="1" si="6"/>
        <v>York</v>
      </c>
      <c r="Z125" s="422">
        <f t="shared" ca="1" si="7"/>
        <v>0</v>
      </c>
    </row>
    <row r="126" spans="1:26" x14ac:dyDescent="0.35">
      <c r="B126" s="66">
        <f ca="1">IFERROR(INDIRECT(CONCATENATE("Field!B",A124+3)),"")</f>
        <v>2</v>
      </c>
      <c r="C126" s="66">
        <f ca="1">IFERROR(INDIRECT(CONCATENATE("Field!C",A124+3)),"")</f>
        <v>1</v>
      </c>
      <c r="D126" s="89" t="str">
        <f ca="1">IFERROR(INDIRECT(CONCATENATE("Field!D",A124+3)),"")</f>
        <v>COOPER Malachi</v>
      </c>
      <c r="E126" s="89" t="str">
        <f ca="1">IFERROR(INDIRECT(CONCATENATE("Field!E",A124+3)),"")</f>
        <v>C'field</v>
      </c>
      <c r="F126" s="65">
        <f ca="1">IFERROR(INDIRECT(CONCATENATE("Field!F",A124+3)),"")</f>
        <v>8.33</v>
      </c>
      <c r="G126" s="121" t="str">
        <f ca="1">IFERROR(INDIRECT(CONCATENATE("Field!G",A124+3)),"")</f>
        <v/>
      </c>
      <c r="H126" s="66"/>
      <c r="I126" s="66">
        <f ca="1">IFERROR(INDIRECT(CONCATENATE("Field!I",A124+3)),"")</f>
        <v>2</v>
      </c>
      <c r="J126" s="66">
        <f ca="1">IFERROR(INDIRECT(CONCATENATE("Field!J",A124+3)),"")</f>
        <v>11</v>
      </c>
      <c r="K126" s="89" t="str">
        <f ca="1">IFERROR(INDIRECT(CONCATENATE("Field!K",A124+3)),"")</f>
        <v>MAZUREK Gracjan</v>
      </c>
      <c r="L126" s="89" t="str">
        <f ca="1">IFERROR(INDIRECT(CONCATENATE("Field!L",A124+3)),"")</f>
        <v>C'field</v>
      </c>
      <c r="M126" s="65">
        <f ca="1">IFERROR(INDIRECT(CONCATENATE("Field!M",A124+3)),"")</f>
        <v>6.25</v>
      </c>
      <c r="N126" s="121" t="str">
        <f ca="1">IFERROR(INDIRECT(CONCATENATE("Field!N",A124+3)),"")</f>
        <v/>
      </c>
      <c r="T126" s="64">
        <f t="shared" ca="1" si="4"/>
        <v>2</v>
      </c>
      <c r="U126" s="64">
        <f t="shared" ca="1" si="5"/>
        <v>2</v>
      </c>
      <c r="V126" s="422">
        <f ca="1">IF(OR(D126=0,D126="",D126="Athlete"),"",COUNTIF($D$4:$D126,D126))</f>
        <v>1</v>
      </c>
      <c r="W126" s="422" t="str">
        <f t="shared" ca="1" si="6"/>
        <v>C'field</v>
      </c>
      <c r="Z126" s="422" t="str">
        <f t="shared" ca="1" si="7"/>
        <v/>
      </c>
    </row>
    <row r="127" spans="1:26" x14ac:dyDescent="0.35">
      <c r="B127" s="66">
        <f ca="1">IFERROR(INDIRECT(CONCATENATE("Field!B",A124+4)),"")</f>
        <v>3</v>
      </c>
      <c r="C127" s="66">
        <f ca="1">IFERROR(INDIRECT(CONCATENATE("Field!C",A124+4)),"")</f>
        <v>2</v>
      </c>
      <c r="D127" s="89" t="str">
        <f ca="1">IFERROR(INDIRECT(CONCATENATE("Field!D",A124+4)),"")</f>
        <v>LANE William</v>
      </c>
      <c r="E127" s="89" t="str">
        <f ca="1">IFERROR(INDIRECT(CONCATENATE("Field!E",A124+4)),"")</f>
        <v>Sheff+D</v>
      </c>
      <c r="F127" s="65">
        <f ca="1">IFERROR(INDIRECT(CONCATENATE("Field!F",A124+4)),"")</f>
        <v>8.14</v>
      </c>
      <c r="G127" s="121" t="str">
        <f ca="1">IFERROR(INDIRECT(CONCATENATE("Field!G",A124+4)),"")</f>
        <v/>
      </c>
      <c r="H127" s="66"/>
      <c r="I127" s="66">
        <f ca="1">IFERROR(INDIRECT(CONCATENATE("Field!I",A124+4)),"")</f>
        <v>3</v>
      </c>
      <c r="J127" s="66">
        <f ca="1">IFERROR(INDIRECT(CONCATENATE("Field!J",A124+4)),"")</f>
        <v>44</v>
      </c>
      <c r="K127" s="89" t="str">
        <f ca="1">IFERROR(INDIRECT(CONCATENATE("Field!K",A124+4)),"")</f>
        <v>KAYE Charlie</v>
      </c>
      <c r="L127" s="89" t="str">
        <f ca="1">IFERROR(INDIRECT(CONCATENATE("Field!L",A124+4)),"")</f>
        <v>M'bro</v>
      </c>
      <c r="M127" s="65">
        <f ca="1">IFERROR(INDIRECT(CONCATENATE("Field!M",A124+4)),"")</f>
        <v>4.67</v>
      </c>
      <c r="N127" s="121" t="str">
        <f ca="1">IFERROR(INDIRECT(CONCATENATE("Field!N",A124+4)),"")</f>
        <v/>
      </c>
      <c r="T127" s="64">
        <f t="shared" ca="1" si="4"/>
        <v>3</v>
      </c>
      <c r="U127" s="64">
        <f t="shared" ca="1" si="5"/>
        <v>2</v>
      </c>
      <c r="V127" s="422">
        <f ca="1">IF(OR(D127=0,D127="",D127="Athlete"),"",COUNTIF($D$4:$D127,D127))</f>
        <v>3</v>
      </c>
      <c r="W127" s="422" t="str">
        <f t="shared" ca="1" si="6"/>
        <v>Sheff+D</v>
      </c>
      <c r="Z127" s="422" t="str">
        <f t="shared" ca="1" si="7"/>
        <v/>
      </c>
    </row>
    <row r="128" spans="1:26" x14ac:dyDescent="0.35">
      <c r="B128" s="66">
        <f ca="1">IFERROR(INDIRECT(CONCATENATE("Field!B",A124+5)),"")</f>
        <v>4</v>
      </c>
      <c r="C128" s="66">
        <f ca="1">IFERROR(INDIRECT(CONCATENATE("Field!C",A124+5)),"")</f>
        <v>5</v>
      </c>
      <c r="D128" s="89" t="str">
        <f ca="1">IFERROR(INDIRECT(CONCATENATE("Field!D",A124+5)),"")</f>
        <v>COOK Edwin</v>
      </c>
      <c r="E128" s="89" t="str">
        <f ca="1">IFERROR(INDIRECT(CONCATENATE("Field!E",A124+5)),"")</f>
        <v>Scun</v>
      </c>
      <c r="F128" s="65">
        <f ca="1">IFERROR(INDIRECT(CONCATENATE("Field!F",A124+5)),"")</f>
        <v>7.89</v>
      </c>
      <c r="G128" s="121" t="str">
        <f ca="1">IFERROR(INDIRECT(CONCATENATE("Field!G",A124+5)),"")</f>
        <v/>
      </c>
      <c r="H128" s="66"/>
      <c r="I128" s="66">
        <f ca="1">IFERROR(INDIRECT(CONCATENATE("Field!I",A124+5)),"")</f>
        <v>4</v>
      </c>
      <c r="J128" s="66" t="str">
        <f ca="1">IFERROR(INDIRECT(CONCATENATE("Field!J",A124+5)),"")</f>
        <v/>
      </c>
      <c r="K128" s="89" t="str">
        <f ca="1">IFERROR(INDIRECT(CONCATENATE("Field!K",A124+5)),"")</f>
        <v/>
      </c>
      <c r="L128" s="89" t="str">
        <f ca="1">IFERROR(INDIRECT(CONCATENATE("Field!L",A124+5)),"")</f>
        <v/>
      </c>
      <c r="M128" s="65" t="str">
        <f ca="1">IFERROR(INDIRECT(CONCATENATE("Field!M",A124+5)),"")</f>
        <v/>
      </c>
      <c r="N128" s="121" t="str">
        <f ca="1">IFERROR(INDIRECT(CONCATENATE("Field!N",A124+5)),"")</f>
        <v/>
      </c>
      <c r="T128" s="64">
        <f t="shared" ca="1" si="4"/>
        <v>3</v>
      </c>
      <c r="U128" s="64" t="str">
        <f t="shared" ca="1" si="5"/>
        <v/>
      </c>
      <c r="V128" s="422">
        <f ca="1">IF(OR(D128=0,D128="",D128="Athlete"),"",COUNTIF($D$4:$D128,D128))</f>
        <v>1</v>
      </c>
      <c r="W128" s="422" t="str">
        <f t="shared" ca="1" si="6"/>
        <v>Scun</v>
      </c>
      <c r="Z128" s="422" t="str">
        <f t="shared" ca="1" si="7"/>
        <v/>
      </c>
    </row>
    <row r="129" spans="1:26" x14ac:dyDescent="0.35">
      <c r="B129" s="66">
        <f ca="1">IFERROR(INDIRECT(CONCATENATE("Field!B",A124+6)),"")</f>
        <v>5</v>
      </c>
      <c r="C129" s="66">
        <f ca="1">IFERROR(INDIRECT(CONCATENATE("Field!C",A124+6)),"")</f>
        <v>4</v>
      </c>
      <c r="D129" s="89" t="str">
        <f ca="1">IFERROR(INDIRECT(CONCATENATE("Field!D",A124+6)),"")</f>
        <v>IBEH Terrell</v>
      </c>
      <c r="E129" s="89" t="str">
        <f ca="1">IFERROR(INDIRECT(CONCATENATE("Field!E",A124+6)),"")</f>
        <v>M'bro</v>
      </c>
      <c r="F129" s="65">
        <f ca="1">IFERROR(INDIRECT(CONCATENATE("Field!F",A124+6)),"")</f>
        <v>5.76</v>
      </c>
      <c r="G129" s="121" t="str">
        <f ca="1">IFERROR(INDIRECT(CONCATENATE("Field!G",A124+6)),"")</f>
        <v/>
      </c>
      <c r="H129" s="66"/>
      <c r="I129" s="66">
        <f ca="1">IFERROR(INDIRECT(CONCATENATE("Field!I",A124+6)),"")</f>
        <v>5</v>
      </c>
      <c r="J129" s="66" t="str">
        <f ca="1">IFERROR(INDIRECT(CONCATENATE("Field!J",A124+6)),"")</f>
        <v/>
      </c>
      <c r="K129" s="89" t="str">
        <f ca="1">IFERROR(INDIRECT(CONCATENATE("Field!K",A124+6)),"")</f>
        <v/>
      </c>
      <c r="L129" s="89" t="str">
        <f ca="1">IFERROR(INDIRECT(CONCATENATE("Field!L",A124+6)),"")</f>
        <v/>
      </c>
      <c r="M129" s="65" t="str">
        <f ca="1">IFERROR(INDIRECT(CONCATENATE("Field!M",A124+6)),"")</f>
        <v/>
      </c>
      <c r="N129" s="121" t="str">
        <f ca="1">IFERROR(INDIRECT(CONCATENATE("Field!N",A124+6)),"")</f>
        <v/>
      </c>
      <c r="T129" s="64">
        <f t="shared" ca="1" si="4"/>
        <v>2</v>
      </c>
      <c r="U129" s="64" t="str">
        <f t="shared" ca="1" si="5"/>
        <v/>
      </c>
      <c r="V129" s="422">
        <f ca="1">IF(OR(D129=0,D129="",D129="Athlete"),"",COUNTIF($D$4:$D129,D129))</f>
        <v>1</v>
      </c>
      <c r="W129" s="422" t="str">
        <f t="shared" ca="1" si="6"/>
        <v>M'bro</v>
      </c>
      <c r="Z129" s="422" t="str">
        <f t="shared" ca="1" si="7"/>
        <v/>
      </c>
    </row>
    <row r="130" spans="1:26" x14ac:dyDescent="0.35">
      <c r="B130" s="66">
        <f ca="1">IFERROR(INDIRECT(CONCATENATE("Field!B",A124+7)),"")</f>
        <v>6</v>
      </c>
      <c r="C130" s="66" t="str">
        <f ca="1">IFERROR(INDIRECT(CONCATENATE("Field!C",A124+7)),"")</f>
        <v/>
      </c>
      <c r="D130" s="89" t="str">
        <f ca="1">IFERROR(INDIRECT(CONCATENATE("Field!D",A124+7)),"")</f>
        <v/>
      </c>
      <c r="E130" s="89" t="str">
        <f ca="1">IFERROR(INDIRECT(CONCATENATE("Field!E",A124+7)),"")</f>
        <v/>
      </c>
      <c r="F130" s="65" t="str">
        <f ca="1">IFERROR(INDIRECT(CONCATENATE("Field!F",A124+7)),"")</f>
        <v/>
      </c>
      <c r="G130" s="121" t="str">
        <f ca="1">IFERROR(INDIRECT(CONCATENATE("Field!G",A124+7)),"")</f>
        <v/>
      </c>
      <c r="H130" s="66"/>
      <c r="I130" s="66">
        <f ca="1">IFERROR(INDIRECT(CONCATENATE("Field!I",A124+7)),"")</f>
        <v>6</v>
      </c>
      <c r="J130" s="66" t="str">
        <f ca="1">IFERROR(INDIRECT(CONCATENATE("Field!J",A124+7)),"")</f>
        <v/>
      </c>
      <c r="K130" s="89" t="str">
        <f ca="1">IFERROR(INDIRECT(CONCATENATE("Field!K",A124+7)),"")</f>
        <v/>
      </c>
      <c r="L130" s="89" t="str">
        <f ca="1">IFERROR(INDIRECT(CONCATENATE("Field!L",A124+7)),"")</f>
        <v/>
      </c>
      <c r="M130" s="65" t="str">
        <f ca="1">IFERROR(INDIRECT(CONCATENATE("Field!M",A124+7)),"")</f>
        <v/>
      </c>
      <c r="N130" s="121" t="str">
        <f ca="1">IFERROR(INDIRECT(CONCATENATE("Field!N",A124+7)),"")</f>
        <v/>
      </c>
      <c r="T130" s="64" t="str">
        <f t="shared" ca="1" si="4"/>
        <v/>
      </c>
      <c r="U130" s="64" t="str">
        <f t="shared" ca="1" si="5"/>
        <v/>
      </c>
      <c r="V130" s="422" t="str">
        <f ca="1">IF(OR(D130=0,D130="",D130="Athlete"),"",COUNTIF($D$4:$D130,D130))</f>
        <v/>
      </c>
      <c r="W130" s="422" t="str">
        <f t="shared" ca="1" si="6"/>
        <v/>
      </c>
      <c r="Z130" s="422" t="str">
        <f t="shared" ca="1" si="7"/>
        <v/>
      </c>
    </row>
    <row r="131" spans="1:26" x14ac:dyDescent="0.35">
      <c r="B131" s="66">
        <f ca="1">IFERROR(INDIRECT(CONCATENATE("Field!B",A124+8)),"")</f>
        <v>7</v>
      </c>
      <c r="C131" s="66" t="str">
        <f ca="1">IFERROR(INDIRECT(CONCATENATE("Field!C",A124+8)),"")</f>
        <v/>
      </c>
      <c r="D131" s="89" t="str">
        <f ca="1">IFERROR(INDIRECT(CONCATENATE("Field!D",A124+8)),"")</f>
        <v/>
      </c>
      <c r="E131" s="89" t="str">
        <f ca="1">IFERROR(INDIRECT(CONCATENATE("Field!E",A124+8)),"")</f>
        <v/>
      </c>
      <c r="F131" s="65" t="str">
        <f ca="1">IFERROR(INDIRECT(CONCATENATE("Field!F",A124+8)),"")</f>
        <v/>
      </c>
      <c r="G131" s="121" t="str">
        <f ca="1">IFERROR(INDIRECT(CONCATENATE("Field!G",A124+8)),"")</f>
        <v/>
      </c>
      <c r="H131" s="66"/>
      <c r="I131" s="66">
        <f ca="1">IFERROR(INDIRECT(CONCATENATE("Field!I",A124+8)),"")</f>
        <v>7</v>
      </c>
      <c r="J131" s="66" t="str">
        <f ca="1">IFERROR(INDIRECT(CONCATENATE("Field!J",A124+8)),"")</f>
        <v/>
      </c>
      <c r="K131" s="89" t="str">
        <f ca="1">IFERROR(INDIRECT(CONCATENATE("Field!K",A124+8)),"")</f>
        <v/>
      </c>
      <c r="L131" s="89" t="str">
        <f ca="1">IFERROR(INDIRECT(CONCATENATE("Field!L",A124+8)),"")</f>
        <v/>
      </c>
      <c r="M131" s="65" t="str">
        <f ca="1">IFERROR(INDIRECT(CONCATENATE("Field!M",A124+8)),"")</f>
        <v/>
      </c>
      <c r="N131" s="121" t="str">
        <f ca="1">IFERROR(INDIRECT(CONCATENATE("Field!N",A124+8)),"")</f>
        <v/>
      </c>
      <c r="T131" s="64" t="str">
        <f t="shared" ca="1" si="4"/>
        <v/>
      </c>
      <c r="U131" s="64" t="str">
        <f t="shared" ca="1" si="5"/>
        <v/>
      </c>
      <c r="V131" s="422" t="str">
        <f ca="1">IF(OR(D131=0,D131="",D131="Athlete"),"",COUNTIF($D$4:$D131,D131))</f>
        <v/>
      </c>
      <c r="W131" s="422" t="str">
        <f t="shared" ca="1" si="6"/>
        <v/>
      </c>
      <c r="Z131" s="422" t="str">
        <f t="shared" ca="1" si="7"/>
        <v/>
      </c>
    </row>
    <row r="132" spans="1:26" x14ac:dyDescent="0.35">
      <c r="B132" s="66">
        <f ca="1">IFERROR(INDIRECT(CONCATENATE("Field!B",A124+9)),"")</f>
        <v>8</v>
      </c>
      <c r="C132" s="66" t="str">
        <f ca="1">IFERROR(INDIRECT(CONCATENATE("Field!C",A124+9)),"")</f>
        <v/>
      </c>
      <c r="D132" s="89" t="str">
        <f ca="1">IFERROR(INDIRECT(CONCATENATE("Field!D",A124+9)),"")</f>
        <v/>
      </c>
      <c r="E132" s="89" t="str">
        <f ca="1">IFERROR(INDIRECT(CONCATENATE("Field!E",A124+9)),"")</f>
        <v/>
      </c>
      <c r="F132" s="65" t="str">
        <f ca="1">IFERROR(INDIRECT(CONCATENATE("Field!F",A124+9)),"")</f>
        <v/>
      </c>
      <c r="G132" s="121" t="str">
        <f ca="1">IFERROR(INDIRECT(CONCATENATE("Field!G",A124+9)),"")</f>
        <v/>
      </c>
      <c r="H132" s="66"/>
      <c r="I132" s="66">
        <f ca="1">IFERROR(INDIRECT(CONCATENATE("Field!I",A124+9)),"")</f>
        <v>8</v>
      </c>
      <c r="J132" s="66" t="str">
        <f ca="1">IFERROR(INDIRECT(CONCATENATE("Field!J",A124+9)),"")</f>
        <v/>
      </c>
      <c r="K132" s="89" t="str">
        <f ca="1">IFERROR(INDIRECT(CONCATENATE("Field!K",A124+9)),"")</f>
        <v/>
      </c>
      <c r="L132" s="89" t="str">
        <f ca="1">IFERROR(INDIRECT(CONCATENATE("Field!L",A124+9)),"")</f>
        <v/>
      </c>
      <c r="M132" s="65" t="str">
        <f ca="1">IFERROR(INDIRECT(CONCATENATE("Field!M",A124+9)),"")</f>
        <v/>
      </c>
      <c r="N132" s="121" t="str">
        <f ca="1">IFERROR(INDIRECT(CONCATENATE("Field!N",A124+9)),"")</f>
        <v/>
      </c>
      <c r="T132" s="64" t="str">
        <f t="shared" ca="1" si="4"/>
        <v/>
      </c>
      <c r="U132" s="64" t="str">
        <f t="shared" ca="1" si="5"/>
        <v/>
      </c>
      <c r="V132" s="422" t="str">
        <f ca="1">IF(OR(D132=0,D132="",D132="Athlete"),"",COUNTIF($D$4:$D132,D132))</f>
        <v/>
      </c>
      <c r="W132" s="422" t="str">
        <f t="shared" ca="1" si="6"/>
        <v/>
      </c>
      <c r="Z132" s="422" t="str">
        <f t="shared" ca="1" si="7"/>
        <v/>
      </c>
    </row>
    <row r="133" spans="1:26" x14ac:dyDescent="0.35">
      <c r="T133" s="64" t="str">
        <f t="shared" ref="T133:T196" si="8">IF(OR(D133=0,D133="",D133="Athlete"),"",COUNTIF($D$4:$D$352,D133))</f>
        <v/>
      </c>
      <c r="U133" s="64" t="str">
        <f t="shared" ref="U133:U196" si="9">IF(OR(K133=0,K133="",K133="Athlete"),"",COUNTIF($D$4:$D$352,K133))</f>
        <v/>
      </c>
      <c r="V133" s="422" t="str">
        <f>IF(OR(D133=0,D133="",D133="Athlete"),"",COUNTIF($D$4:$D133,D133))</f>
        <v/>
      </c>
      <c r="W133" s="422" t="str">
        <f t="shared" ref="W133:W165" si="10">IF(OR(D133=0,D133="",D133="Athlete"),"",E133)</f>
        <v/>
      </c>
      <c r="Z133" s="422" t="str">
        <f t="shared" ref="Z133:Z165" si="11">IF(OR(G133=0,G133="",G133="Athlete"),"",H133)</f>
        <v/>
      </c>
    </row>
    <row r="134" spans="1:26" x14ac:dyDescent="0.35">
      <c r="A134" s="66" t="s">
        <v>237</v>
      </c>
      <c r="B134" s="115" t="str">
        <f ca="1">IFERROR(INDIRECT(CONCATENATE("Field!B",A135)),"")</f>
        <v>Discus U15 Boys A</v>
      </c>
      <c r="G134" s="403" t="str">
        <f ca="1">IFERROR(INDIRECT(CONCATENATE("Field!g",A135)),"")</f>
        <v/>
      </c>
      <c r="I134" s="115" t="str">
        <f ca="1">IFERROR(INDIRECT(CONCATENATE("Field!I",A135)),"")</f>
        <v>Discus U15 Boys B</v>
      </c>
      <c r="T134" s="64" t="str">
        <f t="shared" si="8"/>
        <v/>
      </c>
      <c r="U134" s="64" t="str">
        <f t="shared" si="9"/>
        <v/>
      </c>
      <c r="V134" s="422" t="str">
        <f>IF(OR(D134=0,D134="",D134="Athlete"),"",COUNTIF($D$4:$D134,D134))</f>
        <v/>
      </c>
      <c r="W134" s="422" t="str">
        <f t="shared" si="10"/>
        <v/>
      </c>
      <c r="Z134" s="422" t="str">
        <f t="shared" ca="1" si="11"/>
        <v/>
      </c>
    </row>
    <row r="135" spans="1:26" x14ac:dyDescent="0.35">
      <c r="A135" s="66">
        <f>IFERROR(MATCH(A134,Field!A:A,0),"")</f>
        <v>35</v>
      </c>
      <c r="B135" s="45" t="str">
        <f ca="1">IFERROR(INDIRECT(CONCATENATE("Field!B",A135+1)),"")</f>
        <v>Posn</v>
      </c>
      <c r="C135" s="45" t="str">
        <f ca="1">IFERROR(INDIRECT(CONCATENATE("Field!C",A135+1)),"")</f>
        <v>Bib</v>
      </c>
      <c r="D135" s="182" t="str">
        <f ca="1">IFERROR(INDIRECT(CONCATENATE("Field!D",A135+1)),"")</f>
        <v>Athlete</v>
      </c>
      <c r="E135" s="182" t="str">
        <f ca="1">IFERROR(INDIRECT(CONCATENATE("Field!E",A135+1)),"")</f>
        <v>Club</v>
      </c>
      <c r="F135" s="149" t="str">
        <f ca="1">IFERROR(INDIRECT(CONCATENATE("Field!F",A135+1)),"")</f>
        <v>Perf</v>
      </c>
      <c r="G135" s="218" t="str">
        <f ca="1">IFERROR(INDIRECT(CONCATENATE("Field!G",A135+1)),"")</f>
        <v>AAA</v>
      </c>
      <c r="H135" s="45"/>
      <c r="I135" s="45" t="str">
        <f ca="1">IFERROR(INDIRECT(CONCATENATE("Field!I",A135+1)),"")</f>
        <v>Posn</v>
      </c>
      <c r="J135" s="45" t="str">
        <f ca="1">IFERROR(INDIRECT(CONCATENATE("Field!J",A135+1)),"")</f>
        <v>Bib</v>
      </c>
      <c r="K135" s="182" t="str">
        <f ca="1">IFERROR(INDIRECT(CONCATENATE("Field!K",A135+1)),"")</f>
        <v>Athlete</v>
      </c>
      <c r="L135" s="182" t="str">
        <f ca="1">IFERROR(INDIRECT(CONCATENATE("Field!L",A135+1)),"")</f>
        <v>Club</v>
      </c>
      <c r="M135" s="149" t="str">
        <f ca="1">IFERROR(INDIRECT(CONCATENATE("Field!M",A135+1)),"")</f>
        <v>Perf</v>
      </c>
      <c r="N135" s="218" t="str">
        <f ca="1">IFERROR(INDIRECT(CONCATENATE("Field!N",A135+1)),"")</f>
        <v>AAA</v>
      </c>
      <c r="T135" s="64" t="str">
        <f t="shared" ca="1" si="8"/>
        <v/>
      </c>
      <c r="U135" s="64" t="str">
        <f t="shared" ca="1" si="9"/>
        <v/>
      </c>
      <c r="V135" s="422" t="str">
        <f ca="1">IF(OR(D135=0,D135="",D135="Athlete"),"",COUNTIF($D$4:$D135,D135))</f>
        <v/>
      </c>
      <c r="W135" s="422" t="str">
        <f t="shared" ca="1" si="10"/>
        <v/>
      </c>
      <c r="Z135" s="422">
        <f t="shared" ca="1" si="11"/>
        <v>0</v>
      </c>
    </row>
    <row r="136" spans="1:26" x14ac:dyDescent="0.35">
      <c r="B136" s="66">
        <f ca="1">IFERROR(INDIRECT(CONCATENATE("Field!B",A135+2)),"")</f>
        <v>1</v>
      </c>
      <c r="C136" s="66">
        <f ca="1">IFERROR(INDIRECT(CONCATENATE("Field!C",A135+2)),"")</f>
        <v>5</v>
      </c>
      <c r="D136" s="89" t="str">
        <f ca="1">IFERROR(INDIRECT(CONCATENATE("Field!D",A135+2)),"")</f>
        <v>COOK Edwin</v>
      </c>
      <c r="E136" s="89" t="str">
        <f ca="1">IFERROR(INDIRECT(CONCATENATE("Field!E",A135+2)),"")</f>
        <v>Scun</v>
      </c>
      <c r="F136" s="65">
        <f ca="1">IFERROR(INDIRECT(CONCATENATE("Field!F",A135+2)),"")</f>
        <v>18.54</v>
      </c>
      <c r="G136" s="121" t="str">
        <f ca="1">IFERROR(INDIRECT(CONCATENATE("Field!G",A135+2)),"")</f>
        <v/>
      </c>
      <c r="H136" s="66"/>
      <c r="I136" s="66">
        <f ca="1">IFERROR(INDIRECT(CONCATENATE("Field!I",A135+2)),"")</f>
        <v>1</v>
      </c>
      <c r="J136" s="66">
        <f ca="1">IFERROR(INDIRECT(CONCATENATE("Field!J",A135+2)),"")</f>
        <v>3</v>
      </c>
      <c r="K136" s="89" t="str">
        <f ca="1">IFERROR(INDIRECT(CONCATENATE("Field!K",A135+2)),"")</f>
        <v>RHODES Ashton</v>
      </c>
      <c r="L136" s="89" t="str">
        <f ca="1">IFERROR(INDIRECT(CONCATENATE("Field!L",A135+2)),"")</f>
        <v>York</v>
      </c>
      <c r="M136" s="65">
        <f ca="1">IFERROR(INDIRECT(CONCATENATE("Field!M",A135+2)),"")</f>
        <v>15.79</v>
      </c>
      <c r="N136" s="121" t="str">
        <f ca="1">IFERROR(INDIRECT(CONCATENATE("Field!N",A135+2)),"")</f>
        <v/>
      </c>
      <c r="R136" s="219">
        <f ca="1">IFERROR(INDIRECT(CONCATENATE("Field!r",A135+2)),"")</f>
        <v>1</v>
      </c>
      <c r="T136" s="64">
        <f t="shared" ca="1" si="8"/>
        <v>3</v>
      </c>
      <c r="U136" s="64">
        <f t="shared" ca="1" si="9"/>
        <v>2</v>
      </c>
      <c r="V136" s="422">
        <f ca="1">IF(OR(D136=0,D136="",D136="Athlete"),"",COUNTIF($D$4:$D136,D136))</f>
        <v>2</v>
      </c>
      <c r="W136" s="422" t="str">
        <f t="shared" ca="1" si="10"/>
        <v>Scun</v>
      </c>
      <c r="Z136" s="422" t="str">
        <f t="shared" ca="1" si="11"/>
        <v/>
      </c>
    </row>
    <row r="137" spans="1:26" x14ac:dyDescent="0.35">
      <c r="B137" s="66">
        <f ca="1">IFERROR(INDIRECT(CONCATENATE("Field!B",A135+3)),"")</f>
        <v>2</v>
      </c>
      <c r="C137" s="66">
        <f ca="1">IFERROR(INDIRECT(CONCATENATE("Field!C",A135+3)),"")</f>
        <v>1</v>
      </c>
      <c r="D137" s="89" t="str">
        <f ca="1">IFERROR(INDIRECT(CONCATENATE("Field!D",A135+3)),"")</f>
        <v>COOPER Malachi</v>
      </c>
      <c r="E137" s="89" t="str">
        <f ca="1">IFERROR(INDIRECT(CONCATENATE("Field!E",A135+3)),"")</f>
        <v>C'field</v>
      </c>
      <c r="F137" s="65">
        <f ca="1">IFERROR(INDIRECT(CONCATENATE("Field!F",A135+3)),"")</f>
        <v>16.04</v>
      </c>
      <c r="G137" s="121" t="str">
        <f ca="1">IFERROR(INDIRECT(CONCATENATE("Field!G",A135+3)),"")</f>
        <v/>
      </c>
      <c r="H137" s="66"/>
      <c r="I137" s="66">
        <f ca="1">IFERROR(INDIRECT(CONCATENATE("Field!I",A135+3)),"")</f>
        <v>2</v>
      </c>
      <c r="J137" s="66">
        <f ca="1">IFERROR(INDIRECT(CONCATENATE("Field!J",A135+3)),"")</f>
        <v>11</v>
      </c>
      <c r="K137" s="89" t="str">
        <f ca="1">IFERROR(INDIRECT(CONCATENATE("Field!K",A135+3)),"")</f>
        <v>PEERS-WAIN Jacob</v>
      </c>
      <c r="L137" s="89" t="str">
        <f ca="1">IFERROR(INDIRECT(CONCATENATE("Field!L",A135+3)),"")</f>
        <v>C'field</v>
      </c>
      <c r="M137" s="65">
        <f ca="1">IFERROR(INDIRECT(CONCATENATE("Field!M",A135+3)),"")</f>
        <v>10.24</v>
      </c>
      <c r="N137" s="121" t="str">
        <f ca="1">IFERROR(INDIRECT(CONCATENATE("Field!N",A135+3)),"")</f>
        <v/>
      </c>
      <c r="T137" s="64">
        <f t="shared" ca="1" si="8"/>
        <v>2</v>
      </c>
      <c r="U137" s="64">
        <f t="shared" ca="1" si="9"/>
        <v>3</v>
      </c>
      <c r="V137" s="422">
        <f ca="1">IF(OR(D137=0,D137="",D137="Athlete"),"",COUNTIF($D$4:$D137,D137))</f>
        <v>2</v>
      </c>
      <c r="W137" s="422" t="str">
        <f t="shared" ca="1" si="10"/>
        <v>C'field</v>
      </c>
      <c r="Z137" s="422" t="str">
        <f t="shared" ca="1" si="11"/>
        <v/>
      </c>
    </row>
    <row r="138" spans="1:26" x14ac:dyDescent="0.35">
      <c r="B138" s="66">
        <f ca="1">IFERROR(INDIRECT(CONCATENATE("Field!B",A135+4)),"")</f>
        <v>3</v>
      </c>
      <c r="C138" s="66">
        <f ca="1">IFERROR(INDIRECT(CONCATENATE("Field!C",A135+4)),"")</f>
        <v>33</v>
      </c>
      <c r="D138" s="89" t="str">
        <f ca="1">IFERROR(INDIRECT(CONCATENATE("Field!D",A135+4)),"")</f>
        <v>BROOKS Rory</v>
      </c>
      <c r="E138" s="89" t="str">
        <f ca="1">IFERROR(INDIRECT(CONCATENATE("Field!E",A135+4)),"")</f>
        <v>York</v>
      </c>
      <c r="F138" s="65">
        <f ca="1">IFERROR(INDIRECT(CONCATENATE("Field!F",A135+4)),"")</f>
        <v>15.91</v>
      </c>
      <c r="G138" s="121" t="str">
        <f ca="1">IFERROR(INDIRECT(CONCATENATE("Field!G",A135+4)),"")</f>
        <v/>
      </c>
      <c r="H138" s="66"/>
      <c r="I138" s="66">
        <f ca="1">IFERROR(INDIRECT(CONCATENATE("Field!I",A135+4)),"")</f>
        <v>3</v>
      </c>
      <c r="J138" s="66">
        <f ca="1">IFERROR(INDIRECT(CONCATENATE("Field!J",A135+4)),"")</f>
        <v>22</v>
      </c>
      <c r="K138" s="89" t="str">
        <f ca="1">IFERROR(INDIRECT(CONCATENATE("Field!K",A135+4)),"")</f>
        <v>KRIEL PARR George</v>
      </c>
      <c r="L138" s="89" t="str">
        <f ca="1">IFERROR(INDIRECT(CONCATENATE("Field!L",A135+4)),"")</f>
        <v>Sheff+D</v>
      </c>
      <c r="M138" s="65">
        <f ca="1">IFERROR(INDIRECT(CONCATENATE("Field!M",A135+4)),"")</f>
        <v>9.89</v>
      </c>
      <c r="N138" s="121" t="str">
        <f ca="1">IFERROR(INDIRECT(CONCATENATE("Field!N",A135+4)),"")</f>
        <v/>
      </c>
      <c r="T138" s="64">
        <f t="shared" ca="1" si="8"/>
        <v>3</v>
      </c>
      <c r="U138" s="64">
        <f t="shared" ca="1" si="9"/>
        <v>3</v>
      </c>
      <c r="V138" s="422">
        <f ca="1">IF(OR(D138=0,D138="",D138="Athlete"),"",COUNTIF($D$4:$D138,D138))</f>
        <v>1</v>
      </c>
      <c r="W138" s="422" t="str">
        <f t="shared" ca="1" si="10"/>
        <v>York</v>
      </c>
      <c r="Z138" s="422" t="str">
        <f t="shared" ca="1" si="11"/>
        <v/>
      </c>
    </row>
    <row r="139" spans="1:26" x14ac:dyDescent="0.35">
      <c r="B139" s="66">
        <f ca="1">IFERROR(INDIRECT(CONCATENATE("Field!B",A135+5)),"")</f>
        <v>4</v>
      </c>
      <c r="C139" s="66">
        <f ca="1">IFERROR(INDIRECT(CONCATENATE("Field!C",A135+5)),"")</f>
        <v>2</v>
      </c>
      <c r="D139" s="89" t="str">
        <f ca="1">IFERROR(INDIRECT(CONCATENATE("Field!D",A135+5)),"")</f>
        <v>WAINWRIGHT James</v>
      </c>
      <c r="E139" s="89" t="str">
        <f ca="1">IFERROR(INDIRECT(CONCATENATE("Field!E",A135+5)),"")</f>
        <v>Sheff+D</v>
      </c>
      <c r="F139" s="65">
        <f ca="1">IFERROR(INDIRECT(CONCATENATE("Field!F",A135+5)),"")</f>
        <v>10.8</v>
      </c>
      <c r="G139" s="121" t="str">
        <f ca="1">IFERROR(INDIRECT(CONCATENATE("Field!G",A135+5)),"")</f>
        <v/>
      </c>
      <c r="H139" s="66"/>
      <c r="I139" s="66">
        <f ca="1">IFERROR(INDIRECT(CONCATENATE("Field!I",A135+5)),"")</f>
        <v>4</v>
      </c>
      <c r="J139" s="66" t="str">
        <f ca="1">IFERROR(INDIRECT(CONCATENATE("Field!J",A135+5)),"")</f>
        <v/>
      </c>
      <c r="K139" s="89" t="str">
        <f ca="1">IFERROR(INDIRECT(CONCATENATE("Field!K",A135+5)),"")</f>
        <v/>
      </c>
      <c r="L139" s="89" t="str">
        <f ca="1">IFERROR(INDIRECT(CONCATENATE("Field!L",A135+5)),"")</f>
        <v/>
      </c>
      <c r="M139" s="65" t="str">
        <f ca="1">IFERROR(INDIRECT(CONCATENATE("Field!M",A135+5)),"")</f>
        <v/>
      </c>
      <c r="N139" s="121" t="str">
        <f ca="1">IFERROR(INDIRECT(CONCATENATE("Field!N",A135+5)),"")</f>
        <v/>
      </c>
      <c r="T139" s="64">
        <f t="shared" ca="1" si="8"/>
        <v>3</v>
      </c>
      <c r="U139" s="64" t="str">
        <f t="shared" ca="1" si="9"/>
        <v/>
      </c>
      <c r="V139" s="422">
        <f ca="1">IF(OR(D139=0,D139="",D139="Athlete"),"",COUNTIF($D$4:$D139,D139))</f>
        <v>2</v>
      </c>
      <c r="W139" s="422" t="str">
        <f t="shared" ca="1" si="10"/>
        <v>Sheff+D</v>
      </c>
      <c r="Z139" s="422" t="str">
        <f t="shared" ca="1" si="11"/>
        <v/>
      </c>
    </row>
    <row r="140" spans="1:26" x14ac:dyDescent="0.35">
      <c r="B140" s="66">
        <f ca="1">IFERROR(INDIRECT(CONCATENATE("Field!B",A135+6)),"")</f>
        <v>5</v>
      </c>
      <c r="C140" s="66">
        <f ca="1">IFERROR(INDIRECT(CONCATENATE("Field!C",A135+6)),"")</f>
        <v>4</v>
      </c>
      <c r="D140" s="89" t="str">
        <f ca="1">IFERROR(INDIRECT(CONCATENATE("Field!D",A135+6)),"")</f>
        <v>BELL Callum</v>
      </c>
      <c r="E140" s="89" t="str">
        <f ca="1">IFERROR(INDIRECT(CONCATENATE("Field!E",A135+6)),"")</f>
        <v>M'bro</v>
      </c>
      <c r="F140" s="65">
        <f ca="1">IFERROR(INDIRECT(CONCATENATE("Field!F",A135+6)),"")</f>
        <v>10.47</v>
      </c>
      <c r="G140" s="121" t="str">
        <f ca="1">IFERROR(INDIRECT(CONCATENATE("Field!G",A135+6)),"")</f>
        <v/>
      </c>
      <c r="H140" s="66"/>
      <c r="I140" s="66">
        <f ca="1">IFERROR(INDIRECT(CONCATENATE("Field!I",A135+6)),"")</f>
        <v>5</v>
      </c>
      <c r="J140" s="66" t="str">
        <f ca="1">IFERROR(INDIRECT(CONCATENATE("Field!J",A135+6)),"")</f>
        <v/>
      </c>
      <c r="K140" s="89" t="str">
        <f ca="1">IFERROR(INDIRECT(CONCATENATE("Field!K",A135+6)),"")</f>
        <v/>
      </c>
      <c r="L140" s="89" t="str">
        <f ca="1">IFERROR(INDIRECT(CONCATENATE("Field!L",A135+6)),"")</f>
        <v/>
      </c>
      <c r="M140" s="65" t="str">
        <f ca="1">IFERROR(INDIRECT(CONCATENATE("Field!M",A135+6)),"")</f>
        <v/>
      </c>
      <c r="N140" s="121" t="str">
        <f ca="1">IFERROR(INDIRECT(CONCATENATE("Field!N",A135+6)),"")</f>
        <v/>
      </c>
      <c r="T140" s="64">
        <f t="shared" ca="1" si="8"/>
        <v>3</v>
      </c>
      <c r="U140" s="64" t="str">
        <f t="shared" ca="1" si="9"/>
        <v/>
      </c>
      <c r="V140" s="422">
        <f ca="1">IF(OR(D140=0,D140="",D140="Athlete"),"",COUNTIF($D$4:$D140,D140))</f>
        <v>2</v>
      </c>
      <c r="W140" s="422" t="str">
        <f t="shared" ca="1" si="10"/>
        <v>M'bro</v>
      </c>
      <c r="Z140" s="422" t="str">
        <f t="shared" ca="1" si="11"/>
        <v/>
      </c>
    </row>
    <row r="141" spans="1:26" x14ac:dyDescent="0.35">
      <c r="B141" s="66">
        <f ca="1">IFERROR(INDIRECT(CONCATENATE("Field!B",A135+7)),"")</f>
        <v>6</v>
      </c>
      <c r="C141" s="66" t="str">
        <f ca="1">IFERROR(INDIRECT(CONCATENATE("Field!C",A135+7)),"")</f>
        <v/>
      </c>
      <c r="D141" s="89" t="str">
        <f ca="1">IFERROR(INDIRECT(CONCATENATE("Field!D",A135+7)),"")</f>
        <v/>
      </c>
      <c r="E141" s="89" t="str">
        <f ca="1">IFERROR(INDIRECT(CONCATENATE("Field!E",A135+7)),"")</f>
        <v/>
      </c>
      <c r="F141" s="65" t="str">
        <f ca="1">IFERROR(INDIRECT(CONCATENATE("Field!F",A135+7)),"")</f>
        <v/>
      </c>
      <c r="G141" s="121" t="str">
        <f ca="1">IFERROR(INDIRECT(CONCATENATE("Field!G",A135+7)),"")</f>
        <v/>
      </c>
      <c r="H141" s="66"/>
      <c r="I141" s="66">
        <f ca="1">IFERROR(INDIRECT(CONCATENATE("Field!I",A135+7)),"")</f>
        <v>6</v>
      </c>
      <c r="J141" s="66" t="str">
        <f ca="1">IFERROR(INDIRECT(CONCATENATE("Field!J",A135+7)),"")</f>
        <v/>
      </c>
      <c r="K141" s="89" t="str">
        <f ca="1">IFERROR(INDIRECT(CONCATENATE("Field!K",A135+7)),"")</f>
        <v/>
      </c>
      <c r="L141" s="89" t="str">
        <f ca="1">IFERROR(INDIRECT(CONCATENATE("Field!L",A135+7)),"")</f>
        <v/>
      </c>
      <c r="M141" s="65" t="str">
        <f ca="1">IFERROR(INDIRECT(CONCATENATE("Field!M",A135+7)),"")</f>
        <v/>
      </c>
      <c r="N141" s="121" t="str">
        <f ca="1">IFERROR(INDIRECT(CONCATENATE("Field!N",A135+7)),"")</f>
        <v/>
      </c>
      <c r="T141" s="64" t="str">
        <f t="shared" ca="1" si="8"/>
        <v/>
      </c>
      <c r="U141" s="64" t="str">
        <f t="shared" ca="1" si="9"/>
        <v/>
      </c>
      <c r="V141" s="422" t="str">
        <f ca="1">IF(OR(D141=0,D141="",D141="Athlete"),"",COUNTIF($D$4:$D141,D141))</f>
        <v/>
      </c>
      <c r="W141" s="422" t="str">
        <f t="shared" ca="1" si="10"/>
        <v/>
      </c>
      <c r="Z141" s="422" t="str">
        <f t="shared" ca="1" si="11"/>
        <v/>
      </c>
    </row>
    <row r="142" spans="1:26" x14ac:dyDescent="0.35">
      <c r="B142" s="66">
        <f ca="1">IFERROR(INDIRECT(CONCATENATE("Field!B",A135+8)),"")</f>
        <v>7</v>
      </c>
      <c r="C142" s="66" t="str">
        <f ca="1">IFERROR(INDIRECT(CONCATENATE("Field!C",A135+8)),"")</f>
        <v/>
      </c>
      <c r="D142" s="89" t="str">
        <f ca="1">IFERROR(INDIRECT(CONCATENATE("Field!D",A135+8)),"")</f>
        <v/>
      </c>
      <c r="E142" s="89" t="str">
        <f ca="1">IFERROR(INDIRECT(CONCATENATE("Field!E",A135+8)),"")</f>
        <v/>
      </c>
      <c r="F142" s="65" t="str">
        <f ca="1">IFERROR(INDIRECT(CONCATENATE("Field!F",A135+8)),"")</f>
        <v/>
      </c>
      <c r="G142" s="121" t="str">
        <f ca="1">IFERROR(INDIRECT(CONCATENATE("Field!G",A135+8)),"")</f>
        <v/>
      </c>
      <c r="H142" s="66"/>
      <c r="I142" s="66">
        <f ca="1">IFERROR(INDIRECT(CONCATENATE("Field!I",A135+8)),"")</f>
        <v>7</v>
      </c>
      <c r="J142" s="66" t="str">
        <f ca="1">IFERROR(INDIRECT(CONCATENATE("Field!J",A135+8)),"")</f>
        <v/>
      </c>
      <c r="K142" s="89" t="str">
        <f ca="1">IFERROR(INDIRECT(CONCATENATE("Field!K",A135+8)),"")</f>
        <v/>
      </c>
      <c r="L142" s="89" t="str">
        <f ca="1">IFERROR(INDIRECT(CONCATENATE("Field!L",A135+8)),"")</f>
        <v/>
      </c>
      <c r="M142" s="65" t="str">
        <f ca="1">IFERROR(INDIRECT(CONCATENATE("Field!M",A135+8)),"")</f>
        <v/>
      </c>
      <c r="N142" s="121" t="str">
        <f ca="1">IFERROR(INDIRECT(CONCATENATE("Field!N",A135+8)),"")</f>
        <v/>
      </c>
      <c r="T142" s="64" t="str">
        <f t="shared" ca="1" si="8"/>
        <v/>
      </c>
      <c r="U142" s="64" t="str">
        <f t="shared" ca="1" si="9"/>
        <v/>
      </c>
      <c r="V142" s="422" t="str">
        <f ca="1">IF(OR(D142=0,D142="",D142="Athlete"),"",COUNTIF($D$4:$D142,D142))</f>
        <v/>
      </c>
      <c r="W142" s="422" t="str">
        <f t="shared" ca="1" si="10"/>
        <v/>
      </c>
      <c r="Z142" s="422" t="str">
        <f t="shared" ca="1" si="11"/>
        <v/>
      </c>
    </row>
    <row r="143" spans="1:26" x14ac:dyDescent="0.35">
      <c r="B143" s="66">
        <f ca="1">IFERROR(INDIRECT(CONCATENATE("Field!B",A135+9)),"")</f>
        <v>8</v>
      </c>
      <c r="C143" s="66" t="str">
        <f ca="1">IFERROR(INDIRECT(CONCATENATE("Field!C",A135+9)),"")</f>
        <v/>
      </c>
      <c r="D143" s="89" t="str">
        <f ca="1">IFERROR(INDIRECT(CONCATENATE("Field!D",A135+9)),"")</f>
        <v/>
      </c>
      <c r="E143" s="89" t="str">
        <f ca="1">IFERROR(INDIRECT(CONCATENATE("Field!E",A135+9)),"")</f>
        <v/>
      </c>
      <c r="F143" s="65" t="str">
        <f ca="1">IFERROR(INDIRECT(CONCATENATE("Field!F",A135+9)),"")</f>
        <v/>
      </c>
      <c r="G143" s="121" t="str">
        <f ca="1">IFERROR(INDIRECT(CONCATENATE("Field!G",A135+9)),"")</f>
        <v/>
      </c>
      <c r="H143" s="66"/>
      <c r="I143" s="66">
        <f ca="1">IFERROR(INDIRECT(CONCATENATE("Field!I",A135+9)),"")</f>
        <v>8</v>
      </c>
      <c r="J143" s="66" t="str">
        <f ca="1">IFERROR(INDIRECT(CONCATENATE("Field!J",A135+9)),"")</f>
        <v/>
      </c>
      <c r="K143" s="89" t="str">
        <f ca="1">IFERROR(INDIRECT(CONCATENATE("Field!K",A135+9)),"")</f>
        <v/>
      </c>
      <c r="L143" s="89" t="str">
        <f ca="1">IFERROR(INDIRECT(CONCATENATE("Field!L",A135+9)),"")</f>
        <v/>
      </c>
      <c r="M143" s="65" t="str">
        <f ca="1">IFERROR(INDIRECT(CONCATENATE("Field!M",A135+9)),"")</f>
        <v/>
      </c>
      <c r="N143" s="121" t="str">
        <f ca="1">IFERROR(INDIRECT(CONCATENATE("Field!N",A135+9)),"")</f>
        <v/>
      </c>
      <c r="T143" s="64" t="str">
        <f t="shared" ca="1" si="8"/>
        <v/>
      </c>
      <c r="U143" s="64" t="str">
        <f t="shared" ca="1" si="9"/>
        <v/>
      </c>
      <c r="V143" s="422" t="str">
        <f ca="1">IF(OR(D143=0,D143="",D143="Athlete"),"",COUNTIF($D$4:$D143,D143))</f>
        <v/>
      </c>
      <c r="W143" s="422" t="str">
        <f t="shared" ca="1" si="10"/>
        <v/>
      </c>
      <c r="Z143" s="422" t="str">
        <f t="shared" ca="1" si="11"/>
        <v/>
      </c>
    </row>
    <row r="144" spans="1:26" x14ac:dyDescent="0.35">
      <c r="T144" s="64" t="str">
        <f t="shared" si="8"/>
        <v/>
      </c>
      <c r="U144" s="64" t="str">
        <f t="shared" si="9"/>
        <v/>
      </c>
      <c r="V144" s="422" t="str">
        <f>IF(OR(D144=0,D144="",D144="Athlete"),"",COUNTIF($D$4:$D144,D144))</f>
        <v/>
      </c>
      <c r="W144" s="422" t="str">
        <f t="shared" si="10"/>
        <v/>
      </c>
      <c r="Z144" s="422" t="str">
        <f t="shared" si="11"/>
        <v/>
      </c>
    </row>
    <row r="145" spans="1:26" x14ac:dyDescent="0.35">
      <c r="A145" s="66" t="s">
        <v>231</v>
      </c>
      <c r="B145" s="115" t="str">
        <f ca="1">IFERROR(INDIRECT(CONCATENATE("Field!B",A146)),"")</f>
        <v>Hammer U15 Boys A</v>
      </c>
      <c r="G145" s="403" t="str">
        <f ca="1">IFERROR(INDIRECT(CONCATENATE("Field!g",A146)),"")</f>
        <v/>
      </c>
      <c r="I145" s="115" t="str">
        <f ca="1">IFERROR(INDIRECT(CONCATENATE("Field!I",A146)),"")</f>
        <v>Hammer U15 Boys B</v>
      </c>
      <c r="T145" s="64" t="str">
        <f t="shared" si="8"/>
        <v/>
      </c>
      <c r="U145" s="64" t="str">
        <f t="shared" si="9"/>
        <v/>
      </c>
      <c r="V145" s="422" t="str">
        <f>IF(OR(D145=0,D145="",D145="Athlete"),"",COUNTIF($D$4:$D145,D145))</f>
        <v/>
      </c>
      <c r="W145" s="422" t="str">
        <f t="shared" si="10"/>
        <v/>
      </c>
      <c r="Z145" s="422" t="str">
        <f t="shared" ca="1" si="11"/>
        <v/>
      </c>
    </row>
    <row r="146" spans="1:26" x14ac:dyDescent="0.35">
      <c r="A146" s="66">
        <f>IFERROR(MATCH(A145,Field!A:A,0),"")</f>
        <v>2</v>
      </c>
      <c r="B146" s="45" t="str">
        <f ca="1">IFERROR(INDIRECT(CONCATENATE("Field!B",A146+1)),"")</f>
        <v>Posn</v>
      </c>
      <c r="C146" s="45" t="str">
        <f ca="1">IFERROR(INDIRECT(CONCATENATE("Field!C",A146+1)),"")</f>
        <v>Bib</v>
      </c>
      <c r="D146" s="182" t="str">
        <f ca="1">IFERROR(INDIRECT(CONCATENATE("Field!D",A146+1)),"")</f>
        <v>Athlete</v>
      </c>
      <c r="E146" s="182" t="str">
        <f ca="1">IFERROR(INDIRECT(CONCATENATE("Field!E",A146+1)),"")</f>
        <v>Club</v>
      </c>
      <c r="F146" s="149" t="str">
        <f ca="1">IFERROR(INDIRECT(CONCATENATE("Field!F",A146+1)),"")</f>
        <v>Perf</v>
      </c>
      <c r="G146" s="218" t="str">
        <f ca="1">IFERROR(INDIRECT(CONCATENATE("Field!G",A146+1)),"")</f>
        <v>AAA</v>
      </c>
      <c r="H146" s="45"/>
      <c r="I146" s="45" t="str">
        <f ca="1">IFERROR(INDIRECT(CONCATENATE("Field!I",A146+1)),"")</f>
        <v>Posn</v>
      </c>
      <c r="J146" s="45" t="str">
        <f ca="1">IFERROR(INDIRECT(CONCATENATE("Field!J",A146+1)),"")</f>
        <v>Bib</v>
      </c>
      <c r="K146" s="182" t="str">
        <f ca="1">IFERROR(INDIRECT(CONCATENATE("Field!K",A146+1)),"")</f>
        <v>Athlete</v>
      </c>
      <c r="L146" s="182" t="str">
        <f ca="1">IFERROR(INDIRECT(CONCATENATE("Field!L",A146+1)),"")</f>
        <v>Club</v>
      </c>
      <c r="M146" s="149" t="str">
        <f ca="1">IFERROR(INDIRECT(CONCATENATE("Field!M",A146+1)),"")</f>
        <v>Perf</v>
      </c>
      <c r="N146" s="218" t="str">
        <f ca="1">IFERROR(INDIRECT(CONCATENATE("Field!N",A146+1)),"")</f>
        <v>AAA</v>
      </c>
      <c r="T146" s="64" t="str">
        <f t="shared" ca="1" si="8"/>
        <v/>
      </c>
      <c r="U146" s="64" t="str">
        <f t="shared" ca="1" si="9"/>
        <v/>
      </c>
      <c r="V146" s="422" t="str">
        <f ca="1">IF(OR(D146=0,D146="",D146="Athlete"),"",COUNTIF($D$4:$D146,D146))</f>
        <v/>
      </c>
      <c r="W146" s="422" t="str">
        <f t="shared" ca="1" si="10"/>
        <v/>
      </c>
      <c r="Z146" s="422">
        <f t="shared" ca="1" si="11"/>
        <v>0</v>
      </c>
    </row>
    <row r="147" spans="1:26" x14ac:dyDescent="0.35">
      <c r="B147" s="66">
        <f ca="1">IFERROR(INDIRECT(CONCATENATE("Field!B",A146+2)),"")</f>
        <v>1</v>
      </c>
      <c r="C147" s="66">
        <f ca="1">IFERROR(INDIRECT(CONCATENATE("Field!C",A146+2)),"")</f>
        <v>33</v>
      </c>
      <c r="D147" s="89" t="str">
        <f ca="1">IFERROR(INDIRECT(CONCATENATE("Field!D",A146+2)),"")</f>
        <v>RUTTER Aaron</v>
      </c>
      <c r="E147" s="89" t="str">
        <f ca="1">IFERROR(INDIRECT(CONCATENATE("Field!E",A146+2)),"")</f>
        <v>York</v>
      </c>
      <c r="F147" s="65">
        <f ca="1">IFERROR(INDIRECT(CONCATENATE("Field!F",A146+2)),"")</f>
        <v>29.94</v>
      </c>
      <c r="G147" s="121">
        <f ca="1">IFERROR(INDIRECT(CONCATENATE("Field!G",A146+2)),"")</f>
        <v>4</v>
      </c>
      <c r="H147" s="66"/>
      <c r="I147" s="66">
        <f ca="1">IFERROR(INDIRECT(CONCATENATE("Field!I",A146+2)),"")</f>
        <v>1</v>
      </c>
      <c r="J147" s="66">
        <f ca="1">IFERROR(INDIRECT(CONCATENATE("Field!J",A146+2)),"")</f>
        <v>3</v>
      </c>
      <c r="K147" s="89" t="str">
        <f ca="1">IFERROR(INDIRECT(CONCATENATE("Field!K",A146+2)),"")</f>
        <v>MEIGH William</v>
      </c>
      <c r="L147" s="89" t="str">
        <f ca="1">IFERROR(INDIRECT(CONCATENATE("Field!L",A146+2)),"")</f>
        <v>York</v>
      </c>
      <c r="M147" s="65">
        <f ca="1">IFERROR(INDIRECT(CONCATENATE("Field!M",A146+2)),"")</f>
        <v>14.53</v>
      </c>
      <c r="N147" s="121" t="str">
        <f ca="1">IFERROR(INDIRECT(CONCATENATE("Field!N",A146+2)),"")</f>
        <v/>
      </c>
      <c r="R147" s="219">
        <f ca="1">IFERROR(INDIRECT(CONCATENATE("Field!r",A146+2)),"")</f>
        <v>1</v>
      </c>
      <c r="T147" s="64">
        <f t="shared" ca="1" si="8"/>
        <v>2</v>
      </c>
      <c r="U147" s="64">
        <f t="shared" ca="1" si="9"/>
        <v>3</v>
      </c>
      <c r="V147" s="422">
        <f ca="1">IF(OR(D147=0,D147="",D147="Athlete"),"",COUNTIF($D$4:$D147,D147))</f>
        <v>2</v>
      </c>
      <c r="W147" s="422" t="str">
        <f t="shared" ca="1" si="10"/>
        <v>York</v>
      </c>
      <c r="Z147" s="422">
        <f t="shared" ca="1" si="11"/>
        <v>0</v>
      </c>
    </row>
    <row r="148" spans="1:26" x14ac:dyDescent="0.35">
      <c r="B148" s="66">
        <f ca="1">IFERROR(INDIRECT(CONCATENATE("Field!B",A146+3)),"")</f>
        <v>2</v>
      </c>
      <c r="C148" s="66">
        <f ca="1">IFERROR(INDIRECT(CONCATENATE("Field!C",A146+3)),"")</f>
        <v>1</v>
      </c>
      <c r="D148" s="89" t="str">
        <f ca="1">IFERROR(INDIRECT(CONCATENATE("Field!D",A146+3)),"")</f>
        <v>PEERS-WAIN Jacob</v>
      </c>
      <c r="E148" s="89" t="str">
        <f ca="1">IFERROR(INDIRECT(CONCATENATE("Field!E",A146+3)),"")</f>
        <v>C'field</v>
      </c>
      <c r="F148" s="65">
        <f ca="1">IFERROR(INDIRECT(CONCATENATE("Field!F",A146+3)),"")</f>
        <v>11.92</v>
      </c>
      <c r="G148" s="121" t="str">
        <f ca="1">IFERROR(INDIRECT(CONCATENATE("Field!G",A146+3)),"")</f>
        <v/>
      </c>
      <c r="H148" s="66"/>
      <c r="I148" s="66">
        <f ca="1">IFERROR(INDIRECT(CONCATENATE("Field!I",A146+3)),"")</f>
        <v>2</v>
      </c>
      <c r="J148" s="66">
        <f ca="1">IFERROR(INDIRECT(CONCATENATE("Field!J",A146+3)),"")</f>
        <v>11</v>
      </c>
      <c r="K148" s="89" t="str">
        <f ca="1">IFERROR(INDIRECT(CONCATENATE("Field!K",A146+3)),"")</f>
        <v>BETTNEY Thomas</v>
      </c>
      <c r="L148" s="89" t="str">
        <f ca="1">IFERROR(INDIRECT(CONCATENATE("Field!L",A146+3)),"")</f>
        <v>C'field</v>
      </c>
      <c r="M148" s="65">
        <f ca="1">IFERROR(INDIRECT(CONCATENATE("Field!M",A146+3)),"")</f>
        <v>8.83</v>
      </c>
      <c r="N148" s="121" t="str">
        <f ca="1">IFERROR(INDIRECT(CONCATENATE("Field!N",A146+3)),"")</f>
        <v/>
      </c>
      <c r="T148" s="64">
        <f t="shared" ca="1" si="8"/>
        <v>3</v>
      </c>
      <c r="U148" s="64">
        <f t="shared" ca="1" si="9"/>
        <v>3</v>
      </c>
      <c r="V148" s="422">
        <f ca="1">IF(OR(D148=0,D148="",D148="Athlete"),"",COUNTIF($D$4:$D148,D148))</f>
        <v>1</v>
      </c>
      <c r="W148" s="422" t="str">
        <f t="shared" ca="1" si="10"/>
        <v>C'field</v>
      </c>
      <c r="Z148" s="422" t="str">
        <f t="shared" ca="1" si="11"/>
        <v/>
      </c>
    </row>
    <row r="149" spans="1:26" x14ac:dyDescent="0.35">
      <c r="B149" s="66">
        <f ca="1">IFERROR(INDIRECT(CONCATENATE("Field!B",A146+4)),"")</f>
        <v>3</v>
      </c>
      <c r="C149" s="66">
        <f ca="1">IFERROR(INDIRECT(CONCATENATE("Field!C",A146+4)),"")</f>
        <v>4</v>
      </c>
      <c r="D149" s="89" t="str">
        <f ca="1">IFERROR(INDIRECT(CONCATENATE("Field!D",A146+4)),"")</f>
        <v>BELL Callum</v>
      </c>
      <c r="E149" s="89" t="str">
        <f ca="1">IFERROR(INDIRECT(CONCATENATE("Field!E",A146+4)),"")</f>
        <v>M'bro</v>
      </c>
      <c r="F149" s="65">
        <f ca="1">IFERROR(INDIRECT(CONCATENATE("Field!F",A146+4)),"")</f>
        <v>11.39</v>
      </c>
      <c r="G149" s="121" t="str">
        <f ca="1">IFERROR(INDIRECT(CONCATENATE("Field!G",A146+4)),"")</f>
        <v/>
      </c>
      <c r="H149" s="66"/>
      <c r="I149" s="66">
        <f ca="1">IFERROR(INDIRECT(CONCATENATE("Field!I",A146+4)),"")</f>
        <v>3</v>
      </c>
      <c r="J149" s="66" t="str">
        <f ca="1">IFERROR(INDIRECT(CONCATENATE("Field!J",A146+4)),"")</f>
        <v/>
      </c>
      <c r="K149" s="89" t="str">
        <f ca="1">IFERROR(INDIRECT(CONCATENATE("Field!K",A146+4)),"")</f>
        <v/>
      </c>
      <c r="L149" s="89" t="str">
        <f ca="1">IFERROR(INDIRECT(CONCATENATE("Field!L",A146+4)),"")</f>
        <v/>
      </c>
      <c r="M149" s="65" t="str">
        <f ca="1">IFERROR(INDIRECT(CONCATENATE("Field!M",A146+4)),"")</f>
        <v/>
      </c>
      <c r="N149" s="121" t="str">
        <f ca="1">IFERROR(INDIRECT(CONCATENATE("Field!N",A146+4)),"")</f>
        <v/>
      </c>
      <c r="T149" s="64">
        <f t="shared" ca="1" si="8"/>
        <v>3</v>
      </c>
      <c r="U149" s="64" t="str">
        <f t="shared" ca="1" si="9"/>
        <v/>
      </c>
      <c r="V149" s="422">
        <f ca="1">IF(OR(D149=0,D149="",D149="Athlete"),"",COUNTIF($D$4:$D149,D149))</f>
        <v>3</v>
      </c>
      <c r="W149" s="422" t="str">
        <f t="shared" ca="1" si="10"/>
        <v>M'bro</v>
      </c>
      <c r="Z149" s="422" t="str">
        <f t="shared" ca="1" si="11"/>
        <v/>
      </c>
    </row>
    <row r="150" spans="1:26" x14ac:dyDescent="0.35">
      <c r="B150" s="66">
        <f ca="1">IFERROR(INDIRECT(CONCATENATE("Field!B",A146+5)),"")</f>
        <v>4</v>
      </c>
      <c r="C150" s="66" t="str">
        <f ca="1">IFERROR(INDIRECT(CONCATENATE("Field!C",A146+5)),"")</f>
        <v/>
      </c>
      <c r="D150" s="89" t="str">
        <f ca="1">IFERROR(INDIRECT(CONCATENATE("Field!D",A146+5)),"")</f>
        <v/>
      </c>
      <c r="E150" s="89" t="str">
        <f ca="1">IFERROR(INDIRECT(CONCATENATE("Field!E",A146+5)),"")</f>
        <v/>
      </c>
      <c r="F150" s="65" t="str">
        <f ca="1">IFERROR(INDIRECT(CONCATENATE("Field!F",A146+5)),"")</f>
        <v/>
      </c>
      <c r="G150" s="121" t="str">
        <f ca="1">IFERROR(INDIRECT(CONCATENATE("Field!G",A146+5)),"")</f>
        <v/>
      </c>
      <c r="H150" s="66"/>
      <c r="I150" s="66">
        <f ca="1">IFERROR(INDIRECT(CONCATENATE("Field!I",A146+5)),"")</f>
        <v>4</v>
      </c>
      <c r="J150" s="66" t="str">
        <f ca="1">IFERROR(INDIRECT(CONCATENATE("Field!J",A146+5)),"")</f>
        <v/>
      </c>
      <c r="K150" s="89" t="str">
        <f ca="1">IFERROR(INDIRECT(CONCATENATE("Field!K",A146+5)),"")</f>
        <v/>
      </c>
      <c r="L150" s="89" t="str">
        <f ca="1">IFERROR(INDIRECT(CONCATENATE("Field!L",A146+5)),"")</f>
        <v/>
      </c>
      <c r="M150" s="65" t="str">
        <f ca="1">IFERROR(INDIRECT(CONCATENATE("Field!M",A146+5)),"")</f>
        <v/>
      </c>
      <c r="N150" s="121" t="str">
        <f ca="1">IFERROR(INDIRECT(CONCATENATE("Field!N",A146+5)),"")</f>
        <v/>
      </c>
      <c r="T150" s="64" t="str">
        <f t="shared" ca="1" si="8"/>
        <v/>
      </c>
      <c r="U150" s="64" t="str">
        <f t="shared" ca="1" si="9"/>
        <v/>
      </c>
      <c r="V150" s="422" t="str">
        <f ca="1">IF(OR(D150=0,D150="",D150="Athlete"),"",COUNTIF($D$4:$D150,D150))</f>
        <v/>
      </c>
      <c r="W150" s="422" t="str">
        <f t="shared" ca="1" si="10"/>
        <v/>
      </c>
      <c r="Z150" s="422" t="str">
        <f t="shared" ca="1" si="11"/>
        <v/>
      </c>
    </row>
    <row r="151" spans="1:26" x14ac:dyDescent="0.35">
      <c r="B151" s="66">
        <f ca="1">IFERROR(INDIRECT(CONCATENATE("Field!B",A146+6)),"")</f>
        <v>5</v>
      </c>
      <c r="C151" s="66" t="str">
        <f ca="1">IFERROR(INDIRECT(CONCATENATE("Field!C",A146+6)),"")</f>
        <v/>
      </c>
      <c r="D151" s="89" t="str">
        <f ca="1">IFERROR(INDIRECT(CONCATENATE("Field!D",A146+6)),"")</f>
        <v/>
      </c>
      <c r="E151" s="89" t="str">
        <f ca="1">IFERROR(INDIRECT(CONCATENATE("Field!E",A146+6)),"")</f>
        <v/>
      </c>
      <c r="F151" s="65" t="str">
        <f ca="1">IFERROR(INDIRECT(CONCATENATE("Field!F",A146+6)),"")</f>
        <v/>
      </c>
      <c r="G151" s="121" t="str">
        <f ca="1">IFERROR(INDIRECT(CONCATENATE("Field!G",A146+6)),"")</f>
        <v/>
      </c>
      <c r="H151" s="66"/>
      <c r="I151" s="66">
        <f ca="1">IFERROR(INDIRECT(CONCATENATE("Field!I",A146+6)),"")</f>
        <v>5</v>
      </c>
      <c r="J151" s="66" t="str">
        <f ca="1">IFERROR(INDIRECT(CONCATENATE("Field!J",A146+6)),"")</f>
        <v/>
      </c>
      <c r="K151" s="89" t="str">
        <f ca="1">IFERROR(INDIRECT(CONCATENATE("Field!K",A146+6)),"")</f>
        <v/>
      </c>
      <c r="L151" s="89" t="str">
        <f ca="1">IFERROR(INDIRECT(CONCATENATE("Field!L",A146+6)),"")</f>
        <v/>
      </c>
      <c r="M151" s="65" t="str">
        <f ca="1">IFERROR(INDIRECT(CONCATENATE("Field!M",A146+6)),"")</f>
        <v/>
      </c>
      <c r="N151" s="121" t="str">
        <f ca="1">IFERROR(INDIRECT(CONCATENATE("Field!N",A146+6)),"")</f>
        <v/>
      </c>
      <c r="T151" s="64" t="str">
        <f t="shared" ca="1" si="8"/>
        <v/>
      </c>
      <c r="U151" s="64" t="str">
        <f t="shared" ca="1" si="9"/>
        <v/>
      </c>
      <c r="V151" s="422" t="str">
        <f ca="1">IF(OR(D151=0,D151="",D151="Athlete"),"",COUNTIF($D$4:$D151,D151))</f>
        <v/>
      </c>
      <c r="W151" s="422" t="str">
        <f t="shared" ca="1" si="10"/>
        <v/>
      </c>
      <c r="Z151" s="422" t="str">
        <f t="shared" ca="1" si="11"/>
        <v/>
      </c>
    </row>
    <row r="152" spans="1:26" x14ac:dyDescent="0.35">
      <c r="B152" s="66">
        <f ca="1">IFERROR(INDIRECT(CONCATENATE("Field!B",A146+7)),"")</f>
        <v>6</v>
      </c>
      <c r="C152" s="66" t="str">
        <f ca="1">IFERROR(INDIRECT(CONCATENATE("Field!C",A146+7)),"")</f>
        <v/>
      </c>
      <c r="D152" s="89" t="str">
        <f ca="1">IFERROR(INDIRECT(CONCATENATE("Field!D",A146+7)),"")</f>
        <v/>
      </c>
      <c r="E152" s="89" t="str">
        <f ca="1">IFERROR(INDIRECT(CONCATENATE("Field!E",A146+7)),"")</f>
        <v/>
      </c>
      <c r="F152" s="65" t="str">
        <f ca="1">IFERROR(INDIRECT(CONCATENATE("Field!F",A146+7)),"")</f>
        <v/>
      </c>
      <c r="G152" s="121" t="str">
        <f ca="1">IFERROR(INDIRECT(CONCATENATE("Field!G",A146+7)),"")</f>
        <v/>
      </c>
      <c r="H152" s="66"/>
      <c r="I152" s="66">
        <f ca="1">IFERROR(INDIRECT(CONCATENATE("Field!I",A146+7)),"")</f>
        <v>6</v>
      </c>
      <c r="J152" s="66" t="str">
        <f ca="1">IFERROR(INDIRECT(CONCATENATE("Field!J",A146+7)),"")</f>
        <v/>
      </c>
      <c r="K152" s="89" t="str">
        <f ca="1">IFERROR(INDIRECT(CONCATENATE("Field!K",A146+7)),"")</f>
        <v/>
      </c>
      <c r="L152" s="89" t="str">
        <f ca="1">IFERROR(INDIRECT(CONCATENATE("Field!L",A146+7)),"")</f>
        <v/>
      </c>
      <c r="M152" s="65" t="str">
        <f ca="1">IFERROR(INDIRECT(CONCATENATE("Field!M",A146+7)),"")</f>
        <v/>
      </c>
      <c r="N152" s="121" t="str">
        <f ca="1">IFERROR(INDIRECT(CONCATENATE("Field!N",A146+7)),"")</f>
        <v/>
      </c>
      <c r="T152" s="64" t="str">
        <f t="shared" ca="1" si="8"/>
        <v/>
      </c>
      <c r="U152" s="64" t="str">
        <f t="shared" ca="1" si="9"/>
        <v/>
      </c>
      <c r="V152" s="422" t="str">
        <f ca="1">IF(OR(D152=0,D152="",D152="Athlete"),"",COUNTIF($D$4:$D152,D152))</f>
        <v/>
      </c>
      <c r="W152" s="422" t="str">
        <f t="shared" ca="1" si="10"/>
        <v/>
      </c>
      <c r="Z152" s="422" t="str">
        <f t="shared" ca="1" si="11"/>
        <v/>
      </c>
    </row>
    <row r="153" spans="1:26" x14ac:dyDescent="0.35">
      <c r="B153" s="66">
        <f ca="1">IFERROR(INDIRECT(CONCATENATE("Field!B",A146+8)),"")</f>
        <v>7</v>
      </c>
      <c r="C153" s="66" t="str">
        <f ca="1">IFERROR(INDIRECT(CONCATENATE("Field!C",A146+8)),"")</f>
        <v/>
      </c>
      <c r="D153" s="89" t="str">
        <f ca="1">IFERROR(INDIRECT(CONCATENATE("Field!D",A146+8)),"")</f>
        <v/>
      </c>
      <c r="E153" s="89" t="str">
        <f ca="1">IFERROR(INDIRECT(CONCATENATE("Field!E",A146+8)),"")</f>
        <v/>
      </c>
      <c r="F153" s="65" t="str">
        <f ca="1">IFERROR(INDIRECT(CONCATENATE("Field!F",A146+8)),"")</f>
        <v/>
      </c>
      <c r="G153" s="121" t="str">
        <f ca="1">IFERROR(INDIRECT(CONCATENATE("Field!G",A146+8)),"")</f>
        <v/>
      </c>
      <c r="H153" s="66"/>
      <c r="I153" s="66">
        <f ca="1">IFERROR(INDIRECT(CONCATENATE("Field!I",A146+8)),"")</f>
        <v>7</v>
      </c>
      <c r="J153" s="66" t="str">
        <f ca="1">IFERROR(INDIRECT(CONCATENATE("Field!J",A146+8)),"")</f>
        <v/>
      </c>
      <c r="K153" s="89" t="str">
        <f ca="1">IFERROR(INDIRECT(CONCATENATE("Field!K",A146+8)),"")</f>
        <v/>
      </c>
      <c r="L153" s="89" t="str">
        <f ca="1">IFERROR(INDIRECT(CONCATENATE("Field!L",A146+8)),"")</f>
        <v/>
      </c>
      <c r="M153" s="65" t="str">
        <f ca="1">IFERROR(INDIRECT(CONCATENATE("Field!M",A146+8)),"")</f>
        <v/>
      </c>
      <c r="N153" s="121" t="str">
        <f ca="1">IFERROR(INDIRECT(CONCATENATE("Field!N",A146+8)),"")</f>
        <v/>
      </c>
      <c r="T153" s="64" t="str">
        <f t="shared" ca="1" si="8"/>
        <v/>
      </c>
      <c r="U153" s="64" t="str">
        <f t="shared" ca="1" si="9"/>
        <v/>
      </c>
      <c r="V153" s="422" t="str">
        <f ca="1">IF(OR(D153=0,D153="",D153="Athlete"),"",COUNTIF($D$4:$D153,D153))</f>
        <v/>
      </c>
      <c r="W153" s="422" t="str">
        <f t="shared" ca="1" si="10"/>
        <v/>
      </c>
      <c r="Z153" s="422" t="str">
        <f t="shared" ca="1" si="11"/>
        <v/>
      </c>
    </row>
    <row r="154" spans="1:26" x14ac:dyDescent="0.35">
      <c r="B154" s="66">
        <f ca="1">IFERROR(INDIRECT(CONCATENATE("Field!B",A146+9)),"")</f>
        <v>8</v>
      </c>
      <c r="C154" s="66" t="str">
        <f ca="1">IFERROR(INDIRECT(CONCATENATE("Field!C",A146+9)),"")</f>
        <v/>
      </c>
      <c r="D154" s="89" t="str">
        <f ca="1">IFERROR(INDIRECT(CONCATENATE("Field!D",A146+9)),"")</f>
        <v/>
      </c>
      <c r="E154" s="89" t="str">
        <f ca="1">IFERROR(INDIRECT(CONCATENATE("Field!E",A146+9)),"")</f>
        <v/>
      </c>
      <c r="F154" s="65" t="str">
        <f ca="1">IFERROR(INDIRECT(CONCATENATE("Field!F",A146+9)),"")</f>
        <v/>
      </c>
      <c r="G154" s="121" t="str">
        <f ca="1">IFERROR(INDIRECT(CONCATENATE("Field!G",A146+9)),"")</f>
        <v/>
      </c>
      <c r="H154" s="66"/>
      <c r="I154" s="66">
        <f ca="1">IFERROR(INDIRECT(CONCATENATE("Field!I",A146+9)),"")</f>
        <v>8</v>
      </c>
      <c r="J154" s="66" t="str">
        <f ca="1">IFERROR(INDIRECT(CONCATENATE("Field!J",A146+9)),"")</f>
        <v/>
      </c>
      <c r="K154" s="89" t="str">
        <f ca="1">IFERROR(INDIRECT(CONCATENATE("Field!K",A146+9)),"")</f>
        <v/>
      </c>
      <c r="L154" s="89" t="str">
        <f ca="1">IFERROR(INDIRECT(CONCATENATE("Field!L",A146+9)),"")</f>
        <v/>
      </c>
      <c r="M154" s="65" t="str">
        <f ca="1">IFERROR(INDIRECT(CONCATENATE("Field!M",A146+9)),"")</f>
        <v/>
      </c>
      <c r="N154" s="121" t="str">
        <f ca="1">IFERROR(INDIRECT(CONCATENATE("Field!N",A146+9)),"")</f>
        <v/>
      </c>
      <c r="T154" s="64" t="str">
        <f t="shared" ca="1" si="8"/>
        <v/>
      </c>
      <c r="U154" s="64" t="str">
        <f t="shared" ca="1" si="9"/>
        <v/>
      </c>
      <c r="V154" s="422" t="str">
        <f ca="1">IF(OR(D154=0,D154="",D154="Athlete"),"",COUNTIF($D$4:$D154,D154))</f>
        <v/>
      </c>
      <c r="W154" s="422" t="str">
        <f t="shared" ca="1" si="10"/>
        <v/>
      </c>
      <c r="Z154" s="422" t="str">
        <f t="shared" ca="1" si="11"/>
        <v/>
      </c>
    </row>
    <row r="155" spans="1:26" x14ac:dyDescent="0.35">
      <c r="T155" s="64" t="str">
        <f t="shared" si="8"/>
        <v/>
      </c>
      <c r="U155" s="64" t="str">
        <f t="shared" si="9"/>
        <v/>
      </c>
      <c r="V155" s="422" t="str">
        <f>IF(OR(D155=0,D155="",D155="Athlete"),"",COUNTIF($D$4:$D155,D155))</f>
        <v/>
      </c>
      <c r="W155" s="422" t="str">
        <f t="shared" si="10"/>
        <v/>
      </c>
      <c r="Z155" s="422" t="str">
        <f t="shared" si="11"/>
        <v/>
      </c>
    </row>
    <row r="156" spans="1:26" x14ac:dyDescent="0.35">
      <c r="A156" s="66" t="s">
        <v>243</v>
      </c>
      <c r="B156" s="115" t="str">
        <f ca="1">IFERROR(INDIRECT(CONCATENATE("Field!B",A157)),"")</f>
        <v>Javelin U15 Boys A</v>
      </c>
      <c r="G156" s="403" t="str">
        <f ca="1">IFERROR(INDIRECT(CONCATENATE("Field!g",A157)),"")</f>
        <v/>
      </c>
      <c r="I156" s="115" t="str">
        <f ca="1">IFERROR(INDIRECT(CONCATENATE("Field!I",A157)),"")</f>
        <v>Javelin U15 Boys B</v>
      </c>
      <c r="T156" s="64" t="str">
        <f t="shared" si="8"/>
        <v/>
      </c>
      <c r="U156" s="64" t="str">
        <f t="shared" si="9"/>
        <v/>
      </c>
      <c r="V156" s="422" t="str">
        <f>IF(OR(D156=0,D156="",D156="Athlete"),"",COUNTIF($D$4:$D156,D156))</f>
        <v/>
      </c>
      <c r="W156" s="422" t="str">
        <f t="shared" si="10"/>
        <v/>
      </c>
      <c r="Z156" s="422" t="str">
        <f t="shared" ca="1" si="11"/>
        <v/>
      </c>
    </row>
    <row r="157" spans="1:26" x14ac:dyDescent="0.35">
      <c r="A157" s="66">
        <f>IFERROR(MATCH(A156,Field!A:A,0),"")</f>
        <v>68</v>
      </c>
      <c r="B157" s="45" t="str">
        <f ca="1">IFERROR(INDIRECT(CONCATENATE("Field!B",A157+1)),"")</f>
        <v>Posn</v>
      </c>
      <c r="C157" s="45" t="str">
        <f ca="1">IFERROR(INDIRECT(CONCATENATE("Field!C",A157+1)),"")</f>
        <v>Bib</v>
      </c>
      <c r="D157" s="182" t="str">
        <f ca="1">IFERROR(INDIRECT(CONCATENATE("Field!D",A157+1)),"")</f>
        <v>Athlete</v>
      </c>
      <c r="E157" s="182" t="str">
        <f ca="1">IFERROR(INDIRECT(CONCATENATE("Field!E",A157+1)),"")</f>
        <v>Club</v>
      </c>
      <c r="F157" s="149" t="str">
        <f ca="1">IFERROR(INDIRECT(CONCATENATE("Field!F",A157+1)),"")</f>
        <v>Perf</v>
      </c>
      <c r="G157" s="218" t="str">
        <f ca="1">IFERROR(INDIRECT(CONCATENATE("Field!G",A157+1)),"")</f>
        <v>AAA</v>
      </c>
      <c r="H157" s="45"/>
      <c r="I157" s="45" t="str">
        <f ca="1">IFERROR(INDIRECT(CONCATENATE("Field!I",A157+1)),"")</f>
        <v>Posn</v>
      </c>
      <c r="J157" s="45" t="str">
        <f ca="1">IFERROR(INDIRECT(CONCATENATE("Field!J",A157+1)),"")</f>
        <v>Bib</v>
      </c>
      <c r="K157" s="182" t="str">
        <f ca="1">IFERROR(INDIRECT(CONCATENATE("Field!K",A157+1)),"")</f>
        <v>Athlete</v>
      </c>
      <c r="L157" s="182" t="str">
        <f ca="1">IFERROR(INDIRECT(CONCATENATE("Field!L",A157+1)),"")</f>
        <v>Club</v>
      </c>
      <c r="M157" s="149" t="str">
        <f ca="1">IFERROR(INDIRECT(CONCATENATE("Field!M",A157+1)),"")</f>
        <v>Perf</v>
      </c>
      <c r="N157" s="218" t="str">
        <f ca="1">IFERROR(INDIRECT(CONCATENATE("Field!N",A157+1)),"")</f>
        <v>AAA</v>
      </c>
      <c r="T157" s="64" t="str">
        <f t="shared" ca="1" si="8"/>
        <v/>
      </c>
      <c r="U157" s="64" t="str">
        <f t="shared" ca="1" si="9"/>
        <v/>
      </c>
      <c r="V157" s="422" t="str">
        <f ca="1">IF(OR(D157=0,D157="",D157="Athlete"),"",COUNTIF($D$4:$D157,D157))</f>
        <v/>
      </c>
      <c r="W157" s="422" t="str">
        <f t="shared" ca="1" si="10"/>
        <v/>
      </c>
      <c r="Z157" s="422">
        <f t="shared" ca="1" si="11"/>
        <v>0</v>
      </c>
    </row>
    <row r="158" spans="1:26" x14ac:dyDescent="0.35">
      <c r="B158" s="66">
        <f ca="1">IFERROR(INDIRECT(CONCATENATE("Field!B",A157+2)),"")</f>
        <v>1</v>
      </c>
      <c r="C158" s="66">
        <f ca="1">IFERROR(INDIRECT(CONCATENATE("Field!C",A157+2)),"")</f>
        <v>5</v>
      </c>
      <c r="D158" s="89" t="str">
        <f ca="1">IFERROR(INDIRECT(CONCATENATE("Field!D",A157+2)),"")</f>
        <v>COOK Edwin</v>
      </c>
      <c r="E158" s="89" t="str">
        <f ca="1">IFERROR(INDIRECT(CONCATENATE("Field!E",A157+2)),"")</f>
        <v>Scun</v>
      </c>
      <c r="F158" s="65">
        <f ca="1">IFERROR(INDIRECT(CONCATENATE("Field!F",A157+2)),"")</f>
        <v>20.81</v>
      </c>
      <c r="G158" s="121" t="str">
        <f ca="1">IFERROR(INDIRECT(CONCATENATE("Field!G",A157+2)),"")</f>
        <v/>
      </c>
      <c r="H158" s="66"/>
      <c r="I158" s="66">
        <f ca="1">IFERROR(INDIRECT(CONCATENATE("Field!I",A157+2)),"")</f>
        <v>1</v>
      </c>
      <c r="J158" s="66">
        <f ca="1">IFERROR(INDIRECT(CONCATENATE("Field!J",A157+2)),"")</f>
        <v>33</v>
      </c>
      <c r="K158" s="89" t="str">
        <f ca="1">IFERROR(INDIRECT(CONCATENATE("Field!K",A157+2)),"")</f>
        <v>BROOKS Rory</v>
      </c>
      <c r="L158" s="89" t="str">
        <f ca="1">IFERROR(INDIRECT(CONCATENATE("Field!L",A157+2)),"")</f>
        <v>York</v>
      </c>
      <c r="M158" s="65">
        <f ca="1">IFERROR(INDIRECT(CONCATENATE("Field!M",A157+2)),"")</f>
        <v>19.13</v>
      </c>
      <c r="N158" s="121" t="str">
        <f ca="1">IFERROR(INDIRECT(CONCATENATE("Field!N",A157+2)),"")</f>
        <v/>
      </c>
      <c r="R158" s="219">
        <f ca="1">IFERROR(INDIRECT(CONCATENATE("Field!r",A157+2)),"")</f>
        <v>1</v>
      </c>
      <c r="T158" s="64">
        <f t="shared" ca="1" si="8"/>
        <v>3</v>
      </c>
      <c r="U158" s="64">
        <f t="shared" ca="1" si="9"/>
        <v>3</v>
      </c>
      <c r="V158" s="422">
        <f ca="1">IF(OR(D158=0,D158="",D158="Athlete"),"",COUNTIF($D$4:$D158,D158))</f>
        <v>3</v>
      </c>
      <c r="W158" s="422" t="str">
        <f t="shared" ca="1" si="10"/>
        <v>Scun</v>
      </c>
      <c r="Z158" s="422" t="str">
        <f t="shared" ca="1" si="11"/>
        <v/>
      </c>
    </row>
    <row r="159" spans="1:26" x14ac:dyDescent="0.35">
      <c r="B159" s="66">
        <f ca="1">IFERROR(INDIRECT(CONCATENATE("Field!B",A157+3)),"")</f>
        <v>2</v>
      </c>
      <c r="C159" s="66">
        <f ca="1">IFERROR(INDIRECT(CONCATENATE("Field!C",A157+3)),"")</f>
        <v>3</v>
      </c>
      <c r="D159" s="89" t="str">
        <f ca="1">IFERROR(INDIRECT(CONCATENATE("Field!D",A157+3)),"")</f>
        <v>RHODES Ashton</v>
      </c>
      <c r="E159" s="89" t="str">
        <f ca="1">IFERROR(INDIRECT(CONCATENATE("Field!E",A157+3)),"")</f>
        <v>York</v>
      </c>
      <c r="F159" s="65">
        <f ca="1">IFERROR(INDIRECT(CONCATENATE("Field!F",A157+3)),"")</f>
        <v>20.329999999999998</v>
      </c>
      <c r="G159" s="121" t="str">
        <f ca="1">IFERROR(INDIRECT(CONCATENATE("Field!G",A157+3)),"")</f>
        <v/>
      </c>
      <c r="H159" s="66"/>
      <c r="I159" s="66">
        <f ca="1">IFERROR(INDIRECT(CONCATENATE("Field!I",A157+3)),"")</f>
        <v>2</v>
      </c>
      <c r="J159" s="66">
        <f ca="1">IFERROR(INDIRECT(CONCATENATE("Field!J",A157+3)),"")</f>
        <v>11</v>
      </c>
      <c r="K159" s="89" t="str">
        <f ca="1">IFERROR(INDIRECT(CONCATENATE("Field!K",A157+3)),"")</f>
        <v>SAS Reuben</v>
      </c>
      <c r="L159" s="89" t="str">
        <f ca="1">IFERROR(INDIRECT(CONCATENATE("Field!L",A157+3)),"")</f>
        <v>C'field</v>
      </c>
      <c r="M159" s="65">
        <f ca="1">IFERROR(INDIRECT(CONCATENATE("Field!M",A157+3)),"")</f>
        <v>14.43</v>
      </c>
      <c r="N159" s="121" t="str">
        <f ca="1">IFERROR(INDIRECT(CONCATENATE("Field!N",A157+3)),"")</f>
        <v/>
      </c>
      <c r="T159" s="64">
        <f t="shared" ca="1" si="8"/>
        <v>2</v>
      </c>
      <c r="U159" s="64">
        <f t="shared" ca="1" si="9"/>
        <v>2</v>
      </c>
      <c r="V159" s="422">
        <f ca="1">IF(OR(D159=0,D159="",D159="Athlete"),"",COUNTIF($D$4:$D159,D159))</f>
        <v>1</v>
      </c>
      <c r="W159" s="422" t="str">
        <f t="shared" ca="1" si="10"/>
        <v>York</v>
      </c>
      <c r="Z159" s="422" t="str">
        <f t="shared" ca="1" si="11"/>
        <v/>
      </c>
    </row>
    <row r="160" spans="1:26" x14ac:dyDescent="0.35">
      <c r="B160" s="66">
        <f ca="1">IFERROR(INDIRECT(CONCATENATE("Field!B",A157+4)),"")</f>
        <v>3</v>
      </c>
      <c r="C160" s="66">
        <f ca="1">IFERROR(INDIRECT(CONCATENATE("Field!C",A157+4)),"")</f>
        <v>2</v>
      </c>
      <c r="D160" s="89" t="str">
        <f ca="1">IFERROR(INDIRECT(CONCATENATE("Field!D",A157+4)),"")</f>
        <v>COLLINI Joseph</v>
      </c>
      <c r="E160" s="89" t="str">
        <f ca="1">IFERROR(INDIRECT(CONCATENATE("Field!E",A157+4)),"")</f>
        <v>Sheff+D</v>
      </c>
      <c r="F160" s="65">
        <f ca="1">IFERROR(INDIRECT(CONCATENATE("Field!F",A157+4)),"")</f>
        <v>16.920000000000002</v>
      </c>
      <c r="G160" s="121" t="str">
        <f ca="1">IFERROR(INDIRECT(CONCATENATE("Field!G",A157+4)),"")</f>
        <v/>
      </c>
      <c r="H160" s="66"/>
      <c r="I160" s="66">
        <f ca="1">IFERROR(INDIRECT(CONCATENATE("Field!I",A157+4)),"")</f>
        <v>3</v>
      </c>
      <c r="J160" s="66">
        <f ca="1">IFERROR(INDIRECT(CONCATENATE("Field!J",A157+4)),"")</f>
        <v>22</v>
      </c>
      <c r="K160" s="89" t="str">
        <f ca="1">IFERROR(INDIRECT(CONCATENATE("Field!K",A157+4)),"")</f>
        <v>WAINWRIGHT James</v>
      </c>
      <c r="L160" s="89" t="str">
        <f ca="1">IFERROR(INDIRECT(CONCATENATE("Field!L",A157+4)),"")</f>
        <v>Sheff+D</v>
      </c>
      <c r="M160" s="65">
        <f ca="1">IFERROR(INDIRECT(CONCATENATE("Field!M",A157+4)),"")</f>
        <v>11.51</v>
      </c>
      <c r="N160" s="121" t="str">
        <f ca="1">IFERROR(INDIRECT(CONCATENATE("Field!N",A157+4)),"")</f>
        <v/>
      </c>
      <c r="T160" s="64">
        <f t="shared" ca="1" si="8"/>
        <v>2</v>
      </c>
      <c r="U160" s="64">
        <f t="shared" ca="1" si="9"/>
        <v>3</v>
      </c>
      <c r="V160" s="422">
        <f ca="1">IF(OR(D160=0,D160="",D160="Athlete"),"",COUNTIF($D$4:$D160,D160))</f>
        <v>2</v>
      </c>
      <c r="W160" s="422" t="str">
        <f t="shared" ca="1" si="10"/>
        <v>Sheff+D</v>
      </c>
      <c r="Z160" s="422" t="str">
        <f t="shared" ca="1" si="11"/>
        <v/>
      </c>
    </row>
    <row r="161" spans="1:27" x14ac:dyDescent="0.35">
      <c r="B161" s="66">
        <f ca="1">IFERROR(INDIRECT(CONCATENATE("Field!B",A157+5)),"")</f>
        <v>4</v>
      </c>
      <c r="C161" s="66">
        <f ca="1">IFERROR(INDIRECT(CONCATENATE("Field!C",A157+5)),"")</f>
        <v>1</v>
      </c>
      <c r="D161" s="89" t="str">
        <f ca="1">IFERROR(INDIRECT(CONCATENATE("Field!D",A157+5)),"")</f>
        <v>BETTNEY Thomas</v>
      </c>
      <c r="E161" s="89" t="str">
        <f ca="1">IFERROR(INDIRECT(CONCATENATE("Field!E",A157+5)),"")</f>
        <v>C'field</v>
      </c>
      <c r="F161" s="65">
        <f ca="1">IFERROR(INDIRECT(CONCATENATE("Field!F",A157+5)),"")</f>
        <v>15.02</v>
      </c>
      <c r="G161" s="121" t="str">
        <f ca="1">IFERROR(INDIRECT(CONCATENATE("Field!G",A157+5)),"")</f>
        <v/>
      </c>
      <c r="H161" s="66"/>
      <c r="I161" s="66">
        <f ca="1">IFERROR(INDIRECT(CONCATENATE("Field!I",A157+5)),"")</f>
        <v>4</v>
      </c>
      <c r="J161" s="66">
        <f ca="1">IFERROR(INDIRECT(CONCATENATE("Field!J",A157+5)),"")</f>
        <v>55</v>
      </c>
      <c r="K161" s="89" t="str">
        <f ca="1">IFERROR(INDIRECT(CONCATENATE("Field!K",A157+5)),"")</f>
        <v>OADES Matthew</v>
      </c>
      <c r="L161" s="89" t="str">
        <f ca="1">IFERROR(INDIRECT(CONCATENATE("Field!L",A157+5)),"")</f>
        <v>Scun</v>
      </c>
      <c r="M161" s="65">
        <f ca="1">IFERROR(INDIRECT(CONCATENATE("Field!M",A157+5)),"")</f>
        <v>10.09</v>
      </c>
      <c r="N161" s="121" t="str">
        <f ca="1">IFERROR(INDIRECT(CONCATENATE("Field!N",A157+5)),"")</f>
        <v/>
      </c>
      <c r="T161" s="64">
        <f t="shared" ca="1" si="8"/>
        <v>3</v>
      </c>
      <c r="U161" s="64">
        <f t="shared" ca="1" si="9"/>
        <v>3</v>
      </c>
      <c r="V161" s="422">
        <f ca="1">IF(OR(D161=0,D161="",D161="Athlete"),"",COUNTIF($D$4:$D161,D161))</f>
        <v>2</v>
      </c>
      <c r="W161" s="422" t="str">
        <f t="shared" ca="1" si="10"/>
        <v>C'field</v>
      </c>
      <c r="Z161" s="422" t="str">
        <f t="shared" ca="1" si="11"/>
        <v/>
      </c>
    </row>
    <row r="162" spans="1:27" x14ac:dyDescent="0.35">
      <c r="B162" s="66">
        <f ca="1">IFERROR(INDIRECT(CONCATENATE("Field!B",A157+6)),"")</f>
        <v>5</v>
      </c>
      <c r="C162" s="66" t="str">
        <f ca="1">IFERROR(INDIRECT(CONCATENATE("Field!C",A157+6)),"")</f>
        <v/>
      </c>
      <c r="D162" s="89" t="str">
        <f ca="1">IFERROR(INDIRECT(CONCATENATE("Field!D",A157+6)),"")</f>
        <v/>
      </c>
      <c r="E162" s="89" t="str">
        <f ca="1">IFERROR(INDIRECT(CONCATENATE("Field!E",A157+6)),"")</f>
        <v/>
      </c>
      <c r="F162" s="65" t="str">
        <f ca="1">IFERROR(INDIRECT(CONCATENATE("Field!F",A157+6)),"")</f>
        <v/>
      </c>
      <c r="G162" s="121" t="str">
        <f ca="1">IFERROR(INDIRECT(CONCATENATE("Field!G",A157+6)),"")</f>
        <v/>
      </c>
      <c r="H162" s="66"/>
      <c r="I162" s="66">
        <f ca="1">IFERROR(INDIRECT(CONCATENATE("Field!I",A157+6)),"")</f>
        <v>5</v>
      </c>
      <c r="J162" s="66" t="str">
        <f ca="1">IFERROR(INDIRECT(CONCATENATE("Field!J",A157+6)),"")</f>
        <v/>
      </c>
      <c r="K162" s="89" t="str">
        <f ca="1">IFERROR(INDIRECT(CONCATENATE("Field!K",A157+6)),"")</f>
        <v/>
      </c>
      <c r="L162" s="89" t="str">
        <f ca="1">IFERROR(INDIRECT(CONCATENATE("Field!L",A157+6)),"")</f>
        <v/>
      </c>
      <c r="M162" s="65" t="str">
        <f ca="1">IFERROR(INDIRECT(CONCATENATE("Field!M",A157+6)),"")</f>
        <v/>
      </c>
      <c r="N162" s="121" t="str">
        <f ca="1">IFERROR(INDIRECT(CONCATENATE("Field!N",A157+6)),"")</f>
        <v/>
      </c>
      <c r="T162" s="64" t="str">
        <f t="shared" ca="1" si="8"/>
        <v/>
      </c>
      <c r="U162" s="64" t="str">
        <f t="shared" ca="1" si="9"/>
        <v/>
      </c>
      <c r="V162" s="422" t="str">
        <f ca="1">IF(OR(D162=0,D162="",D162="Athlete"),"",COUNTIF($D$4:$D162,D162))</f>
        <v/>
      </c>
      <c r="W162" s="422" t="str">
        <f t="shared" ca="1" si="10"/>
        <v/>
      </c>
      <c r="Z162" s="422" t="str">
        <f t="shared" ca="1" si="11"/>
        <v/>
      </c>
    </row>
    <row r="163" spans="1:27" x14ac:dyDescent="0.35">
      <c r="B163" s="66">
        <f ca="1">IFERROR(INDIRECT(CONCATENATE("Field!B",A157+7)),"")</f>
        <v>6</v>
      </c>
      <c r="C163" s="66" t="str">
        <f ca="1">IFERROR(INDIRECT(CONCATENATE("Field!C",A157+7)),"")</f>
        <v/>
      </c>
      <c r="D163" s="89" t="str">
        <f ca="1">IFERROR(INDIRECT(CONCATENATE("Field!D",A157+7)),"")</f>
        <v/>
      </c>
      <c r="E163" s="89" t="str">
        <f ca="1">IFERROR(INDIRECT(CONCATENATE("Field!E",A157+7)),"")</f>
        <v/>
      </c>
      <c r="F163" s="65" t="str">
        <f ca="1">IFERROR(INDIRECT(CONCATENATE("Field!F",A157+7)),"")</f>
        <v/>
      </c>
      <c r="G163" s="121" t="str">
        <f ca="1">IFERROR(INDIRECT(CONCATENATE("Field!G",A157+7)),"")</f>
        <v/>
      </c>
      <c r="H163" s="66"/>
      <c r="I163" s="66">
        <f ca="1">IFERROR(INDIRECT(CONCATENATE("Field!I",A157+7)),"")</f>
        <v>6</v>
      </c>
      <c r="J163" s="66" t="str">
        <f ca="1">IFERROR(INDIRECT(CONCATENATE("Field!J",A157+7)),"")</f>
        <v/>
      </c>
      <c r="K163" s="89" t="str">
        <f ca="1">IFERROR(INDIRECT(CONCATENATE("Field!K",A157+7)),"")</f>
        <v/>
      </c>
      <c r="L163" s="89" t="str">
        <f ca="1">IFERROR(INDIRECT(CONCATENATE("Field!L",A157+7)),"")</f>
        <v/>
      </c>
      <c r="M163" s="65" t="str">
        <f ca="1">IFERROR(INDIRECT(CONCATENATE("Field!M",A157+7)),"")</f>
        <v/>
      </c>
      <c r="N163" s="121" t="str">
        <f ca="1">IFERROR(INDIRECT(CONCATENATE("Field!N",A157+7)),"")</f>
        <v/>
      </c>
      <c r="T163" s="64" t="str">
        <f t="shared" ca="1" si="8"/>
        <v/>
      </c>
      <c r="U163" s="64" t="str">
        <f t="shared" ca="1" si="9"/>
        <v/>
      </c>
      <c r="V163" s="422" t="str">
        <f ca="1">IF(OR(D163=0,D163="",D163="Athlete"),"",COUNTIF($D$4:$D163,D163))</f>
        <v/>
      </c>
      <c r="W163" s="422" t="str">
        <f t="shared" ca="1" si="10"/>
        <v/>
      </c>
      <c r="Z163" s="422" t="str">
        <f t="shared" ca="1" si="11"/>
        <v/>
      </c>
    </row>
    <row r="164" spans="1:27" x14ac:dyDescent="0.35">
      <c r="B164" s="66">
        <f ca="1">IFERROR(INDIRECT(CONCATENATE("Field!B",A157+8)),"")</f>
        <v>7</v>
      </c>
      <c r="C164" s="66" t="str">
        <f ca="1">IFERROR(INDIRECT(CONCATENATE("Field!C",A157+8)),"")</f>
        <v/>
      </c>
      <c r="D164" s="89" t="str">
        <f ca="1">IFERROR(INDIRECT(CONCATENATE("Field!D",A157+8)),"")</f>
        <v/>
      </c>
      <c r="E164" s="89" t="str">
        <f ca="1">IFERROR(INDIRECT(CONCATENATE("Field!E",A157+8)),"")</f>
        <v/>
      </c>
      <c r="F164" s="65" t="str">
        <f ca="1">IFERROR(INDIRECT(CONCATENATE("Field!F",A157+8)),"")</f>
        <v/>
      </c>
      <c r="G164" s="121" t="str">
        <f ca="1">IFERROR(INDIRECT(CONCATENATE("Field!G",A157+8)),"")</f>
        <v/>
      </c>
      <c r="H164" s="66"/>
      <c r="I164" s="66">
        <f ca="1">IFERROR(INDIRECT(CONCATENATE("Field!I",A157+8)),"")</f>
        <v>7</v>
      </c>
      <c r="J164" s="66" t="str">
        <f ca="1">IFERROR(INDIRECT(CONCATENATE("Field!J",A157+8)),"")</f>
        <v/>
      </c>
      <c r="K164" s="89" t="str">
        <f ca="1">IFERROR(INDIRECT(CONCATENATE("Field!K",A157+8)),"")</f>
        <v/>
      </c>
      <c r="L164" s="89" t="str">
        <f ca="1">IFERROR(INDIRECT(CONCATENATE("Field!L",A157+8)),"")</f>
        <v/>
      </c>
      <c r="M164" s="65" t="str">
        <f ca="1">IFERROR(INDIRECT(CONCATENATE("Field!M",A157+8)),"")</f>
        <v/>
      </c>
      <c r="N164" s="121" t="str">
        <f ca="1">IFERROR(INDIRECT(CONCATENATE("Field!N",A157+8)),"")</f>
        <v/>
      </c>
      <c r="T164" s="64" t="str">
        <f t="shared" ca="1" si="8"/>
        <v/>
      </c>
      <c r="U164" s="64" t="str">
        <f t="shared" ca="1" si="9"/>
        <v/>
      </c>
      <c r="V164" s="422" t="str">
        <f ca="1">IF(OR(D164=0,D164="",D164="Athlete"),"",COUNTIF($D$4:$D164,D164))</f>
        <v/>
      </c>
      <c r="W164" s="422" t="str">
        <f t="shared" ca="1" si="10"/>
        <v/>
      </c>
      <c r="Z164" s="422" t="str">
        <f t="shared" ca="1" si="11"/>
        <v/>
      </c>
    </row>
    <row r="165" spans="1:27" x14ac:dyDescent="0.35">
      <c r="B165" s="66">
        <f ca="1">IFERROR(INDIRECT(CONCATENATE("Field!B",A157+9)),"")</f>
        <v>8</v>
      </c>
      <c r="C165" s="66" t="str">
        <f ca="1">IFERROR(INDIRECT(CONCATENATE("Field!C",A157+9)),"")</f>
        <v/>
      </c>
      <c r="D165" s="89" t="str">
        <f ca="1">IFERROR(INDIRECT(CONCATENATE("Field!D",A157+9)),"")</f>
        <v/>
      </c>
      <c r="E165" s="89" t="str">
        <f ca="1">IFERROR(INDIRECT(CONCATENATE("Field!E",A157+9)),"")</f>
        <v/>
      </c>
      <c r="F165" s="65" t="str">
        <f ca="1">IFERROR(INDIRECT(CONCATENATE("Field!F",A157+9)),"")</f>
        <v/>
      </c>
      <c r="G165" s="121" t="str">
        <f ca="1">IFERROR(INDIRECT(CONCATENATE("Field!G",A157+9)),"")</f>
        <v/>
      </c>
      <c r="H165" s="66"/>
      <c r="I165" s="66">
        <f ca="1">IFERROR(INDIRECT(CONCATENATE("Field!I",A157+9)),"")</f>
        <v>8</v>
      </c>
      <c r="J165" s="66" t="str">
        <f ca="1">IFERROR(INDIRECT(CONCATENATE("Field!J",A157+9)),"")</f>
        <v/>
      </c>
      <c r="K165" s="89" t="str">
        <f ca="1">IFERROR(INDIRECT(CONCATENATE("Field!K",A157+9)),"")</f>
        <v/>
      </c>
      <c r="L165" s="89" t="str">
        <f ca="1">IFERROR(INDIRECT(CONCATENATE("Field!L",A157+9)),"")</f>
        <v/>
      </c>
      <c r="M165" s="65" t="str">
        <f ca="1">IFERROR(INDIRECT(CONCATENATE("Field!M",A157+9)),"")</f>
        <v/>
      </c>
      <c r="N165" s="121" t="str">
        <f ca="1">IFERROR(INDIRECT(CONCATENATE("Field!N",A157+9)),"")</f>
        <v/>
      </c>
      <c r="T165" s="64" t="str">
        <f t="shared" ca="1" si="8"/>
        <v/>
      </c>
      <c r="U165" s="64" t="str">
        <f t="shared" ca="1" si="9"/>
        <v/>
      </c>
      <c r="V165" s="422" t="str">
        <f ca="1">IF(OR(D165=0,D165="",D165="Athlete"),"",COUNTIF($D$4:$D165,D165))</f>
        <v/>
      </c>
      <c r="W165" s="422" t="str">
        <f t="shared" ca="1" si="10"/>
        <v/>
      </c>
      <c r="Z165" s="422" t="str">
        <f t="shared" ca="1" si="11"/>
        <v/>
      </c>
    </row>
    <row r="166" spans="1:27" x14ac:dyDescent="0.35">
      <c r="T166" s="64" t="str">
        <f t="shared" si="8"/>
        <v/>
      </c>
      <c r="U166" s="64" t="str">
        <f t="shared" si="9"/>
        <v/>
      </c>
      <c r="V166" s="422" t="str">
        <f>IF(OR(D166=0,D166="",D166="Athlete"),"",COUNTIF($D$4:$D166,D166))</f>
        <v/>
      </c>
    </row>
    <row r="167" spans="1:27" x14ac:dyDescent="0.35">
      <c r="A167" s="66" t="s">
        <v>318</v>
      </c>
      <c r="B167" s="115" t="str">
        <f ca="1">IFERROR(INDIRECT(CONCATENATE("Relays!B",A168)),"")</f>
        <v xml:space="preserve"> 4 x 100m U15 Boys A</v>
      </c>
      <c r="M167" s="149" t="str">
        <f ca="1">IFERROR(INDIRECT(CONCATENATE("Relays!i",A168)),"")</f>
        <v/>
      </c>
      <c r="T167" s="64" t="str">
        <f t="shared" si="8"/>
        <v/>
      </c>
      <c r="U167" s="64" t="str">
        <f t="shared" si="9"/>
        <v/>
      </c>
      <c r="V167" s="422" t="str">
        <f>IF(OR(D167=0,D167="",D167="Athlete"),"",COUNTIF($D$4:$D167,D167))</f>
        <v/>
      </c>
    </row>
    <row r="168" spans="1:27" x14ac:dyDescent="0.35">
      <c r="A168" s="66">
        <f>IFERROR(MATCH(A167,Relays!A:A,0),"")</f>
        <v>35</v>
      </c>
      <c r="B168" s="45" t="str">
        <f ca="1">IFERROR(INDIRECT(CONCATENATE("Relays!B",A168+1)),"")</f>
        <v>Posn</v>
      </c>
      <c r="C168" s="45" t="str">
        <f ca="1">IFERROR(INDIRECT(CONCATENATE("Relays!C",A168+1)),"")</f>
        <v>No.</v>
      </c>
      <c r="D168" s="182" t="s">
        <v>783</v>
      </c>
      <c r="G168" s="45"/>
      <c r="K168" s="45"/>
      <c r="L168" s="89" t="str">
        <f ca="1">IFERROR(INDIRECT(CONCATENATE("Relays!D",A168+1)),"")</f>
        <v>Club</v>
      </c>
      <c r="M168" s="149" t="str">
        <f ca="1">IFERROR(INDIRECT(CONCATENATE("Relays!i",A168+1)),"")</f>
        <v>Perf</v>
      </c>
      <c r="T168" s="64" t="e">
        <f>IF(OR(#REF!=0,#REF!="",#REF!="Athlete"),"",COUNTIF($D$4:$D$352,#REF!))</f>
        <v>#REF!</v>
      </c>
      <c r="U168" s="64" t="str">
        <f t="shared" si="9"/>
        <v/>
      </c>
    </row>
    <row r="169" spans="1:27" x14ac:dyDescent="0.35">
      <c r="B169" s="66">
        <f ca="1">IFERROR(INDIRECT(CONCATENATE("Relays!B",A168+2)),"")</f>
        <v>1</v>
      </c>
      <c r="C169" s="66">
        <f ca="1">IFERROR(INDIRECT(CONCATENATE("Relays!C",A168+2)),"")</f>
        <v>4</v>
      </c>
      <c r="D169" s="89" t="str">
        <f ca="1">IFERROR(IF(INDIRECT(CONCATENATE("Relays!e",A168+2))="","",INDIRECT(CONCATENATE("Relays!e",A168+2))&amp;", "&amp;INDIRECT(CONCATENATE("Relays!f",A168+2))&amp;", "&amp;INDIRECT(CONCATENATE("Relays!g",A168+2))&amp;", "&amp;INDIRECT(CONCATENATE("Relays!h",A168+2))),"")</f>
        <v>BUTLER Jake, OKEY Chieme, CHINNERY Norton, MAYNARD Tom</v>
      </c>
      <c r="F169" s="67"/>
      <c r="G169" s="66"/>
      <c r="K169" s="66"/>
      <c r="L169" s="89" t="str">
        <f ca="1">IFERROR(INDIRECT(CONCATENATE("Relays!D",A168+2)),"")</f>
        <v>M'bro</v>
      </c>
      <c r="M169" s="65">
        <f ca="1">IFERROR(INDIRECT(CONCATENATE("Relays!i",A168+2)),"")</f>
        <v>51.4</v>
      </c>
      <c r="R169" s="66">
        <f ca="1">IFERROR(INDIRECT(CONCATENATE("Relays!M",A168+2)),"")</f>
        <v>1</v>
      </c>
      <c r="T169" s="64">
        <f t="shared" ref="T169:T175" ca="1" si="12">IF(OR(L169=0,L169="",L169="Athlete"),"",COUNTIF($D$4:$D$352,L169))</f>
        <v>0</v>
      </c>
      <c r="U169" s="64" t="str">
        <f t="shared" si="9"/>
        <v/>
      </c>
    </row>
    <row r="170" spans="1:27" x14ac:dyDescent="0.35">
      <c r="B170" s="66">
        <f ca="1">IFERROR(INDIRECT(CONCATENATE("Relays!B",A168+3)),"")</f>
        <v>2</v>
      </c>
      <c r="C170" s="66">
        <f ca="1">IFERROR(INDIRECT(CONCATENATE("Relays!C",A168+3)),"")</f>
        <v>3</v>
      </c>
      <c r="D170" s="89" t="str">
        <f ca="1">IFERROR(IF(INDIRECT(CONCATENATE("Relays!e",A168+3))="","",INDIRECT(CONCATENATE("Relays!e",A168+3))&amp;", "&amp;INDIRECT(CONCATENATE("Relays!f",A168+3))&amp;", "&amp;INDIRECT(CONCATENATE("Relays!g",A168+3))&amp;", "&amp;INDIRECT(CONCATENATE("Relays!h",A168+3))),"")</f>
        <v>LANSFORD Hollis, HOW Louis, PYE George, MEIGH William</v>
      </c>
      <c r="F170" s="67"/>
      <c r="G170" s="66"/>
      <c r="K170" s="66"/>
      <c r="L170" s="89" t="str">
        <f ca="1">IFERROR(INDIRECT(CONCATENATE("Relays!D",A168+3)),"")</f>
        <v>York</v>
      </c>
      <c r="M170" s="65">
        <f ca="1">IFERROR(INDIRECT(CONCATENATE("Relays!i",A168+3)),"")</f>
        <v>53</v>
      </c>
      <c r="T170" s="64">
        <f t="shared" ca="1" si="12"/>
        <v>0</v>
      </c>
      <c r="U170" s="64" t="str">
        <f t="shared" si="9"/>
        <v/>
      </c>
    </row>
    <row r="171" spans="1:27" x14ac:dyDescent="0.35">
      <c r="B171" s="66">
        <f ca="1">IFERROR(INDIRECT(CONCATENATE("Relays!B",A168+4)),"")</f>
        <v>3</v>
      </c>
      <c r="C171" s="66">
        <f ca="1">IFERROR(INDIRECT(CONCATENATE("Relays!C",A168+4)),"")</f>
        <v>1</v>
      </c>
      <c r="D171" s="89" t="str">
        <f ca="1">IFERROR(IF(INDIRECT(CONCATENATE("Relays!e",A168+4))="","",INDIRECT(CONCATENATE("Relays!e",A168+4))&amp;", "&amp;INDIRECT(CONCATENATE("Relays!f",A168+4))&amp;", "&amp;INDIRECT(CONCATENATE("Relays!g",A168+4))&amp;", "&amp;INDIRECT(CONCATENATE("Relays!h",A168+4))),"")</f>
        <v>COOPER Malachi, MARRIOTT Thomas, SAS Reuben, FOGDEN Ben</v>
      </c>
      <c r="F171" s="67"/>
      <c r="G171" s="66"/>
      <c r="K171" s="66"/>
      <c r="L171" s="89" t="str">
        <f ca="1">IFERROR(INDIRECT(CONCATENATE("Relays!D",A168+4)),"")</f>
        <v>C'field</v>
      </c>
      <c r="M171" s="65">
        <f ca="1">IFERROR(INDIRECT(CONCATENATE("Relays!i",A168+4)),"")</f>
        <v>55.4</v>
      </c>
      <c r="T171" s="64">
        <f t="shared" ca="1" si="12"/>
        <v>0</v>
      </c>
      <c r="U171" s="64" t="str">
        <f t="shared" si="9"/>
        <v/>
      </c>
    </row>
    <row r="172" spans="1:27" x14ac:dyDescent="0.35">
      <c r="B172" s="66">
        <f ca="1">IFERROR(INDIRECT(CONCATENATE("Relays!B",A168+5)),"")</f>
        <v>4</v>
      </c>
      <c r="C172" s="66">
        <f ca="1">IFERROR(INDIRECT(CONCATENATE("Relays!C",A168+5)),"")</f>
        <v>2</v>
      </c>
      <c r="D172" s="89" t="str">
        <f ca="1">IFERROR(IF(INDIRECT(CONCATENATE("Relays!e",A168+5))="","",INDIRECT(CONCATENATE("Relays!e",A168+5))&amp;", "&amp;INDIRECT(CONCATENATE("Relays!f",A168+5))&amp;", "&amp;INDIRECT(CONCATENATE("Relays!g",A168+5))&amp;", "&amp;INDIRECT(CONCATENATE("Relays!h",A168+5))),"")</f>
        <v>BENTLEY Tom, KRIEL PARR George, WAINWRIGHT James, OR KAM FAT Matteo</v>
      </c>
      <c r="F172" s="67"/>
      <c r="G172" s="66"/>
      <c r="K172" s="66"/>
      <c r="L172" s="89" t="str">
        <f ca="1">IFERROR(INDIRECT(CONCATENATE("Relays!D",A168+5)),"")</f>
        <v>Sheff+D</v>
      </c>
      <c r="M172" s="65">
        <f ca="1">IFERROR(INDIRECT(CONCATENATE("Relays!i",A168+5)),"")</f>
        <v>55.9</v>
      </c>
      <c r="T172" s="64">
        <f t="shared" ca="1" si="12"/>
        <v>0</v>
      </c>
      <c r="U172" s="64" t="str">
        <f t="shared" si="9"/>
        <v/>
      </c>
    </row>
    <row r="173" spans="1:27" x14ac:dyDescent="0.35">
      <c r="B173" s="66">
        <f ca="1">IFERROR(INDIRECT(CONCATENATE("Relays!B",A168+6)),"")</f>
        <v>5</v>
      </c>
      <c r="C173" s="66">
        <f ca="1">IFERROR(INDIRECT(CONCATENATE("Relays!C",A168+6)),"")</f>
        <v>0</v>
      </c>
      <c r="D173" s="89" t="str">
        <f ca="1">IFERROR(IF(INDIRECT(CONCATENATE("Relays!e",A168+6))="","",INDIRECT(CONCATENATE("Relays!e",A168+6))&amp;", "&amp;INDIRECT(CONCATENATE("Relays!f",A168+6))&amp;", "&amp;INDIRECT(CONCATENATE("Relays!g",A168+6))&amp;", "&amp;INDIRECT(CONCATENATE("Relays!h",A168+6))),"")</f>
        <v/>
      </c>
      <c r="F173" s="67"/>
      <c r="G173" s="66"/>
      <c r="K173" s="66"/>
      <c r="L173" s="89" t="str">
        <f ca="1">IFERROR(INDIRECT(CONCATENATE("Relays!D",A168+6)),"")</f>
        <v/>
      </c>
      <c r="M173" s="65">
        <f ca="1">IFERROR(INDIRECT(CONCATENATE("Relays!i",A168+6)),"")</f>
        <v>0</v>
      </c>
      <c r="T173" s="64" t="str">
        <f t="shared" ca="1" si="12"/>
        <v/>
      </c>
      <c r="U173" s="64" t="str">
        <f t="shared" si="9"/>
        <v/>
      </c>
    </row>
    <row r="174" spans="1:27" x14ac:dyDescent="0.35">
      <c r="B174" s="66">
        <f ca="1">IFERROR(INDIRECT(CONCATENATE("Relays!B",A168+7)),"")</f>
        <v>6</v>
      </c>
      <c r="C174" s="66">
        <f ca="1">IFERROR(INDIRECT(CONCATENATE("Relays!C",A168+7)),"")</f>
        <v>0</v>
      </c>
      <c r="D174" s="89" t="str">
        <f ca="1">IFERROR(IF(INDIRECT(CONCATENATE("Relays!e",A168+7))="","",INDIRECT(CONCATENATE("Relays!e",A168+7))&amp;", "&amp;INDIRECT(CONCATENATE("Relays!f",A168+7))&amp;", "&amp;INDIRECT(CONCATENATE("Relays!g",A168+7))&amp;", "&amp;INDIRECT(CONCATENATE("Relays!h",A168+7))),"")</f>
        <v/>
      </c>
      <c r="F174" s="67"/>
      <c r="G174" s="66"/>
      <c r="K174" s="66"/>
      <c r="L174" s="89" t="str">
        <f ca="1">IFERROR(INDIRECT(CONCATENATE("Relays!D",A168+7)),"")</f>
        <v/>
      </c>
      <c r="M174" s="65">
        <f ca="1">IFERROR(INDIRECT(CONCATENATE("Relays!i",A168+7)),"")</f>
        <v>0</v>
      </c>
      <c r="T174" s="64" t="str">
        <f t="shared" ca="1" si="12"/>
        <v/>
      </c>
      <c r="U174" s="64" t="str">
        <f t="shared" si="9"/>
        <v/>
      </c>
    </row>
    <row r="175" spans="1:27" x14ac:dyDescent="0.35">
      <c r="B175" s="66">
        <f ca="1">IFERROR(INDIRECT(CONCATENATE("Relays!B",A168+8)),"")</f>
        <v>7</v>
      </c>
      <c r="C175" s="66">
        <f ca="1">IFERROR(INDIRECT(CONCATENATE("Relays!C",A168+8)),"")</f>
        <v>0</v>
      </c>
      <c r="D175" s="89" t="str">
        <f ca="1">IFERROR(IF(INDIRECT(CONCATENATE("Relays!e",A168+8))="","",INDIRECT(CONCATENATE("Relays!e",A168+8))&amp;", "&amp;INDIRECT(CONCATENATE("Relays!f",A168+8))&amp;", "&amp;INDIRECT(CONCATENATE("Relays!g",A168+8))&amp;", "&amp;INDIRECT(CONCATENATE("Relays!h",A168+8))),"")</f>
        <v/>
      </c>
      <c r="F175" s="67"/>
      <c r="G175" s="66"/>
      <c r="K175" s="66"/>
      <c r="L175" s="89" t="str">
        <f ca="1">IFERROR(INDIRECT(CONCATENATE("Relays!D",A168+8)),"")</f>
        <v/>
      </c>
      <c r="M175" s="65">
        <f ca="1">IFERROR(INDIRECT(CONCATENATE("Relays!i",A168+8)),"")</f>
        <v>0</v>
      </c>
      <c r="T175" s="64" t="str">
        <f t="shared" ca="1" si="12"/>
        <v/>
      </c>
      <c r="U175" s="64" t="str">
        <f t="shared" si="9"/>
        <v/>
      </c>
    </row>
    <row r="176" spans="1:27" x14ac:dyDescent="0.35">
      <c r="B176" s="66">
        <f ca="1">IFERROR(INDIRECT(CONCATENATE("Relays!B",A168+9)),"")</f>
        <v>8</v>
      </c>
      <c r="C176" s="66">
        <f ca="1">IFERROR(INDIRECT(CONCATENATE("Relays!C",A168+9)),"")</f>
        <v>0</v>
      </c>
      <c r="D176" s="89" t="str">
        <f ca="1">IFERROR(IF(INDIRECT(CONCATENATE("Relays!e",A168+9))="","",INDIRECT(CONCATENATE("Relays!e",A168+9))&amp;", "&amp;INDIRECT(CONCATENATE("Relays!f",A168+9))&amp;", "&amp;INDIRECT(CONCATENATE("Relays!g",A168+9))&amp;", "&amp;INDIRECT(CONCATENATE("Relays!h",A168+9))),"")</f>
        <v/>
      </c>
      <c r="F176" s="67"/>
      <c r="G176" s="66"/>
      <c r="K176" s="66"/>
      <c r="L176" s="89" t="str">
        <f ca="1">IFERROR(INDIRECT(CONCATENATE("Relays!D",A168+9)),"")</f>
        <v/>
      </c>
      <c r="M176" s="65">
        <f ca="1">IFERROR(INDIRECT(CONCATENATE("Relays!i",A168+9)),"")</f>
        <v>0</v>
      </c>
      <c r="T176" s="64" t="str">
        <f>IF(OR(AA176=0,AA176="",AA176="Athlete"),"",COUNTIF($D$4:$D$352,AA176))</f>
        <v/>
      </c>
      <c r="U176" s="64" t="str">
        <f t="shared" si="9"/>
        <v/>
      </c>
      <c r="AA176" s="89"/>
    </row>
    <row r="177" spans="1:22" x14ac:dyDescent="0.35">
      <c r="T177" s="64" t="str">
        <f t="shared" si="8"/>
        <v/>
      </c>
      <c r="U177" s="64" t="str">
        <f t="shared" si="9"/>
        <v/>
      </c>
    </row>
    <row r="178" spans="1:22" x14ac:dyDescent="0.35">
      <c r="A178" s="66" t="s">
        <v>314</v>
      </c>
      <c r="B178" s="115" t="str">
        <f ca="1">IFERROR(INDIRECT(CONCATENATE("Relays!B",A179)),"")</f>
        <v xml:space="preserve"> 4 x 300m U15 Boys A</v>
      </c>
      <c r="M178" s="149" t="str">
        <f ca="1">IFERROR(INDIRECT(CONCATENATE("Relays!i",A179)),"")</f>
        <v/>
      </c>
      <c r="T178" s="64" t="str">
        <f t="shared" si="8"/>
        <v/>
      </c>
      <c r="U178" s="64" t="str">
        <f t="shared" si="9"/>
        <v/>
      </c>
    </row>
    <row r="179" spans="1:22" x14ac:dyDescent="0.35">
      <c r="A179" s="66">
        <f>IFERROR(MATCH(A178,Relays!A:A,0),"")</f>
        <v>57</v>
      </c>
      <c r="B179" s="45" t="str">
        <f ca="1">IFERROR(INDIRECT(CONCATENATE("Relays!B",A179+1)),"")</f>
        <v>Posn</v>
      </c>
      <c r="C179" s="45" t="str">
        <f ca="1">IFERROR(INDIRECT(CONCATENATE("Relays!C",A179+1)),"")</f>
        <v>No.</v>
      </c>
      <c r="D179" s="182" t="s">
        <v>783</v>
      </c>
      <c r="G179" s="45"/>
      <c r="K179" s="45"/>
      <c r="L179" s="182" t="str">
        <f ca="1">IFERROR(INDIRECT(CONCATENATE("Relays!D",A179+1)),"")</f>
        <v>Club</v>
      </c>
      <c r="M179" s="149" t="str">
        <f ca="1">IFERROR(INDIRECT(CONCATENATE("Relays!i",A179+1)),"")</f>
        <v>Perf</v>
      </c>
      <c r="T179" s="64">
        <f t="shared" ref="T179:T187" ca="1" si="13">IF(OR(L179=0,L179="",L179="Athlete"),"",COUNTIF($D$4:$D$352,L179))</f>
        <v>0</v>
      </c>
      <c r="U179" s="64" t="str">
        <f t="shared" si="9"/>
        <v/>
      </c>
    </row>
    <row r="180" spans="1:22" x14ac:dyDescent="0.35">
      <c r="B180" s="66">
        <f ca="1">IFERROR(INDIRECT(CONCATENATE("Relays!B",A179+2)),"")</f>
        <v>1</v>
      </c>
      <c r="C180" s="66">
        <f ca="1">IFERROR(INDIRECT(CONCATENATE("Relays!C",A179+2)),"")</f>
        <v>4</v>
      </c>
      <c r="D180" s="89" t="str">
        <f ca="1">IFERROR(IF(INDIRECT(CONCATENATE("Relays!e",A179+2))="","",INDIRECT(CONCATENATE("Relays!e",A179+2))&amp;", "&amp;INDIRECT(CONCATENATE("Relays!f",A179+2))&amp;", "&amp;INDIRECT(CONCATENATE("Relays!g",A179+2))&amp;", "&amp;INDIRECT(CONCATENATE("Relays!h",A179+2))),"")</f>
        <v>SAYERS James, IBEH Terrell, KAYE Charlie, FRENCH William</v>
      </c>
      <c r="G180" s="66"/>
      <c r="K180" s="66"/>
      <c r="L180" s="89" t="str">
        <f ca="1">IFERROR(INDIRECT(CONCATENATE("Relays!D",A179+2)),"")</f>
        <v>M'bro</v>
      </c>
      <c r="M180" s="109">
        <f ca="1">IFERROR(INDIRECT(CONCATENATE("Relays!K",A179+2)),"")</f>
        <v>2.3784722222222224E-3</v>
      </c>
      <c r="R180" s="66">
        <f ca="1">IFERROR(INDIRECT(CONCATENATE("Relays!M",A179+2)),"")</f>
        <v>1</v>
      </c>
      <c r="T180" s="64">
        <f t="shared" ca="1" si="13"/>
        <v>0</v>
      </c>
      <c r="U180" s="64" t="str">
        <f t="shared" si="9"/>
        <v/>
      </c>
    </row>
    <row r="181" spans="1:22" x14ac:dyDescent="0.35">
      <c r="B181" s="66">
        <f ca="1">IFERROR(INDIRECT(CONCATENATE("Relays!B",A179+3)),"")</f>
        <v>2</v>
      </c>
      <c r="C181" s="66">
        <f ca="1">IFERROR(INDIRECT(CONCATENATE("Relays!C",A179+3)),"")</f>
        <v>3</v>
      </c>
      <c r="D181" s="89" t="str">
        <f ca="1">IFERROR(IF(INDIRECT(CONCATENATE("Relays!e",A179+3))="","",INDIRECT(CONCATENATE("Relays!e",A179+3))&amp;", "&amp;INDIRECT(CONCATENATE("Relays!f",A179+3))&amp;", "&amp;INDIRECT(CONCATENATE("Relays!g",A179+3))&amp;", "&amp;INDIRECT(CONCATENATE("Relays!h",A179+3))),"")</f>
        <v>HENSON Isaac, BRATLEY Jack, HANLEY Edward, BROOKS Rory</v>
      </c>
      <c r="G181" s="66"/>
      <c r="K181" s="66"/>
      <c r="L181" s="89" t="str">
        <f ca="1">IFERROR(INDIRECT(CONCATENATE("Relays!D",A179+3)),"")</f>
        <v>York</v>
      </c>
      <c r="M181" s="109">
        <f ca="1">IFERROR(INDIRECT(CONCATENATE("Relays!K",A179+3)),"")</f>
        <v>2.3854166666666668E-3</v>
      </c>
      <c r="T181" s="64">
        <f t="shared" ca="1" si="13"/>
        <v>0</v>
      </c>
      <c r="U181" s="64" t="str">
        <f t="shared" si="9"/>
        <v/>
      </c>
    </row>
    <row r="182" spans="1:22" x14ac:dyDescent="0.35">
      <c r="B182" s="66">
        <f ca="1">IFERROR(INDIRECT(CONCATENATE("Relays!B",A179+4)),"")</f>
        <v>3</v>
      </c>
      <c r="C182" s="66">
        <f ca="1">IFERROR(INDIRECT(CONCATENATE("Relays!C",A179+4)),"")</f>
        <v>1</v>
      </c>
      <c r="D182" s="89" t="str">
        <f ca="1">IFERROR(IF(INDIRECT(CONCATENATE("Relays!e",A179+4))="","",INDIRECT(CONCATENATE("Relays!e",A179+4))&amp;", "&amp;INDIRECT(CONCATENATE("Relays!f",A179+4))&amp;", "&amp;INDIRECT(CONCATENATE("Relays!g",A179+4))&amp;", "&amp;INDIRECT(CONCATENATE("Relays!h",A179+4))),"")</f>
        <v>FOOT James, BETTNEY Thomas, PEERS-WAIN Jacob, MAZUREK Gracjan</v>
      </c>
      <c r="G182" s="66"/>
      <c r="K182" s="66"/>
      <c r="L182" s="89" t="str">
        <f ca="1">IFERROR(INDIRECT(CONCATENATE("Relays!D",A179+4)),"")</f>
        <v>C'field</v>
      </c>
      <c r="M182" s="109">
        <f ca="1">IFERROR(INDIRECT(CONCATENATE("Relays!K",A179+4)),"")</f>
        <v>2.5555555555555553E-3</v>
      </c>
      <c r="T182" s="64">
        <f t="shared" ca="1" si="13"/>
        <v>0</v>
      </c>
      <c r="U182" s="64" t="str">
        <f t="shared" si="9"/>
        <v/>
      </c>
    </row>
    <row r="183" spans="1:22" x14ac:dyDescent="0.35">
      <c r="B183" s="66">
        <f ca="1">IFERROR(INDIRECT(CONCATENATE("Relays!B",A179+5)),"")</f>
        <v>4</v>
      </c>
      <c r="C183" s="66">
        <f ca="1">IFERROR(INDIRECT(CONCATENATE("Relays!C",A179+5)),"")</f>
        <v>0</v>
      </c>
      <c r="D183" s="89" t="str">
        <f ca="1">IFERROR(IF(INDIRECT(CONCATENATE("Relays!e",A179+5))="","",INDIRECT(CONCATENATE("Relays!e",A179+5))&amp;", "&amp;INDIRECT(CONCATENATE("Relays!f",A179+5))&amp;", "&amp;INDIRECT(CONCATENATE("Relays!g",A179+5))&amp;", "&amp;INDIRECT(CONCATENATE("Relays!h",A179+5))),"")</f>
        <v/>
      </c>
      <c r="G183" s="66"/>
      <c r="K183" s="66"/>
      <c r="L183" s="89" t="str">
        <f ca="1">IFERROR(INDIRECT(CONCATENATE("Relays!D",A179+5)),"")</f>
        <v/>
      </c>
      <c r="M183" s="109">
        <f ca="1">IFERROR(INDIRECT(CONCATENATE("Relays!K",A179+5)),"")</f>
        <v>0</v>
      </c>
      <c r="T183" s="64" t="str">
        <f t="shared" ca="1" si="13"/>
        <v/>
      </c>
      <c r="U183" s="64" t="str">
        <f t="shared" si="9"/>
        <v/>
      </c>
    </row>
    <row r="184" spans="1:22" x14ac:dyDescent="0.35">
      <c r="B184" s="66">
        <f ca="1">IFERROR(INDIRECT(CONCATENATE("Relays!B",A179+6)),"")</f>
        <v>5</v>
      </c>
      <c r="C184" s="66">
        <f ca="1">IFERROR(INDIRECT(CONCATENATE("Relays!C",A179+6)),"")</f>
        <v>0</v>
      </c>
      <c r="D184" s="89" t="str">
        <f ca="1">IFERROR(IF(INDIRECT(CONCATENATE("Relays!e",A179+6))="","",INDIRECT(CONCATENATE("Relays!e",A179+6))&amp;", "&amp;INDIRECT(CONCATENATE("Relays!f",A179+6))&amp;", "&amp;INDIRECT(CONCATENATE("Relays!g",A179+6))&amp;", "&amp;INDIRECT(CONCATENATE("Relays!h",A179+6))),"")</f>
        <v/>
      </c>
      <c r="G184" s="66"/>
      <c r="K184" s="66"/>
      <c r="L184" s="89" t="str">
        <f ca="1">IFERROR(INDIRECT(CONCATENATE("Relays!D",A179+6)),"")</f>
        <v/>
      </c>
      <c r="M184" s="109">
        <f ca="1">IFERROR(INDIRECT(CONCATENATE("Relays!K",A179+6)),"")</f>
        <v>0</v>
      </c>
      <c r="T184" s="64" t="str">
        <f t="shared" ca="1" si="13"/>
        <v/>
      </c>
      <c r="U184" s="64" t="str">
        <f t="shared" si="9"/>
        <v/>
      </c>
    </row>
    <row r="185" spans="1:22" x14ac:dyDescent="0.35">
      <c r="B185" s="66">
        <f ca="1">IFERROR(INDIRECT(CONCATENATE("Relays!B",A179+7)),"")</f>
        <v>6</v>
      </c>
      <c r="C185" s="66">
        <f ca="1">IFERROR(INDIRECT(CONCATENATE("Relays!C",A179+7)),"")</f>
        <v>0</v>
      </c>
      <c r="D185" s="89" t="str">
        <f ca="1">IFERROR(IF(INDIRECT(CONCATENATE("Relays!e",A179+7))="","",INDIRECT(CONCATENATE("Relays!e",A179+7))&amp;", "&amp;INDIRECT(CONCATENATE("Relays!f",A179+7))&amp;", "&amp;INDIRECT(CONCATENATE("Relays!g",A179+7))&amp;", "&amp;INDIRECT(CONCATENATE("Relays!h",A179+7))),"")</f>
        <v/>
      </c>
      <c r="G185" s="66"/>
      <c r="K185" s="66"/>
      <c r="L185" s="89" t="str">
        <f ca="1">IFERROR(INDIRECT(CONCATENATE("Relays!D",A179+7)),"")</f>
        <v/>
      </c>
      <c r="M185" s="109">
        <f ca="1">IFERROR(INDIRECT(CONCATENATE("Relays!K",A179+7)),"")</f>
        <v>0</v>
      </c>
      <c r="T185" s="64" t="str">
        <f t="shared" ca="1" si="13"/>
        <v/>
      </c>
      <c r="U185" s="64" t="str">
        <f t="shared" si="9"/>
        <v/>
      </c>
    </row>
    <row r="186" spans="1:22" x14ac:dyDescent="0.35">
      <c r="B186" s="66">
        <f ca="1">IFERROR(INDIRECT(CONCATENATE("Relays!B",A179+8)),"")</f>
        <v>7</v>
      </c>
      <c r="C186" s="66">
        <f ca="1">IFERROR(INDIRECT(CONCATENATE("Relays!C",A179+8)),"")</f>
        <v>0</v>
      </c>
      <c r="D186" s="89" t="str">
        <f ca="1">IFERROR(IF(INDIRECT(CONCATENATE("Relays!e",A179+8))="","",INDIRECT(CONCATENATE("Relays!e",A179+8))&amp;", "&amp;INDIRECT(CONCATENATE("Relays!f",A179+8))&amp;", "&amp;INDIRECT(CONCATENATE("Relays!g",A179+8))&amp;", "&amp;INDIRECT(CONCATENATE("Relays!h",A179+8))),"")</f>
        <v/>
      </c>
      <c r="G186" s="66"/>
      <c r="K186" s="66"/>
      <c r="L186" s="89" t="str">
        <f ca="1">IFERROR(INDIRECT(CONCATENATE("Relays!D",A179+8)),"")</f>
        <v/>
      </c>
      <c r="M186" s="109">
        <f ca="1">IFERROR(INDIRECT(CONCATENATE("Relays!K",A179+8)),"")</f>
        <v>0</v>
      </c>
      <c r="T186" s="64" t="str">
        <f t="shared" ca="1" si="13"/>
        <v/>
      </c>
      <c r="U186" s="64" t="str">
        <f t="shared" si="9"/>
        <v/>
      </c>
    </row>
    <row r="187" spans="1:22" x14ac:dyDescent="0.35">
      <c r="B187" s="66">
        <f ca="1">IFERROR(INDIRECT(CONCATENATE("Relays!B",A179+9)),"")</f>
        <v>8</v>
      </c>
      <c r="C187" s="66">
        <f ca="1">IFERROR(INDIRECT(CONCATENATE("Relays!C",A179+9)),"")</f>
        <v>0</v>
      </c>
      <c r="D187" s="89" t="str">
        <f ca="1">IFERROR(IF(INDIRECT(CONCATENATE("Relays!e",A179+9))="","",INDIRECT(CONCATENATE("Relays!e",A179+9))&amp;", "&amp;INDIRECT(CONCATENATE("Relays!f",A179+9))&amp;", "&amp;INDIRECT(CONCATENATE("Relays!g",A179+9))&amp;", "&amp;INDIRECT(CONCATENATE("Relays!h",A179+9))),"")</f>
        <v/>
      </c>
      <c r="G187" s="66"/>
      <c r="K187" s="66"/>
      <c r="L187" s="89" t="str">
        <f ca="1">IFERROR(INDIRECT(CONCATENATE("Relays!D",A179+9)),"")</f>
        <v/>
      </c>
      <c r="M187" s="109">
        <f ca="1">IFERROR(INDIRECT(CONCATENATE("Relays!iK",A179+9)),"")</f>
        <v>0</v>
      </c>
      <c r="T187" s="64" t="str">
        <f t="shared" ca="1" si="13"/>
        <v/>
      </c>
      <c r="U187" s="64" t="str">
        <f t="shared" si="9"/>
        <v/>
      </c>
    </row>
    <row r="188" spans="1:22" x14ac:dyDescent="0.35">
      <c r="T188" s="64" t="str">
        <f t="shared" si="8"/>
        <v/>
      </c>
      <c r="U188" s="64" t="str">
        <f t="shared" si="9"/>
        <v/>
      </c>
      <c r="V188" s="422" t="str">
        <f>IF(OR(D188=0,D188="",D188="Athlete"),"",COUNTIF($D$4:$D188,D188))</f>
        <v/>
      </c>
    </row>
    <row r="189" spans="1:22" x14ac:dyDescent="0.35">
      <c r="T189" s="64" t="str">
        <f t="shared" si="8"/>
        <v/>
      </c>
      <c r="U189" s="64" t="str">
        <f t="shared" si="9"/>
        <v/>
      </c>
      <c r="V189" s="422" t="str">
        <f>IF(OR(D189=0,D189="",D189="Athlete"),"",COUNTIF($D$4:$D189,D189))</f>
        <v/>
      </c>
    </row>
    <row r="190" spans="1:22" x14ac:dyDescent="0.35">
      <c r="T190" s="64" t="str">
        <f t="shared" si="8"/>
        <v/>
      </c>
      <c r="U190" s="64" t="str">
        <f t="shared" si="9"/>
        <v/>
      </c>
      <c r="V190" s="422" t="str">
        <f>IF(OR(D190=0,D190="",D190="Athlete"),"",COUNTIF($D$4:$D190,D190))</f>
        <v/>
      </c>
    </row>
    <row r="191" spans="1:22" hidden="1" x14ac:dyDescent="0.35">
      <c r="D191" s="89" t="str">
        <f ca="1">K4</f>
        <v>MAYNARD Tom</v>
      </c>
      <c r="E191" s="89" t="str">
        <f ca="1">L4</f>
        <v>M'bro</v>
      </c>
      <c r="T191" s="64">
        <f t="shared" ca="1" si="8"/>
        <v>2</v>
      </c>
      <c r="U191" s="64" t="str">
        <f t="shared" si="9"/>
        <v/>
      </c>
      <c r="V191" s="422">
        <f ca="1">IF(OR(D191=0,D191="",D191="Athlete"),"",COUNTIF($D$4:$D191,D191))</f>
        <v>2</v>
      </c>
    </row>
    <row r="192" spans="1:22" hidden="1" x14ac:dyDescent="0.35">
      <c r="D192" s="89" t="str">
        <f t="shared" ref="D192:E192" ca="1" si="14">K5</f>
        <v>PYE George</v>
      </c>
      <c r="E192" s="89" t="str">
        <f t="shared" ca="1" si="14"/>
        <v>York</v>
      </c>
      <c r="T192" s="64">
        <f t="shared" ca="1" si="8"/>
        <v>2</v>
      </c>
      <c r="U192" s="64" t="str">
        <f t="shared" si="9"/>
        <v/>
      </c>
      <c r="V192" s="422">
        <f ca="1">IF(OR(D192=0,D192="",D192="Athlete"),"",COUNTIF($D$4:$D192,D192))</f>
        <v>1</v>
      </c>
    </row>
    <row r="193" spans="4:22" hidden="1" x14ac:dyDescent="0.35">
      <c r="D193" s="89" t="str">
        <f t="shared" ref="D193:E193" ca="1" si="15">K6</f>
        <v/>
      </c>
      <c r="E193" s="89" t="str">
        <f t="shared" ca="1" si="15"/>
        <v/>
      </c>
      <c r="T193" s="64" t="str">
        <f t="shared" ca="1" si="8"/>
        <v/>
      </c>
      <c r="U193" s="64" t="str">
        <f t="shared" si="9"/>
        <v/>
      </c>
      <c r="V193" s="422" t="str">
        <f ca="1">IF(OR(D193=0,D193="",D193="Athlete"),"",COUNTIF($D$4:$D193,D193))</f>
        <v/>
      </c>
    </row>
    <row r="194" spans="4:22" hidden="1" x14ac:dyDescent="0.35">
      <c r="D194" s="89" t="str">
        <f t="shared" ref="D194:E194" ca="1" si="16">K7</f>
        <v/>
      </c>
      <c r="E194" s="89" t="str">
        <f t="shared" ca="1" si="16"/>
        <v/>
      </c>
      <c r="T194" s="64" t="str">
        <f t="shared" ca="1" si="8"/>
        <v/>
      </c>
      <c r="U194" s="64" t="str">
        <f t="shared" si="9"/>
        <v/>
      </c>
      <c r="V194" s="422" t="str">
        <f ca="1">IF(OR(D194=0,D194="",D194="Athlete"),"",COUNTIF($D$4:$D194,D194))</f>
        <v/>
      </c>
    </row>
    <row r="195" spans="4:22" hidden="1" x14ac:dyDescent="0.35">
      <c r="D195" s="89" t="str">
        <f t="shared" ref="D195:E195" ca="1" si="17">K8</f>
        <v/>
      </c>
      <c r="E195" s="89" t="str">
        <f t="shared" ca="1" si="17"/>
        <v/>
      </c>
      <c r="T195" s="64" t="str">
        <f t="shared" ca="1" si="8"/>
        <v/>
      </c>
      <c r="U195" s="64" t="str">
        <f t="shared" si="9"/>
        <v/>
      </c>
      <c r="V195" s="422" t="str">
        <f ca="1">IF(OR(D195=0,D195="",D195="Athlete"),"",COUNTIF($D$4:$D195,D195))</f>
        <v/>
      </c>
    </row>
    <row r="196" spans="4:22" hidden="1" x14ac:dyDescent="0.35">
      <c r="D196" s="89" t="str">
        <f t="shared" ref="D196:E196" ca="1" si="18">K9</f>
        <v/>
      </c>
      <c r="E196" s="89" t="str">
        <f t="shared" ca="1" si="18"/>
        <v/>
      </c>
      <c r="T196" s="64" t="str">
        <f t="shared" ca="1" si="8"/>
        <v/>
      </c>
      <c r="U196" s="64" t="str">
        <f t="shared" si="9"/>
        <v/>
      </c>
      <c r="V196" s="422" t="str">
        <f ca="1">IF(OR(D196=0,D196="",D196="Athlete"),"",COUNTIF($D$4:$D196,D196))</f>
        <v/>
      </c>
    </row>
    <row r="197" spans="4:22" hidden="1" x14ac:dyDescent="0.35">
      <c r="D197" s="89" t="str">
        <f t="shared" ref="D197:E197" ca="1" si="19">K10</f>
        <v/>
      </c>
      <c r="E197" s="89" t="str">
        <f t="shared" ca="1" si="19"/>
        <v/>
      </c>
      <c r="T197" s="64" t="str">
        <f t="shared" ref="T197:T260" ca="1" si="20">IF(OR(D197=0,D197="",D197="Athlete"),"",COUNTIF($D$4:$D$352,D197))</f>
        <v/>
      </c>
      <c r="U197" s="64" t="str">
        <f t="shared" ref="U197:U260" si="21">IF(OR(K197=0,K197="",K197="Athlete"),"",COUNTIF($D$4:$D$352,K197))</f>
        <v/>
      </c>
      <c r="V197" s="422" t="str">
        <f ca="1">IF(OR(D197=0,D197="",D197="Athlete"),"",COUNTIF($D$4:$D197,D197))</f>
        <v/>
      </c>
    </row>
    <row r="198" spans="4:22" hidden="1" x14ac:dyDescent="0.35">
      <c r="D198" s="89" t="str">
        <f t="shared" ref="D198:E198" ca="1" si="22">K11</f>
        <v/>
      </c>
      <c r="E198" s="89" t="str">
        <f t="shared" ca="1" si="22"/>
        <v/>
      </c>
      <c r="T198" s="64" t="str">
        <f t="shared" ca="1" si="20"/>
        <v/>
      </c>
      <c r="U198" s="64" t="str">
        <f t="shared" si="21"/>
        <v/>
      </c>
      <c r="V198" s="422" t="str">
        <f ca="1">IF(OR(D198=0,D198="",D198="Athlete"),"",COUNTIF($D$4:$D198,D198))</f>
        <v/>
      </c>
    </row>
    <row r="199" spans="4:22" hidden="1" x14ac:dyDescent="0.35">
      <c r="D199" s="89">
        <f t="shared" ref="D199:E199" si="23">K12</f>
        <v>0</v>
      </c>
      <c r="E199" s="89">
        <f t="shared" si="23"/>
        <v>0</v>
      </c>
      <c r="T199" s="64" t="str">
        <f t="shared" si="20"/>
        <v/>
      </c>
      <c r="U199" s="64" t="str">
        <f t="shared" si="21"/>
        <v/>
      </c>
      <c r="V199" s="422" t="str">
        <f>IF(OR(D199=0,D199="",D199="Athlete"),"",COUNTIF($D$4:$D199,D199))</f>
        <v/>
      </c>
    </row>
    <row r="200" spans="4:22" hidden="1" x14ac:dyDescent="0.35">
      <c r="D200" s="89">
        <f t="shared" ref="D200:E200" si="24">K13</f>
        <v>0</v>
      </c>
      <c r="E200" s="89" t="str">
        <f t="shared" si="24"/>
        <v>Wind</v>
      </c>
      <c r="T200" s="64" t="str">
        <f t="shared" si="20"/>
        <v/>
      </c>
      <c r="U200" s="64" t="str">
        <f t="shared" si="21"/>
        <v/>
      </c>
      <c r="V200" s="422" t="str">
        <f>IF(OR(D200=0,D200="",D200="Athlete"),"",COUNTIF($D$4:$D200,D200))</f>
        <v/>
      </c>
    </row>
    <row r="201" spans="4:22" hidden="1" x14ac:dyDescent="0.35">
      <c r="D201" s="89" t="str">
        <f t="shared" ref="D201:E201" ca="1" si="25">K14</f>
        <v>Athlete</v>
      </c>
      <c r="E201" s="89" t="str">
        <f t="shared" ca="1" si="25"/>
        <v>Club</v>
      </c>
      <c r="T201" s="64" t="str">
        <f t="shared" ca="1" si="20"/>
        <v/>
      </c>
      <c r="U201" s="64" t="str">
        <f t="shared" si="21"/>
        <v/>
      </c>
      <c r="V201" s="422" t="str">
        <f ca="1">IF(OR(D201=0,D201="",D201="Athlete"),"",COUNTIF($D$4:$D201,D201))</f>
        <v/>
      </c>
    </row>
    <row r="202" spans="4:22" hidden="1" x14ac:dyDescent="0.35">
      <c r="D202" s="89" t="str">
        <f t="shared" ref="D202:E202" ca="1" si="26">K15</f>
        <v/>
      </c>
      <c r="E202" s="89" t="str">
        <f t="shared" ca="1" si="26"/>
        <v/>
      </c>
      <c r="T202" s="64" t="str">
        <f t="shared" ca="1" si="20"/>
        <v/>
      </c>
      <c r="U202" s="64" t="str">
        <f t="shared" si="21"/>
        <v/>
      </c>
      <c r="V202" s="422" t="str">
        <f ca="1">IF(OR(D202=0,D202="",D202="Athlete"),"",COUNTIF($D$4:$D202,D202))</f>
        <v/>
      </c>
    </row>
    <row r="203" spans="4:22" hidden="1" x14ac:dyDescent="0.35">
      <c r="D203" s="89" t="str">
        <f t="shared" ref="D203:E203" ca="1" si="27">K16</f>
        <v/>
      </c>
      <c r="E203" s="89" t="str">
        <f t="shared" ca="1" si="27"/>
        <v/>
      </c>
      <c r="T203" s="64" t="str">
        <f t="shared" ca="1" si="20"/>
        <v/>
      </c>
      <c r="U203" s="64" t="str">
        <f t="shared" si="21"/>
        <v/>
      </c>
      <c r="V203" s="422" t="str">
        <f ca="1">IF(OR(D203=0,D203="",D203="Athlete"),"",COUNTIF($D$4:$D203,D203))</f>
        <v/>
      </c>
    </row>
    <row r="204" spans="4:22" hidden="1" x14ac:dyDescent="0.35">
      <c r="D204" s="89" t="str">
        <f t="shared" ref="D204:E204" ca="1" si="28">K17</f>
        <v/>
      </c>
      <c r="E204" s="89" t="str">
        <f t="shared" ca="1" si="28"/>
        <v/>
      </c>
      <c r="T204" s="64" t="str">
        <f t="shared" ca="1" si="20"/>
        <v/>
      </c>
      <c r="U204" s="64" t="str">
        <f t="shared" si="21"/>
        <v/>
      </c>
      <c r="V204" s="422" t="str">
        <f ca="1">IF(OR(D204=0,D204="",D204="Athlete"),"",COUNTIF($D$4:$D204,D204))</f>
        <v/>
      </c>
    </row>
    <row r="205" spans="4:22" hidden="1" x14ac:dyDescent="0.35">
      <c r="D205" s="89" t="str">
        <f t="shared" ref="D205:E205" ca="1" si="29">K18</f>
        <v/>
      </c>
      <c r="E205" s="89" t="str">
        <f t="shared" ca="1" si="29"/>
        <v/>
      </c>
      <c r="T205" s="64" t="str">
        <f t="shared" ca="1" si="20"/>
        <v/>
      </c>
      <c r="U205" s="64" t="str">
        <f t="shared" si="21"/>
        <v/>
      </c>
      <c r="V205" s="422" t="str">
        <f ca="1">IF(OR(D205=0,D205="",D205="Athlete"),"",COUNTIF($D$4:$D205,D205))</f>
        <v/>
      </c>
    </row>
    <row r="206" spans="4:22" hidden="1" x14ac:dyDescent="0.35">
      <c r="D206" s="89" t="str">
        <f t="shared" ref="D206:E206" ca="1" si="30">K19</f>
        <v/>
      </c>
      <c r="E206" s="89" t="str">
        <f t="shared" ca="1" si="30"/>
        <v/>
      </c>
      <c r="T206" s="64" t="str">
        <f t="shared" ca="1" si="20"/>
        <v/>
      </c>
      <c r="U206" s="64" t="str">
        <f t="shared" si="21"/>
        <v/>
      </c>
      <c r="V206" s="422" t="str">
        <f ca="1">IF(OR(D206=0,D206="",D206="Athlete"),"",COUNTIF($D$4:$D206,D206))</f>
        <v/>
      </c>
    </row>
    <row r="207" spans="4:22" hidden="1" x14ac:dyDescent="0.35">
      <c r="D207" s="89" t="str">
        <f t="shared" ref="D207:E207" ca="1" si="31">K20</f>
        <v/>
      </c>
      <c r="E207" s="89" t="str">
        <f t="shared" ca="1" si="31"/>
        <v/>
      </c>
      <c r="T207" s="64" t="str">
        <f t="shared" ca="1" si="20"/>
        <v/>
      </c>
      <c r="U207" s="64" t="str">
        <f t="shared" si="21"/>
        <v/>
      </c>
      <c r="V207" s="422" t="str">
        <f ca="1">IF(OR(D207=0,D207="",D207="Athlete"),"",COUNTIF($D$4:$D207,D207))</f>
        <v/>
      </c>
    </row>
    <row r="208" spans="4:22" hidden="1" x14ac:dyDescent="0.35">
      <c r="D208" s="89" t="str">
        <f t="shared" ref="D208:E208" ca="1" si="32">K21</f>
        <v/>
      </c>
      <c r="E208" s="89" t="str">
        <f t="shared" ca="1" si="32"/>
        <v/>
      </c>
      <c r="T208" s="64" t="str">
        <f t="shared" ca="1" si="20"/>
        <v/>
      </c>
      <c r="U208" s="64" t="str">
        <f t="shared" si="21"/>
        <v/>
      </c>
      <c r="V208" s="422" t="str">
        <f ca="1">IF(OR(D208=0,D208="",D208="Athlete"),"",COUNTIF($D$4:$D208,D208))</f>
        <v/>
      </c>
    </row>
    <row r="209" spans="4:22" hidden="1" x14ac:dyDescent="0.35">
      <c r="D209" s="89" t="str">
        <f t="shared" ref="D209:E209" ca="1" si="33">K22</f>
        <v/>
      </c>
      <c r="E209" s="89" t="str">
        <f t="shared" ca="1" si="33"/>
        <v/>
      </c>
      <c r="T209" s="64" t="str">
        <f t="shared" ca="1" si="20"/>
        <v/>
      </c>
      <c r="U209" s="64" t="str">
        <f t="shared" si="21"/>
        <v/>
      </c>
      <c r="V209" s="422" t="str">
        <f ca="1">IF(OR(D209=0,D209="",D209="Athlete"),"",COUNTIF($D$4:$D209,D209))</f>
        <v/>
      </c>
    </row>
    <row r="210" spans="4:22" hidden="1" x14ac:dyDescent="0.35">
      <c r="D210" s="89">
        <f t="shared" ref="D210:E210" si="34">K23</f>
        <v>0</v>
      </c>
      <c r="E210" s="89">
        <f t="shared" si="34"/>
        <v>0</v>
      </c>
      <c r="T210" s="64" t="str">
        <f t="shared" si="20"/>
        <v/>
      </c>
      <c r="U210" s="64" t="str">
        <f t="shared" si="21"/>
        <v/>
      </c>
      <c r="V210" s="422" t="str">
        <f>IF(OR(D210=0,D210="",D210="Athlete"),"",COUNTIF($D$4:$D210,D210))</f>
        <v/>
      </c>
    </row>
    <row r="211" spans="4:22" hidden="1" x14ac:dyDescent="0.35">
      <c r="D211" s="89">
        <f t="shared" ref="D211:E211" si="35">K24</f>
        <v>0</v>
      </c>
      <c r="E211" s="89" t="str">
        <f t="shared" si="35"/>
        <v>Wind</v>
      </c>
      <c r="T211" s="64" t="str">
        <f t="shared" si="20"/>
        <v/>
      </c>
      <c r="U211" s="64" t="str">
        <f t="shared" si="21"/>
        <v/>
      </c>
      <c r="V211" s="422" t="str">
        <f>IF(OR(D211=0,D211="",D211="Athlete"),"",COUNTIF($D$4:$D211,D211))</f>
        <v/>
      </c>
    </row>
    <row r="212" spans="4:22" hidden="1" x14ac:dyDescent="0.35">
      <c r="D212" s="89" t="str">
        <f t="shared" ref="D212:E212" ca="1" si="36">K25</f>
        <v>Athlete</v>
      </c>
      <c r="E212" s="89" t="str">
        <f t="shared" ca="1" si="36"/>
        <v>Club</v>
      </c>
      <c r="T212" s="64" t="str">
        <f t="shared" ca="1" si="20"/>
        <v/>
      </c>
      <c r="U212" s="64" t="str">
        <f t="shared" si="21"/>
        <v/>
      </c>
      <c r="V212" s="422" t="str">
        <f ca="1">IF(OR(D212=0,D212="",D212="Athlete"),"",COUNTIF($D$4:$D212,D212))</f>
        <v/>
      </c>
    </row>
    <row r="213" spans="4:22" hidden="1" x14ac:dyDescent="0.35">
      <c r="D213" s="89" t="str">
        <f t="shared" ref="D213:E213" ca="1" si="37">K26</f>
        <v>PYE George</v>
      </c>
      <c r="E213" s="89" t="str">
        <f t="shared" ca="1" si="37"/>
        <v>York</v>
      </c>
      <c r="T213" s="64">
        <f t="shared" ca="1" si="20"/>
        <v>2</v>
      </c>
      <c r="U213" s="64" t="str">
        <f t="shared" si="21"/>
        <v/>
      </c>
      <c r="V213" s="422">
        <f ca="1">IF(OR(D213=0,D213="",D213="Athlete"),"",COUNTIF($D$4:$D213,D213))</f>
        <v>2</v>
      </c>
    </row>
    <row r="214" spans="4:22" hidden="1" x14ac:dyDescent="0.35">
      <c r="D214" s="89" t="str">
        <f t="shared" ref="D214:E214" ca="1" si="38">K27</f>
        <v>BENTLEY Tom</v>
      </c>
      <c r="E214" s="89" t="str">
        <f t="shared" ca="1" si="38"/>
        <v>Sheff+D</v>
      </c>
      <c r="T214" s="64">
        <f t="shared" ca="1" si="20"/>
        <v>3</v>
      </c>
      <c r="U214" s="64" t="str">
        <f t="shared" si="21"/>
        <v/>
      </c>
      <c r="V214" s="422">
        <f ca="1">IF(OR(D214=0,D214="",D214="Athlete"),"",COUNTIF($D$4:$D214,D214))</f>
        <v>3</v>
      </c>
    </row>
    <row r="215" spans="4:22" hidden="1" x14ac:dyDescent="0.35">
      <c r="D215" s="89" t="str">
        <f t="shared" ref="D215:E215" ca="1" si="39">K28</f>
        <v>CHINNERY Norton</v>
      </c>
      <c r="E215" s="89" t="str">
        <f t="shared" ca="1" si="39"/>
        <v>M'bro</v>
      </c>
      <c r="T215" s="64">
        <f t="shared" ca="1" si="20"/>
        <v>2</v>
      </c>
      <c r="U215" s="64" t="str">
        <f t="shared" si="21"/>
        <v/>
      </c>
      <c r="V215" s="422">
        <f ca="1">IF(OR(D215=0,D215="",D215="Athlete"),"",COUNTIF($D$4:$D215,D215))</f>
        <v>2</v>
      </c>
    </row>
    <row r="216" spans="4:22" hidden="1" x14ac:dyDescent="0.35">
      <c r="D216" s="89" t="str">
        <f t="shared" ref="D216:E216" ca="1" si="40">K29</f>
        <v>SAS Reuben</v>
      </c>
      <c r="E216" s="89" t="str">
        <f t="shared" ca="1" si="40"/>
        <v>C'field</v>
      </c>
      <c r="T216" s="64">
        <f t="shared" ca="1" si="20"/>
        <v>2</v>
      </c>
      <c r="U216" s="64" t="str">
        <f t="shared" si="21"/>
        <v/>
      </c>
      <c r="V216" s="422">
        <f ca="1">IF(OR(D216=0,D216="",D216="Athlete"),"",COUNTIF($D$4:$D216,D216))</f>
        <v>1</v>
      </c>
    </row>
    <row r="217" spans="4:22" hidden="1" x14ac:dyDescent="0.35">
      <c r="D217" s="89" t="str">
        <f t="shared" ref="D217:E217" ca="1" si="41">K30</f>
        <v/>
      </c>
      <c r="E217" s="89" t="str">
        <f t="shared" ca="1" si="41"/>
        <v/>
      </c>
      <c r="T217" s="64" t="str">
        <f t="shared" ca="1" si="20"/>
        <v/>
      </c>
      <c r="U217" s="64" t="str">
        <f t="shared" si="21"/>
        <v/>
      </c>
      <c r="V217" s="422" t="str">
        <f ca="1">IF(OR(D217=0,D217="",D217="Athlete"),"",COUNTIF($D$4:$D217,D217))</f>
        <v/>
      </c>
    </row>
    <row r="218" spans="4:22" hidden="1" x14ac:dyDescent="0.35">
      <c r="D218" s="89" t="str">
        <f t="shared" ref="D218:E218" ca="1" si="42">K31</f>
        <v/>
      </c>
      <c r="E218" s="89" t="str">
        <f t="shared" ca="1" si="42"/>
        <v/>
      </c>
      <c r="T218" s="64" t="str">
        <f t="shared" ca="1" si="20"/>
        <v/>
      </c>
      <c r="U218" s="64" t="str">
        <f t="shared" si="21"/>
        <v/>
      </c>
      <c r="V218" s="422" t="str">
        <f ca="1">IF(OR(D218=0,D218="",D218="Athlete"),"",COUNTIF($D$4:$D218,D218))</f>
        <v/>
      </c>
    </row>
    <row r="219" spans="4:22" hidden="1" x14ac:dyDescent="0.35">
      <c r="D219" s="89" t="str">
        <f t="shared" ref="D219:E219" ca="1" si="43">K32</f>
        <v/>
      </c>
      <c r="E219" s="89" t="str">
        <f t="shared" ca="1" si="43"/>
        <v/>
      </c>
      <c r="T219" s="64" t="str">
        <f t="shared" ca="1" si="20"/>
        <v/>
      </c>
      <c r="U219" s="64" t="str">
        <f t="shared" si="21"/>
        <v/>
      </c>
      <c r="V219" s="422" t="str">
        <f ca="1">IF(OR(D219=0,D219="",D219="Athlete"),"",COUNTIF($D$4:$D219,D219))</f>
        <v/>
      </c>
    </row>
    <row r="220" spans="4:22" hidden="1" x14ac:dyDescent="0.35">
      <c r="D220" s="89" t="str">
        <f t="shared" ref="D220:E220" ca="1" si="44">K33</f>
        <v/>
      </c>
      <c r="E220" s="89" t="str">
        <f t="shared" ca="1" si="44"/>
        <v/>
      </c>
      <c r="T220" s="64" t="str">
        <f t="shared" ca="1" si="20"/>
        <v/>
      </c>
      <c r="U220" s="64" t="str">
        <f t="shared" si="21"/>
        <v/>
      </c>
      <c r="V220" s="422" t="str">
        <f ca="1">IF(OR(D220=0,D220="",D220="Athlete"),"",COUNTIF($D$4:$D220,D220))</f>
        <v/>
      </c>
    </row>
    <row r="221" spans="4:22" hidden="1" x14ac:dyDescent="0.35">
      <c r="D221" s="89">
        <f t="shared" ref="D221:E221" si="45">K34</f>
        <v>0</v>
      </c>
      <c r="E221" s="89">
        <f t="shared" si="45"/>
        <v>0</v>
      </c>
      <c r="T221" s="64" t="str">
        <f t="shared" si="20"/>
        <v/>
      </c>
      <c r="U221" s="64" t="str">
        <f t="shared" si="21"/>
        <v/>
      </c>
      <c r="V221" s="422" t="str">
        <f>IF(OR(D221=0,D221="",D221="Athlete"),"",COUNTIF($D$4:$D221,D221))</f>
        <v/>
      </c>
    </row>
    <row r="222" spans="4:22" hidden="1" x14ac:dyDescent="0.35">
      <c r="D222" s="89">
        <f t="shared" ref="D222:E222" si="46">K35</f>
        <v>0</v>
      </c>
      <c r="E222" s="89">
        <f t="shared" si="46"/>
        <v>0</v>
      </c>
      <c r="T222" s="64" t="str">
        <f t="shared" si="20"/>
        <v/>
      </c>
      <c r="U222" s="64" t="str">
        <f t="shared" si="21"/>
        <v/>
      </c>
      <c r="V222" s="422" t="str">
        <f>IF(OR(D222=0,D222="",D222="Athlete"),"",COUNTIF($D$4:$D222,D222))</f>
        <v/>
      </c>
    </row>
    <row r="223" spans="4:22" hidden="1" x14ac:dyDescent="0.35">
      <c r="D223" s="89" t="str">
        <f t="shared" ref="D223:E223" ca="1" si="47">K36</f>
        <v>Athlete</v>
      </c>
      <c r="E223" s="89" t="str">
        <f t="shared" ca="1" si="47"/>
        <v>Club</v>
      </c>
      <c r="T223" s="64" t="str">
        <f t="shared" ca="1" si="20"/>
        <v/>
      </c>
      <c r="U223" s="64" t="str">
        <f t="shared" si="21"/>
        <v/>
      </c>
      <c r="V223" s="422" t="str">
        <f ca="1">IF(OR(D223=0,D223="",D223="Athlete"),"",COUNTIF($D$4:$D223,D223))</f>
        <v/>
      </c>
    </row>
    <row r="224" spans="4:22" hidden="1" x14ac:dyDescent="0.35">
      <c r="D224" s="89" t="str">
        <f t="shared" ref="D224:E224" ca="1" si="48">K37</f>
        <v>KAYE Charlie</v>
      </c>
      <c r="E224" s="89" t="str">
        <f t="shared" ca="1" si="48"/>
        <v>M'bro</v>
      </c>
      <c r="T224" s="64">
        <f t="shared" ca="1" si="20"/>
        <v>2</v>
      </c>
      <c r="U224" s="64" t="str">
        <f t="shared" si="21"/>
        <v/>
      </c>
      <c r="V224" s="422">
        <f ca="1">IF(OR(D224=0,D224="",D224="Athlete"),"",COUNTIF($D$4:$D224,D224))</f>
        <v>1</v>
      </c>
    </row>
    <row r="225" spans="4:22" hidden="1" x14ac:dyDescent="0.35">
      <c r="D225" s="89" t="str">
        <f t="shared" ref="D225:E225" ca="1" si="49">K38</f>
        <v>BAKER Joseph</v>
      </c>
      <c r="E225" s="89" t="str">
        <f t="shared" ca="1" si="49"/>
        <v>C'field</v>
      </c>
      <c r="T225" s="64">
        <f t="shared" ca="1" si="20"/>
        <v>1</v>
      </c>
      <c r="U225" s="64" t="str">
        <f t="shared" si="21"/>
        <v/>
      </c>
      <c r="V225" s="422">
        <f ca="1">IF(OR(D225=0,D225="",D225="Athlete"),"",COUNTIF($D$4:$D225,D225))</f>
        <v>1</v>
      </c>
    </row>
    <row r="226" spans="4:22" hidden="1" x14ac:dyDescent="0.35">
      <c r="D226" s="89" t="str">
        <f t="shared" ref="D226:E226" ca="1" si="50">K39</f>
        <v>BROOKS Rory</v>
      </c>
      <c r="E226" s="89" t="str">
        <f t="shared" ca="1" si="50"/>
        <v>York</v>
      </c>
      <c r="T226" s="64">
        <f t="shared" ca="1" si="20"/>
        <v>3</v>
      </c>
      <c r="U226" s="64" t="str">
        <f t="shared" si="21"/>
        <v/>
      </c>
      <c r="V226" s="422">
        <f ca="1">IF(OR(D226=0,D226="",D226="Athlete"),"",COUNTIF($D$4:$D226,D226))</f>
        <v>2</v>
      </c>
    </row>
    <row r="227" spans="4:22" hidden="1" x14ac:dyDescent="0.35">
      <c r="D227" s="89" t="str">
        <f t="shared" ref="D227:E227" ca="1" si="51">K40</f>
        <v/>
      </c>
      <c r="E227" s="89" t="str">
        <f t="shared" ca="1" si="51"/>
        <v/>
      </c>
      <c r="T227" s="64" t="str">
        <f t="shared" ca="1" si="20"/>
        <v/>
      </c>
      <c r="U227" s="64" t="str">
        <f t="shared" si="21"/>
        <v/>
      </c>
      <c r="V227" s="422" t="str">
        <f ca="1">IF(OR(D227=0,D227="",D227="Athlete"),"",COUNTIF($D$4:$D227,D227))</f>
        <v/>
      </c>
    </row>
    <row r="228" spans="4:22" hidden="1" x14ac:dyDescent="0.35">
      <c r="D228" s="89" t="str">
        <f t="shared" ref="D228:E228" ca="1" si="52">K41</f>
        <v/>
      </c>
      <c r="E228" s="89" t="str">
        <f t="shared" ca="1" si="52"/>
        <v/>
      </c>
      <c r="T228" s="64" t="str">
        <f t="shared" ca="1" si="20"/>
        <v/>
      </c>
      <c r="U228" s="64" t="str">
        <f t="shared" si="21"/>
        <v/>
      </c>
      <c r="V228" s="422" t="str">
        <f ca="1">IF(OR(D228=0,D228="",D228="Athlete"),"",COUNTIF($D$4:$D228,D228))</f>
        <v/>
      </c>
    </row>
    <row r="229" spans="4:22" hidden="1" x14ac:dyDescent="0.35">
      <c r="D229" s="89" t="str">
        <f t="shared" ref="D229:E229" ca="1" si="53">K42</f>
        <v/>
      </c>
      <c r="E229" s="89" t="str">
        <f t="shared" ca="1" si="53"/>
        <v/>
      </c>
      <c r="T229" s="64" t="str">
        <f t="shared" ca="1" si="20"/>
        <v/>
      </c>
      <c r="U229" s="64" t="str">
        <f t="shared" si="21"/>
        <v/>
      </c>
      <c r="V229" s="422" t="str">
        <f ca="1">IF(OR(D229=0,D229="",D229="Athlete"),"",COUNTIF($D$4:$D229,D229))</f>
        <v/>
      </c>
    </row>
    <row r="230" spans="4:22" hidden="1" x14ac:dyDescent="0.35">
      <c r="D230" s="89" t="str">
        <f t="shared" ref="D230:E230" ca="1" si="54">K43</f>
        <v/>
      </c>
      <c r="E230" s="89" t="str">
        <f t="shared" ca="1" si="54"/>
        <v/>
      </c>
      <c r="T230" s="64" t="str">
        <f t="shared" ca="1" si="20"/>
        <v/>
      </c>
      <c r="U230" s="64" t="str">
        <f t="shared" si="21"/>
        <v/>
      </c>
      <c r="V230" s="422" t="str">
        <f ca="1">IF(OR(D230=0,D230="",D230="Athlete"),"",COUNTIF($D$4:$D230,D230))</f>
        <v/>
      </c>
    </row>
    <row r="231" spans="4:22" hidden="1" x14ac:dyDescent="0.35">
      <c r="D231" s="89" t="str">
        <f t="shared" ref="D231:E231" ca="1" si="55">K44</f>
        <v/>
      </c>
      <c r="E231" s="89" t="str">
        <f t="shared" ca="1" si="55"/>
        <v/>
      </c>
      <c r="T231" s="64" t="str">
        <f t="shared" ca="1" si="20"/>
        <v/>
      </c>
      <c r="U231" s="64" t="str">
        <f t="shared" si="21"/>
        <v/>
      </c>
      <c r="V231" s="422" t="str">
        <f ca="1">IF(OR(D231=0,D231="",D231="Athlete"),"",COUNTIF($D$4:$D231,D231))</f>
        <v/>
      </c>
    </row>
    <row r="232" spans="4:22" hidden="1" x14ac:dyDescent="0.35">
      <c r="D232" s="89">
        <f t="shared" ref="D232:E232" si="56">K45</f>
        <v>0</v>
      </c>
      <c r="E232" s="89">
        <f t="shared" si="56"/>
        <v>0</v>
      </c>
      <c r="T232" s="64" t="str">
        <f t="shared" si="20"/>
        <v/>
      </c>
      <c r="U232" s="64" t="str">
        <f t="shared" si="21"/>
        <v/>
      </c>
      <c r="V232" s="422" t="str">
        <f>IF(OR(D232=0,D232="",D232="Athlete"),"",COUNTIF($D$4:$D232,D232))</f>
        <v/>
      </c>
    </row>
    <row r="233" spans="4:22" hidden="1" x14ac:dyDescent="0.35">
      <c r="D233" s="89">
        <f t="shared" ref="D233:E233" si="57">K46</f>
        <v>0</v>
      </c>
      <c r="E233" s="89">
        <f t="shared" si="57"/>
        <v>0</v>
      </c>
      <c r="T233" s="64" t="str">
        <f t="shared" si="20"/>
        <v/>
      </c>
      <c r="U233" s="64" t="str">
        <f t="shared" si="21"/>
        <v/>
      </c>
      <c r="V233" s="422" t="str">
        <f>IF(OR(D233=0,D233="",D233="Athlete"),"",COUNTIF($D$4:$D233,D233))</f>
        <v/>
      </c>
    </row>
    <row r="234" spans="4:22" hidden="1" x14ac:dyDescent="0.35">
      <c r="D234" s="89" t="str">
        <f t="shared" ref="D234:E234" ca="1" si="58">K47</f>
        <v>Athlete</v>
      </c>
      <c r="E234" s="89" t="str">
        <f t="shared" ca="1" si="58"/>
        <v>Club</v>
      </c>
      <c r="T234" s="64" t="str">
        <f t="shared" ca="1" si="20"/>
        <v/>
      </c>
      <c r="U234" s="64" t="str">
        <f t="shared" si="21"/>
        <v/>
      </c>
      <c r="V234" s="422" t="str">
        <f ca="1">IF(OR(D234=0,D234="",D234="Athlete"),"",COUNTIF($D$4:$D234,D234))</f>
        <v/>
      </c>
    </row>
    <row r="235" spans="4:22" hidden="1" x14ac:dyDescent="0.35">
      <c r="D235" s="89" t="str">
        <f t="shared" ref="D235:E235" ca="1" si="59">K48</f>
        <v>HOW Louis</v>
      </c>
      <c r="E235" s="89" t="str">
        <f t="shared" ca="1" si="59"/>
        <v>York</v>
      </c>
      <c r="T235" s="64">
        <f t="shared" ca="1" si="20"/>
        <v>2</v>
      </c>
      <c r="U235" s="64" t="str">
        <f t="shared" si="21"/>
        <v/>
      </c>
      <c r="V235" s="422">
        <f ca="1">IF(OR(D235=0,D235="",D235="Athlete"),"",COUNTIF($D$4:$D235,D235))</f>
        <v>2</v>
      </c>
    </row>
    <row r="236" spans="4:22" hidden="1" x14ac:dyDescent="0.35">
      <c r="D236" s="89" t="str">
        <f t="shared" ref="D236:E236" ca="1" si="60">K49</f>
        <v>KRIEL PARR George</v>
      </c>
      <c r="E236" s="89" t="str">
        <f t="shared" ca="1" si="60"/>
        <v>Sheff+D</v>
      </c>
      <c r="T236" s="64">
        <f t="shared" ca="1" si="20"/>
        <v>3</v>
      </c>
      <c r="U236" s="64" t="str">
        <f t="shared" si="21"/>
        <v/>
      </c>
      <c r="V236" s="422">
        <f ca="1">IF(OR(D236=0,D236="",D236="Athlete"),"",COUNTIF($D$4:$D236,D236))</f>
        <v>2</v>
      </c>
    </row>
    <row r="237" spans="4:22" hidden="1" x14ac:dyDescent="0.35">
      <c r="D237" s="89" t="str">
        <f t="shared" ref="D237:E237" ca="1" si="61">K50</f>
        <v>MAZUREK Gracjan</v>
      </c>
      <c r="E237" s="89" t="str">
        <f t="shared" ca="1" si="61"/>
        <v>C'field</v>
      </c>
      <c r="T237" s="64">
        <f t="shared" ca="1" si="20"/>
        <v>2</v>
      </c>
      <c r="U237" s="64" t="str">
        <f t="shared" si="21"/>
        <v/>
      </c>
      <c r="V237" s="422">
        <f ca="1">IF(OR(D237=0,D237="",D237="Athlete"),"",COUNTIF($D$4:$D237,D237))</f>
        <v>1</v>
      </c>
    </row>
    <row r="238" spans="4:22" hidden="1" x14ac:dyDescent="0.35">
      <c r="D238" s="89" t="str">
        <f t="shared" ref="D238:E238" ca="1" si="62">K51</f>
        <v/>
      </c>
      <c r="E238" s="89" t="str">
        <f t="shared" ca="1" si="62"/>
        <v/>
      </c>
      <c r="T238" s="64" t="str">
        <f t="shared" ca="1" si="20"/>
        <v/>
      </c>
      <c r="U238" s="64" t="str">
        <f t="shared" si="21"/>
        <v/>
      </c>
      <c r="V238" s="422" t="str">
        <f ca="1">IF(OR(D238=0,D238="",D238="Athlete"),"",COUNTIF($D$4:$D238,D238))</f>
        <v/>
      </c>
    </row>
    <row r="239" spans="4:22" hidden="1" x14ac:dyDescent="0.35">
      <c r="D239" s="89" t="str">
        <f t="shared" ref="D239:E239" ca="1" si="63">K52</f>
        <v/>
      </c>
      <c r="E239" s="89" t="str">
        <f t="shared" ca="1" si="63"/>
        <v/>
      </c>
      <c r="T239" s="64" t="str">
        <f t="shared" ca="1" si="20"/>
        <v/>
      </c>
      <c r="U239" s="64" t="str">
        <f t="shared" si="21"/>
        <v/>
      </c>
      <c r="V239" s="422" t="str">
        <f ca="1">IF(OR(D239=0,D239="",D239="Athlete"),"",COUNTIF($D$4:$D239,D239))</f>
        <v/>
      </c>
    </row>
    <row r="240" spans="4:22" hidden="1" x14ac:dyDescent="0.35">
      <c r="D240" s="89" t="str">
        <f t="shared" ref="D240:E240" ca="1" si="64">K53</f>
        <v/>
      </c>
      <c r="E240" s="89" t="str">
        <f t="shared" ca="1" si="64"/>
        <v/>
      </c>
      <c r="T240" s="64" t="str">
        <f t="shared" ca="1" si="20"/>
        <v/>
      </c>
      <c r="U240" s="64" t="str">
        <f t="shared" si="21"/>
        <v/>
      </c>
      <c r="V240" s="422" t="str">
        <f ca="1">IF(OR(D240=0,D240="",D240="Athlete"),"",COUNTIF($D$4:$D240,D240))</f>
        <v/>
      </c>
    </row>
    <row r="241" spans="4:22" hidden="1" x14ac:dyDescent="0.35">
      <c r="D241" s="89" t="str">
        <f t="shared" ref="D241:E241" ca="1" si="65">K54</f>
        <v/>
      </c>
      <c r="E241" s="89" t="str">
        <f t="shared" ca="1" si="65"/>
        <v/>
      </c>
      <c r="T241" s="64" t="str">
        <f t="shared" ca="1" si="20"/>
        <v/>
      </c>
      <c r="U241" s="64" t="str">
        <f t="shared" si="21"/>
        <v/>
      </c>
      <c r="V241" s="422" t="str">
        <f ca="1">IF(OR(D241=0,D241="",D241="Athlete"),"",COUNTIF($D$4:$D241,D241))</f>
        <v/>
      </c>
    </row>
    <row r="242" spans="4:22" hidden="1" x14ac:dyDescent="0.35">
      <c r="D242" s="89" t="str">
        <f t="shared" ref="D242:E242" ca="1" si="66">K55</f>
        <v/>
      </c>
      <c r="E242" s="89" t="str">
        <f t="shared" ca="1" si="66"/>
        <v/>
      </c>
      <c r="T242" s="64" t="str">
        <f t="shared" ca="1" si="20"/>
        <v/>
      </c>
      <c r="U242" s="64" t="str">
        <f t="shared" si="21"/>
        <v/>
      </c>
      <c r="V242" s="422" t="str">
        <f ca="1">IF(OR(D242=0,D242="",D242="Athlete"),"",COUNTIF($D$4:$D242,D242))</f>
        <v/>
      </c>
    </row>
    <row r="243" spans="4:22" hidden="1" x14ac:dyDescent="0.35">
      <c r="D243" s="89">
        <f t="shared" ref="D243:E243" si="67">K56</f>
        <v>0</v>
      </c>
      <c r="E243" s="89">
        <f t="shared" si="67"/>
        <v>0</v>
      </c>
      <c r="T243" s="64" t="str">
        <f t="shared" si="20"/>
        <v/>
      </c>
      <c r="U243" s="64" t="str">
        <f t="shared" si="21"/>
        <v/>
      </c>
      <c r="V243" s="422" t="str">
        <f>IF(OR(D243=0,D243="",D243="Athlete"),"",COUNTIF($D$4:$D243,D243))</f>
        <v/>
      </c>
    </row>
    <row r="244" spans="4:22" hidden="1" x14ac:dyDescent="0.35">
      <c r="D244" s="89">
        <f t="shared" ref="D244:E244" si="68">K57</f>
        <v>0</v>
      </c>
      <c r="E244" s="89">
        <f t="shared" si="68"/>
        <v>0</v>
      </c>
      <c r="T244" s="64" t="str">
        <f t="shared" si="20"/>
        <v/>
      </c>
      <c r="U244" s="64" t="str">
        <f t="shared" si="21"/>
        <v/>
      </c>
      <c r="V244" s="422" t="str">
        <f>IF(OR(D244=0,D244="",D244="Athlete"),"",COUNTIF($D$4:$D244,D244))</f>
        <v/>
      </c>
    </row>
    <row r="245" spans="4:22" hidden="1" x14ac:dyDescent="0.35">
      <c r="D245" s="89" t="str">
        <f t="shared" ref="D245:E245" ca="1" si="69">K58</f>
        <v>Athlete</v>
      </c>
      <c r="E245" s="89" t="str">
        <f t="shared" ca="1" si="69"/>
        <v>Club</v>
      </c>
      <c r="T245" s="64" t="str">
        <f t="shared" ca="1" si="20"/>
        <v/>
      </c>
      <c r="U245" s="64" t="str">
        <f t="shared" si="21"/>
        <v/>
      </c>
      <c r="V245" s="422" t="str">
        <f ca="1">IF(OR(D245=0,D245="",D245="Athlete"),"",COUNTIF($D$4:$D245,D245))</f>
        <v/>
      </c>
    </row>
    <row r="246" spans="4:22" hidden="1" x14ac:dyDescent="0.35">
      <c r="D246" s="89" t="str">
        <f t="shared" ref="D246:E246" ca="1" si="70">K59</f>
        <v/>
      </c>
      <c r="E246" s="89" t="str">
        <f t="shared" ca="1" si="70"/>
        <v/>
      </c>
      <c r="T246" s="64" t="str">
        <f t="shared" ca="1" si="20"/>
        <v/>
      </c>
      <c r="U246" s="64" t="str">
        <f t="shared" si="21"/>
        <v/>
      </c>
      <c r="V246" s="422" t="str">
        <f ca="1">IF(OR(D246=0,D246="",D246="Athlete"),"",COUNTIF($D$4:$D246,D246))</f>
        <v/>
      </c>
    </row>
    <row r="247" spans="4:22" hidden="1" x14ac:dyDescent="0.35">
      <c r="D247" s="89" t="str">
        <f t="shared" ref="D247:E247" ca="1" si="71">K60</f>
        <v/>
      </c>
      <c r="E247" s="89" t="str">
        <f t="shared" ca="1" si="71"/>
        <v/>
      </c>
      <c r="T247" s="64" t="str">
        <f t="shared" ca="1" si="20"/>
        <v/>
      </c>
      <c r="U247" s="64" t="str">
        <f t="shared" si="21"/>
        <v/>
      </c>
      <c r="V247" s="422" t="str">
        <f ca="1">IF(OR(D247=0,D247="",D247="Athlete"),"",COUNTIF($D$4:$D247,D247))</f>
        <v/>
      </c>
    </row>
    <row r="248" spans="4:22" hidden="1" x14ac:dyDescent="0.35">
      <c r="D248" s="89" t="str">
        <f t="shared" ref="D248:E248" ca="1" si="72">K61</f>
        <v/>
      </c>
      <c r="E248" s="89" t="str">
        <f t="shared" ca="1" si="72"/>
        <v/>
      </c>
      <c r="T248" s="64" t="str">
        <f t="shared" ca="1" si="20"/>
        <v/>
      </c>
      <c r="U248" s="64" t="str">
        <f t="shared" si="21"/>
        <v/>
      </c>
      <c r="V248" s="422" t="str">
        <f ca="1">IF(OR(D248=0,D248="",D248="Athlete"),"",COUNTIF($D$4:$D248,D248))</f>
        <v/>
      </c>
    </row>
    <row r="249" spans="4:22" hidden="1" x14ac:dyDescent="0.35">
      <c r="D249" s="89" t="str">
        <f t="shared" ref="D249:E249" ca="1" si="73">K62</f>
        <v/>
      </c>
      <c r="E249" s="89" t="str">
        <f t="shared" ca="1" si="73"/>
        <v/>
      </c>
      <c r="T249" s="64" t="str">
        <f t="shared" ca="1" si="20"/>
        <v/>
      </c>
      <c r="U249" s="64" t="str">
        <f t="shared" si="21"/>
        <v/>
      </c>
      <c r="V249" s="422" t="str">
        <f ca="1">IF(OR(D249=0,D249="",D249="Athlete"),"",COUNTIF($D$4:$D249,D249))</f>
        <v/>
      </c>
    </row>
    <row r="250" spans="4:22" hidden="1" x14ac:dyDescent="0.35">
      <c r="D250" s="89" t="str">
        <f t="shared" ref="D250:E250" ca="1" si="74">K63</f>
        <v/>
      </c>
      <c r="E250" s="89" t="str">
        <f t="shared" ca="1" si="74"/>
        <v/>
      </c>
      <c r="T250" s="64" t="str">
        <f t="shared" ca="1" si="20"/>
        <v/>
      </c>
      <c r="U250" s="64" t="str">
        <f t="shared" si="21"/>
        <v/>
      </c>
      <c r="V250" s="422" t="str">
        <f ca="1">IF(OR(D250=0,D250="",D250="Athlete"),"",COUNTIF($D$4:$D250,D250))</f>
        <v/>
      </c>
    </row>
    <row r="251" spans="4:22" hidden="1" x14ac:dyDescent="0.35">
      <c r="D251" s="89" t="str">
        <f t="shared" ref="D251:E251" ca="1" si="75">K64</f>
        <v/>
      </c>
      <c r="E251" s="89" t="str">
        <f t="shared" ca="1" si="75"/>
        <v/>
      </c>
      <c r="T251" s="64" t="str">
        <f t="shared" ca="1" si="20"/>
        <v/>
      </c>
      <c r="U251" s="64" t="str">
        <f t="shared" si="21"/>
        <v/>
      </c>
      <c r="V251" s="422" t="str">
        <f ca="1">IF(OR(D251=0,D251="",D251="Athlete"),"",COUNTIF($D$4:$D251,D251))</f>
        <v/>
      </c>
    </row>
    <row r="252" spans="4:22" hidden="1" x14ac:dyDescent="0.35">
      <c r="D252" s="89" t="str">
        <f t="shared" ref="D252:E252" ca="1" si="76">K65</f>
        <v/>
      </c>
      <c r="E252" s="89" t="str">
        <f t="shared" ca="1" si="76"/>
        <v/>
      </c>
      <c r="T252" s="64" t="str">
        <f t="shared" ca="1" si="20"/>
        <v/>
      </c>
      <c r="U252" s="64" t="str">
        <f t="shared" si="21"/>
        <v/>
      </c>
      <c r="V252" s="422" t="str">
        <f ca="1">IF(OR(D252=0,D252="",D252="Athlete"),"",COUNTIF($D$4:$D252,D252))</f>
        <v/>
      </c>
    </row>
    <row r="253" spans="4:22" hidden="1" x14ac:dyDescent="0.35">
      <c r="D253" s="89" t="str">
        <f t="shared" ref="D253:E253" ca="1" si="77">K66</f>
        <v/>
      </c>
      <c r="E253" s="89" t="str">
        <f t="shared" ca="1" si="77"/>
        <v/>
      </c>
      <c r="T253" s="64" t="str">
        <f t="shared" ca="1" si="20"/>
        <v/>
      </c>
      <c r="U253" s="64" t="str">
        <f t="shared" si="21"/>
        <v/>
      </c>
      <c r="V253" s="422" t="str">
        <f ca="1">IF(OR(D253=0,D253="",D253="Athlete"),"",COUNTIF($D$4:$D253,D253))</f>
        <v/>
      </c>
    </row>
    <row r="254" spans="4:22" hidden="1" x14ac:dyDescent="0.35">
      <c r="D254" s="89">
        <f t="shared" ref="D254:E254" si="78">K67</f>
        <v>0</v>
      </c>
      <c r="E254" s="89">
        <f t="shared" si="78"/>
        <v>0</v>
      </c>
      <c r="T254" s="64" t="str">
        <f t="shared" si="20"/>
        <v/>
      </c>
      <c r="U254" s="64" t="str">
        <f t="shared" si="21"/>
        <v/>
      </c>
      <c r="V254" s="422" t="str">
        <f>IF(OR(D254=0,D254="",D254="Athlete"),"",COUNTIF($D$4:$D254,D254))</f>
        <v/>
      </c>
    </row>
    <row r="255" spans="4:22" hidden="1" x14ac:dyDescent="0.35">
      <c r="D255" s="89">
        <f t="shared" ref="D255:E255" si="79">K68</f>
        <v>0</v>
      </c>
      <c r="E255" s="89">
        <f t="shared" si="79"/>
        <v>0</v>
      </c>
      <c r="T255" s="64" t="str">
        <f t="shared" si="20"/>
        <v/>
      </c>
      <c r="U255" s="64" t="str">
        <f t="shared" si="21"/>
        <v/>
      </c>
      <c r="V255" s="422" t="str">
        <f>IF(OR(D255=0,D255="",D255="Athlete"),"",COUNTIF($D$4:$D255,D255))</f>
        <v/>
      </c>
    </row>
    <row r="256" spans="4:22" hidden="1" x14ac:dyDescent="0.35">
      <c r="D256" s="89" t="str">
        <f t="shared" ref="D256:E256" ca="1" si="80">K69</f>
        <v>Athlete</v>
      </c>
      <c r="E256" s="89" t="str">
        <f t="shared" ca="1" si="80"/>
        <v>Club</v>
      </c>
      <c r="T256" s="64" t="str">
        <f t="shared" ca="1" si="20"/>
        <v/>
      </c>
      <c r="U256" s="64" t="str">
        <f t="shared" si="21"/>
        <v/>
      </c>
      <c r="V256" s="422" t="str">
        <f ca="1">IF(OR(D256=0,D256="",D256="Athlete"),"",COUNTIF($D$4:$D256,D256))</f>
        <v/>
      </c>
    </row>
    <row r="257" spans="4:22" hidden="1" x14ac:dyDescent="0.35">
      <c r="D257" s="89" t="str">
        <f t="shared" ref="D257:E257" ca="1" si="81">K70</f>
        <v>HENSON Isaac</v>
      </c>
      <c r="E257" s="89" t="str">
        <f t="shared" ca="1" si="81"/>
        <v>York</v>
      </c>
      <c r="T257" s="64">
        <f t="shared" ca="1" si="20"/>
        <v>3</v>
      </c>
      <c r="U257" s="64" t="str">
        <f t="shared" si="21"/>
        <v/>
      </c>
      <c r="V257" s="422">
        <f ca="1">IF(OR(D257=0,D257="",D257="Athlete"),"",COUNTIF($D$4:$D257,D257))</f>
        <v>2</v>
      </c>
    </row>
    <row r="258" spans="4:22" hidden="1" x14ac:dyDescent="0.35">
      <c r="D258" s="89" t="str">
        <f t="shared" ref="D258:E258" ca="1" si="82">K71</f>
        <v/>
      </c>
      <c r="E258" s="89" t="str">
        <f t="shared" ca="1" si="82"/>
        <v/>
      </c>
      <c r="T258" s="64" t="str">
        <f t="shared" ca="1" si="20"/>
        <v/>
      </c>
      <c r="U258" s="64" t="str">
        <f t="shared" si="21"/>
        <v/>
      </c>
      <c r="V258" s="422" t="str">
        <f ca="1">IF(OR(D258=0,D258="",D258="Athlete"),"",COUNTIF($D$4:$D258,D258))</f>
        <v/>
      </c>
    </row>
    <row r="259" spans="4:22" hidden="1" x14ac:dyDescent="0.35">
      <c r="D259" s="89" t="str">
        <f t="shared" ref="D259:E259" ca="1" si="83">K72</f>
        <v/>
      </c>
      <c r="E259" s="89" t="str">
        <f t="shared" ca="1" si="83"/>
        <v/>
      </c>
      <c r="T259" s="64" t="str">
        <f t="shared" ca="1" si="20"/>
        <v/>
      </c>
      <c r="U259" s="64" t="str">
        <f t="shared" si="21"/>
        <v/>
      </c>
      <c r="V259" s="422" t="str">
        <f ca="1">IF(OR(D259=0,D259="",D259="Athlete"),"",COUNTIF($D$4:$D259,D259))</f>
        <v/>
      </c>
    </row>
    <row r="260" spans="4:22" hidden="1" x14ac:dyDescent="0.35">
      <c r="D260" s="89" t="str">
        <f t="shared" ref="D260:E260" ca="1" si="84">K73</f>
        <v/>
      </c>
      <c r="E260" s="89" t="str">
        <f t="shared" ca="1" si="84"/>
        <v/>
      </c>
      <c r="T260" s="64" t="str">
        <f t="shared" ca="1" si="20"/>
        <v/>
      </c>
      <c r="U260" s="64" t="str">
        <f t="shared" si="21"/>
        <v/>
      </c>
      <c r="V260" s="422" t="str">
        <f ca="1">IF(OR(D260=0,D260="",D260="Athlete"),"",COUNTIF($D$4:$D260,D260))</f>
        <v/>
      </c>
    </row>
    <row r="261" spans="4:22" hidden="1" x14ac:dyDescent="0.35">
      <c r="D261" s="89" t="str">
        <f t="shared" ref="D261:E261" ca="1" si="85">K74</f>
        <v/>
      </c>
      <c r="E261" s="89" t="str">
        <f t="shared" ca="1" si="85"/>
        <v/>
      </c>
      <c r="T261" s="64" t="str">
        <f t="shared" ref="T261:T324" ca="1" si="86">IF(OR(D261=0,D261="",D261="Athlete"),"",COUNTIF($D$4:$D$352,D261))</f>
        <v/>
      </c>
      <c r="U261" s="64" t="str">
        <f t="shared" ref="U261:U324" si="87">IF(OR(K261=0,K261="",K261="Athlete"),"",COUNTIF($D$4:$D$352,K261))</f>
        <v/>
      </c>
      <c r="V261" s="422" t="str">
        <f ca="1">IF(OR(D261=0,D261="",D261="Athlete"),"",COUNTIF($D$4:$D261,D261))</f>
        <v/>
      </c>
    </row>
    <row r="262" spans="4:22" hidden="1" x14ac:dyDescent="0.35">
      <c r="D262" s="89" t="str">
        <f t="shared" ref="D262:E262" ca="1" si="88">K75</f>
        <v/>
      </c>
      <c r="E262" s="89" t="str">
        <f t="shared" ca="1" si="88"/>
        <v/>
      </c>
      <c r="T262" s="64" t="str">
        <f t="shared" ca="1" si="86"/>
        <v/>
      </c>
      <c r="U262" s="64" t="str">
        <f t="shared" si="87"/>
        <v/>
      </c>
      <c r="V262" s="422" t="str">
        <f ca="1">IF(OR(D262=0,D262="",D262="Athlete"),"",COUNTIF($D$4:$D262,D262))</f>
        <v/>
      </c>
    </row>
    <row r="263" spans="4:22" hidden="1" x14ac:dyDescent="0.35">
      <c r="D263" s="89" t="str">
        <f t="shared" ref="D263:E263" ca="1" si="89">K76</f>
        <v/>
      </c>
      <c r="E263" s="89" t="str">
        <f t="shared" ca="1" si="89"/>
        <v/>
      </c>
      <c r="T263" s="64" t="str">
        <f t="shared" ca="1" si="86"/>
        <v/>
      </c>
      <c r="U263" s="64" t="str">
        <f t="shared" si="87"/>
        <v/>
      </c>
      <c r="V263" s="422" t="str">
        <f ca="1">IF(OR(D263=0,D263="",D263="Athlete"),"",COUNTIF($D$4:$D263,D263))</f>
        <v/>
      </c>
    </row>
    <row r="264" spans="4:22" hidden="1" x14ac:dyDescent="0.35">
      <c r="D264" s="89" t="str">
        <f t="shared" ref="D264:E264" ca="1" si="90">K77</f>
        <v/>
      </c>
      <c r="E264" s="89" t="str">
        <f t="shared" ca="1" si="90"/>
        <v/>
      </c>
      <c r="T264" s="64" t="str">
        <f t="shared" ca="1" si="86"/>
        <v/>
      </c>
      <c r="U264" s="64" t="str">
        <f t="shared" si="87"/>
        <v/>
      </c>
      <c r="V264" s="422" t="str">
        <f ca="1">IF(OR(D264=0,D264="",D264="Athlete"),"",COUNTIF($D$4:$D264,D264))</f>
        <v/>
      </c>
    </row>
    <row r="265" spans="4:22" hidden="1" x14ac:dyDescent="0.35">
      <c r="D265" s="89">
        <f t="shared" ref="D265:E265" si="91">K78</f>
        <v>0</v>
      </c>
      <c r="E265" s="89">
        <f t="shared" si="91"/>
        <v>0</v>
      </c>
      <c r="T265" s="64" t="str">
        <f t="shared" si="86"/>
        <v/>
      </c>
      <c r="U265" s="64" t="str">
        <f t="shared" si="87"/>
        <v/>
      </c>
      <c r="V265" s="422" t="str">
        <f>IF(OR(D265=0,D265="",D265="Athlete"),"",COUNTIF($D$4:$D265,D265))</f>
        <v/>
      </c>
    </row>
    <row r="266" spans="4:22" hidden="1" x14ac:dyDescent="0.35">
      <c r="D266" s="89">
        <f t="shared" ref="D266:E266" si="92">K79</f>
        <v>0</v>
      </c>
      <c r="E266" s="89" t="str">
        <f t="shared" si="92"/>
        <v>Wind</v>
      </c>
      <c r="T266" s="64" t="str">
        <f t="shared" si="86"/>
        <v/>
      </c>
      <c r="U266" s="64" t="str">
        <f t="shared" si="87"/>
        <v/>
      </c>
      <c r="V266" s="422" t="str">
        <f>IF(OR(D266=0,D266="",D266="Athlete"),"",COUNTIF($D$4:$D266,D266))</f>
        <v/>
      </c>
    </row>
    <row r="267" spans="4:22" hidden="1" x14ac:dyDescent="0.35">
      <c r="D267" s="89" t="str">
        <f t="shared" ref="D267:E267" ca="1" si="93">K80</f>
        <v>Athlete</v>
      </c>
      <c r="E267" s="89" t="str">
        <f t="shared" ca="1" si="93"/>
        <v>Club</v>
      </c>
      <c r="T267" s="64" t="str">
        <f t="shared" ca="1" si="86"/>
        <v/>
      </c>
      <c r="U267" s="64" t="str">
        <f t="shared" si="87"/>
        <v/>
      </c>
      <c r="V267" s="422" t="str">
        <f ca="1">IF(OR(D267=0,D267="",D267="Athlete"),"",COUNTIF($D$4:$D267,D267))</f>
        <v/>
      </c>
    </row>
    <row r="268" spans="4:22" hidden="1" x14ac:dyDescent="0.35">
      <c r="D268" s="89" t="str">
        <f t="shared" ref="D268:E268" ca="1" si="94">K81</f>
        <v>MARRIOTT Thomas</v>
      </c>
      <c r="E268" s="89" t="str">
        <f t="shared" ca="1" si="94"/>
        <v>C'field</v>
      </c>
      <c r="T268" s="64">
        <f t="shared" ca="1" si="86"/>
        <v>3</v>
      </c>
      <c r="U268" s="64" t="str">
        <f t="shared" si="87"/>
        <v/>
      </c>
      <c r="V268" s="422">
        <f ca="1">IF(OR(D268=0,D268="",D268="Athlete"),"",COUNTIF($D$4:$D268,D268))</f>
        <v>3</v>
      </c>
    </row>
    <row r="269" spans="4:22" hidden="1" x14ac:dyDescent="0.35">
      <c r="D269" s="89" t="str">
        <f t="shared" ref="D269:E269" ca="1" si="95">K82</f>
        <v>HENSON Isaac</v>
      </c>
      <c r="E269" s="89" t="str">
        <f t="shared" ca="1" si="95"/>
        <v>York</v>
      </c>
      <c r="T269" s="64">
        <f t="shared" ca="1" si="86"/>
        <v>3</v>
      </c>
      <c r="U269" s="64" t="str">
        <f t="shared" si="87"/>
        <v/>
      </c>
      <c r="V269" s="422">
        <f ca="1">IF(OR(D269=0,D269="",D269="Athlete"),"",COUNTIF($D$4:$D269,D269))</f>
        <v>3</v>
      </c>
    </row>
    <row r="270" spans="4:22" hidden="1" x14ac:dyDescent="0.35">
      <c r="D270" s="89" t="str">
        <f t="shared" ref="D270:E270" ca="1" si="96">K83</f>
        <v>SCOTT Leni</v>
      </c>
      <c r="E270" s="89" t="str">
        <f t="shared" ca="1" si="96"/>
        <v>Sheff+D</v>
      </c>
      <c r="T270" s="64">
        <f t="shared" ca="1" si="86"/>
        <v>3</v>
      </c>
      <c r="U270" s="64" t="str">
        <f t="shared" si="87"/>
        <v/>
      </c>
      <c r="V270" s="422">
        <f ca="1">IF(OR(D270=0,D270="",D270="Athlete"),"",COUNTIF($D$4:$D270,D270))</f>
        <v>2</v>
      </c>
    </row>
    <row r="271" spans="4:22" hidden="1" x14ac:dyDescent="0.35">
      <c r="D271" s="89" t="str">
        <f t="shared" ref="D271:E271" ca="1" si="97">K84</f>
        <v/>
      </c>
      <c r="E271" s="89" t="str">
        <f t="shared" ca="1" si="97"/>
        <v/>
      </c>
      <c r="T271" s="64" t="str">
        <f t="shared" ca="1" si="86"/>
        <v/>
      </c>
      <c r="U271" s="64" t="str">
        <f t="shared" si="87"/>
        <v/>
      </c>
      <c r="V271" s="422" t="str">
        <f ca="1">IF(OR(D271=0,D271="",D271="Athlete"),"",COUNTIF($D$4:$D271,D271))</f>
        <v/>
      </c>
    </row>
    <row r="272" spans="4:22" hidden="1" x14ac:dyDescent="0.35">
      <c r="D272" s="89" t="str">
        <f t="shared" ref="D272:E272" ca="1" si="98">K85</f>
        <v/>
      </c>
      <c r="E272" s="89" t="str">
        <f t="shared" ca="1" si="98"/>
        <v/>
      </c>
      <c r="T272" s="64" t="str">
        <f t="shared" ca="1" si="86"/>
        <v/>
      </c>
      <c r="U272" s="64" t="str">
        <f t="shared" si="87"/>
        <v/>
      </c>
      <c r="V272" s="422" t="str">
        <f ca="1">IF(OR(D272=0,D272="",D272="Athlete"),"",COUNTIF($D$4:$D272,D272))</f>
        <v/>
      </c>
    </row>
    <row r="273" spans="4:22" hidden="1" x14ac:dyDescent="0.35">
      <c r="D273" s="89" t="str">
        <f t="shared" ref="D273:E273" ca="1" si="99">K86</f>
        <v/>
      </c>
      <c r="E273" s="89" t="str">
        <f t="shared" ca="1" si="99"/>
        <v/>
      </c>
      <c r="T273" s="64" t="str">
        <f t="shared" ca="1" si="86"/>
        <v/>
      </c>
      <c r="U273" s="64" t="str">
        <f t="shared" si="87"/>
        <v/>
      </c>
      <c r="V273" s="422" t="str">
        <f ca="1">IF(OR(D273=0,D273="",D273="Athlete"),"",COUNTIF($D$4:$D273,D273))</f>
        <v/>
      </c>
    </row>
    <row r="274" spans="4:22" hidden="1" x14ac:dyDescent="0.35">
      <c r="D274" s="89" t="str">
        <f t="shared" ref="D274:E274" ca="1" si="100">K87</f>
        <v/>
      </c>
      <c r="E274" s="89" t="str">
        <f t="shared" ca="1" si="100"/>
        <v/>
      </c>
      <c r="T274" s="64" t="str">
        <f t="shared" ca="1" si="86"/>
        <v/>
      </c>
      <c r="U274" s="64" t="str">
        <f t="shared" si="87"/>
        <v/>
      </c>
      <c r="V274" s="422" t="str">
        <f ca="1">IF(OR(D274=0,D274="",D274="Athlete"),"",COUNTIF($D$4:$D274,D274))</f>
        <v/>
      </c>
    </row>
    <row r="275" spans="4:22" hidden="1" x14ac:dyDescent="0.35">
      <c r="D275" s="89" t="str">
        <f t="shared" ref="D275:E275" ca="1" si="101">K88</f>
        <v/>
      </c>
      <c r="E275" s="89" t="str">
        <f t="shared" ca="1" si="101"/>
        <v/>
      </c>
      <c r="T275" s="64" t="str">
        <f t="shared" ca="1" si="86"/>
        <v/>
      </c>
      <c r="U275" s="64" t="str">
        <f t="shared" si="87"/>
        <v/>
      </c>
      <c r="V275" s="422" t="str">
        <f ca="1">IF(OR(D275=0,D275="",D275="Athlete"),"",COUNTIF($D$4:$D275,D275))</f>
        <v/>
      </c>
    </row>
    <row r="276" spans="4:22" hidden="1" x14ac:dyDescent="0.35">
      <c r="D276" s="89">
        <f t="shared" ref="D276:E276" si="102">K89</f>
        <v>0</v>
      </c>
      <c r="E276" s="89">
        <f t="shared" si="102"/>
        <v>0</v>
      </c>
      <c r="T276" s="64" t="str">
        <f t="shared" si="86"/>
        <v/>
      </c>
      <c r="U276" s="64" t="str">
        <f t="shared" si="87"/>
        <v/>
      </c>
      <c r="V276" s="422" t="str">
        <f>IF(OR(D276=0,D276="",D276="Athlete"),"",COUNTIF($D$4:$D276,D276))</f>
        <v/>
      </c>
    </row>
    <row r="277" spans="4:22" hidden="1" x14ac:dyDescent="0.35">
      <c r="D277" s="89">
        <f t="shared" ref="D277:E277" si="103">K90</f>
        <v>0</v>
      </c>
      <c r="E277" s="89">
        <f t="shared" si="103"/>
        <v>0</v>
      </c>
      <c r="T277" s="64" t="str">
        <f t="shared" si="86"/>
        <v/>
      </c>
      <c r="U277" s="64" t="str">
        <f t="shared" si="87"/>
        <v/>
      </c>
      <c r="V277" s="422" t="str">
        <f>IF(OR(D277=0,D277="",D277="Athlete"),"",COUNTIF($D$4:$D277,D277))</f>
        <v/>
      </c>
    </row>
    <row r="278" spans="4:22" hidden="1" x14ac:dyDescent="0.35">
      <c r="D278" s="89" t="str">
        <f t="shared" ref="D278:E278" ca="1" si="104">K91</f>
        <v>Athlete</v>
      </c>
      <c r="E278" s="89" t="str">
        <f t="shared" ca="1" si="104"/>
        <v>Club</v>
      </c>
      <c r="T278" s="64" t="str">
        <f t="shared" ca="1" si="86"/>
        <v/>
      </c>
      <c r="U278" s="64" t="str">
        <f t="shared" si="87"/>
        <v/>
      </c>
      <c r="V278" s="422" t="str">
        <f ca="1">IF(OR(D278=0,D278="",D278="Athlete"),"",COUNTIF($D$4:$D278,D278))</f>
        <v/>
      </c>
    </row>
    <row r="279" spans="4:22" hidden="1" x14ac:dyDescent="0.35">
      <c r="D279" s="89" t="str">
        <f t="shared" ref="D279:E279" ca="1" si="105">K92</f>
        <v>FOOT James</v>
      </c>
      <c r="E279" s="89" t="str">
        <f t="shared" ca="1" si="105"/>
        <v>C'field</v>
      </c>
      <c r="T279" s="64">
        <f t="shared" ca="1" si="86"/>
        <v>3</v>
      </c>
      <c r="U279" s="64" t="str">
        <f t="shared" si="87"/>
        <v/>
      </c>
      <c r="V279" s="422">
        <f ca="1">IF(OR(D279=0,D279="",D279="Athlete"),"",COUNTIF($D$4:$D279,D279))</f>
        <v>3</v>
      </c>
    </row>
    <row r="280" spans="4:22" hidden="1" x14ac:dyDescent="0.35">
      <c r="D280" s="89" t="str">
        <f t="shared" ref="D280:E280" ca="1" si="106">K93</f>
        <v>LANSFORD Hollis</v>
      </c>
      <c r="E280" s="89" t="str">
        <f t="shared" ca="1" si="106"/>
        <v>York</v>
      </c>
      <c r="T280" s="64">
        <f t="shared" ca="1" si="86"/>
        <v>2</v>
      </c>
      <c r="U280" s="64" t="str">
        <f t="shared" si="87"/>
        <v/>
      </c>
      <c r="V280" s="422">
        <f ca="1">IF(OR(D280=0,D280="",D280="Athlete"),"",COUNTIF($D$4:$D280,D280))</f>
        <v>2</v>
      </c>
    </row>
    <row r="281" spans="4:22" hidden="1" x14ac:dyDescent="0.35">
      <c r="D281" s="89" t="str">
        <f t="shared" ref="D281:E281" ca="1" si="107">K94</f>
        <v>SCOTT Leni</v>
      </c>
      <c r="E281" s="89" t="str">
        <f t="shared" ca="1" si="107"/>
        <v>Sheff+D</v>
      </c>
      <c r="T281" s="64">
        <f t="shared" ca="1" si="86"/>
        <v>3</v>
      </c>
      <c r="U281" s="64" t="str">
        <f t="shared" si="87"/>
        <v/>
      </c>
      <c r="V281" s="422">
        <f ca="1">IF(OR(D281=0,D281="",D281="Athlete"),"",COUNTIF($D$4:$D281,D281))</f>
        <v>3</v>
      </c>
    </row>
    <row r="282" spans="4:22" hidden="1" x14ac:dyDescent="0.35">
      <c r="D282" s="89" t="str">
        <f t="shared" ref="D282:E282" ca="1" si="108">K95</f>
        <v>IBEH Terrell</v>
      </c>
      <c r="E282" s="89" t="str">
        <f t="shared" ca="1" si="108"/>
        <v>M'bro</v>
      </c>
      <c r="T282" s="64">
        <f t="shared" ca="1" si="86"/>
        <v>2</v>
      </c>
      <c r="U282" s="64" t="str">
        <f t="shared" si="87"/>
        <v/>
      </c>
      <c r="V282" s="422">
        <f ca="1">IF(OR(D282=0,D282="",D282="Athlete"),"",COUNTIF($D$4:$D282,D282))</f>
        <v>2</v>
      </c>
    </row>
    <row r="283" spans="4:22" hidden="1" x14ac:dyDescent="0.35">
      <c r="D283" s="89" t="str">
        <f t="shared" ref="D283:E283" ca="1" si="109">K96</f>
        <v/>
      </c>
      <c r="E283" s="89" t="str">
        <f t="shared" ca="1" si="109"/>
        <v/>
      </c>
      <c r="T283" s="64" t="str">
        <f t="shared" ca="1" si="86"/>
        <v/>
      </c>
      <c r="U283" s="64" t="str">
        <f t="shared" si="87"/>
        <v/>
      </c>
      <c r="V283" s="422" t="str">
        <f ca="1">IF(OR(D283=0,D283="",D283="Athlete"),"",COUNTIF($D$4:$D283,D283))</f>
        <v/>
      </c>
    </row>
    <row r="284" spans="4:22" hidden="1" x14ac:dyDescent="0.35">
      <c r="D284" s="89" t="str">
        <f t="shared" ref="D284:E284" ca="1" si="110">K97</f>
        <v/>
      </c>
      <c r="E284" s="89" t="str">
        <f t="shared" ca="1" si="110"/>
        <v/>
      </c>
      <c r="T284" s="64" t="str">
        <f t="shared" ca="1" si="86"/>
        <v/>
      </c>
      <c r="U284" s="64" t="str">
        <f t="shared" si="87"/>
        <v/>
      </c>
      <c r="V284" s="422" t="str">
        <f ca="1">IF(OR(D284=0,D284="",D284="Athlete"),"",COUNTIF($D$4:$D284,D284))</f>
        <v/>
      </c>
    </row>
    <row r="285" spans="4:22" hidden="1" x14ac:dyDescent="0.35">
      <c r="D285" s="89" t="str">
        <f t="shared" ref="D285:E285" ca="1" si="111">K98</f>
        <v/>
      </c>
      <c r="E285" s="89" t="str">
        <f t="shared" ca="1" si="111"/>
        <v/>
      </c>
      <c r="T285" s="64" t="str">
        <f t="shared" ca="1" si="86"/>
        <v/>
      </c>
      <c r="U285" s="64" t="str">
        <f t="shared" si="87"/>
        <v/>
      </c>
      <c r="V285" s="422" t="str">
        <f ca="1">IF(OR(D285=0,D285="",D285="Athlete"),"",COUNTIF($D$4:$D285,D285))</f>
        <v/>
      </c>
    </row>
    <row r="286" spans="4:22" hidden="1" x14ac:dyDescent="0.35">
      <c r="D286" s="89" t="str">
        <f t="shared" ref="D286:E286" ca="1" si="112">K99</f>
        <v/>
      </c>
      <c r="E286" s="89" t="str">
        <f t="shared" ca="1" si="112"/>
        <v/>
      </c>
      <c r="T286" s="64" t="str">
        <f t="shared" ca="1" si="86"/>
        <v/>
      </c>
      <c r="U286" s="64" t="str">
        <f t="shared" si="87"/>
        <v/>
      </c>
      <c r="V286" s="422" t="str">
        <f ca="1">IF(OR(D286=0,D286="",D286="Athlete"),"",COUNTIF($D$4:$D286,D286))</f>
        <v/>
      </c>
    </row>
    <row r="287" spans="4:22" hidden="1" x14ac:dyDescent="0.35">
      <c r="D287" s="89">
        <f t="shared" ref="D287:E287" si="113">K100</f>
        <v>0</v>
      </c>
      <c r="E287" s="89">
        <f t="shared" si="113"/>
        <v>0</v>
      </c>
      <c r="T287" s="64" t="str">
        <f t="shared" si="86"/>
        <v/>
      </c>
      <c r="U287" s="64" t="str">
        <f t="shared" si="87"/>
        <v/>
      </c>
      <c r="V287" s="422" t="str">
        <f>IF(OR(D287=0,D287="",D287="Athlete"),"",COUNTIF($D$4:$D287,D287))</f>
        <v/>
      </c>
    </row>
    <row r="288" spans="4:22" hidden="1" x14ac:dyDescent="0.35">
      <c r="D288" s="89">
        <f t="shared" ref="D288:E288" si="114">K101</f>
        <v>0</v>
      </c>
      <c r="E288" s="89">
        <f t="shared" si="114"/>
        <v>0</v>
      </c>
      <c r="T288" s="64" t="str">
        <f t="shared" si="86"/>
        <v/>
      </c>
      <c r="U288" s="64" t="str">
        <f t="shared" si="87"/>
        <v/>
      </c>
      <c r="V288" s="422" t="str">
        <f>IF(OR(D288=0,D288="",D288="Athlete"),"",COUNTIF($D$4:$D288,D288))</f>
        <v/>
      </c>
    </row>
    <row r="289" spans="4:22" hidden="1" x14ac:dyDescent="0.35">
      <c r="D289" s="89" t="str">
        <f t="shared" ref="D289:E289" ca="1" si="115">K102</f>
        <v>Athlete</v>
      </c>
      <c r="E289" s="89" t="str">
        <f t="shared" ca="1" si="115"/>
        <v>Club</v>
      </c>
      <c r="T289" s="64" t="str">
        <f t="shared" ca="1" si="86"/>
        <v/>
      </c>
      <c r="U289" s="64" t="str">
        <f t="shared" si="87"/>
        <v/>
      </c>
      <c r="V289" s="422" t="str">
        <f ca="1">IF(OR(D289=0,D289="",D289="Athlete"),"",COUNTIF($D$4:$D289,D289))</f>
        <v/>
      </c>
    </row>
    <row r="290" spans="4:22" hidden="1" x14ac:dyDescent="0.35">
      <c r="D290" s="89" t="str">
        <f t="shared" ref="D290:E290" ca="1" si="116">K103</f>
        <v>PEERS-WAIN Jacob</v>
      </c>
      <c r="E290" s="89" t="str">
        <f t="shared" ca="1" si="116"/>
        <v>C'field</v>
      </c>
      <c r="T290" s="64">
        <f t="shared" ca="1" si="86"/>
        <v>3</v>
      </c>
      <c r="U290" s="64" t="str">
        <f t="shared" si="87"/>
        <v/>
      </c>
      <c r="V290" s="422">
        <f ca="1">IF(OR(D290=0,D290="",D290="Athlete"),"",COUNTIF($D$4:$D290,D290))</f>
        <v>2</v>
      </c>
    </row>
    <row r="291" spans="4:22" hidden="1" x14ac:dyDescent="0.35">
      <c r="D291" s="89" t="str">
        <f t="shared" ref="D291:E291" ca="1" si="117">K104</f>
        <v/>
      </c>
      <c r="E291" s="89" t="str">
        <f t="shared" ca="1" si="117"/>
        <v/>
      </c>
      <c r="T291" s="64" t="str">
        <f t="shared" ca="1" si="86"/>
        <v/>
      </c>
      <c r="U291" s="64" t="str">
        <f t="shared" si="87"/>
        <v/>
      </c>
      <c r="V291" s="422" t="str">
        <f ca="1">IF(OR(D291=0,D291="",D291="Athlete"),"",COUNTIF($D$4:$D291,D291))</f>
        <v/>
      </c>
    </row>
    <row r="292" spans="4:22" hidden="1" x14ac:dyDescent="0.35">
      <c r="D292" s="89" t="str">
        <f t="shared" ref="D292:E292" ca="1" si="118">K105</f>
        <v/>
      </c>
      <c r="E292" s="89" t="str">
        <f t="shared" ca="1" si="118"/>
        <v/>
      </c>
      <c r="T292" s="64" t="str">
        <f t="shared" ca="1" si="86"/>
        <v/>
      </c>
      <c r="U292" s="64" t="str">
        <f t="shared" si="87"/>
        <v/>
      </c>
      <c r="V292" s="422" t="str">
        <f ca="1">IF(OR(D292=0,D292="",D292="Athlete"),"",COUNTIF($D$4:$D292,D292))</f>
        <v/>
      </c>
    </row>
    <row r="293" spans="4:22" hidden="1" x14ac:dyDescent="0.35">
      <c r="D293" s="89" t="str">
        <f t="shared" ref="D293:E293" ca="1" si="119">K106</f>
        <v/>
      </c>
      <c r="E293" s="89" t="str">
        <f t="shared" ca="1" si="119"/>
        <v/>
      </c>
      <c r="T293" s="64" t="str">
        <f t="shared" ca="1" si="86"/>
        <v/>
      </c>
      <c r="U293" s="64" t="str">
        <f t="shared" si="87"/>
        <v/>
      </c>
      <c r="V293" s="422" t="str">
        <f ca="1">IF(OR(D293=0,D293="",D293="Athlete"),"",COUNTIF($D$4:$D293,D293))</f>
        <v/>
      </c>
    </row>
    <row r="294" spans="4:22" hidden="1" x14ac:dyDescent="0.35">
      <c r="D294" s="89" t="str">
        <f t="shared" ref="D294:E294" ca="1" si="120">K107</f>
        <v/>
      </c>
      <c r="E294" s="89" t="str">
        <f t="shared" ca="1" si="120"/>
        <v/>
      </c>
      <c r="T294" s="64" t="str">
        <f t="shared" ca="1" si="86"/>
        <v/>
      </c>
      <c r="U294" s="64" t="str">
        <f t="shared" si="87"/>
        <v/>
      </c>
      <c r="V294" s="422" t="str">
        <f ca="1">IF(OR(D294=0,D294="",D294="Athlete"),"",COUNTIF($D$4:$D294,D294))</f>
        <v/>
      </c>
    </row>
    <row r="295" spans="4:22" hidden="1" x14ac:dyDescent="0.35">
      <c r="D295" s="89" t="str">
        <f t="shared" ref="D295:E295" ca="1" si="121">K108</f>
        <v/>
      </c>
      <c r="E295" s="89" t="str">
        <f t="shared" ca="1" si="121"/>
        <v/>
      </c>
      <c r="T295" s="64" t="str">
        <f t="shared" ca="1" si="86"/>
        <v/>
      </c>
      <c r="U295" s="64" t="str">
        <f t="shared" si="87"/>
        <v/>
      </c>
      <c r="V295" s="422" t="str">
        <f ca="1">IF(OR(D295=0,D295="",D295="Athlete"),"",COUNTIF($D$4:$D295,D295))</f>
        <v/>
      </c>
    </row>
    <row r="296" spans="4:22" hidden="1" x14ac:dyDescent="0.35">
      <c r="D296" s="89" t="str">
        <f t="shared" ref="D296:E296" ca="1" si="122">K109</f>
        <v/>
      </c>
      <c r="E296" s="89" t="str">
        <f t="shared" ca="1" si="122"/>
        <v/>
      </c>
      <c r="T296" s="64" t="str">
        <f t="shared" ca="1" si="86"/>
        <v/>
      </c>
      <c r="U296" s="64" t="str">
        <f t="shared" si="87"/>
        <v/>
      </c>
      <c r="V296" s="422" t="str">
        <f ca="1">IF(OR(D296=0,D296="",D296="Athlete"),"",COUNTIF($D$4:$D296,D296))</f>
        <v/>
      </c>
    </row>
    <row r="297" spans="4:22" hidden="1" x14ac:dyDescent="0.35">
      <c r="D297" s="89" t="str">
        <f t="shared" ref="D297:E297" ca="1" si="123">K110</f>
        <v/>
      </c>
      <c r="E297" s="89" t="str">
        <f t="shared" ca="1" si="123"/>
        <v/>
      </c>
      <c r="T297" s="64" t="str">
        <f t="shared" ca="1" si="86"/>
        <v/>
      </c>
      <c r="U297" s="64" t="str">
        <f t="shared" si="87"/>
        <v/>
      </c>
      <c r="V297" s="422" t="str">
        <f ca="1">IF(OR(D297=0,D297="",D297="Athlete"),"",COUNTIF($D$4:$D297,D297))</f>
        <v/>
      </c>
    </row>
    <row r="298" spans="4:22" hidden="1" x14ac:dyDescent="0.35">
      <c r="D298" s="89">
        <f t="shared" ref="D298:E298" si="124">K111</f>
        <v>0</v>
      </c>
      <c r="E298" s="89">
        <f t="shared" si="124"/>
        <v>0</v>
      </c>
      <c r="T298" s="64" t="str">
        <f t="shared" si="86"/>
        <v/>
      </c>
      <c r="U298" s="64" t="str">
        <f t="shared" si="87"/>
        <v/>
      </c>
      <c r="V298" s="422" t="str">
        <f>IF(OR(D298=0,D298="",D298="Athlete"),"",COUNTIF($D$4:$D298,D298))</f>
        <v/>
      </c>
    </row>
    <row r="299" spans="4:22" hidden="1" x14ac:dyDescent="0.35">
      <c r="D299" s="89">
        <f t="shared" ref="D299:E299" si="125">K112</f>
        <v>0</v>
      </c>
      <c r="E299" s="89">
        <f t="shared" si="125"/>
        <v>0</v>
      </c>
      <c r="T299" s="64" t="str">
        <f t="shared" si="86"/>
        <v/>
      </c>
      <c r="U299" s="64" t="str">
        <f t="shared" si="87"/>
        <v/>
      </c>
      <c r="V299" s="422" t="str">
        <f>IF(OR(D299=0,D299="",D299="Athlete"),"",COUNTIF($D$4:$D299,D299))</f>
        <v/>
      </c>
    </row>
    <row r="300" spans="4:22" hidden="1" x14ac:dyDescent="0.35">
      <c r="D300" s="89" t="str">
        <f t="shared" ref="D300:E300" ca="1" si="126">K113</f>
        <v>Athlete</v>
      </c>
      <c r="E300" s="89" t="str">
        <f t="shared" ca="1" si="126"/>
        <v>Club</v>
      </c>
      <c r="T300" s="64" t="str">
        <f t="shared" ca="1" si="86"/>
        <v/>
      </c>
      <c r="U300" s="64" t="str">
        <f t="shared" si="87"/>
        <v/>
      </c>
      <c r="V300" s="422" t="str">
        <f ca="1">IF(OR(D300=0,D300="",D300="Athlete"),"",COUNTIF($D$4:$D300,D300))</f>
        <v/>
      </c>
    </row>
    <row r="301" spans="4:22" hidden="1" x14ac:dyDescent="0.35">
      <c r="D301" s="89" t="str">
        <f t="shared" ref="D301:E301" ca="1" si="127">K114</f>
        <v/>
      </c>
      <c r="E301" s="89" t="str">
        <f t="shared" ca="1" si="127"/>
        <v/>
      </c>
      <c r="T301" s="64" t="str">
        <f t="shared" ca="1" si="86"/>
        <v/>
      </c>
      <c r="U301" s="64" t="str">
        <f t="shared" si="87"/>
        <v/>
      </c>
      <c r="V301" s="422" t="str">
        <f ca="1">IF(OR(D301=0,D301="",D301="Athlete"),"",COUNTIF($D$4:$D301,D301))</f>
        <v/>
      </c>
    </row>
    <row r="302" spans="4:22" hidden="1" x14ac:dyDescent="0.35">
      <c r="D302" s="89" t="str">
        <f t="shared" ref="D302:E302" ca="1" si="128">K115</f>
        <v/>
      </c>
      <c r="E302" s="89" t="str">
        <f t="shared" ca="1" si="128"/>
        <v/>
      </c>
      <c r="T302" s="64" t="str">
        <f t="shared" ca="1" si="86"/>
        <v/>
      </c>
      <c r="U302" s="64" t="str">
        <f t="shared" si="87"/>
        <v/>
      </c>
      <c r="V302" s="422" t="str">
        <f ca="1">IF(OR(D302=0,D302="",D302="Athlete"),"",COUNTIF($D$4:$D302,D302))</f>
        <v/>
      </c>
    </row>
    <row r="303" spans="4:22" hidden="1" x14ac:dyDescent="0.35">
      <c r="D303" s="89" t="str">
        <f t="shared" ref="D303:E303" ca="1" si="129">K116</f>
        <v/>
      </c>
      <c r="E303" s="89" t="str">
        <f t="shared" ca="1" si="129"/>
        <v/>
      </c>
      <c r="T303" s="64" t="str">
        <f t="shared" ca="1" si="86"/>
        <v/>
      </c>
      <c r="U303" s="64" t="str">
        <f t="shared" si="87"/>
        <v/>
      </c>
      <c r="V303" s="422" t="str">
        <f ca="1">IF(OR(D303=0,D303="",D303="Athlete"),"",COUNTIF($D$4:$D303,D303))</f>
        <v/>
      </c>
    </row>
    <row r="304" spans="4:22" hidden="1" x14ac:dyDescent="0.35">
      <c r="D304" s="89" t="str">
        <f t="shared" ref="D304:E304" ca="1" si="130">K117</f>
        <v/>
      </c>
      <c r="E304" s="89" t="str">
        <f t="shared" ca="1" si="130"/>
        <v/>
      </c>
      <c r="T304" s="64" t="str">
        <f t="shared" ca="1" si="86"/>
        <v/>
      </c>
      <c r="U304" s="64" t="str">
        <f t="shared" si="87"/>
        <v/>
      </c>
      <c r="V304" s="422" t="str">
        <f ca="1">IF(OR(D304=0,D304="",D304="Athlete"),"",COUNTIF($D$4:$D304,D304))</f>
        <v/>
      </c>
    </row>
    <row r="305" spans="4:22" hidden="1" x14ac:dyDescent="0.35">
      <c r="D305" s="89" t="str">
        <f t="shared" ref="D305:E305" ca="1" si="131">K118</f>
        <v/>
      </c>
      <c r="E305" s="89" t="str">
        <f t="shared" ca="1" si="131"/>
        <v/>
      </c>
      <c r="T305" s="64" t="str">
        <f t="shared" ca="1" si="86"/>
        <v/>
      </c>
      <c r="U305" s="64" t="str">
        <f t="shared" si="87"/>
        <v/>
      </c>
      <c r="V305" s="422" t="str">
        <f ca="1">IF(OR(D305=0,D305="",D305="Athlete"),"",COUNTIF($D$4:$D305,D305))</f>
        <v/>
      </c>
    </row>
    <row r="306" spans="4:22" hidden="1" x14ac:dyDescent="0.35">
      <c r="D306" s="89" t="str">
        <f ca="1">K119</f>
        <v/>
      </c>
      <c r="E306" s="89" t="str">
        <f ca="1">L119</f>
        <v/>
      </c>
      <c r="T306" s="64" t="str">
        <f t="shared" ca="1" si="86"/>
        <v/>
      </c>
      <c r="U306" s="64" t="str">
        <f t="shared" si="87"/>
        <v/>
      </c>
      <c r="V306" s="422" t="str">
        <f ca="1">IF(OR(D306=0,D306="",D306="Athlete"),"",COUNTIF($D$4:$D306,D306))</f>
        <v/>
      </c>
    </row>
    <row r="307" spans="4:22" hidden="1" x14ac:dyDescent="0.35">
      <c r="D307" s="89" t="str">
        <f t="shared" ref="D307:D320" ca="1" si="132">K120</f>
        <v/>
      </c>
      <c r="E307" s="89" t="str">
        <f t="shared" ref="E307:E320" ca="1" si="133">L120</f>
        <v/>
      </c>
      <c r="T307" s="64" t="str">
        <f t="shared" ca="1" si="86"/>
        <v/>
      </c>
      <c r="U307" s="64" t="str">
        <f t="shared" si="87"/>
        <v/>
      </c>
      <c r="V307" s="422" t="str">
        <f ca="1">IF(OR(D307=0,D307="",D307="Athlete"),"",COUNTIF($D$4:$D307,D307))</f>
        <v/>
      </c>
    </row>
    <row r="308" spans="4:22" hidden="1" x14ac:dyDescent="0.35">
      <c r="D308" s="89" t="str">
        <f t="shared" ca="1" si="132"/>
        <v/>
      </c>
      <c r="E308" s="89" t="str">
        <f t="shared" ca="1" si="133"/>
        <v/>
      </c>
      <c r="T308" s="64" t="str">
        <f t="shared" ca="1" si="86"/>
        <v/>
      </c>
      <c r="U308" s="64" t="str">
        <f t="shared" si="87"/>
        <v/>
      </c>
      <c r="V308" s="422" t="str">
        <f ca="1">IF(OR(D308=0,D308="",D308="Athlete"),"",COUNTIF($D$4:$D308,D308))</f>
        <v/>
      </c>
    </row>
    <row r="309" spans="4:22" hidden="1" x14ac:dyDescent="0.35">
      <c r="D309" s="89">
        <f t="shared" si="132"/>
        <v>0</v>
      </c>
      <c r="E309" s="89">
        <f t="shared" si="133"/>
        <v>0</v>
      </c>
      <c r="T309" s="64" t="str">
        <f t="shared" si="86"/>
        <v/>
      </c>
      <c r="U309" s="64" t="str">
        <f t="shared" si="87"/>
        <v/>
      </c>
      <c r="V309" s="422" t="str">
        <f>IF(OR(D309=0,D309="",D309="Athlete"),"",COUNTIF($D$4:$D309,D309))</f>
        <v/>
      </c>
    </row>
    <row r="310" spans="4:22" hidden="1" x14ac:dyDescent="0.35">
      <c r="D310" s="89">
        <f t="shared" si="132"/>
        <v>0</v>
      </c>
      <c r="E310" s="89">
        <f t="shared" si="133"/>
        <v>0</v>
      </c>
      <c r="T310" s="64" t="str">
        <f t="shared" si="86"/>
        <v/>
      </c>
      <c r="U310" s="64" t="str">
        <f t="shared" si="87"/>
        <v/>
      </c>
      <c r="V310" s="422" t="str">
        <f>IF(OR(D310=0,D310="",D310="Athlete"),"",COUNTIF($D$4:$D310,D310))</f>
        <v/>
      </c>
    </row>
    <row r="311" spans="4:22" hidden="1" x14ac:dyDescent="0.35">
      <c r="D311" s="89" t="str">
        <f t="shared" ca="1" si="132"/>
        <v>Athlete</v>
      </c>
      <c r="E311" s="89" t="str">
        <f t="shared" ca="1" si="133"/>
        <v>Club</v>
      </c>
      <c r="T311" s="64" t="str">
        <f t="shared" ca="1" si="86"/>
        <v/>
      </c>
      <c r="U311" s="64" t="str">
        <f t="shared" si="87"/>
        <v/>
      </c>
      <c r="V311" s="422" t="str">
        <f ca="1">IF(OR(D311=0,D311="",D311="Athlete"),"",COUNTIF($D$4:$D311,D311))</f>
        <v/>
      </c>
    </row>
    <row r="312" spans="4:22" hidden="1" x14ac:dyDescent="0.35">
      <c r="D312" s="89" t="str">
        <f t="shared" ca="1" si="132"/>
        <v>MEIGH William</v>
      </c>
      <c r="E312" s="89" t="str">
        <f t="shared" ca="1" si="133"/>
        <v>York</v>
      </c>
      <c r="T312" s="64">
        <f t="shared" ca="1" si="86"/>
        <v>3</v>
      </c>
      <c r="U312" s="64" t="str">
        <f t="shared" si="87"/>
        <v/>
      </c>
      <c r="V312" s="422">
        <f ca="1">IF(OR(D312=0,D312="",D312="Athlete"),"",COUNTIF($D$4:$D312,D312))</f>
        <v>2</v>
      </c>
    </row>
    <row r="313" spans="4:22" hidden="1" x14ac:dyDescent="0.35">
      <c r="D313" s="89" t="str">
        <f t="shared" ca="1" si="132"/>
        <v>MAZUREK Gracjan</v>
      </c>
      <c r="E313" s="89" t="str">
        <f t="shared" ca="1" si="133"/>
        <v>C'field</v>
      </c>
      <c r="T313" s="64">
        <f t="shared" ca="1" si="86"/>
        <v>2</v>
      </c>
      <c r="U313" s="64" t="str">
        <f t="shared" si="87"/>
        <v/>
      </c>
      <c r="V313" s="422">
        <f ca="1">IF(OR(D313=0,D313="",D313="Athlete"),"",COUNTIF($D$4:$D313,D313))</f>
        <v>2</v>
      </c>
    </row>
    <row r="314" spans="4:22" hidden="1" x14ac:dyDescent="0.35">
      <c r="D314" s="89" t="str">
        <f t="shared" ca="1" si="132"/>
        <v>KAYE Charlie</v>
      </c>
      <c r="E314" s="89" t="str">
        <f t="shared" ca="1" si="133"/>
        <v>M'bro</v>
      </c>
      <c r="T314" s="64">
        <f t="shared" ca="1" si="86"/>
        <v>2</v>
      </c>
      <c r="U314" s="64" t="str">
        <f t="shared" si="87"/>
        <v/>
      </c>
      <c r="V314" s="422">
        <f ca="1">IF(OR(D314=0,D314="",D314="Athlete"),"",COUNTIF($D$4:$D314,D314))</f>
        <v>2</v>
      </c>
    </row>
    <row r="315" spans="4:22" hidden="1" x14ac:dyDescent="0.35">
      <c r="D315" s="89" t="str">
        <f t="shared" ca="1" si="132"/>
        <v/>
      </c>
      <c r="E315" s="89" t="str">
        <f t="shared" ca="1" si="133"/>
        <v/>
      </c>
      <c r="T315" s="64" t="str">
        <f t="shared" ca="1" si="86"/>
        <v/>
      </c>
      <c r="U315" s="64" t="str">
        <f t="shared" si="87"/>
        <v/>
      </c>
      <c r="V315" s="422" t="str">
        <f ca="1">IF(OR(D315=0,D315="",D315="Athlete"),"",COUNTIF($D$4:$D315,D315))</f>
        <v/>
      </c>
    </row>
    <row r="316" spans="4:22" hidden="1" x14ac:dyDescent="0.35">
      <c r="D316" s="89" t="str">
        <f t="shared" ca="1" si="132"/>
        <v/>
      </c>
      <c r="E316" s="89" t="str">
        <f t="shared" ca="1" si="133"/>
        <v/>
      </c>
      <c r="T316" s="64" t="str">
        <f t="shared" ca="1" si="86"/>
        <v/>
      </c>
      <c r="U316" s="64" t="str">
        <f t="shared" si="87"/>
        <v/>
      </c>
      <c r="V316" s="422" t="str">
        <f ca="1">IF(OR(D316=0,D316="",D316="Athlete"),"",COUNTIF($D$4:$D316,D316))</f>
        <v/>
      </c>
    </row>
    <row r="317" spans="4:22" hidden="1" x14ac:dyDescent="0.35">
      <c r="D317" s="89" t="str">
        <f t="shared" ca="1" si="132"/>
        <v/>
      </c>
      <c r="E317" s="89" t="str">
        <f t="shared" ca="1" si="133"/>
        <v/>
      </c>
      <c r="T317" s="64" t="str">
        <f t="shared" ca="1" si="86"/>
        <v/>
      </c>
      <c r="U317" s="64" t="str">
        <f t="shared" si="87"/>
        <v/>
      </c>
      <c r="V317" s="422" t="str">
        <f ca="1">IF(OR(D317=0,D317="",D317="Athlete"),"",COUNTIF($D$4:$D317,D317))</f>
        <v/>
      </c>
    </row>
    <row r="318" spans="4:22" hidden="1" x14ac:dyDescent="0.35">
      <c r="D318" s="89" t="str">
        <f t="shared" ca="1" si="132"/>
        <v/>
      </c>
      <c r="E318" s="89" t="str">
        <f t="shared" ca="1" si="133"/>
        <v/>
      </c>
      <c r="T318" s="64" t="str">
        <f t="shared" ca="1" si="86"/>
        <v/>
      </c>
      <c r="U318" s="64" t="str">
        <f t="shared" si="87"/>
        <v/>
      </c>
      <c r="V318" s="422" t="str">
        <f ca="1">IF(OR(D318=0,D318="",D318="Athlete"),"",COUNTIF($D$4:$D318,D318))</f>
        <v/>
      </c>
    </row>
    <row r="319" spans="4:22" hidden="1" x14ac:dyDescent="0.35">
      <c r="D319" s="89" t="str">
        <f t="shared" ca="1" si="132"/>
        <v/>
      </c>
      <c r="E319" s="89" t="str">
        <f t="shared" ca="1" si="133"/>
        <v/>
      </c>
      <c r="T319" s="64" t="str">
        <f t="shared" ca="1" si="86"/>
        <v/>
      </c>
      <c r="U319" s="64" t="str">
        <f t="shared" si="87"/>
        <v/>
      </c>
      <c r="V319" s="422" t="str">
        <f ca="1">IF(OR(D319=0,D319="",D319="Athlete"),"",COUNTIF($D$4:$D319,D319))</f>
        <v/>
      </c>
    </row>
    <row r="320" spans="4:22" hidden="1" x14ac:dyDescent="0.35">
      <c r="D320" s="89">
        <f t="shared" si="132"/>
        <v>0</v>
      </c>
      <c r="E320" s="89">
        <f t="shared" si="133"/>
        <v>0</v>
      </c>
      <c r="T320" s="64" t="str">
        <f t="shared" si="86"/>
        <v/>
      </c>
      <c r="U320" s="64" t="str">
        <f t="shared" si="87"/>
        <v/>
      </c>
      <c r="V320" s="422" t="str">
        <f>IF(OR(D320=0,D320="",D320="Athlete"),"",COUNTIF($D$4:$D320,D320))</f>
        <v/>
      </c>
    </row>
    <row r="321" spans="4:22" hidden="1" x14ac:dyDescent="0.35">
      <c r="D321" s="89">
        <f>K134</f>
        <v>0</v>
      </c>
      <c r="E321" s="89">
        <f>L134</f>
        <v>0</v>
      </c>
      <c r="T321" s="64" t="str">
        <f t="shared" si="86"/>
        <v/>
      </c>
      <c r="U321" s="64" t="str">
        <f t="shared" si="87"/>
        <v/>
      </c>
      <c r="V321" s="422" t="str">
        <f>IF(OR(D321=0,D321="",D321="Athlete"),"",COUNTIF($D$4:$D321,D321))</f>
        <v/>
      </c>
    </row>
    <row r="322" spans="4:22" hidden="1" x14ac:dyDescent="0.35">
      <c r="D322" s="89" t="str">
        <f t="shared" ref="D322:D352" ca="1" si="134">K135</f>
        <v>Athlete</v>
      </c>
      <c r="E322" s="89" t="str">
        <f t="shared" ref="E322:E352" ca="1" si="135">L135</f>
        <v>Club</v>
      </c>
      <c r="T322" s="64" t="str">
        <f t="shared" ca="1" si="86"/>
        <v/>
      </c>
      <c r="U322" s="64" t="str">
        <f t="shared" si="87"/>
        <v/>
      </c>
      <c r="V322" s="422" t="str">
        <f ca="1">IF(OR(D322=0,D322="",D322="Athlete"),"",COUNTIF($D$4:$D322,D322))</f>
        <v/>
      </c>
    </row>
    <row r="323" spans="4:22" hidden="1" x14ac:dyDescent="0.35">
      <c r="D323" s="89" t="str">
        <f t="shared" ca="1" si="134"/>
        <v>RHODES Ashton</v>
      </c>
      <c r="E323" s="89" t="str">
        <f t="shared" ca="1" si="135"/>
        <v>York</v>
      </c>
      <c r="T323" s="64">
        <f t="shared" ca="1" si="86"/>
        <v>2</v>
      </c>
      <c r="U323" s="64" t="str">
        <f t="shared" si="87"/>
        <v/>
      </c>
      <c r="V323" s="422">
        <f ca="1">IF(OR(D323=0,D323="",D323="Athlete"),"",COUNTIF($D$4:$D323,D323))</f>
        <v>2</v>
      </c>
    </row>
    <row r="324" spans="4:22" hidden="1" x14ac:dyDescent="0.35">
      <c r="D324" s="89" t="str">
        <f t="shared" ca="1" si="134"/>
        <v>PEERS-WAIN Jacob</v>
      </c>
      <c r="E324" s="89" t="str">
        <f t="shared" ca="1" si="135"/>
        <v>C'field</v>
      </c>
      <c r="T324" s="64">
        <f t="shared" ca="1" si="86"/>
        <v>3</v>
      </c>
      <c r="U324" s="64" t="str">
        <f t="shared" si="87"/>
        <v/>
      </c>
      <c r="V324" s="422">
        <f ca="1">IF(OR(D324=0,D324="",D324="Athlete"),"",COUNTIF($D$4:$D324,D324))</f>
        <v>3</v>
      </c>
    </row>
    <row r="325" spans="4:22" hidden="1" x14ac:dyDescent="0.35">
      <c r="D325" s="89" t="str">
        <f t="shared" ca="1" si="134"/>
        <v>KRIEL PARR George</v>
      </c>
      <c r="E325" s="89" t="str">
        <f t="shared" ca="1" si="135"/>
        <v>Sheff+D</v>
      </c>
      <c r="T325" s="64">
        <f t="shared" ref="T325:T352" ca="1" si="136">IF(OR(D325=0,D325="",D325="Athlete"),"",COUNTIF($D$4:$D$352,D325))</f>
        <v>3</v>
      </c>
      <c r="U325" s="64" t="str">
        <f t="shared" ref="U325:U352" si="137">IF(OR(K325=0,K325="",K325="Athlete"),"",COUNTIF($D$4:$D$352,K325))</f>
        <v/>
      </c>
      <c r="V325" s="422">
        <f ca="1">IF(OR(D325=0,D325="",D325="Athlete"),"",COUNTIF($D$4:$D325,D325))</f>
        <v>3</v>
      </c>
    </row>
    <row r="326" spans="4:22" hidden="1" x14ac:dyDescent="0.35">
      <c r="D326" s="89" t="str">
        <f t="shared" ca="1" si="134"/>
        <v/>
      </c>
      <c r="E326" s="89" t="str">
        <f t="shared" ca="1" si="135"/>
        <v/>
      </c>
      <c r="T326" s="64" t="str">
        <f t="shared" ca="1" si="136"/>
        <v/>
      </c>
      <c r="U326" s="64" t="str">
        <f t="shared" si="137"/>
        <v/>
      </c>
      <c r="V326" s="422" t="str">
        <f ca="1">IF(OR(D326=0,D326="",D326="Athlete"),"",COUNTIF($D$4:$D326,D326))</f>
        <v/>
      </c>
    </row>
    <row r="327" spans="4:22" hidden="1" x14ac:dyDescent="0.35">
      <c r="D327" s="89" t="str">
        <f t="shared" ca="1" si="134"/>
        <v/>
      </c>
      <c r="E327" s="89" t="str">
        <f t="shared" ca="1" si="135"/>
        <v/>
      </c>
      <c r="T327" s="64" t="str">
        <f t="shared" ca="1" si="136"/>
        <v/>
      </c>
      <c r="U327" s="64" t="str">
        <f t="shared" si="137"/>
        <v/>
      </c>
      <c r="V327" s="422" t="str">
        <f ca="1">IF(OR(D327=0,D327="",D327="Athlete"),"",COUNTIF($D$4:$D327,D327))</f>
        <v/>
      </c>
    </row>
    <row r="328" spans="4:22" hidden="1" x14ac:dyDescent="0.35">
      <c r="D328" s="89" t="str">
        <f t="shared" ca="1" si="134"/>
        <v/>
      </c>
      <c r="E328" s="89" t="str">
        <f t="shared" ca="1" si="135"/>
        <v/>
      </c>
      <c r="T328" s="64" t="str">
        <f t="shared" ca="1" si="136"/>
        <v/>
      </c>
      <c r="U328" s="64" t="str">
        <f t="shared" si="137"/>
        <v/>
      </c>
      <c r="V328" s="422" t="str">
        <f ca="1">IF(OR(D328=0,D328="",D328="Athlete"),"",COUNTIF($D$4:$D328,D328))</f>
        <v/>
      </c>
    </row>
    <row r="329" spans="4:22" hidden="1" x14ac:dyDescent="0.35">
      <c r="D329" s="89" t="str">
        <f t="shared" ca="1" si="134"/>
        <v/>
      </c>
      <c r="E329" s="89" t="str">
        <f t="shared" ca="1" si="135"/>
        <v/>
      </c>
      <c r="T329" s="64" t="str">
        <f t="shared" ca="1" si="136"/>
        <v/>
      </c>
      <c r="U329" s="64" t="str">
        <f t="shared" si="137"/>
        <v/>
      </c>
      <c r="V329" s="422" t="str">
        <f ca="1">IF(OR(D329=0,D329="",D329="Athlete"),"",COUNTIF($D$4:$D329,D329))</f>
        <v/>
      </c>
    </row>
    <row r="330" spans="4:22" hidden="1" x14ac:dyDescent="0.35">
      <c r="D330" s="89" t="str">
        <f t="shared" ca="1" si="134"/>
        <v/>
      </c>
      <c r="E330" s="89" t="str">
        <f t="shared" ca="1" si="135"/>
        <v/>
      </c>
      <c r="T330" s="64" t="str">
        <f t="shared" ca="1" si="136"/>
        <v/>
      </c>
      <c r="U330" s="64" t="str">
        <f t="shared" si="137"/>
        <v/>
      </c>
      <c r="V330" s="422" t="str">
        <f ca="1">IF(OR(D330=0,D330="",D330="Athlete"),"",COUNTIF($D$4:$D330,D330))</f>
        <v/>
      </c>
    </row>
    <row r="331" spans="4:22" hidden="1" x14ac:dyDescent="0.35">
      <c r="D331" s="89">
        <f t="shared" si="134"/>
        <v>0</v>
      </c>
      <c r="E331" s="89">
        <f t="shared" si="135"/>
        <v>0</v>
      </c>
      <c r="T331" s="64" t="str">
        <f t="shared" si="136"/>
        <v/>
      </c>
      <c r="U331" s="64" t="str">
        <f t="shared" si="137"/>
        <v/>
      </c>
      <c r="V331" s="422" t="str">
        <f>IF(OR(D331=0,D331="",D331="Athlete"),"",COUNTIF($D$4:$D331,D331))</f>
        <v/>
      </c>
    </row>
    <row r="332" spans="4:22" hidden="1" x14ac:dyDescent="0.35">
      <c r="D332" s="89">
        <f t="shared" si="134"/>
        <v>0</v>
      </c>
      <c r="E332" s="89">
        <f t="shared" si="135"/>
        <v>0</v>
      </c>
      <c r="T332" s="64" t="str">
        <f t="shared" si="136"/>
        <v/>
      </c>
      <c r="U332" s="64" t="str">
        <f t="shared" si="137"/>
        <v/>
      </c>
      <c r="V332" s="422" t="str">
        <f>IF(OR(D332=0,D332="",D332="Athlete"),"",COUNTIF($D$4:$D332,D332))</f>
        <v/>
      </c>
    </row>
    <row r="333" spans="4:22" hidden="1" x14ac:dyDescent="0.35">
      <c r="D333" s="89" t="str">
        <f t="shared" ca="1" si="134"/>
        <v>Athlete</v>
      </c>
      <c r="E333" s="89" t="str">
        <f t="shared" ca="1" si="135"/>
        <v>Club</v>
      </c>
      <c r="T333" s="64" t="str">
        <f t="shared" ca="1" si="136"/>
        <v/>
      </c>
      <c r="U333" s="64" t="str">
        <f t="shared" si="137"/>
        <v/>
      </c>
      <c r="V333" s="422" t="str">
        <f ca="1">IF(OR(D333=0,D333="",D333="Athlete"),"",COUNTIF($D$4:$D333,D333))</f>
        <v/>
      </c>
    </row>
    <row r="334" spans="4:22" hidden="1" x14ac:dyDescent="0.35">
      <c r="D334" s="89" t="str">
        <f t="shared" ca="1" si="134"/>
        <v>MEIGH William</v>
      </c>
      <c r="E334" s="89" t="str">
        <f t="shared" ca="1" si="135"/>
        <v>York</v>
      </c>
      <c r="T334" s="64">
        <f t="shared" ca="1" si="136"/>
        <v>3</v>
      </c>
      <c r="U334" s="64" t="str">
        <f t="shared" si="137"/>
        <v/>
      </c>
      <c r="V334" s="422">
        <f ca="1">IF(OR(D334=0,D334="",D334="Athlete"),"",COUNTIF($D$4:$D334,D334))</f>
        <v>3</v>
      </c>
    </row>
    <row r="335" spans="4:22" hidden="1" x14ac:dyDescent="0.35">
      <c r="D335" s="89" t="str">
        <f t="shared" ca="1" si="134"/>
        <v>BETTNEY Thomas</v>
      </c>
      <c r="E335" s="89" t="str">
        <f t="shared" ca="1" si="135"/>
        <v>C'field</v>
      </c>
      <c r="T335" s="64">
        <f t="shared" ca="1" si="136"/>
        <v>3</v>
      </c>
      <c r="U335" s="64" t="str">
        <f t="shared" si="137"/>
        <v/>
      </c>
      <c r="V335" s="422">
        <f ca="1">IF(OR(D335=0,D335="",D335="Athlete"),"",COUNTIF($D$4:$D335,D335))</f>
        <v>3</v>
      </c>
    </row>
    <row r="336" spans="4:22" hidden="1" x14ac:dyDescent="0.35">
      <c r="D336" s="89" t="str">
        <f t="shared" ca="1" si="134"/>
        <v/>
      </c>
      <c r="E336" s="89" t="str">
        <f t="shared" ca="1" si="135"/>
        <v/>
      </c>
      <c r="T336" s="64" t="str">
        <f t="shared" ca="1" si="136"/>
        <v/>
      </c>
      <c r="U336" s="64" t="str">
        <f t="shared" si="137"/>
        <v/>
      </c>
      <c r="V336" s="422" t="str">
        <f ca="1">IF(OR(D336=0,D336="",D336="Athlete"),"",COUNTIF($D$4:$D336,D336))</f>
        <v/>
      </c>
    </row>
    <row r="337" spans="4:22" hidden="1" x14ac:dyDescent="0.35">
      <c r="D337" s="89" t="str">
        <f t="shared" ca="1" si="134"/>
        <v/>
      </c>
      <c r="E337" s="89" t="str">
        <f t="shared" ca="1" si="135"/>
        <v/>
      </c>
      <c r="T337" s="64" t="str">
        <f t="shared" ca="1" si="136"/>
        <v/>
      </c>
      <c r="U337" s="64" t="str">
        <f t="shared" si="137"/>
        <v/>
      </c>
      <c r="V337" s="422" t="str">
        <f ca="1">IF(OR(D337=0,D337="",D337="Athlete"),"",COUNTIF($D$4:$D337,D337))</f>
        <v/>
      </c>
    </row>
    <row r="338" spans="4:22" hidden="1" x14ac:dyDescent="0.35">
      <c r="D338" s="89" t="str">
        <f t="shared" ca="1" si="134"/>
        <v/>
      </c>
      <c r="E338" s="89" t="str">
        <f t="shared" ca="1" si="135"/>
        <v/>
      </c>
      <c r="T338" s="64" t="str">
        <f t="shared" ca="1" si="136"/>
        <v/>
      </c>
      <c r="U338" s="64" t="str">
        <f t="shared" si="137"/>
        <v/>
      </c>
      <c r="V338" s="422" t="str">
        <f ca="1">IF(OR(D338=0,D338="",D338="Athlete"),"",COUNTIF($D$4:$D338,D338))</f>
        <v/>
      </c>
    </row>
    <row r="339" spans="4:22" hidden="1" x14ac:dyDescent="0.35">
      <c r="D339" s="89" t="str">
        <f t="shared" ca="1" si="134"/>
        <v/>
      </c>
      <c r="E339" s="89" t="str">
        <f t="shared" ca="1" si="135"/>
        <v/>
      </c>
      <c r="T339" s="64" t="str">
        <f t="shared" ca="1" si="136"/>
        <v/>
      </c>
      <c r="U339" s="64" t="str">
        <f t="shared" si="137"/>
        <v/>
      </c>
      <c r="V339" s="422" t="str">
        <f ca="1">IF(OR(D339=0,D339="",D339="Athlete"),"",COUNTIF($D$4:$D339,D339))</f>
        <v/>
      </c>
    </row>
    <row r="340" spans="4:22" hidden="1" x14ac:dyDescent="0.35">
      <c r="D340" s="89" t="str">
        <f t="shared" ca="1" si="134"/>
        <v/>
      </c>
      <c r="E340" s="89" t="str">
        <f t="shared" ca="1" si="135"/>
        <v/>
      </c>
      <c r="T340" s="64" t="str">
        <f t="shared" ca="1" si="136"/>
        <v/>
      </c>
      <c r="U340" s="64" t="str">
        <f t="shared" si="137"/>
        <v/>
      </c>
      <c r="V340" s="422" t="str">
        <f ca="1">IF(OR(D340=0,D340="",D340="Athlete"),"",COUNTIF($D$4:$D340,D340))</f>
        <v/>
      </c>
    </row>
    <row r="341" spans="4:22" hidden="1" x14ac:dyDescent="0.35">
      <c r="D341" s="89" t="str">
        <f t="shared" ca="1" si="134"/>
        <v/>
      </c>
      <c r="E341" s="89" t="str">
        <f t="shared" ca="1" si="135"/>
        <v/>
      </c>
      <c r="T341" s="64" t="str">
        <f t="shared" ca="1" si="136"/>
        <v/>
      </c>
      <c r="U341" s="64" t="str">
        <f t="shared" si="137"/>
        <v/>
      </c>
      <c r="V341" s="422" t="str">
        <f ca="1">IF(OR(D341=0,D341="",D341="Athlete"),"",COUNTIF($D$4:$D341,D341))</f>
        <v/>
      </c>
    </row>
    <row r="342" spans="4:22" hidden="1" x14ac:dyDescent="0.35">
      <c r="D342" s="89">
        <f t="shared" si="134"/>
        <v>0</v>
      </c>
      <c r="E342" s="89">
        <f t="shared" si="135"/>
        <v>0</v>
      </c>
      <c r="T342" s="64" t="str">
        <f t="shared" si="136"/>
        <v/>
      </c>
      <c r="U342" s="64" t="str">
        <f t="shared" si="137"/>
        <v/>
      </c>
      <c r="V342" s="422" t="str">
        <f>IF(OR(D342=0,D342="",D342="Athlete"),"",COUNTIF($D$4:$D342,D342))</f>
        <v/>
      </c>
    </row>
    <row r="343" spans="4:22" hidden="1" x14ac:dyDescent="0.35">
      <c r="D343" s="89">
        <f t="shared" si="134"/>
        <v>0</v>
      </c>
      <c r="E343" s="89">
        <f t="shared" si="135"/>
        <v>0</v>
      </c>
      <c r="T343" s="64" t="str">
        <f t="shared" si="136"/>
        <v/>
      </c>
      <c r="U343" s="64" t="str">
        <f t="shared" si="137"/>
        <v/>
      </c>
      <c r="V343" s="422" t="str">
        <f>IF(OR(D343=0,D343="",D343="Athlete"),"",COUNTIF($D$4:$D343,D343))</f>
        <v/>
      </c>
    </row>
    <row r="344" spans="4:22" hidden="1" x14ac:dyDescent="0.35">
      <c r="D344" s="89" t="str">
        <f t="shared" ca="1" si="134"/>
        <v>Athlete</v>
      </c>
      <c r="E344" s="89" t="str">
        <f t="shared" ca="1" si="135"/>
        <v>Club</v>
      </c>
      <c r="T344" s="64" t="str">
        <f t="shared" ca="1" si="136"/>
        <v/>
      </c>
      <c r="U344" s="64" t="str">
        <f t="shared" si="137"/>
        <v/>
      </c>
      <c r="V344" s="422" t="str">
        <f ca="1">IF(OR(D344=0,D344="",D344="Athlete"),"",COUNTIF($D$4:$D344,D344))</f>
        <v/>
      </c>
    </row>
    <row r="345" spans="4:22" hidden="1" x14ac:dyDescent="0.35">
      <c r="D345" s="89" t="str">
        <f t="shared" ca="1" si="134"/>
        <v>BROOKS Rory</v>
      </c>
      <c r="E345" s="89" t="str">
        <f t="shared" ca="1" si="135"/>
        <v>York</v>
      </c>
      <c r="T345" s="64">
        <f t="shared" ca="1" si="136"/>
        <v>3</v>
      </c>
      <c r="U345" s="64" t="str">
        <f t="shared" si="137"/>
        <v/>
      </c>
      <c r="V345" s="422">
        <f ca="1">IF(OR(D345=0,D345="",D345="Athlete"),"",COUNTIF($D$4:$D345,D345))</f>
        <v>3</v>
      </c>
    </row>
    <row r="346" spans="4:22" hidden="1" x14ac:dyDescent="0.35">
      <c r="D346" s="89" t="str">
        <f t="shared" ca="1" si="134"/>
        <v>SAS Reuben</v>
      </c>
      <c r="E346" s="89" t="str">
        <f t="shared" ca="1" si="135"/>
        <v>C'field</v>
      </c>
      <c r="T346" s="64">
        <f t="shared" ca="1" si="136"/>
        <v>2</v>
      </c>
      <c r="U346" s="64" t="str">
        <f t="shared" si="137"/>
        <v/>
      </c>
      <c r="V346" s="422">
        <f ca="1">IF(OR(D346=0,D346="",D346="Athlete"),"",COUNTIF($D$4:$D346,D346))</f>
        <v>2</v>
      </c>
    </row>
    <row r="347" spans="4:22" hidden="1" x14ac:dyDescent="0.35">
      <c r="D347" s="89" t="str">
        <f t="shared" ca="1" si="134"/>
        <v>WAINWRIGHT James</v>
      </c>
      <c r="E347" s="89" t="str">
        <f t="shared" ca="1" si="135"/>
        <v>Sheff+D</v>
      </c>
      <c r="T347" s="64">
        <f t="shared" ca="1" si="136"/>
        <v>3</v>
      </c>
      <c r="U347" s="64" t="str">
        <f t="shared" si="137"/>
        <v/>
      </c>
      <c r="V347" s="422">
        <f ca="1">IF(OR(D347=0,D347="",D347="Athlete"),"",COUNTIF($D$4:$D347,D347))</f>
        <v>3</v>
      </c>
    </row>
    <row r="348" spans="4:22" hidden="1" x14ac:dyDescent="0.35">
      <c r="D348" s="89" t="str">
        <f t="shared" ca="1" si="134"/>
        <v>OADES Matthew</v>
      </c>
      <c r="E348" s="89" t="str">
        <f t="shared" ca="1" si="135"/>
        <v>Scun</v>
      </c>
      <c r="T348" s="64">
        <f t="shared" ca="1" si="136"/>
        <v>3</v>
      </c>
      <c r="U348" s="64" t="str">
        <f t="shared" si="137"/>
        <v/>
      </c>
      <c r="V348" s="422">
        <f ca="1">IF(OR(D348=0,D348="",D348="Athlete"),"",COUNTIF($D$4:$D348,D348))</f>
        <v>3</v>
      </c>
    </row>
    <row r="349" spans="4:22" hidden="1" x14ac:dyDescent="0.35">
      <c r="D349" s="89" t="str">
        <f t="shared" ca="1" si="134"/>
        <v/>
      </c>
      <c r="E349" s="89" t="str">
        <f t="shared" ca="1" si="135"/>
        <v/>
      </c>
      <c r="T349" s="64" t="str">
        <f t="shared" ca="1" si="136"/>
        <v/>
      </c>
      <c r="U349" s="64" t="str">
        <f t="shared" si="137"/>
        <v/>
      </c>
      <c r="V349" s="422" t="str">
        <f ca="1">IF(OR(D349=0,D349="",D349="Athlete"),"",COUNTIF($D$4:$D349,D349))</f>
        <v/>
      </c>
    </row>
    <row r="350" spans="4:22" hidden="1" x14ac:dyDescent="0.35">
      <c r="D350" s="89" t="str">
        <f t="shared" ca="1" si="134"/>
        <v/>
      </c>
      <c r="E350" s="89" t="str">
        <f t="shared" ca="1" si="135"/>
        <v/>
      </c>
      <c r="T350" s="64" t="str">
        <f t="shared" ca="1" si="136"/>
        <v/>
      </c>
      <c r="U350" s="64" t="str">
        <f t="shared" si="137"/>
        <v/>
      </c>
      <c r="V350" s="422" t="str">
        <f ca="1">IF(OR(D350=0,D350="",D350="Athlete"),"",COUNTIF($D$4:$D350,D350))</f>
        <v/>
      </c>
    </row>
    <row r="351" spans="4:22" hidden="1" x14ac:dyDescent="0.35">
      <c r="D351" s="89" t="str">
        <f t="shared" ca="1" si="134"/>
        <v/>
      </c>
      <c r="E351" s="89" t="str">
        <f t="shared" ca="1" si="135"/>
        <v/>
      </c>
      <c r="T351" s="64" t="str">
        <f t="shared" ca="1" si="136"/>
        <v/>
      </c>
      <c r="U351" s="64" t="str">
        <f t="shared" si="137"/>
        <v/>
      </c>
      <c r="V351" s="422" t="str">
        <f ca="1">IF(OR(D351=0,D351="",D351="Athlete"),"",COUNTIF($D$4:$D351,D351))</f>
        <v/>
      </c>
    </row>
    <row r="352" spans="4:22" hidden="1" x14ac:dyDescent="0.35">
      <c r="D352" s="89" t="str">
        <f t="shared" ca="1" si="134"/>
        <v/>
      </c>
      <c r="E352" s="89" t="str">
        <f t="shared" ca="1" si="135"/>
        <v/>
      </c>
      <c r="T352" s="64" t="str">
        <f t="shared" ca="1" si="136"/>
        <v/>
      </c>
      <c r="U352" s="64" t="str">
        <f t="shared" si="137"/>
        <v/>
      </c>
      <c r="V352" s="422" t="str">
        <f ca="1">IF(OR(D352=0,D352="",D352="Athlete"),"",COUNTIF($D$4:$D352,D352))</f>
        <v/>
      </c>
    </row>
  </sheetData>
  <sheetProtection algorithmName="SHA-512" hashValue="zd16223Conn0FLLwFsX90VP5/Lk+iOvcq2CRbBSgPJ8JOw+ByqRLpEBJD6H0osb558CZX051S0zSh70ezaLclQ==" saltValue="PVIGKyp4jkfVukBK2f2PPQ=="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4" manualBreakCount="4">
    <brk id="45" min="1" max="13" man="1"/>
    <brk id="89" min="1" max="13" man="1"/>
    <brk id="133" min="1" max="13" man="1"/>
    <brk id="166" min="1" max="1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2">
    <tabColor rgb="FFFFFF00"/>
  </sheetPr>
  <dimension ref="A1:R187"/>
  <sheetViews>
    <sheetView showZeros="0" zoomScaleNormal="100" workbookViewId="0">
      <pane ySplit="1" topLeftCell="A155" activePane="bottomLeft" state="frozen"/>
      <selection activeCell="D36" sqref="D36:D40"/>
      <selection pane="bottomLeft" activeCell="D180" sqref="D180:D187"/>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300"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300" customWidth="1"/>
    <col min="14" max="14" width="4" style="121" customWidth="1"/>
    <col min="15" max="17" width="8.86328125" style="64"/>
    <col min="18" max="18" width="0" style="64" hidden="1" customWidth="1"/>
    <col min="19" max="16384" width="8.86328125" style="64"/>
  </cols>
  <sheetData>
    <row r="1" spans="1:18" ht="45" customHeight="1" x14ac:dyDescent="0.35">
      <c r="A1" s="201" t="s">
        <v>784</v>
      </c>
      <c r="B1" s="223" t="str">
        <f>Dashboard!E1</f>
        <v>LOWER NORTH East 1 @ Doncaster</v>
      </c>
      <c r="D1" s="288"/>
      <c r="G1" s="198"/>
      <c r="I1" s="64"/>
      <c r="J1" s="64"/>
      <c r="K1" s="202"/>
      <c r="L1" s="497">
        <f>Dashboard!E2</f>
        <v>43582</v>
      </c>
      <c r="M1" s="497"/>
      <c r="N1" s="200"/>
      <c r="P1" s="82"/>
      <c r="Q1" s="70"/>
      <c r="R1" s="82">
        <f ca="1">SUM(R2:R300)</f>
        <v>15</v>
      </c>
    </row>
    <row r="2" spans="1:18" x14ac:dyDescent="0.35">
      <c r="A2" s="66" t="s">
        <v>44</v>
      </c>
      <c r="B2" s="115" t="str">
        <f ca="1">IFERROR(INDIRECT(CONCATENATE("Track1!B",A3)),"")</f>
        <v>100m U15 Boys A</v>
      </c>
      <c r="E2" s="89" t="s">
        <v>259</v>
      </c>
      <c r="F2" s="299">
        <f ca="1">IFERROR(INDIRECT(CONCATENATE("Track1!f",A3)),"")</f>
        <v>0</v>
      </c>
      <c r="G2" s="121" t="str">
        <f ca="1">IFERROR(INDIRECT(CONCATENATE("Track1!g",A3)),"")</f>
        <v/>
      </c>
      <c r="I2" s="115" t="str">
        <f ca="1">IFERROR(INDIRECT(CONCATENATE("Track1!I",A3)),"")</f>
        <v>100m U15 Boys B</v>
      </c>
      <c r="L2" s="89" t="s">
        <v>259</v>
      </c>
      <c r="M2" s="299">
        <f ca="1">IFERROR(INDIRECT(CONCATENATE("Track1!M",A3)),"")</f>
        <v>0</v>
      </c>
    </row>
    <row r="3" spans="1:18" x14ac:dyDescent="0.35">
      <c r="A3" s="66">
        <f>IFERROR(MATCH(A2,Track1!A:A,0),"")</f>
        <v>123</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301"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301" t="str">
        <f ca="1">IFERROR(INDIRECT(CONCATENATE("Track1!M",A3+1)),"")</f>
        <v>Perf</v>
      </c>
      <c r="N3" s="218" t="str">
        <f ca="1">IFERROR(INDIRECT(CONCATENATE("Track1!N",A3+1)),"")</f>
        <v>AAA</v>
      </c>
    </row>
    <row r="4" spans="1:18" x14ac:dyDescent="0.35">
      <c r="B4" s="66">
        <f ca="1">IFERROR(INDIRECT(CONCATENATE("Track1!B",A3+2)),"")</f>
        <v>1</v>
      </c>
      <c r="C4" s="66">
        <f ca="1">IFERROR(INDIRECT(CONCATENATE("Track1!C",A3+2)),"")</f>
        <v>44</v>
      </c>
      <c r="D4" s="89" t="str">
        <f ca="1">IFERROR(INDIRECT(CONCATENATE("Track1!D",A3+2)),"")</f>
        <v>OKEY Chieme</v>
      </c>
      <c r="E4" s="89" t="str">
        <f ca="1">IFERROR(INDIRECT(CONCATENATE("Track1!E",A3+2)),"")</f>
        <v>M'bro</v>
      </c>
      <c r="F4" s="299">
        <f ca="1">IFERROR(INDIRECT(CONCATENATE("Track1!F",A3+2)),"")</f>
        <v>12.3</v>
      </c>
      <c r="G4" s="121">
        <f ca="1">IFERROR(INDIRECT(CONCATENATE("Track1!G",A3+2)),"")</f>
        <v>4</v>
      </c>
      <c r="H4" s="66"/>
      <c r="I4" s="66">
        <f ca="1">IFERROR(INDIRECT(CONCATENATE("Track1!I",A3+2)),"")</f>
        <v>1</v>
      </c>
      <c r="J4" s="66">
        <f ca="1">IFERROR(INDIRECT(CONCATENATE("Track1!J",A3+2)),"")</f>
        <v>4</v>
      </c>
      <c r="K4" s="89" t="str">
        <f ca="1">IFERROR(INDIRECT(CONCATENATE("Track1!K",A3+2)),"")</f>
        <v>MAYNARD Tom</v>
      </c>
      <c r="L4" s="89" t="str">
        <f ca="1">IFERROR(INDIRECT(CONCATENATE("Track1!L",A3+2)),"")</f>
        <v>M'bro</v>
      </c>
      <c r="M4" s="299">
        <f ca="1">IFERROR(INDIRECT(CONCATENATE("Track1!M",A3+2)),"")</f>
        <v>12.6</v>
      </c>
      <c r="N4" s="121" t="str">
        <f ca="1">IFERROR(INDIRECT(CONCATENATE("Track1!N",A3+2)),"")</f>
        <v/>
      </c>
      <c r="R4" s="219">
        <f ca="1">IFERROR(INDIRECT(CONCATENATE("Track1!r",A3+2)),"")</f>
        <v>1</v>
      </c>
    </row>
    <row r="5" spans="1:18" x14ac:dyDescent="0.35">
      <c r="B5" s="66">
        <f ca="1">IFERROR(INDIRECT(CONCATENATE("Track1!B",A3+3)),"")</f>
        <v>2</v>
      </c>
      <c r="C5" s="66">
        <f ca="1">IFERROR(INDIRECT(CONCATENATE("Track1!C",A3+3)),"")</f>
        <v>1</v>
      </c>
      <c r="D5" s="89" t="str">
        <f ca="1">IFERROR(INDIRECT(CONCATENATE("Track1!D",A3+3)),"")</f>
        <v>FOGDEN Ben</v>
      </c>
      <c r="E5" s="89" t="str">
        <f ca="1">IFERROR(INDIRECT(CONCATENATE("Track1!E",A3+3)),"")</f>
        <v>C'field</v>
      </c>
      <c r="F5" s="299">
        <f ca="1">IFERROR(INDIRECT(CONCATENATE("Track1!F",A3+3)),"")</f>
        <v>12.4</v>
      </c>
      <c r="G5" s="121">
        <f ca="1">IFERROR(INDIRECT(CONCATENATE("Track1!G",A3+3)),"")</f>
        <v>4</v>
      </c>
      <c r="H5" s="66"/>
      <c r="I5" s="66">
        <f ca="1">IFERROR(INDIRECT(CONCATENATE("Track1!I",A3+3)),"")</f>
        <v>2</v>
      </c>
      <c r="J5" s="66">
        <f ca="1">IFERROR(INDIRECT(CONCATENATE("Track1!J",A3+3)),"")</f>
        <v>33</v>
      </c>
      <c r="K5" s="89" t="str">
        <f ca="1">IFERROR(INDIRECT(CONCATENATE("Track1!K",A3+3)),"")</f>
        <v>PYE George</v>
      </c>
      <c r="L5" s="89" t="str">
        <f ca="1">IFERROR(INDIRECT(CONCATENATE("Track1!L",A3+3)),"")</f>
        <v>York</v>
      </c>
      <c r="M5" s="299">
        <f ca="1">IFERROR(INDIRECT(CONCATENATE("Track1!M",A3+3)),"")</f>
        <v>12.8</v>
      </c>
      <c r="N5" s="121" t="str">
        <f ca="1">IFERROR(INDIRECT(CONCATENATE("Track1!N",A3+3)),"")</f>
        <v/>
      </c>
    </row>
    <row r="6" spans="1:18" x14ac:dyDescent="0.35">
      <c r="B6" s="66">
        <f ca="1">IFERROR(INDIRECT(CONCATENATE("Track1!B",A3+4)),"")</f>
        <v>3</v>
      </c>
      <c r="C6" s="66">
        <f ca="1">IFERROR(INDIRECT(CONCATENATE("Track1!C",A3+4)),"")</f>
        <v>3</v>
      </c>
      <c r="D6" s="89" t="str">
        <f ca="1">IFERROR(INDIRECT(CONCATENATE("Track1!D",A3+4)),"")</f>
        <v>MEIGH William</v>
      </c>
      <c r="E6" s="89" t="str">
        <f ca="1">IFERROR(INDIRECT(CONCATENATE("Track1!E",A3+4)),"")</f>
        <v>York</v>
      </c>
      <c r="F6" s="299">
        <f ca="1">IFERROR(INDIRECT(CONCATENATE("Track1!F",A3+4)),"")</f>
        <v>12.6</v>
      </c>
      <c r="G6" s="121" t="str">
        <f ca="1">IFERROR(INDIRECT(CONCATENATE("Track1!G",A3+4)),"")</f>
        <v/>
      </c>
      <c r="H6" s="66"/>
      <c r="I6" s="66">
        <f ca="1">IFERROR(INDIRECT(CONCATENATE("Track1!I",A3+4)),"")</f>
        <v>3</v>
      </c>
      <c r="J6" s="66">
        <f ca="1">IFERROR(INDIRECT(CONCATENATE("Track1!J",A3+4)),"")</f>
        <v>0</v>
      </c>
      <c r="K6" s="89" t="str">
        <f ca="1">IFERROR(INDIRECT(CONCATENATE("Track1!K",A3+4)),"")</f>
        <v/>
      </c>
      <c r="L6" s="89" t="str">
        <f ca="1">IFERROR(INDIRECT(CONCATENATE("Track1!L",A3+4)),"")</f>
        <v/>
      </c>
      <c r="M6" s="299">
        <f ca="1">IFERROR(INDIRECT(CONCATENATE("Track1!M",A3+4)),"")</f>
        <v>0</v>
      </c>
      <c r="N6" s="121" t="str">
        <f ca="1">IFERROR(INDIRECT(CONCATENATE("Track1!N",A3+4)),"")</f>
        <v/>
      </c>
    </row>
    <row r="7" spans="1:18" x14ac:dyDescent="0.35">
      <c r="B7" s="66">
        <f ca="1">IFERROR(INDIRECT(CONCATENATE("Track1!B",A3+5)),"")</f>
        <v>4</v>
      </c>
      <c r="C7" s="66">
        <f ca="1">IFERROR(INDIRECT(CONCATENATE("Track1!C",A3+5)),"")</f>
        <v>2</v>
      </c>
      <c r="D7" s="89" t="str">
        <f ca="1">IFERROR(INDIRECT(CONCATENATE("Track1!D",A3+5)),"")</f>
        <v>WAINWRIGHT James</v>
      </c>
      <c r="E7" s="89" t="str">
        <f ca="1">IFERROR(INDIRECT(CONCATENATE("Track1!E",A3+5)),"")</f>
        <v>Sheff+D</v>
      </c>
      <c r="F7" s="299">
        <f ca="1">IFERROR(INDIRECT(CONCATENATE("Track1!F",A3+5)),"")</f>
        <v>13.7</v>
      </c>
      <c r="G7" s="121" t="str">
        <f ca="1">IFERROR(INDIRECT(CONCATENATE("Track1!G",A3+5)),"")</f>
        <v/>
      </c>
      <c r="H7" s="66"/>
      <c r="I7" s="66">
        <f ca="1">IFERROR(INDIRECT(CONCATENATE("Track1!I",A3+5)),"")</f>
        <v>4</v>
      </c>
      <c r="J7" s="66">
        <f ca="1">IFERROR(INDIRECT(CONCATENATE("Track1!J",A3+5)),"")</f>
        <v>0</v>
      </c>
      <c r="K7" s="89" t="str">
        <f ca="1">IFERROR(INDIRECT(CONCATENATE("Track1!K",A3+5)),"")</f>
        <v/>
      </c>
      <c r="L7" s="89" t="str">
        <f ca="1">IFERROR(INDIRECT(CONCATENATE("Track1!L",A3+5)),"")</f>
        <v/>
      </c>
      <c r="M7" s="299">
        <f ca="1">IFERROR(INDIRECT(CONCATENATE("Track1!M",A3+5)),"")</f>
        <v>0</v>
      </c>
      <c r="N7" s="121" t="str">
        <f ca="1">IFERROR(INDIRECT(CONCATENATE("Track1!N",A3+5)),"")</f>
        <v/>
      </c>
    </row>
    <row r="8" spans="1:18" x14ac:dyDescent="0.35">
      <c r="B8" s="66">
        <f ca="1">IFERROR(INDIRECT(CONCATENATE("Track1!B",A3+6)),"")</f>
        <v>5</v>
      </c>
      <c r="C8" s="66">
        <f ca="1">IFERROR(INDIRECT(CONCATENATE("Track1!C",A3+6)),"")</f>
        <v>0</v>
      </c>
      <c r="D8" s="89" t="str">
        <f ca="1">IFERROR(INDIRECT(CONCATENATE("Track1!D",A3+6)),"")</f>
        <v/>
      </c>
      <c r="E8" s="89" t="str">
        <f ca="1">IFERROR(INDIRECT(CONCATENATE("Track1!E",A3+6)),"")</f>
        <v/>
      </c>
      <c r="F8" s="299">
        <f ca="1">IFERROR(INDIRECT(CONCATENATE("Track1!F",A3+6)),"")</f>
        <v>0</v>
      </c>
      <c r="G8" s="121" t="str">
        <f ca="1">IFERROR(INDIRECT(CONCATENATE("Track1!G",A3+6)),"")</f>
        <v/>
      </c>
      <c r="H8" s="66"/>
      <c r="I8" s="66">
        <f ca="1">IFERROR(INDIRECT(CONCATENATE("Track1!I",A3+6)),"")</f>
        <v>5</v>
      </c>
      <c r="J8" s="66">
        <f ca="1">IFERROR(INDIRECT(CONCATENATE("Track1!J",A3+6)),"")</f>
        <v>0</v>
      </c>
      <c r="K8" s="89" t="str">
        <f ca="1">IFERROR(INDIRECT(CONCATENATE("Track1!K",A3+6)),"")</f>
        <v/>
      </c>
      <c r="L8" s="89" t="str">
        <f ca="1">IFERROR(INDIRECT(CONCATENATE("Track1!L",A3+6)),"")</f>
        <v/>
      </c>
      <c r="M8" s="299">
        <f ca="1">IFERROR(INDIRECT(CONCATENATE("Track1!M",A3+6)),"")</f>
        <v>0</v>
      </c>
      <c r="N8" s="121" t="str">
        <f ca="1">IFERROR(INDIRECT(CONCATENATE("Track1!N",A3+6)),"")</f>
        <v/>
      </c>
    </row>
    <row r="9" spans="1:18" x14ac:dyDescent="0.35">
      <c r="B9" s="66">
        <f ca="1">IFERROR(INDIRECT(CONCATENATE("Track1!B",A3+7)),"")</f>
        <v>6</v>
      </c>
      <c r="C9" s="66">
        <f ca="1">IFERROR(INDIRECT(CONCATENATE("Track1!C",A3+7)),"")</f>
        <v>0</v>
      </c>
      <c r="D9" s="89" t="str">
        <f ca="1">IFERROR(INDIRECT(CONCATENATE("Track1!D",A3+7)),"")</f>
        <v/>
      </c>
      <c r="E9" s="89" t="str">
        <f ca="1">IFERROR(INDIRECT(CONCATENATE("Track1!E",A3+7)),"")</f>
        <v/>
      </c>
      <c r="F9" s="299">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299">
        <f ca="1">IFERROR(INDIRECT(CONCATENATE("Track1!M",A3+7)),"")</f>
        <v>0</v>
      </c>
      <c r="N9" s="121" t="str">
        <f ca="1">IFERROR(INDIRECT(CONCATENATE("Track1!N",A3+7)),"")</f>
        <v/>
      </c>
    </row>
    <row r="10" spans="1:18" x14ac:dyDescent="0.35">
      <c r="B10" s="66">
        <f ca="1">IFERROR(INDIRECT(CONCATENATE("Track1!B",A3+8)),"")</f>
        <v>7</v>
      </c>
      <c r="C10" s="66">
        <f ca="1">IFERROR(INDIRECT(CONCATENATE("Track1!C",A3+8)),"")</f>
        <v>0</v>
      </c>
      <c r="D10" s="89" t="str">
        <f ca="1">IFERROR(INDIRECT(CONCATENATE("Track1!D",A3+8)),"")</f>
        <v/>
      </c>
      <c r="E10" s="89" t="str">
        <f ca="1">IFERROR(INDIRECT(CONCATENATE("Track1!E",A3+8)),"")</f>
        <v/>
      </c>
      <c r="F10" s="299">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299">
        <f ca="1">IFERROR(INDIRECT(CONCATENATE("Track1!M",A3+8)),"")</f>
        <v>0</v>
      </c>
      <c r="N10" s="121" t="str">
        <f ca="1">IFERROR(INDIRECT(CONCATENATE("Track1!N",A3+8)),"")</f>
        <v/>
      </c>
    </row>
    <row r="11" spans="1:18" x14ac:dyDescent="0.35">
      <c r="B11" s="66">
        <f ca="1">IFERROR(INDIRECT(CONCATENATE("Track1!B",A3+9)),"")</f>
        <v>8</v>
      </c>
      <c r="C11" s="66">
        <f ca="1">IFERROR(INDIRECT(CONCATENATE("Track1!C",A3+9)),"")</f>
        <v>0</v>
      </c>
      <c r="D11" s="89" t="str">
        <f ca="1">IFERROR(INDIRECT(CONCATENATE("Track1!D",A3+9)),"")</f>
        <v/>
      </c>
      <c r="E11" s="89" t="str">
        <f ca="1">IFERROR(INDIRECT(CONCATENATE("Track1!E",A3+9)),"")</f>
        <v/>
      </c>
      <c r="F11" s="299">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299">
        <f ca="1">IFERROR(INDIRECT(CONCATENATE("Track1!M",A3+9)),"")</f>
        <v>0</v>
      </c>
      <c r="N11" s="121" t="str">
        <f ca="1">IFERROR(INDIRECT(CONCATENATE("Track1!N",A3+9)),"")</f>
        <v/>
      </c>
    </row>
    <row r="12" spans="1:18" x14ac:dyDescent="0.35">
      <c r="F12" s="299"/>
    </row>
    <row r="13" spans="1:18" x14ac:dyDescent="0.35">
      <c r="A13" s="66" t="s">
        <v>47</v>
      </c>
      <c r="B13" s="115" t="str">
        <f ca="1">IFERROR(INDIRECT(CONCATENATE("Track1!B",A14)),"")</f>
        <v>100m NS U15 Boys A</v>
      </c>
      <c r="E13" s="89" t="s">
        <v>259</v>
      </c>
      <c r="F13" s="299">
        <f ca="1">IFERROR(INDIRECT(CONCATENATE("Track1!f",A14)),"")</f>
        <v>0</v>
      </c>
      <c r="G13" s="121" t="str">
        <f ca="1">IFERROR(INDIRECT(CONCATENATE("Track1!g",A14)),"")</f>
        <v/>
      </c>
      <c r="I13" s="115" t="str">
        <f ca="1">IFERROR(INDIRECT(CONCATENATE("Track1!I",A14)),"")</f>
        <v>100m NS U15 Boys B</v>
      </c>
      <c r="L13" s="89" t="s">
        <v>259</v>
      </c>
      <c r="M13" s="299">
        <f ca="1">IFERROR(INDIRECT(CONCATENATE("Track1!M",A14)),"")</f>
        <v>0</v>
      </c>
    </row>
    <row r="14" spans="1:18" x14ac:dyDescent="0.35">
      <c r="A14" s="66">
        <f>IFERROR(MATCH(A13,Track1!A:A,0),"")</f>
        <v>167</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301"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301" t="str">
        <f ca="1">IFERROR(INDIRECT(CONCATENATE("Track1!M",A14+1)),"")</f>
        <v>Perf</v>
      </c>
      <c r="N14" s="218" t="str">
        <f ca="1">IFERROR(INDIRECT(CONCATENATE("Track1!N",A14+1)),"")</f>
        <v>AAA</v>
      </c>
    </row>
    <row r="15" spans="1:18" x14ac:dyDescent="0.35">
      <c r="B15" s="66">
        <f ca="1">IFERROR(INDIRECT(CONCATENATE("Track1!B",A14+2)),"")</f>
        <v>1</v>
      </c>
      <c r="C15" s="66">
        <f ca="1">IFERROR(INDIRECT(CONCATENATE("Track1!C",A14+2)),"")</f>
        <v>0</v>
      </c>
      <c r="D15" s="89" t="str">
        <f ca="1">IFERROR(INDIRECT(CONCATENATE("Track1!D",A14+2)),"")</f>
        <v/>
      </c>
      <c r="E15" s="89" t="str">
        <f ca="1">IFERROR(INDIRECT(CONCATENATE("Track1!E",A14+2)),"")</f>
        <v/>
      </c>
      <c r="F15" s="299">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299">
        <f ca="1">IFERROR(INDIRECT(CONCATENATE("Track1!M",A14+2)),"")</f>
        <v>0</v>
      </c>
      <c r="N15" s="121" t="str">
        <f ca="1">IFERROR(INDIRECT(CONCATENATE("Track1!N",A14+2)),"")</f>
        <v/>
      </c>
      <c r="R15" s="219">
        <f ca="1">IFERROR(INDIRECT(CONCATENATE("Track1!r",A14+2)),"")</f>
        <v>0</v>
      </c>
    </row>
    <row r="16" spans="1:18" x14ac:dyDescent="0.35">
      <c r="B16" s="66">
        <f ca="1">IFERROR(INDIRECT(CONCATENATE("Track1!B",A14+3)),"")</f>
        <v>2</v>
      </c>
      <c r="C16" s="66">
        <f ca="1">IFERROR(INDIRECT(CONCATENATE("Track1!C",A14+3)),"")</f>
        <v>0</v>
      </c>
      <c r="D16" s="89" t="str">
        <f ca="1">IFERROR(INDIRECT(CONCATENATE("Track1!D",A14+3)),"")</f>
        <v/>
      </c>
      <c r="E16" s="89" t="str">
        <f ca="1">IFERROR(INDIRECT(CONCATENATE("Track1!E",A14+3)),"")</f>
        <v/>
      </c>
      <c r="F16" s="299">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299">
        <f ca="1">IFERROR(INDIRECT(CONCATENATE("Track1!M",A14+3)),"")</f>
        <v>0</v>
      </c>
      <c r="N16" s="121" t="str">
        <f ca="1">IFERROR(INDIRECT(CONCATENATE("Track1!N",A14+3)),"")</f>
        <v/>
      </c>
    </row>
    <row r="17" spans="1:18" x14ac:dyDescent="0.35">
      <c r="B17" s="66">
        <f ca="1">IFERROR(INDIRECT(CONCATENATE("Track1!B",A14+4)),"")</f>
        <v>3</v>
      </c>
      <c r="C17" s="66">
        <f ca="1">IFERROR(INDIRECT(CONCATENATE("Track1!C",A14+4)),"")</f>
        <v>0</v>
      </c>
      <c r="D17" s="89" t="str">
        <f ca="1">IFERROR(INDIRECT(CONCATENATE("Track1!D",A14+4)),"")</f>
        <v/>
      </c>
      <c r="E17" s="89" t="str">
        <f ca="1">IFERROR(INDIRECT(CONCATENATE("Track1!E",A14+4)),"")</f>
        <v/>
      </c>
      <c r="F17" s="299">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299">
        <f ca="1">IFERROR(INDIRECT(CONCATENATE("Track1!M",A14+4)),"")</f>
        <v>0</v>
      </c>
      <c r="N17" s="121" t="str">
        <f ca="1">IFERROR(INDIRECT(CONCATENATE("Track1!N",A14+4)),"")</f>
        <v/>
      </c>
    </row>
    <row r="18" spans="1:18" x14ac:dyDescent="0.35">
      <c r="B18" s="66">
        <f ca="1">IFERROR(INDIRECT(CONCATENATE("Track1!B",A14+5)),"")</f>
        <v>4</v>
      </c>
      <c r="C18" s="66">
        <f ca="1">IFERROR(INDIRECT(CONCATENATE("Track1!C",A14+5)),"")</f>
        <v>0</v>
      </c>
      <c r="D18" s="89" t="str">
        <f ca="1">IFERROR(INDIRECT(CONCATENATE("Track1!D",A14+5)),"")</f>
        <v/>
      </c>
      <c r="E18" s="89" t="str">
        <f ca="1">IFERROR(INDIRECT(CONCATENATE("Track1!E",A14+5)),"")</f>
        <v/>
      </c>
      <c r="F18" s="299">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299">
        <f ca="1">IFERROR(INDIRECT(CONCATENATE("Track1!M",A14+5)),"")</f>
        <v>0</v>
      </c>
      <c r="N18" s="121" t="str">
        <f ca="1">IFERROR(INDIRECT(CONCATENATE("Track1!N",A14+5)),"")</f>
        <v/>
      </c>
    </row>
    <row r="19" spans="1:18" x14ac:dyDescent="0.35">
      <c r="B19" s="66">
        <f ca="1">IFERROR(INDIRECT(CONCATENATE("Track1!B",A14+6)),"")</f>
        <v>5</v>
      </c>
      <c r="C19" s="66">
        <f ca="1">IFERROR(INDIRECT(CONCATENATE("Track1!C",A14+6)),"")</f>
        <v>0</v>
      </c>
      <c r="D19" s="89" t="str">
        <f ca="1">IFERROR(INDIRECT(CONCATENATE("Track1!D",A14+6)),"")</f>
        <v/>
      </c>
      <c r="E19" s="89" t="str">
        <f ca="1">IFERROR(INDIRECT(CONCATENATE("Track1!E",A14+6)),"")</f>
        <v/>
      </c>
      <c r="F19" s="299">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299">
        <f ca="1">IFERROR(INDIRECT(CONCATENATE("Track1!M",A14+6)),"")</f>
        <v>0</v>
      </c>
      <c r="N19" s="121" t="str">
        <f ca="1">IFERROR(INDIRECT(CONCATENATE("Track1!N",A14+6)),"")</f>
        <v/>
      </c>
    </row>
    <row r="20" spans="1:18" x14ac:dyDescent="0.35">
      <c r="B20" s="66">
        <f ca="1">IFERROR(INDIRECT(CONCATENATE("Track1!B",A14+7)),"")</f>
        <v>6</v>
      </c>
      <c r="C20" s="66">
        <f ca="1">IFERROR(INDIRECT(CONCATENATE("Track1!C",A14+7)),"")</f>
        <v>0</v>
      </c>
      <c r="D20" s="89" t="str">
        <f ca="1">IFERROR(INDIRECT(CONCATENATE("Track1!D",A14+7)),"")</f>
        <v/>
      </c>
      <c r="E20" s="89" t="str">
        <f ca="1">IFERROR(INDIRECT(CONCATENATE("Track1!E",A14+7)),"")</f>
        <v/>
      </c>
      <c r="F20" s="299">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299">
        <f ca="1">IFERROR(INDIRECT(CONCATENATE("Track1!M",A14+7)),"")</f>
        <v>0</v>
      </c>
      <c r="N20" s="121" t="str">
        <f ca="1">IFERROR(INDIRECT(CONCATENATE("Track1!N",A14+7)),"")</f>
        <v/>
      </c>
    </row>
    <row r="21" spans="1:18" x14ac:dyDescent="0.35">
      <c r="B21" s="66">
        <f ca="1">IFERROR(INDIRECT(CONCATENATE("Track1!B",A14+8)),"")</f>
        <v>7</v>
      </c>
      <c r="C21" s="66">
        <f ca="1">IFERROR(INDIRECT(CONCATENATE("Track1!C",A14+8)),"")</f>
        <v>0</v>
      </c>
      <c r="D21" s="89" t="str">
        <f ca="1">IFERROR(INDIRECT(CONCATENATE("Track1!D",A14+8)),"")</f>
        <v/>
      </c>
      <c r="E21" s="89" t="str">
        <f ca="1">IFERROR(INDIRECT(CONCATENATE("Track1!E",A14+8)),"")</f>
        <v/>
      </c>
      <c r="F21" s="299">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299">
        <f ca="1">IFERROR(INDIRECT(CONCATENATE("Track1!M",A14+8)),"")</f>
        <v>0</v>
      </c>
      <c r="N21" s="121" t="str">
        <f ca="1">IFERROR(INDIRECT(CONCATENATE("Track1!N",A14+8)),"")</f>
        <v/>
      </c>
    </row>
    <row r="22" spans="1:18" x14ac:dyDescent="0.35">
      <c r="B22" s="66">
        <f ca="1">IFERROR(INDIRECT(CONCATENATE("Track1!B",A14+9)),"")</f>
        <v>8</v>
      </c>
      <c r="C22" s="66">
        <f ca="1">IFERROR(INDIRECT(CONCATENATE("Track1!C",A14+9)),"")</f>
        <v>0</v>
      </c>
      <c r="D22" s="89" t="str">
        <f ca="1">IFERROR(INDIRECT(CONCATENATE("Track1!D",A14+9)),"")</f>
        <v/>
      </c>
      <c r="E22" s="89" t="str">
        <f ca="1">IFERROR(INDIRECT(CONCATENATE("Track1!E",A14+9)),"")</f>
        <v/>
      </c>
      <c r="F22" s="299">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299">
        <f ca="1">IFERROR(INDIRECT(CONCATENATE("Track1!M",A14+9)),"")</f>
        <v>0</v>
      </c>
      <c r="N22" s="121" t="str">
        <f ca="1">IFERROR(INDIRECT(CONCATENATE("Track1!N",A14+9)),"")</f>
        <v/>
      </c>
    </row>
    <row r="24" spans="1:18" x14ac:dyDescent="0.35">
      <c r="A24" s="66" t="s">
        <v>39</v>
      </c>
      <c r="B24" s="115" t="str">
        <f ca="1">IFERROR(INDIRECT(CONCATENATE("Track1!B",A25)),"")</f>
        <v>200m U15 Boys A</v>
      </c>
      <c r="E24" s="89" t="s">
        <v>259</v>
      </c>
      <c r="F24" s="299">
        <f ca="1">IFERROR(INDIRECT(CONCATENATE("Track1!f",A25)),"")</f>
        <v>0</v>
      </c>
      <c r="G24" s="121" t="str">
        <f ca="1">IFERROR(INDIRECT(CONCATENATE("Track1!g",A25)),"")</f>
        <v/>
      </c>
      <c r="I24" s="115" t="str">
        <f ca="1">IFERROR(INDIRECT(CONCATENATE("Track1!I",A25)),"")</f>
        <v>200m U15 Boys B</v>
      </c>
      <c r="L24" s="89" t="s">
        <v>259</v>
      </c>
      <c r="M24" s="299">
        <f ca="1">IFERROR(INDIRECT(CONCATENATE("Track1!M",A25)),"")</f>
        <v>0</v>
      </c>
    </row>
    <row r="25" spans="1:18" x14ac:dyDescent="0.35">
      <c r="A25" s="66">
        <f>IFERROR(MATCH(A24,Track1!A:A,0),"")</f>
        <v>79</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301"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301" t="str">
        <f ca="1">IFERROR(INDIRECT(CONCATENATE("Track1!M",A25+1)),"")</f>
        <v>Perf</v>
      </c>
      <c r="N25" s="218" t="str">
        <f ca="1">IFERROR(INDIRECT(CONCATENATE("Track1!N",A25+1)),"")</f>
        <v>AAA</v>
      </c>
    </row>
    <row r="26" spans="1:18" x14ac:dyDescent="0.35">
      <c r="B26" s="66">
        <f ca="1">IFERROR(INDIRECT(CONCATENATE("Track1!B",A25+2)),"")</f>
        <v>1</v>
      </c>
      <c r="C26" s="66">
        <f ca="1">IFERROR(INDIRECT(CONCATENATE("Track1!C",A25+2)),"")</f>
        <v>4</v>
      </c>
      <c r="D26" s="89" t="str">
        <f ca="1">IFERROR(INDIRECT(CONCATENATE("Track1!D",A25+2)),"")</f>
        <v>MAYNARD Tom</v>
      </c>
      <c r="E26" s="89" t="str">
        <f ca="1">IFERROR(INDIRECT(CONCATENATE("Track1!E",A25+2)),"")</f>
        <v>M'bro</v>
      </c>
      <c r="F26" s="299">
        <f ca="1">IFERROR(INDIRECT(CONCATENATE("Track1!F",A25+2)),"")</f>
        <v>25.2</v>
      </c>
      <c r="G26" s="121">
        <f ca="1">IFERROR(INDIRECT(CONCATENATE("Track1!G",A25+2)),"")</f>
        <v>4</v>
      </c>
      <c r="H26" s="66"/>
      <c r="I26" s="66">
        <f ca="1">IFERROR(INDIRECT(CONCATENATE("Track1!I",A25+2)),"")</f>
        <v>1</v>
      </c>
      <c r="J26" s="66">
        <f ca="1">IFERROR(INDIRECT(CONCATENATE("Track1!J",A25+2)),"")</f>
        <v>33</v>
      </c>
      <c r="K26" s="89" t="str">
        <f ca="1">IFERROR(INDIRECT(CONCATENATE("Track1!K",A25+2)),"")</f>
        <v>PYE George</v>
      </c>
      <c r="L26" s="89" t="str">
        <f ca="1">IFERROR(INDIRECT(CONCATENATE("Track1!L",A25+2)),"")</f>
        <v>York</v>
      </c>
      <c r="M26" s="299">
        <f ca="1">IFERROR(INDIRECT(CONCATENATE("Track1!M",A25+2)),"")</f>
        <v>26.1</v>
      </c>
      <c r="N26" s="121" t="str">
        <f ca="1">IFERROR(INDIRECT(CONCATENATE("Track1!N",A25+2)),"")</f>
        <v/>
      </c>
      <c r="R26" s="219">
        <f ca="1">IFERROR(INDIRECT(CONCATENATE("Track1!r",A25+2)),"")</f>
        <v>1</v>
      </c>
    </row>
    <row r="27" spans="1:18" x14ac:dyDescent="0.35">
      <c r="B27" s="66">
        <f ca="1">IFERROR(INDIRECT(CONCATENATE("Track1!B",A25+3)),"")</f>
        <v>2</v>
      </c>
      <c r="C27" s="66">
        <f ca="1">IFERROR(INDIRECT(CONCATENATE("Track1!C",A25+3)),"")</f>
        <v>1</v>
      </c>
      <c r="D27" s="89" t="str">
        <f ca="1">IFERROR(INDIRECT(CONCATENATE("Track1!D",A25+3)),"")</f>
        <v>FOGDEN Ben</v>
      </c>
      <c r="E27" s="89" t="str">
        <f ca="1">IFERROR(INDIRECT(CONCATENATE("Track1!E",A25+3)),"")</f>
        <v>C'field</v>
      </c>
      <c r="F27" s="299">
        <f ca="1">IFERROR(INDIRECT(CONCATENATE("Track1!F",A25+3)),"")</f>
        <v>25.5</v>
      </c>
      <c r="G27" s="121">
        <f ca="1">IFERROR(INDIRECT(CONCATENATE("Track1!G",A25+3)),"")</f>
        <v>4</v>
      </c>
      <c r="H27" s="66"/>
      <c r="I27" s="66">
        <f ca="1">IFERROR(INDIRECT(CONCATENATE("Track1!I",A25+3)),"")</f>
        <v>2</v>
      </c>
      <c r="J27" s="66">
        <f ca="1">IFERROR(INDIRECT(CONCATENATE("Track1!J",A25+3)),"")</f>
        <v>22</v>
      </c>
      <c r="K27" s="89" t="str">
        <f ca="1">IFERROR(INDIRECT(CONCATENATE("Track1!K",A25+3)),"")</f>
        <v>BENTLEY Tom</v>
      </c>
      <c r="L27" s="89" t="str">
        <f ca="1">IFERROR(INDIRECT(CONCATENATE("Track1!L",A25+3)),"")</f>
        <v>Sheff+D</v>
      </c>
      <c r="M27" s="299">
        <f ca="1">IFERROR(INDIRECT(CONCATENATE("Track1!M",A25+3)),"")</f>
        <v>26.1</v>
      </c>
      <c r="N27" s="121" t="str">
        <f ca="1">IFERROR(INDIRECT(CONCATENATE("Track1!N",A25+3)),"")</f>
        <v/>
      </c>
    </row>
    <row r="28" spans="1:18" x14ac:dyDescent="0.35">
      <c r="B28" s="66">
        <f ca="1">IFERROR(INDIRECT(CONCATENATE("Track1!B",A25+4)),"")</f>
        <v>3</v>
      </c>
      <c r="C28" s="66">
        <f ca="1">IFERROR(INDIRECT(CONCATENATE("Track1!C",A25+4)),"")</f>
        <v>3</v>
      </c>
      <c r="D28" s="89" t="str">
        <f ca="1">IFERROR(INDIRECT(CONCATENATE("Track1!D",A25+4)),"")</f>
        <v>HOW Louis</v>
      </c>
      <c r="E28" s="89" t="str">
        <f ca="1">IFERROR(INDIRECT(CONCATENATE("Track1!E",A25+4)),"")</f>
        <v>York</v>
      </c>
      <c r="F28" s="299">
        <f ca="1">IFERROR(INDIRECT(CONCATENATE("Track1!F",A25+4)),"")</f>
        <v>25.7</v>
      </c>
      <c r="G28" s="121" t="str">
        <f ca="1">IFERROR(INDIRECT(CONCATENATE("Track1!G",A25+4)),"")</f>
        <v/>
      </c>
      <c r="H28" s="66"/>
      <c r="I28" s="66">
        <f ca="1">IFERROR(INDIRECT(CONCATENATE("Track1!I",A25+4)),"")</f>
        <v>3</v>
      </c>
      <c r="J28" s="66">
        <f ca="1">IFERROR(INDIRECT(CONCATENATE("Track1!J",A25+4)),"")</f>
        <v>44</v>
      </c>
      <c r="K28" s="89" t="str">
        <f ca="1">IFERROR(INDIRECT(CONCATENATE("Track1!K",A25+4)),"")</f>
        <v>CHINNERY Norton</v>
      </c>
      <c r="L28" s="89" t="str">
        <f ca="1">IFERROR(INDIRECT(CONCATENATE("Track1!L",A25+4)),"")</f>
        <v>M'bro</v>
      </c>
      <c r="M28" s="299">
        <f ca="1">IFERROR(INDIRECT(CONCATENATE("Track1!M",A25+4)),"")</f>
        <v>26.2</v>
      </c>
      <c r="N28" s="121" t="str">
        <f ca="1">IFERROR(INDIRECT(CONCATENATE("Track1!N",A25+4)),"")</f>
        <v/>
      </c>
    </row>
    <row r="29" spans="1:18" x14ac:dyDescent="0.35">
      <c r="B29" s="66">
        <f ca="1">IFERROR(INDIRECT(CONCATENATE("Track1!B",A25+5)),"")</f>
        <v>4</v>
      </c>
      <c r="C29" s="66">
        <f ca="1">IFERROR(INDIRECT(CONCATENATE("Track1!C",A25+5)),"")</f>
        <v>2</v>
      </c>
      <c r="D29" s="89" t="str">
        <f ca="1">IFERROR(INDIRECT(CONCATENATE("Track1!D",A25+5)),"")</f>
        <v>OR KAM FAT Matteo</v>
      </c>
      <c r="E29" s="89" t="str">
        <f ca="1">IFERROR(INDIRECT(CONCATENATE("Track1!E",A25+5)),"")</f>
        <v>Sheff+D</v>
      </c>
      <c r="F29" s="299">
        <f ca="1">IFERROR(INDIRECT(CONCATENATE("Track1!F",A25+5)),"")</f>
        <v>26.2</v>
      </c>
      <c r="G29" s="121" t="str">
        <f ca="1">IFERROR(INDIRECT(CONCATENATE("Track1!G",A25+5)),"")</f>
        <v/>
      </c>
      <c r="H29" s="66"/>
      <c r="I29" s="66">
        <f ca="1">IFERROR(INDIRECT(CONCATENATE("Track1!I",A25+5)),"")</f>
        <v>4</v>
      </c>
      <c r="J29" s="66">
        <f ca="1">IFERROR(INDIRECT(CONCATENATE("Track1!J",A25+5)),"")</f>
        <v>11</v>
      </c>
      <c r="K29" s="89" t="str">
        <f ca="1">IFERROR(INDIRECT(CONCATENATE("Track1!K",A25+5)),"")</f>
        <v>SAS Reuben</v>
      </c>
      <c r="L29" s="89" t="str">
        <f ca="1">IFERROR(INDIRECT(CONCATENATE("Track1!L",A25+5)),"")</f>
        <v>C'field</v>
      </c>
      <c r="M29" s="299">
        <f ca="1">IFERROR(INDIRECT(CONCATENATE("Track1!M",A25+5)),"")</f>
        <v>29.6</v>
      </c>
      <c r="N29" s="121" t="str">
        <f ca="1">IFERROR(INDIRECT(CONCATENATE("Track1!N",A25+5)),"")</f>
        <v/>
      </c>
    </row>
    <row r="30" spans="1:18" x14ac:dyDescent="0.35">
      <c r="B30" s="66">
        <f ca="1">IFERROR(INDIRECT(CONCATENATE("Track1!B",A25+6)),"")</f>
        <v>5</v>
      </c>
      <c r="C30" s="66">
        <f ca="1">IFERROR(INDIRECT(CONCATENATE("Track1!C",A25+6)),"")</f>
        <v>0</v>
      </c>
      <c r="D30" s="89" t="str">
        <f ca="1">IFERROR(INDIRECT(CONCATENATE("Track1!D",A25+6)),"")</f>
        <v/>
      </c>
      <c r="E30" s="89" t="str">
        <f ca="1">IFERROR(INDIRECT(CONCATENATE("Track1!E",A25+6)),"")</f>
        <v/>
      </c>
      <c r="F30" s="299">
        <f ca="1">IFERROR(INDIRECT(CONCATENATE("Track1!F",A25+6)),"")</f>
        <v>0</v>
      </c>
      <c r="G30" s="121" t="str">
        <f ca="1">IFERROR(INDIRECT(CONCATENATE("Track1!G",A25+6)),"")</f>
        <v/>
      </c>
      <c r="H30" s="66"/>
      <c r="I30" s="66">
        <f ca="1">IFERROR(INDIRECT(CONCATENATE("Track1!I",A25+6)),"")</f>
        <v>5</v>
      </c>
      <c r="J30" s="66">
        <f ca="1">IFERROR(INDIRECT(CONCATENATE("Track1!J",A25+6)),"")</f>
        <v>0</v>
      </c>
      <c r="K30" s="89" t="str">
        <f ca="1">IFERROR(INDIRECT(CONCATENATE("Track1!K",A25+6)),"")</f>
        <v/>
      </c>
      <c r="L30" s="89" t="str">
        <f ca="1">IFERROR(INDIRECT(CONCATENATE("Track1!L",A25+6)),"")</f>
        <v/>
      </c>
      <c r="M30" s="299">
        <f ca="1">IFERROR(INDIRECT(CONCATENATE("Track1!M",A25+6)),"")</f>
        <v>0</v>
      </c>
      <c r="N30" s="121" t="str">
        <f ca="1">IFERROR(INDIRECT(CONCATENATE("Track1!N",A25+6)),"")</f>
        <v/>
      </c>
    </row>
    <row r="31" spans="1:18" x14ac:dyDescent="0.35">
      <c r="B31" s="66">
        <f ca="1">IFERROR(INDIRECT(CONCATENATE("Track1!B",A25+7)),"")</f>
        <v>6</v>
      </c>
      <c r="C31" s="66">
        <f ca="1">IFERROR(INDIRECT(CONCATENATE("Track1!C",A25+7)),"")</f>
        <v>0</v>
      </c>
      <c r="D31" s="89" t="str">
        <f ca="1">IFERROR(INDIRECT(CONCATENATE("Track1!D",A25+7)),"")</f>
        <v/>
      </c>
      <c r="E31" s="89" t="str">
        <f ca="1">IFERROR(INDIRECT(CONCATENATE("Track1!E",A25+7)),"")</f>
        <v/>
      </c>
      <c r="F31" s="299">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299">
        <f ca="1">IFERROR(INDIRECT(CONCATENATE("Track1!M",A25+7)),"")</f>
        <v>0</v>
      </c>
      <c r="N31" s="121" t="str">
        <f ca="1">IFERROR(INDIRECT(CONCATENATE("Track1!N",A25+7)),"")</f>
        <v/>
      </c>
    </row>
    <row r="32" spans="1:18" x14ac:dyDescent="0.35">
      <c r="B32" s="66">
        <f ca="1">IFERROR(INDIRECT(CONCATENATE("Track1!B",A25+8)),"")</f>
        <v>7</v>
      </c>
      <c r="C32" s="66">
        <f ca="1">IFERROR(INDIRECT(CONCATENATE("Track1!C",A25+8)),"")</f>
        <v>0</v>
      </c>
      <c r="D32" s="89" t="str">
        <f ca="1">IFERROR(INDIRECT(CONCATENATE("Track1!D",A25+8)),"")</f>
        <v/>
      </c>
      <c r="E32" s="89" t="str">
        <f ca="1">IFERROR(INDIRECT(CONCATENATE("Track1!E",A25+8)),"")</f>
        <v/>
      </c>
      <c r="F32" s="299">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299">
        <f ca="1">IFERROR(INDIRECT(CONCATENATE("Track1!M",A25+8)),"")</f>
        <v>0</v>
      </c>
      <c r="N32" s="121" t="str">
        <f ca="1">IFERROR(INDIRECT(CONCATENATE("Track1!N",A25+8)),"")</f>
        <v/>
      </c>
    </row>
    <row r="33" spans="1:18" x14ac:dyDescent="0.35">
      <c r="B33" s="66">
        <f ca="1">IFERROR(INDIRECT(CONCATENATE("Track1!B",A25+9)),"")</f>
        <v>8</v>
      </c>
      <c r="C33" s="66">
        <f ca="1">IFERROR(INDIRECT(CONCATENATE("Track1!C",A25+9)),"")</f>
        <v>0</v>
      </c>
      <c r="D33" s="89" t="str">
        <f ca="1">IFERROR(INDIRECT(CONCATENATE("Track1!D",A25+9)),"")</f>
        <v/>
      </c>
      <c r="E33" s="89" t="str">
        <f ca="1">IFERROR(INDIRECT(CONCATENATE("Track1!E",A25+9)),"")</f>
        <v/>
      </c>
      <c r="F33" s="299">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299">
        <f ca="1">IFERROR(INDIRECT(CONCATENATE("Track1!M",A25+9)),"")</f>
        <v>0</v>
      </c>
      <c r="N33" s="121" t="str">
        <f ca="1">IFERROR(INDIRECT(CONCATENATE("Track1!N",A25+9)),"")</f>
        <v/>
      </c>
    </row>
    <row r="35" spans="1:18" x14ac:dyDescent="0.35">
      <c r="A35" s="66" t="s">
        <v>514</v>
      </c>
      <c r="B35" s="115" t="str">
        <f ca="1">IFERROR(INDIRECT(CONCATENATE("Track1!B",A36)),"")</f>
        <v>300m U15 Boys A</v>
      </c>
      <c r="F35" s="299">
        <f ca="1">IFERROR(INDIRECT(CONCATENATE("Track1!f",A36)),"")</f>
        <v>0</v>
      </c>
      <c r="G35" s="121" t="str">
        <f ca="1">IFERROR(INDIRECT(CONCATENATE("Track1!g",A36)),"")</f>
        <v/>
      </c>
      <c r="I35" s="115" t="str">
        <f ca="1">IFERROR(INDIRECT(CONCATENATE("Track1!I",A36)),"")</f>
        <v>300m U15 Boys B</v>
      </c>
    </row>
    <row r="36" spans="1:18" x14ac:dyDescent="0.35">
      <c r="A36" s="66">
        <f>IFERROR(MATCH(A35,Track1!A:A,0),"")</f>
        <v>189</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301"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301" t="str">
        <f ca="1">IFERROR(INDIRECT(CONCATENATE("Track1!M",A36+1)),"")</f>
        <v>Perf</v>
      </c>
      <c r="N36" s="218" t="str">
        <f ca="1">IFERROR(INDIRECT(CONCATENATE("Track1!N",A36+1)),"")</f>
        <v>AAA</v>
      </c>
    </row>
    <row r="37" spans="1:18" x14ac:dyDescent="0.35">
      <c r="B37" s="66">
        <f ca="1">IFERROR(INDIRECT(CONCATENATE("Track1!B",A36+2)),"")</f>
        <v>1</v>
      </c>
      <c r="C37" s="66">
        <f ca="1">IFERROR(INDIRECT(CONCATENATE("Track1!C",A36+2)),"")</f>
        <v>1</v>
      </c>
      <c r="D37" s="89" t="str">
        <f ca="1">IFERROR(INDIRECT(CONCATENATE("Track1!D",A36+2)),"")</f>
        <v>MARRIOTT Thomas</v>
      </c>
      <c r="E37" s="89" t="str">
        <f ca="1">IFERROR(INDIRECT(CONCATENATE("Track1!E",A36+2)),"")</f>
        <v>C'field</v>
      </c>
      <c r="F37" s="299">
        <f ca="1">IFERROR(INDIRECT(CONCATENATE("Track1!F",A36+2)),"")</f>
        <v>42.8</v>
      </c>
      <c r="G37" s="121" t="str">
        <f ca="1">IFERROR(INDIRECT(CONCATENATE("Track1!G",A36+2)),"")</f>
        <v/>
      </c>
      <c r="H37" s="66"/>
      <c r="I37" s="66">
        <f ca="1">IFERROR(INDIRECT(CONCATENATE("Track1!I",A36+2)),"")</f>
        <v>1</v>
      </c>
      <c r="J37" s="66">
        <f ca="1">IFERROR(INDIRECT(CONCATENATE("Track1!J",A36+2)),"")</f>
        <v>44</v>
      </c>
      <c r="K37" s="89" t="str">
        <f ca="1">IFERROR(INDIRECT(CONCATENATE("Track1!K",A36+2)),"")</f>
        <v>KAYE Charlie</v>
      </c>
      <c r="L37" s="89" t="str">
        <f ca="1">IFERROR(INDIRECT(CONCATENATE("Track1!L",A36+2)),"")</f>
        <v>M'bro</v>
      </c>
      <c r="M37" s="299">
        <f ca="1">IFERROR(INDIRECT(CONCATENATE("Track1!M",A36+2)),"")</f>
        <v>47.8</v>
      </c>
      <c r="N37" s="121" t="str">
        <f ca="1">IFERROR(INDIRECT(CONCATENATE("Track1!N",A36+2)),"")</f>
        <v/>
      </c>
      <c r="R37" s="219">
        <f ca="1">IFERROR(INDIRECT(CONCATENATE("Track1!r",A36+2)),"")</f>
        <v>1</v>
      </c>
    </row>
    <row r="38" spans="1:18" x14ac:dyDescent="0.35">
      <c r="B38" s="66">
        <f ca="1">IFERROR(INDIRECT(CONCATENATE("Track1!B",A36+3)),"")</f>
        <v>2</v>
      </c>
      <c r="C38" s="66">
        <f ca="1">IFERROR(INDIRECT(CONCATENATE("Track1!C",A36+3)),"")</f>
        <v>2</v>
      </c>
      <c r="D38" s="89" t="str">
        <f ca="1">IFERROR(INDIRECT(CONCATENATE("Track1!D",A36+3)),"")</f>
        <v>KRIEL PARR George</v>
      </c>
      <c r="E38" s="89" t="str">
        <f ca="1">IFERROR(INDIRECT(CONCATENATE("Track1!E",A36+3)),"")</f>
        <v>Sheff+D</v>
      </c>
      <c r="F38" s="299">
        <f ca="1">IFERROR(INDIRECT(CONCATENATE("Track1!F",A36+3)),"")</f>
        <v>44.4</v>
      </c>
      <c r="G38" s="121" t="str">
        <f ca="1">IFERROR(INDIRECT(CONCATENATE("Track1!G",A36+3)),"")</f>
        <v/>
      </c>
      <c r="H38" s="66"/>
      <c r="I38" s="66">
        <f ca="1">IFERROR(INDIRECT(CONCATENATE("Track1!I",A36+3)),"")</f>
        <v>2</v>
      </c>
      <c r="J38" s="66">
        <f ca="1">IFERROR(INDIRECT(CONCATENATE("Track1!J",A36+3)),"")</f>
        <v>11</v>
      </c>
      <c r="K38" s="89" t="str">
        <f ca="1">IFERROR(INDIRECT(CONCATENATE("Track1!K",A36+3)),"")</f>
        <v>BAKER Joseph</v>
      </c>
      <c r="L38" s="89" t="str">
        <f ca="1">IFERROR(INDIRECT(CONCATENATE("Track1!L",A36+3)),"")</f>
        <v>C'field</v>
      </c>
      <c r="M38" s="299">
        <f ca="1">IFERROR(INDIRECT(CONCATENATE("Track1!M",A36+3)),"")</f>
        <v>48.9</v>
      </c>
      <c r="N38" s="121" t="str">
        <f ca="1">IFERROR(INDIRECT(CONCATENATE("Track1!N",A36+3)),"")</f>
        <v/>
      </c>
    </row>
    <row r="39" spans="1:18" x14ac:dyDescent="0.35">
      <c r="B39" s="66">
        <f ca="1">IFERROR(INDIRECT(CONCATENATE("Track1!B",A36+4)),"")</f>
        <v>3</v>
      </c>
      <c r="C39" s="66">
        <f ca="1">IFERROR(INDIRECT(CONCATENATE("Track1!C",A36+4)),"")</f>
        <v>3</v>
      </c>
      <c r="D39" s="89" t="str">
        <f ca="1">IFERROR(INDIRECT(CONCATENATE("Track1!D",A36+4)),"")</f>
        <v>BRATLEY Jack</v>
      </c>
      <c r="E39" s="89" t="str">
        <f ca="1">IFERROR(INDIRECT(CONCATENATE("Track1!E",A36+4)),"")</f>
        <v>York</v>
      </c>
      <c r="F39" s="299">
        <f ca="1">IFERROR(INDIRECT(CONCATENATE("Track1!F",A36+4)),"")</f>
        <v>44.4</v>
      </c>
      <c r="G39" s="121" t="str">
        <f ca="1">IFERROR(INDIRECT(CONCATENATE("Track1!G",A36+4)),"")</f>
        <v/>
      </c>
      <c r="H39" s="66"/>
      <c r="I39" s="66">
        <f ca="1">IFERROR(INDIRECT(CONCATENATE("Track1!I",A36+4)),"")</f>
        <v>3</v>
      </c>
      <c r="J39" s="66">
        <f ca="1">IFERROR(INDIRECT(CONCATENATE("Track1!J",A36+4)),"")</f>
        <v>33</v>
      </c>
      <c r="K39" s="89" t="str">
        <f ca="1">IFERROR(INDIRECT(CONCATENATE("Track1!K",A36+4)),"")</f>
        <v>BROOKS Rory</v>
      </c>
      <c r="L39" s="89" t="str">
        <f ca="1">IFERROR(INDIRECT(CONCATENATE("Track1!L",A36+4)),"")</f>
        <v>York</v>
      </c>
      <c r="M39" s="299">
        <f ca="1">IFERROR(INDIRECT(CONCATENATE("Track1!M",A36+4)),"")</f>
        <v>51.2</v>
      </c>
      <c r="N39" s="121" t="str">
        <f ca="1">IFERROR(INDIRECT(CONCATENATE("Track1!N",A36+4)),"")</f>
        <v/>
      </c>
    </row>
    <row r="40" spans="1:18" x14ac:dyDescent="0.35">
      <c r="B40" s="66">
        <f ca="1">IFERROR(INDIRECT(CONCATENATE("Track1!B",A36+5)),"")</f>
        <v>4</v>
      </c>
      <c r="C40" s="66">
        <f ca="1">IFERROR(INDIRECT(CONCATENATE("Track1!C",A36+5)),"")</f>
        <v>4</v>
      </c>
      <c r="D40" s="89" t="str">
        <f ca="1">IFERROR(INDIRECT(CONCATENATE("Track1!D",A36+5)),"")</f>
        <v>FRENCH William</v>
      </c>
      <c r="E40" s="89" t="str">
        <f ca="1">IFERROR(INDIRECT(CONCATENATE("Track1!E",A36+5)),"")</f>
        <v>M'bro</v>
      </c>
      <c r="F40" s="299">
        <f ca="1">IFERROR(INDIRECT(CONCATENATE("Track1!F",A36+5)),"")</f>
        <v>44.8</v>
      </c>
      <c r="G40" s="121" t="str">
        <f ca="1">IFERROR(INDIRECT(CONCATENATE("Track1!G",A36+5)),"")</f>
        <v/>
      </c>
      <c r="H40" s="66"/>
      <c r="I40" s="66">
        <f ca="1">IFERROR(INDIRECT(CONCATENATE("Track1!I",A36+5)),"")</f>
        <v>4</v>
      </c>
      <c r="J40" s="66">
        <f ca="1">IFERROR(INDIRECT(CONCATENATE("Track1!J",A36+5)),"")</f>
        <v>0</v>
      </c>
      <c r="K40" s="89" t="str">
        <f ca="1">IFERROR(INDIRECT(CONCATENATE("Track1!K",A36+5)),"")</f>
        <v/>
      </c>
      <c r="L40" s="89" t="str">
        <f ca="1">IFERROR(INDIRECT(CONCATENATE("Track1!L",A36+5)),"")</f>
        <v/>
      </c>
      <c r="M40" s="299">
        <f ca="1">IFERROR(INDIRECT(CONCATENATE("Track1!M",A36+5)),"")</f>
        <v>0</v>
      </c>
      <c r="N40" s="121" t="str">
        <f ca="1">IFERROR(INDIRECT(CONCATENATE("Track1!N",A36+5)),"")</f>
        <v/>
      </c>
    </row>
    <row r="41" spans="1:18" x14ac:dyDescent="0.35">
      <c r="B41" s="66">
        <f ca="1">IFERROR(INDIRECT(CONCATENATE("Track1!B",A36+6)),"")</f>
        <v>5</v>
      </c>
      <c r="C41" s="66">
        <f ca="1">IFERROR(INDIRECT(CONCATENATE("Track1!C",A36+6)),"")</f>
        <v>5</v>
      </c>
      <c r="D41" s="89" t="str">
        <f ca="1">IFERROR(INDIRECT(CONCATENATE("Track1!D",A36+6)),"")</f>
        <v>OADES Matthew</v>
      </c>
      <c r="E41" s="89" t="str">
        <f ca="1">IFERROR(INDIRECT(CONCATENATE("Track1!E",A36+6)),"")</f>
        <v>Scun</v>
      </c>
      <c r="F41" s="299">
        <f ca="1">IFERROR(INDIRECT(CONCATENATE("Track1!F",A36+6)),"")</f>
        <v>50.8</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299">
        <f ca="1">IFERROR(INDIRECT(CONCATENATE("Track1!M",A36+6)),"")</f>
        <v>0</v>
      </c>
      <c r="N41" s="121" t="str">
        <f ca="1">IFERROR(INDIRECT(CONCATENATE("Track1!N",A36+6)),"")</f>
        <v/>
      </c>
    </row>
    <row r="42" spans="1:18" x14ac:dyDescent="0.35">
      <c r="B42" s="66">
        <f ca="1">IFERROR(INDIRECT(CONCATENATE("Track1!B",A36+7)),"")</f>
        <v>6</v>
      </c>
      <c r="C42" s="66">
        <f ca="1">IFERROR(INDIRECT(CONCATENATE("Track1!C",A36+7)),"")</f>
        <v>0</v>
      </c>
      <c r="D42" s="89" t="str">
        <f ca="1">IFERROR(INDIRECT(CONCATENATE("Track1!D",A36+7)),"")</f>
        <v/>
      </c>
      <c r="E42" s="89" t="str">
        <f ca="1">IFERROR(INDIRECT(CONCATENATE("Track1!E",A36+7)),"")</f>
        <v/>
      </c>
      <c r="F42" s="299">
        <f ca="1">IFERROR(INDIRECT(CONCATENATE("Track1!F",A36+7)),"")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299">
        <f ca="1">IFERROR(INDIRECT(CONCATENATE("Track1!M",A36+7)),"")</f>
        <v>0</v>
      </c>
      <c r="N42" s="121" t="str">
        <f ca="1">IFERROR(INDIRECT(CONCATENATE("Track1!N",A36+7)),"")</f>
        <v/>
      </c>
    </row>
    <row r="43" spans="1:18" x14ac:dyDescent="0.35">
      <c r="B43" s="66">
        <f ca="1">IFERROR(INDIRECT(CONCATENATE("Track1!B",A36+8)),"")</f>
        <v>7</v>
      </c>
      <c r="C43" s="66">
        <f ca="1">IFERROR(INDIRECT(CONCATENATE("Track1!C",A36+8)),"")</f>
        <v>0</v>
      </c>
      <c r="D43" s="89" t="str">
        <f ca="1">IFERROR(INDIRECT(CONCATENATE("Track1!D",A36+8)),"")</f>
        <v/>
      </c>
      <c r="E43" s="89" t="str">
        <f ca="1">IFERROR(INDIRECT(CONCATENATE("Track1!E",A36+8)),"")</f>
        <v/>
      </c>
      <c r="F43" s="299">
        <f ca="1">IFERROR(INDIRECT(CONCATENATE("Track1!F",A36+8)),"")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299">
        <f ca="1">IFERROR(INDIRECT(CONCATENATE("Track1!M",A36+8)),"")</f>
        <v>0</v>
      </c>
      <c r="N43" s="121" t="str">
        <f ca="1">IFERROR(INDIRECT(CONCATENATE("Track1!N",A36+8)),"")</f>
        <v/>
      </c>
    </row>
    <row r="44" spans="1:18" x14ac:dyDescent="0.35">
      <c r="B44" s="66">
        <f ca="1">IFERROR(INDIRECT(CONCATENATE("Track1!B",A36+9)),"")</f>
        <v>8</v>
      </c>
      <c r="C44" s="66">
        <f ca="1">IFERROR(INDIRECT(CONCATENATE("Track1!C",A36+9)),"")</f>
        <v>0</v>
      </c>
      <c r="D44" s="89" t="str">
        <f ca="1">IFERROR(INDIRECT(CONCATENATE("Track1!D",A36+9)),"")</f>
        <v/>
      </c>
      <c r="E44" s="89" t="str">
        <f ca="1">IFERROR(INDIRECT(CONCATENATE("Track1!E",A36+9)),"")</f>
        <v/>
      </c>
      <c r="F44" s="299">
        <f ca="1">IFERROR(INDIRECT(CONCATENATE("Track1!F",A36+9)),"")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299">
        <f ca="1">IFERROR(INDIRECT(CONCATENATE("Track1!M",A36+9)),"")</f>
        <v>0</v>
      </c>
      <c r="N44" s="121" t="str">
        <f ca="1">IFERROR(INDIRECT(CONCATENATE("Track1!N",A36+9)),"")</f>
        <v/>
      </c>
    </row>
    <row r="46" spans="1:18" x14ac:dyDescent="0.35">
      <c r="A46" s="66" t="s">
        <v>509</v>
      </c>
      <c r="B46" s="115" t="str">
        <f ca="1">IFERROR(INDIRECT(CONCATENATE("Track1!B",A47)),"")</f>
        <v>800m U15 Boys A</v>
      </c>
      <c r="F46" s="299">
        <f ca="1">IFERROR(INDIRECT(CONCATENATE("Track1!f",A47)),"")</f>
        <v>0</v>
      </c>
      <c r="G46" s="121" t="str">
        <f ca="1">IFERROR(INDIRECT(CONCATENATE("Track1!g",A47)),"")</f>
        <v/>
      </c>
      <c r="I46" s="115" t="str">
        <f ca="1">IFERROR(INDIRECT(CONCATENATE("Track1!I",A47)),"")</f>
        <v>800m U15 Boys B</v>
      </c>
    </row>
    <row r="47" spans="1:18" x14ac:dyDescent="0.35">
      <c r="A47" s="66">
        <f>IFERROR(MATCH(A46,Track1!A:A,0),"")</f>
        <v>233</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301"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301" t="str">
        <f ca="1">IFERROR(INDIRECT(CONCATENATE("Track1!M",A47+1)),"")</f>
        <v>Perf</v>
      </c>
      <c r="N47" s="218" t="str">
        <f ca="1">IFERROR(INDIRECT(CONCATENATE("Track1!N",A47+1)),"")</f>
        <v>AAA</v>
      </c>
    </row>
    <row r="48" spans="1:18" x14ac:dyDescent="0.35">
      <c r="B48" s="66">
        <f ca="1">IFERROR(INDIRECT(CONCATENATE("Track1!B",A47+2)),"")</f>
        <v>1</v>
      </c>
      <c r="C48" s="66">
        <f ca="1">IFERROR(INDIRECT(CONCATENATE("Track1!C",A47+2)),"")</f>
        <v>2</v>
      </c>
      <c r="D48" s="89" t="str">
        <f ca="1">IFERROR(INDIRECT(CONCATENATE("Track1!D",A47+2)),"")</f>
        <v>SCOTT Leni</v>
      </c>
      <c r="E48" s="89" t="str">
        <f ca="1">IFERROR(INDIRECT(CONCATENATE("Track1!E",A47+2)),"")</f>
        <v>Sheff+D</v>
      </c>
      <c r="F48" s="302">
        <f ca="1">IFERROR(INDIRECT(CONCATENATE("Track1!T",A47+2)),"")</f>
        <v>1.6342592592592596E-3</v>
      </c>
      <c r="G48" s="121" t="str">
        <f ca="1">IFERROR(INDIRECT(CONCATENATE("Track1!G",A47+2)),"")</f>
        <v/>
      </c>
      <c r="H48" s="66"/>
      <c r="I48" s="66">
        <f ca="1">IFERROR(INDIRECT(CONCATENATE("Track1!I",A47+2)),"")</f>
        <v>1</v>
      </c>
      <c r="J48" s="66">
        <f ca="1">IFERROR(INDIRECT(CONCATENATE("Track1!J",A47+2)),"")</f>
        <v>3</v>
      </c>
      <c r="K48" s="89" t="str">
        <f ca="1">IFERROR(INDIRECT(CONCATENATE("Track1!K",A47+2)),"")</f>
        <v>HOW Louis</v>
      </c>
      <c r="L48" s="89" t="str">
        <f ca="1">IFERROR(INDIRECT(CONCATENATE("Track1!L",A47+2)),"")</f>
        <v>York</v>
      </c>
      <c r="M48" s="302">
        <f ca="1">IFERROR(INDIRECT(CONCATENATE("Track1!U",A47+2)),"")</f>
        <v>1.652777777777778E-3</v>
      </c>
      <c r="N48" s="121" t="str">
        <f ca="1">IFERROR(INDIRECT(CONCATENATE("Track1!N",A47+2)),"")</f>
        <v/>
      </c>
      <c r="R48" s="219">
        <f ca="1">IFERROR(INDIRECT(CONCATENATE("Track1!r",A47+2)),"")</f>
        <v>1</v>
      </c>
    </row>
    <row r="49" spans="1:18" x14ac:dyDescent="0.35">
      <c r="B49" s="66">
        <f ca="1">IFERROR(INDIRECT(CONCATENATE("Track1!B",A47+3)),"")</f>
        <v>2</v>
      </c>
      <c r="C49" s="66">
        <f ca="1">IFERROR(INDIRECT(CONCATENATE("Track1!C",A47+3)),"")</f>
        <v>33</v>
      </c>
      <c r="D49" s="89" t="str">
        <f ca="1">IFERROR(INDIRECT(CONCATENATE("Track1!D",A47+3)),"")</f>
        <v>HANLEY Edward</v>
      </c>
      <c r="E49" s="89" t="str">
        <f ca="1">IFERROR(INDIRECT(CONCATENATE("Track1!E",A47+3)),"")</f>
        <v>York</v>
      </c>
      <c r="F49" s="302">
        <f ca="1">IFERROR(INDIRECT(CONCATENATE("Track1!T",A47+3)),"")</f>
        <v>1.6493055555555556E-3</v>
      </c>
      <c r="G49" s="121" t="str">
        <f ca="1">IFERROR(INDIRECT(CONCATENATE("Track1!G",A47+3)),"")</f>
        <v/>
      </c>
      <c r="H49" s="66"/>
      <c r="I49" s="66">
        <f ca="1">IFERROR(INDIRECT(CONCATENATE("Track1!I",A47+3)),"")</f>
        <v>2</v>
      </c>
      <c r="J49" s="66">
        <f ca="1">IFERROR(INDIRECT(CONCATENATE("Track1!J",A47+3)),"")</f>
        <v>22</v>
      </c>
      <c r="K49" s="89" t="str">
        <f ca="1">IFERROR(INDIRECT(CONCATENATE("Track1!K",A47+3)),"")</f>
        <v>KRIEL PARR George</v>
      </c>
      <c r="L49" s="89" t="str">
        <f ca="1">IFERROR(INDIRECT(CONCATENATE("Track1!L",A47+3)),"")</f>
        <v>Sheff+D</v>
      </c>
      <c r="M49" s="302">
        <f ca="1">IFERROR(INDIRECT(CONCATENATE("Track1!U",A47+3)),"")</f>
        <v>1.6574074074074076E-3</v>
      </c>
      <c r="N49" s="121" t="str">
        <f ca="1">IFERROR(INDIRECT(CONCATENATE("Track1!N",A47+3)),"")</f>
        <v/>
      </c>
    </row>
    <row r="50" spans="1:18" x14ac:dyDescent="0.35">
      <c r="B50" s="66">
        <f ca="1">IFERROR(INDIRECT(CONCATENATE("Track1!B",A47+4)),"")</f>
        <v>3</v>
      </c>
      <c r="C50" s="66">
        <f ca="1">IFERROR(INDIRECT(CONCATENATE("Track1!C",A47+4)),"")</f>
        <v>1</v>
      </c>
      <c r="D50" s="89" t="str">
        <f ca="1">IFERROR(INDIRECT(CONCATENATE("Track1!D",A47+4)),"")</f>
        <v>MARRIOTT Thomas</v>
      </c>
      <c r="E50" s="89" t="str">
        <f ca="1">IFERROR(INDIRECT(CONCATENATE("Track1!E",A47+4)),"")</f>
        <v>C'field</v>
      </c>
      <c r="F50" s="302">
        <f ca="1">IFERROR(INDIRECT(CONCATENATE("Track1!T",A47+4)),"")</f>
        <v>1.7916666666666665E-3</v>
      </c>
      <c r="G50" s="121" t="str">
        <f ca="1">IFERROR(INDIRECT(CONCATENATE("Track1!G",A47+4)),"")</f>
        <v/>
      </c>
      <c r="H50" s="66"/>
      <c r="I50" s="66">
        <f ca="1">IFERROR(INDIRECT(CONCATENATE("Track1!I",A47+4)),"")</f>
        <v>3</v>
      </c>
      <c r="J50" s="66">
        <f ca="1">IFERROR(INDIRECT(CONCATENATE("Track1!J",A47+4)),"")</f>
        <v>11</v>
      </c>
      <c r="K50" s="89" t="str">
        <f ca="1">IFERROR(INDIRECT(CONCATENATE("Track1!K",A47+4)),"")</f>
        <v>MAZUREK Gracjan</v>
      </c>
      <c r="L50" s="89" t="str">
        <f ca="1">IFERROR(INDIRECT(CONCATENATE("Track1!L",A47+4)),"")</f>
        <v>C'field</v>
      </c>
      <c r="M50" s="302">
        <f ca="1">IFERROR(INDIRECT(CONCATENATE("Track1!U",A47+4)),"")</f>
        <v>1.9039351851851852E-3</v>
      </c>
      <c r="N50" s="121" t="str">
        <f ca="1">IFERROR(INDIRECT(CONCATENATE("Track1!N",A47+4)),"")</f>
        <v/>
      </c>
    </row>
    <row r="51" spans="1:18" x14ac:dyDescent="0.35">
      <c r="B51" s="66">
        <f ca="1">IFERROR(INDIRECT(CONCATENATE("Track1!B",A47+5)),"")</f>
        <v>4</v>
      </c>
      <c r="C51" s="66">
        <f ca="1">IFERROR(INDIRECT(CONCATENATE("Track1!C",A47+5)),"")</f>
        <v>5</v>
      </c>
      <c r="D51" s="89" t="str">
        <f ca="1">IFERROR(INDIRECT(CONCATENATE("Track1!D",A47+5)),"")</f>
        <v>OADES Matthew</v>
      </c>
      <c r="E51" s="89" t="str">
        <f ca="1">IFERROR(INDIRECT(CONCATENATE("Track1!E",A47+5)),"")</f>
        <v>Scun</v>
      </c>
      <c r="F51" s="302">
        <f ca="1">IFERROR(INDIRECT(CONCATENATE("Track1!T",A47+5)),"")</f>
        <v>1.9016203703703706E-3</v>
      </c>
      <c r="G51" s="121" t="str">
        <f ca="1">IFERROR(INDIRECT(CONCATENATE("Track1!G",A47+5)),"")</f>
        <v/>
      </c>
      <c r="H51" s="66"/>
      <c r="I51" s="66">
        <f ca="1">IFERROR(INDIRECT(CONCATENATE("Track1!I",A47+5)),"")</f>
        <v>4</v>
      </c>
      <c r="J51" s="66">
        <f ca="1">IFERROR(INDIRECT(CONCATENATE("Track1!J",A47+5)),"")</f>
        <v>0</v>
      </c>
      <c r="K51" s="89" t="str">
        <f ca="1">IFERROR(INDIRECT(CONCATENATE("Track1!K",A47+5)),"")</f>
        <v/>
      </c>
      <c r="L51" s="89" t="str">
        <f ca="1">IFERROR(INDIRECT(CONCATENATE("Track1!L",A47+5)),"")</f>
        <v/>
      </c>
      <c r="M51" s="302">
        <f ca="1">IFERROR(INDIRECT(CONCATENATE("Track1!U",A47+5)),"")</f>
        <v>0</v>
      </c>
      <c r="N51" s="121" t="str">
        <f ca="1">IFERROR(INDIRECT(CONCATENATE("Track1!N",A47+5)),"")</f>
        <v/>
      </c>
    </row>
    <row r="52" spans="1:18" x14ac:dyDescent="0.35">
      <c r="B52" s="66">
        <f ca="1">IFERROR(INDIRECT(CONCATENATE("Track1!B",A47+6)),"")</f>
        <v>5</v>
      </c>
      <c r="C52" s="66">
        <f ca="1">IFERROR(INDIRECT(CONCATENATE("Track1!C",A47+6)),"")</f>
        <v>4</v>
      </c>
      <c r="D52" s="89" t="str">
        <f ca="1">IFERROR(INDIRECT(CONCATENATE("Track1!D",A47+6)),"")</f>
        <v>BELL Callum</v>
      </c>
      <c r="E52" s="89" t="str">
        <f ca="1">IFERROR(INDIRECT(CONCATENATE("Track1!E",A47+6)),"")</f>
        <v>M'bro</v>
      </c>
      <c r="F52" s="302">
        <f ca="1">IFERROR(INDIRECT(CONCATENATE("Track1!T",A47+6)),"")</f>
        <v>2.0648148148148149E-3</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302">
        <f ca="1">IFERROR(INDIRECT(CONCATENATE("Track1!U",A47+6)),"")</f>
        <v>0</v>
      </c>
      <c r="N52" s="121" t="str">
        <f ca="1">IFERROR(INDIRECT(CONCATENATE("Track1!N",A47+6)),"")</f>
        <v/>
      </c>
    </row>
    <row r="53" spans="1:18" x14ac:dyDescent="0.35">
      <c r="B53" s="66">
        <f ca="1">IFERROR(INDIRECT(CONCATENATE("Track1!B",A47+7)),"")</f>
        <v>6</v>
      </c>
      <c r="C53" s="66">
        <f ca="1">IFERROR(INDIRECT(CONCATENATE("Track1!C",A47+7)),"")</f>
        <v>0</v>
      </c>
      <c r="D53" s="89" t="str">
        <f ca="1">IFERROR(INDIRECT(CONCATENATE("Track1!D",A47+7)),"")</f>
        <v/>
      </c>
      <c r="E53" s="89" t="str">
        <f ca="1">IFERROR(INDIRECT(CONCATENATE("Track1!E",A47+7)),"")</f>
        <v/>
      </c>
      <c r="F53" s="302">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302">
        <f ca="1">IFERROR(INDIRECT(CONCATENATE("Track1!U",A47+7)),"")</f>
        <v>0</v>
      </c>
      <c r="N53" s="121" t="str">
        <f ca="1">IFERROR(INDIRECT(CONCATENATE("Track1!N",A47+7)),"")</f>
        <v/>
      </c>
    </row>
    <row r="54" spans="1:18" x14ac:dyDescent="0.35">
      <c r="B54" s="66">
        <f ca="1">IFERROR(INDIRECT(CONCATENATE("Track1!B",A47+8)),"")</f>
        <v>7</v>
      </c>
      <c r="C54" s="66">
        <f ca="1">IFERROR(INDIRECT(CONCATENATE("Track1!C",A47+8)),"")</f>
        <v>0</v>
      </c>
      <c r="D54" s="89" t="str">
        <f ca="1">IFERROR(INDIRECT(CONCATENATE("Track1!D",A47+8)),"")</f>
        <v/>
      </c>
      <c r="E54" s="89" t="str">
        <f ca="1">IFERROR(INDIRECT(CONCATENATE("Track1!E",A47+8)),"")</f>
        <v/>
      </c>
      <c r="F54" s="302">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302">
        <f ca="1">IFERROR(INDIRECT(CONCATENATE("Track1!U",A47+8)),"")</f>
        <v>0</v>
      </c>
      <c r="N54" s="121" t="str">
        <f ca="1">IFERROR(INDIRECT(CONCATENATE("Track1!N",A47+8)),"")</f>
        <v/>
      </c>
    </row>
    <row r="55" spans="1:18" x14ac:dyDescent="0.35">
      <c r="B55" s="66">
        <f ca="1">IFERROR(INDIRECT(CONCATENATE("Track1!B",A47+9)),"")</f>
        <v>8</v>
      </c>
      <c r="C55" s="66">
        <f ca="1">IFERROR(INDIRECT(CONCATENATE("Track1!C",A47+9)),"")</f>
        <v>0</v>
      </c>
      <c r="D55" s="89" t="str">
        <f ca="1">IFERROR(INDIRECT(CONCATENATE("Track1!D",A47+9)),"")</f>
        <v/>
      </c>
      <c r="E55" s="89" t="str">
        <f ca="1">IFERROR(INDIRECT(CONCATENATE("Track1!E",A47+9)),"")</f>
        <v/>
      </c>
      <c r="F55" s="302">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302">
        <f ca="1">IFERROR(INDIRECT(CONCATENATE("Track1!U",A47+9)),"")</f>
        <v>0</v>
      </c>
      <c r="N55" s="121" t="str">
        <f ca="1">IFERROR(INDIRECT(CONCATENATE("Track1!N",A47+9)),"")</f>
        <v/>
      </c>
    </row>
    <row r="57" spans="1:18" x14ac:dyDescent="0.35">
      <c r="A57" s="66" t="s">
        <v>513</v>
      </c>
      <c r="B57" s="115" t="str">
        <f ca="1">IFERROR(INDIRECT(CONCATENATE("Track1!B",A58)),"")</f>
        <v>800m NS U15 Boys A</v>
      </c>
      <c r="F57" s="299">
        <f ca="1">IFERROR(INDIRECT(CONCATENATE("Track1!f",A58)),"")</f>
        <v>0</v>
      </c>
      <c r="G57" s="121" t="str">
        <f ca="1">IFERROR(INDIRECT(CONCATENATE("Track1!g",A58)),"")</f>
        <v/>
      </c>
      <c r="I57" s="115" t="str">
        <f ca="1">IFERROR(INDIRECT(CONCATENATE("Track1!I",A58)),"")</f>
        <v>800m NS U15 Boys B</v>
      </c>
    </row>
    <row r="58" spans="1:18" x14ac:dyDescent="0.35">
      <c r="A58" s="66">
        <f>IFERROR(MATCH(A57,Track1!A:A,0),"")</f>
        <v>277</v>
      </c>
      <c r="B58" s="45" t="str">
        <f ca="1">IFERROR(INDIRECT(CONCATENATE("Track1!B",A58+1)),"")</f>
        <v>Posn</v>
      </c>
      <c r="C58" s="45" t="str">
        <f ca="1">IFERROR(INDIRECT(CONCATENATE("Track1!C",A58+1)),"")</f>
        <v>No.</v>
      </c>
      <c r="D58" s="182" t="str">
        <f ca="1">IFERROR(INDIRECT(CONCATENATE("Track1!D",A58+1)),"")</f>
        <v>Athlete</v>
      </c>
      <c r="E58" s="182" t="str">
        <f ca="1">IFERROR(INDIRECT(CONCATENATE("Track1!E",A58+1)),"")</f>
        <v>Club</v>
      </c>
      <c r="F58" s="301" t="str">
        <f ca="1">IFERROR(INDIRECT(CONCATENATE("Track1!F",A58+1)),"")</f>
        <v>Perf</v>
      </c>
      <c r="G58" s="218" t="str">
        <f ca="1">IFERROR(INDIRECT(CONCATENATE("Track1!G",A58+1)),"")</f>
        <v>AAA</v>
      </c>
      <c r="H58" s="45"/>
      <c r="I58" s="45" t="str">
        <f ca="1">IFERROR(INDIRECT(CONCATENATE("Track1!I",A58+1)),"")</f>
        <v>Posn</v>
      </c>
      <c r="J58" s="45" t="str">
        <f ca="1">IFERROR(INDIRECT(CONCATENATE("Track1!J",A58+1)),"")</f>
        <v>No.</v>
      </c>
      <c r="K58" s="182" t="str">
        <f ca="1">IFERROR(INDIRECT(CONCATENATE("Track1!K",A58+1)),"")</f>
        <v>Athlete</v>
      </c>
      <c r="L58" s="182" t="str">
        <f ca="1">IFERROR(INDIRECT(CONCATENATE("Track1!L",A58+1)),"")</f>
        <v>Club</v>
      </c>
      <c r="M58" s="301" t="str">
        <f ca="1">IFERROR(INDIRECT(CONCATENATE("Track1!M",A58+1)),"")</f>
        <v>Perf</v>
      </c>
      <c r="N58" s="218" t="str">
        <f ca="1">IFERROR(INDIRECT(CONCATENATE("Track1!N",A58+1)),"")</f>
        <v>AAA</v>
      </c>
    </row>
    <row r="59" spans="1:18" x14ac:dyDescent="0.35">
      <c r="B59" s="66">
        <f ca="1">IFERROR(INDIRECT(CONCATENATE("Track1!B",A58+2)),"")</f>
        <v>1</v>
      </c>
      <c r="C59" s="66">
        <f ca="1">IFERROR(INDIRECT(CONCATENATE("Track1!C",A58+2)),"")</f>
        <v>0</v>
      </c>
      <c r="D59" s="89" t="str">
        <f ca="1">IFERROR(INDIRECT(CONCATENATE("Track1!D",A58+2)),"")</f>
        <v/>
      </c>
      <c r="E59" s="89" t="str">
        <f ca="1">IFERROR(INDIRECT(CONCATENATE("Track1!E",A58+2)),"")</f>
        <v/>
      </c>
      <c r="F59" s="302">
        <f ca="1">IFERROR(INDIRECT(CONCATENATE("Track1!T",A58+2)),"")</f>
        <v>0</v>
      </c>
      <c r="G59" s="121" t="str">
        <f ca="1">IFERROR(INDIRECT(CONCATENATE("Track1!G",A58+2)),"")</f>
        <v/>
      </c>
      <c r="H59" s="66"/>
      <c r="I59" s="66">
        <f ca="1">IFERROR(INDIRECT(CONCATENATE("Track1!I",A58+2)),"")</f>
        <v>1</v>
      </c>
      <c r="J59" s="66">
        <f ca="1">IFERROR(INDIRECT(CONCATENATE("Track1!J",A58+2)),"")</f>
        <v>0</v>
      </c>
      <c r="K59" s="89" t="str">
        <f ca="1">IFERROR(INDIRECT(CONCATENATE("Track1!K",A58+2)),"")</f>
        <v/>
      </c>
      <c r="L59" s="89" t="str">
        <f ca="1">IFERROR(INDIRECT(CONCATENATE("Track1!L",A58+2)),"")</f>
        <v/>
      </c>
      <c r="M59" s="302">
        <f ca="1">IFERROR(INDIRECT(CONCATENATE("Track1!U",A58+2)),"")</f>
        <v>0</v>
      </c>
      <c r="N59" s="121" t="str">
        <f ca="1">IFERROR(INDIRECT(CONCATENATE("Track1!N",A58+2)),"")</f>
        <v/>
      </c>
      <c r="R59" s="219">
        <f ca="1">IFERROR(INDIRECT(CONCATENATE("Track1!r",A58+2)),"")</f>
        <v>0</v>
      </c>
    </row>
    <row r="60" spans="1:18" x14ac:dyDescent="0.35">
      <c r="B60" s="66">
        <f ca="1">IFERROR(INDIRECT(CONCATENATE("Track1!B",A58+3)),"")</f>
        <v>2</v>
      </c>
      <c r="C60" s="66">
        <f ca="1">IFERROR(INDIRECT(CONCATENATE("Track1!C",A58+3)),"")</f>
        <v>0</v>
      </c>
      <c r="D60" s="89" t="str">
        <f ca="1">IFERROR(INDIRECT(CONCATENATE("Track1!D",A58+3)),"")</f>
        <v/>
      </c>
      <c r="E60" s="89" t="str">
        <f ca="1">IFERROR(INDIRECT(CONCATENATE("Track1!E",A58+3)),"")</f>
        <v/>
      </c>
      <c r="F60" s="302">
        <f ca="1">IFERROR(INDIRECT(CONCATENATE("Track1!T",A58+3)),"")</f>
        <v>0</v>
      </c>
      <c r="G60" s="121" t="str">
        <f ca="1">IFERROR(INDIRECT(CONCATENATE("Track1!G",A58+3)),"")</f>
        <v/>
      </c>
      <c r="H60" s="66"/>
      <c r="I60" s="66">
        <f ca="1">IFERROR(INDIRECT(CONCATENATE("Track1!I",A58+3)),"")</f>
        <v>2</v>
      </c>
      <c r="J60" s="66">
        <f ca="1">IFERROR(INDIRECT(CONCATENATE("Track1!J",A58+3)),"")</f>
        <v>0</v>
      </c>
      <c r="K60" s="89" t="str">
        <f ca="1">IFERROR(INDIRECT(CONCATENATE("Track1!K",A58+3)),"")</f>
        <v/>
      </c>
      <c r="L60" s="89" t="str">
        <f ca="1">IFERROR(INDIRECT(CONCATENATE("Track1!L",A58+3)),"")</f>
        <v/>
      </c>
      <c r="M60" s="302">
        <f ca="1">IFERROR(INDIRECT(CONCATENATE("Track1!U",A58+3)),"")</f>
        <v>0</v>
      </c>
      <c r="N60" s="121" t="str">
        <f ca="1">IFERROR(INDIRECT(CONCATENATE("Track1!N",A58+3)),"")</f>
        <v/>
      </c>
    </row>
    <row r="61" spans="1:18" x14ac:dyDescent="0.35">
      <c r="B61" s="66">
        <f ca="1">IFERROR(INDIRECT(CONCATENATE("Track1!B",A58+4)),"")</f>
        <v>3</v>
      </c>
      <c r="C61" s="66">
        <f ca="1">IFERROR(INDIRECT(CONCATENATE("Track1!C",A58+4)),"")</f>
        <v>0</v>
      </c>
      <c r="D61" s="89" t="str">
        <f ca="1">IFERROR(INDIRECT(CONCATENATE("Track1!D",A58+4)),"")</f>
        <v/>
      </c>
      <c r="E61" s="89" t="str">
        <f ca="1">IFERROR(INDIRECT(CONCATENATE("Track1!E",A58+4)),"")</f>
        <v/>
      </c>
      <c r="F61" s="302">
        <f ca="1">IFERROR(INDIRECT(CONCATENATE("Track1!T",A58+4)),"")</f>
        <v>0</v>
      </c>
      <c r="G61" s="121" t="str">
        <f ca="1">IFERROR(INDIRECT(CONCATENATE("Track1!G",A58+4)),"")</f>
        <v/>
      </c>
      <c r="H61" s="66"/>
      <c r="I61" s="66">
        <f ca="1">IFERROR(INDIRECT(CONCATENATE("Track1!I",A58+4)),"")</f>
        <v>3</v>
      </c>
      <c r="J61" s="66">
        <f ca="1">IFERROR(INDIRECT(CONCATENATE("Track1!J",A58+4)),"")</f>
        <v>0</v>
      </c>
      <c r="K61" s="89" t="str">
        <f ca="1">IFERROR(INDIRECT(CONCATENATE("Track1!K",A58+4)),"")</f>
        <v/>
      </c>
      <c r="L61" s="89" t="str">
        <f ca="1">IFERROR(INDIRECT(CONCATENATE("Track1!L",A58+4)),"")</f>
        <v/>
      </c>
      <c r="M61" s="302">
        <f ca="1">IFERROR(INDIRECT(CONCATENATE("Track1!U",A58+4)),"")</f>
        <v>0</v>
      </c>
      <c r="N61" s="121" t="str">
        <f ca="1">IFERROR(INDIRECT(CONCATENATE("Track1!N",A58+4)),"")</f>
        <v/>
      </c>
    </row>
    <row r="62" spans="1:18" x14ac:dyDescent="0.35">
      <c r="B62" s="66">
        <f ca="1">IFERROR(INDIRECT(CONCATENATE("Track1!B",A58+5)),"")</f>
        <v>4</v>
      </c>
      <c r="C62" s="66">
        <f ca="1">IFERROR(INDIRECT(CONCATENATE("Track1!C",A58+5)),"")</f>
        <v>0</v>
      </c>
      <c r="D62" s="89" t="str">
        <f ca="1">IFERROR(INDIRECT(CONCATENATE("Track1!D",A58+5)),"")</f>
        <v/>
      </c>
      <c r="E62" s="89" t="str">
        <f ca="1">IFERROR(INDIRECT(CONCATENATE("Track1!E",A58+5)),"")</f>
        <v/>
      </c>
      <c r="F62" s="302">
        <f ca="1">IFERROR(INDIRECT(CONCATENATE("Track1!T",A58+5)),"")</f>
        <v>0</v>
      </c>
      <c r="G62" s="121" t="str">
        <f ca="1">IFERROR(INDIRECT(CONCATENATE("Track1!G",A58+5)),"")</f>
        <v/>
      </c>
      <c r="H62" s="66"/>
      <c r="I62" s="66">
        <f ca="1">IFERROR(INDIRECT(CONCATENATE("Track1!I",A58+5)),"")</f>
        <v>4</v>
      </c>
      <c r="J62" s="66">
        <f ca="1">IFERROR(INDIRECT(CONCATENATE("Track1!J",A58+5)),"")</f>
        <v>0</v>
      </c>
      <c r="K62" s="89" t="str">
        <f ca="1">IFERROR(INDIRECT(CONCATENATE("Track1!K",A58+5)),"")</f>
        <v/>
      </c>
      <c r="L62" s="89" t="str">
        <f ca="1">IFERROR(INDIRECT(CONCATENATE("Track1!L",A58+5)),"")</f>
        <v/>
      </c>
      <c r="M62" s="302">
        <f ca="1">IFERROR(INDIRECT(CONCATENATE("Track1!U",A58+5)),"")</f>
        <v>0</v>
      </c>
      <c r="N62" s="121" t="str">
        <f ca="1">IFERROR(INDIRECT(CONCATENATE("Track1!N",A58+5)),"")</f>
        <v/>
      </c>
    </row>
    <row r="63" spans="1:18" x14ac:dyDescent="0.35">
      <c r="B63" s="66">
        <f ca="1">IFERROR(INDIRECT(CONCATENATE("Track1!B",A58+6)),"")</f>
        <v>5</v>
      </c>
      <c r="C63" s="66">
        <f ca="1">IFERROR(INDIRECT(CONCATENATE("Track1!C",A58+6)),"")</f>
        <v>0</v>
      </c>
      <c r="D63" s="89" t="str">
        <f ca="1">IFERROR(INDIRECT(CONCATENATE("Track1!D",A58+6)),"")</f>
        <v/>
      </c>
      <c r="E63" s="89" t="str">
        <f ca="1">IFERROR(INDIRECT(CONCATENATE("Track1!E",A58+6)),"")</f>
        <v/>
      </c>
      <c r="F63" s="302">
        <f ca="1">IFERROR(INDIRECT(CONCATENATE("Track1!T",A58+6)),"")</f>
        <v>0</v>
      </c>
      <c r="G63" s="121" t="str">
        <f ca="1">IFERROR(INDIRECT(CONCATENATE("Track1!G",A58+6)),"")</f>
        <v/>
      </c>
      <c r="H63" s="66"/>
      <c r="I63" s="66">
        <f ca="1">IFERROR(INDIRECT(CONCATENATE("Track1!I",A58+6)),"")</f>
        <v>5</v>
      </c>
      <c r="J63" s="66">
        <f ca="1">IFERROR(INDIRECT(CONCATENATE("Track1!J",A58+6)),"")</f>
        <v>0</v>
      </c>
      <c r="K63" s="89" t="str">
        <f ca="1">IFERROR(INDIRECT(CONCATENATE("Track1!K",A58+6)),"")</f>
        <v/>
      </c>
      <c r="L63" s="89" t="str">
        <f ca="1">IFERROR(INDIRECT(CONCATENATE("Track1!L",A58+6)),"")</f>
        <v/>
      </c>
      <c r="M63" s="302">
        <f ca="1">IFERROR(INDIRECT(CONCATENATE("Track1!U",A58+6)),"")</f>
        <v>0</v>
      </c>
      <c r="N63" s="121" t="str">
        <f ca="1">IFERROR(INDIRECT(CONCATENATE("Track1!N",A58+6)),"")</f>
        <v/>
      </c>
    </row>
    <row r="64" spans="1:18" x14ac:dyDescent="0.35">
      <c r="B64" s="66">
        <f ca="1">IFERROR(INDIRECT(CONCATENATE("Track1!B",A58+7)),"")</f>
        <v>6</v>
      </c>
      <c r="C64" s="66">
        <f ca="1">IFERROR(INDIRECT(CONCATENATE("Track1!C",A58+7)),"")</f>
        <v>0</v>
      </c>
      <c r="D64" s="89" t="str">
        <f ca="1">IFERROR(INDIRECT(CONCATENATE("Track1!D",A58+7)),"")</f>
        <v/>
      </c>
      <c r="E64" s="89" t="str">
        <f ca="1">IFERROR(INDIRECT(CONCATENATE("Track1!E",A58+7)),"")</f>
        <v/>
      </c>
      <c r="F64" s="302">
        <f ca="1">IFERROR(INDIRECT(CONCATENATE("Track1!T",A58+7)),"")</f>
        <v>0</v>
      </c>
      <c r="G64" s="121" t="str">
        <f ca="1">IFERROR(INDIRECT(CONCATENATE("Track1!G",A58+7)),"")</f>
        <v/>
      </c>
      <c r="H64" s="66"/>
      <c r="I64" s="66">
        <f ca="1">IFERROR(INDIRECT(CONCATENATE("Track1!I",A58+7)),"")</f>
        <v>6</v>
      </c>
      <c r="J64" s="66">
        <f ca="1">IFERROR(INDIRECT(CONCATENATE("Track1!J",A58+7)),"")</f>
        <v>0</v>
      </c>
      <c r="K64" s="89" t="str">
        <f ca="1">IFERROR(INDIRECT(CONCATENATE("Track1!K",A58+7)),"")</f>
        <v/>
      </c>
      <c r="L64" s="89" t="str">
        <f ca="1">IFERROR(INDIRECT(CONCATENATE("Track1!L",A58+7)),"")</f>
        <v/>
      </c>
      <c r="M64" s="302">
        <f ca="1">IFERROR(INDIRECT(CONCATENATE("Track1!U",A58+7)),"")</f>
        <v>0</v>
      </c>
      <c r="N64" s="121" t="str">
        <f ca="1">IFERROR(INDIRECT(CONCATENATE("Track1!N",A58+7)),"")</f>
        <v/>
      </c>
    </row>
    <row r="65" spans="1:18" x14ac:dyDescent="0.35">
      <c r="B65" s="66">
        <f ca="1">IFERROR(INDIRECT(CONCATENATE("Track1!B",A58+8)),"")</f>
        <v>7</v>
      </c>
      <c r="C65" s="66">
        <f ca="1">IFERROR(INDIRECT(CONCATENATE("Track1!C",A58+8)),"")</f>
        <v>0</v>
      </c>
      <c r="D65" s="89" t="str">
        <f ca="1">IFERROR(INDIRECT(CONCATENATE("Track1!D",A58+8)),"")</f>
        <v/>
      </c>
      <c r="E65" s="89" t="str">
        <f ca="1">IFERROR(INDIRECT(CONCATENATE("Track1!E",A58+8)),"")</f>
        <v/>
      </c>
      <c r="F65" s="302">
        <f ca="1">IFERROR(INDIRECT(CONCATENATE("Track1!T",A58+8)),"")</f>
        <v>0</v>
      </c>
      <c r="G65" s="121" t="str">
        <f ca="1">IFERROR(INDIRECT(CONCATENATE("Track1!G",A58+8)),"")</f>
        <v/>
      </c>
      <c r="H65" s="66"/>
      <c r="I65" s="66">
        <f ca="1">IFERROR(INDIRECT(CONCATENATE("Track1!I",A58+8)),"")</f>
        <v>7</v>
      </c>
      <c r="J65" s="66">
        <f ca="1">IFERROR(INDIRECT(CONCATENATE("Track1!J",A58+8)),"")</f>
        <v>0</v>
      </c>
      <c r="K65" s="89" t="str">
        <f ca="1">IFERROR(INDIRECT(CONCATENATE("Track1!K",A58+8)),"")</f>
        <v/>
      </c>
      <c r="L65" s="89" t="str">
        <f ca="1">IFERROR(INDIRECT(CONCATENATE("Track1!L",A58+8)),"")</f>
        <v/>
      </c>
      <c r="M65" s="302">
        <f ca="1">IFERROR(INDIRECT(CONCATENATE("Track1!U",A58+8)),"")</f>
        <v>0</v>
      </c>
      <c r="N65" s="121" t="str">
        <f ca="1">IFERROR(INDIRECT(CONCATENATE("Track1!N",A58+8)),"")</f>
        <v/>
      </c>
    </row>
    <row r="66" spans="1:18" x14ac:dyDescent="0.35">
      <c r="B66" s="66">
        <f ca="1">IFERROR(INDIRECT(CONCATENATE("Track1!B",A58+9)),"")</f>
        <v>8</v>
      </c>
      <c r="C66" s="66">
        <f ca="1">IFERROR(INDIRECT(CONCATENATE("Track1!C",A58+9)),"")</f>
        <v>0</v>
      </c>
      <c r="D66" s="89" t="str">
        <f ca="1">IFERROR(INDIRECT(CONCATENATE("Track1!D",A58+9)),"")</f>
        <v/>
      </c>
      <c r="E66" s="89" t="str">
        <f ca="1">IFERROR(INDIRECT(CONCATENATE("Track1!E",A58+9)),"")</f>
        <v/>
      </c>
      <c r="F66" s="302">
        <f ca="1">IFERROR(INDIRECT(CONCATENATE("Track1!T",A58+9)),"")</f>
        <v>0</v>
      </c>
      <c r="G66" s="121" t="str">
        <f ca="1">IFERROR(INDIRECT(CONCATENATE("Track1!G",A58+9)),"")</f>
        <v/>
      </c>
      <c r="H66" s="66"/>
      <c r="I66" s="66">
        <f ca="1">IFERROR(INDIRECT(CONCATENATE("Track1!I",A58+9)),"")</f>
        <v>8</v>
      </c>
      <c r="J66" s="66">
        <f ca="1">IFERROR(INDIRECT(CONCATENATE("Track1!J",A58+9)),"")</f>
        <v>0</v>
      </c>
      <c r="K66" s="89" t="str">
        <f ca="1">IFERROR(INDIRECT(CONCATENATE("Track1!K",A58+9)),"")</f>
        <v/>
      </c>
      <c r="L66" s="89" t="str">
        <f ca="1">IFERROR(INDIRECT(CONCATENATE("Track1!L",A58+9)),"")</f>
        <v/>
      </c>
      <c r="M66" s="302">
        <f ca="1">IFERROR(INDIRECT(CONCATENATE("Track1!U",A58+9)),"")</f>
        <v>0</v>
      </c>
      <c r="N66" s="121" t="str">
        <f ca="1">IFERROR(INDIRECT(CONCATENATE("Track1!N",A58+9)),"")</f>
        <v/>
      </c>
    </row>
    <row r="68" spans="1:18" x14ac:dyDescent="0.35">
      <c r="A68" s="66" t="s">
        <v>312</v>
      </c>
      <c r="B68" s="115" t="str">
        <f ca="1">IFERROR(INDIRECT(CONCATENATE("Track2!B",A69)),"")</f>
        <v>1500m U15 Boys A</v>
      </c>
      <c r="G68" s="121">
        <f ca="1">IFERROR(INDIRECT(CONCATENATE("Track2!g",A69)),"")</f>
        <v>0</v>
      </c>
      <c r="I68" s="115" t="str">
        <f ca="1">IFERROR(INDIRECT(CONCATENATE("Track2!I",A69)),"")</f>
        <v>1500m U15 Boys B</v>
      </c>
    </row>
    <row r="69" spans="1:18" x14ac:dyDescent="0.35">
      <c r="A69" s="66">
        <f>IFERROR(MATCH(A68,Track2!A:A,0),"")</f>
        <v>35</v>
      </c>
      <c r="B69" s="45" t="str">
        <f ca="1">IFERROR(INDIRECT(CONCATENATE("Track2!B",A69+1)),"")</f>
        <v>Posn</v>
      </c>
      <c r="C69" s="45" t="str">
        <f ca="1">IFERROR(INDIRECT(CONCATENATE("Track2!C",A69+1)),"")</f>
        <v>No.</v>
      </c>
      <c r="D69" s="182" t="str">
        <f ca="1">IFERROR(INDIRECT(CONCATENATE("Track2!D",A69+1)),"")</f>
        <v>Athlete</v>
      </c>
      <c r="E69" s="182" t="str">
        <f ca="1">IFERROR(INDIRECT(CONCATENATE("Track2!E",A69+1)),"")</f>
        <v>Club</v>
      </c>
      <c r="F69" s="301" t="str">
        <f ca="1">IFERROR(INDIRECT(CONCATENATE("Track2!F",A69+1)),"")</f>
        <v>Perf</v>
      </c>
      <c r="G69" s="218" t="str">
        <f ca="1">IFERROR(INDIRECT(CONCATENATE("Track2!G",A69+1)),"")</f>
        <v>AAA</v>
      </c>
      <c r="H69" s="45"/>
      <c r="I69" s="45" t="str">
        <f ca="1">IFERROR(INDIRECT(CONCATENATE("Track2!I",A69+1)),"")</f>
        <v>Posn</v>
      </c>
      <c r="J69" s="45" t="str">
        <f ca="1">IFERROR(INDIRECT(CONCATENATE("Track2!J",A69+1)),"")</f>
        <v>No.</v>
      </c>
      <c r="K69" s="182" t="str">
        <f ca="1">IFERROR(INDIRECT(CONCATENATE("Track2!K",A69+1)),"")</f>
        <v>Athlete</v>
      </c>
      <c r="L69" s="182" t="str">
        <f ca="1">IFERROR(INDIRECT(CONCATENATE("Track2!L",A69+1)),"")</f>
        <v>Club</v>
      </c>
      <c r="M69" s="301" t="str">
        <f ca="1">IFERROR(INDIRECT(CONCATENATE("Track2!M",A69+1)),"")</f>
        <v>Perf</v>
      </c>
      <c r="N69" s="218" t="str">
        <f ca="1">IFERROR(INDIRECT(CONCATENATE("Track2!N",A69+1)),"")</f>
        <v>AAA</v>
      </c>
    </row>
    <row r="70" spans="1:18" x14ac:dyDescent="0.35">
      <c r="B70" s="66">
        <f ca="1">IFERROR(INDIRECT(CONCATENATE("Track2!B",A69+2)),"")</f>
        <v>1</v>
      </c>
      <c r="C70" s="66">
        <f ca="1">IFERROR(INDIRECT(CONCATENATE("Track2!C",A69+2)),"")</f>
        <v>4</v>
      </c>
      <c r="D70" s="89" t="str">
        <f ca="1">IFERROR(INDIRECT(CONCATENATE("Track2!D",A69+2)),"")</f>
        <v>SAYERS James</v>
      </c>
      <c r="E70" s="89" t="str">
        <f ca="1">IFERROR(INDIRECT(CONCATENATE("Track2!E",A69+2)),"")</f>
        <v>M'bro</v>
      </c>
      <c r="F70" s="302">
        <f ca="1">IFERROR(INDIRECT(CONCATENATE("Track2!F",A69+2)),"")</f>
        <v>3.4699074074074068E-3</v>
      </c>
      <c r="G70" s="121" t="str">
        <f ca="1">IFERROR(INDIRECT(CONCATENATE("Track2!G",A69+2)),"")</f>
        <v/>
      </c>
      <c r="H70" s="66"/>
      <c r="I70" s="66">
        <f ca="1">IFERROR(INDIRECT(CONCATENATE("Track2!I",A69+2)),"")</f>
        <v>1</v>
      </c>
      <c r="J70" s="66">
        <f ca="1">IFERROR(INDIRECT(CONCATENATE("Track2!J",A69+2)),"")</f>
        <v>33</v>
      </c>
      <c r="K70" s="89" t="str">
        <f ca="1">IFERROR(INDIRECT(CONCATENATE("Track2!K",A69+2)),"")</f>
        <v>HENSON Isaac</v>
      </c>
      <c r="L70" s="89" t="str">
        <f ca="1">IFERROR(INDIRECT(CONCATENATE("Track2!L",A69+2)),"")</f>
        <v>York</v>
      </c>
      <c r="M70" s="302">
        <f ca="1">IFERROR(INDIRECT(CONCATENATE("Track2!M",A69+2)),"")</f>
        <v>3.7037037037037038E-3</v>
      </c>
      <c r="N70" s="121" t="str">
        <f ca="1">IFERROR(INDIRECT(CONCATENATE("Track2!N",A69+2)),"")</f>
        <v/>
      </c>
      <c r="R70" s="219">
        <f ca="1">IFERROR(INDIRECT(CONCATENATE("Track2!r",A69+2)),"")</f>
        <v>1</v>
      </c>
    </row>
    <row r="71" spans="1:18" x14ac:dyDescent="0.35">
      <c r="B71" s="66">
        <f ca="1">IFERROR(INDIRECT(CONCATENATE("Track2!B",A69+3)),"")</f>
        <v>2</v>
      </c>
      <c r="C71" s="66">
        <f ca="1">IFERROR(INDIRECT(CONCATENATE("Track2!C",A69+3)),"")</f>
        <v>3</v>
      </c>
      <c r="D71" s="89" t="str">
        <f ca="1">IFERROR(INDIRECT(CONCATENATE("Track2!D",A69+3)),"")</f>
        <v>BRATLEY Jack</v>
      </c>
      <c r="E71" s="89" t="str">
        <f ca="1">IFERROR(INDIRECT(CONCATENATE("Track2!E",A69+3)),"")</f>
        <v>York</v>
      </c>
      <c r="F71" s="302">
        <f ca="1">IFERROR(INDIRECT(CONCATENATE("Track2!F",A69+3)),"")</f>
        <v>3.5405092592592597E-3</v>
      </c>
      <c r="G71" s="121" t="str">
        <f ca="1">IFERROR(INDIRECT(CONCATENATE("Track2!G",A69+3)),"")</f>
        <v/>
      </c>
      <c r="H71" s="66"/>
      <c r="I71" s="66">
        <f ca="1">IFERROR(INDIRECT(CONCATENATE("Track2!I",A69+3)),"")</f>
        <v>2</v>
      </c>
      <c r="J71" s="66" t="str">
        <f ca="1">IFERROR(INDIRECT(CONCATENATE("Track2!J",A69+3)),"")</f>
        <v/>
      </c>
      <c r="K71" s="89" t="str">
        <f ca="1">IFERROR(INDIRECT(CONCATENATE("Track2!K",A69+3)),"")</f>
        <v/>
      </c>
      <c r="L71" s="89" t="str">
        <f ca="1">IFERROR(INDIRECT(CONCATENATE("Track2!L",A69+3)),"")</f>
        <v/>
      </c>
      <c r="M71" s="302" t="str">
        <f ca="1">IFERROR(INDIRECT(CONCATENATE("Track2!M",A69+3)),"")</f>
        <v/>
      </c>
      <c r="N71" s="121" t="str">
        <f ca="1">IFERROR(INDIRECT(CONCATENATE("Track2!N",A69+3)),"")</f>
        <v/>
      </c>
    </row>
    <row r="72" spans="1:18" x14ac:dyDescent="0.35">
      <c r="B72" s="66">
        <f ca="1">IFERROR(INDIRECT(CONCATENATE("Track2!B",A69+4)),"")</f>
        <v>3</v>
      </c>
      <c r="C72" s="66">
        <f ca="1">IFERROR(INDIRECT(CONCATENATE("Track2!C",A69+4)),"")</f>
        <v>2</v>
      </c>
      <c r="D72" s="89" t="str">
        <f ca="1">IFERROR(INDIRECT(CONCATENATE("Track2!D",A69+4)),"")</f>
        <v>COLLINI Joseph</v>
      </c>
      <c r="E72" s="89" t="str">
        <f ca="1">IFERROR(INDIRECT(CONCATENATE("Track2!E",A69+4)),"")</f>
        <v>Sheff+D</v>
      </c>
      <c r="F72" s="302">
        <f ca="1">IFERROR(INDIRECT(CONCATENATE("Track2!F",A69+4)),"")</f>
        <v>3.6724537037037038E-3</v>
      </c>
      <c r="G72" s="121" t="str">
        <f ca="1">IFERROR(INDIRECT(CONCATENATE("Track2!G",A69+4)),"")</f>
        <v/>
      </c>
      <c r="H72" s="66"/>
      <c r="I72" s="66">
        <f ca="1">IFERROR(INDIRECT(CONCATENATE("Track2!I",A69+4)),"")</f>
        <v>3</v>
      </c>
      <c r="J72" s="66" t="str">
        <f ca="1">IFERROR(INDIRECT(CONCATENATE("Track2!J",A69+4)),"")</f>
        <v/>
      </c>
      <c r="K72" s="89" t="str">
        <f ca="1">IFERROR(INDIRECT(CONCATENATE("Track2!K",A69+4)),"")</f>
        <v/>
      </c>
      <c r="L72" s="89" t="str">
        <f ca="1">IFERROR(INDIRECT(CONCATENATE("Track2!L",A69+4)),"")</f>
        <v/>
      </c>
      <c r="M72" s="302" t="str">
        <f ca="1">IFERROR(INDIRECT(CONCATENATE("Track2!M",A69+4)),"")</f>
        <v/>
      </c>
      <c r="N72" s="121" t="str">
        <f ca="1">IFERROR(INDIRECT(CONCATENATE("Track2!N",A69+4)),"")</f>
        <v/>
      </c>
    </row>
    <row r="73" spans="1:18" x14ac:dyDescent="0.35">
      <c r="B73" s="66">
        <f ca="1">IFERROR(INDIRECT(CONCATENATE("Track2!B",A69+5)),"")</f>
        <v>4</v>
      </c>
      <c r="C73" s="66">
        <f ca="1">IFERROR(INDIRECT(CONCATENATE("Track2!C",A69+5)),"")</f>
        <v>1</v>
      </c>
      <c r="D73" s="89" t="str">
        <f ca="1">IFERROR(INDIRECT(CONCATENATE("Track2!D",A69+5)),"")</f>
        <v>BETTNEY Thomas</v>
      </c>
      <c r="E73" s="89" t="str">
        <f ca="1">IFERROR(INDIRECT(CONCATENATE("Track2!E",A69+5)),"")</f>
        <v>C'field</v>
      </c>
      <c r="F73" s="302">
        <f ca="1">IFERROR(INDIRECT(CONCATENATE("Track2!F",A69+5)),"")</f>
        <v>4.0428240740740745E-3</v>
      </c>
      <c r="G73" s="121" t="str">
        <f ca="1">IFERROR(INDIRECT(CONCATENATE("Track2!G",A69+5)),"")</f>
        <v/>
      </c>
      <c r="H73" s="66"/>
      <c r="I73" s="66">
        <f ca="1">IFERROR(INDIRECT(CONCATENATE("Track2!I",A69+5)),"")</f>
        <v>4</v>
      </c>
      <c r="J73" s="66" t="str">
        <f ca="1">IFERROR(INDIRECT(CONCATENATE("Track2!J",A69+5)),"")</f>
        <v/>
      </c>
      <c r="K73" s="89" t="str">
        <f ca="1">IFERROR(INDIRECT(CONCATENATE("Track2!K",A69+5)),"")</f>
        <v/>
      </c>
      <c r="L73" s="89" t="str">
        <f ca="1">IFERROR(INDIRECT(CONCATENATE("Track2!L",A69+5)),"")</f>
        <v/>
      </c>
      <c r="M73" s="302" t="str">
        <f ca="1">IFERROR(INDIRECT(CONCATENATE("Track2!M",A69+5)),"")</f>
        <v/>
      </c>
      <c r="N73" s="121" t="str">
        <f ca="1">IFERROR(INDIRECT(CONCATENATE("Track2!N",A69+5)),"")</f>
        <v/>
      </c>
    </row>
    <row r="74" spans="1:18" x14ac:dyDescent="0.35">
      <c r="B74" s="66">
        <f ca="1">IFERROR(INDIRECT(CONCATENATE("Track2!B",A69+6)),"")</f>
        <v>5</v>
      </c>
      <c r="C74" s="66" t="str">
        <f ca="1">IFERROR(INDIRECT(CONCATENATE("Track2!C",A69+6)),"")</f>
        <v/>
      </c>
      <c r="D74" s="89" t="str">
        <f ca="1">IFERROR(INDIRECT(CONCATENATE("Track2!D",A69+6)),"")</f>
        <v/>
      </c>
      <c r="E74" s="89" t="str">
        <f ca="1">IFERROR(INDIRECT(CONCATENATE("Track2!E",A69+6)),"")</f>
        <v/>
      </c>
      <c r="F74" s="302" t="str">
        <f ca="1">IFERROR(INDIRECT(CONCATENATE("Track2!F",A69+6)),"")</f>
        <v/>
      </c>
      <c r="G74" s="121" t="str">
        <f ca="1">IFERROR(INDIRECT(CONCATENATE("Track2!G",A69+6)),"")</f>
        <v/>
      </c>
      <c r="H74" s="66"/>
      <c r="I74" s="66">
        <f ca="1">IFERROR(INDIRECT(CONCATENATE("Track2!I",A69+6)),"")</f>
        <v>5</v>
      </c>
      <c r="J74" s="66" t="str">
        <f ca="1">IFERROR(INDIRECT(CONCATENATE("Track2!J",A69+6)),"")</f>
        <v/>
      </c>
      <c r="K74" s="89" t="str">
        <f ca="1">IFERROR(INDIRECT(CONCATENATE("Track2!K",A69+6)),"")</f>
        <v/>
      </c>
      <c r="L74" s="89" t="str">
        <f ca="1">IFERROR(INDIRECT(CONCATENATE("Track2!L",A69+6)),"")</f>
        <v/>
      </c>
      <c r="M74" s="302" t="str">
        <f ca="1">IFERROR(INDIRECT(CONCATENATE("Track2!M",A69+6)),"")</f>
        <v/>
      </c>
      <c r="N74" s="121" t="str">
        <f ca="1">IFERROR(INDIRECT(CONCATENATE("Track2!N",A69+6)),"")</f>
        <v/>
      </c>
    </row>
    <row r="75" spans="1:18" x14ac:dyDescent="0.35">
      <c r="B75" s="66">
        <f ca="1">IFERROR(INDIRECT(CONCATENATE("Track2!B",A69+7)),"")</f>
        <v>6</v>
      </c>
      <c r="C75" s="66" t="str">
        <f ca="1">IFERROR(INDIRECT(CONCATENATE("Track2!C",A69+7)),"")</f>
        <v/>
      </c>
      <c r="D75" s="89" t="str">
        <f ca="1">IFERROR(INDIRECT(CONCATENATE("Track2!D",A69+7)),"")</f>
        <v/>
      </c>
      <c r="E75" s="89" t="str">
        <f ca="1">IFERROR(INDIRECT(CONCATENATE("Track2!E",A69+7)),"")</f>
        <v/>
      </c>
      <c r="F75" s="302" t="str">
        <f ca="1">IFERROR(INDIRECT(CONCATENATE("Track2!F",A69+7)),"")</f>
        <v/>
      </c>
      <c r="G75" s="121" t="str">
        <f ca="1">IFERROR(INDIRECT(CONCATENATE("Track2!G",A69+7)),"")</f>
        <v/>
      </c>
      <c r="H75" s="66"/>
      <c r="I75" s="66">
        <f ca="1">IFERROR(INDIRECT(CONCATENATE("Track2!I",A69+7)),"")</f>
        <v>6</v>
      </c>
      <c r="J75" s="66" t="str">
        <f ca="1">IFERROR(INDIRECT(CONCATENATE("Track2!J",A69+7)),"")</f>
        <v/>
      </c>
      <c r="K75" s="89" t="str">
        <f ca="1">IFERROR(INDIRECT(CONCATENATE("Track2!K",A69+7)),"")</f>
        <v/>
      </c>
      <c r="L75" s="89" t="str">
        <f ca="1">IFERROR(INDIRECT(CONCATENATE("Track2!L",A69+7)),"")</f>
        <v/>
      </c>
      <c r="M75" s="302" t="str">
        <f ca="1">IFERROR(INDIRECT(CONCATENATE("Track2!M",A69+7)),"")</f>
        <v/>
      </c>
      <c r="N75" s="121" t="str">
        <f ca="1">IFERROR(INDIRECT(CONCATENATE("Track2!N",A69+7)),"")</f>
        <v/>
      </c>
    </row>
    <row r="76" spans="1:18" x14ac:dyDescent="0.35">
      <c r="B76" s="66">
        <f ca="1">IFERROR(INDIRECT(CONCATENATE("Track2!B",A69+8)),"")</f>
        <v>7</v>
      </c>
      <c r="C76" s="66" t="str">
        <f ca="1">IFERROR(INDIRECT(CONCATENATE("Track2!C",A69+8)),"")</f>
        <v/>
      </c>
      <c r="D76" s="89" t="str">
        <f ca="1">IFERROR(INDIRECT(CONCATENATE("Track2!D",A69+8)),"")</f>
        <v/>
      </c>
      <c r="E76" s="89" t="str">
        <f ca="1">IFERROR(INDIRECT(CONCATENATE("Track2!E",A69+8)),"")</f>
        <v/>
      </c>
      <c r="F76" s="302" t="str">
        <f ca="1">IFERROR(INDIRECT(CONCATENATE("Track2!F",A69+8)),"")</f>
        <v/>
      </c>
      <c r="G76" s="121" t="str">
        <f ca="1">IFERROR(INDIRECT(CONCATENATE("Track2!G",A69+8)),"")</f>
        <v/>
      </c>
      <c r="H76" s="66"/>
      <c r="I76" s="66">
        <f ca="1">IFERROR(INDIRECT(CONCATENATE("Track2!I",A69+8)),"")</f>
        <v>7</v>
      </c>
      <c r="J76" s="66" t="str">
        <f ca="1">IFERROR(INDIRECT(CONCATENATE("Track2!J",A69+8)),"")</f>
        <v/>
      </c>
      <c r="K76" s="89" t="str">
        <f ca="1">IFERROR(INDIRECT(CONCATENATE("Track2!K",A69+8)),"")</f>
        <v/>
      </c>
      <c r="L76" s="89" t="str">
        <f ca="1">IFERROR(INDIRECT(CONCATENATE("Track2!L",A69+8)),"")</f>
        <v/>
      </c>
      <c r="M76" s="302" t="str">
        <f ca="1">IFERROR(INDIRECT(CONCATENATE("Track2!M",A69+8)),"")</f>
        <v/>
      </c>
      <c r="N76" s="121" t="str">
        <f ca="1">IFERROR(INDIRECT(CONCATENATE("Track2!N",A69+8)),"")</f>
        <v/>
      </c>
    </row>
    <row r="77" spans="1:18" x14ac:dyDescent="0.35">
      <c r="B77" s="66">
        <f ca="1">IFERROR(INDIRECT(CONCATENATE("Track2!B",A69+9)),"")</f>
        <v>8</v>
      </c>
      <c r="C77" s="66" t="str">
        <f ca="1">IFERROR(INDIRECT(CONCATENATE("Track2!C",A69+9)),"")</f>
        <v/>
      </c>
      <c r="D77" s="89" t="str">
        <f ca="1">IFERROR(INDIRECT(CONCATENATE("Track2!D",A69+9)),"")</f>
        <v/>
      </c>
      <c r="E77" s="89" t="str">
        <f ca="1">IFERROR(INDIRECT(CONCATENATE("Track2!E",A69+9)),"")</f>
        <v/>
      </c>
      <c r="F77" s="302" t="str">
        <f ca="1">IFERROR(INDIRECT(CONCATENATE("Track2!F",A69+9)),"")</f>
        <v/>
      </c>
      <c r="G77" s="121" t="str">
        <f ca="1">IFERROR(INDIRECT(CONCATENATE("Track2!G",A69+9)),"")</f>
        <v/>
      </c>
      <c r="H77" s="66"/>
      <c r="I77" s="66">
        <f ca="1">IFERROR(INDIRECT(CONCATENATE("Track2!I",A69+9)),"")</f>
        <v>8</v>
      </c>
      <c r="J77" s="66" t="str">
        <f ca="1">IFERROR(INDIRECT(CONCATENATE("Track2!J",A69+9)),"")</f>
        <v/>
      </c>
      <c r="K77" s="89" t="str">
        <f ca="1">IFERROR(INDIRECT(CONCATENATE("Track2!K",A69+9)),"")</f>
        <v/>
      </c>
      <c r="L77" s="89" t="str">
        <f ca="1">IFERROR(INDIRECT(CONCATENATE("Track2!L",A69+9)),"")</f>
        <v/>
      </c>
      <c r="M77" s="302" t="str">
        <f ca="1">IFERROR(INDIRECT(CONCATENATE("Track2!M",A69+9)),"")</f>
        <v/>
      </c>
      <c r="N77" s="121" t="str">
        <f ca="1">IFERROR(INDIRECT(CONCATENATE("Track2!N",A69+9)),"")</f>
        <v/>
      </c>
    </row>
    <row r="79" spans="1:18" x14ac:dyDescent="0.35">
      <c r="A79" s="66" t="s">
        <v>35</v>
      </c>
      <c r="B79" s="115" t="str">
        <f ca="1">IFERROR(INDIRECT(CONCATENATE("Track1!B",A80)),"")</f>
        <v>80m Hurdles U15 Boys A</v>
      </c>
      <c r="E79" s="89" t="s">
        <v>259</v>
      </c>
      <c r="F79" s="299">
        <f ca="1">IFERROR(INDIRECT(CONCATENATE("Track1!f",A80)),"")</f>
        <v>0</v>
      </c>
      <c r="G79" s="121" t="str">
        <f ca="1">IFERROR(INDIRECT(CONCATENATE("Track1!g",A80)),"")</f>
        <v/>
      </c>
      <c r="I79" s="115" t="str">
        <f ca="1">IFERROR(INDIRECT(CONCATENATE("Track1!I",A80)),"")</f>
        <v>80m Hurdles U15 Boys B</v>
      </c>
      <c r="L79" s="89" t="s">
        <v>259</v>
      </c>
      <c r="M79" s="299">
        <f ca="1">IFERROR(INDIRECT(CONCATENATE("Track1!M",A80)),"")</f>
        <v>0</v>
      </c>
    </row>
    <row r="80" spans="1:18" x14ac:dyDescent="0.35">
      <c r="A80" s="66">
        <f>IFERROR(MATCH(A79,Track1!A:A,0),"")</f>
        <v>35</v>
      </c>
      <c r="B80" s="45" t="str">
        <f ca="1">IFERROR(INDIRECT(CONCATENATE("Track1!B",A80+1)),"")</f>
        <v>Posn</v>
      </c>
      <c r="C80" s="45" t="str">
        <f ca="1">IFERROR(INDIRECT(CONCATENATE("Track1!C",A80+1)),"")</f>
        <v>No.</v>
      </c>
      <c r="D80" s="182" t="str">
        <f ca="1">IFERROR(INDIRECT(CONCATENATE("Track1!D",A80+1)),"")</f>
        <v>Athlete</v>
      </c>
      <c r="E80" s="182" t="str">
        <f ca="1">IFERROR(INDIRECT(CONCATENATE("Track1!E",A80+1)),"")</f>
        <v>Club</v>
      </c>
      <c r="F80" s="301" t="str">
        <f ca="1">IFERROR(INDIRECT(CONCATENATE("Track1!F",A80+1)),"")</f>
        <v>Perf</v>
      </c>
      <c r="G80" s="218" t="str">
        <f ca="1">IFERROR(INDIRECT(CONCATENATE("Track1!G",A80+1)),"")</f>
        <v>AAA</v>
      </c>
      <c r="H80" s="45"/>
      <c r="I80" s="45" t="str">
        <f ca="1">IFERROR(INDIRECT(CONCATENATE("Track1!I",A80+1)),"")</f>
        <v>Posn</v>
      </c>
      <c r="J80" s="45" t="str">
        <f ca="1">IFERROR(INDIRECT(CONCATENATE("Track1!J",A80+1)),"")</f>
        <v>No.</v>
      </c>
      <c r="K80" s="182" t="str">
        <f ca="1">IFERROR(INDIRECT(CONCATENATE("Track1!K",A80+1)),"")</f>
        <v>Athlete</v>
      </c>
      <c r="L80" s="182" t="str">
        <f ca="1">IFERROR(INDIRECT(CONCATENATE("Track1!L",A80+1)),"")</f>
        <v>Club</v>
      </c>
      <c r="M80" s="301" t="str">
        <f ca="1">IFERROR(INDIRECT(CONCATENATE("Track1!M",A80+1)),"")</f>
        <v>Perf</v>
      </c>
      <c r="N80" s="218" t="str">
        <f ca="1">IFERROR(INDIRECT(CONCATENATE("Track1!N",A80+1)),"")</f>
        <v>AAA</v>
      </c>
    </row>
    <row r="81" spans="1:18" x14ac:dyDescent="0.35">
      <c r="B81" s="66">
        <f ca="1">IFERROR(INDIRECT(CONCATENATE("Track1!B",A80+2)),"")</f>
        <v>1</v>
      </c>
      <c r="C81" s="66">
        <f ca="1">IFERROR(INDIRECT(CONCATENATE("Track1!C",A80+2)),"")</f>
        <v>2</v>
      </c>
      <c r="D81" s="89" t="str">
        <f ca="1">IFERROR(INDIRECT(CONCATENATE("Track1!D",A80+2)),"")</f>
        <v>BENTLEY Tom</v>
      </c>
      <c r="E81" s="89" t="str">
        <f ca="1">IFERROR(INDIRECT(CONCATENATE("Track1!E",A80+2)),"")</f>
        <v>Sheff+D</v>
      </c>
      <c r="F81" s="299">
        <f ca="1">IFERROR(INDIRECT(CONCATENATE("Track1!F",A80+2)),"")</f>
        <v>13.8</v>
      </c>
      <c r="G81" s="121" t="str">
        <f ca="1">IFERROR(INDIRECT(CONCATENATE("Track1!G",A80+2)),"")</f>
        <v/>
      </c>
      <c r="H81" s="66"/>
      <c r="I81" s="66">
        <f ca="1">IFERROR(INDIRECT(CONCATENATE("Track1!I",A80+2)),"")</f>
        <v>1</v>
      </c>
      <c r="J81" s="66">
        <f ca="1">IFERROR(INDIRECT(CONCATENATE("Track1!J",A80+2)),"")</f>
        <v>1</v>
      </c>
      <c r="K81" s="89" t="str">
        <f ca="1">IFERROR(INDIRECT(CONCATENATE("Track1!K",A80+2)),"")</f>
        <v>MARRIOTT Thomas</v>
      </c>
      <c r="L81" s="89" t="str">
        <f ca="1">IFERROR(INDIRECT(CONCATENATE("Track1!L",A80+2)),"")</f>
        <v>C'field</v>
      </c>
      <c r="M81" s="299">
        <f ca="1">IFERROR(INDIRECT(CONCATENATE("Track1!M",A80+2)),"")</f>
        <v>16.2</v>
      </c>
      <c r="N81" s="121" t="str">
        <f ca="1">IFERROR(INDIRECT(CONCATENATE("Track1!N",A80+2)),"")</f>
        <v/>
      </c>
      <c r="R81" s="219">
        <f ca="1">IFERROR(INDIRECT(CONCATENATE("Track1!r",A80+2)),"")</f>
        <v>1</v>
      </c>
    </row>
    <row r="82" spans="1:18" x14ac:dyDescent="0.35">
      <c r="B82" s="66">
        <f ca="1">IFERROR(INDIRECT(CONCATENATE("Track1!B",A80+3)),"")</f>
        <v>2</v>
      </c>
      <c r="C82" s="66">
        <f ca="1">IFERROR(INDIRECT(CONCATENATE("Track1!C",A80+3)),"")</f>
        <v>11</v>
      </c>
      <c r="D82" s="89" t="str">
        <f ca="1">IFERROR(INDIRECT(CONCATENATE("Track1!D",A80+3)),"")</f>
        <v>FOOT James</v>
      </c>
      <c r="E82" s="89" t="str">
        <f ca="1">IFERROR(INDIRECT(CONCATENATE("Track1!E",A80+3)),"")</f>
        <v>C'field</v>
      </c>
      <c r="F82" s="299">
        <f ca="1">IFERROR(INDIRECT(CONCATENATE("Track1!F",A80+3)),"")</f>
        <v>15.3</v>
      </c>
      <c r="G82" s="121" t="str">
        <f ca="1">IFERROR(INDIRECT(CONCATENATE("Track1!G",A80+3)),"")</f>
        <v/>
      </c>
      <c r="H82" s="66"/>
      <c r="I82" s="66">
        <f ca="1">IFERROR(INDIRECT(CONCATENATE("Track1!I",A80+3)),"")</f>
        <v>2</v>
      </c>
      <c r="J82" s="66">
        <f ca="1">IFERROR(INDIRECT(CONCATENATE("Track1!J",A80+3)),"")</f>
        <v>3</v>
      </c>
      <c r="K82" s="89" t="str">
        <f ca="1">IFERROR(INDIRECT(CONCATENATE("Track1!K",A80+3)),"")</f>
        <v>HENSON Isaac</v>
      </c>
      <c r="L82" s="89" t="str">
        <f ca="1">IFERROR(INDIRECT(CONCATENATE("Track1!L",A80+3)),"")</f>
        <v>York</v>
      </c>
      <c r="M82" s="299">
        <f ca="1">IFERROR(INDIRECT(CONCATENATE("Track1!M",A80+3)),"")</f>
        <v>16.399999999999999</v>
      </c>
      <c r="N82" s="121" t="str">
        <f ca="1">IFERROR(INDIRECT(CONCATENATE("Track1!N",A80+3)),"")</f>
        <v/>
      </c>
    </row>
    <row r="83" spans="1:18" x14ac:dyDescent="0.35">
      <c r="B83" s="66">
        <f ca="1">IFERROR(INDIRECT(CONCATENATE("Track1!B",A80+4)),"")</f>
        <v>3</v>
      </c>
      <c r="C83" s="66">
        <f ca="1">IFERROR(INDIRECT(CONCATENATE("Track1!C",A80+4)),"")</f>
        <v>33</v>
      </c>
      <c r="D83" s="89" t="str">
        <f ca="1">IFERROR(INDIRECT(CONCATENATE("Track1!D",A80+4)),"")</f>
        <v>LANSFORD Hollis</v>
      </c>
      <c r="E83" s="89" t="str">
        <f ca="1">IFERROR(INDIRECT(CONCATENATE("Track1!E",A80+4)),"")</f>
        <v>York</v>
      </c>
      <c r="F83" s="299">
        <f ca="1">IFERROR(INDIRECT(CONCATENATE("Track1!F",A80+4)),"")</f>
        <v>16.2</v>
      </c>
      <c r="G83" s="121" t="str">
        <f ca="1">IFERROR(INDIRECT(CONCATENATE("Track1!G",A80+4)),"")</f>
        <v/>
      </c>
      <c r="H83" s="66"/>
      <c r="I83" s="66">
        <f ca="1">IFERROR(INDIRECT(CONCATENATE("Track1!I",A80+4)),"")</f>
        <v>3</v>
      </c>
      <c r="J83" s="66">
        <f ca="1">IFERROR(INDIRECT(CONCATENATE("Track1!J",A80+4)),"")</f>
        <v>22</v>
      </c>
      <c r="K83" s="89" t="str">
        <f ca="1">IFERROR(INDIRECT(CONCATENATE("Track1!K",A80+4)),"")</f>
        <v>SCOTT Leni</v>
      </c>
      <c r="L83" s="89" t="str">
        <f ca="1">IFERROR(INDIRECT(CONCATENATE("Track1!L",A80+4)),"")</f>
        <v>Sheff+D</v>
      </c>
      <c r="M83" s="299">
        <f ca="1">IFERROR(INDIRECT(CONCATENATE("Track1!M",A80+4)),"")</f>
        <v>17</v>
      </c>
      <c r="N83" s="121" t="str">
        <f ca="1">IFERROR(INDIRECT(CONCATENATE("Track1!N",A80+4)),"")</f>
        <v/>
      </c>
    </row>
    <row r="84" spans="1:18" x14ac:dyDescent="0.35">
      <c r="B84" s="66">
        <f ca="1">IFERROR(INDIRECT(CONCATENATE("Track1!B",A80+5)),"")</f>
        <v>4</v>
      </c>
      <c r="C84" s="66">
        <f ca="1">IFERROR(INDIRECT(CONCATENATE("Track1!C",A80+5)),"")</f>
        <v>0</v>
      </c>
      <c r="D84" s="89" t="str">
        <f ca="1">IFERROR(INDIRECT(CONCATENATE("Track1!D",A80+5)),"")</f>
        <v/>
      </c>
      <c r="E84" s="89" t="str">
        <f ca="1">IFERROR(INDIRECT(CONCATENATE("Track1!E",A80+5)),"")</f>
        <v/>
      </c>
      <c r="F84" s="299">
        <f ca="1">IFERROR(INDIRECT(CONCATENATE("Track1!F",A80+5)),"")</f>
        <v>0</v>
      </c>
      <c r="G84" s="121" t="str">
        <f ca="1">IFERROR(INDIRECT(CONCATENATE("Track1!G",A80+5)),"")</f>
        <v/>
      </c>
      <c r="H84" s="66"/>
      <c r="I84" s="66">
        <f ca="1">IFERROR(INDIRECT(CONCATENATE("Track1!I",A80+5)),"")</f>
        <v>4</v>
      </c>
      <c r="J84" s="66">
        <f ca="1">IFERROR(INDIRECT(CONCATENATE("Track1!J",A80+5)),"")</f>
        <v>0</v>
      </c>
      <c r="K84" s="89" t="str">
        <f ca="1">IFERROR(INDIRECT(CONCATENATE("Track1!K",A80+5)),"")</f>
        <v/>
      </c>
      <c r="L84" s="89" t="str">
        <f ca="1">IFERROR(INDIRECT(CONCATENATE("Track1!L",A80+5)),"")</f>
        <v/>
      </c>
      <c r="M84" s="299">
        <f ca="1">IFERROR(INDIRECT(CONCATENATE("Track1!M",A80+5)),"")</f>
        <v>0</v>
      </c>
      <c r="N84" s="121" t="str">
        <f ca="1">IFERROR(INDIRECT(CONCATENATE("Track1!N",A80+5)),"")</f>
        <v/>
      </c>
    </row>
    <row r="85" spans="1:18" x14ac:dyDescent="0.35">
      <c r="B85" s="66">
        <f ca="1">IFERROR(INDIRECT(CONCATENATE("Track1!B",A80+6)),"")</f>
        <v>5</v>
      </c>
      <c r="C85" s="66">
        <f ca="1">IFERROR(INDIRECT(CONCATENATE("Track1!C",A80+6)),"")</f>
        <v>0</v>
      </c>
      <c r="D85" s="89" t="str">
        <f ca="1">IFERROR(INDIRECT(CONCATENATE("Track1!D",A80+6)),"")</f>
        <v/>
      </c>
      <c r="E85" s="89" t="str">
        <f ca="1">IFERROR(INDIRECT(CONCATENATE("Track1!E",A80+6)),"")</f>
        <v/>
      </c>
      <c r="F85" s="299">
        <f ca="1">IFERROR(INDIRECT(CONCATENATE("Track1!F",A80+6)),"")</f>
        <v>0</v>
      </c>
      <c r="G85" s="121" t="str">
        <f ca="1">IFERROR(INDIRECT(CONCATENATE("Track1!G",A80+6)),"")</f>
        <v/>
      </c>
      <c r="H85" s="66"/>
      <c r="I85" s="66">
        <f ca="1">IFERROR(INDIRECT(CONCATENATE("Track1!I",A80+6)),"")</f>
        <v>5</v>
      </c>
      <c r="J85" s="66">
        <f ca="1">IFERROR(INDIRECT(CONCATENATE("Track1!J",A80+6)),"")</f>
        <v>0</v>
      </c>
      <c r="K85" s="89" t="str">
        <f ca="1">IFERROR(INDIRECT(CONCATENATE("Track1!K",A80+6)),"")</f>
        <v/>
      </c>
      <c r="L85" s="89" t="str">
        <f ca="1">IFERROR(INDIRECT(CONCATENATE("Track1!L",A80+6)),"")</f>
        <v/>
      </c>
      <c r="M85" s="299">
        <f ca="1">IFERROR(INDIRECT(CONCATENATE("Track1!M",A80+6)),"")</f>
        <v>0</v>
      </c>
      <c r="N85" s="121" t="str">
        <f ca="1">IFERROR(INDIRECT(CONCATENATE("Track1!N",A80+6)),"")</f>
        <v/>
      </c>
    </row>
    <row r="86" spans="1:18" x14ac:dyDescent="0.35">
      <c r="B86" s="66">
        <f ca="1">IFERROR(INDIRECT(CONCATENATE("Track1!B",A80+7)),"")</f>
        <v>6</v>
      </c>
      <c r="C86" s="66">
        <f ca="1">IFERROR(INDIRECT(CONCATENATE("Track1!C",A80+7)),"")</f>
        <v>0</v>
      </c>
      <c r="D86" s="89" t="str">
        <f ca="1">IFERROR(INDIRECT(CONCATENATE("Track1!D",A80+7)),"")</f>
        <v/>
      </c>
      <c r="E86" s="89" t="str">
        <f ca="1">IFERROR(INDIRECT(CONCATENATE("Track1!E",A80+7)),"")</f>
        <v/>
      </c>
      <c r="F86" s="299">
        <f ca="1">IFERROR(INDIRECT(CONCATENATE("Track1!F",A80+7)),"")</f>
        <v>0</v>
      </c>
      <c r="G86" s="121" t="str">
        <f ca="1">IFERROR(INDIRECT(CONCATENATE("Track1!G",A80+7)),"")</f>
        <v/>
      </c>
      <c r="H86" s="66"/>
      <c r="I86" s="66">
        <f ca="1">IFERROR(INDIRECT(CONCATENATE("Track1!I",A80+7)),"")</f>
        <v>6</v>
      </c>
      <c r="J86" s="66">
        <f ca="1">IFERROR(INDIRECT(CONCATENATE("Track1!J",A80+7)),"")</f>
        <v>0</v>
      </c>
      <c r="K86" s="89" t="str">
        <f ca="1">IFERROR(INDIRECT(CONCATENATE("Track1!K",A80+7)),"")</f>
        <v/>
      </c>
      <c r="L86" s="89" t="str">
        <f ca="1">IFERROR(INDIRECT(CONCATENATE("Track1!L",A80+7)),"")</f>
        <v/>
      </c>
      <c r="M86" s="299">
        <f ca="1">IFERROR(INDIRECT(CONCATENATE("Track1!M",A80+7)),"")</f>
        <v>0</v>
      </c>
      <c r="N86" s="121" t="str">
        <f ca="1">IFERROR(INDIRECT(CONCATENATE("Track1!N",A80+7)),"")</f>
        <v/>
      </c>
    </row>
    <row r="87" spans="1:18" x14ac:dyDescent="0.35">
      <c r="B87" s="66">
        <f ca="1">IFERROR(INDIRECT(CONCATENATE("Track1!B",A80+8)),"")</f>
        <v>7</v>
      </c>
      <c r="C87" s="66">
        <f ca="1">IFERROR(INDIRECT(CONCATENATE("Track1!C",A80+8)),"")</f>
        <v>0</v>
      </c>
      <c r="D87" s="89" t="str">
        <f ca="1">IFERROR(INDIRECT(CONCATENATE("Track1!D",A80+8)),"")</f>
        <v/>
      </c>
      <c r="E87" s="89" t="str">
        <f ca="1">IFERROR(INDIRECT(CONCATENATE("Track1!E",A80+8)),"")</f>
        <v/>
      </c>
      <c r="F87" s="299">
        <f ca="1">IFERROR(INDIRECT(CONCATENATE("Track1!F",A80+8)),"")</f>
        <v>0</v>
      </c>
      <c r="G87" s="121" t="str">
        <f ca="1">IFERROR(INDIRECT(CONCATENATE("Track1!G",A80+8)),"")</f>
        <v/>
      </c>
      <c r="H87" s="66"/>
      <c r="I87" s="66">
        <f ca="1">IFERROR(INDIRECT(CONCATENATE("Track1!I",A80+8)),"")</f>
        <v>7</v>
      </c>
      <c r="J87" s="66">
        <f ca="1">IFERROR(INDIRECT(CONCATENATE("Track1!J",A80+8)),"")</f>
        <v>0</v>
      </c>
      <c r="K87" s="89" t="str">
        <f ca="1">IFERROR(INDIRECT(CONCATENATE("Track1!K",A80+8)),"")</f>
        <v/>
      </c>
      <c r="L87" s="89" t="str">
        <f ca="1">IFERROR(INDIRECT(CONCATENATE("Track1!L",A80+8)),"")</f>
        <v/>
      </c>
      <c r="M87" s="299">
        <f ca="1">IFERROR(INDIRECT(CONCATENATE("Track1!M",A80+8)),"")</f>
        <v>0</v>
      </c>
      <c r="N87" s="121" t="str">
        <f ca="1">IFERROR(INDIRECT(CONCATENATE("Track1!N",A80+8)),"")</f>
        <v/>
      </c>
    </row>
    <row r="88" spans="1:18" x14ac:dyDescent="0.35">
      <c r="B88" s="66">
        <f ca="1">IFERROR(INDIRECT(CONCATENATE("Track1!B",A80+9)),"")</f>
        <v>8</v>
      </c>
      <c r="C88" s="66">
        <f ca="1">IFERROR(INDIRECT(CONCATENATE("Track1!C",A80+9)),"")</f>
        <v>0</v>
      </c>
      <c r="D88" s="89" t="str">
        <f ca="1">IFERROR(INDIRECT(CONCATENATE("Track1!D",A80+9)),"")</f>
        <v/>
      </c>
      <c r="E88" s="89" t="str">
        <f ca="1">IFERROR(INDIRECT(CONCATENATE("Track1!E",A80+9)),"")</f>
        <v/>
      </c>
      <c r="F88" s="299">
        <f ca="1">IFERROR(INDIRECT(CONCATENATE("Track1!F",A80+9)),"")</f>
        <v>0</v>
      </c>
      <c r="G88" s="121" t="str">
        <f ca="1">IFERROR(INDIRECT(CONCATENATE("Track1!G",A80+9)),"")</f>
        <v/>
      </c>
      <c r="H88" s="66"/>
      <c r="I88" s="66">
        <f ca="1">IFERROR(INDIRECT(CONCATENATE("Track1!I",A80+9)),"")</f>
        <v>8</v>
      </c>
      <c r="J88" s="66">
        <f ca="1">IFERROR(INDIRECT(CONCATENATE("Track1!J",A80+9)),"")</f>
        <v>0</v>
      </c>
      <c r="K88" s="89" t="str">
        <f ca="1">IFERROR(INDIRECT(CONCATENATE("Track1!K",A80+9)),"")</f>
        <v/>
      </c>
      <c r="L88" s="89" t="str">
        <f ca="1">IFERROR(INDIRECT(CONCATENATE("Track1!L",A80+9)),"")</f>
        <v/>
      </c>
      <c r="M88" s="299">
        <f ca="1">IFERROR(INDIRECT(CONCATENATE("Track1!M",A80+9)),"")</f>
        <v>0</v>
      </c>
      <c r="N88" s="121" t="str">
        <f ca="1">IFERROR(INDIRECT(CONCATENATE("Track1!N",A80+9)),"")</f>
        <v/>
      </c>
    </row>
    <row r="90" spans="1:18" x14ac:dyDescent="0.35">
      <c r="A90" s="66" t="s">
        <v>300</v>
      </c>
      <c r="B90" s="115" t="str">
        <f ca="1">IFERROR(INDIRECT(CONCATENATE("Field!B",A91)),"")</f>
        <v>Long Jump U15 Boys A</v>
      </c>
      <c r="F90" s="65"/>
      <c r="G90" s="403" t="str">
        <f ca="1">IFERROR(INDIRECT(CONCATENATE("Field!g",A91)),"")</f>
        <v/>
      </c>
      <c r="I90" s="115" t="str">
        <f ca="1">IFERROR(INDIRECT(CONCATENATE("Field!I",A91)),"")</f>
        <v>Long Jump U15 Boys B</v>
      </c>
      <c r="M90" s="67"/>
    </row>
    <row r="91" spans="1:18" x14ac:dyDescent="0.35">
      <c r="A91" s="66">
        <f>IFERROR(MATCH(A90,Field!A:A,0),"")</f>
        <v>167</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row>
    <row r="92" spans="1:18" x14ac:dyDescent="0.35">
      <c r="A92" s="66" t="str">
        <f>"_"&amp;A90</f>
        <v>_LFW04</v>
      </c>
      <c r="B92" s="66">
        <f ca="1">IFERROR(INDIRECT(CONCATENATE("Field!B",A91+2)),"")</f>
        <v>1</v>
      </c>
      <c r="C92" s="66">
        <f ca="1">IFERROR(INDIRECT(CONCATENATE("Field!C",A91+2)),"")</f>
        <v>2</v>
      </c>
      <c r="D92" s="89" t="str">
        <f ca="1">IFERROR(INDIRECT(CONCATENATE("Field!D",A91+2)),"")</f>
        <v>BENTLEY Tom</v>
      </c>
      <c r="E92" s="89" t="str">
        <f ca="1">IFERROR(INDIRECT(CONCATENATE("Field!E",A91+2)),"")</f>
        <v>Sheff+D</v>
      </c>
      <c r="F92" s="149" t="str">
        <f ca="1">IFERROR(TEXT(INDIRECT(CONCATENATE("Field!F",A91+2)),"#.#0")&amp;" "&amp;VLOOKUP(C92,INDIRECT($A$92),5,FALSE),"")</f>
        <v xml:space="preserve">4.92 </v>
      </c>
      <c r="G92" s="121" t="str">
        <f ca="1">IFERROR(INDIRECT(CONCATENATE("Field!G",A91+2)),"")</f>
        <v/>
      </c>
      <c r="H92" s="66"/>
      <c r="I92" s="66">
        <f ca="1">IFERROR(INDIRECT(CONCATENATE("Field!I",A91+2)),"")</f>
        <v>1</v>
      </c>
      <c r="J92" s="66">
        <f ca="1">IFERROR(INDIRECT(CONCATENATE("Field!J",A91+2)),"")</f>
        <v>11</v>
      </c>
      <c r="K92" s="89" t="str">
        <f ca="1">IFERROR(INDIRECT(CONCATENATE("Field!K",A91+2)),"")</f>
        <v>FOOT James</v>
      </c>
      <c r="L92" s="89" t="str">
        <f ca="1">IFERROR(INDIRECT(CONCATENATE("Field!L",A91+2)),"")</f>
        <v>C'field</v>
      </c>
      <c r="M92" s="149" t="str">
        <f ca="1">IFERROR(TEXT(INDIRECT(CONCATENATE("Field!m",A91+2)),"#.#0")&amp;" "&amp;VLOOKUP(J92,INDIRECT($A$92),5,FALSE),"")</f>
        <v xml:space="preserve">4.17 </v>
      </c>
      <c r="N92" s="121" t="str">
        <f ca="1">IFERROR(INDIRECT(CONCATENATE("Field!N",A91+2)),"")</f>
        <v/>
      </c>
      <c r="R92" s="219">
        <f ca="1">IFERROR(INDIRECT(CONCATENATE("Field!r",A91+2)),"")</f>
        <v>1</v>
      </c>
    </row>
    <row r="93" spans="1:18" x14ac:dyDescent="0.35">
      <c r="B93" s="66">
        <f ca="1">IFERROR(INDIRECT(CONCATENATE("Field!B",A91+3)),"")</f>
        <v>2</v>
      </c>
      <c r="C93" s="66">
        <f ca="1">IFERROR(INDIRECT(CONCATENATE("Field!C",A91+3)),"")</f>
        <v>1</v>
      </c>
      <c r="D93" s="89" t="str">
        <f ca="1">IFERROR(INDIRECT(CONCATENATE("Field!D",A91+3)),"")</f>
        <v>FOGDEN Ben</v>
      </c>
      <c r="E93" s="89" t="str">
        <f ca="1">IFERROR(INDIRECT(CONCATENATE("Field!E",A91+3)),"")</f>
        <v>C'field</v>
      </c>
      <c r="F93" s="149" t="str">
        <f ca="1">IFERROR(TEXT(INDIRECT(CONCATENATE("Field!F",A91+3)),"#.#0")&amp;" "&amp;VLOOKUP(C93,INDIRECT($A$92),5,FALSE),"")</f>
        <v xml:space="preserve">4.83 </v>
      </c>
      <c r="G93" s="121" t="str">
        <f ca="1">IFERROR(INDIRECT(CONCATENATE("Field!G",A91+3)),"")</f>
        <v/>
      </c>
      <c r="H93" s="66"/>
      <c r="I93" s="66">
        <f ca="1">IFERROR(INDIRECT(CONCATENATE("Field!I",A91+3)),"")</f>
        <v>2</v>
      </c>
      <c r="J93" s="66">
        <f ca="1">IFERROR(INDIRECT(CONCATENATE("Field!J",A91+3)),"")</f>
        <v>33</v>
      </c>
      <c r="K93" s="89" t="str">
        <f ca="1">IFERROR(INDIRECT(CONCATENATE("Field!K",A91+3)),"")</f>
        <v>LANSFORD Hollis</v>
      </c>
      <c r="L93" s="89" t="str">
        <f ca="1">IFERROR(INDIRECT(CONCATENATE("Field!L",A91+3)),"")</f>
        <v>York</v>
      </c>
      <c r="M93" s="149" t="str">
        <f ca="1">IFERROR(TEXT(INDIRECT(CONCATENATE("Field!m",A91+3)),"#.#0")&amp;" "&amp;VLOOKUP(J93,INDIRECT($A$92),5,FALSE),"")</f>
        <v xml:space="preserve">4.17 </v>
      </c>
      <c r="N93" s="121" t="str">
        <f ca="1">IFERROR(INDIRECT(CONCATENATE("Field!N",A91+3)),"")</f>
        <v/>
      </c>
    </row>
    <row r="94" spans="1:18" x14ac:dyDescent="0.35">
      <c r="B94" s="66">
        <f ca="1">IFERROR(INDIRECT(CONCATENATE("Field!B",A91+4)),"")</f>
        <v>3</v>
      </c>
      <c r="C94" s="66">
        <f ca="1">IFERROR(INDIRECT(CONCATENATE("Field!C",A91+4)),"")</f>
        <v>4</v>
      </c>
      <c r="D94" s="89" t="str">
        <f ca="1">IFERROR(INDIRECT(CONCATENATE("Field!D",A91+4)),"")</f>
        <v>CHINNERY Norton</v>
      </c>
      <c r="E94" s="89" t="str">
        <f ca="1">IFERROR(INDIRECT(CONCATENATE("Field!E",A91+4)),"")</f>
        <v>M'bro</v>
      </c>
      <c r="F94" s="149" t="str">
        <f ca="1">IFERROR(TEXT(INDIRECT(CONCATENATE("Field!F",A91+4)),"#.#0")&amp;" "&amp;VLOOKUP(C94,INDIRECT($A$92),5,FALSE),"")</f>
        <v xml:space="preserve">4.61 </v>
      </c>
      <c r="G94" s="121" t="str">
        <f ca="1">IFERROR(INDIRECT(CONCATENATE("Field!G",A91+4)),"")</f>
        <v/>
      </c>
      <c r="H94" s="66"/>
      <c r="I94" s="66">
        <f ca="1">IFERROR(INDIRECT(CONCATENATE("Field!I",A91+4)),"")</f>
        <v>3</v>
      </c>
      <c r="J94" s="66">
        <f ca="1">IFERROR(INDIRECT(CONCATENATE("Field!J",A91+4)),"")</f>
        <v>22</v>
      </c>
      <c r="K94" s="89" t="str">
        <f ca="1">IFERROR(INDIRECT(CONCATENATE("Field!K",A91+4)),"")</f>
        <v>SCOTT Leni</v>
      </c>
      <c r="L94" s="89" t="str">
        <f ca="1">IFERROR(INDIRECT(CONCATENATE("Field!L",A91+4)),"")</f>
        <v>Sheff+D</v>
      </c>
      <c r="M94" s="149" t="str">
        <f ca="1">IFERROR(TEXT(INDIRECT(CONCATENATE("Field!m",A91+4)),"#.#0")&amp;" "&amp;VLOOKUP(J94,INDIRECT($A$92),5,FALSE),"")</f>
        <v xml:space="preserve">4.11 </v>
      </c>
      <c r="N94" s="121" t="str">
        <f ca="1">IFERROR(INDIRECT(CONCATENATE("Field!N",A91+4)),"")</f>
        <v/>
      </c>
    </row>
    <row r="95" spans="1:18" x14ac:dyDescent="0.35">
      <c r="B95" s="66">
        <f ca="1">IFERROR(INDIRECT(CONCATENATE("Field!B",A91+5)),"")</f>
        <v>4</v>
      </c>
      <c r="C95" s="66">
        <f ca="1">IFERROR(INDIRECT(CONCATENATE("Field!C",A91+5)),"")</f>
        <v>3</v>
      </c>
      <c r="D95" s="89" t="str">
        <f ca="1">IFERROR(INDIRECT(CONCATENATE("Field!D",A91+5)),"")</f>
        <v>COOK Harry</v>
      </c>
      <c r="E95" s="89" t="str">
        <f ca="1">IFERROR(INDIRECT(CONCATENATE("Field!E",A91+5)),"")</f>
        <v>York</v>
      </c>
      <c r="F95" s="149" t="str">
        <f ca="1">IFERROR(TEXT(INDIRECT(CONCATENATE("Field!F",A91+5)),"#.#0")&amp;" "&amp;VLOOKUP(C95,INDIRECT($A$92),5,FALSE),"")</f>
        <v xml:space="preserve">4.41 </v>
      </c>
      <c r="G95" s="121" t="str">
        <f ca="1">IFERROR(INDIRECT(CONCATENATE("Field!G",A91+5)),"")</f>
        <v/>
      </c>
      <c r="H95" s="66"/>
      <c r="I95" s="66">
        <f ca="1">IFERROR(INDIRECT(CONCATENATE("Field!I",A91+5)),"")</f>
        <v>4</v>
      </c>
      <c r="J95" s="66">
        <f ca="1">IFERROR(INDIRECT(CONCATENATE("Field!J",A91+5)),"")</f>
        <v>44</v>
      </c>
      <c r="K95" s="89" t="str">
        <f ca="1">IFERROR(INDIRECT(CONCATENATE("Field!K",A91+5)),"")</f>
        <v>IBEH Terrell</v>
      </c>
      <c r="L95" s="89" t="str">
        <f ca="1">IFERROR(INDIRECT(CONCATENATE("Field!L",A91+5)),"")</f>
        <v>M'bro</v>
      </c>
      <c r="M95" s="149" t="str">
        <f ca="1">IFERROR(TEXT(INDIRECT(CONCATENATE("Field!m",A91+5)),"#.#0")&amp;" "&amp;VLOOKUP(J95,INDIRECT($A$92),5,FALSE),"")</f>
        <v xml:space="preserve">3.75 </v>
      </c>
      <c r="N95" s="121" t="str">
        <f ca="1">IFERROR(INDIRECT(CONCATENATE("Field!N",A91+5)),"")</f>
        <v/>
      </c>
    </row>
    <row r="96" spans="1:18" x14ac:dyDescent="0.35">
      <c r="B96" s="66">
        <f ca="1">IFERROR(INDIRECT(CONCATENATE("Field!B",A91+6)),"")</f>
        <v>5</v>
      </c>
      <c r="C96" s="66" t="str">
        <f ca="1">IFERROR(INDIRECT(CONCATENATE("Field!C",A91+6)),"")</f>
        <v/>
      </c>
      <c r="D96" s="89" t="str">
        <f ca="1">IFERROR(INDIRECT(CONCATENATE("Field!D",A91+6)),"")</f>
        <v/>
      </c>
      <c r="E96" s="89" t="str">
        <f ca="1">IFERROR(INDIRECT(CONCATENATE("Field!E",A91+6)),"")</f>
        <v/>
      </c>
      <c r="F96" s="149" t="str">
        <f ca="1">IFERROR(TEXT(INDIRECT(CONCATENATE("Field!F",A91+6)),"#.#0")&amp;" "&amp;VLOOKUP(C96,INDIRECT($A$92),5,FALSE),"")</f>
        <v/>
      </c>
      <c r="G96" s="121" t="str">
        <f ca="1">IFERROR(INDIRECT(CONCATENATE("Field!G",A91+6)),"")</f>
        <v/>
      </c>
      <c r="H96" s="66"/>
      <c r="I96" s="66">
        <f ca="1">IFERROR(INDIRECT(CONCATENATE("Field!I",A91+6)),"")</f>
        <v>5</v>
      </c>
      <c r="J96" s="66" t="str">
        <f ca="1">IFERROR(INDIRECT(CONCATENATE("Field!J",A91+6)),"")</f>
        <v/>
      </c>
      <c r="K96" s="89" t="str">
        <f ca="1">IFERROR(INDIRECT(CONCATENATE("Field!K",A91+6)),"")</f>
        <v/>
      </c>
      <c r="L96" s="89" t="str">
        <f ca="1">IFERROR(INDIRECT(CONCATENATE("Field!L",A91+6)),"")</f>
        <v/>
      </c>
      <c r="M96" s="149" t="str">
        <f ca="1">IFERROR(TEXT(INDIRECT(CONCATENATE("Field!m",A91+6)),"#.#0")&amp;" "&amp;VLOOKUP(J96,INDIRECT($A$92),5,FALSE),"")</f>
        <v/>
      </c>
      <c r="N96" s="121" t="str">
        <f ca="1">IFERROR(INDIRECT(CONCATENATE("Field!N",A91+6)),"")</f>
        <v/>
      </c>
    </row>
    <row r="97" spans="1:18" x14ac:dyDescent="0.35">
      <c r="B97" s="66">
        <f ca="1">IFERROR(INDIRECT(CONCATENATE("Field!B",A91+7)),"")</f>
        <v>6</v>
      </c>
      <c r="C97" s="66" t="str">
        <f ca="1">IFERROR(INDIRECT(CONCATENATE("Field!C",A91+7)),"")</f>
        <v/>
      </c>
      <c r="D97" s="89" t="str">
        <f ca="1">IFERROR(INDIRECT(CONCATENATE("Field!D",A91+7)),"")</f>
        <v/>
      </c>
      <c r="E97" s="89" t="str">
        <f ca="1">IFERROR(INDIRECT(CONCATENATE("Field!E",A91+7)),"")</f>
        <v/>
      </c>
      <c r="F97" s="149" t="str">
        <f ca="1">IFERROR(TEXT(INDIRECT(CONCATENATE("Field!F",A91+7)),"#.#0")&amp;" "&amp;VLOOKUP(C97,INDIRECT($A$92),5,FALSE),"")</f>
        <v/>
      </c>
      <c r="G97" s="121" t="str">
        <f ca="1">IFERROR(INDIRECT(CONCATENATE("Field!G",A91+7)),"")</f>
        <v/>
      </c>
      <c r="H97" s="66"/>
      <c r="I97" s="66">
        <f ca="1">IFERROR(INDIRECT(CONCATENATE("Field!I",A91+7)),"")</f>
        <v>6</v>
      </c>
      <c r="J97" s="66" t="str">
        <f ca="1">IFERROR(INDIRECT(CONCATENATE("Field!J",A91+7)),"")</f>
        <v/>
      </c>
      <c r="K97" s="89" t="str">
        <f ca="1">IFERROR(INDIRECT(CONCATENATE("Field!K",A91+7)),"")</f>
        <v/>
      </c>
      <c r="L97" s="89" t="str">
        <f ca="1">IFERROR(INDIRECT(CONCATENATE("Field!L",A91+7)),"")</f>
        <v/>
      </c>
      <c r="M97" s="149" t="str">
        <f ca="1">IFERROR(TEXT(INDIRECT(CONCATENATE("Field!m",A91+7)),"#.#0")&amp;" "&amp;VLOOKUP(J97,INDIRECT($A$92),5,FALSE),"")</f>
        <v/>
      </c>
      <c r="N97" s="121" t="str">
        <f ca="1">IFERROR(INDIRECT(CONCATENATE("Field!N",A91+7)),"")</f>
        <v/>
      </c>
    </row>
    <row r="98" spans="1:18" x14ac:dyDescent="0.35">
      <c r="B98" s="66">
        <f ca="1">IFERROR(INDIRECT(CONCATENATE("Field!B",A91+8)),"")</f>
        <v>7</v>
      </c>
      <c r="C98" s="66" t="str">
        <f ca="1">IFERROR(INDIRECT(CONCATENATE("Field!C",A91+8)),"")</f>
        <v/>
      </c>
      <c r="D98" s="89" t="str">
        <f ca="1">IFERROR(INDIRECT(CONCATENATE("Field!D",A91+8)),"")</f>
        <v/>
      </c>
      <c r="E98" s="89" t="str">
        <f ca="1">IFERROR(INDIRECT(CONCATENATE("Field!E",A91+8)),"")</f>
        <v/>
      </c>
      <c r="F98" s="149" t="str">
        <f ca="1">IFERROR(TEXT(INDIRECT(CONCATENATE("Field!F",A91+8)),"#.#0")&amp;" "&amp;VLOOKUP(C98,INDIRECT($A$92),5,FALSE),"")</f>
        <v/>
      </c>
      <c r="G98" s="121" t="str">
        <f ca="1">IFERROR(INDIRECT(CONCATENATE("Field!G",A91+8)),"")</f>
        <v/>
      </c>
      <c r="H98" s="66"/>
      <c r="I98" s="66">
        <f ca="1">IFERROR(INDIRECT(CONCATENATE("Field!I",A91+8)),"")</f>
        <v>7</v>
      </c>
      <c r="J98" s="66" t="str">
        <f ca="1">IFERROR(INDIRECT(CONCATENATE("Field!J",A91+8)),"")</f>
        <v/>
      </c>
      <c r="K98" s="89" t="str">
        <f ca="1">IFERROR(INDIRECT(CONCATENATE("Field!K",A91+8)),"")</f>
        <v/>
      </c>
      <c r="L98" s="89" t="str">
        <f ca="1">IFERROR(INDIRECT(CONCATENATE("Field!L",A91+8)),"")</f>
        <v/>
      </c>
      <c r="M98" s="149" t="str">
        <f ca="1">IFERROR(TEXT(INDIRECT(CONCATENATE("Field!m",A91+8)),"#.#0")&amp;" "&amp;VLOOKUP(J98,INDIRECT($A$92),5,FALSE),"")</f>
        <v/>
      </c>
      <c r="N98" s="121" t="str">
        <f ca="1">IFERROR(INDIRECT(CONCATENATE("Field!N",A91+8)),"")</f>
        <v/>
      </c>
    </row>
    <row r="99" spans="1:18" x14ac:dyDescent="0.35">
      <c r="B99" s="66">
        <f ca="1">IFERROR(INDIRECT(CONCATENATE("Field!B",A91+9)),"")</f>
        <v>8</v>
      </c>
      <c r="C99" s="66" t="str">
        <f ca="1">IFERROR(INDIRECT(CONCATENATE("Field!C",A91+9)),"")</f>
        <v/>
      </c>
      <c r="D99" s="89" t="str">
        <f ca="1">IFERROR(INDIRECT(CONCATENATE("Field!D",A91+9)),"")</f>
        <v/>
      </c>
      <c r="E99" s="89" t="str">
        <f ca="1">IFERROR(INDIRECT(CONCATENATE("Field!E",A91+9)),"")</f>
        <v/>
      </c>
      <c r="F99" s="149" t="str">
        <f ca="1">IFERROR(TEXT(INDIRECT(CONCATENATE("Field!F",A91+9)),"#.#0")&amp;" "&amp;VLOOKUP(C99,INDIRECT($A$92),5,FALSE),"")</f>
        <v/>
      </c>
      <c r="G99" s="121" t="str">
        <f ca="1">IFERROR(INDIRECT(CONCATENATE("Field!G",A91+9)),"")</f>
        <v/>
      </c>
      <c r="H99" s="66"/>
      <c r="I99" s="66">
        <f ca="1">IFERROR(INDIRECT(CONCATENATE("Field!I",A91+9)),"")</f>
        <v>8</v>
      </c>
      <c r="J99" s="66" t="str">
        <f ca="1">IFERROR(INDIRECT(CONCATENATE("Field!J",A91+9)),"")</f>
        <v/>
      </c>
      <c r="K99" s="89" t="str">
        <f ca="1">IFERROR(INDIRECT(CONCATENATE("Field!K",A91+9)),"")</f>
        <v/>
      </c>
      <c r="L99" s="89" t="str">
        <f ca="1">IFERROR(INDIRECT(CONCATENATE("Field!L",A91+9)),"")</f>
        <v/>
      </c>
      <c r="M99" s="149" t="str">
        <f ca="1">IFERROR(TEXT(INDIRECT(CONCATENATE("Field!m",A91+9)),"#.#0")&amp;" "&amp;VLOOKUP(J99,INDIRECT($A$92),5,FALSE),"")</f>
        <v/>
      </c>
      <c r="N99" s="121" t="str">
        <f ca="1">IFERROR(INDIRECT(CONCATENATE("Field!N",A91+9)),"")</f>
        <v/>
      </c>
    </row>
    <row r="100" spans="1:18" x14ac:dyDescent="0.35">
      <c r="F100" s="67"/>
      <c r="M100" s="67"/>
    </row>
    <row r="101" spans="1:18" x14ac:dyDescent="0.35">
      <c r="A101" s="66" t="s">
        <v>241</v>
      </c>
      <c r="B101" s="115" t="str">
        <f ca="1">IFERROR(INDIRECT(CONCATENATE("Field!B",A102)),"")</f>
        <v>High Jump U15 Boys A</v>
      </c>
      <c r="F101" s="67"/>
      <c r="G101" s="121" t="str">
        <f ca="1">IFERROR(INDIRECT(CONCATENATE("Field!g",A102)),"")</f>
        <v/>
      </c>
      <c r="I101" s="115" t="str">
        <f ca="1">IFERROR(INDIRECT(CONCATENATE("Field!I",A102)),"")</f>
        <v>High Jump U15 Boys B</v>
      </c>
      <c r="M101" s="67"/>
    </row>
    <row r="102" spans="1:18" x14ac:dyDescent="0.35">
      <c r="A102" s="66">
        <f>IFERROR(MATCH(A101,Field!A:A,0),"")</f>
        <v>233</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row>
    <row r="103" spans="1:18" x14ac:dyDescent="0.35">
      <c r="B103" s="66">
        <f ca="1">IFERROR(INDIRECT(CONCATENATE("Field!B",A102+2)),"")</f>
        <v>1</v>
      </c>
      <c r="C103" s="66">
        <f ca="1">IFERROR(INDIRECT(CONCATENATE("Field!C",A102+2)),"")</f>
        <v>3</v>
      </c>
      <c r="D103" s="89" t="str">
        <f ca="1">IFERROR(INDIRECT(CONCATENATE("Field!D",A102+2)),"")</f>
        <v>HENSON Isaac</v>
      </c>
      <c r="E103" s="89" t="str">
        <f ca="1">IFERROR(INDIRECT(CONCATENATE("Field!E",A102+2)),"")</f>
        <v>York</v>
      </c>
      <c r="F103" s="65">
        <f ca="1">IFERROR(INDIRECT(CONCATENATE("Field!F",A102+2)),"")</f>
        <v>1.35</v>
      </c>
      <c r="G103" s="121" t="str">
        <f ca="1">IFERROR(INDIRECT(CONCATENATE("Field!G",A102+2)),"")</f>
        <v/>
      </c>
      <c r="H103" s="66"/>
      <c r="I103" s="66">
        <f ca="1">IFERROR(INDIRECT(CONCATENATE("Field!I",A102+2)),"")</f>
        <v>1</v>
      </c>
      <c r="J103" s="66">
        <f ca="1">IFERROR(INDIRECT(CONCATENATE("Field!J",A102+2)),"")</f>
        <v>1</v>
      </c>
      <c r="K103" s="89" t="str">
        <f ca="1">IFERROR(INDIRECT(CONCATENATE("Field!K",A102+2)),"")</f>
        <v>PEERS-WAIN Jacob</v>
      </c>
      <c r="L103" s="89" t="str">
        <f ca="1">IFERROR(INDIRECT(CONCATENATE("Field!L",A102+2)),"")</f>
        <v>C'field</v>
      </c>
      <c r="M103" s="65">
        <f ca="1">IFERROR(INDIRECT(CONCATENATE("Field!M",A102+2)),"")</f>
        <v>1.25</v>
      </c>
      <c r="N103" s="121" t="str">
        <f ca="1">IFERROR(INDIRECT(CONCATENATE("Field!N",A102+2)),"")</f>
        <v/>
      </c>
      <c r="R103" s="219">
        <f ca="1">IFERROR(INDIRECT(CONCATENATE("Field!r",A102+2)),"")</f>
        <v>1</v>
      </c>
    </row>
    <row r="104" spans="1:18" x14ac:dyDescent="0.35">
      <c r="B104" s="66">
        <f ca="1">IFERROR(INDIRECT(CONCATENATE("Field!B",A102+3)),"")</f>
        <v>2</v>
      </c>
      <c r="C104" s="66">
        <f ca="1">IFERROR(INDIRECT(CONCATENATE("Field!C",A102+3)),"")</f>
        <v>11</v>
      </c>
      <c r="D104" s="89" t="str">
        <f ca="1">IFERROR(INDIRECT(CONCATENATE("Field!D",A102+3)),"")</f>
        <v>FOOT James</v>
      </c>
      <c r="E104" s="89" t="str">
        <f ca="1">IFERROR(INDIRECT(CONCATENATE("Field!E",A102+3)),"")</f>
        <v>C'field</v>
      </c>
      <c r="F104" s="65">
        <f ca="1">IFERROR(INDIRECT(CONCATENATE("Field!F",A102+3)),"")</f>
        <v>1.35</v>
      </c>
      <c r="G104" s="121" t="str">
        <f ca="1">IFERROR(INDIRECT(CONCATENATE("Field!G",A102+3)),"")</f>
        <v/>
      </c>
      <c r="H104" s="66"/>
      <c r="I104" s="66" t="str">
        <f ca="1">IFERROR(INDIRECT(CONCATENATE("Field!I",A102+3)),"")</f>
        <v/>
      </c>
      <c r="J104" s="66" t="str">
        <f ca="1">IFERROR(INDIRECT(CONCATENATE("Field!J",A102+3)),"")</f>
        <v/>
      </c>
      <c r="K104" s="89" t="str">
        <f ca="1">IFERROR(INDIRECT(CONCATENATE("Field!K",A102+3)),"")</f>
        <v/>
      </c>
      <c r="L104" s="89" t="str">
        <f ca="1">IFERROR(INDIRECT(CONCATENATE("Field!L",A102+3)),"")</f>
        <v/>
      </c>
      <c r="M104" s="65">
        <f ca="1">IFERROR(INDIRECT(CONCATENATE("Field!M",A102+3)),"")</f>
        <v>0</v>
      </c>
      <c r="N104" s="121" t="str">
        <f ca="1">IFERROR(INDIRECT(CONCATENATE("Field!N",A102+3)),"")</f>
        <v/>
      </c>
    </row>
    <row r="105" spans="1:18" x14ac:dyDescent="0.35">
      <c r="B105" s="66">
        <f ca="1">IFERROR(INDIRECT(CONCATENATE("Field!B",A102+4)),"")</f>
        <v>3</v>
      </c>
      <c r="C105" s="66">
        <f ca="1">IFERROR(INDIRECT(CONCATENATE("Field!C",A102+4)),"")</f>
        <v>2</v>
      </c>
      <c r="D105" s="89" t="str">
        <f ca="1">IFERROR(INDIRECT(CONCATENATE("Field!D",A102+4)),"")</f>
        <v>LANE William</v>
      </c>
      <c r="E105" s="89" t="str">
        <f ca="1">IFERROR(INDIRECT(CONCATENATE("Field!E",A102+4)),"")</f>
        <v>Sheff+D</v>
      </c>
      <c r="F105" s="65">
        <f ca="1">IFERROR(INDIRECT(CONCATENATE("Field!F",A102+4)),"")</f>
        <v>1.25</v>
      </c>
      <c r="G105" s="121" t="str">
        <f ca="1">IFERROR(INDIRECT(CONCATENATE("Field!G",A102+4)),"")</f>
        <v/>
      </c>
      <c r="H105" s="66"/>
      <c r="I105" s="66" t="str">
        <f ca="1">IFERROR(INDIRECT(CONCATENATE("Field!I",A102+4)),"")</f>
        <v/>
      </c>
      <c r="J105" s="66" t="str">
        <f ca="1">IFERROR(INDIRECT(CONCATENATE("Field!J",A102+4)),"")</f>
        <v/>
      </c>
      <c r="K105" s="89" t="str">
        <f ca="1">IFERROR(INDIRECT(CONCATENATE("Field!K",A102+4)),"")</f>
        <v/>
      </c>
      <c r="L105" s="89" t="str">
        <f ca="1">IFERROR(INDIRECT(CONCATENATE("Field!L",A102+4)),"")</f>
        <v/>
      </c>
      <c r="M105" s="65">
        <f ca="1">IFERROR(INDIRECT(CONCATENATE("Field!M",A102+4)),"")</f>
        <v>0</v>
      </c>
      <c r="N105" s="121" t="str">
        <f ca="1">IFERROR(INDIRECT(CONCATENATE("Field!N",A102+4)),"")</f>
        <v/>
      </c>
    </row>
    <row r="106" spans="1:18" x14ac:dyDescent="0.35">
      <c r="B106" s="66" t="str">
        <f ca="1">IFERROR(INDIRECT(CONCATENATE("Field!B",A102+5)),"")</f>
        <v/>
      </c>
      <c r="C106" s="66" t="str">
        <f ca="1">IFERROR(INDIRECT(CONCATENATE("Field!C",A102+5)),"")</f>
        <v/>
      </c>
      <c r="D106" s="89" t="str">
        <f ca="1">IFERROR(INDIRECT(CONCATENATE("Field!D",A102+5)),"")</f>
        <v/>
      </c>
      <c r="E106" s="89" t="str">
        <f ca="1">IFERROR(INDIRECT(CONCATENATE("Field!E",A102+5)),"")</f>
        <v/>
      </c>
      <c r="F106" s="65">
        <f ca="1">IFERROR(INDIRECT(CONCATENATE("Field!F",A102+5)),"")</f>
        <v>0</v>
      </c>
      <c r="G106" s="121" t="str">
        <f ca="1">IFERROR(INDIRECT(CONCATENATE("Field!G",A102+5)),"")</f>
        <v/>
      </c>
      <c r="H106" s="66"/>
      <c r="I106" s="66" t="str">
        <f ca="1">IFERROR(INDIRECT(CONCATENATE("Field!I",A102+5)),"")</f>
        <v/>
      </c>
      <c r="J106" s="66" t="str">
        <f ca="1">IFERROR(INDIRECT(CONCATENATE("Field!J",A102+5)),"")</f>
        <v/>
      </c>
      <c r="K106" s="89" t="str">
        <f ca="1">IFERROR(INDIRECT(CONCATENATE("Field!K",A102+5)),"")</f>
        <v/>
      </c>
      <c r="L106" s="89" t="str">
        <f ca="1">IFERROR(INDIRECT(CONCATENATE("Field!L",A102+5)),"")</f>
        <v/>
      </c>
      <c r="M106" s="65">
        <f ca="1">IFERROR(INDIRECT(CONCATENATE("Field!M",A102+5)),"")</f>
        <v>0</v>
      </c>
      <c r="N106" s="121" t="str">
        <f ca="1">IFERROR(INDIRECT(CONCATENATE("Field!N",A102+5)),"")</f>
        <v/>
      </c>
    </row>
    <row r="107" spans="1:18" x14ac:dyDescent="0.35">
      <c r="B107" s="66" t="str">
        <f ca="1">IFERROR(INDIRECT(CONCATENATE("Field!B",A102+6)),"")</f>
        <v/>
      </c>
      <c r="C107" s="66" t="str">
        <f ca="1">IFERROR(INDIRECT(CONCATENATE("Field!C",A102+6)),"")</f>
        <v/>
      </c>
      <c r="D107" s="89" t="str">
        <f ca="1">IFERROR(INDIRECT(CONCATENATE("Field!D",A102+6)),"")</f>
        <v/>
      </c>
      <c r="E107" s="89" t="str">
        <f ca="1">IFERROR(INDIRECT(CONCATENATE("Field!E",A102+6)),"")</f>
        <v/>
      </c>
      <c r="F107" s="65">
        <f ca="1">IFERROR(INDIRECT(CONCATENATE("Field!F",A102+6)),"")</f>
        <v>0</v>
      </c>
      <c r="G107" s="121" t="str">
        <f ca="1">IFERROR(INDIRECT(CONCATENATE("Field!G",A102+6)),"")</f>
        <v/>
      </c>
      <c r="H107" s="66"/>
      <c r="I107" s="66" t="str">
        <f ca="1">IFERROR(INDIRECT(CONCATENATE("Field!I",A102+6)),"")</f>
        <v/>
      </c>
      <c r="J107" s="66" t="str">
        <f ca="1">IFERROR(INDIRECT(CONCATENATE("Field!J",A102+6)),"")</f>
        <v/>
      </c>
      <c r="K107" s="89" t="str">
        <f ca="1">IFERROR(INDIRECT(CONCATENATE("Field!K",A102+6)),"")</f>
        <v/>
      </c>
      <c r="L107" s="89" t="str">
        <f ca="1">IFERROR(INDIRECT(CONCATENATE("Field!L",A102+6)),"")</f>
        <v/>
      </c>
      <c r="M107" s="65">
        <f ca="1">IFERROR(INDIRECT(CONCATENATE("Field!M",A102+6)),"")</f>
        <v>0</v>
      </c>
      <c r="N107" s="121" t="str">
        <f ca="1">IFERROR(INDIRECT(CONCATENATE("Field!N",A102+6)),"")</f>
        <v/>
      </c>
    </row>
    <row r="108" spans="1:18" x14ac:dyDescent="0.35">
      <c r="B108" s="66" t="str">
        <f ca="1">IFERROR(INDIRECT(CONCATENATE("Field!B",A102+7)),"")</f>
        <v/>
      </c>
      <c r="C108" s="66" t="str">
        <f ca="1">IFERROR(INDIRECT(CONCATENATE("Field!C",A102+7)),"")</f>
        <v/>
      </c>
      <c r="D108" s="89" t="str">
        <f ca="1">IFERROR(INDIRECT(CONCATENATE("Field!D",A102+7)),"")</f>
        <v/>
      </c>
      <c r="E108" s="89" t="str">
        <f ca="1">IFERROR(INDIRECT(CONCATENATE("Field!E",A102+7)),"")</f>
        <v/>
      </c>
      <c r="F108" s="65">
        <f ca="1">IFERROR(INDIRECT(CONCATENATE("Field!F",A102+7)),"")</f>
        <v>0</v>
      </c>
      <c r="G108" s="121" t="str">
        <f ca="1">IFERROR(INDIRECT(CONCATENATE("Field!G",A102+7)),"")</f>
        <v/>
      </c>
      <c r="H108" s="66"/>
      <c r="I108" s="66" t="str">
        <f ca="1">IFERROR(INDIRECT(CONCATENATE("Field!I",A102+7)),"")</f>
        <v/>
      </c>
      <c r="J108" s="66" t="str">
        <f ca="1">IFERROR(INDIRECT(CONCATENATE("Field!J",A102+7)),"")</f>
        <v/>
      </c>
      <c r="K108" s="89" t="str">
        <f ca="1">IFERROR(INDIRECT(CONCATENATE("Field!K",A102+7)),"")</f>
        <v/>
      </c>
      <c r="L108" s="89" t="str">
        <f ca="1">IFERROR(INDIRECT(CONCATENATE("Field!L",A102+7)),"")</f>
        <v/>
      </c>
      <c r="M108" s="65">
        <f ca="1">IFERROR(INDIRECT(CONCATENATE("Field!M",A102+7)),"")</f>
        <v>0</v>
      </c>
      <c r="N108" s="121" t="str">
        <f ca="1">IFERROR(INDIRECT(CONCATENATE("Field!N",A102+7)),"")</f>
        <v/>
      </c>
    </row>
    <row r="109" spans="1:18" x14ac:dyDescent="0.35">
      <c r="B109" s="66" t="str">
        <f ca="1">IFERROR(INDIRECT(CONCATENATE("Field!B",A102+8)),"")</f>
        <v/>
      </c>
      <c r="C109" s="66" t="str">
        <f ca="1">IFERROR(INDIRECT(CONCATENATE("Field!C",A102+8)),"")</f>
        <v/>
      </c>
      <c r="D109" s="89" t="str">
        <f ca="1">IFERROR(INDIRECT(CONCATENATE("Field!D",A102+8)),"")</f>
        <v/>
      </c>
      <c r="E109" s="89" t="str">
        <f ca="1">IFERROR(INDIRECT(CONCATENATE("Field!E",A102+8)),"")</f>
        <v/>
      </c>
      <c r="F109" s="65">
        <f ca="1">IFERROR(INDIRECT(CONCATENATE("Field!F",A102+8)),"")</f>
        <v>0</v>
      </c>
      <c r="G109" s="121" t="str">
        <f ca="1">IFERROR(INDIRECT(CONCATENATE("Field!G",A102+8)),"")</f>
        <v/>
      </c>
      <c r="H109" s="66"/>
      <c r="I109" s="66" t="str">
        <f ca="1">IFERROR(INDIRECT(CONCATENATE("Field!I",A102+8)),"")</f>
        <v/>
      </c>
      <c r="J109" s="66" t="str">
        <f ca="1">IFERROR(INDIRECT(CONCATENATE("Field!J",A102+8)),"")</f>
        <v/>
      </c>
      <c r="K109" s="89" t="str">
        <f ca="1">IFERROR(INDIRECT(CONCATENATE("Field!K",A102+8)),"")</f>
        <v/>
      </c>
      <c r="L109" s="89" t="str">
        <f ca="1">IFERROR(INDIRECT(CONCATENATE("Field!L",A102+8)),"")</f>
        <v/>
      </c>
      <c r="M109" s="65">
        <f ca="1">IFERROR(INDIRECT(CONCATENATE("Field!M",A102+8)),"")</f>
        <v>0</v>
      </c>
      <c r="N109" s="121" t="str">
        <f ca="1">IFERROR(INDIRECT(CONCATENATE("Field!N",A102+8)),"")</f>
        <v/>
      </c>
    </row>
    <row r="110" spans="1:18" x14ac:dyDescent="0.35">
      <c r="B110" s="66" t="str">
        <f ca="1">IFERROR(INDIRECT(CONCATENATE("Field!B",A102+9)),"")</f>
        <v/>
      </c>
      <c r="C110" s="66" t="str">
        <f ca="1">IFERROR(INDIRECT(CONCATENATE("Field!C",A102+9)),"")</f>
        <v/>
      </c>
      <c r="D110" s="89" t="str">
        <f ca="1">IFERROR(INDIRECT(CONCATENATE("Field!D",A102+9)),"")</f>
        <v/>
      </c>
      <c r="E110" s="89" t="str">
        <f ca="1">IFERROR(INDIRECT(CONCATENATE("Field!E",A102+9)),"")</f>
        <v/>
      </c>
      <c r="F110" s="65">
        <f ca="1">IFERROR(INDIRECT(CONCATENATE("Field!F",A102+9)),"")</f>
        <v>0</v>
      </c>
      <c r="G110" s="121" t="str">
        <f ca="1">IFERROR(INDIRECT(CONCATENATE("Field!G",A102+9)),"")</f>
        <v/>
      </c>
      <c r="H110" s="66"/>
      <c r="I110" s="66" t="str">
        <f ca="1">IFERROR(INDIRECT(CONCATENATE("Field!I",A102+9)),"")</f>
        <v/>
      </c>
      <c r="J110" s="66" t="str">
        <f ca="1">IFERROR(INDIRECT(CONCATENATE("Field!J",A102+9)),"")</f>
        <v/>
      </c>
      <c r="K110" s="89" t="str">
        <f ca="1">IFERROR(INDIRECT(CONCATENATE("Field!K",A102+9)),"")</f>
        <v/>
      </c>
      <c r="L110" s="89" t="str">
        <f ca="1">IFERROR(INDIRECT(CONCATENATE("Field!L",A102+9)),"")</f>
        <v/>
      </c>
      <c r="M110" s="65">
        <f ca="1">IFERROR(INDIRECT(CONCATENATE("Field!M",A102+9)),"")</f>
        <v>0</v>
      </c>
      <c r="N110" s="121" t="str">
        <f ca="1">IFERROR(INDIRECT(CONCATENATE("Field!N",A102+9)),"")</f>
        <v/>
      </c>
    </row>
    <row r="111" spans="1:18" x14ac:dyDescent="0.35">
      <c r="F111" s="67"/>
      <c r="M111" s="67"/>
    </row>
    <row r="112" spans="1:18" x14ac:dyDescent="0.35">
      <c r="A112" s="66" t="s">
        <v>239</v>
      </c>
      <c r="B112" s="115" t="str">
        <f ca="1">IFERROR(INDIRECT(CONCATENATE("Field!B",A113)),"")</f>
        <v>Pole Vault U15 Boys A</v>
      </c>
      <c r="F112" s="67"/>
      <c r="G112" s="121" t="str">
        <f ca="1">IFERROR(INDIRECT(CONCATENATE("Field!g",A113)),"")</f>
        <v/>
      </c>
      <c r="I112" s="115" t="str">
        <f ca="1">IFERROR(INDIRECT(CONCATENATE("Field!I",A113)),"")</f>
        <v>Pole Vault U15 Boys B</v>
      </c>
      <c r="M112" s="67"/>
    </row>
    <row r="113" spans="1:18" x14ac:dyDescent="0.35">
      <c r="A113" s="66">
        <f>IFERROR(MATCH(A112,Field!A:A,0),"")</f>
        <v>211</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row>
    <row r="114" spans="1:18" x14ac:dyDescent="0.35">
      <c r="B114" s="66">
        <f ca="1">IFERROR(INDIRECT(CONCATENATE("Field!B",A113+2)),"")</f>
        <v>1</v>
      </c>
      <c r="C114" s="66">
        <f ca="1">IFERROR(INDIRECT(CONCATENATE("Field!C",A113+2)),"")</f>
        <v>2</v>
      </c>
      <c r="D114" s="89" t="str">
        <f ca="1">IFERROR(INDIRECT(CONCATENATE("Field!D",A113+2)),"")</f>
        <v>LANE William</v>
      </c>
      <c r="E114" s="89" t="str">
        <f ca="1">IFERROR(INDIRECT(CONCATENATE("Field!E",A113+2)),"")</f>
        <v>Sheff+D</v>
      </c>
      <c r="F114" s="65">
        <f ca="1">IFERROR(INDIRECT(CONCATENATE("Field!F",A113+2)),"")</f>
        <v>3</v>
      </c>
      <c r="G114" s="121">
        <f ca="1">IFERROR(INDIRECT(CONCATENATE("Field!G",A113+2)),"")</f>
        <v>3</v>
      </c>
      <c r="H114" s="66"/>
      <c r="I114" s="66" t="str">
        <f ca="1">IFERROR(INDIRECT(CONCATENATE("Field!I",A113+2)),"")</f>
        <v/>
      </c>
      <c r="J114" s="66" t="str">
        <f ca="1">IFERROR(INDIRECT(CONCATENATE("Field!J",A113+2)),"")</f>
        <v/>
      </c>
      <c r="K114" s="89" t="str">
        <f ca="1">IFERROR(INDIRECT(CONCATENATE("Field!K",A113+2)),"")</f>
        <v/>
      </c>
      <c r="L114" s="89" t="str">
        <f ca="1">IFERROR(INDIRECT(CONCATENATE("Field!L",A113+2)),"")</f>
        <v/>
      </c>
      <c r="M114" s="65">
        <f ca="1">IFERROR(INDIRECT(CONCATENATE("Field!M",A113+2)),"")</f>
        <v>0</v>
      </c>
      <c r="N114" s="121" t="str">
        <f ca="1">IFERROR(INDIRECT(CONCATENATE("Field!N",A113+2)),"")</f>
        <v/>
      </c>
      <c r="R114" s="219">
        <f ca="1">IFERROR(INDIRECT(CONCATENATE("Field!r",A113+2)),"")</f>
        <v>1</v>
      </c>
    </row>
    <row r="115" spans="1:18" x14ac:dyDescent="0.35">
      <c r="B115" s="66">
        <f ca="1">IFERROR(INDIRECT(CONCATENATE("Field!B",A113+3)),"")</f>
        <v>2</v>
      </c>
      <c r="C115" s="66">
        <f ca="1">IFERROR(INDIRECT(CONCATENATE("Field!C",A113+3)),"")</f>
        <v>3</v>
      </c>
      <c r="D115" s="89" t="str">
        <f ca="1">IFERROR(INDIRECT(CONCATENATE("Field!D",A113+3)),"")</f>
        <v>BOWSHER James</v>
      </c>
      <c r="E115" s="89" t="str">
        <f ca="1">IFERROR(INDIRECT(CONCATENATE("Field!E",A113+3)),"")</f>
        <v>York</v>
      </c>
      <c r="F115" s="65">
        <f ca="1">IFERROR(INDIRECT(CONCATENATE("Field!F",A113+3)),"")</f>
        <v>2.1</v>
      </c>
      <c r="G115" s="121" t="str">
        <f ca="1">IFERROR(INDIRECT(CONCATENATE("Field!G",A113+3)),"")</f>
        <v/>
      </c>
      <c r="H115" s="66"/>
      <c r="I115" s="66" t="str">
        <f ca="1">IFERROR(INDIRECT(CONCATENATE("Field!I",A113+3)),"")</f>
        <v/>
      </c>
      <c r="J115" s="66" t="str">
        <f ca="1">IFERROR(INDIRECT(CONCATENATE("Field!J",A113+3)),"")</f>
        <v/>
      </c>
      <c r="K115" s="89" t="str">
        <f ca="1">IFERROR(INDIRECT(CONCATENATE("Field!K",A113+3)),"")</f>
        <v/>
      </c>
      <c r="L115" s="89" t="str">
        <f ca="1">IFERROR(INDIRECT(CONCATENATE("Field!L",A113+3)),"")</f>
        <v/>
      </c>
      <c r="M115" s="65">
        <f ca="1">IFERROR(INDIRECT(CONCATENATE("Field!M",A113+3)),"")</f>
        <v>0</v>
      </c>
      <c r="N115" s="121" t="str">
        <f ca="1">IFERROR(INDIRECT(CONCATENATE("Field!N",A113+3)),"")</f>
        <v/>
      </c>
    </row>
    <row r="116" spans="1:18" x14ac:dyDescent="0.35">
      <c r="B116" s="66" t="str">
        <f ca="1">IFERROR(INDIRECT(CONCATENATE("Field!B",A113+4)),"")</f>
        <v/>
      </c>
      <c r="C116" s="66" t="str">
        <f ca="1">IFERROR(INDIRECT(CONCATENATE("Field!C",A113+4)),"")</f>
        <v/>
      </c>
      <c r="D116" s="89" t="str">
        <f ca="1">IFERROR(INDIRECT(CONCATENATE("Field!D",A113+4)),"")</f>
        <v/>
      </c>
      <c r="E116" s="89" t="str">
        <f ca="1">IFERROR(INDIRECT(CONCATENATE("Field!E",A113+4)),"")</f>
        <v/>
      </c>
      <c r="F116" s="65">
        <f ca="1">IFERROR(INDIRECT(CONCATENATE("Field!F",A113+4)),"")</f>
        <v>0</v>
      </c>
      <c r="G116" s="121" t="str">
        <f ca="1">IFERROR(INDIRECT(CONCATENATE("Field!G",A113+4)),"")</f>
        <v/>
      </c>
      <c r="H116" s="66"/>
      <c r="I116" s="66" t="str">
        <f ca="1">IFERROR(INDIRECT(CONCATENATE("Field!I",A113+4)),"")</f>
        <v/>
      </c>
      <c r="J116" s="66" t="str">
        <f ca="1">IFERROR(INDIRECT(CONCATENATE("Field!J",A113+4)),"")</f>
        <v/>
      </c>
      <c r="K116" s="89" t="str">
        <f ca="1">IFERROR(INDIRECT(CONCATENATE("Field!K",A113+4)),"")</f>
        <v/>
      </c>
      <c r="L116" s="89" t="str">
        <f ca="1">IFERROR(INDIRECT(CONCATENATE("Field!L",A113+4)),"")</f>
        <v/>
      </c>
      <c r="M116" s="65">
        <f ca="1">IFERROR(INDIRECT(CONCATENATE("Field!M",A113+4)),"")</f>
        <v>0</v>
      </c>
      <c r="N116" s="121" t="str">
        <f ca="1">IFERROR(INDIRECT(CONCATENATE("Field!N",A113+4)),"")</f>
        <v/>
      </c>
    </row>
    <row r="117" spans="1:18" x14ac:dyDescent="0.35">
      <c r="B117" s="66" t="str">
        <f ca="1">IFERROR(INDIRECT(CONCATENATE("Field!B",A113+5)),"")</f>
        <v/>
      </c>
      <c r="C117" s="66" t="str">
        <f ca="1">IFERROR(INDIRECT(CONCATENATE("Field!C",A113+5)),"")</f>
        <v/>
      </c>
      <c r="D117" s="89" t="str">
        <f ca="1">IFERROR(INDIRECT(CONCATENATE("Field!D",A113+5)),"")</f>
        <v/>
      </c>
      <c r="E117" s="89" t="str">
        <f ca="1">IFERROR(INDIRECT(CONCATENATE("Field!E",A113+5)),"")</f>
        <v/>
      </c>
      <c r="F117" s="65">
        <f ca="1">IFERROR(INDIRECT(CONCATENATE("Field!F",A113+5)),"")</f>
        <v>0</v>
      </c>
      <c r="G117" s="121" t="str">
        <f ca="1">IFERROR(INDIRECT(CONCATENATE("Field!G",A113+5)),"")</f>
        <v/>
      </c>
      <c r="H117" s="66"/>
      <c r="I117" s="66" t="str">
        <f ca="1">IFERROR(INDIRECT(CONCATENATE("Field!I",A113+5)),"")</f>
        <v/>
      </c>
      <c r="J117" s="66" t="str">
        <f ca="1">IFERROR(INDIRECT(CONCATENATE("Field!J",A113+5)),"")</f>
        <v/>
      </c>
      <c r="K117" s="89" t="str">
        <f ca="1">IFERROR(INDIRECT(CONCATENATE("Field!K",A113+5)),"")</f>
        <v/>
      </c>
      <c r="L117" s="89" t="str">
        <f ca="1">IFERROR(INDIRECT(CONCATENATE("Field!L",A113+5)),"")</f>
        <v/>
      </c>
      <c r="M117" s="65">
        <f ca="1">IFERROR(INDIRECT(CONCATENATE("Field!M",A113+5)),"")</f>
        <v>0</v>
      </c>
      <c r="N117" s="121" t="str">
        <f ca="1">IFERROR(INDIRECT(CONCATENATE("Field!N",A113+5)),"")</f>
        <v/>
      </c>
    </row>
    <row r="118" spans="1:18" x14ac:dyDescent="0.35">
      <c r="B118" s="66" t="str">
        <f ca="1">IFERROR(INDIRECT(CONCATENATE("Field!B",A113+6)),"")</f>
        <v/>
      </c>
      <c r="C118" s="66" t="str">
        <f ca="1">IFERROR(INDIRECT(CONCATENATE("Field!C",A113+6)),"")</f>
        <v/>
      </c>
      <c r="D118" s="89" t="str">
        <f ca="1">IFERROR(INDIRECT(CONCATENATE("Field!D",A113+6)),"")</f>
        <v/>
      </c>
      <c r="E118" s="89" t="str">
        <f ca="1">IFERROR(INDIRECT(CONCATENATE("Field!E",A113+6)),"")</f>
        <v/>
      </c>
      <c r="F118" s="65">
        <f ca="1">IFERROR(INDIRECT(CONCATENATE("Field!F",A113+6)),"")</f>
        <v>0</v>
      </c>
      <c r="G118" s="121" t="str">
        <f ca="1">IFERROR(INDIRECT(CONCATENATE("Field!G",A113+6)),"")</f>
        <v/>
      </c>
      <c r="H118" s="66"/>
      <c r="I118" s="66" t="str">
        <f ca="1">IFERROR(INDIRECT(CONCATENATE("Field!I",A113+6)),"")</f>
        <v/>
      </c>
      <c r="J118" s="66" t="str">
        <f ca="1">IFERROR(INDIRECT(CONCATENATE("Field!J",A113+6)),"")</f>
        <v/>
      </c>
      <c r="K118" s="89" t="str">
        <f ca="1">IFERROR(INDIRECT(CONCATENATE("Field!K",A113+6)),"")</f>
        <v/>
      </c>
      <c r="L118" s="89" t="str">
        <f ca="1">IFERROR(INDIRECT(CONCATENATE("Field!L",A113+6)),"")</f>
        <v/>
      </c>
      <c r="M118" s="65">
        <f ca="1">IFERROR(INDIRECT(CONCATENATE("Field!M",A113+6)),"")</f>
        <v>0</v>
      </c>
      <c r="N118" s="121" t="str">
        <f ca="1">IFERROR(INDIRECT(CONCATENATE("Field!N",A113+6)),"")</f>
        <v/>
      </c>
    </row>
    <row r="119" spans="1:18" x14ac:dyDescent="0.35">
      <c r="B119" s="66" t="str">
        <f ca="1">IFERROR(INDIRECT(CONCATENATE("Field!B",A113+7)),"")</f>
        <v/>
      </c>
      <c r="C119" s="66" t="str">
        <f ca="1">IFERROR(INDIRECT(CONCATENATE("Field!C",A113+7)),"")</f>
        <v/>
      </c>
      <c r="D119" s="89" t="str">
        <f ca="1">IFERROR(INDIRECT(CONCATENATE("Field!D",A113+7)),"")</f>
        <v/>
      </c>
      <c r="E119" s="89" t="str">
        <f ca="1">IFERROR(INDIRECT(CONCATENATE("Field!E",A113+7)),"")</f>
        <v/>
      </c>
      <c r="F119" s="65">
        <f ca="1">IFERROR(INDIRECT(CONCATENATE("Field!F",A113+7)),"")</f>
        <v>0</v>
      </c>
      <c r="G119" s="121" t="str">
        <f ca="1">IFERROR(INDIRECT(CONCATENATE("Field!G",A113+7)),"")</f>
        <v/>
      </c>
      <c r="H119" s="66"/>
      <c r="I119" s="66" t="str">
        <f ca="1">IFERROR(INDIRECT(CONCATENATE("Field!I",A113+7)),"")</f>
        <v/>
      </c>
      <c r="J119" s="66" t="str">
        <f ca="1">IFERROR(INDIRECT(CONCATENATE("Field!J",A113+7)),"")</f>
        <v/>
      </c>
      <c r="K119" s="89" t="str">
        <f ca="1">IFERROR(INDIRECT(CONCATENATE("Field!K",A113+7)),"")</f>
        <v/>
      </c>
      <c r="L119" s="89" t="str">
        <f ca="1">IFERROR(INDIRECT(CONCATENATE("Field!L",A113+7)),"")</f>
        <v/>
      </c>
      <c r="M119" s="65">
        <f ca="1">IFERROR(INDIRECT(CONCATENATE("Field!M",A113+7)),"")</f>
        <v>0</v>
      </c>
      <c r="N119" s="121" t="str">
        <f ca="1">IFERROR(INDIRECT(CONCATENATE("Field!N",A113+7)),"")</f>
        <v/>
      </c>
    </row>
    <row r="120" spans="1:18" x14ac:dyDescent="0.35">
      <c r="B120" s="66" t="str">
        <f ca="1">IFERROR(INDIRECT(CONCATENATE("Field!B",A113+8)),"")</f>
        <v/>
      </c>
      <c r="C120" s="66" t="str">
        <f ca="1">IFERROR(INDIRECT(CONCATENATE("Field!C",A113+8)),"")</f>
        <v/>
      </c>
      <c r="D120" s="89" t="str">
        <f ca="1">IFERROR(INDIRECT(CONCATENATE("Field!D",A113+8)),"")</f>
        <v/>
      </c>
      <c r="E120" s="89" t="str">
        <f ca="1">IFERROR(INDIRECT(CONCATENATE("Field!E",A113+8)),"")</f>
        <v/>
      </c>
      <c r="F120" s="65">
        <f ca="1">IFERROR(INDIRECT(CONCATENATE("Field!F",A113+8)),"")</f>
        <v>0</v>
      </c>
      <c r="G120" s="121" t="str">
        <f ca="1">IFERROR(INDIRECT(CONCATENATE("Field!G",A113+8)),"")</f>
        <v/>
      </c>
      <c r="H120" s="66"/>
      <c r="I120" s="66" t="str">
        <f ca="1">IFERROR(INDIRECT(CONCATENATE("Field!I",A113+8)),"")</f>
        <v/>
      </c>
      <c r="J120" s="66" t="str">
        <f ca="1">IFERROR(INDIRECT(CONCATENATE("Field!J",A113+8)),"")</f>
        <v/>
      </c>
      <c r="K120" s="89" t="str">
        <f ca="1">IFERROR(INDIRECT(CONCATENATE("Field!K",A113+8)),"")</f>
        <v/>
      </c>
      <c r="L120" s="89" t="str">
        <f ca="1">IFERROR(INDIRECT(CONCATENATE("Field!L",A113+8)),"")</f>
        <v/>
      </c>
      <c r="M120" s="65">
        <f ca="1">IFERROR(INDIRECT(CONCATENATE("Field!M",A113+8)),"")</f>
        <v>0</v>
      </c>
      <c r="N120" s="121" t="str">
        <f ca="1">IFERROR(INDIRECT(CONCATENATE("Field!N",A113+8)),"")</f>
        <v/>
      </c>
    </row>
    <row r="121" spans="1:18" x14ac:dyDescent="0.35">
      <c r="B121" s="66" t="str">
        <f ca="1">IFERROR(INDIRECT(CONCATENATE("Field!B",A113+9)),"")</f>
        <v/>
      </c>
      <c r="C121" s="66" t="str">
        <f ca="1">IFERROR(INDIRECT(CONCATENATE("Field!C",A113+9)),"")</f>
        <v/>
      </c>
      <c r="D121" s="89" t="str">
        <f ca="1">IFERROR(INDIRECT(CONCATENATE("Field!D",A113+9)),"")</f>
        <v/>
      </c>
      <c r="E121" s="89" t="str">
        <f ca="1">IFERROR(INDIRECT(CONCATENATE("Field!E",A113+9)),"")</f>
        <v/>
      </c>
      <c r="F121" s="65">
        <f ca="1">IFERROR(INDIRECT(CONCATENATE("Field!F",A113+9)),"")</f>
        <v>0</v>
      </c>
      <c r="G121" s="121" t="str">
        <f ca="1">IFERROR(INDIRECT(CONCATENATE("Field!G",A113+9)),"")</f>
        <v/>
      </c>
      <c r="H121" s="66"/>
      <c r="I121" s="66" t="str">
        <f ca="1">IFERROR(INDIRECT(CONCATENATE("Field!I",A113+9)),"")</f>
        <v/>
      </c>
      <c r="J121" s="66" t="str">
        <f ca="1">IFERROR(INDIRECT(CONCATENATE("Field!J",A113+9)),"")</f>
        <v/>
      </c>
      <c r="K121" s="89" t="str">
        <f ca="1">IFERROR(INDIRECT(CONCATENATE("Field!K",A113+9)),"")</f>
        <v/>
      </c>
      <c r="L121" s="89" t="str">
        <f ca="1">IFERROR(INDIRECT(CONCATENATE("Field!L",A113+9)),"")</f>
        <v/>
      </c>
      <c r="M121" s="65">
        <f ca="1">IFERROR(INDIRECT(CONCATENATE("Field!M",A113+9)),"")</f>
        <v>0</v>
      </c>
      <c r="N121" s="121" t="str">
        <f ca="1">IFERROR(INDIRECT(CONCATENATE("Field!N",A113+9)),"")</f>
        <v/>
      </c>
    </row>
    <row r="122" spans="1:18" x14ac:dyDescent="0.35">
      <c r="F122" s="67"/>
      <c r="M122" s="67"/>
    </row>
    <row r="123" spans="1:18" x14ac:dyDescent="0.35">
      <c r="A123" s="66" t="s">
        <v>242</v>
      </c>
      <c r="B123" s="115" t="str">
        <f ca="1">IFERROR(INDIRECT(CONCATENATE("Field!B",A124)),"")</f>
        <v>Shot U15 Boys A</v>
      </c>
      <c r="F123" s="67"/>
      <c r="G123" s="121" t="str">
        <f ca="1">IFERROR(INDIRECT(CONCATENATE("Field!g",A124)),"")</f>
        <v/>
      </c>
      <c r="I123" s="115" t="str">
        <f ca="1">IFERROR(INDIRECT(CONCATENATE("Field!I",A124)),"")</f>
        <v>Shot U15 Boys B</v>
      </c>
      <c r="M123" s="67"/>
    </row>
    <row r="124" spans="1:18" x14ac:dyDescent="0.35">
      <c r="A124" s="66">
        <f>IFERROR(MATCH(A123,Field!A:A,0),"")</f>
        <v>57</v>
      </c>
      <c r="B124" s="45" t="str">
        <f ca="1">IFERROR(INDIRECT(CONCATENATE("Field!B",A124+1)),"")</f>
        <v>Posn</v>
      </c>
      <c r="C124" s="45" t="str">
        <f ca="1">IFERROR(INDIRECT(CONCATENATE("Field!C",A124+1)),"")</f>
        <v>Bib</v>
      </c>
      <c r="D124" s="182" t="str">
        <f ca="1">IFERROR(INDIRECT(CONCATENATE("Field!D",A124+1)),"")</f>
        <v>Athlete</v>
      </c>
      <c r="E124" s="182" t="str">
        <f ca="1">IFERROR(INDIRECT(CONCATENATE("Field!E",A124+1)),"")</f>
        <v>Club</v>
      </c>
      <c r="F124" s="149" t="str">
        <f ca="1">IFERROR(INDIRECT(CONCATENATE("Field!F",A124+1)),"")</f>
        <v>Perf</v>
      </c>
      <c r="G124" s="218" t="str">
        <f ca="1">IFERROR(INDIRECT(CONCATENATE("Field!G",A124+1)),"")</f>
        <v>AAA</v>
      </c>
      <c r="H124" s="45"/>
      <c r="I124" s="45" t="str">
        <f ca="1">IFERROR(INDIRECT(CONCATENATE("Field!I",A124+1)),"")</f>
        <v>Posn</v>
      </c>
      <c r="J124" s="45" t="str">
        <f ca="1">IFERROR(INDIRECT(CONCATENATE("Field!J",A124+1)),"")</f>
        <v>Bib</v>
      </c>
      <c r="K124" s="182" t="str">
        <f ca="1">IFERROR(INDIRECT(CONCATENATE("Field!K",A124+1)),"")</f>
        <v>Athlete</v>
      </c>
      <c r="L124" s="182" t="str">
        <f ca="1">IFERROR(INDIRECT(CONCATENATE("Field!L",A124+1)),"")</f>
        <v>Club</v>
      </c>
      <c r="M124" s="149" t="str">
        <f ca="1">IFERROR(INDIRECT(CONCATENATE("Field!M",A124+1)),"")</f>
        <v>Perf</v>
      </c>
      <c r="N124" s="218" t="str">
        <f ca="1">IFERROR(INDIRECT(CONCATENATE("Field!N",A124+1)),"")</f>
        <v>AAA</v>
      </c>
    </row>
    <row r="125" spans="1:18" x14ac:dyDescent="0.35">
      <c r="B125" s="66">
        <f ca="1">IFERROR(INDIRECT(CONCATENATE("Field!B",A124+2)),"")</f>
        <v>1</v>
      </c>
      <c r="C125" s="66">
        <f ca="1">IFERROR(INDIRECT(CONCATENATE("Field!C",A124+2)),"")</f>
        <v>33</v>
      </c>
      <c r="D125" s="89" t="str">
        <f ca="1">IFERROR(INDIRECT(CONCATENATE("Field!D",A124+2)),"")</f>
        <v>RUTTER Aaron</v>
      </c>
      <c r="E125" s="89" t="str">
        <f ca="1">IFERROR(INDIRECT(CONCATENATE("Field!E",A124+2)),"")</f>
        <v>York</v>
      </c>
      <c r="F125" s="65">
        <f ca="1">IFERROR(INDIRECT(CONCATENATE("Field!F",A124+2)),"")</f>
        <v>11.8</v>
      </c>
      <c r="G125" s="121">
        <f ca="1">IFERROR(INDIRECT(CONCATENATE("Field!G",A124+2)),"")</f>
        <v>2</v>
      </c>
      <c r="H125" s="66"/>
      <c r="I125" s="66">
        <f ca="1">IFERROR(INDIRECT(CONCATENATE("Field!I",A124+2)),"")</f>
        <v>1</v>
      </c>
      <c r="J125" s="66">
        <f ca="1">IFERROR(INDIRECT(CONCATENATE("Field!J",A124+2)),"")</f>
        <v>3</v>
      </c>
      <c r="K125" s="89" t="str">
        <f ca="1">IFERROR(INDIRECT(CONCATENATE("Field!K",A124+2)),"")</f>
        <v>MEIGH William</v>
      </c>
      <c r="L125" s="89" t="str">
        <f ca="1">IFERROR(INDIRECT(CONCATENATE("Field!L",A124+2)),"")</f>
        <v>York</v>
      </c>
      <c r="M125" s="65">
        <f ca="1">IFERROR(INDIRECT(CONCATENATE("Field!M",A124+2)),"")</f>
        <v>7.59</v>
      </c>
      <c r="N125" s="121" t="str">
        <f ca="1">IFERROR(INDIRECT(CONCATENATE("Field!N",A124+2)),"")</f>
        <v/>
      </c>
      <c r="R125" s="219">
        <f ca="1">IFERROR(INDIRECT(CONCATENATE("Field!r",A124+2)),"")</f>
        <v>1</v>
      </c>
    </row>
    <row r="126" spans="1:18" x14ac:dyDescent="0.35">
      <c r="B126" s="66">
        <f ca="1">IFERROR(INDIRECT(CONCATENATE("Field!B",A124+3)),"")</f>
        <v>2</v>
      </c>
      <c r="C126" s="66">
        <f ca="1">IFERROR(INDIRECT(CONCATENATE("Field!C",A124+3)),"")</f>
        <v>1</v>
      </c>
      <c r="D126" s="89" t="str">
        <f ca="1">IFERROR(INDIRECT(CONCATENATE("Field!D",A124+3)),"")</f>
        <v>COOPER Malachi</v>
      </c>
      <c r="E126" s="89" t="str">
        <f ca="1">IFERROR(INDIRECT(CONCATENATE("Field!E",A124+3)),"")</f>
        <v>C'field</v>
      </c>
      <c r="F126" s="65">
        <f ca="1">IFERROR(INDIRECT(CONCATENATE("Field!F",A124+3)),"")</f>
        <v>8.33</v>
      </c>
      <c r="G126" s="121" t="str">
        <f ca="1">IFERROR(INDIRECT(CONCATENATE("Field!G",A124+3)),"")</f>
        <v/>
      </c>
      <c r="H126" s="66"/>
      <c r="I126" s="66">
        <f ca="1">IFERROR(INDIRECT(CONCATENATE("Field!I",A124+3)),"")</f>
        <v>2</v>
      </c>
      <c r="J126" s="66">
        <f ca="1">IFERROR(INDIRECT(CONCATENATE("Field!J",A124+3)),"")</f>
        <v>11</v>
      </c>
      <c r="K126" s="89" t="str">
        <f ca="1">IFERROR(INDIRECT(CONCATENATE("Field!K",A124+3)),"")</f>
        <v>MAZUREK Gracjan</v>
      </c>
      <c r="L126" s="89" t="str">
        <f ca="1">IFERROR(INDIRECT(CONCATENATE("Field!L",A124+3)),"")</f>
        <v>C'field</v>
      </c>
      <c r="M126" s="65">
        <f ca="1">IFERROR(INDIRECT(CONCATENATE("Field!M",A124+3)),"")</f>
        <v>6.25</v>
      </c>
      <c r="N126" s="121" t="str">
        <f ca="1">IFERROR(INDIRECT(CONCATENATE("Field!N",A124+3)),"")</f>
        <v/>
      </c>
    </row>
    <row r="127" spans="1:18" x14ac:dyDescent="0.35">
      <c r="B127" s="66">
        <f ca="1">IFERROR(INDIRECT(CONCATENATE("Field!B",A124+4)),"")</f>
        <v>3</v>
      </c>
      <c r="C127" s="66">
        <f ca="1">IFERROR(INDIRECT(CONCATENATE("Field!C",A124+4)),"")</f>
        <v>2</v>
      </c>
      <c r="D127" s="89" t="str">
        <f ca="1">IFERROR(INDIRECT(CONCATENATE("Field!D",A124+4)),"")</f>
        <v>LANE William</v>
      </c>
      <c r="E127" s="89" t="str">
        <f ca="1">IFERROR(INDIRECT(CONCATENATE("Field!E",A124+4)),"")</f>
        <v>Sheff+D</v>
      </c>
      <c r="F127" s="65">
        <f ca="1">IFERROR(INDIRECT(CONCATENATE("Field!F",A124+4)),"")</f>
        <v>8.14</v>
      </c>
      <c r="G127" s="121" t="str">
        <f ca="1">IFERROR(INDIRECT(CONCATENATE("Field!G",A124+4)),"")</f>
        <v/>
      </c>
      <c r="H127" s="66"/>
      <c r="I127" s="66">
        <f ca="1">IFERROR(INDIRECT(CONCATENATE("Field!I",A124+4)),"")</f>
        <v>3</v>
      </c>
      <c r="J127" s="66">
        <f ca="1">IFERROR(INDIRECT(CONCATENATE("Field!J",A124+4)),"")</f>
        <v>44</v>
      </c>
      <c r="K127" s="89" t="str">
        <f ca="1">IFERROR(INDIRECT(CONCATENATE("Field!K",A124+4)),"")</f>
        <v>KAYE Charlie</v>
      </c>
      <c r="L127" s="89" t="str">
        <f ca="1">IFERROR(INDIRECT(CONCATENATE("Field!L",A124+4)),"")</f>
        <v>M'bro</v>
      </c>
      <c r="M127" s="65">
        <f ca="1">IFERROR(INDIRECT(CONCATENATE("Field!M",A124+4)),"")</f>
        <v>4.67</v>
      </c>
      <c r="N127" s="121" t="str">
        <f ca="1">IFERROR(INDIRECT(CONCATENATE("Field!N",A124+4)),"")</f>
        <v/>
      </c>
    </row>
    <row r="128" spans="1:18" x14ac:dyDescent="0.35">
      <c r="B128" s="66">
        <f ca="1">IFERROR(INDIRECT(CONCATENATE("Field!B",A124+5)),"")</f>
        <v>4</v>
      </c>
      <c r="C128" s="66">
        <f ca="1">IFERROR(INDIRECT(CONCATENATE("Field!C",A124+5)),"")</f>
        <v>5</v>
      </c>
      <c r="D128" s="89" t="str">
        <f ca="1">IFERROR(INDIRECT(CONCATENATE("Field!D",A124+5)),"")</f>
        <v>COOK Edwin</v>
      </c>
      <c r="E128" s="89" t="str">
        <f ca="1">IFERROR(INDIRECT(CONCATENATE("Field!E",A124+5)),"")</f>
        <v>Scun</v>
      </c>
      <c r="F128" s="65">
        <f ca="1">IFERROR(INDIRECT(CONCATENATE("Field!F",A124+5)),"")</f>
        <v>7.89</v>
      </c>
      <c r="G128" s="121" t="str">
        <f ca="1">IFERROR(INDIRECT(CONCATENATE("Field!G",A124+5)),"")</f>
        <v/>
      </c>
      <c r="H128" s="66"/>
      <c r="I128" s="66">
        <f ca="1">IFERROR(INDIRECT(CONCATENATE("Field!I",A124+5)),"")</f>
        <v>4</v>
      </c>
      <c r="J128" s="66" t="str">
        <f ca="1">IFERROR(INDIRECT(CONCATENATE("Field!J",A124+5)),"")</f>
        <v/>
      </c>
      <c r="K128" s="89" t="str">
        <f ca="1">IFERROR(INDIRECT(CONCATENATE("Field!K",A124+5)),"")</f>
        <v/>
      </c>
      <c r="L128" s="89" t="str">
        <f ca="1">IFERROR(INDIRECT(CONCATENATE("Field!L",A124+5)),"")</f>
        <v/>
      </c>
      <c r="M128" s="65" t="str">
        <f ca="1">IFERROR(INDIRECT(CONCATENATE("Field!M",A124+5)),"")</f>
        <v/>
      </c>
      <c r="N128" s="121" t="str">
        <f ca="1">IFERROR(INDIRECT(CONCATENATE("Field!N",A124+5)),"")</f>
        <v/>
      </c>
    </row>
    <row r="129" spans="1:18" x14ac:dyDescent="0.35">
      <c r="B129" s="66">
        <f ca="1">IFERROR(INDIRECT(CONCATENATE("Field!B",A124+6)),"")</f>
        <v>5</v>
      </c>
      <c r="C129" s="66">
        <f ca="1">IFERROR(INDIRECT(CONCATENATE("Field!C",A124+6)),"")</f>
        <v>4</v>
      </c>
      <c r="D129" s="89" t="str">
        <f ca="1">IFERROR(INDIRECT(CONCATENATE("Field!D",A124+6)),"")</f>
        <v>IBEH Terrell</v>
      </c>
      <c r="E129" s="89" t="str">
        <f ca="1">IFERROR(INDIRECT(CONCATENATE("Field!E",A124+6)),"")</f>
        <v>M'bro</v>
      </c>
      <c r="F129" s="65">
        <f ca="1">IFERROR(INDIRECT(CONCATENATE("Field!F",A124+6)),"")</f>
        <v>5.76</v>
      </c>
      <c r="G129" s="121" t="str">
        <f ca="1">IFERROR(INDIRECT(CONCATENATE("Field!G",A124+6)),"")</f>
        <v/>
      </c>
      <c r="H129" s="66"/>
      <c r="I129" s="66">
        <f ca="1">IFERROR(INDIRECT(CONCATENATE("Field!I",A124+6)),"")</f>
        <v>5</v>
      </c>
      <c r="J129" s="66" t="str">
        <f ca="1">IFERROR(INDIRECT(CONCATENATE("Field!J",A124+6)),"")</f>
        <v/>
      </c>
      <c r="K129" s="89" t="str">
        <f ca="1">IFERROR(INDIRECT(CONCATENATE("Field!K",A124+6)),"")</f>
        <v/>
      </c>
      <c r="L129" s="89" t="str">
        <f ca="1">IFERROR(INDIRECT(CONCATENATE("Field!L",A124+6)),"")</f>
        <v/>
      </c>
      <c r="M129" s="65" t="str">
        <f ca="1">IFERROR(INDIRECT(CONCATENATE("Field!M",A124+6)),"")</f>
        <v/>
      </c>
      <c r="N129" s="121" t="str">
        <f ca="1">IFERROR(INDIRECT(CONCATENATE("Field!N",A124+6)),"")</f>
        <v/>
      </c>
    </row>
    <row r="130" spans="1:18" x14ac:dyDescent="0.35">
      <c r="B130" s="66">
        <f ca="1">IFERROR(INDIRECT(CONCATENATE("Field!B",A124+7)),"")</f>
        <v>6</v>
      </c>
      <c r="C130" s="66" t="str">
        <f ca="1">IFERROR(INDIRECT(CONCATENATE("Field!C",A124+7)),"")</f>
        <v/>
      </c>
      <c r="D130" s="89" t="str">
        <f ca="1">IFERROR(INDIRECT(CONCATENATE("Field!D",A124+7)),"")</f>
        <v/>
      </c>
      <c r="E130" s="89" t="str">
        <f ca="1">IFERROR(INDIRECT(CONCATENATE("Field!E",A124+7)),"")</f>
        <v/>
      </c>
      <c r="F130" s="65" t="str">
        <f ca="1">IFERROR(INDIRECT(CONCATENATE("Field!F",A124+7)),"")</f>
        <v/>
      </c>
      <c r="G130" s="121" t="str">
        <f ca="1">IFERROR(INDIRECT(CONCATENATE("Field!G",A124+7)),"")</f>
        <v/>
      </c>
      <c r="H130" s="66"/>
      <c r="I130" s="66">
        <f ca="1">IFERROR(INDIRECT(CONCATENATE("Field!I",A124+7)),"")</f>
        <v>6</v>
      </c>
      <c r="J130" s="66" t="str">
        <f ca="1">IFERROR(INDIRECT(CONCATENATE("Field!J",A124+7)),"")</f>
        <v/>
      </c>
      <c r="K130" s="89" t="str">
        <f ca="1">IFERROR(INDIRECT(CONCATENATE("Field!K",A124+7)),"")</f>
        <v/>
      </c>
      <c r="L130" s="89" t="str">
        <f ca="1">IFERROR(INDIRECT(CONCATENATE("Field!L",A124+7)),"")</f>
        <v/>
      </c>
      <c r="M130" s="65" t="str">
        <f ca="1">IFERROR(INDIRECT(CONCATENATE("Field!M",A124+7)),"")</f>
        <v/>
      </c>
      <c r="N130" s="121" t="str">
        <f ca="1">IFERROR(INDIRECT(CONCATENATE("Field!N",A124+7)),"")</f>
        <v/>
      </c>
    </row>
    <row r="131" spans="1:18" x14ac:dyDescent="0.35">
      <c r="B131" s="66">
        <f ca="1">IFERROR(INDIRECT(CONCATENATE("Field!B",A124+8)),"")</f>
        <v>7</v>
      </c>
      <c r="C131" s="66" t="str">
        <f ca="1">IFERROR(INDIRECT(CONCATENATE("Field!C",A124+8)),"")</f>
        <v/>
      </c>
      <c r="D131" s="89" t="str">
        <f ca="1">IFERROR(INDIRECT(CONCATENATE("Field!D",A124+8)),"")</f>
        <v/>
      </c>
      <c r="E131" s="89" t="str">
        <f ca="1">IFERROR(INDIRECT(CONCATENATE("Field!E",A124+8)),"")</f>
        <v/>
      </c>
      <c r="F131" s="65" t="str">
        <f ca="1">IFERROR(INDIRECT(CONCATENATE("Field!F",A124+8)),"")</f>
        <v/>
      </c>
      <c r="G131" s="121" t="str">
        <f ca="1">IFERROR(INDIRECT(CONCATENATE("Field!G",A124+8)),"")</f>
        <v/>
      </c>
      <c r="H131" s="66"/>
      <c r="I131" s="66">
        <f ca="1">IFERROR(INDIRECT(CONCATENATE("Field!I",A124+8)),"")</f>
        <v>7</v>
      </c>
      <c r="J131" s="66" t="str">
        <f ca="1">IFERROR(INDIRECT(CONCATENATE("Field!J",A124+8)),"")</f>
        <v/>
      </c>
      <c r="K131" s="89" t="str">
        <f ca="1">IFERROR(INDIRECT(CONCATENATE("Field!K",A124+8)),"")</f>
        <v/>
      </c>
      <c r="L131" s="89" t="str">
        <f ca="1">IFERROR(INDIRECT(CONCATENATE("Field!L",A124+8)),"")</f>
        <v/>
      </c>
      <c r="M131" s="65" t="str">
        <f ca="1">IFERROR(INDIRECT(CONCATENATE("Field!M",A124+8)),"")</f>
        <v/>
      </c>
      <c r="N131" s="121" t="str">
        <f ca="1">IFERROR(INDIRECT(CONCATENATE("Field!N",A124+8)),"")</f>
        <v/>
      </c>
    </row>
    <row r="132" spans="1:18" x14ac:dyDescent="0.35">
      <c r="B132" s="66">
        <f ca="1">IFERROR(INDIRECT(CONCATENATE("Field!B",A124+9)),"")</f>
        <v>8</v>
      </c>
      <c r="C132" s="66" t="str">
        <f ca="1">IFERROR(INDIRECT(CONCATENATE("Field!C",A124+9)),"")</f>
        <v/>
      </c>
      <c r="D132" s="89" t="str">
        <f ca="1">IFERROR(INDIRECT(CONCATENATE("Field!D",A124+9)),"")</f>
        <v/>
      </c>
      <c r="E132" s="89" t="str">
        <f ca="1">IFERROR(INDIRECT(CONCATENATE("Field!E",A124+9)),"")</f>
        <v/>
      </c>
      <c r="F132" s="65" t="str">
        <f ca="1">IFERROR(INDIRECT(CONCATENATE("Field!F",A124+9)),"")</f>
        <v/>
      </c>
      <c r="G132" s="121" t="str">
        <f ca="1">IFERROR(INDIRECT(CONCATENATE("Field!G",A124+9)),"")</f>
        <v/>
      </c>
      <c r="H132" s="66"/>
      <c r="I132" s="66">
        <f ca="1">IFERROR(INDIRECT(CONCATENATE("Field!I",A124+9)),"")</f>
        <v>8</v>
      </c>
      <c r="J132" s="66" t="str">
        <f ca="1">IFERROR(INDIRECT(CONCATENATE("Field!J",A124+9)),"")</f>
        <v/>
      </c>
      <c r="K132" s="89" t="str">
        <f ca="1">IFERROR(INDIRECT(CONCATENATE("Field!K",A124+9)),"")</f>
        <v/>
      </c>
      <c r="L132" s="89" t="str">
        <f ca="1">IFERROR(INDIRECT(CONCATENATE("Field!L",A124+9)),"")</f>
        <v/>
      </c>
      <c r="M132" s="65" t="str">
        <f ca="1">IFERROR(INDIRECT(CONCATENATE("Field!M",A124+9)),"")</f>
        <v/>
      </c>
      <c r="N132" s="121" t="str">
        <f ca="1">IFERROR(INDIRECT(CONCATENATE("Field!N",A124+9)),"")</f>
        <v/>
      </c>
    </row>
    <row r="133" spans="1:18" x14ac:dyDescent="0.35">
      <c r="F133" s="67"/>
      <c r="M133" s="67"/>
    </row>
    <row r="134" spans="1:18" x14ac:dyDescent="0.35">
      <c r="A134" s="66" t="s">
        <v>237</v>
      </c>
      <c r="B134" s="115" t="str">
        <f ca="1">IFERROR(INDIRECT(CONCATENATE("Field!B",A135)),"")</f>
        <v>Discus U15 Boys A</v>
      </c>
      <c r="F134" s="67"/>
      <c r="G134" s="121" t="str">
        <f ca="1">IFERROR(INDIRECT(CONCATENATE("Field!g",A135)),"")</f>
        <v/>
      </c>
      <c r="I134" s="115" t="str">
        <f ca="1">IFERROR(INDIRECT(CONCATENATE("Field!I",A135)),"")</f>
        <v>Discus U15 Boys B</v>
      </c>
      <c r="M134" s="67"/>
    </row>
    <row r="135" spans="1:18" x14ac:dyDescent="0.35">
      <c r="A135" s="66">
        <f>IFERROR(MATCH(A134,Field!A:A,0),"")</f>
        <v>35</v>
      </c>
      <c r="B135" s="45" t="str">
        <f ca="1">IFERROR(INDIRECT(CONCATENATE("Field!B",A135+1)),"")</f>
        <v>Posn</v>
      </c>
      <c r="C135" s="45" t="str">
        <f ca="1">IFERROR(INDIRECT(CONCATENATE("Field!C",A135+1)),"")</f>
        <v>Bib</v>
      </c>
      <c r="D135" s="182" t="str">
        <f ca="1">IFERROR(INDIRECT(CONCATENATE("Field!D",A135+1)),"")</f>
        <v>Athlete</v>
      </c>
      <c r="E135" s="182" t="str">
        <f ca="1">IFERROR(INDIRECT(CONCATENATE("Field!E",A135+1)),"")</f>
        <v>Club</v>
      </c>
      <c r="F135" s="149" t="str">
        <f ca="1">IFERROR(INDIRECT(CONCATENATE("Field!F",A135+1)),"")</f>
        <v>Perf</v>
      </c>
      <c r="G135" s="218" t="str">
        <f ca="1">IFERROR(INDIRECT(CONCATENATE("Field!G",A135+1)),"")</f>
        <v>AAA</v>
      </c>
      <c r="H135" s="45"/>
      <c r="I135" s="45" t="str">
        <f ca="1">IFERROR(INDIRECT(CONCATENATE("Field!I",A135+1)),"")</f>
        <v>Posn</v>
      </c>
      <c r="J135" s="45" t="str">
        <f ca="1">IFERROR(INDIRECT(CONCATENATE("Field!J",A135+1)),"")</f>
        <v>Bib</v>
      </c>
      <c r="K135" s="182" t="str">
        <f ca="1">IFERROR(INDIRECT(CONCATENATE("Field!K",A135+1)),"")</f>
        <v>Athlete</v>
      </c>
      <c r="L135" s="182" t="str">
        <f ca="1">IFERROR(INDIRECT(CONCATENATE("Field!L",A135+1)),"")</f>
        <v>Club</v>
      </c>
      <c r="M135" s="149" t="str">
        <f ca="1">IFERROR(INDIRECT(CONCATENATE("Field!M",A135+1)),"")</f>
        <v>Perf</v>
      </c>
      <c r="N135" s="218" t="str">
        <f ca="1">IFERROR(INDIRECT(CONCATENATE("Field!N",A135+1)),"")</f>
        <v>AAA</v>
      </c>
    </row>
    <row r="136" spans="1:18" x14ac:dyDescent="0.35">
      <c r="B136" s="66">
        <f ca="1">IFERROR(INDIRECT(CONCATENATE("Field!B",A135+2)),"")</f>
        <v>1</v>
      </c>
      <c r="C136" s="66">
        <f ca="1">IFERROR(INDIRECT(CONCATENATE("Field!C",A135+2)),"")</f>
        <v>5</v>
      </c>
      <c r="D136" s="89" t="str">
        <f ca="1">IFERROR(INDIRECT(CONCATENATE("Field!D",A135+2)),"")</f>
        <v>COOK Edwin</v>
      </c>
      <c r="E136" s="89" t="str">
        <f ca="1">IFERROR(INDIRECT(CONCATENATE("Field!E",A135+2)),"")</f>
        <v>Scun</v>
      </c>
      <c r="F136" s="65">
        <f ca="1">IFERROR(INDIRECT(CONCATENATE("Field!F",A135+2)),"")</f>
        <v>18.54</v>
      </c>
      <c r="G136" s="121" t="str">
        <f ca="1">IFERROR(INDIRECT(CONCATENATE("Field!G",A135+2)),"")</f>
        <v/>
      </c>
      <c r="H136" s="66"/>
      <c r="I136" s="66">
        <f ca="1">IFERROR(INDIRECT(CONCATENATE("Field!I",A135+2)),"")</f>
        <v>1</v>
      </c>
      <c r="J136" s="66">
        <f ca="1">IFERROR(INDIRECT(CONCATENATE("Field!J",A135+2)),"")</f>
        <v>3</v>
      </c>
      <c r="K136" s="89" t="str">
        <f ca="1">IFERROR(INDIRECT(CONCATENATE("Field!K",A135+2)),"")</f>
        <v>RHODES Ashton</v>
      </c>
      <c r="L136" s="89" t="str">
        <f ca="1">IFERROR(INDIRECT(CONCATENATE("Field!L",A135+2)),"")</f>
        <v>York</v>
      </c>
      <c r="M136" s="65">
        <f ca="1">IFERROR(INDIRECT(CONCATENATE("Field!M",A135+2)),"")</f>
        <v>15.79</v>
      </c>
      <c r="N136" s="121" t="str">
        <f ca="1">IFERROR(INDIRECT(CONCATENATE("Field!N",A135+2)),"")</f>
        <v/>
      </c>
      <c r="R136" s="219">
        <f ca="1">IFERROR(INDIRECT(CONCATENATE("Field!r",A135+2)),"")</f>
        <v>1</v>
      </c>
    </row>
    <row r="137" spans="1:18" x14ac:dyDescent="0.35">
      <c r="B137" s="66">
        <f ca="1">IFERROR(INDIRECT(CONCATENATE("Field!B",A135+3)),"")</f>
        <v>2</v>
      </c>
      <c r="C137" s="66">
        <f ca="1">IFERROR(INDIRECT(CONCATENATE("Field!C",A135+3)),"")</f>
        <v>1</v>
      </c>
      <c r="D137" s="89" t="str">
        <f ca="1">IFERROR(INDIRECT(CONCATENATE("Field!D",A135+3)),"")</f>
        <v>COOPER Malachi</v>
      </c>
      <c r="E137" s="89" t="str">
        <f ca="1">IFERROR(INDIRECT(CONCATENATE("Field!E",A135+3)),"")</f>
        <v>C'field</v>
      </c>
      <c r="F137" s="65">
        <f ca="1">IFERROR(INDIRECT(CONCATENATE("Field!F",A135+3)),"")</f>
        <v>16.04</v>
      </c>
      <c r="G137" s="121" t="str">
        <f ca="1">IFERROR(INDIRECT(CONCATENATE("Field!G",A135+3)),"")</f>
        <v/>
      </c>
      <c r="H137" s="66"/>
      <c r="I137" s="66">
        <f ca="1">IFERROR(INDIRECT(CONCATENATE("Field!I",A135+3)),"")</f>
        <v>2</v>
      </c>
      <c r="J137" s="66">
        <f ca="1">IFERROR(INDIRECT(CONCATENATE("Field!J",A135+3)),"")</f>
        <v>11</v>
      </c>
      <c r="K137" s="89" t="str">
        <f ca="1">IFERROR(INDIRECT(CONCATENATE("Field!K",A135+3)),"")</f>
        <v>PEERS-WAIN Jacob</v>
      </c>
      <c r="L137" s="89" t="str">
        <f ca="1">IFERROR(INDIRECT(CONCATENATE("Field!L",A135+3)),"")</f>
        <v>C'field</v>
      </c>
      <c r="M137" s="65">
        <f ca="1">IFERROR(INDIRECT(CONCATENATE("Field!M",A135+3)),"")</f>
        <v>10.24</v>
      </c>
      <c r="N137" s="121" t="str">
        <f ca="1">IFERROR(INDIRECT(CONCATENATE("Field!N",A135+3)),"")</f>
        <v/>
      </c>
    </row>
    <row r="138" spans="1:18" x14ac:dyDescent="0.35">
      <c r="B138" s="66">
        <f ca="1">IFERROR(INDIRECT(CONCATENATE("Field!B",A135+4)),"")</f>
        <v>3</v>
      </c>
      <c r="C138" s="66">
        <f ca="1">IFERROR(INDIRECT(CONCATENATE("Field!C",A135+4)),"")</f>
        <v>33</v>
      </c>
      <c r="D138" s="89" t="str">
        <f ca="1">IFERROR(INDIRECT(CONCATENATE("Field!D",A135+4)),"")</f>
        <v>BROOKS Rory</v>
      </c>
      <c r="E138" s="89" t="str">
        <f ca="1">IFERROR(INDIRECT(CONCATENATE("Field!E",A135+4)),"")</f>
        <v>York</v>
      </c>
      <c r="F138" s="65">
        <f ca="1">IFERROR(INDIRECT(CONCATENATE("Field!F",A135+4)),"")</f>
        <v>15.91</v>
      </c>
      <c r="G138" s="121" t="str">
        <f ca="1">IFERROR(INDIRECT(CONCATENATE("Field!G",A135+4)),"")</f>
        <v/>
      </c>
      <c r="H138" s="66"/>
      <c r="I138" s="66">
        <f ca="1">IFERROR(INDIRECT(CONCATENATE("Field!I",A135+4)),"")</f>
        <v>3</v>
      </c>
      <c r="J138" s="66">
        <f ca="1">IFERROR(INDIRECT(CONCATENATE("Field!J",A135+4)),"")</f>
        <v>22</v>
      </c>
      <c r="K138" s="89" t="str">
        <f ca="1">IFERROR(INDIRECT(CONCATENATE("Field!K",A135+4)),"")</f>
        <v>KRIEL PARR George</v>
      </c>
      <c r="L138" s="89" t="str">
        <f ca="1">IFERROR(INDIRECT(CONCATENATE("Field!L",A135+4)),"")</f>
        <v>Sheff+D</v>
      </c>
      <c r="M138" s="65">
        <f ca="1">IFERROR(INDIRECT(CONCATENATE("Field!M",A135+4)),"")</f>
        <v>9.89</v>
      </c>
      <c r="N138" s="121" t="str">
        <f ca="1">IFERROR(INDIRECT(CONCATENATE("Field!N",A135+4)),"")</f>
        <v/>
      </c>
    </row>
    <row r="139" spans="1:18" x14ac:dyDescent="0.35">
      <c r="B139" s="66">
        <f ca="1">IFERROR(INDIRECT(CONCATENATE("Field!B",A135+5)),"")</f>
        <v>4</v>
      </c>
      <c r="C139" s="66">
        <f ca="1">IFERROR(INDIRECT(CONCATENATE("Field!C",A135+5)),"")</f>
        <v>2</v>
      </c>
      <c r="D139" s="89" t="str">
        <f ca="1">IFERROR(INDIRECT(CONCATENATE("Field!D",A135+5)),"")</f>
        <v>WAINWRIGHT James</v>
      </c>
      <c r="E139" s="89" t="str">
        <f ca="1">IFERROR(INDIRECT(CONCATENATE("Field!E",A135+5)),"")</f>
        <v>Sheff+D</v>
      </c>
      <c r="F139" s="65">
        <f ca="1">IFERROR(INDIRECT(CONCATENATE("Field!F",A135+5)),"")</f>
        <v>10.8</v>
      </c>
      <c r="G139" s="121" t="str">
        <f ca="1">IFERROR(INDIRECT(CONCATENATE("Field!G",A135+5)),"")</f>
        <v/>
      </c>
      <c r="H139" s="66"/>
      <c r="I139" s="66">
        <f ca="1">IFERROR(INDIRECT(CONCATENATE("Field!I",A135+5)),"")</f>
        <v>4</v>
      </c>
      <c r="J139" s="66" t="str">
        <f ca="1">IFERROR(INDIRECT(CONCATENATE("Field!J",A135+5)),"")</f>
        <v/>
      </c>
      <c r="K139" s="89" t="str">
        <f ca="1">IFERROR(INDIRECT(CONCATENATE("Field!K",A135+5)),"")</f>
        <v/>
      </c>
      <c r="L139" s="89" t="str">
        <f ca="1">IFERROR(INDIRECT(CONCATENATE("Field!L",A135+5)),"")</f>
        <v/>
      </c>
      <c r="M139" s="65" t="str">
        <f ca="1">IFERROR(INDIRECT(CONCATENATE("Field!M",A135+5)),"")</f>
        <v/>
      </c>
      <c r="N139" s="121" t="str">
        <f ca="1">IFERROR(INDIRECT(CONCATENATE("Field!N",A135+5)),"")</f>
        <v/>
      </c>
    </row>
    <row r="140" spans="1:18" x14ac:dyDescent="0.35">
      <c r="B140" s="66">
        <f ca="1">IFERROR(INDIRECT(CONCATENATE("Field!B",A135+6)),"")</f>
        <v>5</v>
      </c>
      <c r="C140" s="66">
        <f ca="1">IFERROR(INDIRECT(CONCATENATE("Field!C",A135+6)),"")</f>
        <v>4</v>
      </c>
      <c r="D140" s="89" t="str">
        <f ca="1">IFERROR(INDIRECT(CONCATENATE("Field!D",A135+6)),"")</f>
        <v>BELL Callum</v>
      </c>
      <c r="E140" s="89" t="str">
        <f ca="1">IFERROR(INDIRECT(CONCATENATE("Field!E",A135+6)),"")</f>
        <v>M'bro</v>
      </c>
      <c r="F140" s="65">
        <f ca="1">IFERROR(INDIRECT(CONCATENATE("Field!F",A135+6)),"")</f>
        <v>10.47</v>
      </c>
      <c r="G140" s="121" t="str">
        <f ca="1">IFERROR(INDIRECT(CONCATENATE("Field!G",A135+6)),"")</f>
        <v/>
      </c>
      <c r="H140" s="66"/>
      <c r="I140" s="66">
        <f ca="1">IFERROR(INDIRECT(CONCATENATE("Field!I",A135+6)),"")</f>
        <v>5</v>
      </c>
      <c r="J140" s="66" t="str">
        <f ca="1">IFERROR(INDIRECT(CONCATENATE("Field!J",A135+6)),"")</f>
        <v/>
      </c>
      <c r="K140" s="89" t="str">
        <f ca="1">IFERROR(INDIRECT(CONCATENATE("Field!K",A135+6)),"")</f>
        <v/>
      </c>
      <c r="L140" s="89" t="str">
        <f ca="1">IFERROR(INDIRECT(CONCATENATE("Field!L",A135+6)),"")</f>
        <v/>
      </c>
      <c r="M140" s="65" t="str">
        <f ca="1">IFERROR(INDIRECT(CONCATENATE("Field!M",A135+6)),"")</f>
        <v/>
      </c>
      <c r="N140" s="121" t="str">
        <f ca="1">IFERROR(INDIRECT(CONCATENATE("Field!N",A135+6)),"")</f>
        <v/>
      </c>
    </row>
    <row r="141" spans="1:18" x14ac:dyDescent="0.35">
      <c r="B141" s="66">
        <f ca="1">IFERROR(INDIRECT(CONCATENATE("Field!B",A135+7)),"")</f>
        <v>6</v>
      </c>
      <c r="C141" s="66" t="str">
        <f ca="1">IFERROR(INDIRECT(CONCATENATE("Field!C",A135+7)),"")</f>
        <v/>
      </c>
      <c r="D141" s="89" t="str">
        <f ca="1">IFERROR(INDIRECT(CONCATENATE("Field!D",A135+7)),"")</f>
        <v/>
      </c>
      <c r="E141" s="89" t="str">
        <f ca="1">IFERROR(INDIRECT(CONCATENATE("Field!E",A135+7)),"")</f>
        <v/>
      </c>
      <c r="F141" s="65" t="str">
        <f ca="1">IFERROR(INDIRECT(CONCATENATE("Field!F",A135+7)),"")</f>
        <v/>
      </c>
      <c r="G141" s="121" t="str">
        <f ca="1">IFERROR(INDIRECT(CONCATENATE("Field!G",A135+7)),"")</f>
        <v/>
      </c>
      <c r="H141" s="66"/>
      <c r="I141" s="66">
        <f ca="1">IFERROR(INDIRECT(CONCATENATE("Field!I",A135+7)),"")</f>
        <v>6</v>
      </c>
      <c r="J141" s="66" t="str">
        <f ca="1">IFERROR(INDIRECT(CONCATENATE("Field!J",A135+7)),"")</f>
        <v/>
      </c>
      <c r="K141" s="89" t="str">
        <f ca="1">IFERROR(INDIRECT(CONCATENATE("Field!K",A135+7)),"")</f>
        <v/>
      </c>
      <c r="L141" s="89" t="str">
        <f ca="1">IFERROR(INDIRECT(CONCATENATE("Field!L",A135+7)),"")</f>
        <v/>
      </c>
      <c r="M141" s="65" t="str">
        <f ca="1">IFERROR(INDIRECT(CONCATENATE("Field!M",A135+7)),"")</f>
        <v/>
      </c>
      <c r="N141" s="121" t="str">
        <f ca="1">IFERROR(INDIRECT(CONCATENATE("Field!N",A135+7)),"")</f>
        <v/>
      </c>
    </row>
    <row r="142" spans="1:18" x14ac:dyDescent="0.35">
      <c r="B142" s="66">
        <f ca="1">IFERROR(INDIRECT(CONCATENATE("Field!B",A135+8)),"")</f>
        <v>7</v>
      </c>
      <c r="C142" s="66" t="str">
        <f ca="1">IFERROR(INDIRECT(CONCATENATE("Field!C",A135+8)),"")</f>
        <v/>
      </c>
      <c r="D142" s="89" t="str">
        <f ca="1">IFERROR(INDIRECT(CONCATENATE("Field!D",A135+8)),"")</f>
        <v/>
      </c>
      <c r="E142" s="89" t="str">
        <f ca="1">IFERROR(INDIRECT(CONCATENATE("Field!E",A135+8)),"")</f>
        <v/>
      </c>
      <c r="F142" s="65" t="str">
        <f ca="1">IFERROR(INDIRECT(CONCATENATE("Field!F",A135+8)),"")</f>
        <v/>
      </c>
      <c r="G142" s="121" t="str">
        <f ca="1">IFERROR(INDIRECT(CONCATENATE("Field!G",A135+8)),"")</f>
        <v/>
      </c>
      <c r="H142" s="66"/>
      <c r="I142" s="66">
        <f ca="1">IFERROR(INDIRECT(CONCATENATE("Field!I",A135+8)),"")</f>
        <v>7</v>
      </c>
      <c r="J142" s="66" t="str">
        <f ca="1">IFERROR(INDIRECT(CONCATENATE("Field!J",A135+8)),"")</f>
        <v/>
      </c>
      <c r="K142" s="89" t="str">
        <f ca="1">IFERROR(INDIRECT(CONCATENATE("Field!K",A135+8)),"")</f>
        <v/>
      </c>
      <c r="L142" s="89" t="str">
        <f ca="1">IFERROR(INDIRECT(CONCATENATE("Field!L",A135+8)),"")</f>
        <v/>
      </c>
      <c r="M142" s="65" t="str">
        <f ca="1">IFERROR(INDIRECT(CONCATENATE("Field!M",A135+8)),"")</f>
        <v/>
      </c>
      <c r="N142" s="121" t="str">
        <f ca="1">IFERROR(INDIRECT(CONCATENATE("Field!N",A135+8)),"")</f>
        <v/>
      </c>
    </row>
    <row r="143" spans="1:18" x14ac:dyDescent="0.35">
      <c r="B143" s="66">
        <f ca="1">IFERROR(INDIRECT(CONCATENATE("Field!B",A135+9)),"")</f>
        <v>8</v>
      </c>
      <c r="C143" s="66" t="str">
        <f ca="1">IFERROR(INDIRECT(CONCATENATE("Field!C",A135+9)),"")</f>
        <v/>
      </c>
      <c r="D143" s="89" t="str">
        <f ca="1">IFERROR(INDIRECT(CONCATENATE("Field!D",A135+9)),"")</f>
        <v/>
      </c>
      <c r="E143" s="89" t="str">
        <f ca="1">IFERROR(INDIRECT(CONCATENATE("Field!E",A135+9)),"")</f>
        <v/>
      </c>
      <c r="F143" s="65" t="str">
        <f ca="1">IFERROR(INDIRECT(CONCATENATE("Field!F",A135+9)),"")</f>
        <v/>
      </c>
      <c r="G143" s="121" t="str">
        <f ca="1">IFERROR(INDIRECT(CONCATENATE("Field!G",A135+9)),"")</f>
        <v/>
      </c>
      <c r="H143" s="66"/>
      <c r="I143" s="66">
        <f ca="1">IFERROR(INDIRECT(CONCATENATE("Field!I",A135+9)),"")</f>
        <v>8</v>
      </c>
      <c r="J143" s="66" t="str">
        <f ca="1">IFERROR(INDIRECT(CONCATENATE("Field!J",A135+9)),"")</f>
        <v/>
      </c>
      <c r="K143" s="89" t="str">
        <f ca="1">IFERROR(INDIRECT(CONCATENATE("Field!K",A135+9)),"")</f>
        <v/>
      </c>
      <c r="L143" s="89" t="str">
        <f ca="1">IFERROR(INDIRECT(CONCATENATE("Field!L",A135+9)),"")</f>
        <v/>
      </c>
      <c r="M143" s="65" t="str">
        <f ca="1">IFERROR(INDIRECT(CONCATENATE("Field!M",A135+9)),"")</f>
        <v/>
      </c>
      <c r="N143" s="121" t="str">
        <f ca="1">IFERROR(INDIRECT(CONCATENATE("Field!N",A135+9)),"")</f>
        <v/>
      </c>
    </row>
    <row r="144" spans="1:18" x14ac:dyDescent="0.35">
      <c r="F144" s="67"/>
      <c r="M144" s="67"/>
    </row>
    <row r="145" spans="1:18" x14ac:dyDescent="0.35">
      <c r="A145" s="66" t="s">
        <v>231</v>
      </c>
      <c r="B145" s="115" t="str">
        <f ca="1">IFERROR(INDIRECT(CONCATENATE("Field!B",A146)),"")</f>
        <v>Hammer U15 Boys A</v>
      </c>
      <c r="F145" s="67"/>
      <c r="G145" s="121" t="str">
        <f ca="1">IFERROR(INDIRECT(CONCATENATE("Field!g",A146)),"")</f>
        <v/>
      </c>
      <c r="I145" s="115" t="str">
        <f ca="1">IFERROR(INDIRECT(CONCATENATE("Field!I",A146)),"")</f>
        <v>Hammer U15 Boys B</v>
      </c>
      <c r="M145" s="67"/>
    </row>
    <row r="146" spans="1:18" x14ac:dyDescent="0.35">
      <c r="A146" s="66">
        <f>IFERROR(MATCH(A145,Field!A:A,0),"")</f>
        <v>2</v>
      </c>
      <c r="B146" s="45" t="str">
        <f ca="1">IFERROR(INDIRECT(CONCATENATE("Field!B",A146+1)),"")</f>
        <v>Posn</v>
      </c>
      <c r="C146" s="45" t="str">
        <f ca="1">IFERROR(INDIRECT(CONCATENATE("Field!C",A146+1)),"")</f>
        <v>Bib</v>
      </c>
      <c r="D146" s="182" t="str">
        <f ca="1">IFERROR(INDIRECT(CONCATENATE("Field!D",A146+1)),"")</f>
        <v>Athlete</v>
      </c>
      <c r="E146" s="182" t="str">
        <f ca="1">IFERROR(INDIRECT(CONCATENATE("Field!E",A146+1)),"")</f>
        <v>Club</v>
      </c>
      <c r="F146" s="149" t="str">
        <f ca="1">IFERROR(INDIRECT(CONCATENATE("Field!F",A146+1)),"")</f>
        <v>Perf</v>
      </c>
      <c r="G146" s="218" t="str">
        <f ca="1">IFERROR(INDIRECT(CONCATENATE("Field!G",A146+1)),"")</f>
        <v>AAA</v>
      </c>
      <c r="H146" s="45"/>
      <c r="I146" s="45" t="str">
        <f ca="1">IFERROR(INDIRECT(CONCATENATE("Field!I",A146+1)),"")</f>
        <v>Posn</v>
      </c>
      <c r="J146" s="45" t="str">
        <f ca="1">IFERROR(INDIRECT(CONCATENATE("Field!J",A146+1)),"")</f>
        <v>Bib</v>
      </c>
      <c r="K146" s="182" t="str">
        <f ca="1">IFERROR(INDIRECT(CONCATENATE("Field!K",A146+1)),"")</f>
        <v>Athlete</v>
      </c>
      <c r="L146" s="182" t="str">
        <f ca="1">IFERROR(INDIRECT(CONCATENATE("Field!L",A146+1)),"")</f>
        <v>Club</v>
      </c>
      <c r="M146" s="149" t="str">
        <f ca="1">IFERROR(INDIRECT(CONCATENATE("Field!M",A146+1)),"")</f>
        <v>Perf</v>
      </c>
      <c r="N146" s="218" t="str">
        <f ca="1">IFERROR(INDIRECT(CONCATENATE("Field!N",A146+1)),"")</f>
        <v>AAA</v>
      </c>
    </row>
    <row r="147" spans="1:18" x14ac:dyDescent="0.35">
      <c r="B147" s="66">
        <f ca="1">IFERROR(INDIRECT(CONCATENATE("Field!B",A146+2)),"")</f>
        <v>1</v>
      </c>
      <c r="C147" s="66">
        <f ca="1">IFERROR(INDIRECT(CONCATENATE("Field!C",A146+2)),"")</f>
        <v>33</v>
      </c>
      <c r="D147" s="89" t="str">
        <f ca="1">IFERROR(INDIRECT(CONCATENATE("Field!D",A146+2)),"")</f>
        <v>RUTTER Aaron</v>
      </c>
      <c r="E147" s="89" t="str">
        <f ca="1">IFERROR(INDIRECT(CONCATENATE("Field!E",A146+2)),"")</f>
        <v>York</v>
      </c>
      <c r="F147" s="65">
        <f ca="1">IFERROR(INDIRECT(CONCATENATE("Field!F",A146+2)),"")</f>
        <v>29.94</v>
      </c>
      <c r="G147" s="121">
        <f ca="1">IFERROR(INDIRECT(CONCATENATE("Field!G",A146+2)),"")</f>
        <v>4</v>
      </c>
      <c r="H147" s="66"/>
      <c r="I147" s="66">
        <f ca="1">IFERROR(INDIRECT(CONCATENATE("Field!I",A146+2)),"")</f>
        <v>1</v>
      </c>
      <c r="J147" s="66">
        <f ca="1">IFERROR(INDIRECT(CONCATENATE("Field!J",A146+2)),"")</f>
        <v>3</v>
      </c>
      <c r="K147" s="89" t="str">
        <f ca="1">IFERROR(INDIRECT(CONCATENATE("Field!K",A146+2)),"")</f>
        <v>MEIGH William</v>
      </c>
      <c r="L147" s="89" t="str">
        <f ca="1">IFERROR(INDIRECT(CONCATENATE("Field!L",A146+2)),"")</f>
        <v>York</v>
      </c>
      <c r="M147" s="65">
        <f ca="1">IFERROR(INDIRECT(CONCATENATE("Field!M",A146+2)),"")</f>
        <v>14.53</v>
      </c>
      <c r="N147" s="121" t="str">
        <f ca="1">IFERROR(INDIRECT(CONCATENATE("Field!N",A146+2)),"")</f>
        <v/>
      </c>
      <c r="R147" s="219">
        <f ca="1">IFERROR(INDIRECT(CONCATENATE("Field!r",A146+2)),"")</f>
        <v>1</v>
      </c>
    </row>
    <row r="148" spans="1:18" x14ac:dyDescent="0.35">
      <c r="B148" s="66">
        <f ca="1">IFERROR(INDIRECT(CONCATENATE("Field!B",A146+3)),"")</f>
        <v>2</v>
      </c>
      <c r="C148" s="66">
        <f ca="1">IFERROR(INDIRECT(CONCATENATE("Field!C",A146+3)),"")</f>
        <v>1</v>
      </c>
      <c r="D148" s="89" t="str">
        <f ca="1">IFERROR(INDIRECT(CONCATENATE("Field!D",A146+3)),"")</f>
        <v>PEERS-WAIN Jacob</v>
      </c>
      <c r="E148" s="89" t="str">
        <f ca="1">IFERROR(INDIRECT(CONCATENATE("Field!E",A146+3)),"")</f>
        <v>C'field</v>
      </c>
      <c r="F148" s="65">
        <f ca="1">IFERROR(INDIRECT(CONCATENATE("Field!F",A146+3)),"")</f>
        <v>11.92</v>
      </c>
      <c r="G148" s="121" t="str">
        <f ca="1">IFERROR(INDIRECT(CONCATENATE("Field!G",A146+3)),"")</f>
        <v/>
      </c>
      <c r="H148" s="66"/>
      <c r="I148" s="66">
        <f ca="1">IFERROR(INDIRECT(CONCATENATE("Field!I",A146+3)),"")</f>
        <v>2</v>
      </c>
      <c r="J148" s="66">
        <f ca="1">IFERROR(INDIRECT(CONCATENATE("Field!J",A146+3)),"")</f>
        <v>11</v>
      </c>
      <c r="K148" s="89" t="str">
        <f ca="1">IFERROR(INDIRECT(CONCATENATE("Field!K",A146+3)),"")</f>
        <v>BETTNEY Thomas</v>
      </c>
      <c r="L148" s="89" t="str">
        <f ca="1">IFERROR(INDIRECT(CONCATENATE("Field!L",A146+3)),"")</f>
        <v>C'field</v>
      </c>
      <c r="M148" s="65">
        <f ca="1">IFERROR(INDIRECT(CONCATENATE("Field!M",A146+3)),"")</f>
        <v>8.83</v>
      </c>
      <c r="N148" s="121" t="str">
        <f ca="1">IFERROR(INDIRECT(CONCATENATE("Field!N",A146+3)),"")</f>
        <v/>
      </c>
    </row>
    <row r="149" spans="1:18" x14ac:dyDescent="0.35">
      <c r="B149" s="66">
        <f ca="1">IFERROR(INDIRECT(CONCATENATE("Field!B",A146+4)),"")</f>
        <v>3</v>
      </c>
      <c r="C149" s="66">
        <f ca="1">IFERROR(INDIRECT(CONCATENATE("Field!C",A146+4)),"")</f>
        <v>4</v>
      </c>
      <c r="D149" s="89" t="str">
        <f ca="1">IFERROR(INDIRECT(CONCATENATE("Field!D",A146+4)),"")</f>
        <v>BELL Callum</v>
      </c>
      <c r="E149" s="89" t="str">
        <f ca="1">IFERROR(INDIRECT(CONCATENATE("Field!E",A146+4)),"")</f>
        <v>M'bro</v>
      </c>
      <c r="F149" s="65">
        <f ca="1">IFERROR(INDIRECT(CONCATENATE("Field!F",A146+4)),"")</f>
        <v>11.39</v>
      </c>
      <c r="G149" s="121" t="str">
        <f ca="1">IFERROR(INDIRECT(CONCATENATE("Field!G",A146+4)),"")</f>
        <v/>
      </c>
      <c r="H149" s="66"/>
      <c r="I149" s="66">
        <f ca="1">IFERROR(INDIRECT(CONCATENATE("Field!I",A146+4)),"")</f>
        <v>3</v>
      </c>
      <c r="J149" s="66" t="str">
        <f ca="1">IFERROR(INDIRECT(CONCATENATE("Field!J",A146+4)),"")</f>
        <v/>
      </c>
      <c r="K149" s="89" t="str">
        <f ca="1">IFERROR(INDIRECT(CONCATENATE("Field!K",A146+4)),"")</f>
        <v/>
      </c>
      <c r="L149" s="89" t="str">
        <f ca="1">IFERROR(INDIRECT(CONCATENATE("Field!L",A146+4)),"")</f>
        <v/>
      </c>
      <c r="M149" s="65" t="str">
        <f ca="1">IFERROR(INDIRECT(CONCATENATE("Field!M",A146+4)),"")</f>
        <v/>
      </c>
      <c r="N149" s="121" t="str">
        <f ca="1">IFERROR(INDIRECT(CONCATENATE("Field!N",A146+4)),"")</f>
        <v/>
      </c>
    </row>
    <row r="150" spans="1:18" x14ac:dyDescent="0.35">
      <c r="B150" s="66">
        <f ca="1">IFERROR(INDIRECT(CONCATENATE("Field!B",A146+5)),"")</f>
        <v>4</v>
      </c>
      <c r="C150" s="66" t="str">
        <f ca="1">IFERROR(INDIRECT(CONCATENATE("Field!C",A146+5)),"")</f>
        <v/>
      </c>
      <c r="D150" s="89" t="str">
        <f ca="1">IFERROR(INDIRECT(CONCATENATE("Field!D",A146+5)),"")</f>
        <v/>
      </c>
      <c r="E150" s="89" t="str">
        <f ca="1">IFERROR(INDIRECT(CONCATENATE("Field!E",A146+5)),"")</f>
        <v/>
      </c>
      <c r="F150" s="65" t="str">
        <f ca="1">IFERROR(INDIRECT(CONCATENATE("Field!F",A146+5)),"")</f>
        <v/>
      </c>
      <c r="G150" s="121" t="str">
        <f ca="1">IFERROR(INDIRECT(CONCATENATE("Field!G",A146+5)),"")</f>
        <v/>
      </c>
      <c r="H150" s="66"/>
      <c r="I150" s="66">
        <f ca="1">IFERROR(INDIRECT(CONCATENATE("Field!I",A146+5)),"")</f>
        <v>4</v>
      </c>
      <c r="J150" s="66" t="str">
        <f ca="1">IFERROR(INDIRECT(CONCATENATE("Field!J",A146+5)),"")</f>
        <v/>
      </c>
      <c r="K150" s="89" t="str">
        <f ca="1">IFERROR(INDIRECT(CONCATENATE("Field!K",A146+5)),"")</f>
        <v/>
      </c>
      <c r="L150" s="89" t="str">
        <f ca="1">IFERROR(INDIRECT(CONCATENATE("Field!L",A146+5)),"")</f>
        <v/>
      </c>
      <c r="M150" s="65" t="str">
        <f ca="1">IFERROR(INDIRECT(CONCATENATE("Field!M",A146+5)),"")</f>
        <v/>
      </c>
      <c r="N150" s="121" t="str">
        <f ca="1">IFERROR(INDIRECT(CONCATENATE("Field!N",A146+5)),"")</f>
        <v/>
      </c>
    </row>
    <row r="151" spans="1:18" x14ac:dyDescent="0.35">
      <c r="B151" s="66">
        <f ca="1">IFERROR(INDIRECT(CONCATENATE("Field!B",A146+6)),"")</f>
        <v>5</v>
      </c>
      <c r="C151" s="66" t="str">
        <f ca="1">IFERROR(INDIRECT(CONCATENATE("Field!C",A146+6)),"")</f>
        <v/>
      </c>
      <c r="D151" s="89" t="str">
        <f ca="1">IFERROR(INDIRECT(CONCATENATE("Field!D",A146+6)),"")</f>
        <v/>
      </c>
      <c r="E151" s="89" t="str">
        <f ca="1">IFERROR(INDIRECT(CONCATENATE("Field!E",A146+6)),"")</f>
        <v/>
      </c>
      <c r="F151" s="65" t="str">
        <f ca="1">IFERROR(INDIRECT(CONCATENATE("Field!F",A146+6)),"")</f>
        <v/>
      </c>
      <c r="G151" s="121" t="str">
        <f ca="1">IFERROR(INDIRECT(CONCATENATE("Field!G",A146+6)),"")</f>
        <v/>
      </c>
      <c r="H151" s="66"/>
      <c r="I151" s="66">
        <f ca="1">IFERROR(INDIRECT(CONCATENATE("Field!I",A146+6)),"")</f>
        <v>5</v>
      </c>
      <c r="J151" s="66" t="str">
        <f ca="1">IFERROR(INDIRECT(CONCATENATE("Field!J",A146+6)),"")</f>
        <v/>
      </c>
      <c r="K151" s="89" t="str">
        <f ca="1">IFERROR(INDIRECT(CONCATENATE("Field!K",A146+6)),"")</f>
        <v/>
      </c>
      <c r="L151" s="89" t="str">
        <f ca="1">IFERROR(INDIRECT(CONCATENATE("Field!L",A146+6)),"")</f>
        <v/>
      </c>
      <c r="M151" s="65" t="str">
        <f ca="1">IFERROR(INDIRECT(CONCATENATE("Field!M",A146+6)),"")</f>
        <v/>
      </c>
      <c r="N151" s="121" t="str">
        <f ca="1">IFERROR(INDIRECT(CONCATENATE("Field!N",A146+6)),"")</f>
        <v/>
      </c>
    </row>
    <row r="152" spans="1:18" x14ac:dyDescent="0.35">
      <c r="B152" s="66">
        <f ca="1">IFERROR(INDIRECT(CONCATENATE("Field!B",A146+7)),"")</f>
        <v>6</v>
      </c>
      <c r="C152" s="66" t="str">
        <f ca="1">IFERROR(INDIRECT(CONCATENATE("Field!C",A146+7)),"")</f>
        <v/>
      </c>
      <c r="D152" s="89" t="str">
        <f ca="1">IFERROR(INDIRECT(CONCATENATE("Field!D",A146+7)),"")</f>
        <v/>
      </c>
      <c r="E152" s="89" t="str">
        <f ca="1">IFERROR(INDIRECT(CONCATENATE("Field!E",A146+7)),"")</f>
        <v/>
      </c>
      <c r="F152" s="65" t="str">
        <f ca="1">IFERROR(INDIRECT(CONCATENATE("Field!F",A146+7)),"")</f>
        <v/>
      </c>
      <c r="G152" s="121" t="str">
        <f ca="1">IFERROR(INDIRECT(CONCATENATE("Field!G",A146+7)),"")</f>
        <v/>
      </c>
      <c r="H152" s="66"/>
      <c r="I152" s="66">
        <f ca="1">IFERROR(INDIRECT(CONCATENATE("Field!I",A146+7)),"")</f>
        <v>6</v>
      </c>
      <c r="J152" s="66" t="str">
        <f ca="1">IFERROR(INDIRECT(CONCATENATE("Field!J",A146+7)),"")</f>
        <v/>
      </c>
      <c r="K152" s="89" t="str">
        <f ca="1">IFERROR(INDIRECT(CONCATENATE("Field!K",A146+7)),"")</f>
        <v/>
      </c>
      <c r="L152" s="89" t="str">
        <f ca="1">IFERROR(INDIRECT(CONCATENATE("Field!L",A146+7)),"")</f>
        <v/>
      </c>
      <c r="M152" s="65" t="str">
        <f ca="1">IFERROR(INDIRECT(CONCATENATE("Field!M",A146+7)),"")</f>
        <v/>
      </c>
      <c r="N152" s="121" t="str">
        <f ca="1">IFERROR(INDIRECT(CONCATENATE("Field!N",A146+7)),"")</f>
        <v/>
      </c>
    </row>
    <row r="153" spans="1:18" x14ac:dyDescent="0.35">
      <c r="B153" s="66">
        <f ca="1">IFERROR(INDIRECT(CONCATENATE("Field!B",A146+8)),"")</f>
        <v>7</v>
      </c>
      <c r="C153" s="66" t="str">
        <f ca="1">IFERROR(INDIRECT(CONCATENATE("Field!C",A146+8)),"")</f>
        <v/>
      </c>
      <c r="D153" s="89" t="str">
        <f ca="1">IFERROR(INDIRECT(CONCATENATE("Field!D",A146+8)),"")</f>
        <v/>
      </c>
      <c r="E153" s="89" t="str">
        <f ca="1">IFERROR(INDIRECT(CONCATENATE("Field!E",A146+8)),"")</f>
        <v/>
      </c>
      <c r="F153" s="65" t="str">
        <f ca="1">IFERROR(INDIRECT(CONCATENATE("Field!F",A146+8)),"")</f>
        <v/>
      </c>
      <c r="G153" s="121" t="str">
        <f ca="1">IFERROR(INDIRECT(CONCATENATE("Field!G",A146+8)),"")</f>
        <v/>
      </c>
      <c r="H153" s="66"/>
      <c r="I153" s="66">
        <f ca="1">IFERROR(INDIRECT(CONCATENATE("Field!I",A146+8)),"")</f>
        <v>7</v>
      </c>
      <c r="J153" s="66" t="str">
        <f ca="1">IFERROR(INDIRECT(CONCATENATE("Field!J",A146+8)),"")</f>
        <v/>
      </c>
      <c r="K153" s="89" t="str">
        <f ca="1">IFERROR(INDIRECT(CONCATENATE("Field!K",A146+8)),"")</f>
        <v/>
      </c>
      <c r="L153" s="89" t="str">
        <f ca="1">IFERROR(INDIRECT(CONCATENATE("Field!L",A146+8)),"")</f>
        <v/>
      </c>
      <c r="M153" s="65" t="str">
        <f ca="1">IFERROR(INDIRECT(CONCATENATE("Field!M",A146+8)),"")</f>
        <v/>
      </c>
      <c r="N153" s="121" t="str">
        <f ca="1">IFERROR(INDIRECT(CONCATENATE("Field!N",A146+8)),"")</f>
        <v/>
      </c>
    </row>
    <row r="154" spans="1:18" x14ac:dyDescent="0.35">
      <c r="B154" s="66">
        <f ca="1">IFERROR(INDIRECT(CONCATENATE("Field!B",A146+9)),"")</f>
        <v>8</v>
      </c>
      <c r="C154" s="66" t="str">
        <f ca="1">IFERROR(INDIRECT(CONCATENATE("Field!C",A146+9)),"")</f>
        <v/>
      </c>
      <c r="D154" s="89" t="str">
        <f ca="1">IFERROR(INDIRECT(CONCATENATE("Field!D",A146+9)),"")</f>
        <v/>
      </c>
      <c r="E154" s="89" t="str">
        <f ca="1">IFERROR(INDIRECT(CONCATENATE("Field!E",A146+9)),"")</f>
        <v/>
      </c>
      <c r="F154" s="65" t="str">
        <f ca="1">IFERROR(INDIRECT(CONCATENATE("Field!F",A146+9)),"")</f>
        <v/>
      </c>
      <c r="G154" s="121" t="str">
        <f ca="1">IFERROR(INDIRECT(CONCATENATE("Field!G",A146+9)),"")</f>
        <v/>
      </c>
      <c r="H154" s="66"/>
      <c r="I154" s="66">
        <f ca="1">IFERROR(INDIRECT(CONCATENATE("Field!I",A146+9)),"")</f>
        <v>8</v>
      </c>
      <c r="J154" s="66" t="str">
        <f ca="1">IFERROR(INDIRECT(CONCATENATE("Field!J",A146+9)),"")</f>
        <v/>
      </c>
      <c r="K154" s="89" t="str">
        <f ca="1">IFERROR(INDIRECT(CONCATENATE("Field!K",A146+9)),"")</f>
        <v/>
      </c>
      <c r="L154" s="89" t="str">
        <f ca="1">IFERROR(INDIRECT(CONCATENATE("Field!L",A146+9)),"")</f>
        <v/>
      </c>
      <c r="M154" s="65" t="str">
        <f ca="1">IFERROR(INDIRECT(CONCATENATE("Field!M",A146+9)),"")</f>
        <v/>
      </c>
      <c r="N154" s="121" t="str">
        <f ca="1">IFERROR(INDIRECT(CONCATENATE("Field!N",A146+9)),"")</f>
        <v/>
      </c>
    </row>
    <row r="155" spans="1:18" x14ac:dyDescent="0.35">
      <c r="F155" s="67"/>
      <c r="M155" s="67"/>
    </row>
    <row r="156" spans="1:18" x14ac:dyDescent="0.35">
      <c r="A156" s="66" t="s">
        <v>243</v>
      </c>
      <c r="B156" s="115" t="str">
        <f ca="1">IFERROR(INDIRECT(CONCATENATE("Field!B",A157)),"")</f>
        <v>Javelin U15 Boys A</v>
      </c>
      <c r="F156" s="67"/>
      <c r="G156" s="121" t="str">
        <f ca="1">IFERROR(INDIRECT(CONCATENATE("Field!g",A157)),"")</f>
        <v/>
      </c>
      <c r="I156" s="115" t="str">
        <f ca="1">IFERROR(INDIRECT(CONCATENATE("Field!I",A157)),"")</f>
        <v>Javelin U15 Boys B</v>
      </c>
      <c r="M156" s="67"/>
    </row>
    <row r="157" spans="1:18" x14ac:dyDescent="0.35">
      <c r="A157" s="66">
        <f>IFERROR(MATCH(A156,Field!A:A,0),"")</f>
        <v>68</v>
      </c>
      <c r="B157" s="45" t="str">
        <f ca="1">IFERROR(INDIRECT(CONCATENATE("Field!B",A157+1)),"")</f>
        <v>Posn</v>
      </c>
      <c r="C157" s="45" t="str">
        <f ca="1">IFERROR(INDIRECT(CONCATENATE("Field!C",A157+1)),"")</f>
        <v>Bib</v>
      </c>
      <c r="D157" s="182" t="str">
        <f ca="1">IFERROR(INDIRECT(CONCATENATE("Field!D",A157+1)),"")</f>
        <v>Athlete</v>
      </c>
      <c r="E157" s="182" t="str">
        <f ca="1">IFERROR(INDIRECT(CONCATENATE("Field!E",A157+1)),"")</f>
        <v>Club</v>
      </c>
      <c r="F157" s="149" t="str">
        <f ca="1">IFERROR(INDIRECT(CONCATENATE("Field!F",A157+1)),"")</f>
        <v>Perf</v>
      </c>
      <c r="G157" s="218" t="str">
        <f ca="1">IFERROR(INDIRECT(CONCATENATE("Field!G",A157+1)),"")</f>
        <v>AAA</v>
      </c>
      <c r="H157" s="45"/>
      <c r="I157" s="45" t="str">
        <f ca="1">IFERROR(INDIRECT(CONCATENATE("Field!I",A157+1)),"")</f>
        <v>Posn</v>
      </c>
      <c r="J157" s="45" t="str">
        <f ca="1">IFERROR(INDIRECT(CONCATENATE("Field!J",A157+1)),"")</f>
        <v>Bib</v>
      </c>
      <c r="K157" s="182" t="str">
        <f ca="1">IFERROR(INDIRECT(CONCATENATE("Field!K",A157+1)),"")</f>
        <v>Athlete</v>
      </c>
      <c r="L157" s="182" t="str">
        <f ca="1">IFERROR(INDIRECT(CONCATENATE("Field!L",A157+1)),"")</f>
        <v>Club</v>
      </c>
      <c r="M157" s="149" t="str">
        <f ca="1">IFERROR(INDIRECT(CONCATENATE("Field!M",A157+1)),"")</f>
        <v>Perf</v>
      </c>
      <c r="N157" s="218" t="str">
        <f ca="1">IFERROR(INDIRECT(CONCATENATE("Field!N",A157+1)),"")</f>
        <v>AAA</v>
      </c>
    </row>
    <row r="158" spans="1:18" x14ac:dyDescent="0.35">
      <c r="B158" s="66">
        <f ca="1">IFERROR(INDIRECT(CONCATENATE("Field!B",A157+2)),"")</f>
        <v>1</v>
      </c>
      <c r="C158" s="66">
        <f ca="1">IFERROR(INDIRECT(CONCATENATE("Field!C",A157+2)),"")</f>
        <v>5</v>
      </c>
      <c r="D158" s="89" t="str">
        <f ca="1">IFERROR(INDIRECT(CONCATENATE("Field!D",A157+2)),"")</f>
        <v>COOK Edwin</v>
      </c>
      <c r="E158" s="89" t="str">
        <f ca="1">IFERROR(INDIRECT(CONCATENATE("Field!E",A157+2)),"")</f>
        <v>Scun</v>
      </c>
      <c r="F158" s="65">
        <f ca="1">IFERROR(INDIRECT(CONCATENATE("Field!F",A157+2)),"")</f>
        <v>20.81</v>
      </c>
      <c r="G158" s="121" t="str">
        <f ca="1">IFERROR(INDIRECT(CONCATENATE("Field!G",A157+2)),"")</f>
        <v/>
      </c>
      <c r="H158" s="66"/>
      <c r="I158" s="66">
        <f ca="1">IFERROR(INDIRECT(CONCATENATE("Field!I",A157+2)),"")</f>
        <v>1</v>
      </c>
      <c r="J158" s="66">
        <f ca="1">IFERROR(INDIRECT(CONCATENATE("Field!J",A157+2)),"")</f>
        <v>33</v>
      </c>
      <c r="K158" s="89" t="str">
        <f ca="1">IFERROR(INDIRECT(CONCATENATE("Field!K",A157+2)),"")</f>
        <v>BROOKS Rory</v>
      </c>
      <c r="L158" s="89" t="str">
        <f ca="1">IFERROR(INDIRECT(CONCATENATE("Field!L",A157+2)),"")</f>
        <v>York</v>
      </c>
      <c r="M158" s="65">
        <f ca="1">IFERROR(INDIRECT(CONCATENATE("Field!M",A157+2)),"")</f>
        <v>19.13</v>
      </c>
      <c r="N158" s="121" t="str">
        <f ca="1">IFERROR(INDIRECT(CONCATENATE("Field!N",A157+2)),"")</f>
        <v/>
      </c>
      <c r="R158" s="219">
        <f ca="1">IFERROR(INDIRECT(CONCATENATE("Field!r",A157+2)),"")</f>
        <v>1</v>
      </c>
    </row>
    <row r="159" spans="1:18" x14ac:dyDescent="0.35">
      <c r="B159" s="66">
        <f ca="1">IFERROR(INDIRECT(CONCATENATE("Field!B",A157+3)),"")</f>
        <v>2</v>
      </c>
      <c r="C159" s="66">
        <f ca="1">IFERROR(INDIRECT(CONCATENATE("Field!C",A157+3)),"")</f>
        <v>3</v>
      </c>
      <c r="D159" s="89" t="str">
        <f ca="1">IFERROR(INDIRECT(CONCATENATE("Field!D",A157+3)),"")</f>
        <v>RHODES Ashton</v>
      </c>
      <c r="E159" s="89" t="str">
        <f ca="1">IFERROR(INDIRECT(CONCATENATE("Field!E",A157+3)),"")</f>
        <v>York</v>
      </c>
      <c r="F159" s="65">
        <f ca="1">IFERROR(INDIRECT(CONCATENATE("Field!F",A157+3)),"")</f>
        <v>20.329999999999998</v>
      </c>
      <c r="G159" s="121" t="str">
        <f ca="1">IFERROR(INDIRECT(CONCATENATE("Field!G",A157+3)),"")</f>
        <v/>
      </c>
      <c r="H159" s="66"/>
      <c r="I159" s="66">
        <f ca="1">IFERROR(INDIRECT(CONCATENATE("Field!I",A157+3)),"")</f>
        <v>2</v>
      </c>
      <c r="J159" s="66">
        <f ca="1">IFERROR(INDIRECT(CONCATENATE("Field!J",A157+3)),"")</f>
        <v>11</v>
      </c>
      <c r="K159" s="89" t="str">
        <f ca="1">IFERROR(INDIRECT(CONCATENATE("Field!K",A157+3)),"")</f>
        <v>SAS Reuben</v>
      </c>
      <c r="L159" s="89" t="str">
        <f ca="1">IFERROR(INDIRECT(CONCATENATE("Field!L",A157+3)),"")</f>
        <v>C'field</v>
      </c>
      <c r="M159" s="65">
        <f ca="1">IFERROR(INDIRECT(CONCATENATE("Field!M",A157+3)),"")</f>
        <v>14.43</v>
      </c>
      <c r="N159" s="121" t="str">
        <f ca="1">IFERROR(INDIRECT(CONCATENATE("Field!N",A157+3)),"")</f>
        <v/>
      </c>
    </row>
    <row r="160" spans="1:18" x14ac:dyDescent="0.35">
      <c r="B160" s="66">
        <f ca="1">IFERROR(INDIRECT(CONCATENATE("Field!B",A157+4)),"")</f>
        <v>3</v>
      </c>
      <c r="C160" s="66">
        <f ca="1">IFERROR(INDIRECT(CONCATENATE("Field!C",A157+4)),"")</f>
        <v>2</v>
      </c>
      <c r="D160" s="89" t="str">
        <f ca="1">IFERROR(INDIRECT(CONCATENATE("Field!D",A157+4)),"")</f>
        <v>COLLINI Joseph</v>
      </c>
      <c r="E160" s="89" t="str">
        <f ca="1">IFERROR(INDIRECT(CONCATENATE("Field!E",A157+4)),"")</f>
        <v>Sheff+D</v>
      </c>
      <c r="F160" s="65">
        <f ca="1">IFERROR(INDIRECT(CONCATENATE("Field!F",A157+4)),"")</f>
        <v>16.920000000000002</v>
      </c>
      <c r="G160" s="121" t="str">
        <f ca="1">IFERROR(INDIRECT(CONCATENATE("Field!G",A157+4)),"")</f>
        <v/>
      </c>
      <c r="H160" s="66"/>
      <c r="I160" s="66">
        <f ca="1">IFERROR(INDIRECT(CONCATENATE("Field!I",A157+4)),"")</f>
        <v>3</v>
      </c>
      <c r="J160" s="66">
        <f ca="1">IFERROR(INDIRECT(CONCATENATE("Field!J",A157+4)),"")</f>
        <v>22</v>
      </c>
      <c r="K160" s="89" t="str">
        <f ca="1">IFERROR(INDIRECT(CONCATENATE("Field!K",A157+4)),"")</f>
        <v>WAINWRIGHT James</v>
      </c>
      <c r="L160" s="89" t="str">
        <f ca="1">IFERROR(INDIRECT(CONCATENATE("Field!L",A157+4)),"")</f>
        <v>Sheff+D</v>
      </c>
      <c r="M160" s="65">
        <f ca="1">IFERROR(INDIRECT(CONCATENATE("Field!M",A157+4)),"")</f>
        <v>11.51</v>
      </c>
      <c r="N160" s="121" t="str">
        <f ca="1">IFERROR(INDIRECT(CONCATENATE("Field!N",A157+4)),"")</f>
        <v/>
      </c>
    </row>
    <row r="161" spans="1:18" x14ac:dyDescent="0.35">
      <c r="B161" s="66">
        <f ca="1">IFERROR(INDIRECT(CONCATENATE("Field!B",A157+5)),"")</f>
        <v>4</v>
      </c>
      <c r="C161" s="66">
        <f ca="1">IFERROR(INDIRECT(CONCATENATE("Field!C",A157+5)),"")</f>
        <v>1</v>
      </c>
      <c r="D161" s="89" t="str">
        <f ca="1">IFERROR(INDIRECT(CONCATENATE("Field!D",A157+5)),"")</f>
        <v>BETTNEY Thomas</v>
      </c>
      <c r="E161" s="89" t="str">
        <f ca="1">IFERROR(INDIRECT(CONCATENATE("Field!E",A157+5)),"")</f>
        <v>C'field</v>
      </c>
      <c r="F161" s="65">
        <f ca="1">IFERROR(INDIRECT(CONCATENATE("Field!F",A157+5)),"")</f>
        <v>15.02</v>
      </c>
      <c r="G161" s="121" t="str">
        <f ca="1">IFERROR(INDIRECT(CONCATENATE("Field!G",A157+5)),"")</f>
        <v/>
      </c>
      <c r="H161" s="66"/>
      <c r="I161" s="66">
        <f ca="1">IFERROR(INDIRECT(CONCATENATE("Field!I",A157+5)),"")</f>
        <v>4</v>
      </c>
      <c r="J161" s="66">
        <f ca="1">IFERROR(INDIRECT(CONCATENATE("Field!J",A157+5)),"")</f>
        <v>55</v>
      </c>
      <c r="K161" s="89" t="str">
        <f ca="1">IFERROR(INDIRECT(CONCATENATE("Field!K",A157+5)),"")</f>
        <v>OADES Matthew</v>
      </c>
      <c r="L161" s="89" t="str">
        <f ca="1">IFERROR(INDIRECT(CONCATENATE("Field!L",A157+5)),"")</f>
        <v>Scun</v>
      </c>
      <c r="M161" s="65">
        <f ca="1">IFERROR(INDIRECT(CONCATENATE("Field!M",A157+5)),"")</f>
        <v>10.09</v>
      </c>
      <c r="N161" s="121" t="str">
        <f ca="1">IFERROR(INDIRECT(CONCATENATE("Field!N",A157+5)),"")</f>
        <v/>
      </c>
    </row>
    <row r="162" spans="1:18" x14ac:dyDescent="0.35">
      <c r="B162" s="66">
        <f ca="1">IFERROR(INDIRECT(CONCATENATE("Field!B",A157+6)),"")</f>
        <v>5</v>
      </c>
      <c r="C162" s="66" t="str">
        <f ca="1">IFERROR(INDIRECT(CONCATENATE("Field!C",A157+6)),"")</f>
        <v/>
      </c>
      <c r="D162" s="89" t="str">
        <f ca="1">IFERROR(INDIRECT(CONCATENATE("Field!D",A157+6)),"")</f>
        <v/>
      </c>
      <c r="E162" s="89" t="str">
        <f ca="1">IFERROR(INDIRECT(CONCATENATE("Field!E",A157+6)),"")</f>
        <v/>
      </c>
      <c r="F162" s="65" t="str">
        <f ca="1">IFERROR(INDIRECT(CONCATENATE("Field!F",A157+6)),"")</f>
        <v/>
      </c>
      <c r="G162" s="121" t="str">
        <f ca="1">IFERROR(INDIRECT(CONCATENATE("Field!G",A157+6)),"")</f>
        <v/>
      </c>
      <c r="H162" s="66"/>
      <c r="I162" s="66">
        <f ca="1">IFERROR(INDIRECT(CONCATENATE("Field!I",A157+6)),"")</f>
        <v>5</v>
      </c>
      <c r="J162" s="66" t="str">
        <f ca="1">IFERROR(INDIRECT(CONCATENATE("Field!J",A157+6)),"")</f>
        <v/>
      </c>
      <c r="K162" s="89" t="str">
        <f ca="1">IFERROR(INDIRECT(CONCATENATE("Field!K",A157+6)),"")</f>
        <v/>
      </c>
      <c r="L162" s="89" t="str">
        <f ca="1">IFERROR(INDIRECT(CONCATENATE("Field!L",A157+6)),"")</f>
        <v/>
      </c>
      <c r="M162" s="65" t="str">
        <f ca="1">IFERROR(INDIRECT(CONCATENATE("Field!M",A157+6)),"")</f>
        <v/>
      </c>
      <c r="N162" s="121" t="str">
        <f ca="1">IFERROR(INDIRECT(CONCATENATE("Field!N",A157+6)),"")</f>
        <v/>
      </c>
    </row>
    <row r="163" spans="1:18" x14ac:dyDescent="0.35">
      <c r="B163" s="66">
        <f ca="1">IFERROR(INDIRECT(CONCATENATE("Field!B",A157+7)),"")</f>
        <v>6</v>
      </c>
      <c r="C163" s="66" t="str">
        <f ca="1">IFERROR(INDIRECT(CONCATENATE("Field!C",A157+7)),"")</f>
        <v/>
      </c>
      <c r="D163" s="89" t="str">
        <f ca="1">IFERROR(INDIRECT(CONCATENATE("Field!D",A157+7)),"")</f>
        <v/>
      </c>
      <c r="E163" s="89" t="str">
        <f ca="1">IFERROR(INDIRECT(CONCATENATE("Field!E",A157+7)),"")</f>
        <v/>
      </c>
      <c r="F163" s="65" t="str">
        <f ca="1">IFERROR(INDIRECT(CONCATENATE("Field!F",A157+7)),"")</f>
        <v/>
      </c>
      <c r="G163" s="121" t="str">
        <f ca="1">IFERROR(INDIRECT(CONCATENATE("Field!G",A157+7)),"")</f>
        <v/>
      </c>
      <c r="H163" s="66"/>
      <c r="I163" s="66">
        <f ca="1">IFERROR(INDIRECT(CONCATENATE("Field!I",A157+7)),"")</f>
        <v>6</v>
      </c>
      <c r="J163" s="66" t="str">
        <f ca="1">IFERROR(INDIRECT(CONCATENATE("Field!J",A157+7)),"")</f>
        <v/>
      </c>
      <c r="K163" s="89" t="str">
        <f ca="1">IFERROR(INDIRECT(CONCATENATE("Field!K",A157+7)),"")</f>
        <v/>
      </c>
      <c r="L163" s="89" t="str">
        <f ca="1">IFERROR(INDIRECT(CONCATENATE("Field!L",A157+7)),"")</f>
        <v/>
      </c>
      <c r="M163" s="65" t="str">
        <f ca="1">IFERROR(INDIRECT(CONCATENATE("Field!M",A157+7)),"")</f>
        <v/>
      </c>
      <c r="N163" s="121" t="str">
        <f ca="1">IFERROR(INDIRECT(CONCATENATE("Field!N",A157+7)),"")</f>
        <v/>
      </c>
    </row>
    <row r="164" spans="1:18" x14ac:dyDescent="0.35">
      <c r="B164" s="66">
        <f ca="1">IFERROR(INDIRECT(CONCATENATE("Field!B",A157+8)),"")</f>
        <v>7</v>
      </c>
      <c r="C164" s="66" t="str">
        <f ca="1">IFERROR(INDIRECT(CONCATENATE("Field!C",A157+8)),"")</f>
        <v/>
      </c>
      <c r="D164" s="89" t="str">
        <f ca="1">IFERROR(INDIRECT(CONCATENATE("Field!D",A157+8)),"")</f>
        <v/>
      </c>
      <c r="E164" s="89" t="str">
        <f ca="1">IFERROR(INDIRECT(CONCATENATE("Field!E",A157+8)),"")</f>
        <v/>
      </c>
      <c r="F164" s="65" t="str">
        <f ca="1">IFERROR(INDIRECT(CONCATENATE("Field!F",A157+8)),"")</f>
        <v/>
      </c>
      <c r="G164" s="121" t="str">
        <f ca="1">IFERROR(INDIRECT(CONCATENATE("Field!G",A157+8)),"")</f>
        <v/>
      </c>
      <c r="H164" s="66"/>
      <c r="I164" s="66">
        <f ca="1">IFERROR(INDIRECT(CONCATENATE("Field!I",A157+8)),"")</f>
        <v>7</v>
      </c>
      <c r="J164" s="66" t="str">
        <f ca="1">IFERROR(INDIRECT(CONCATENATE("Field!J",A157+8)),"")</f>
        <v/>
      </c>
      <c r="K164" s="89" t="str">
        <f ca="1">IFERROR(INDIRECT(CONCATENATE("Field!K",A157+8)),"")</f>
        <v/>
      </c>
      <c r="L164" s="89" t="str">
        <f ca="1">IFERROR(INDIRECT(CONCATENATE("Field!L",A157+8)),"")</f>
        <v/>
      </c>
      <c r="M164" s="65" t="str">
        <f ca="1">IFERROR(INDIRECT(CONCATENATE("Field!M",A157+8)),"")</f>
        <v/>
      </c>
      <c r="N164" s="121" t="str">
        <f ca="1">IFERROR(INDIRECT(CONCATENATE("Field!N",A157+8)),"")</f>
        <v/>
      </c>
    </row>
    <row r="165" spans="1:18" x14ac:dyDescent="0.35">
      <c r="B165" s="66">
        <f ca="1">IFERROR(INDIRECT(CONCATENATE("Field!B",A157+9)),"")</f>
        <v>8</v>
      </c>
      <c r="C165" s="66" t="str">
        <f ca="1">IFERROR(INDIRECT(CONCATENATE("Field!C",A157+9)),"")</f>
        <v/>
      </c>
      <c r="D165" s="89" t="str">
        <f ca="1">IFERROR(INDIRECT(CONCATENATE("Field!D",A157+9)),"")</f>
        <v/>
      </c>
      <c r="E165" s="89" t="str">
        <f ca="1">IFERROR(INDIRECT(CONCATENATE("Field!E",A157+9)),"")</f>
        <v/>
      </c>
      <c r="F165" s="65" t="str">
        <f ca="1">IFERROR(INDIRECT(CONCATENATE("Field!F",A157+9)),"")</f>
        <v/>
      </c>
      <c r="G165" s="121" t="str">
        <f ca="1">IFERROR(INDIRECT(CONCATENATE("Field!G",A157+9)),"")</f>
        <v/>
      </c>
      <c r="H165" s="66"/>
      <c r="I165" s="66">
        <f ca="1">IFERROR(INDIRECT(CONCATENATE("Field!I",A157+9)),"")</f>
        <v>8</v>
      </c>
      <c r="J165" s="66" t="str">
        <f ca="1">IFERROR(INDIRECT(CONCATENATE("Field!J",A157+9)),"")</f>
        <v/>
      </c>
      <c r="K165" s="89" t="str">
        <f ca="1">IFERROR(INDIRECT(CONCATENATE("Field!K",A157+9)),"")</f>
        <v/>
      </c>
      <c r="L165" s="89" t="str">
        <f ca="1">IFERROR(INDIRECT(CONCATENATE("Field!L",A157+9)),"")</f>
        <v/>
      </c>
      <c r="M165" s="65" t="str">
        <f ca="1">IFERROR(INDIRECT(CONCATENATE("Field!M",A157+9)),"")</f>
        <v/>
      </c>
      <c r="N165" s="121" t="str">
        <f ca="1">IFERROR(INDIRECT(CONCATENATE("Field!N",A157+9)),"")</f>
        <v/>
      </c>
    </row>
    <row r="167" spans="1:18" x14ac:dyDescent="0.35">
      <c r="A167" s="66" t="s">
        <v>318</v>
      </c>
      <c r="B167" s="115" t="str">
        <f ca="1">IFERROR(INDIRECT(CONCATENATE("Relays!B",A168)),"")</f>
        <v xml:space="preserve"> 4 x 100m U15 Boys A</v>
      </c>
      <c r="M167" s="301" t="str">
        <f ca="1">IFERROR(INDIRECT(CONCATENATE("Relays!i",A168)),"")</f>
        <v/>
      </c>
    </row>
    <row r="168" spans="1:18" x14ac:dyDescent="0.35">
      <c r="A168" s="66">
        <f>IFERROR(MATCH(A167,Relays!A:A,0),"")</f>
        <v>35</v>
      </c>
      <c r="B168" s="45" t="str">
        <f ca="1">IFERROR(INDIRECT(CONCATENATE("Relays!B",A168+1)),"")</f>
        <v>Posn</v>
      </c>
      <c r="C168" s="45" t="str">
        <f ca="1">IFERROR(INDIRECT(CONCATENATE("Relays!C",A168+1)),"")</f>
        <v>No.</v>
      </c>
      <c r="D168" s="182" t="s">
        <v>783</v>
      </c>
      <c r="G168" s="45"/>
      <c r="K168" s="45"/>
      <c r="L168" s="182" t="str">
        <f ca="1">IFERROR(INDIRECT(CONCATENATE("Relays!D",A168+1)),"")</f>
        <v>Club</v>
      </c>
      <c r="M168" s="301" t="str">
        <f ca="1">IFERROR(INDIRECT(CONCATENATE("Relays!i",A168+1)),"")</f>
        <v>Perf</v>
      </c>
    </row>
    <row r="169" spans="1:18" x14ac:dyDescent="0.35">
      <c r="B169" s="66">
        <f ca="1">IFERROR(INDIRECT(CONCATENATE("Relays!B",A168+2)),"")</f>
        <v>1</v>
      </c>
      <c r="C169" s="66">
        <f ca="1">IFERROR(INDIRECT(CONCATENATE("Relays!C",A168+2)),"")</f>
        <v>4</v>
      </c>
      <c r="D169" s="89" t="str">
        <f ca="1">IFERROR(IF(INDIRECT(CONCATENATE("Relays!e",A168+2))="","",INDIRECT(CONCATENATE("Relays!e",A168+2))&amp;", "&amp;INDIRECT(CONCATENATE("Relays!f",A168+2))&amp;", "&amp;INDIRECT(CONCATENATE("Relays!g",A168+2))&amp;", "&amp;INDIRECT(CONCATENATE("Relays!h",A168+2))),"")</f>
        <v>BUTLER Jake, OKEY Chieme, CHINNERY Norton, MAYNARD Tom</v>
      </c>
      <c r="G169" s="66"/>
      <c r="K169" s="66"/>
      <c r="L169" s="89" t="str">
        <f ca="1">IFERROR(INDIRECT(CONCATENATE("Relays!D",A168+2)),"")</f>
        <v>M'bro</v>
      </c>
      <c r="M169" s="299">
        <f ca="1">IFERROR(INDIRECT(CONCATENATE("Relays!i",A168+2)),"")</f>
        <v>51.4</v>
      </c>
      <c r="R169" s="66">
        <f ca="1">IFERROR(INDIRECT(CONCATENATE("Relays!M",A168+2)),"")</f>
        <v>1</v>
      </c>
    </row>
    <row r="170" spans="1:18" x14ac:dyDescent="0.35">
      <c r="B170" s="66">
        <f ca="1">IFERROR(INDIRECT(CONCATENATE("Relays!B",A168+3)),"")</f>
        <v>2</v>
      </c>
      <c r="C170" s="66">
        <f ca="1">IFERROR(INDIRECT(CONCATENATE("Relays!C",A168+3)),"")</f>
        <v>3</v>
      </c>
      <c r="D170" s="89" t="str">
        <f ca="1">IFERROR(IF(INDIRECT(CONCATENATE("Relays!e",A168+3))="","",INDIRECT(CONCATENATE("Relays!e",A168+3))&amp;", "&amp;INDIRECT(CONCATENATE("Relays!f",A168+3))&amp;", "&amp;INDIRECT(CONCATENATE("Relays!g",A168+3))&amp;", "&amp;INDIRECT(CONCATENATE("Relays!h",A168+3))),"")</f>
        <v>LANSFORD Hollis, HOW Louis, PYE George, MEIGH William</v>
      </c>
      <c r="G170" s="66"/>
      <c r="K170" s="66"/>
      <c r="L170" s="89" t="str">
        <f ca="1">IFERROR(INDIRECT(CONCATENATE("Relays!D",A168+3)),"")</f>
        <v>York</v>
      </c>
      <c r="M170" s="299">
        <f ca="1">IFERROR(INDIRECT(CONCATENATE("Relays!i",A168+3)),"")</f>
        <v>53</v>
      </c>
    </row>
    <row r="171" spans="1:18" x14ac:dyDescent="0.35">
      <c r="B171" s="66">
        <f ca="1">IFERROR(INDIRECT(CONCATENATE("Relays!B",A168+4)),"")</f>
        <v>3</v>
      </c>
      <c r="C171" s="66">
        <f ca="1">IFERROR(INDIRECT(CONCATENATE("Relays!C",A168+4)),"")</f>
        <v>1</v>
      </c>
      <c r="D171" s="89" t="str">
        <f ca="1">IFERROR(IF(INDIRECT(CONCATENATE("Relays!e",A168+4))="","",INDIRECT(CONCATENATE("Relays!e",A168+4))&amp;", "&amp;INDIRECT(CONCATENATE("Relays!f",A168+4))&amp;", "&amp;INDIRECT(CONCATENATE("Relays!g",A168+4))&amp;", "&amp;INDIRECT(CONCATENATE("Relays!h",A168+4))),"")</f>
        <v>COOPER Malachi, MARRIOTT Thomas, SAS Reuben, FOGDEN Ben</v>
      </c>
      <c r="G171" s="66"/>
      <c r="K171" s="66"/>
      <c r="L171" s="89" t="str">
        <f ca="1">IFERROR(INDIRECT(CONCATENATE("Relays!D",A168+4)),"")</f>
        <v>C'field</v>
      </c>
      <c r="M171" s="299">
        <f ca="1">IFERROR(INDIRECT(CONCATENATE("Relays!i",A168+4)),"")</f>
        <v>55.4</v>
      </c>
    </row>
    <row r="172" spans="1:18" x14ac:dyDescent="0.35">
      <c r="B172" s="66">
        <f ca="1">IFERROR(INDIRECT(CONCATENATE("Relays!B",A168+5)),"")</f>
        <v>4</v>
      </c>
      <c r="C172" s="66">
        <f ca="1">IFERROR(INDIRECT(CONCATENATE("Relays!C",A168+5)),"")</f>
        <v>2</v>
      </c>
      <c r="D172" s="89" t="str">
        <f ca="1">IFERROR(IF(INDIRECT(CONCATENATE("Relays!e",A168+5))="","",INDIRECT(CONCATENATE("Relays!e",A168+5))&amp;", "&amp;INDIRECT(CONCATENATE("Relays!f",A168+5))&amp;", "&amp;INDIRECT(CONCATENATE("Relays!g",A168+5))&amp;", "&amp;INDIRECT(CONCATENATE("Relays!h",A168+5))),"")</f>
        <v>BENTLEY Tom, KRIEL PARR George, WAINWRIGHT James, OR KAM FAT Matteo</v>
      </c>
      <c r="G172" s="66"/>
      <c r="K172" s="66"/>
      <c r="L172" s="89" t="str">
        <f ca="1">IFERROR(INDIRECT(CONCATENATE("Relays!D",A168+5)),"")</f>
        <v>Sheff+D</v>
      </c>
      <c r="M172" s="299">
        <f ca="1">IFERROR(INDIRECT(CONCATENATE("Relays!i",A168+5)),"")</f>
        <v>55.9</v>
      </c>
    </row>
    <row r="173" spans="1:18" x14ac:dyDescent="0.35">
      <c r="B173" s="66">
        <f ca="1">IFERROR(INDIRECT(CONCATENATE("Relays!B",A168+6)),"")</f>
        <v>5</v>
      </c>
      <c r="C173" s="66">
        <f ca="1">IFERROR(INDIRECT(CONCATENATE("Relays!C",A168+6)),"")</f>
        <v>0</v>
      </c>
      <c r="D173" s="89" t="str">
        <f ca="1">IFERROR(IF(INDIRECT(CONCATENATE("Relays!e",A168+6))="","",INDIRECT(CONCATENATE("Relays!e",A168+6))&amp;", "&amp;INDIRECT(CONCATENATE("Relays!f",A168+6))&amp;", "&amp;INDIRECT(CONCATENATE("Relays!g",A168+6))&amp;", "&amp;INDIRECT(CONCATENATE("Relays!h",A168+6))),"")</f>
        <v/>
      </c>
      <c r="G173" s="66"/>
      <c r="K173" s="66"/>
      <c r="L173" s="89" t="str">
        <f ca="1">IFERROR(INDIRECT(CONCATENATE("Relays!D",A168+6)),"")</f>
        <v/>
      </c>
      <c r="M173" s="299">
        <f ca="1">IFERROR(INDIRECT(CONCATENATE("Relays!i",A168+6)),"")</f>
        <v>0</v>
      </c>
    </row>
    <row r="174" spans="1:18" x14ac:dyDescent="0.35">
      <c r="B174" s="66">
        <f ca="1">IFERROR(INDIRECT(CONCATENATE("Relays!B",A168+7)),"")</f>
        <v>6</v>
      </c>
      <c r="C174" s="66">
        <f ca="1">IFERROR(INDIRECT(CONCATENATE("Relays!C",A168+7)),"")</f>
        <v>0</v>
      </c>
      <c r="D174" s="89" t="str">
        <f ca="1">IFERROR(IF(INDIRECT(CONCATENATE("Relays!e",A168+7))="","",INDIRECT(CONCATENATE("Relays!e",A168+7))&amp;", "&amp;INDIRECT(CONCATENATE("Relays!f",A168+7))&amp;", "&amp;INDIRECT(CONCATENATE("Relays!g",A168+7))&amp;", "&amp;INDIRECT(CONCATENATE("Relays!h",A168+7))),"")</f>
        <v/>
      </c>
      <c r="G174" s="66"/>
      <c r="K174" s="66"/>
      <c r="L174" s="89" t="str">
        <f ca="1">IFERROR(INDIRECT(CONCATENATE("Relays!D",A168+7)),"")</f>
        <v/>
      </c>
      <c r="M174" s="299">
        <f ca="1">IFERROR(INDIRECT(CONCATENATE("Relays!i",A168+7)),"")</f>
        <v>0</v>
      </c>
    </row>
    <row r="175" spans="1:18" x14ac:dyDescent="0.35">
      <c r="B175" s="66">
        <f ca="1">IFERROR(INDIRECT(CONCATENATE("Relays!B",A168+8)),"")</f>
        <v>7</v>
      </c>
      <c r="C175" s="66">
        <f ca="1">IFERROR(INDIRECT(CONCATENATE("Relays!C",A168+8)),"")</f>
        <v>0</v>
      </c>
      <c r="D175" s="89" t="str">
        <f ca="1">IFERROR(IF(INDIRECT(CONCATENATE("Relays!e",A168+8))="","",INDIRECT(CONCATENATE("Relays!e",A168+8))&amp;", "&amp;INDIRECT(CONCATENATE("Relays!f",A168+8))&amp;", "&amp;INDIRECT(CONCATENATE("Relays!g",A168+8))&amp;", "&amp;INDIRECT(CONCATENATE("Relays!h",A168+8))),"")</f>
        <v/>
      </c>
      <c r="G175" s="66"/>
      <c r="K175" s="66"/>
      <c r="L175" s="89" t="str">
        <f ca="1">IFERROR(INDIRECT(CONCATENATE("Relays!D",A168+8)),"")</f>
        <v/>
      </c>
      <c r="M175" s="299">
        <f ca="1">IFERROR(INDIRECT(CONCATENATE("Relays!i",A168+8)),"")</f>
        <v>0</v>
      </c>
    </row>
    <row r="176" spans="1:18" x14ac:dyDescent="0.35">
      <c r="B176" s="66">
        <f ca="1">IFERROR(INDIRECT(CONCATENATE("Relays!B",A168+9)),"")</f>
        <v>8</v>
      </c>
      <c r="C176" s="66">
        <f ca="1">IFERROR(INDIRECT(CONCATENATE("Relays!C",A168+9)),"")</f>
        <v>0</v>
      </c>
      <c r="D176" s="89" t="str">
        <f ca="1">IFERROR(IF(INDIRECT(CONCATENATE("Relays!e",A168+9))="","",INDIRECT(CONCATENATE("Relays!e",A168+9))&amp;", "&amp;INDIRECT(CONCATENATE("Relays!f",A168+9))&amp;", "&amp;INDIRECT(CONCATENATE("Relays!g",A168+9))&amp;", "&amp;INDIRECT(CONCATENATE("Relays!h",A168+9))),"")</f>
        <v/>
      </c>
      <c r="G176" s="66"/>
      <c r="K176" s="66"/>
      <c r="L176" s="89" t="str">
        <f ca="1">IFERROR(INDIRECT(CONCATENATE("Relays!D",A168+9)),"")</f>
        <v/>
      </c>
      <c r="M176" s="299">
        <f ca="1">IFERROR(INDIRECT(CONCATENATE("Relays!i",A168+9)),"")</f>
        <v>0</v>
      </c>
    </row>
    <row r="178" spans="1:18" x14ac:dyDescent="0.35">
      <c r="A178" s="66" t="s">
        <v>314</v>
      </c>
      <c r="B178" s="115" t="str">
        <f ca="1">IFERROR(INDIRECT(CONCATENATE("Relays!B",A179)),"")</f>
        <v xml:space="preserve"> 4 x 300m U15 Boys A</v>
      </c>
      <c r="M178" s="301" t="str">
        <f ca="1">IFERROR(INDIRECT(CONCATENATE("Relays!i",A179)),"")</f>
        <v/>
      </c>
    </row>
    <row r="179" spans="1:18" x14ac:dyDescent="0.35">
      <c r="A179" s="66">
        <f>IFERROR(MATCH(A178,Relays!A:A,0),"")</f>
        <v>57</v>
      </c>
      <c r="B179" s="45" t="str">
        <f ca="1">IFERROR(INDIRECT(CONCATENATE("Relays!B",A179+1)),"")</f>
        <v>Posn</v>
      </c>
      <c r="C179" s="45" t="str">
        <f ca="1">IFERROR(INDIRECT(CONCATENATE("Relays!C",A179+1)),"")</f>
        <v>No.</v>
      </c>
      <c r="D179" s="182" t="s">
        <v>783</v>
      </c>
      <c r="G179" s="45"/>
      <c r="K179" s="45"/>
      <c r="L179" s="182" t="str">
        <f ca="1">IFERROR(INDIRECT(CONCATENATE("Relays!D",A179+1)),"")</f>
        <v>Club</v>
      </c>
      <c r="M179" s="301" t="str">
        <f ca="1">IFERROR(INDIRECT(CONCATENATE("Relays!i",A179+1)),"")</f>
        <v>Perf</v>
      </c>
    </row>
    <row r="180" spans="1:18" x14ac:dyDescent="0.35">
      <c r="B180" s="66">
        <f ca="1">IFERROR(INDIRECT(CONCATENATE("Relays!B",A179+2)),"")</f>
        <v>1</v>
      </c>
      <c r="C180" s="66">
        <f ca="1">IFERROR(INDIRECT(CONCATENATE("Relays!C",A179+2)),"")</f>
        <v>4</v>
      </c>
      <c r="D180" s="89" t="str">
        <f ca="1">IFERROR(IF(INDIRECT(CONCATENATE("Relays!e",A179+2))="","",INDIRECT(CONCATENATE("Relays!e",A179+2))&amp;", "&amp;INDIRECT(CONCATENATE("Relays!f",A179+2))&amp;", "&amp;INDIRECT(CONCATENATE("Relays!g",A179+2))&amp;", "&amp;INDIRECT(CONCATENATE("Relays!h",A179+2))),"")</f>
        <v>SAYERS James, IBEH Terrell, KAYE Charlie, FRENCH William</v>
      </c>
      <c r="G180" s="66"/>
      <c r="K180" s="66"/>
      <c r="L180" s="89" t="str">
        <f ca="1">IFERROR(INDIRECT(CONCATENATE("Relays!D",A179+2)),"")</f>
        <v>M'bro</v>
      </c>
      <c r="M180" s="302">
        <f ca="1">IFERROR(INDIRECT(CONCATENATE("Relays!K",A179+2)),"")</f>
        <v>2.3784722222222224E-3</v>
      </c>
      <c r="R180" s="66">
        <f ca="1">IFERROR(INDIRECT(CONCATENATE("Relays!M",A179+2)),"")</f>
        <v>1</v>
      </c>
    </row>
    <row r="181" spans="1:18" x14ac:dyDescent="0.35">
      <c r="B181" s="66">
        <f ca="1">IFERROR(INDIRECT(CONCATENATE("Relays!B",A179+3)),"")</f>
        <v>2</v>
      </c>
      <c r="C181" s="66">
        <f ca="1">IFERROR(INDIRECT(CONCATENATE("Relays!C",A179+3)),"")</f>
        <v>3</v>
      </c>
      <c r="D181" s="89" t="str">
        <f ca="1">IFERROR(IF(INDIRECT(CONCATENATE("Relays!e",A179+3))="","",INDIRECT(CONCATENATE("Relays!e",A179+3))&amp;", "&amp;INDIRECT(CONCATENATE("Relays!f",A179+3))&amp;", "&amp;INDIRECT(CONCATENATE("Relays!g",A179+3))&amp;", "&amp;INDIRECT(CONCATENATE("Relays!h",A179+3))),"")</f>
        <v>HENSON Isaac, BRATLEY Jack, HANLEY Edward, BROOKS Rory</v>
      </c>
      <c r="G181" s="66"/>
      <c r="K181" s="66"/>
      <c r="L181" s="89" t="str">
        <f ca="1">IFERROR(INDIRECT(CONCATENATE("Relays!D",A179+3)),"")</f>
        <v>York</v>
      </c>
      <c r="M181" s="302">
        <f ca="1">IFERROR(INDIRECT(CONCATENATE("Relays!K",A179+3)),"")</f>
        <v>2.3854166666666668E-3</v>
      </c>
    </row>
    <row r="182" spans="1:18" x14ac:dyDescent="0.35">
      <c r="B182" s="66">
        <f ca="1">IFERROR(INDIRECT(CONCATENATE("Relays!B",A179+4)),"")</f>
        <v>3</v>
      </c>
      <c r="C182" s="66">
        <f ca="1">IFERROR(INDIRECT(CONCATENATE("Relays!C",A179+4)),"")</f>
        <v>1</v>
      </c>
      <c r="D182" s="89" t="str">
        <f ca="1">IFERROR(IF(INDIRECT(CONCATENATE("Relays!e",A179+4))="","",INDIRECT(CONCATENATE("Relays!e",A179+4))&amp;", "&amp;INDIRECT(CONCATENATE("Relays!f",A179+4))&amp;", "&amp;INDIRECT(CONCATENATE("Relays!g",A179+4))&amp;", "&amp;INDIRECT(CONCATENATE("Relays!h",A179+4))),"")</f>
        <v>FOOT James, BETTNEY Thomas, PEERS-WAIN Jacob, MAZUREK Gracjan</v>
      </c>
      <c r="G182" s="66"/>
      <c r="K182" s="66"/>
      <c r="L182" s="89" t="str">
        <f ca="1">IFERROR(INDIRECT(CONCATENATE("Relays!D",A179+4)),"")</f>
        <v>C'field</v>
      </c>
      <c r="M182" s="302">
        <f ca="1">IFERROR(INDIRECT(CONCATENATE("Relays!K",A179+4)),"")</f>
        <v>2.5555555555555553E-3</v>
      </c>
    </row>
    <row r="183" spans="1:18" x14ac:dyDescent="0.35">
      <c r="B183" s="66">
        <f ca="1">IFERROR(INDIRECT(CONCATENATE("Relays!B",A179+5)),"")</f>
        <v>4</v>
      </c>
      <c r="C183" s="66">
        <f ca="1">IFERROR(INDIRECT(CONCATENATE("Relays!C",A179+5)),"")</f>
        <v>0</v>
      </c>
      <c r="D183" s="89" t="str">
        <f ca="1">IFERROR(IF(INDIRECT(CONCATENATE("Relays!e",A179+5))="","",INDIRECT(CONCATENATE("Relays!e",A179+5))&amp;", "&amp;INDIRECT(CONCATENATE("Relays!f",A179+5))&amp;", "&amp;INDIRECT(CONCATENATE("Relays!g",A179+5))&amp;", "&amp;INDIRECT(CONCATENATE("Relays!h",A179+5))),"")</f>
        <v/>
      </c>
      <c r="G183" s="66"/>
      <c r="K183" s="66"/>
      <c r="L183" s="89" t="str">
        <f ca="1">IFERROR(INDIRECT(CONCATENATE("Relays!D",A179+5)),"")</f>
        <v/>
      </c>
      <c r="M183" s="302">
        <f ca="1">IFERROR(INDIRECT(CONCATENATE("Relays!K",A179+5)),"")</f>
        <v>0</v>
      </c>
    </row>
    <row r="184" spans="1:18" x14ac:dyDescent="0.35">
      <c r="B184" s="66">
        <f ca="1">IFERROR(INDIRECT(CONCATENATE("Relays!B",A179+6)),"")</f>
        <v>5</v>
      </c>
      <c r="C184" s="66">
        <f ca="1">IFERROR(INDIRECT(CONCATENATE("Relays!C",A179+6)),"")</f>
        <v>0</v>
      </c>
      <c r="D184" s="89" t="str">
        <f ca="1">IFERROR(IF(INDIRECT(CONCATENATE("Relays!e",A179+6))="","",INDIRECT(CONCATENATE("Relays!e",A179+6))&amp;", "&amp;INDIRECT(CONCATENATE("Relays!f",A179+6))&amp;", "&amp;INDIRECT(CONCATENATE("Relays!g",A179+6))&amp;", "&amp;INDIRECT(CONCATENATE("Relays!h",A179+6))),"")</f>
        <v/>
      </c>
      <c r="G184" s="66"/>
      <c r="K184" s="66"/>
      <c r="L184" s="89" t="str">
        <f ca="1">IFERROR(INDIRECT(CONCATENATE("Relays!D",A179+6)),"")</f>
        <v/>
      </c>
      <c r="M184" s="302">
        <f ca="1">IFERROR(INDIRECT(CONCATENATE("Relays!K",A179+6)),"")</f>
        <v>0</v>
      </c>
    </row>
    <row r="185" spans="1:18" x14ac:dyDescent="0.35">
      <c r="B185" s="66">
        <f ca="1">IFERROR(INDIRECT(CONCATENATE("Relays!B",A179+7)),"")</f>
        <v>6</v>
      </c>
      <c r="C185" s="66">
        <f ca="1">IFERROR(INDIRECT(CONCATENATE("Relays!C",A179+7)),"")</f>
        <v>0</v>
      </c>
      <c r="D185" s="89" t="str">
        <f ca="1">IFERROR(IF(INDIRECT(CONCATENATE("Relays!e",A179+7))="","",INDIRECT(CONCATENATE("Relays!e",A179+7))&amp;", "&amp;INDIRECT(CONCATENATE("Relays!f",A179+7))&amp;", "&amp;INDIRECT(CONCATENATE("Relays!g",A179+7))&amp;", "&amp;INDIRECT(CONCATENATE("Relays!h",A179+7))),"")</f>
        <v/>
      </c>
      <c r="G185" s="66"/>
      <c r="K185" s="66"/>
      <c r="L185" s="89" t="str">
        <f ca="1">IFERROR(INDIRECT(CONCATENATE("Relays!D",A179+7)),"")</f>
        <v/>
      </c>
      <c r="M185" s="302">
        <f ca="1">IFERROR(INDIRECT(CONCATENATE("Relays!K",A179+7)),"")</f>
        <v>0</v>
      </c>
    </row>
    <row r="186" spans="1:18" x14ac:dyDescent="0.35">
      <c r="B186" s="66">
        <f ca="1">IFERROR(INDIRECT(CONCATENATE("Relays!B",A179+8)),"")</f>
        <v>7</v>
      </c>
      <c r="C186" s="66">
        <f ca="1">IFERROR(INDIRECT(CONCATENATE("Relays!C",A179+8)),"")</f>
        <v>0</v>
      </c>
      <c r="D186" s="89" t="str">
        <f ca="1">IFERROR(IF(INDIRECT(CONCATENATE("Relays!e",A179+8))="","",INDIRECT(CONCATENATE("Relays!e",A179+8))&amp;", "&amp;INDIRECT(CONCATENATE("Relays!f",A179+8))&amp;", "&amp;INDIRECT(CONCATENATE("Relays!g",A179+8))&amp;", "&amp;INDIRECT(CONCATENATE("Relays!h",A179+8))),"")</f>
        <v/>
      </c>
      <c r="G186" s="66"/>
      <c r="K186" s="66"/>
      <c r="L186" s="89" t="str">
        <f ca="1">IFERROR(INDIRECT(CONCATENATE("Relays!D",A179+8)),"")</f>
        <v/>
      </c>
      <c r="M186" s="302">
        <f ca="1">IFERROR(INDIRECT(CONCATENATE("Relays!K",A179+8)),"")</f>
        <v>0</v>
      </c>
    </row>
    <row r="187" spans="1:18" x14ac:dyDescent="0.35">
      <c r="B187" s="66">
        <f ca="1">IFERROR(INDIRECT(CONCATENATE("Relays!B",A179+9)),"")</f>
        <v>8</v>
      </c>
      <c r="C187" s="66">
        <f ca="1">IFERROR(INDIRECT(CONCATENATE("Relays!C",A179+9)),"")</f>
        <v>0</v>
      </c>
      <c r="D187" s="89" t="str">
        <f ca="1">IFERROR(IF(INDIRECT(CONCATENATE("Relays!e",A179+9))="","",INDIRECT(CONCATENATE("Relays!e",A179+9))&amp;", "&amp;INDIRECT(CONCATENATE("Relays!f",A179+9))&amp;", "&amp;INDIRECT(CONCATENATE("Relays!g",A179+9))&amp;", "&amp;INDIRECT(CONCATENATE("Relays!h",A179+9))),"")</f>
        <v/>
      </c>
      <c r="G187" s="66"/>
      <c r="K187" s="66"/>
      <c r="L187" s="89" t="str">
        <f ca="1">IFERROR(INDIRECT(CONCATENATE("Relays!D",A179+9)),"")</f>
        <v/>
      </c>
      <c r="M187" s="302">
        <f ca="1">IFERROR(INDIRECT(CONCATENATE("Relays!iK",A179+9)),"")</f>
        <v>0</v>
      </c>
    </row>
  </sheetData>
  <sheetProtection algorithmName="SHA-512" hashValue="uQjnGyMWrMKVEBEf90K2j3oGxiXW87UXr/WhSFYcWjmVbnASVBPY6kheVQMMgerstSJVd+asw/Veifq0/9jA8w==" saltValue="SXVbLDyC8avRpEuLiwxnRg=="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4" manualBreakCount="4">
    <brk id="45" min="1" max="13" man="1"/>
    <brk id="89" min="1" max="13" man="1"/>
    <brk id="133" min="1" max="13" man="1"/>
    <brk id="166" min="1" max="1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FFFF00"/>
  </sheetPr>
  <dimension ref="A1:R187"/>
  <sheetViews>
    <sheetView showZeros="0" topLeftCell="B1" zoomScaleNormal="100" workbookViewId="0">
      <pane ySplit="1" topLeftCell="A149" activePane="bottomLeft" state="frozen"/>
      <selection activeCell="Q36" sqref="Q36"/>
      <selection pane="bottomLeft" activeCell="C158" sqref="C158"/>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300"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300" customWidth="1"/>
    <col min="14" max="14" width="4" style="121" customWidth="1"/>
    <col min="15" max="17" width="8.86328125" style="64"/>
    <col min="18" max="18" width="0" style="64" hidden="1" customWidth="1"/>
    <col min="19" max="16384" width="8.86328125" style="64"/>
  </cols>
  <sheetData>
    <row r="1" spans="1:18" ht="45" customHeight="1" x14ac:dyDescent="0.35">
      <c r="A1" s="201" t="s">
        <v>784</v>
      </c>
      <c r="B1" s="223" t="str">
        <f>Dashboard!E1</f>
        <v>LOWER NORTH East 1 @ Doncaster</v>
      </c>
      <c r="D1" s="288"/>
      <c r="G1" s="198"/>
      <c r="I1" s="64"/>
      <c r="J1" s="64"/>
      <c r="K1" s="202"/>
      <c r="L1" s="497">
        <f>Dashboard!E2</f>
        <v>43582</v>
      </c>
      <c r="M1" s="498"/>
      <c r="N1" s="200"/>
      <c r="P1" s="82"/>
      <c r="Q1" s="70"/>
      <c r="R1" s="82">
        <f ca="1">SUM(R2:R300)</f>
        <v>15</v>
      </c>
    </row>
    <row r="2" spans="1:18" x14ac:dyDescent="0.35">
      <c r="A2" s="66" t="s">
        <v>43</v>
      </c>
      <c r="B2" s="115" t="str">
        <f ca="1">IFERROR(INDIRECT(CONCATENATE("Track1!B",A3)),"")</f>
        <v>100m U15 Girls A</v>
      </c>
      <c r="E2" s="89" t="s">
        <v>259</v>
      </c>
      <c r="F2" s="299">
        <f ca="1">IFERROR(INDIRECT(CONCATENATE("Track1!f",A3)),"")</f>
        <v>0</v>
      </c>
      <c r="G2" s="121" t="str">
        <f ca="1">IFERROR(INDIRECT(CONCATENATE("Track1!g",A3)),"")</f>
        <v/>
      </c>
      <c r="I2" s="115" t="str">
        <f ca="1">IFERROR(INDIRECT(CONCATENATE("Track1!I",A3)),"")</f>
        <v>100m U15 Girls B</v>
      </c>
      <c r="L2" s="89" t="s">
        <v>259</v>
      </c>
      <c r="M2" s="299">
        <f ca="1">IFERROR(INDIRECT(CONCATENATE("Track1!M",A3)),"")</f>
        <v>0</v>
      </c>
    </row>
    <row r="3" spans="1:18" x14ac:dyDescent="0.35">
      <c r="A3" s="66">
        <f>IFERROR(MATCH(A2,Track1!A:A,0),"")</f>
        <v>112</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301"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301" t="str">
        <f ca="1">IFERROR(INDIRECT(CONCATENATE("Track1!M",A3+1)),"")</f>
        <v>Perf</v>
      </c>
      <c r="N3" s="218" t="str">
        <f ca="1">IFERROR(INDIRECT(CONCATENATE("Track1!N",A3+1)),"")</f>
        <v>AAA</v>
      </c>
      <c r="O3" s="67"/>
    </row>
    <row r="4" spans="1:18" x14ac:dyDescent="0.35">
      <c r="B4" s="66">
        <f ca="1">IFERROR(INDIRECT(CONCATENATE("Track1!B",A3+2)),"")</f>
        <v>1</v>
      </c>
      <c r="C4" s="66">
        <f ca="1">IFERROR(INDIRECT(CONCATENATE("Track1!C",A3+2)),"")</f>
        <v>4</v>
      </c>
      <c r="D4" s="89" t="str">
        <f ca="1">IFERROR(INDIRECT(CONCATENATE("Track1!D",A3+2)),"")</f>
        <v>WYATT Martha</v>
      </c>
      <c r="E4" s="89" t="str">
        <f ca="1">IFERROR(INDIRECT(CONCATENATE("Track1!E",A3+2)),"")</f>
        <v>M'bro</v>
      </c>
      <c r="F4" s="299">
        <f ca="1">IFERROR(INDIRECT(CONCATENATE("Track1!F",A3+2)),"")</f>
        <v>12.8</v>
      </c>
      <c r="G4" s="121">
        <f ca="1">IFERROR(INDIRECT(CONCATENATE("Track1!G",A3+2)),"")</f>
        <v>2</v>
      </c>
      <c r="H4" s="66"/>
      <c r="I4" s="66">
        <f ca="1">IFERROR(INDIRECT(CONCATENATE("Track1!I",A3+2)),"")</f>
        <v>1</v>
      </c>
      <c r="J4" s="66">
        <f ca="1">IFERROR(INDIRECT(CONCATENATE("Track1!J",A3+2)),"")</f>
        <v>3</v>
      </c>
      <c r="K4" s="89" t="str">
        <f ca="1">IFERROR(INDIRECT(CONCATENATE("Track1!K",A3+2)),"")</f>
        <v>BROOKS Carmen</v>
      </c>
      <c r="L4" s="89" t="str">
        <f ca="1">IFERROR(INDIRECT(CONCATENATE("Track1!L",A3+2)),"")</f>
        <v>York</v>
      </c>
      <c r="M4" s="299">
        <f ca="1">IFERROR(INDIRECT(CONCATENATE("Track1!M",A3+2)),"")</f>
        <v>13.5</v>
      </c>
      <c r="N4" s="121">
        <f ca="1">IFERROR(INDIRECT(CONCATENATE("Track1!N",A3+2)),"")</f>
        <v>4</v>
      </c>
      <c r="R4" s="219">
        <f ca="1">IFERROR(INDIRECT(CONCATENATE("Track1!r",A3+2)),"")</f>
        <v>1</v>
      </c>
    </row>
    <row r="5" spans="1:18" x14ac:dyDescent="0.35">
      <c r="B5" s="66">
        <f ca="1">IFERROR(INDIRECT(CONCATENATE("Track1!B",A3+3)),"")</f>
        <v>2</v>
      </c>
      <c r="C5" s="66">
        <f ca="1">IFERROR(INDIRECT(CONCATENATE("Track1!C",A3+3)),"")</f>
        <v>2</v>
      </c>
      <c r="D5" s="89" t="str">
        <f ca="1">IFERROR(INDIRECT(CONCATENATE("Track1!D",A3+3)),"")</f>
        <v>MYCROFT Tilly</v>
      </c>
      <c r="E5" s="89" t="str">
        <f ca="1">IFERROR(INDIRECT(CONCATENATE("Track1!E",A3+3)),"")</f>
        <v>Sheff+D</v>
      </c>
      <c r="F5" s="299">
        <f ca="1">IFERROR(INDIRECT(CONCATENATE("Track1!F",A3+3)),"")</f>
        <v>13.3</v>
      </c>
      <c r="G5" s="121">
        <f ca="1">IFERROR(INDIRECT(CONCATENATE("Track1!G",A3+3)),"")</f>
        <v>4</v>
      </c>
      <c r="H5" s="66"/>
      <c r="I5" s="66">
        <f ca="1">IFERROR(INDIRECT(CONCATENATE("Track1!I",A3+3)),"")</f>
        <v>2</v>
      </c>
      <c r="J5" s="66">
        <f ca="1">IFERROR(INDIRECT(CONCATENATE("Track1!J",A3+3)),"")</f>
        <v>44</v>
      </c>
      <c r="K5" s="89" t="str">
        <f ca="1">IFERROR(INDIRECT(CONCATENATE("Track1!K",A3+3)),"")</f>
        <v>GILLIS Madelaine</v>
      </c>
      <c r="L5" s="89" t="str">
        <f ca="1">IFERROR(INDIRECT(CONCATENATE("Track1!L",A3+3)),"")</f>
        <v>M'bro</v>
      </c>
      <c r="M5" s="299">
        <f ca="1">IFERROR(INDIRECT(CONCATENATE("Track1!M",A3+3)),"")</f>
        <v>13.8</v>
      </c>
      <c r="N5" s="121" t="str">
        <f ca="1">IFERROR(INDIRECT(CONCATENATE("Track1!N",A3+3)),"")</f>
        <v/>
      </c>
    </row>
    <row r="6" spans="1:18" x14ac:dyDescent="0.35">
      <c r="B6" s="66">
        <f ca="1">IFERROR(INDIRECT(CONCATENATE("Track1!B",A3+4)),"")</f>
        <v>3</v>
      </c>
      <c r="C6" s="66">
        <f ca="1">IFERROR(INDIRECT(CONCATENATE("Track1!C",A3+4)),"")</f>
        <v>33</v>
      </c>
      <c r="D6" s="89" t="str">
        <f ca="1">IFERROR(INDIRECT(CONCATENATE("Track1!D",A3+4)),"")</f>
        <v>HICKLING Rosie</v>
      </c>
      <c r="E6" s="89" t="str">
        <f ca="1">IFERROR(INDIRECT(CONCATENATE("Track1!E",A3+4)),"")</f>
        <v>York</v>
      </c>
      <c r="F6" s="299">
        <f ca="1">IFERROR(INDIRECT(CONCATENATE("Track1!F",A3+4)),"")</f>
        <v>13.3</v>
      </c>
      <c r="G6" s="121">
        <f ca="1">IFERROR(INDIRECT(CONCATENATE("Track1!G",A3+4)),"")</f>
        <v>4</v>
      </c>
      <c r="H6" s="66"/>
      <c r="I6" s="66">
        <f ca="1">IFERROR(INDIRECT(CONCATENATE("Track1!I",A3+4)),"")</f>
        <v>3</v>
      </c>
      <c r="J6" s="66">
        <f ca="1">IFERROR(INDIRECT(CONCATENATE("Track1!J",A3+4)),"")</f>
        <v>22</v>
      </c>
      <c r="K6" s="89" t="str">
        <f ca="1">IFERROR(INDIRECT(CONCATENATE("Track1!K",A3+4)),"")</f>
        <v>JELONKIEWICZ Viktoria</v>
      </c>
      <c r="L6" s="89" t="str">
        <f ca="1">IFERROR(INDIRECT(CONCATENATE("Track1!L",A3+4)),"")</f>
        <v>Sheff+D</v>
      </c>
      <c r="M6" s="299">
        <f ca="1">IFERROR(INDIRECT(CONCATENATE("Track1!M",A3+4)),"")</f>
        <v>13.9</v>
      </c>
      <c r="N6" s="121" t="str">
        <f ca="1">IFERROR(INDIRECT(CONCATENATE("Track1!N",A3+4)),"")</f>
        <v/>
      </c>
    </row>
    <row r="7" spans="1:18" x14ac:dyDescent="0.35">
      <c r="B7" s="66">
        <f ca="1">IFERROR(INDIRECT(CONCATENATE("Track1!B",A3+5)),"")</f>
        <v>4</v>
      </c>
      <c r="C7" s="66">
        <f ca="1">IFERROR(INDIRECT(CONCATENATE("Track1!C",A3+5)),"")</f>
        <v>1</v>
      </c>
      <c r="D7" s="89" t="str">
        <f ca="1">IFERROR(INDIRECT(CONCATENATE("Track1!D",A3+5)),"")</f>
        <v>BRIDDON Missy</v>
      </c>
      <c r="E7" s="89" t="str">
        <f ca="1">IFERROR(INDIRECT(CONCATENATE("Track1!E",A3+5)),"")</f>
        <v>C'field</v>
      </c>
      <c r="F7" s="299">
        <f ca="1">IFERROR(INDIRECT(CONCATENATE("Track1!F",A3+5)),"")</f>
        <v>13.7</v>
      </c>
      <c r="G7" s="121" t="str">
        <f ca="1">IFERROR(INDIRECT(CONCATENATE("Track1!G",A3+5)),"")</f>
        <v/>
      </c>
      <c r="H7" s="66"/>
      <c r="I7" s="66">
        <f ca="1">IFERROR(INDIRECT(CONCATENATE("Track1!I",A3+5)),"")</f>
        <v>4</v>
      </c>
      <c r="J7" s="66">
        <f ca="1">IFERROR(INDIRECT(CONCATENATE("Track1!J",A3+5)),"")</f>
        <v>11</v>
      </c>
      <c r="K7" s="89" t="str">
        <f ca="1">IFERROR(INDIRECT(CONCATENATE("Track1!K",A3+5)),"")</f>
        <v>BAINES Lily</v>
      </c>
      <c r="L7" s="89" t="str">
        <f ca="1">IFERROR(INDIRECT(CONCATENATE("Track1!L",A3+5)),"")</f>
        <v>C'field</v>
      </c>
      <c r="M7" s="299">
        <f ca="1">IFERROR(INDIRECT(CONCATENATE("Track1!M",A3+5)),"")</f>
        <v>15.2</v>
      </c>
      <c r="N7" s="121" t="str">
        <f ca="1">IFERROR(INDIRECT(CONCATENATE("Track1!N",A3+5)),"")</f>
        <v/>
      </c>
    </row>
    <row r="8" spans="1:18" x14ac:dyDescent="0.35">
      <c r="B8" s="66">
        <f ca="1">IFERROR(INDIRECT(CONCATENATE("Track1!B",A3+6)),"")</f>
        <v>5</v>
      </c>
      <c r="C8" s="66">
        <f ca="1">IFERROR(INDIRECT(CONCATENATE("Track1!C",A3+6)),"")</f>
        <v>0</v>
      </c>
      <c r="D8" s="89" t="str">
        <f ca="1">IFERROR(INDIRECT(CONCATENATE("Track1!D",A3+6)),"")</f>
        <v/>
      </c>
      <c r="E8" s="89" t="str">
        <f ca="1">IFERROR(INDIRECT(CONCATENATE("Track1!E",A3+6)),"")</f>
        <v/>
      </c>
      <c r="F8" s="299">
        <f ca="1">IFERROR(INDIRECT(CONCATENATE("Track1!F",A3+6)),"")</f>
        <v>0</v>
      </c>
      <c r="G8" s="121" t="str">
        <f ca="1">IFERROR(INDIRECT(CONCATENATE("Track1!G",A3+6)),"")</f>
        <v/>
      </c>
      <c r="H8" s="66"/>
      <c r="I8" s="66">
        <f ca="1">IFERROR(INDIRECT(CONCATENATE("Track1!I",A3+6)),"")</f>
        <v>5</v>
      </c>
      <c r="J8" s="66">
        <f ca="1">IFERROR(INDIRECT(CONCATENATE("Track1!J",A3+6)),"")</f>
        <v>0</v>
      </c>
      <c r="K8" s="89" t="str">
        <f ca="1">IFERROR(INDIRECT(CONCATENATE("Track1!K",A3+6)),"")</f>
        <v/>
      </c>
      <c r="L8" s="89" t="str">
        <f ca="1">IFERROR(INDIRECT(CONCATENATE("Track1!L",A3+6)),"")</f>
        <v/>
      </c>
      <c r="M8" s="299">
        <f ca="1">IFERROR(INDIRECT(CONCATENATE("Track1!M",A3+6)),"")</f>
        <v>0</v>
      </c>
      <c r="N8" s="121" t="str">
        <f ca="1">IFERROR(INDIRECT(CONCATENATE("Track1!N",A3+6)),"")</f>
        <v/>
      </c>
    </row>
    <row r="9" spans="1:18" x14ac:dyDescent="0.35">
      <c r="B9" s="66">
        <f ca="1">IFERROR(INDIRECT(CONCATENATE("Track1!B",A3+7)),"")</f>
        <v>6</v>
      </c>
      <c r="C9" s="66">
        <f ca="1">IFERROR(INDIRECT(CONCATENATE("Track1!C",A3+7)),"")</f>
        <v>0</v>
      </c>
      <c r="D9" s="89" t="str">
        <f ca="1">IFERROR(INDIRECT(CONCATENATE("Track1!D",A3+7)),"")</f>
        <v/>
      </c>
      <c r="E9" s="89" t="str">
        <f ca="1">IFERROR(INDIRECT(CONCATENATE("Track1!E",A3+7)),"")</f>
        <v/>
      </c>
      <c r="F9" s="299">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299">
        <f ca="1">IFERROR(INDIRECT(CONCATENATE("Track1!M",A3+7)),"")</f>
        <v>0</v>
      </c>
      <c r="N9" s="121" t="str">
        <f ca="1">IFERROR(INDIRECT(CONCATENATE("Track1!N",A3+7)),"")</f>
        <v/>
      </c>
    </row>
    <row r="10" spans="1:18" x14ac:dyDescent="0.35">
      <c r="B10" s="66">
        <f ca="1">IFERROR(INDIRECT(CONCATENATE("Track1!B",A3+8)),"")</f>
        <v>7</v>
      </c>
      <c r="C10" s="66">
        <f ca="1">IFERROR(INDIRECT(CONCATENATE("Track1!C",A3+8)),"")</f>
        <v>0</v>
      </c>
      <c r="D10" s="89" t="str">
        <f ca="1">IFERROR(INDIRECT(CONCATENATE("Track1!D",A3+8)),"")</f>
        <v/>
      </c>
      <c r="E10" s="89" t="str">
        <f ca="1">IFERROR(INDIRECT(CONCATENATE("Track1!E",A3+8)),"")</f>
        <v/>
      </c>
      <c r="F10" s="299">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299">
        <f ca="1">IFERROR(INDIRECT(CONCATENATE("Track1!M",A3+8)),"")</f>
        <v>0</v>
      </c>
      <c r="N10" s="121" t="str">
        <f ca="1">IFERROR(INDIRECT(CONCATENATE("Track1!N",A3+8)),"")</f>
        <v/>
      </c>
    </row>
    <row r="11" spans="1:18" x14ac:dyDescent="0.35">
      <c r="B11" s="66">
        <f ca="1">IFERROR(INDIRECT(CONCATENATE("Track1!B",A3+9)),"")</f>
        <v>8</v>
      </c>
      <c r="C11" s="66">
        <f ca="1">IFERROR(INDIRECT(CONCATENATE("Track1!C",A3+9)),"")</f>
        <v>0</v>
      </c>
      <c r="D11" s="89" t="str">
        <f ca="1">IFERROR(INDIRECT(CONCATENATE("Track1!D",A3+9)),"")</f>
        <v/>
      </c>
      <c r="E11" s="89" t="str">
        <f ca="1">IFERROR(INDIRECT(CONCATENATE("Track1!E",A3+9)),"")</f>
        <v/>
      </c>
      <c r="F11" s="299">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299">
        <f ca="1">IFERROR(INDIRECT(CONCATENATE("Track1!M",A3+9)),"")</f>
        <v>0</v>
      </c>
      <c r="N11" s="121" t="str">
        <f ca="1">IFERROR(INDIRECT(CONCATENATE("Track1!N",A3+9)),"")</f>
        <v/>
      </c>
    </row>
    <row r="13" spans="1:18" x14ac:dyDescent="0.35">
      <c r="A13" s="66" t="s">
        <v>46</v>
      </c>
      <c r="B13" s="115" t="str">
        <f ca="1">IFERROR(INDIRECT(CONCATENATE("Track1!B",A14)),"")</f>
        <v>100m NS U15 Girls A</v>
      </c>
      <c r="E13" s="89" t="s">
        <v>259</v>
      </c>
      <c r="F13" s="299">
        <f ca="1">IFERROR(INDIRECT(CONCATENATE("Track1!f",A14)),"")</f>
        <v>0</v>
      </c>
      <c r="G13" s="121" t="str">
        <f ca="1">IFERROR(INDIRECT(CONCATENATE("Track1!g",A14)),"")</f>
        <v/>
      </c>
      <c r="I13" s="115" t="str">
        <f ca="1">IFERROR(INDIRECT(CONCATENATE("Track1!I",A14)),"")</f>
        <v>100m NS U15 Girls B</v>
      </c>
      <c r="L13" s="89" t="s">
        <v>259</v>
      </c>
      <c r="M13" s="299">
        <f ca="1">IFERROR(INDIRECT(CONCATENATE("Track1!M",A14)),"")</f>
        <v>0</v>
      </c>
    </row>
    <row r="14" spans="1:18" x14ac:dyDescent="0.35">
      <c r="A14" s="66">
        <f>IFERROR(MATCH(A13,Track1!A:A,0),"")</f>
        <v>156</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301"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301" t="str">
        <f ca="1">IFERROR(INDIRECT(CONCATENATE("Track1!M",A14+1)),"")</f>
        <v>Perf</v>
      </c>
      <c r="N14" s="218" t="str">
        <f ca="1">IFERROR(INDIRECT(CONCATENATE("Track1!N",A14+1)),"")</f>
        <v>AAA</v>
      </c>
    </row>
    <row r="15" spans="1:18" x14ac:dyDescent="0.35">
      <c r="B15" s="66">
        <f ca="1">IFERROR(INDIRECT(CONCATENATE("Track1!B",A14+2)),"")</f>
        <v>1</v>
      </c>
      <c r="C15" s="66">
        <f ca="1">IFERROR(INDIRECT(CONCATENATE("Track1!C",A14+2)),"")</f>
        <v>0</v>
      </c>
      <c r="D15" s="89" t="str">
        <f ca="1">IFERROR(INDIRECT(CONCATENATE("Track1!D",A14+2)),"")</f>
        <v/>
      </c>
      <c r="E15" s="89" t="str">
        <f ca="1">IFERROR(INDIRECT(CONCATENATE("Track1!E",A14+2)),"")</f>
        <v/>
      </c>
      <c r="F15" s="299">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299">
        <f ca="1">IFERROR(INDIRECT(CONCATENATE("Track1!M",A14+2)),"")</f>
        <v>0</v>
      </c>
      <c r="N15" s="121" t="str">
        <f ca="1">IFERROR(INDIRECT(CONCATENATE("Track1!N",A14+2)),"")</f>
        <v/>
      </c>
      <c r="R15" s="219">
        <f ca="1">IFERROR(INDIRECT(CONCATENATE("Track1!r",A14+2)),"")</f>
        <v>0</v>
      </c>
    </row>
    <row r="16" spans="1:18" x14ac:dyDescent="0.35">
      <c r="B16" s="66">
        <f ca="1">IFERROR(INDIRECT(CONCATENATE("Track1!B",A14+3)),"")</f>
        <v>2</v>
      </c>
      <c r="C16" s="66">
        <f ca="1">IFERROR(INDIRECT(CONCATENATE("Track1!C",A14+3)),"")</f>
        <v>0</v>
      </c>
      <c r="D16" s="89" t="str">
        <f ca="1">IFERROR(INDIRECT(CONCATENATE("Track1!D",A14+3)),"")</f>
        <v/>
      </c>
      <c r="E16" s="89" t="str">
        <f ca="1">IFERROR(INDIRECT(CONCATENATE("Track1!E",A14+3)),"")</f>
        <v/>
      </c>
      <c r="F16" s="299">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299">
        <f ca="1">IFERROR(INDIRECT(CONCATENATE("Track1!M",A14+3)),"")</f>
        <v>0</v>
      </c>
      <c r="N16" s="121" t="str">
        <f ca="1">IFERROR(INDIRECT(CONCATENATE("Track1!N",A14+3)),"")</f>
        <v/>
      </c>
    </row>
    <row r="17" spans="1:18" x14ac:dyDescent="0.35">
      <c r="B17" s="66">
        <f ca="1">IFERROR(INDIRECT(CONCATENATE("Track1!B",A14+4)),"")</f>
        <v>3</v>
      </c>
      <c r="C17" s="66">
        <f ca="1">IFERROR(INDIRECT(CONCATENATE("Track1!C",A14+4)),"")</f>
        <v>0</v>
      </c>
      <c r="D17" s="89" t="str">
        <f ca="1">IFERROR(INDIRECT(CONCATENATE("Track1!D",A14+4)),"")</f>
        <v/>
      </c>
      <c r="E17" s="89" t="str">
        <f ca="1">IFERROR(INDIRECT(CONCATENATE("Track1!E",A14+4)),"")</f>
        <v/>
      </c>
      <c r="F17" s="299">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299">
        <f ca="1">IFERROR(INDIRECT(CONCATENATE("Track1!M",A14+4)),"")</f>
        <v>0</v>
      </c>
      <c r="N17" s="121" t="str">
        <f ca="1">IFERROR(INDIRECT(CONCATENATE("Track1!N",A14+4)),"")</f>
        <v/>
      </c>
    </row>
    <row r="18" spans="1:18" x14ac:dyDescent="0.35">
      <c r="B18" s="66">
        <f ca="1">IFERROR(INDIRECT(CONCATENATE("Track1!B",A14+5)),"")</f>
        <v>4</v>
      </c>
      <c r="C18" s="66">
        <f ca="1">IFERROR(INDIRECT(CONCATENATE("Track1!C",A14+5)),"")</f>
        <v>0</v>
      </c>
      <c r="D18" s="89" t="str">
        <f ca="1">IFERROR(INDIRECT(CONCATENATE("Track1!D",A14+5)),"")</f>
        <v/>
      </c>
      <c r="E18" s="89" t="str">
        <f ca="1">IFERROR(INDIRECT(CONCATENATE("Track1!E",A14+5)),"")</f>
        <v/>
      </c>
      <c r="F18" s="299">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299">
        <f ca="1">IFERROR(INDIRECT(CONCATENATE("Track1!M",A14+5)),"")</f>
        <v>0</v>
      </c>
      <c r="N18" s="121" t="str">
        <f ca="1">IFERROR(INDIRECT(CONCATENATE("Track1!N",A14+5)),"")</f>
        <v/>
      </c>
    </row>
    <row r="19" spans="1:18" x14ac:dyDescent="0.35">
      <c r="B19" s="66">
        <f ca="1">IFERROR(INDIRECT(CONCATENATE("Track1!B",A14+6)),"")</f>
        <v>5</v>
      </c>
      <c r="C19" s="66">
        <f ca="1">IFERROR(INDIRECT(CONCATENATE("Track1!C",A14+6)),"")</f>
        <v>0</v>
      </c>
      <c r="D19" s="89" t="str">
        <f ca="1">IFERROR(INDIRECT(CONCATENATE("Track1!D",A14+6)),"")</f>
        <v/>
      </c>
      <c r="E19" s="89" t="str">
        <f ca="1">IFERROR(INDIRECT(CONCATENATE("Track1!E",A14+6)),"")</f>
        <v/>
      </c>
      <c r="F19" s="299">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299">
        <f ca="1">IFERROR(INDIRECT(CONCATENATE("Track1!M",A14+6)),"")</f>
        <v>0</v>
      </c>
      <c r="N19" s="121" t="str">
        <f ca="1">IFERROR(INDIRECT(CONCATENATE("Track1!N",A14+6)),"")</f>
        <v/>
      </c>
    </row>
    <row r="20" spans="1:18" x14ac:dyDescent="0.35">
      <c r="B20" s="66">
        <f ca="1">IFERROR(INDIRECT(CONCATENATE("Track1!B",A14+7)),"")</f>
        <v>6</v>
      </c>
      <c r="C20" s="66">
        <f ca="1">IFERROR(INDIRECT(CONCATENATE("Track1!C",A14+7)),"")</f>
        <v>0</v>
      </c>
      <c r="D20" s="89" t="str">
        <f ca="1">IFERROR(INDIRECT(CONCATENATE("Track1!D",A14+7)),"")</f>
        <v/>
      </c>
      <c r="E20" s="89" t="str">
        <f ca="1">IFERROR(INDIRECT(CONCATENATE("Track1!E",A14+7)),"")</f>
        <v/>
      </c>
      <c r="F20" s="299">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299">
        <f ca="1">IFERROR(INDIRECT(CONCATENATE("Track1!M",A14+7)),"")</f>
        <v>0</v>
      </c>
      <c r="N20" s="121" t="str">
        <f ca="1">IFERROR(INDIRECT(CONCATENATE("Track1!N",A14+7)),"")</f>
        <v/>
      </c>
    </row>
    <row r="21" spans="1:18" x14ac:dyDescent="0.35">
      <c r="B21" s="66">
        <f ca="1">IFERROR(INDIRECT(CONCATENATE("Track1!B",A14+8)),"")</f>
        <v>7</v>
      </c>
      <c r="C21" s="66">
        <f ca="1">IFERROR(INDIRECT(CONCATENATE("Track1!C",A14+8)),"")</f>
        <v>0</v>
      </c>
      <c r="D21" s="89" t="str">
        <f ca="1">IFERROR(INDIRECT(CONCATENATE("Track1!D",A14+8)),"")</f>
        <v/>
      </c>
      <c r="E21" s="89" t="str">
        <f ca="1">IFERROR(INDIRECT(CONCATENATE("Track1!E",A14+8)),"")</f>
        <v/>
      </c>
      <c r="F21" s="299">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299">
        <f ca="1">IFERROR(INDIRECT(CONCATENATE("Track1!M",A14+8)),"")</f>
        <v>0</v>
      </c>
      <c r="N21" s="121" t="str">
        <f ca="1">IFERROR(INDIRECT(CONCATENATE("Track1!N",A14+8)),"")</f>
        <v/>
      </c>
    </row>
    <row r="22" spans="1:18" x14ac:dyDescent="0.35">
      <c r="B22" s="66">
        <f ca="1">IFERROR(INDIRECT(CONCATENATE("Track1!B",A14+9)),"")</f>
        <v>8</v>
      </c>
      <c r="C22" s="66">
        <f ca="1">IFERROR(INDIRECT(CONCATENATE("Track1!C",A14+9)),"")</f>
        <v>0</v>
      </c>
      <c r="D22" s="89" t="str">
        <f ca="1">IFERROR(INDIRECT(CONCATENATE("Track1!D",A14+9)),"")</f>
        <v/>
      </c>
      <c r="E22" s="89" t="str">
        <f ca="1">IFERROR(INDIRECT(CONCATENATE("Track1!E",A14+9)),"")</f>
        <v/>
      </c>
      <c r="F22" s="299">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299">
        <f ca="1">IFERROR(INDIRECT(CONCATENATE("Track1!M",A14+9)),"")</f>
        <v>0</v>
      </c>
      <c r="N22" s="121" t="str">
        <f ca="1">IFERROR(INDIRECT(CONCATENATE("Track1!N",A14+9)),"")</f>
        <v/>
      </c>
    </row>
    <row r="24" spans="1:18" x14ac:dyDescent="0.35">
      <c r="A24" s="66" t="s">
        <v>38</v>
      </c>
      <c r="B24" s="115" t="str">
        <f ca="1">IFERROR(INDIRECT(CONCATENATE("Track1!B",A25)),"")</f>
        <v>200m U15 Girls A</v>
      </c>
      <c r="E24" s="89" t="s">
        <v>259</v>
      </c>
      <c r="F24" s="299">
        <f ca="1">IFERROR(INDIRECT(CONCATENATE("Track1!f",A25)),"")</f>
        <v>0</v>
      </c>
      <c r="G24" s="121" t="str">
        <f ca="1">IFERROR(INDIRECT(CONCATENATE("Track1!g",A25)),"")</f>
        <v/>
      </c>
      <c r="I24" s="115" t="str">
        <f ca="1">IFERROR(INDIRECT(CONCATENATE("Track1!I",A25)),"")</f>
        <v>200m U15 Girls B</v>
      </c>
      <c r="L24" s="89" t="s">
        <v>259</v>
      </c>
      <c r="M24" s="299">
        <f ca="1">IFERROR(INDIRECT(CONCATENATE("Track1!M",A25)),"")</f>
        <v>0</v>
      </c>
    </row>
    <row r="25" spans="1:18" x14ac:dyDescent="0.35">
      <c r="A25" s="66">
        <f>IFERROR(MATCH(A24,Track1!A:A,0),"")</f>
        <v>68</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301"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301" t="str">
        <f ca="1">IFERROR(INDIRECT(CONCATENATE("Track1!M",A25+1)),"")</f>
        <v>Perf</v>
      </c>
      <c r="N25" s="218" t="str">
        <f ca="1">IFERROR(INDIRECT(CONCATENATE("Track1!N",A25+1)),"")</f>
        <v>AAA</v>
      </c>
    </row>
    <row r="26" spans="1:18" x14ac:dyDescent="0.35">
      <c r="B26" s="66">
        <f ca="1">IFERROR(INDIRECT(CONCATENATE("Track1!B",A25+2)),"")</f>
        <v>1</v>
      </c>
      <c r="C26" s="66">
        <f ca="1">IFERROR(INDIRECT(CONCATENATE("Track1!C",A25+2)),"")</f>
        <v>3</v>
      </c>
      <c r="D26" s="89" t="str">
        <f ca="1">IFERROR(INDIRECT(CONCATENATE("Track1!D",A25+2)),"")</f>
        <v>HOGG Frances</v>
      </c>
      <c r="E26" s="89" t="str">
        <f ca="1">IFERROR(INDIRECT(CONCATENATE("Track1!E",A25+2)),"")</f>
        <v>York</v>
      </c>
      <c r="F26" s="299">
        <f ca="1">IFERROR(INDIRECT(CONCATENATE("Track1!F",A25+2)),"")</f>
        <v>27</v>
      </c>
      <c r="G26" s="121">
        <f ca="1">IFERROR(INDIRECT(CONCATENATE("Track1!G",A25+2)),"")</f>
        <v>3</v>
      </c>
      <c r="H26" s="66"/>
      <c r="I26" s="66">
        <f ca="1">IFERROR(INDIRECT(CONCATENATE("Track1!I",A25+2)),"")</f>
        <v>1</v>
      </c>
      <c r="J26" s="66">
        <f ca="1">IFERROR(INDIRECT(CONCATENATE("Track1!J",A25+2)),"")</f>
        <v>44</v>
      </c>
      <c r="K26" s="89" t="str">
        <f ca="1">IFERROR(INDIRECT(CONCATENATE("Track1!K",A25+2)),"")</f>
        <v>PYE Leoni</v>
      </c>
      <c r="L26" s="89" t="str">
        <f ca="1">IFERROR(INDIRECT(CONCATENATE("Track1!L",A25+2)),"")</f>
        <v>M'bro</v>
      </c>
      <c r="M26" s="299">
        <f ca="1">IFERROR(INDIRECT(CONCATENATE("Track1!M",A25+2)),"")</f>
        <v>28</v>
      </c>
      <c r="N26" s="121">
        <f ca="1">IFERROR(INDIRECT(CONCATENATE("Track1!N",A25+2)),"")</f>
        <v>4</v>
      </c>
      <c r="R26" s="219">
        <f ca="1">IFERROR(INDIRECT(CONCATENATE("Track1!r",A25+2)),"")</f>
        <v>1</v>
      </c>
    </row>
    <row r="27" spans="1:18" x14ac:dyDescent="0.35">
      <c r="B27" s="66">
        <f ca="1">IFERROR(INDIRECT(CONCATENATE("Track1!B",A25+3)),"")</f>
        <v>2</v>
      </c>
      <c r="C27" s="66">
        <f ca="1">IFERROR(INDIRECT(CONCATENATE("Track1!C",A25+3)),"")</f>
        <v>2</v>
      </c>
      <c r="D27" s="89" t="str">
        <f ca="1">IFERROR(INDIRECT(CONCATENATE("Track1!D",A25+3)),"")</f>
        <v>ADEBAYO Daphney</v>
      </c>
      <c r="E27" s="89" t="str">
        <f ca="1">IFERROR(INDIRECT(CONCATENATE("Track1!E",A25+3)),"")</f>
        <v>Sheff+D</v>
      </c>
      <c r="F27" s="299">
        <f ca="1">IFERROR(INDIRECT(CONCATENATE("Track1!F",A25+3)),"")</f>
        <v>27.4</v>
      </c>
      <c r="G27" s="121">
        <f ca="1">IFERROR(INDIRECT(CONCATENATE("Track1!G",A25+3)),"")</f>
        <v>4</v>
      </c>
      <c r="H27" s="66"/>
      <c r="I27" s="66">
        <f ca="1">IFERROR(INDIRECT(CONCATENATE("Track1!I",A25+3)),"")</f>
        <v>2</v>
      </c>
      <c r="J27" s="66">
        <f ca="1">IFERROR(INDIRECT(CONCATENATE("Track1!J",A25+3)),"")</f>
        <v>33</v>
      </c>
      <c r="K27" s="89" t="str">
        <f ca="1">IFERROR(INDIRECT(CONCATENATE("Track1!K",A25+3)),"")</f>
        <v>HASTIE Eve</v>
      </c>
      <c r="L27" s="89" t="str">
        <f ca="1">IFERROR(INDIRECT(CONCATENATE("Track1!L",A25+3)),"")</f>
        <v>York</v>
      </c>
      <c r="M27" s="299">
        <f ca="1">IFERROR(INDIRECT(CONCATENATE("Track1!M",A25+3)),"")</f>
        <v>28.8</v>
      </c>
      <c r="N27" s="121" t="str">
        <f ca="1">IFERROR(INDIRECT(CONCATENATE("Track1!N",A25+3)),"")</f>
        <v/>
      </c>
    </row>
    <row r="28" spans="1:18" x14ac:dyDescent="0.35">
      <c r="B28" s="66">
        <f ca="1">IFERROR(INDIRECT(CONCATENATE("Track1!B",A25+4)),"")</f>
        <v>3</v>
      </c>
      <c r="C28" s="66">
        <f ca="1">IFERROR(INDIRECT(CONCATENATE("Track1!C",A25+4)),"")</f>
        <v>4</v>
      </c>
      <c r="D28" s="89" t="str">
        <f ca="1">IFERROR(INDIRECT(CONCATENATE("Track1!D",A25+4)),"")</f>
        <v>PYE Naiomi</v>
      </c>
      <c r="E28" s="89" t="str">
        <f ca="1">IFERROR(INDIRECT(CONCATENATE("Track1!E",A25+4)),"")</f>
        <v>M'bro</v>
      </c>
      <c r="F28" s="299">
        <f ca="1">IFERROR(INDIRECT(CONCATENATE("Track1!F",A25+4)),"")</f>
        <v>27.5</v>
      </c>
      <c r="G28" s="121">
        <f ca="1">IFERROR(INDIRECT(CONCATENATE("Track1!G",A25+4)),"")</f>
        <v>4</v>
      </c>
      <c r="H28" s="66"/>
      <c r="I28" s="66">
        <f ca="1">IFERROR(INDIRECT(CONCATENATE("Track1!I",A25+4)),"")</f>
        <v>3</v>
      </c>
      <c r="J28" s="66">
        <f ca="1">IFERROR(INDIRECT(CONCATENATE("Track1!J",A25+4)),"")</f>
        <v>22</v>
      </c>
      <c r="K28" s="89" t="str">
        <f ca="1">IFERROR(INDIRECT(CONCATENATE("Track1!K",A25+4)),"")</f>
        <v>PADDON Olivia</v>
      </c>
      <c r="L28" s="89" t="str">
        <f ca="1">IFERROR(INDIRECT(CONCATENATE("Track1!L",A25+4)),"")</f>
        <v>Sheff+D</v>
      </c>
      <c r="M28" s="299">
        <f ca="1">IFERROR(INDIRECT(CONCATENATE("Track1!M",A25+4)),"")</f>
        <v>29.5</v>
      </c>
      <c r="N28" s="121" t="str">
        <f ca="1">IFERROR(INDIRECT(CONCATENATE("Track1!N",A25+4)),"")</f>
        <v/>
      </c>
    </row>
    <row r="29" spans="1:18" x14ac:dyDescent="0.35">
      <c r="B29" s="66">
        <f ca="1">IFERROR(INDIRECT(CONCATENATE("Track1!B",A25+5)),"")</f>
        <v>4</v>
      </c>
      <c r="C29" s="66">
        <f ca="1">IFERROR(INDIRECT(CONCATENATE("Track1!C",A25+5)),"")</f>
        <v>5</v>
      </c>
      <c r="D29" s="89" t="str">
        <f ca="1">IFERROR(INDIRECT(CONCATENATE("Track1!D",A25+5)),"")</f>
        <v>LINGARD Alice</v>
      </c>
      <c r="E29" s="89" t="str">
        <f ca="1">IFERROR(INDIRECT(CONCATENATE("Track1!E",A25+5)),"")</f>
        <v>Scun</v>
      </c>
      <c r="F29" s="299">
        <f ca="1">IFERROR(INDIRECT(CONCATENATE("Track1!F",A25+5)),"")</f>
        <v>28.6</v>
      </c>
      <c r="G29" s="121" t="str">
        <f ca="1">IFERROR(INDIRECT(CONCATENATE("Track1!G",A25+5)),"")</f>
        <v/>
      </c>
      <c r="H29" s="66"/>
      <c r="I29" s="66">
        <f ca="1">IFERROR(INDIRECT(CONCATENATE("Track1!I",A25+5)),"")</f>
        <v>4</v>
      </c>
      <c r="J29" s="66">
        <f ca="1">IFERROR(INDIRECT(CONCATENATE("Track1!J",A25+5)),"")</f>
        <v>11</v>
      </c>
      <c r="K29" s="89" t="str">
        <f ca="1">IFERROR(INDIRECT(CONCATENATE("Track1!K",A25+5)),"")</f>
        <v>ROGERS Emily</v>
      </c>
      <c r="L29" s="89" t="str">
        <f ca="1">IFERROR(INDIRECT(CONCATENATE("Track1!L",A25+5)),"")</f>
        <v>C'field</v>
      </c>
      <c r="M29" s="299">
        <f ca="1">IFERROR(INDIRECT(CONCATENATE("Track1!M",A25+5)),"")</f>
        <v>30.9</v>
      </c>
      <c r="N29" s="121" t="str">
        <f ca="1">IFERROR(INDIRECT(CONCATENATE("Track1!N",A25+5)),"")</f>
        <v/>
      </c>
    </row>
    <row r="30" spans="1:18" x14ac:dyDescent="0.35">
      <c r="B30" s="66">
        <f ca="1">IFERROR(INDIRECT(CONCATENATE("Track1!B",A25+6)),"")</f>
        <v>5</v>
      </c>
      <c r="C30" s="66">
        <f ca="1">IFERROR(INDIRECT(CONCATENATE("Track1!C",A25+6)),"")</f>
        <v>1</v>
      </c>
      <c r="D30" s="89" t="str">
        <f ca="1">IFERROR(INDIRECT(CONCATENATE("Track1!D",A25+6)),"")</f>
        <v>BRIDDON Missy</v>
      </c>
      <c r="E30" s="89" t="str">
        <f ca="1">IFERROR(INDIRECT(CONCATENATE("Track1!E",A25+6)),"")</f>
        <v>C'field</v>
      </c>
      <c r="F30" s="299">
        <f ca="1">IFERROR(INDIRECT(CONCATENATE("Track1!F",A25+6)),"")</f>
        <v>29</v>
      </c>
      <c r="G30" s="121" t="str">
        <f ca="1">IFERROR(INDIRECT(CONCATENATE("Track1!G",A25+6)),"")</f>
        <v/>
      </c>
      <c r="H30" s="66"/>
      <c r="I30" s="66">
        <f ca="1">IFERROR(INDIRECT(CONCATENATE("Track1!I",A25+6)),"")</f>
        <v>5</v>
      </c>
      <c r="J30" s="66">
        <f ca="1">IFERROR(INDIRECT(CONCATENATE("Track1!J",A25+6)),"")</f>
        <v>0</v>
      </c>
      <c r="K30" s="89" t="str">
        <f ca="1">IFERROR(INDIRECT(CONCATENATE("Track1!K",A25+6)),"")</f>
        <v/>
      </c>
      <c r="L30" s="89" t="str">
        <f ca="1">IFERROR(INDIRECT(CONCATENATE("Track1!L",A25+6)),"")</f>
        <v/>
      </c>
      <c r="M30" s="299">
        <f ca="1">IFERROR(INDIRECT(CONCATENATE("Track1!M",A25+6)),"")</f>
        <v>0</v>
      </c>
      <c r="N30" s="121" t="str">
        <f ca="1">IFERROR(INDIRECT(CONCATENATE("Track1!N",A25+6)),"")</f>
        <v/>
      </c>
    </row>
    <row r="31" spans="1:18" x14ac:dyDescent="0.35">
      <c r="B31" s="66">
        <f ca="1">IFERROR(INDIRECT(CONCATENATE("Track1!B",A25+7)),"")</f>
        <v>6</v>
      </c>
      <c r="C31" s="66">
        <f ca="1">IFERROR(INDIRECT(CONCATENATE("Track1!C",A25+7)),"")</f>
        <v>0</v>
      </c>
      <c r="D31" s="89" t="str">
        <f ca="1">IFERROR(INDIRECT(CONCATENATE("Track1!D",A25+7)),"")</f>
        <v/>
      </c>
      <c r="E31" s="89" t="str">
        <f ca="1">IFERROR(INDIRECT(CONCATENATE("Track1!E",A25+7)),"")</f>
        <v/>
      </c>
      <c r="F31" s="299">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299">
        <f ca="1">IFERROR(INDIRECT(CONCATENATE("Track1!M",A25+7)),"")</f>
        <v>0</v>
      </c>
      <c r="N31" s="121" t="str">
        <f ca="1">IFERROR(INDIRECT(CONCATENATE("Track1!N",A25+7)),"")</f>
        <v/>
      </c>
    </row>
    <row r="32" spans="1:18" x14ac:dyDescent="0.35">
      <c r="B32" s="66">
        <f ca="1">IFERROR(INDIRECT(CONCATENATE("Track1!B",A25+8)),"")</f>
        <v>7</v>
      </c>
      <c r="C32" s="66">
        <f ca="1">IFERROR(INDIRECT(CONCATENATE("Track1!C",A25+8)),"")</f>
        <v>0</v>
      </c>
      <c r="D32" s="89" t="str">
        <f ca="1">IFERROR(INDIRECT(CONCATENATE("Track1!D",A25+8)),"")</f>
        <v/>
      </c>
      <c r="E32" s="89" t="str">
        <f ca="1">IFERROR(INDIRECT(CONCATENATE("Track1!E",A25+8)),"")</f>
        <v/>
      </c>
      <c r="F32" s="299">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299">
        <f ca="1">IFERROR(INDIRECT(CONCATENATE("Track1!M",A25+8)),"")</f>
        <v>0</v>
      </c>
      <c r="N32" s="121" t="str">
        <f ca="1">IFERROR(INDIRECT(CONCATENATE("Track1!N",A25+8)),"")</f>
        <v/>
      </c>
    </row>
    <row r="33" spans="1:18" x14ac:dyDescent="0.35">
      <c r="B33" s="66">
        <f ca="1">IFERROR(INDIRECT(CONCATENATE("Track1!B",A25+9)),"")</f>
        <v>8</v>
      </c>
      <c r="C33" s="66">
        <f ca="1">IFERROR(INDIRECT(CONCATENATE("Track1!C",A25+9)),"")</f>
        <v>0</v>
      </c>
      <c r="D33" s="89" t="str">
        <f ca="1">IFERROR(INDIRECT(CONCATENATE("Track1!D",A25+9)),"")</f>
        <v/>
      </c>
      <c r="E33" s="89" t="str">
        <f ca="1">IFERROR(INDIRECT(CONCATENATE("Track1!E",A25+9)),"")</f>
        <v/>
      </c>
      <c r="F33" s="299">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299">
        <f ca="1">IFERROR(INDIRECT(CONCATENATE("Track1!M",A25+9)),"")</f>
        <v>0</v>
      </c>
      <c r="N33" s="121" t="str">
        <f ca="1">IFERROR(INDIRECT(CONCATENATE("Track1!N",A25+9)),"")</f>
        <v/>
      </c>
    </row>
    <row r="35" spans="1:18" x14ac:dyDescent="0.35">
      <c r="A35" s="66" t="s">
        <v>48</v>
      </c>
      <c r="B35" s="115" t="str">
        <f ca="1">IFERROR(INDIRECT(CONCATENATE("Track1!B",A36)),"")</f>
        <v>300m U15 Girls A</v>
      </c>
      <c r="F35" s="299">
        <f ca="1">IFERROR(INDIRECT(CONCATENATE("Track1!f",A36)),"")</f>
        <v>0</v>
      </c>
      <c r="G35" s="121" t="str">
        <f ca="1">IFERROR(INDIRECT(CONCATENATE("Track1!g",A36)),"")</f>
        <v/>
      </c>
      <c r="I35" s="115" t="str">
        <f ca="1">IFERROR(INDIRECT(CONCATENATE("Track1!I",A36)),"")</f>
        <v>300m U15 Girls B</v>
      </c>
    </row>
    <row r="36" spans="1:18" x14ac:dyDescent="0.35">
      <c r="A36" s="66">
        <f>IFERROR(MATCH(A35,Track1!A:A,0),"")</f>
        <v>178</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301"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301" t="str">
        <f ca="1">IFERROR(INDIRECT(CONCATENATE("Track1!M",A36+1)),"")</f>
        <v>Perf</v>
      </c>
      <c r="N36" s="218" t="str">
        <f ca="1">IFERROR(INDIRECT(CONCATENATE("Track1!N",A36+1)),"")</f>
        <v>AAA</v>
      </c>
    </row>
    <row r="37" spans="1:18" x14ac:dyDescent="0.35">
      <c r="B37" s="66">
        <f ca="1">IFERROR(INDIRECT(CONCATENATE("Track1!B",A36+2)),"")</f>
        <v>1</v>
      </c>
      <c r="C37" s="66">
        <f ca="1">IFERROR(INDIRECT(CONCATENATE("Track1!C",A36+2)),"")</f>
        <v>1</v>
      </c>
      <c r="D37" s="89" t="str">
        <f ca="1">IFERROR(INDIRECT(CONCATENATE("Track1!D",A36+2)),"")</f>
        <v>MOODY Hannah</v>
      </c>
      <c r="E37" s="89" t="str">
        <f ca="1">IFERROR(INDIRECT(CONCATENATE("Track1!E",A36+2)),"")</f>
        <v>C'field</v>
      </c>
      <c r="F37" s="299">
        <f ca="1">IFERROR(INDIRECT(CONCATENATE("Track1!F",A36+2)),"")</f>
        <v>45.7</v>
      </c>
      <c r="G37" s="121">
        <f ca="1">IFERROR(INDIRECT(CONCATENATE("Track1!G",A36+2)),"")</f>
        <v>4</v>
      </c>
      <c r="H37" s="66"/>
      <c r="I37" s="66">
        <f ca="1">IFERROR(INDIRECT(CONCATENATE("Track1!I",A36+2)),"")</f>
        <v>1</v>
      </c>
      <c r="J37" s="66">
        <f ca="1">IFERROR(INDIRECT(CONCATENATE("Track1!J",A36+2)),"")</f>
        <v>44</v>
      </c>
      <c r="K37" s="89" t="str">
        <f ca="1">IFERROR(INDIRECT(CONCATENATE("Track1!K",A36+2)),"")</f>
        <v>PYE Leoni</v>
      </c>
      <c r="L37" s="89" t="str">
        <f ca="1">IFERROR(INDIRECT(CONCATENATE("Track1!L",A36+2)),"")</f>
        <v>M'bro</v>
      </c>
      <c r="M37" s="299">
        <f ca="1">IFERROR(INDIRECT(CONCATENATE("Track1!M",A36+2)),"")</f>
        <v>47.5</v>
      </c>
      <c r="N37" s="121" t="str">
        <f ca="1">IFERROR(INDIRECT(CONCATENATE("Track1!N",A36+2)),"")</f>
        <v/>
      </c>
      <c r="R37" s="219">
        <f ca="1">IFERROR(INDIRECT(CONCATENATE("Track1!r",A36+2)),"")</f>
        <v>1</v>
      </c>
    </row>
    <row r="38" spans="1:18" x14ac:dyDescent="0.35">
      <c r="B38" s="66">
        <f ca="1">IFERROR(INDIRECT(CONCATENATE("Track1!B",A36+3)),"")</f>
        <v>2</v>
      </c>
      <c r="C38" s="66">
        <f ca="1">IFERROR(INDIRECT(CONCATENATE("Track1!C",A36+3)),"")</f>
        <v>4</v>
      </c>
      <c r="D38" s="89" t="str">
        <f ca="1">IFERROR(INDIRECT(CONCATENATE("Track1!D",A36+3)),"")</f>
        <v>GILLIS Madelaine</v>
      </c>
      <c r="E38" s="89" t="str">
        <f ca="1">IFERROR(INDIRECT(CONCATENATE("Track1!E",A36+3)),"")</f>
        <v>M'bro</v>
      </c>
      <c r="F38" s="299">
        <f ca="1">IFERROR(INDIRECT(CONCATENATE("Track1!F",A36+3)),"")</f>
        <v>46.2</v>
      </c>
      <c r="G38" s="121" t="str">
        <f ca="1">IFERROR(INDIRECT(CONCATENATE("Track1!G",A36+3)),"")</f>
        <v/>
      </c>
      <c r="H38" s="66"/>
      <c r="I38" s="66">
        <f ca="1">IFERROR(INDIRECT(CONCATENATE("Track1!I",A36+3)),"")</f>
        <v>2</v>
      </c>
      <c r="J38" s="66">
        <f ca="1">IFERROR(INDIRECT(CONCATENATE("Track1!J",A36+3)),"")</f>
        <v>33</v>
      </c>
      <c r="K38" s="89" t="str">
        <f ca="1">IFERROR(INDIRECT(CONCATENATE("Track1!K",A36+3)),"")</f>
        <v>COURTNEY Libby</v>
      </c>
      <c r="L38" s="89" t="str">
        <f ca="1">IFERROR(INDIRECT(CONCATENATE("Track1!L",A36+3)),"")</f>
        <v>York</v>
      </c>
      <c r="M38" s="299">
        <f ca="1">IFERROR(INDIRECT(CONCATENATE("Track1!M",A36+3)),"")</f>
        <v>50.9</v>
      </c>
      <c r="N38" s="121" t="str">
        <f ca="1">IFERROR(INDIRECT(CONCATENATE("Track1!N",A36+3)),"")</f>
        <v/>
      </c>
    </row>
    <row r="39" spans="1:18" x14ac:dyDescent="0.35">
      <c r="B39" s="66">
        <f ca="1">IFERROR(INDIRECT(CONCATENATE("Track1!B",A36+4)),"")</f>
        <v>3</v>
      </c>
      <c r="C39" s="66">
        <f ca="1">IFERROR(INDIRECT(CONCATENATE("Track1!C",A36+4)),"")</f>
        <v>3</v>
      </c>
      <c r="D39" s="89" t="str">
        <f ca="1">IFERROR(INDIRECT(CONCATENATE("Track1!D",A36+4)),"")</f>
        <v>WALSH Tierney</v>
      </c>
      <c r="E39" s="89" t="str">
        <f ca="1">IFERROR(INDIRECT(CONCATENATE("Track1!E",A36+4)),"")</f>
        <v>York</v>
      </c>
      <c r="F39" s="299">
        <f ca="1">IFERROR(INDIRECT(CONCATENATE("Track1!F",A36+4)),"")</f>
        <v>47.1</v>
      </c>
      <c r="G39" s="121" t="str">
        <f ca="1">IFERROR(INDIRECT(CONCATENATE("Track1!G",A36+4)),"")</f>
        <v/>
      </c>
      <c r="H39" s="66"/>
      <c r="I39" s="66">
        <f ca="1">IFERROR(INDIRECT(CONCATENATE("Track1!I",A36+4)),"")</f>
        <v>3</v>
      </c>
      <c r="J39" s="66">
        <f ca="1">IFERROR(INDIRECT(CONCATENATE("Track1!J",A36+4)),"")</f>
        <v>11</v>
      </c>
      <c r="K39" s="89" t="str">
        <f ca="1">IFERROR(INDIRECT(CONCATENATE("Track1!K",A36+4)),"")</f>
        <v>PROCTOR Alicia</v>
      </c>
      <c r="L39" s="89" t="str">
        <f ca="1">IFERROR(INDIRECT(CONCATENATE("Track1!L",A36+4)),"")</f>
        <v>C'field</v>
      </c>
      <c r="M39" s="299">
        <f ca="1">IFERROR(INDIRECT(CONCATENATE("Track1!M",A36+4)),"")</f>
        <v>53.4</v>
      </c>
      <c r="N39" s="121" t="str">
        <f ca="1">IFERROR(INDIRECT(CONCATENATE("Track1!N",A36+4)),"")</f>
        <v/>
      </c>
    </row>
    <row r="40" spans="1:18" x14ac:dyDescent="0.35">
      <c r="B40" s="66">
        <f ca="1">IFERROR(INDIRECT(CONCATENATE("Track1!B",A36+5)),"")</f>
        <v>4</v>
      </c>
      <c r="C40" s="66">
        <f ca="1">IFERROR(INDIRECT(CONCATENATE("Track1!C",A36+5)),"")</f>
        <v>5</v>
      </c>
      <c r="D40" s="89" t="str">
        <f ca="1">IFERROR(INDIRECT(CONCATENATE("Track1!D",A36+5)),"")</f>
        <v>WRIGHT Lucy</v>
      </c>
      <c r="E40" s="89" t="str">
        <f ca="1">IFERROR(INDIRECT(CONCATENATE("Track1!E",A36+5)),"")</f>
        <v>Scun</v>
      </c>
      <c r="F40" s="299">
        <f ca="1">IFERROR(INDIRECT(CONCATENATE("Track1!F",A36+5)),"")</f>
        <v>52.5</v>
      </c>
      <c r="G40" s="121" t="str">
        <f ca="1">IFERROR(INDIRECT(CONCATENATE("Track1!G",A36+5)),"")</f>
        <v/>
      </c>
      <c r="H40" s="66"/>
      <c r="I40" s="66">
        <f ca="1">IFERROR(INDIRECT(CONCATENATE("Track1!I",A36+5)),"")</f>
        <v>4</v>
      </c>
      <c r="J40" s="66">
        <f ca="1">IFERROR(INDIRECT(CONCATENATE("Track1!J",A36+5)),"")</f>
        <v>0</v>
      </c>
      <c r="K40" s="89" t="str">
        <f ca="1">IFERROR(INDIRECT(CONCATENATE("Track1!K",A36+5)),"")</f>
        <v/>
      </c>
      <c r="L40" s="89" t="str">
        <f ca="1">IFERROR(INDIRECT(CONCATENATE("Track1!L",A36+5)),"")</f>
        <v/>
      </c>
      <c r="M40" s="299">
        <f ca="1">IFERROR(INDIRECT(CONCATENATE("Track1!M",A36+5)),"")</f>
        <v>0</v>
      </c>
      <c r="N40" s="121" t="str">
        <f ca="1">IFERROR(INDIRECT(CONCATENATE("Track1!N",A36+5)),"")</f>
        <v/>
      </c>
    </row>
    <row r="41" spans="1:18" x14ac:dyDescent="0.35">
      <c r="B41" s="66">
        <f ca="1">IFERROR(INDIRECT(CONCATENATE("Track1!B",A36+6)),"")</f>
        <v>5</v>
      </c>
      <c r="C41" s="66">
        <f ca="1">IFERROR(INDIRECT(CONCATENATE("Track1!C",A36+6)),"")</f>
        <v>0</v>
      </c>
      <c r="D41" s="89" t="str">
        <f ca="1">IFERROR(INDIRECT(CONCATENATE("Track1!D",A36+6)),"")</f>
        <v/>
      </c>
      <c r="E41" s="89" t="str">
        <f ca="1">IFERROR(INDIRECT(CONCATENATE("Track1!E",A36+6)),"")</f>
        <v/>
      </c>
      <c r="F41" s="299">
        <f ca="1">IFERROR(INDIRECT(CONCATENATE("Track1!F",A36+6)),"")</f>
        <v>0</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299">
        <f ca="1">IFERROR(INDIRECT(CONCATENATE("Track1!M",A36+6)),"")</f>
        <v>0</v>
      </c>
      <c r="N41" s="121" t="str">
        <f ca="1">IFERROR(INDIRECT(CONCATENATE("Track1!N",A36+6)),"")</f>
        <v/>
      </c>
    </row>
    <row r="42" spans="1:18" x14ac:dyDescent="0.35">
      <c r="B42" s="66">
        <f ca="1">IFERROR(INDIRECT(CONCATENATE("Track1!B",A36+7)),"")</f>
        <v>6</v>
      </c>
      <c r="C42" s="66">
        <f ca="1">IFERROR(INDIRECT(CONCATENATE("Track1!C",A36+7)),"")</f>
        <v>0</v>
      </c>
      <c r="D42" s="89" t="str">
        <f ca="1">IFERROR(INDIRECT(CONCATENATE("Track1!D",A36+7)),"")</f>
        <v/>
      </c>
      <c r="E42" s="89" t="str">
        <f ca="1">IFERROR(INDIRECT(CONCATENATE("Track1!E",A36+7)),"")</f>
        <v/>
      </c>
      <c r="F42" s="299">
        <f ca="1">IFERROR(INDIRECT(CONCATENATE("Track1!F",A36+7)),"")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299">
        <f ca="1">IFERROR(INDIRECT(CONCATENATE("Track1!M",A36+7)),"")</f>
        <v>0</v>
      </c>
      <c r="N42" s="121" t="str">
        <f ca="1">IFERROR(INDIRECT(CONCATENATE("Track1!N",A36+7)),"")</f>
        <v/>
      </c>
    </row>
    <row r="43" spans="1:18" x14ac:dyDescent="0.35">
      <c r="B43" s="66">
        <f ca="1">IFERROR(INDIRECT(CONCATENATE("Track1!B",A36+8)),"")</f>
        <v>7</v>
      </c>
      <c r="C43" s="66">
        <f ca="1">IFERROR(INDIRECT(CONCATENATE("Track1!C",A36+8)),"")</f>
        <v>0</v>
      </c>
      <c r="D43" s="89" t="str">
        <f ca="1">IFERROR(INDIRECT(CONCATENATE("Track1!D",A36+8)),"")</f>
        <v/>
      </c>
      <c r="E43" s="89" t="str">
        <f ca="1">IFERROR(INDIRECT(CONCATENATE("Track1!E",A36+8)),"")</f>
        <v/>
      </c>
      <c r="F43" s="299">
        <f ca="1">IFERROR(INDIRECT(CONCATENATE("Track1!F",A36+8)),"")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299">
        <f ca="1">IFERROR(INDIRECT(CONCATENATE("Track1!M",A36+8)),"")</f>
        <v>0</v>
      </c>
      <c r="N43" s="121" t="str">
        <f ca="1">IFERROR(INDIRECT(CONCATENATE("Track1!N",A36+8)),"")</f>
        <v/>
      </c>
    </row>
    <row r="44" spans="1:18" x14ac:dyDescent="0.35">
      <c r="B44" s="66">
        <f ca="1">IFERROR(INDIRECT(CONCATENATE("Track1!B",A36+9)),"")</f>
        <v>8</v>
      </c>
      <c r="C44" s="66">
        <f ca="1">IFERROR(INDIRECT(CONCATENATE("Track1!C",A36+9)),"")</f>
        <v>0</v>
      </c>
      <c r="D44" s="89" t="str">
        <f ca="1">IFERROR(INDIRECT(CONCATENATE("Track1!D",A36+9)),"")</f>
        <v/>
      </c>
      <c r="E44" s="89" t="str">
        <f ca="1">IFERROR(INDIRECT(CONCATENATE("Track1!E",A36+9)),"")</f>
        <v/>
      </c>
      <c r="F44" s="299">
        <f ca="1">IFERROR(INDIRECT(CONCATENATE("Track1!F",A36+9)),"")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299">
        <f ca="1">IFERROR(INDIRECT(CONCATENATE("Track1!M",A36+9)),"")</f>
        <v>0</v>
      </c>
      <c r="N44" s="121" t="str">
        <f ca="1">IFERROR(INDIRECT(CONCATENATE("Track1!N",A36+9)),"")</f>
        <v/>
      </c>
    </row>
    <row r="46" spans="1:18" x14ac:dyDescent="0.35">
      <c r="A46" s="66" t="s">
        <v>508</v>
      </c>
      <c r="B46" s="115" t="str">
        <f ca="1">IFERROR(INDIRECT(CONCATENATE("Track1!B",A47)),"")</f>
        <v>800m U15 Girls A</v>
      </c>
      <c r="F46" s="299">
        <f ca="1">IFERROR(INDIRECT(CONCATENATE("Track1!f",A47)),"")</f>
        <v>0</v>
      </c>
      <c r="G46" s="121" t="str">
        <f ca="1">IFERROR(INDIRECT(CONCATENATE("Track1!g",A47)),"")</f>
        <v/>
      </c>
      <c r="I46" s="115" t="str">
        <f ca="1">IFERROR(INDIRECT(CONCATENATE("Track1!I",A47)),"")</f>
        <v>800m U15 Girls B</v>
      </c>
    </row>
    <row r="47" spans="1:18" x14ac:dyDescent="0.35">
      <c r="A47" s="66">
        <f>IFERROR(MATCH(A46,Track1!A:A,0),"")</f>
        <v>222</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301"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301" t="str">
        <f ca="1">IFERROR(INDIRECT(CONCATENATE("Track1!M",A47+1)),"")</f>
        <v>Perf</v>
      </c>
      <c r="N47" s="218" t="str">
        <f ca="1">IFERROR(INDIRECT(CONCATENATE("Track1!N",A47+1)),"")</f>
        <v>AAA</v>
      </c>
    </row>
    <row r="48" spans="1:18" x14ac:dyDescent="0.35">
      <c r="B48" s="66">
        <f ca="1">IFERROR(INDIRECT(CONCATENATE("Track1!B",A47+2)),"")</f>
        <v>1</v>
      </c>
      <c r="C48" s="66">
        <f ca="1">IFERROR(INDIRECT(CONCATENATE("Track1!C",A47+2)),"")</f>
        <v>4</v>
      </c>
      <c r="D48" s="89" t="str">
        <f ca="1">IFERROR(INDIRECT(CONCATENATE("Track1!D",A47+2)),"")</f>
        <v>CREASEY Lois</v>
      </c>
      <c r="E48" s="89" t="str">
        <f ca="1">IFERROR(INDIRECT(CONCATENATE("Track1!E",A47+2)),"")</f>
        <v>M'bro</v>
      </c>
      <c r="F48" s="302">
        <f ca="1">IFERROR(INDIRECT(CONCATENATE("Track1!T",A47+2)),"")</f>
        <v>1.7037037037037036E-3</v>
      </c>
      <c r="G48" s="121">
        <f ca="1">IFERROR(INDIRECT(CONCATENATE("Track1!G",A47+2)),"")</f>
        <v>4</v>
      </c>
      <c r="H48" s="66"/>
      <c r="I48" s="66">
        <f ca="1">IFERROR(INDIRECT(CONCATENATE("Track1!I",A47+2)),"")</f>
        <v>1</v>
      </c>
      <c r="J48" s="66">
        <f ca="1">IFERROR(INDIRECT(CONCATENATE("Track1!J",A47+2)),"")</f>
        <v>44</v>
      </c>
      <c r="K48" s="89" t="str">
        <f ca="1">IFERROR(INDIRECT(CONCATENATE("Track1!K",A47+2)),"")</f>
        <v>LILLIE Imogen</v>
      </c>
      <c r="L48" s="89" t="str">
        <f ca="1">IFERROR(INDIRECT(CONCATENATE("Track1!L",A47+2)),"")</f>
        <v>M'bro</v>
      </c>
      <c r="M48" s="302">
        <f ca="1">IFERROR(INDIRECT(CONCATENATE("Track1!U",A47+2)),"")</f>
        <v>1.8090277777777779E-3</v>
      </c>
      <c r="N48" s="121" t="str">
        <f ca="1">IFERROR(INDIRECT(CONCATENATE("Track1!N",A47+2)),"")</f>
        <v/>
      </c>
      <c r="R48" s="219">
        <f ca="1">IFERROR(INDIRECT(CONCATENATE("Track1!r",A47+2)),"")</f>
        <v>1</v>
      </c>
    </row>
    <row r="49" spans="1:18" x14ac:dyDescent="0.35">
      <c r="B49" s="66">
        <f ca="1">IFERROR(INDIRECT(CONCATENATE("Track1!B",A47+3)),"")</f>
        <v>2</v>
      </c>
      <c r="C49" s="66">
        <f ca="1">IFERROR(INDIRECT(CONCATENATE("Track1!C",A47+3)),"")</f>
        <v>2</v>
      </c>
      <c r="D49" s="89" t="str">
        <f ca="1">IFERROR(INDIRECT(CONCATENATE("Track1!D",A47+3)),"")</f>
        <v>EVANS Rebecca</v>
      </c>
      <c r="E49" s="89" t="str">
        <f ca="1">IFERROR(INDIRECT(CONCATENATE("Track1!E",A47+3)),"")</f>
        <v>Sheff+D</v>
      </c>
      <c r="F49" s="302">
        <f ca="1">IFERROR(INDIRECT(CONCATENATE("Track1!T",A47+3)),"")</f>
        <v>1.7499999999999998E-3</v>
      </c>
      <c r="G49" s="121" t="str">
        <f ca="1">IFERROR(INDIRECT(CONCATENATE("Track1!G",A47+3)),"")</f>
        <v/>
      </c>
      <c r="H49" s="66"/>
      <c r="I49" s="66">
        <f ca="1">IFERROR(INDIRECT(CONCATENATE("Track1!I",A47+3)),"")</f>
        <v>2</v>
      </c>
      <c r="J49" s="66">
        <f ca="1">IFERROR(INDIRECT(CONCATENATE("Track1!J",A47+3)),"")</f>
        <v>33</v>
      </c>
      <c r="K49" s="89" t="str">
        <f ca="1">IFERROR(INDIRECT(CONCATENATE("Track1!K",A47+3)),"")</f>
        <v>HOGG Frances</v>
      </c>
      <c r="L49" s="89" t="str">
        <f ca="1">IFERROR(INDIRECT(CONCATENATE("Track1!L",A47+3)),"")</f>
        <v>York</v>
      </c>
      <c r="M49" s="302">
        <f ca="1">IFERROR(INDIRECT(CONCATENATE("Track1!U",A47+3)),"")</f>
        <v>1.8217592592592593E-3</v>
      </c>
      <c r="N49" s="121" t="str">
        <f ca="1">IFERROR(INDIRECT(CONCATENATE("Track1!N",A47+3)),"")</f>
        <v/>
      </c>
    </row>
    <row r="50" spans="1:18" x14ac:dyDescent="0.35">
      <c r="B50" s="66">
        <f ca="1">IFERROR(INDIRECT(CONCATENATE("Track1!B",A47+4)),"")</f>
        <v>3</v>
      </c>
      <c r="C50" s="66">
        <f ca="1">IFERROR(INDIRECT(CONCATENATE("Track1!C",A47+4)),"")</f>
        <v>3</v>
      </c>
      <c r="D50" s="89" t="str">
        <f ca="1">IFERROR(INDIRECT(CONCATENATE("Track1!D",A47+4)),"")</f>
        <v>WALSH Tierney</v>
      </c>
      <c r="E50" s="89" t="str">
        <f ca="1">IFERROR(INDIRECT(CONCATENATE("Track1!E",A47+4)),"")</f>
        <v>York</v>
      </c>
      <c r="F50" s="302">
        <f ca="1">IFERROR(INDIRECT(CONCATENATE("Track1!T",A47+4)),"")</f>
        <v>1.7777777777777776E-3</v>
      </c>
      <c r="G50" s="121" t="str">
        <f ca="1">IFERROR(INDIRECT(CONCATENATE("Track1!G",A47+4)),"")</f>
        <v/>
      </c>
      <c r="H50" s="66"/>
      <c r="I50" s="66">
        <f ca="1">IFERROR(INDIRECT(CONCATENATE("Track1!I",A47+4)),"")</f>
        <v>3</v>
      </c>
      <c r="J50" s="66">
        <f ca="1">IFERROR(INDIRECT(CONCATENATE("Track1!J",A47+4)),"")</f>
        <v>22</v>
      </c>
      <c r="K50" s="89" t="str">
        <f ca="1">IFERROR(INDIRECT(CONCATENATE("Track1!K",A47+4)),"")</f>
        <v>FLINDERS Agnes</v>
      </c>
      <c r="L50" s="89" t="str">
        <f ca="1">IFERROR(INDIRECT(CONCATENATE("Track1!L",A47+4)),"")</f>
        <v>Sheff+D</v>
      </c>
      <c r="M50" s="302">
        <f ca="1">IFERROR(INDIRECT(CONCATENATE("Track1!U",A47+4)),"")</f>
        <v>1.8993055555555551E-3</v>
      </c>
      <c r="N50" s="121" t="str">
        <f ca="1">IFERROR(INDIRECT(CONCATENATE("Track1!N",A47+4)),"")</f>
        <v/>
      </c>
    </row>
    <row r="51" spans="1:18" x14ac:dyDescent="0.35">
      <c r="B51" s="66">
        <f ca="1">IFERROR(INDIRECT(CONCATENATE("Track1!B",A47+5)),"")</f>
        <v>4</v>
      </c>
      <c r="C51" s="66">
        <f ca="1">IFERROR(INDIRECT(CONCATENATE("Track1!C",A47+5)),"")</f>
        <v>5</v>
      </c>
      <c r="D51" s="89" t="str">
        <f ca="1">IFERROR(INDIRECT(CONCATENATE("Track1!D",A47+5)),"")</f>
        <v>WRIGHT Lucy</v>
      </c>
      <c r="E51" s="89" t="str">
        <f ca="1">IFERROR(INDIRECT(CONCATENATE("Track1!E",A47+5)),"")</f>
        <v>Scun</v>
      </c>
      <c r="F51" s="302">
        <f ca="1">IFERROR(INDIRECT(CONCATENATE("Track1!T",A47+5)),"")</f>
        <v>2.0092592592592592E-3</v>
      </c>
      <c r="G51" s="121" t="str">
        <f ca="1">IFERROR(INDIRECT(CONCATENATE("Track1!G",A47+5)),"")</f>
        <v/>
      </c>
      <c r="H51" s="66"/>
      <c r="I51" s="66">
        <f ca="1">IFERROR(INDIRECT(CONCATENATE("Track1!I",A47+5)),"")</f>
        <v>4</v>
      </c>
      <c r="J51" s="66">
        <f ca="1">IFERROR(INDIRECT(CONCATENATE("Track1!J",A47+5)),"")</f>
        <v>55</v>
      </c>
      <c r="K51" s="89" t="str">
        <f ca="1">IFERROR(INDIRECT(CONCATENATE("Track1!K",A47+5)),"")</f>
        <v>BETTS Demi</v>
      </c>
      <c r="L51" s="89" t="str">
        <f ca="1">IFERROR(INDIRECT(CONCATENATE("Track1!L",A47+5)),"")</f>
        <v>Scun</v>
      </c>
      <c r="M51" s="302">
        <f ca="1">IFERROR(INDIRECT(CONCATENATE("Track1!U",A47+5)),"")</f>
        <v>2.2615740740740738E-3</v>
      </c>
      <c r="N51" s="121" t="str">
        <f ca="1">IFERROR(INDIRECT(CONCATENATE("Track1!N",A47+5)),"")</f>
        <v/>
      </c>
    </row>
    <row r="52" spans="1:18" x14ac:dyDescent="0.35">
      <c r="B52" s="66">
        <f ca="1">IFERROR(INDIRECT(CONCATENATE("Track1!B",A47+6)),"")</f>
        <v>5</v>
      </c>
      <c r="C52" s="66">
        <f ca="1">IFERROR(INDIRECT(CONCATENATE("Track1!C",A47+6)),"")</f>
        <v>1</v>
      </c>
      <c r="D52" s="89" t="str">
        <f ca="1">IFERROR(INDIRECT(CONCATENATE("Track1!D",A47+6)),"")</f>
        <v>PROCTOR Alicia</v>
      </c>
      <c r="E52" s="89" t="str">
        <f ca="1">IFERROR(INDIRECT(CONCATENATE("Track1!E",A47+6)),"")</f>
        <v>C'field</v>
      </c>
      <c r="F52" s="302">
        <f ca="1">IFERROR(INDIRECT(CONCATENATE("Track1!T",A47+6)),"")</f>
        <v>2.1990740740740742E-3</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302">
        <f ca="1">IFERROR(INDIRECT(CONCATENATE("Track1!U",A47+6)),"")</f>
        <v>0</v>
      </c>
      <c r="N52" s="121" t="str">
        <f ca="1">IFERROR(INDIRECT(CONCATENATE("Track1!N",A47+6)),"")</f>
        <v/>
      </c>
    </row>
    <row r="53" spans="1:18" x14ac:dyDescent="0.35">
      <c r="B53" s="66">
        <f ca="1">IFERROR(INDIRECT(CONCATENATE("Track1!B",A47+7)),"")</f>
        <v>6</v>
      </c>
      <c r="C53" s="66">
        <f ca="1">IFERROR(INDIRECT(CONCATENATE("Track1!C",A47+7)),"")</f>
        <v>0</v>
      </c>
      <c r="D53" s="89" t="str">
        <f ca="1">IFERROR(INDIRECT(CONCATENATE("Track1!D",A47+7)),"")</f>
        <v/>
      </c>
      <c r="E53" s="89" t="str">
        <f ca="1">IFERROR(INDIRECT(CONCATENATE("Track1!E",A47+7)),"")</f>
        <v/>
      </c>
      <c r="F53" s="302">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302">
        <f ca="1">IFERROR(INDIRECT(CONCATENATE("Track1!U",A47+7)),"")</f>
        <v>0</v>
      </c>
      <c r="N53" s="121" t="str">
        <f ca="1">IFERROR(INDIRECT(CONCATENATE("Track1!N",A47+7)),"")</f>
        <v/>
      </c>
    </row>
    <row r="54" spans="1:18" x14ac:dyDescent="0.35">
      <c r="B54" s="66">
        <f ca="1">IFERROR(INDIRECT(CONCATENATE("Track1!B",A47+8)),"")</f>
        <v>7</v>
      </c>
      <c r="C54" s="66">
        <f ca="1">IFERROR(INDIRECT(CONCATENATE("Track1!C",A47+8)),"")</f>
        <v>0</v>
      </c>
      <c r="D54" s="89" t="str">
        <f ca="1">IFERROR(INDIRECT(CONCATENATE("Track1!D",A47+8)),"")</f>
        <v/>
      </c>
      <c r="E54" s="89" t="str">
        <f ca="1">IFERROR(INDIRECT(CONCATENATE("Track1!E",A47+8)),"")</f>
        <v/>
      </c>
      <c r="F54" s="302">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302">
        <f ca="1">IFERROR(INDIRECT(CONCATENATE("Track1!U",A47+8)),"")</f>
        <v>0</v>
      </c>
      <c r="N54" s="121" t="str">
        <f ca="1">IFERROR(INDIRECT(CONCATENATE("Track1!N",A47+8)),"")</f>
        <v/>
      </c>
    </row>
    <row r="55" spans="1:18" x14ac:dyDescent="0.35">
      <c r="B55" s="66">
        <f ca="1">IFERROR(INDIRECT(CONCATENATE("Track1!B",A47+9)),"")</f>
        <v>8</v>
      </c>
      <c r="C55" s="66">
        <f ca="1">IFERROR(INDIRECT(CONCATENATE("Track1!C",A47+9)),"")</f>
        <v>0</v>
      </c>
      <c r="D55" s="89" t="str">
        <f ca="1">IFERROR(INDIRECT(CONCATENATE("Track1!D",A47+9)),"")</f>
        <v/>
      </c>
      <c r="E55" s="89" t="str">
        <f ca="1">IFERROR(INDIRECT(CONCATENATE("Track1!E",A47+9)),"")</f>
        <v/>
      </c>
      <c r="F55" s="302">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302">
        <f ca="1">IFERROR(INDIRECT(CONCATENATE("Track1!U",A47+9)),"")</f>
        <v>0</v>
      </c>
      <c r="N55" s="121" t="str">
        <f ca="1">IFERROR(INDIRECT(CONCATENATE("Track1!N",A47+9)),"")</f>
        <v/>
      </c>
    </row>
    <row r="57" spans="1:18" x14ac:dyDescent="0.35">
      <c r="A57" s="66" t="s">
        <v>512</v>
      </c>
      <c r="B57" s="115" t="str">
        <f ca="1">IFERROR(INDIRECT(CONCATENATE("Track1!B",A58)),"")</f>
        <v>800m NS U15 Girls A</v>
      </c>
      <c r="F57" s="299">
        <f ca="1">IFERROR(INDIRECT(CONCATENATE("Track1!f",A58)),"")</f>
        <v>0</v>
      </c>
      <c r="G57" s="121" t="str">
        <f ca="1">IFERROR(INDIRECT(CONCATENATE("Track1!g",A58)),"")</f>
        <v/>
      </c>
      <c r="I57" s="115" t="str">
        <f ca="1">IFERROR(INDIRECT(CONCATENATE("Track1!I",A58)),"")</f>
        <v>800m NS U15 Girls B</v>
      </c>
    </row>
    <row r="58" spans="1:18" x14ac:dyDescent="0.35">
      <c r="A58" s="66">
        <f>IFERROR(MATCH(A57,Track1!A:A,0),"")</f>
        <v>266</v>
      </c>
      <c r="B58" s="45" t="str">
        <f ca="1">IFERROR(INDIRECT(CONCATENATE("Track1!B",A58+1)),"")</f>
        <v>Posn</v>
      </c>
      <c r="C58" s="45" t="str">
        <f ca="1">IFERROR(INDIRECT(CONCATENATE("Track1!C",A58+1)),"")</f>
        <v>No.</v>
      </c>
      <c r="D58" s="182" t="str">
        <f ca="1">IFERROR(INDIRECT(CONCATENATE("Track1!D",A58+1)),"")</f>
        <v>Athlete</v>
      </c>
      <c r="E58" s="182" t="str">
        <f ca="1">IFERROR(INDIRECT(CONCATENATE("Track1!E",A58+1)),"")</f>
        <v>Club</v>
      </c>
      <c r="F58" s="301" t="str">
        <f ca="1">IFERROR(INDIRECT(CONCATENATE("Track1!F",A58+1)),"")</f>
        <v>Perf</v>
      </c>
      <c r="G58" s="218" t="str">
        <f ca="1">IFERROR(INDIRECT(CONCATENATE("Track1!G",A58+1)),"")</f>
        <v>AAA</v>
      </c>
      <c r="H58" s="45"/>
      <c r="I58" s="45" t="str">
        <f ca="1">IFERROR(INDIRECT(CONCATENATE("Track1!I",A58+1)),"")</f>
        <v>Posn</v>
      </c>
      <c r="J58" s="45" t="str">
        <f ca="1">IFERROR(INDIRECT(CONCATENATE("Track1!J",A58+1)),"")</f>
        <v>No.</v>
      </c>
      <c r="K58" s="182" t="str">
        <f ca="1">IFERROR(INDIRECT(CONCATENATE("Track1!K",A58+1)),"")</f>
        <v>Athlete</v>
      </c>
      <c r="L58" s="182" t="str">
        <f ca="1">IFERROR(INDIRECT(CONCATENATE("Track1!L",A58+1)),"")</f>
        <v>Club</v>
      </c>
      <c r="M58" s="301" t="str">
        <f ca="1">IFERROR(INDIRECT(CONCATENATE("Track1!M",A58+1)),"")</f>
        <v>Perf</v>
      </c>
      <c r="N58" s="218" t="str">
        <f ca="1">IFERROR(INDIRECT(CONCATENATE("Track1!N",A58+1)),"")</f>
        <v>AAA</v>
      </c>
    </row>
    <row r="59" spans="1:18" x14ac:dyDescent="0.35">
      <c r="B59" s="66">
        <f ca="1">IFERROR(INDIRECT(CONCATENATE("Track1!B",A58+2)),"")</f>
        <v>1</v>
      </c>
      <c r="C59" s="66">
        <f ca="1">IFERROR(INDIRECT(CONCATENATE("Track1!C",A58+2)),"")</f>
        <v>0</v>
      </c>
      <c r="D59" s="89" t="str">
        <f ca="1">IFERROR(INDIRECT(CONCATENATE("Track1!D",A58+2)),"")</f>
        <v/>
      </c>
      <c r="E59" s="89" t="str">
        <f ca="1">IFERROR(INDIRECT(CONCATENATE("Track1!E",A58+2)),"")</f>
        <v/>
      </c>
      <c r="F59" s="302">
        <f ca="1">IFERROR(INDIRECT(CONCATENATE("Track1!T",A58+2)),"")</f>
        <v>0</v>
      </c>
      <c r="G59" s="121" t="str">
        <f ca="1">IFERROR(INDIRECT(CONCATENATE("Track1!G",A58+2)),"")</f>
        <v/>
      </c>
      <c r="H59" s="66"/>
      <c r="I59" s="66">
        <f ca="1">IFERROR(INDIRECT(CONCATENATE("Track1!I",A58+2)),"")</f>
        <v>1</v>
      </c>
      <c r="J59" s="66">
        <f ca="1">IFERROR(INDIRECT(CONCATENATE("Track1!J",A58+2)),"")</f>
        <v>0</v>
      </c>
      <c r="K59" s="89" t="str">
        <f ca="1">IFERROR(INDIRECT(CONCATENATE("Track1!K",A58+2)),"")</f>
        <v/>
      </c>
      <c r="L59" s="89" t="str">
        <f ca="1">IFERROR(INDIRECT(CONCATENATE("Track1!L",A58+2)),"")</f>
        <v/>
      </c>
      <c r="M59" s="302">
        <f ca="1">IFERROR(INDIRECT(CONCATENATE("Track1!U",A58+2)),"")</f>
        <v>0</v>
      </c>
      <c r="N59" s="121" t="str">
        <f ca="1">IFERROR(INDIRECT(CONCATENATE("Track1!N",A58+2)),"")</f>
        <v/>
      </c>
      <c r="R59" s="219">
        <f ca="1">IFERROR(INDIRECT(CONCATENATE("Track1!r",A58+2)),"")</f>
        <v>0</v>
      </c>
    </row>
    <row r="60" spans="1:18" x14ac:dyDescent="0.35">
      <c r="B60" s="66">
        <f ca="1">IFERROR(INDIRECT(CONCATENATE("Track1!B",A58+3)),"")</f>
        <v>2</v>
      </c>
      <c r="C60" s="66">
        <f ca="1">IFERROR(INDIRECT(CONCATENATE("Track1!C",A58+3)),"")</f>
        <v>0</v>
      </c>
      <c r="D60" s="89" t="str">
        <f ca="1">IFERROR(INDIRECT(CONCATENATE("Track1!D",A58+3)),"")</f>
        <v/>
      </c>
      <c r="E60" s="89" t="str">
        <f ca="1">IFERROR(INDIRECT(CONCATENATE("Track1!E",A58+3)),"")</f>
        <v/>
      </c>
      <c r="F60" s="302">
        <f ca="1">IFERROR(INDIRECT(CONCATENATE("Track1!T",A58+3)),"")</f>
        <v>0</v>
      </c>
      <c r="G60" s="121" t="str">
        <f ca="1">IFERROR(INDIRECT(CONCATENATE("Track1!G",A58+3)),"")</f>
        <v/>
      </c>
      <c r="H60" s="66"/>
      <c r="I60" s="66">
        <f ca="1">IFERROR(INDIRECT(CONCATENATE("Track1!I",A58+3)),"")</f>
        <v>2</v>
      </c>
      <c r="J60" s="66">
        <f ca="1">IFERROR(INDIRECT(CONCATENATE("Track1!J",A58+3)),"")</f>
        <v>0</v>
      </c>
      <c r="K60" s="89" t="str">
        <f ca="1">IFERROR(INDIRECT(CONCATENATE("Track1!K",A58+3)),"")</f>
        <v/>
      </c>
      <c r="L60" s="89" t="str">
        <f ca="1">IFERROR(INDIRECT(CONCATENATE("Track1!L",A58+3)),"")</f>
        <v/>
      </c>
      <c r="M60" s="302">
        <f ca="1">IFERROR(INDIRECT(CONCATENATE("Track1!U",A58+3)),"")</f>
        <v>0</v>
      </c>
      <c r="N60" s="121" t="str">
        <f ca="1">IFERROR(INDIRECT(CONCATENATE("Track1!N",A58+3)),"")</f>
        <v/>
      </c>
    </row>
    <row r="61" spans="1:18" x14ac:dyDescent="0.35">
      <c r="B61" s="66">
        <f ca="1">IFERROR(INDIRECT(CONCATENATE("Track1!B",A58+4)),"")</f>
        <v>3</v>
      </c>
      <c r="C61" s="66">
        <f ca="1">IFERROR(INDIRECT(CONCATENATE("Track1!C",A58+4)),"")</f>
        <v>0</v>
      </c>
      <c r="D61" s="89" t="str">
        <f ca="1">IFERROR(INDIRECT(CONCATENATE("Track1!D",A58+4)),"")</f>
        <v/>
      </c>
      <c r="E61" s="89" t="str">
        <f ca="1">IFERROR(INDIRECT(CONCATENATE("Track1!E",A58+4)),"")</f>
        <v/>
      </c>
      <c r="F61" s="302">
        <f ca="1">IFERROR(INDIRECT(CONCATENATE("Track1!T",A58+4)),"")</f>
        <v>0</v>
      </c>
      <c r="G61" s="121" t="str">
        <f ca="1">IFERROR(INDIRECT(CONCATENATE("Track1!G",A58+4)),"")</f>
        <v/>
      </c>
      <c r="H61" s="66"/>
      <c r="I61" s="66">
        <f ca="1">IFERROR(INDIRECT(CONCATENATE("Track1!I",A58+4)),"")</f>
        <v>3</v>
      </c>
      <c r="J61" s="66">
        <f ca="1">IFERROR(INDIRECT(CONCATENATE("Track1!J",A58+4)),"")</f>
        <v>0</v>
      </c>
      <c r="K61" s="89" t="str">
        <f ca="1">IFERROR(INDIRECT(CONCATENATE("Track1!K",A58+4)),"")</f>
        <v/>
      </c>
      <c r="L61" s="89" t="str">
        <f ca="1">IFERROR(INDIRECT(CONCATENATE("Track1!L",A58+4)),"")</f>
        <v/>
      </c>
      <c r="M61" s="302">
        <f ca="1">IFERROR(INDIRECT(CONCATENATE("Track1!U",A58+4)),"")</f>
        <v>0</v>
      </c>
      <c r="N61" s="121" t="str">
        <f ca="1">IFERROR(INDIRECT(CONCATENATE("Track1!N",A58+4)),"")</f>
        <v/>
      </c>
    </row>
    <row r="62" spans="1:18" x14ac:dyDescent="0.35">
      <c r="B62" s="66">
        <f ca="1">IFERROR(INDIRECT(CONCATENATE("Track1!B",A58+5)),"")</f>
        <v>4</v>
      </c>
      <c r="C62" s="66">
        <f ca="1">IFERROR(INDIRECT(CONCATENATE("Track1!C",A58+5)),"")</f>
        <v>0</v>
      </c>
      <c r="D62" s="89" t="str">
        <f ca="1">IFERROR(INDIRECT(CONCATENATE("Track1!D",A58+5)),"")</f>
        <v/>
      </c>
      <c r="E62" s="89" t="str">
        <f ca="1">IFERROR(INDIRECT(CONCATENATE("Track1!E",A58+5)),"")</f>
        <v/>
      </c>
      <c r="F62" s="302">
        <f ca="1">IFERROR(INDIRECT(CONCATENATE("Track1!T",A58+5)),"")</f>
        <v>0</v>
      </c>
      <c r="G62" s="121" t="str">
        <f ca="1">IFERROR(INDIRECT(CONCATENATE("Track1!G",A58+5)),"")</f>
        <v/>
      </c>
      <c r="H62" s="66"/>
      <c r="I62" s="66">
        <f ca="1">IFERROR(INDIRECT(CONCATENATE("Track1!I",A58+5)),"")</f>
        <v>4</v>
      </c>
      <c r="J62" s="66">
        <f ca="1">IFERROR(INDIRECT(CONCATENATE("Track1!J",A58+5)),"")</f>
        <v>0</v>
      </c>
      <c r="K62" s="89" t="str">
        <f ca="1">IFERROR(INDIRECT(CONCATENATE("Track1!K",A58+5)),"")</f>
        <v/>
      </c>
      <c r="L62" s="89" t="str">
        <f ca="1">IFERROR(INDIRECT(CONCATENATE("Track1!L",A58+5)),"")</f>
        <v/>
      </c>
      <c r="M62" s="302">
        <f ca="1">IFERROR(INDIRECT(CONCATENATE("Track1!U",A58+5)),"")</f>
        <v>0</v>
      </c>
      <c r="N62" s="121" t="str">
        <f ca="1">IFERROR(INDIRECT(CONCATENATE("Track1!N",A58+5)),"")</f>
        <v/>
      </c>
    </row>
    <row r="63" spans="1:18" x14ac:dyDescent="0.35">
      <c r="B63" s="66">
        <f ca="1">IFERROR(INDIRECT(CONCATENATE("Track1!B",A58+6)),"")</f>
        <v>5</v>
      </c>
      <c r="C63" s="66">
        <f ca="1">IFERROR(INDIRECT(CONCATENATE("Track1!C",A58+6)),"")</f>
        <v>0</v>
      </c>
      <c r="D63" s="89" t="str">
        <f ca="1">IFERROR(INDIRECT(CONCATENATE("Track1!D",A58+6)),"")</f>
        <v/>
      </c>
      <c r="E63" s="89" t="str">
        <f ca="1">IFERROR(INDIRECT(CONCATENATE("Track1!E",A58+6)),"")</f>
        <v/>
      </c>
      <c r="F63" s="302">
        <f ca="1">IFERROR(INDIRECT(CONCATENATE("Track1!T",A58+6)),"")</f>
        <v>0</v>
      </c>
      <c r="G63" s="121" t="str">
        <f ca="1">IFERROR(INDIRECT(CONCATENATE("Track1!G",A58+6)),"")</f>
        <v/>
      </c>
      <c r="H63" s="66"/>
      <c r="I63" s="66">
        <f ca="1">IFERROR(INDIRECT(CONCATENATE("Track1!I",A58+6)),"")</f>
        <v>5</v>
      </c>
      <c r="J63" s="66">
        <f ca="1">IFERROR(INDIRECT(CONCATENATE("Track1!J",A58+6)),"")</f>
        <v>0</v>
      </c>
      <c r="K63" s="89" t="str">
        <f ca="1">IFERROR(INDIRECT(CONCATENATE("Track1!K",A58+6)),"")</f>
        <v/>
      </c>
      <c r="L63" s="89" t="str">
        <f ca="1">IFERROR(INDIRECT(CONCATENATE("Track1!L",A58+6)),"")</f>
        <v/>
      </c>
      <c r="M63" s="302">
        <f ca="1">IFERROR(INDIRECT(CONCATENATE("Track1!U",A58+6)),"")</f>
        <v>0</v>
      </c>
      <c r="N63" s="121" t="str">
        <f ca="1">IFERROR(INDIRECT(CONCATENATE("Track1!N",A58+6)),"")</f>
        <v/>
      </c>
    </row>
    <row r="64" spans="1:18" x14ac:dyDescent="0.35">
      <c r="B64" s="66">
        <f ca="1">IFERROR(INDIRECT(CONCATENATE("Track1!B",A58+7)),"")</f>
        <v>6</v>
      </c>
      <c r="C64" s="66">
        <f ca="1">IFERROR(INDIRECT(CONCATENATE("Track1!C",A58+7)),"")</f>
        <v>0</v>
      </c>
      <c r="D64" s="89" t="str">
        <f ca="1">IFERROR(INDIRECT(CONCATENATE("Track1!D",A58+7)),"")</f>
        <v/>
      </c>
      <c r="E64" s="89" t="str">
        <f ca="1">IFERROR(INDIRECT(CONCATENATE("Track1!E",A58+7)),"")</f>
        <v/>
      </c>
      <c r="F64" s="302">
        <f ca="1">IFERROR(INDIRECT(CONCATENATE("Track1!T",A58+7)),"")</f>
        <v>0</v>
      </c>
      <c r="G64" s="121" t="str">
        <f ca="1">IFERROR(INDIRECT(CONCATENATE("Track1!G",A58+7)),"")</f>
        <v/>
      </c>
      <c r="H64" s="66"/>
      <c r="I64" s="66">
        <f ca="1">IFERROR(INDIRECT(CONCATENATE("Track1!I",A58+7)),"")</f>
        <v>6</v>
      </c>
      <c r="J64" s="66">
        <f ca="1">IFERROR(INDIRECT(CONCATENATE("Track1!J",A58+7)),"")</f>
        <v>0</v>
      </c>
      <c r="K64" s="89" t="str">
        <f ca="1">IFERROR(INDIRECT(CONCATENATE("Track1!K",A58+7)),"")</f>
        <v/>
      </c>
      <c r="L64" s="89" t="str">
        <f ca="1">IFERROR(INDIRECT(CONCATENATE("Track1!L",A58+7)),"")</f>
        <v/>
      </c>
      <c r="M64" s="302">
        <f ca="1">IFERROR(INDIRECT(CONCATENATE("Track1!U",A58+7)),"")</f>
        <v>0</v>
      </c>
      <c r="N64" s="121" t="str">
        <f ca="1">IFERROR(INDIRECT(CONCATENATE("Track1!N",A58+7)),"")</f>
        <v/>
      </c>
    </row>
    <row r="65" spans="1:18" x14ac:dyDescent="0.35">
      <c r="B65" s="66">
        <f ca="1">IFERROR(INDIRECT(CONCATENATE("Track1!B",A58+8)),"")</f>
        <v>7</v>
      </c>
      <c r="C65" s="66">
        <f ca="1">IFERROR(INDIRECT(CONCATENATE("Track1!C",A58+8)),"")</f>
        <v>0</v>
      </c>
      <c r="D65" s="89" t="str">
        <f ca="1">IFERROR(INDIRECT(CONCATENATE("Track1!D",A58+8)),"")</f>
        <v/>
      </c>
      <c r="E65" s="89" t="str">
        <f ca="1">IFERROR(INDIRECT(CONCATENATE("Track1!E",A58+8)),"")</f>
        <v/>
      </c>
      <c r="F65" s="302">
        <f ca="1">IFERROR(INDIRECT(CONCATENATE("Track1!T",A58+8)),"")</f>
        <v>0</v>
      </c>
      <c r="G65" s="121" t="str">
        <f ca="1">IFERROR(INDIRECT(CONCATENATE("Track1!G",A58+8)),"")</f>
        <v/>
      </c>
      <c r="H65" s="66"/>
      <c r="I65" s="66">
        <f ca="1">IFERROR(INDIRECT(CONCATENATE("Track1!I",A58+8)),"")</f>
        <v>7</v>
      </c>
      <c r="J65" s="66">
        <f ca="1">IFERROR(INDIRECT(CONCATENATE("Track1!J",A58+8)),"")</f>
        <v>0</v>
      </c>
      <c r="K65" s="89" t="str">
        <f ca="1">IFERROR(INDIRECT(CONCATENATE("Track1!K",A58+8)),"")</f>
        <v/>
      </c>
      <c r="L65" s="89" t="str">
        <f ca="1">IFERROR(INDIRECT(CONCATENATE("Track1!L",A58+8)),"")</f>
        <v/>
      </c>
      <c r="M65" s="302">
        <f ca="1">IFERROR(INDIRECT(CONCATENATE("Track1!U",A58+8)),"")</f>
        <v>0</v>
      </c>
      <c r="N65" s="121" t="str">
        <f ca="1">IFERROR(INDIRECT(CONCATENATE("Track1!N",A58+8)),"")</f>
        <v/>
      </c>
    </row>
    <row r="66" spans="1:18" x14ac:dyDescent="0.35">
      <c r="B66" s="66">
        <f ca="1">IFERROR(INDIRECT(CONCATENATE("Track1!B",A58+9)),"")</f>
        <v>8</v>
      </c>
      <c r="C66" s="66">
        <f ca="1">IFERROR(INDIRECT(CONCATENATE("Track1!C",A58+9)),"")</f>
        <v>0</v>
      </c>
      <c r="D66" s="89" t="str">
        <f ca="1">IFERROR(INDIRECT(CONCATENATE("Track1!D",A58+9)),"")</f>
        <v/>
      </c>
      <c r="E66" s="89" t="str">
        <f ca="1">IFERROR(INDIRECT(CONCATENATE("Track1!E",A58+9)),"")</f>
        <v/>
      </c>
      <c r="F66" s="302">
        <f ca="1">IFERROR(INDIRECT(CONCATENATE("Track1!T",A58+9)),"")</f>
        <v>0</v>
      </c>
      <c r="G66" s="121" t="str">
        <f ca="1">IFERROR(INDIRECT(CONCATENATE("Track1!G",A58+9)),"")</f>
        <v/>
      </c>
      <c r="H66" s="66"/>
      <c r="I66" s="66">
        <f ca="1">IFERROR(INDIRECT(CONCATENATE("Track1!I",A58+9)),"")</f>
        <v>8</v>
      </c>
      <c r="J66" s="66">
        <f ca="1">IFERROR(INDIRECT(CONCATENATE("Track1!J",A58+9)),"")</f>
        <v>0</v>
      </c>
      <c r="K66" s="89" t="str">
        <f ca="1">IFERROR(INDIRECT(CONCATENATE("Track1!K",A58+9)),"")</f>
        <v/>
      </c>
      <c r="L66" s="89" t="str">
        <f ca="1">IFERROR(INDIRECT(CONCATENATE("Track1!L",A58+9)),"")</f>
        <v/>
      </c>
      <c r="M66" s="302">
        <f ca="1">IFERROR(INDIRECT(CONCATENATE("Track1!U",A58+9)),"")</f>
        <v>0</v>
      </c>
      <c r="N66" s="121" t="str">
        <f ca="1">IFERROR(INDIRECT(CONCATENATE("Track1!N",A58+9)),"")</f>
        <v/>
      </c>
    </row>
    <row r="68" spans="1:18" x14ac:dyDescent="0.35">
      <c r="A68" s="66" t="s">
        <v>311</v>
      </c>
      <c r="B68" s="115" t="str">
        <f ca="1">IFERROR(INDIRECT(CONCATENATE("Track2!B",A69)),"")</f>
        <v>1500m U15 Girls A</v>
      </c>
      <c r="G68" s="121">
        <f ca="1">IFERROR(INDIRECT(CONCATENATE("Track2!g",A69)),"")</f>
        <v>0</v>
      </c>
      <c r="I68" s="115" t="str">
        <f ca="1">IFERROR(INDIRECT(CONCATENATE("Track2!I",A69)),"")</f>
        <v>1500m U15 Girls B</v>
      </c>
    </row>
    <row r="69" spans="1:18" x14ac:dyDescent="0.35">
      <c r="A69" s="66">
        <f>IFERROR(MATCH(A68,Track2!A:A,0),"")</f>
        <v>24</v>
      </c>
      <c r="B69" s="45" t="str">
        <f ca="1">IFERROR(INDIRECT(CONCATENATE("Track2!B",A69+1)),"")</f>
        <v>Posn</v>
      </c>
      <c r="C69" s="45" t="str">
        <f ca="1">IFERROR(INDIRECT(CONCATENATE("Track2!C",A69+1)),"")</f>
        <v>No.</v>
      </c>
      <c r="D69" s="182" t="str">
        <f ca="1">IFERROR(INDIRECT(CONCATENATE("Track2!D",A69+1)),"")</f>
        <v>Athlete</v>
      </c>
      <c r="E69" s="182" t="str">
        <f ca="1">IFERROR(INDIRECT(CONCATENATE("Track2!E",A69+1)),"")</f>
        <v>Club</v>
      </c>
      <c r="F69" s="301" t="str">
        <f ca="1">IFERROR(INDIRECT(CONCATENATE("Track2!F",A69+1)),"")</f>
        <v>Perf</v>
      </c>
      <c r="G69" s="218" t="str">
        <f ca="1">IFERROR(INDIRECT(CONCATENATE("Track2!G",A69+1)),"")</f>
        <v>AAA</v>
      </c>
      <c r="H69" s="45"/>
      <c r="I69" s="45" t="str">
        <f ca="1">IFERROR(INDIRECT(CONCATENATE("Track2!I",A69+1)),"")</f>
        <v>Posn</v>
      </c>
      <c r="J69" s="45" t="str">
        <f ca="1">IFERROR(INDIRECT(CONCATENATE("Track2!J",A69+1)),"")</f>
        <v>No.</v>
      </c>
      <c r="K69" s="182" t="str">
        <f ca="1">IFERROR(INDIRECT(CONCATENATE("Track2!K",A69+1)),"")</f>
        <v>Athlete</v>
      </c>
      <c r="L69" s="182" t="str">
        <f ca="1">IFERROR(INDIRECT(CONCATENATE("Track2!L",A69+1)),"")</f>
        <v>Club</v>
      </c>
      <c r="M69" s="301" t="str">
        <f ca="1">IFERROR(INDIRECT(CONCATENATE("Track2!M",A69+1)),"")</f>
        <v>Perf</v>
      </c>
      <c r="N69" s="218" t="str">
        <f ca="1">IFERROR(INDIRECT(CONCATENATE("Track2!N",A69+1)),"")</f>
        <v>AAA</v>
      </c>
    </row>
    <row r="70" spans="1:18" x14ac:dyDescent="0.35">
      <c r="B70" s="66">
        <f ca="1">IFERROR(INDIRECT(CONCATENATE("Track2!B",A69+2)),"")</f>
        <v>1</v>
      </c>
      <c r="C70" s="66">
        <f ca="1">IFERROR(INDIRECT(CONCATENATE("Track2!C",A69+2)),"")</f>
        <v>44</v>
      </c>
      <c r="D70" s="89" t="str">
        <f ca="1">IFERROR(INDIRECT(CONCATENATE("Track2!D",A69+2)),"")</f>
        <v>HILL Zoe</v>
      </c>
      <c r="E70" s="89" t="str">
        <f ca="1">IFERROR(INDIRECT(CONCATENATE("Track2!E",A69+2)),"")</f>
        <v>M'bro</v>
      </c>
      <c r="F70" s="302">
        <f ca="1">IFERROR(INDIRECT(CONCATENATE("Track2!F",A69+2)),"")</f>
        <v>3.6550925925925926E-3</v>
      </c>
      <c r="G70" s="121" t="str">
        <f ca="1">IFERROR(INDIRECT(CONCATENATE("Track2!G",A69+2)),"")</f>
        <v/>
      </c>
      <c r="H70" s="66"/>
      <c r="I70" s="66">
        <f ca="1">IFERROR(INDIRECT(CONCATENATE("Track2!I",A69+2)),"")</f>
        <v>1</v>
      </c>
      <c r="J70" s="66">
        <f ca="1">IFERROR(INDIRECT(CONCATENATE("Track2!J",A69+2)),"")</f>
        <v>4</v>
      </c>
      <c r="K70" s="89" t="str">
        <f ca="1">IFERROR(INDIRECT(CONCATENATE("Track2!K",A69+2)),"")</f>
        <v>MCNEILL Emma</v>
      </c>
      <c r="L70" s="89" t="str">
        <f ca="1">IFERROR(INDIRECT(CONCATENATE("Track2!L",A69+2)),"")</f>
        <v>M'bro</v>
      </c>
      <c r="M70" s="302">
        <f ca="1">IFERROR(INDIRECT(CONCATENATE("Track2!M",A69+2)),"")</f>
        <v>3.7650462962962963E-3</v>
      </c>
      <c r="N70" s="121" t="str">
        <f ca="1">IFERROR(INDIRECT(CONCATENATE("Track2!N",A69+2)),"")</f>
        <v/>
      </c>
      <c r="R70" s="219">
        <f ca="1">IFERROR(INDIRECT(CONCATENATE("Track2!r",A69+2)),"")</f>
        <v>1</v>
      </c>
    </row>
    <row r="71" spans="1:18" x14ac:dyDescent="0.35">
      <c r="B71" s="66">
        <f ca="1">IFERROR(INDIRECT(CONCATENATE("Track2!B",A69+3)),"")</f>
        <v>2</v>
      </c>
      <c r="C71" s="66">
        <f ca="1">IFERROR(INDIRECT(CONCATENATE("Track2!C",A69+3)),"")</f>
        <v>3</v>
      </c>
      <c r="D71" s="89" t="str">
        <f ca="1">IFERROR(INDIRECT(CONCATENATE("Track2!D",A69+3)),"")</f>
        <v>GASKIN Lucy</v>
      </c>
      <c r="E71" s="89" t="str">
        <f ca="1">IFERROR(INDIRECT(CONCATENATE("Track2!E",A69+3)),"")</f>
        <v>York</v>
      </c>
      <c r="F71" s="302">
        <f ca="1">IFERROR(INDIRECT(CONCATENATE("Track2!F",A69+3)),"")</f>
        <v>3.914351851851852E-3</v>
      </c>
      <c r="G71" s="121" t="str">
        <f ca="1">IFERROR(INDIRECT(CONCATENATE("Track2!G",A69+3)),"")</f>
        <v/>
      </c>
      <c r="H71" s="66"/>
      <c r="I71" s="66">
        <f ca="1">IFERROR(INDIRECT(CONCATENATE("Track2!I",A69+3)),"")</f>
        <v>2</v>
      </c>
      <c r="J71" s="66">
        <f ca="1">IFERROR(INDIRECT(CONCATENATE("Track2!J",A69+3)),"")</f>
        <v>55</v>
      </c>
      <c r="K71" s="89" t="str">
        <f ca="1">IFERROR(INDIRECT(CONCATENATE("Track2!K",A69+3)),"")</f>
        <v>WHITTAKER Millie</v>
      </c>
      <c r="L71" s="89" t="str">
        <f ca="1">IFERROR(INDIRECT(CONCATENATE("Track2!L",A69+3)),"")</f>
        <v>Scun</v>
      </c>
      <c r="M71" s="302">
        <f ca="1">IFERROR(INDIRECT(CONCATENATE("Track2!M",A69+3)),"")</f>
        <v>4.1226851851851858E-3</v>
      </c>
      <c r="N71" s="121" t="str">
        <f ca="1">IFERROR(INDIRECT(CONCATENATE("Track2!N",A69+3)),"")</f>
        <v/>
      </c>
    </row>
    <row r="72" spans="1:18" x14ac:dyDescent="0.35">
      <c r="B72" s="66">
        <f ca="1">IFERROR(INDIRECT(CONCATENATE("Track2!B",A69+4)),"")</f>
        <v>3</v>
      </c>
      <c r="C72" s="66">
        <f ca="1">IFERROR(INDIRECT(CONCATENATE("Track2!C",A69+4)),"")</f>
        <v>5</v>
      </c>
      <c r="D72" s="89" t="str">
        <f ca="1">IFERROR(INDIRECT(CONCATENATE("Track2!D",A69+4)),"")</f>
        <v>VICKERS Cerys</v>
      </c>
      <c r="E72" s="89" t="str">
        <f ca="1">IFERROR(INDIRECT(CONCATENATE("Track2!E",A69+4)),"")</f>
        <v>Scun</v>
      </c>
      <c r="F72" s="302">
        <f ca="1">IFERROR(INDIRECT(CONCATENATE("Track2!F",A69+4)),"")</f>
        <v>4.1203703703703697E-3</v>
      </c>
      <c r="G72" s="121" t="str">
        <f ca="1">IFERROR(INDIRECT(CONCATENATE("Track2!G",A69+4)),"")</f>
        <v/>
      </c>
      <c r="H72" s="66"/>
      <c r="I72" s="66">
        <f ca="1">IFERROR(INDIRECT(CONCATENATE("Track2!I",A69+4)),"")</f>
        <v>3</v>
      </c>
      <c r="J72" s="66">
        <f ca="1">IFERROR(INDIRECT(CONCATENATE("Track2!J",A69+4)),"")</f>
        <v>33</v>
      </c>
      <c r="K72" s="89" t="str">
        <f ca="1">IFERROR(INDIRECT(CONCATENATE("Track2!K",A69+4)),"")</f>
        <v>COURTNEY Libby</v>
      </c>
      <c r="L72" s="89" t="str">
        <f ca="1">IFERROR(INDIRECT(CONCATENATE("Track2!L",A69+4)),"")</f>
        <v>York</v>
      </c>
      <c r="M72" s="302">
        <f ca="1">IFERROR(INDIRECT(CONCATENATE("Track2!M",A69+4)),"")</f>
        <v>4.293981481481482E-3</v>
      </c>
      <c r="N72" s="121" t="str">
        <f ca="1">IFERROR(INDIRECT(CONCATENATE("Track2!N",A69+4)),"")</f>
        <v/>
      </c>
    </row>
    <row r="73" spans="1:18" x14ac:dyDescent="0.35">
      <c r="B73" s="66">
        <f ca="1">IFERROR(INDIRECT(CONCATENATE("Track2!B",A69+5)),"")</f>
        <v>4</v>
      </c>
      <c r="C73" s="66">
        <f ca="1">IFERROR(INDIRECT(CONCATENATE("Track2!C",A69+5)),"")</f>
        <v>1</v>
      </c>
      <c r="D73" s="89" t="str">
        <f ca="1">IFERROR(INDIRECT(CONCATENATE("Track2!D",A69+5)),"")</f>
        <v>KIRKWOOD Eva</v>
      </c>
      <c r="E73" s="89" t="str">
        <f ca="1">IFERROR(INDIRECT(CONCATENATE("Track2!E",A69+5)),"")</f>
        <v>C'field</v>
      </c>
      <c r="F73" s="302">
        <f ca="1">IFERROR(INDIRECT(CONCATENATE("Track2!F",A69+5)),"")</f>
        <v>4.2800925925925931E-3</v>
      </c>
      <c r="G73" s="121" t="str">
        <f ca="1">IFERROR(INDIRECT(CONCATENATE("Track2!G",A69+5)),"")</f>
        <v/>
      </c>
      <c r="H73" s="66"/>
      <c r="I73" s="66">
        <f ca="1">IFERROR(INDIRECT(CONCATENATE("Track2!I",A69+5)),"")</f>
        <v>4</v>
      </c>
      <c r="J73" s="66" t="str">
        <f ca="1">IFERROR(INDIRECT(CONCATENATE("Track2!J",A69+5)),"")</f>
        <v/>
      </c>
      <c r="K73" s="89" t="str">
        <f ca="1">IFERROR(INDIRECT(CONCATENATE("Track2!K",A69+5)),"")</f>
        <v/>
      </c>
      <c r="L73" s="89" t="str">
        <f ca="1">IFERROR(INDIRECT(CONCATENATE("Track2!L",A69+5)),"")</f>
        <v/>
      </c>
      <c r="M73" s="302" t="str">
        <f ca="1">IFERROR(INDIRECT(CONCATENATE("Track2!M",A69+5)),"")</f>
        <v/>
      </c>
      <c r="N73" s="121" t="str">
        <f ca="1">IFERROR(INDIRECT(CONCATENATE("Track2!N",A69+5)),"")</f>
        <v/>
      </c>
    </row>
    <row r="74" spans="1:18" x14ac:dyDescent="0.35">
      <c r="B74" s="66">
        <f ca="1">IFERROR(INDIRECT(CONCATENATE("Track2!B",A69+6)),"")</f>
        <v>5</v>
      </c>
      <c r="C74" s="66" t="str">
        <f ca="1">IFERROR(INDIRECT(CONCATENATE("Track2!C",A69+6)),"")</f>
        <v/>
      </c>
      <c r="D74" s="89" t="str">
        <f ca="1">IFERROR(INDIRECT(CONCATENATE("Track2!D",A69+6)),"")</f>
        <v/>
      </c>
      <c r="E74" s="89" t="str">
        <f ca="1">IFERROR(INDIRECT(CONCATENATE("Track2!E",A69+6)),"")</f>
        <v/>
      </c>
      <c r="F74" s="302" t="str">
        <f ca="1">IFERROR(INDIRECT(CONCATENATE("Track2!F",A69+6)),"")</f>
        <v/>
      </c>
      <c r="G74" s="121" t="str">
        <f ca="1">IFERROR(INDIRECT(CONCATENATE("Track2!G",A69+6)),"")</f>
        <v/>
      </c>
      <c r="H74" s="66"/>
      <c r="I74" s="66">
        <f ca="1">IFERROR(INDIRECT(CONCATENATE("Track2!I",A69+6)),"")</f>
        <v>5</v>
      </c>
      <c r="J74" s="66" t="str">
        <f ca="1">IFERROR(INDIRECT(CONCATENATE("Track2!J",A69+6)),"")</f>
        <v/>
      </c>
      <c r="K74" s="89" t="str">
        <f ca="1">IFERROR(INDIRECT(CONCATENATE("Track2!K",A69+6)),"")</f>
        <v/>
      </c>
      <c r="L74" s="89" t="str">
        <f ca="1">IFERROR(INDIRECT(CONCATENATE("Track2!L",A69+6)),"")</f>
        <v/>
      </c>
      <c r="M74" s="302" t="str">
        <f ca="1">IFERROR(INDIRECT(CONCATENATE("Track2!M",A69+6)),"")</f>
        <v/>
      </c>
      <c r="N74" s="121" t="str">
        <f ca="1">IFERROR(INDIRECT(CONCATENATE("Track2!N",A69+6)),"")</f>
        <v/>
      </c>
    </row>
    <row r="75" spans="1:18" x14ac:dyDescent="0.35">
      <c r="B75" s="66">
        <f ca="1">IFERROR(INDIRECT(CONCATENATE("Track2!B",A69+7)),"")</f>
        <v>6</v>
      </c>
      <c r="C75" s="66" t="str">
        <f ca="1">IFERROR(INDIRECT(CONCATENATE("Track2!C",A69+7)),"")</f>
        <v/>
      </c>
      <c r="D75" s="89" t="str">
        <f ca="1">IFERROR(INDIRECT(CONCATENATE("Track2!D",A69+7)),"")</f>
        <v/>
      </c>
      <c r="E75" s="89" t="str">
        <f ca="1">IFERROR(INDIRECT(CONCATENATE("Track2!E",A69+7)),"")</f>
        <v/>
      </c>
      <c r="F75" s="302" t="str">
        <f ca="1">IFERROR(INDIRECT(CONCATENATE("Track2!F",A69+7)),"")</f>
        <v/>
      </c>
      <c r="G75" s="121" t="str">
        <f ca="1">IFERROR(INDIRECT(CONCATENATE("Track2!G",A69+7)),"")</f>
        <v/>
      </c>
      <c r="H75" s="66"/>
      <c r="I75" s="66">
        <f ca="1">IFERROR(INDIRECT(CONCATENATE("Track2!I",A69+7)),"")</f>
        <v>6</v>
      </c>
      <c r="J75" s="66" t="str">
        <f ca="1">IFERROR(INDIRECT(CONCATENATE("Track2!J",A69+7)),"")</f>
        <v/>
      </c>
      <c r="K75" s="89" t="str">
        <f ca="1">IFERROR(INDIRECT(CONCATENATE("Track2!K",A69+7)),"")</f>
        <v/>
      </c>
      <c r="L75" s="89" t="str">
        <f ca="1">IFERROR(INDIRECT(CONCATENATE("Track2!L",A69+7)),"")</f>
        <v/>
      </c>
      <c r="M75" s="302" t="str">
        <f ca="1">IFERROR(INDIRECT(CONCATENATE("Track2!M",A69+7)),"")</f>
        <v/>
      </c>
      <c r="N75" s="121" t="str">
        <f ca="1">IFERROR(INDIRECT(CONCATENATE("Track2!N",A69+7)),"")</f>
        <v/>
      </c>
    </row>
    <row r="76" spans="1:18" x14ac:dyDescent="0.35">
      <c r="B76" s="66">
        <f ca="1">IFERROR(INDIRECT(CONCATENATE("Track2!B",A69+8)),"")</f>
        <v>7</v>
      </c>
      <c r="C76" s="66" t="str">
        <f ca="1">IFERROR(INDIRECT(CONCATENATE("Track2!C",A69+8)),"")</f>
        <v/>
      </c>
      <c r="D76" s="89" t="str">
        <f ca="1">IFERROR(INDIRECT(CONCATENATE("Track2!D",A69+8)),"")</f>
        <v/>
      </c>
      <c r="E76" s="89" t="str">
        <f ca="1">IFERROR(INDIRECT(CONCATENATE("Track2!E",A69+8)),"")</f>
        <v/>
      </c>
      <c r="F76" s="302" t="str">
        <f ca="1">IFERROR(INDIRECT(CONCATENATE("Track2!F",A69+8)),"")</f>
        <v/>
      </c>
      <c r="G76" s="121" t="str">
        <f ca="1">IFERROR(INDIRECT(CONCATENATE("Track2!G",A69+8)),"")</f>
        <v/>
      </c>
      <c r="H76" s="66"/>
      <c r="I76" s="66">
        <f ca="1">IFERROR(INDIRECT(CONCATENATE("Track2!I",A69+8)),"")</f>
        <v>7</v>
      </c>
      <c r="J76" s="66" t="str">
        <f ca="1">IFERROR(INDIRECT(CONCATENATE("Track2!J",A69+8)),"")</f>
        <v/>
      </c>
      <c r="K76" s="89" t="str">
        <f ca="1">IFERROR(INDIRECT(CONCATENATE("Track2!K",A69+8)),"")</f>
        <v/>
      </c>
      <c r="L76" s="89" t="str">
        <f ca="1">IFERROR(INDIRECT(CONCATENATE("Track2!L",A69+8)),"")</f>
        <v/>
      </c>
      <c r="M76" s="302" t="str">
        <f ca="1">IFERROR(INDIRECT(CONCATENATE("Track2!M",A69+8)),"")</f>
        <v/>
      </c>
      <c r="N76" s="121" t="str">
        <f ca="1">IFERROR(INDIRECT(CONCATENATE("Track2!N",A69+8)),"")</f>
        <v/>
      </c>
    </row>
    <row r="77" spans="1:18" x14ac:dyDescent="0.35">
      <c r="B77" s="66">
        <f ca="1">IFERROR(INDIRECT(CONCATENATE("Track2!B",A69+9)),"")</f>
        <v>8</v>
      </c>
      <c r="C77" s="66" t="str">
        <f ca="1">IFERROR(INDIRECT(CONCATENATE("Track2!C",A69+9)),"")</f>
        <v/>
      </c>
      <c r="D77" s="89" t="str">
        <f ca="1">IFERROR(INDIRECT(CONCATENATE("Track2!D",A69+9)),"")</f>
        <v/>
      </c>
      <c r="E77" s="89" t="str">
        <f ca="1">IFERROR(INDIRECT(CONCATENATE("Track2!E",A69+9)),"")</f>
        <v/>
      </c>
      <c r="F77" s="302" t="str">
        <f ca="1">IFERROR(INDIRECT(CONCATENATE("Track2!F",A69+9)),"")</f>
        <v/>
      </c>
      <c r="G77" s="121" t="str">
        <f ca="1">IFERROR(INDIRECT(CONCATENATE("Track2!G",A69+9)),"")</f>
        <v/>
      </c>
      <c r="H77" s="66"/>
      <c r="I77" s="66">
        <f ca="1">IFERROR(INDIRECT(CONCATENATE("Track2!I",A69+9)),"")</f>
        <v>8</v>
      </c>
      <c r="J77" s="66" t="str">
        <f ca="1">IFERROR(INDIRECT(CONCATENATE("Track2!J",A69+9)),"")</f>
        <v/>
      </c>
      <c r="K77" s="89" t="str">
        <f ca="1">IFERROR(INDIRECT(CONCATENATE("Track2!K",A69+9)),"")</f>
        <v/>
      </c>
      <c r="L77" s="89" t="str">
        <f ca="1">IFERROR(INDIRECT(CONCATENATE("Track2!L",A69+9)),"")</f>
        <v/>
      </c>
      <c r="M77" s="302" t="str">
        <f ca="1">IFERROR(INDIRECT(CONCATENATE("Track2!M",A69+9)),"")</f>
        <v/>
      </c>
      <c r="N77" s="121" t="str">
        <f ca="1">IFERROR(INDIRECT(CONCATENATE("Track2!N",A69+9)),"")</f>
        <v/>
      </c>
    </row>
    <row r="79" spans="1:18" x14ac:dyDescent="0.35">
      <c r="A79" s="66" t="s">
        <v>34</v>
      </c>
      <c r="B79" s="115" t="str">
        <f ca="1">IFERROR(INDIRECT(CONCATENATE("Track1!B",A80)),"")</f>
        <v>75m Hurdles U15 Girls A</v>
      </c>
      <c r="E79" s="89" t="s">
        <v>259</v>
      </c>
      <c r="F79" s="299">
        <f ca="1">IFERROR(INDIRECT(CONCATENATE("Track1!f",A80)),"")</f>
        <v>0</v>
      </c>
      <c r="G79" s="121" t="str">
        <f ca="1">IFERROR(INDIRECT(CONCATENATE("Track1!g",A80)),"")</f>
        <v/>
      </c>
      <c r="I79" s="115" t="str">
        <f ca="1">IFERROR(INDIRECT(CONCATENATE("Track1!I",A80)),"")</f>
        <v>75m Hurdles U15 Girls B</v>
      </c>
      <c r="L79" s="89" t="s">
        <v>259</v>
      </c>
      <c r="M79" s="299">
        <f ca="1">IFERROR(INDIRECT(CONCATENATE("Track1!M",A80)),"")</f>
        <v>0</v>
      </c>
    </row>
    <row r="80" spans="1:18" x14ac:dyDescent="0.35">
      <c r="A80" s="66">
        <f>IFERROR(MATCH(A79,Track1!A:A,0),"")</f>
        <v>24</v>
      </c>
      <c r="B80" s="45" t="str">
        <f ca="1">IFERROR(INDIRECT(CONCATENATE("Track1!B",A80+1)),"")</f>
        <v>Posn</v>
      </c>
      <c r="C80" s="45" t="str">
        <f ca="1">IFERROR(INDIRECT(CONCATENATE("Track1!C",A80+1)),"")</f>
        <v>No.</v>
      </c>
      <c r="D80" s="182" t="str">
        <f ca="1">IFERROR(INDIRECT(CONCATENATE("Track1!D",A80+1)),"")</f>
        <v>Athlete</v>
      </c>
      <c r="E80" s="182" t="str">
        <f ca="1">IFERROR(INDIRECT(CONCATENATE("Track1!E",A80+1)),"")</f>
        <v>Club</v>
      </c>
      <c r="F80" s="301" t="str">
        <f ca="1">IFERROR(INDIRECT(CONCATENATE("Track1!F",A80+1)),"")</f>
        <v>Perf</v>
      </c>
      <c r="G80" s="218" t="str">
        <f ca="1">IFERROR(INDIRECT(CONCATENATE("Track1!G",A80+1)),"")</f>
        <v>AAA</v>
      </c>
      <c r="H80" s="45"/>
      <c r="I80" s="45" t="str">
        <f ca="1">IFERROR(INDIRECT(CONCATENATE("Track1!I",A80+1)),"")</f>
        <v>Posn</v>
      </c>
      <c r="J80" s="45" t="str">
        <f ca="1">IFERROR(INDIRECT(CONCATENATE("Track1!J",A80+1)),"")</f>
        <v>No.</v>
      </c>
      <c r="K80" s="182" t="str">
        <f ca="1">IFERROR(INDIRECT(CONCATENATE("Track1!K",A80+1)),"")</f>
        <v>Athlete</v>
      </c>
      <c r="L80" s="182" t="str">
        <f ca="1">IFERROR(INDIRECT(CONCATENATE("Track1!L",A80+1)),"")</f>
        <v>Club</v>
      </c>
      <c r="M80" s="301" t="str">
        <f ca="1">IFERROR(INDIRECT(CONCATENATE("Track1!M",A80+1)),"")</f>
        <v>Perf</v>
      </c>
      <c r="N80" s="218" t="str">
        <f ca="1">IFERROR(INDIRECT(CONCATENATE("Track1!N",A80+1)),"")</f>
        <v>AAA</v>
      </c>
    </row>
    <row r="81" spans="1:18" x14ac:dyDescent="0.35">
      <c r="B81" s="66">
        <f ca="1">IFERROR(INDIRECT(CONCATENATE("Track1!B",A80+2)),"")</f>
        <v>1</v>
      </c>
      <c r="C81" s="66">
        <f ca="1">IFERROR(INDIRECT(CONCATENATE("Track1!C",A80+2)),"")</f>
        <v>2</v>
      </c>
      <c r="D81" s="89" t="str">
        <f ca="1">IFERROR(INDIRECT(CONCATENATE("Track1!D",A80+2)),"")</f>
        <v>PADDON Freya</v>
      </c>
      <c r="E81" s="89" t="str">
        <f ca="1">IFERROR(INDIRECT(CONCATENATE("Track1!E",A80+2)),"")</f>
        <v>Sheff+D</v>
      </c>
      <c r="F81" s="299">
        <f ca="1">IFERROR(INDIRECT(CONCATENATE("Track1!F",A80+2)),"")</f>
        <v>13</v>
      </c>
      <c r="G81" s="121">
        <f ca="1">IFERROR(INDIRECT(CONCATENATE("Track1!G",A80+2)),"")</f>
        <v>4</v>
      </c>
      <c r="H81" s="66"/>
      <c r="I81" s="66">
        <f ca="1">IFERROR(INDIRECT(CONCATENATE("Track1!I",A80+2)),"")</f>
        <v>1</v>
      </c>
      <c r="J81" s="66">
        <f ca="1">IFERROR(INDIRECT(CONCATENATE("Track1!J",A80+2)),"")</f>
        <v>22</v>
      </c>
      <c r="K81" s="89" t="str">
        <f ca="1">IFERROR(INDIRECT(CONCATENATE("Track1!K",A80+2)),"")</f>
        <v>PADDON Olivia</v>
      </c>
      <c r="L81" s="89" t="str">
        <f ca="1">IFERROR(INDIRECT(CONCATENATE("Track1!L",A80+2)),"")</f>
        <v>Sheff+D</v>
      </c>
      <c r="M81" s="299">
        <f ca="1">IFERROR(INDIRECT(CONCATENATE("Track1!M",A80+2)),"")</f>
        <v>13.2</v>
      </c>
      <c r="N81" s="121">
        <f ca="1">IFERROR(INDIRECT(CONCATENATE("Track1!N",A80+2)),"")</f>
        <v>4</v>
      </c>
      <c r="R81" s="219">
        <f ca="1">IFERROR(INDIRECT(CONCATENATE("Track1!r",A80+2)),"")</f>
        <v>1</v>
      </c>
    </row>
    <row r="82" spans="1:18" x14ac:dyDescent="0.35">
      <c r="B82" s="66">
        <f ca="1">IFERROR(INDIRECT(CONCATENATE("Track1!B",A80+3)),"")</f>
        <v>2</v>
      </c>
      <c r="C82" s="66">
        <f ca="1">IFERROR(INDIRECT(CONCATENATE("Track1!C",A80+3)),"")</f>
        <v>3</v>
      </c>
      <c r="D82" s="89" t="str">
        <f ca="1">IFERROR(INDIRECT(CONCATENATE("Track1!D",A80+3)),"")</f>
        <v>MAUDE Charlotte</v>
      </c>
      <c r="E82" s="89" t="str">
        <f ca="1">IFERROR(INDIRECT(CONCATENATE("Track1!E",A80+3)),"")</f>
        <v>York</v>
      </c>
      <c r="F82" s="299">
        <f ca="1">IFERROR(INDIRECT(CONCATENATE("Track1!F",A80+3)),"")</f>
        <v>13.2</v>
      </c>
      <c r="G82" s="121">
        <f ca="1">IFERROR(INDIRECT(CONCATENATE("Track1!G",A80+3)),"")</f>
        <v>4</v>
      </c>
      <c r="H82" s="66"/>
      <c r="I82" s="66">
        <f ca="1">IFERROR(INDIRECT(CONCATENATE("Track1!I",A80+3)),"")</f>
        <v>2</v>
      </c>
      <c r="J82" s="66">
        <f ca="1">IFERROR(INDIRECT(CONCATENATE("Track1!J",A80+3)),"")</f>
        <v>33</v>
      </c>
      <c r="K82" s="89" t="str">
        <f ca="1">IFERROR(INDIRECT(CONCATENATE("Track1!K",A80+3)),"")</f>
        <v>CROSSAN Lily</v>
      </c>
      <c r="L82" s="89" t="str">
        <f ca="1">IFERROR(INDIRECT(CONCATENATE("Track1!L",A80+3)),"")</f>
        <v>York</v>
      </c>
      <c r="M82" s="299">
        <f ca="1">IFERROR(INDIRECT(CONCATENATE("Track1!M",A80+3)),"")</f>
        <v>13.7</v>
      </c>
      <c r="N82" s="121" t="str">
        <f ca="1">IFERROR(INDIRECT(CONCATENATE("Track1!N",A80+3)),"")</f>
        <v/>
      </c>
    </row>
    <row r="83" spans="1:18" x14ac:dyDescent="0.35">
      <c r="B83" s="66">
        <f ca="1">IFERROR(INDIRECT(CONCATENATE("Track1!B",A80+4)),"")</f>
        <v>3</v>
      </c>
      <c r="C83" s="66">
        <f ca="1">IFERROR(INDIRECT(CONCATENATE("Track1!C",A80+4)),"")</f>
        <v>1</v>
      </c>
      <c r="D83" s="89" t="str">
        <f ca="1">IFERROR(INDIRECT(CONCATENATE("Track1!D",A80+4)),"")</f>
        <v>LABAN Ella</v>
      </c>
      <c r="E83" s="89" t="str">
        <f ca="1">IFERROR(INDIRECT(CONCATENATE("Track1!E",A80+4)),"")</f>
        <v>C'field</v>
      </c>
      <c r="F83" s="299">
        <f ca="1">IFERROR(INDIRECT(CONCATENATE("Track1!F",A80+4)),"")</f>
        <v>17.399999999999999</v>
      </c>
      <c r="G83" s="121" t="str">
        <f ca="1">IFERROR(INDIRECT(CONCATENATE("Track1!G",A80+4)),"")</f>
        <v/>
      </c>
      <c r="H83" s="66"/>
      <c r="I83" s="66">
        <f ca="1">IFERROR(INDIRECT(CONCATENATE("Track1!I",A80+4)),"")</f>
        <v>3</v>
      </c>
      <c r="J83" s="66">
        <f ca="1">IFERROR(INDIRECT(CONCATENATE("Track1!J",A80+4)),"")</f>
        <v>11</v>
      </c>
      <c r="K83" s="89" t="str">
        <f ca="1">IFERROR(INDIRECT(CONCATENATE("Track1!K",A80+4)),"")</f>
        <v>ROGERS Emily</v>
      </c>
      <c r="L83" s="89" t="str">
        <f ca="1">IFERROR(INDIRECT(CONCATENATE("Track1!L",A80+4)),"")</f>
        <v>C'field</v>
      </c>
      <c r="M83" s="299">
        <f ca="1">IFERROR(INDIRECT(CONCATENATE("Track1!M",A80+4)),"")</f>
        <v>17.899999999999999</v>
      </c>
      <c r="N83" s="121" t="str">
        <f ca="1">IFERROR(INDIRECT(CONCATENATE("Track1!N",A80+4)),"")</f>
        <v/>
      </c>
    </row>
    <row r="84" spans="1:18" x14ac:dyDescent="0.35">
      <c r="B84" s="66">
        <f ca="1">IFERROR(INDIRECT(CONCATENATE("Track1!B",A80+5)),"")</f>
        <v>4</v>
      </c>
      <c r="C84" s="66">
        <f ca="1">IFERROR(INDIRECT(CONCATENATE("Track1!C",A80+5)),"")</f>
        <v>0</v>
      </c>
      <c r="D84" s="89" t="str">
        <f ca="1">IFERROR(INDIRECT(CONCATENATE("Track1!D",A80+5)),"")</f>
        <v/>
      </c>
      <c r="E84" s="89" t="str">
        <f ca="1">IFERROR(INDIRECT(CONCATENATE("Track1!E",A80+5)),"")</f>
        <v/>
      </c>
      <c r="F84" s="299">
        <f ca="1">IFERROR(INDIRECT(CONCATENATE("Track1!F",A80+5)),"")</f>
        <v>0</v>
      </c>
      <c r="G84" s="121" t="str">
        <f ca="1">IFERROR(INDIRECT(CONCATENATE("Track1!G",A80+5)),"")</f>
        <v/>
      </c>
      <c r="H84" s="66"/>
      <c r="I84" s="66">
        <f ca="1">IFERROR(INDIRECT(CONCATENATE("Track1!I",A80+5)),"")</f>
        <v>4</v>
      </c>
      <c r="J84" s="66">
        <f ca="1">IFERROR(INDIRECT(CONCATENATE("Track1!J",A80+5)),"")</f>
        <v>0</v>
      </c>
      <c r="K84" s="89" t="str">
        <f ca="1">IFERROR(INDIRECT(CONCATENATE("Track1!K",A80+5)),"")</f>
        <v/>
      </c>
      <c r="L84" s="89" t="str">
        <f ca="1">IFERROR(INDIRECT(CONCATENATE("Track1!L",A80+5)),"")</f>
        <v/>
      </c>
      <c r="M84" s="299">
        <f ca="1">IFERROR(INDIRECT(CONCATENATE("Track1!M",A80+5)),"")</f>
        <v>0</v>
      </c>
      <c r="N84" s="121" t="str">
        <f ca="1">IFERROR(INDIRECT(CONCATENATE("Track1!N",A80+5)),"")</f>
        <v/>
      </c>
    </row>
    <row r="85" spans="1:18" x14ac:dyDescent="0.35">
      <c r="B85" s="66">
        <f ca="1">IFERROR(INDIRECT(CONCATENATE("Track1!B",A80+6)),"")</f>
        <v>5</v>
      </c>
      <c r="C85" s="66">
        <f ca="1">IFERROR(INDIRECT(CONCATENATE("Track1!C",A80+6)),"")</f>
        <v>0</v>
      </c>
      <c r="D85" s="89" t="str">
        <f ca="1">IFERROR(INDIRECT(CONCATENATE("Track1!D",A80+6)),"")</f>
        <v/>
      </c>
      <c r="E85" s="89" t="str">
        <f ca="1">IFERROR(INDIRECT(CONCATENATE("Track1!E",A80+6)),"")</f>
        <v/>
      </c>
      <c r="F85" s="299">
        <f ca="1">IFERROR(INDIRECT(CONCATENATE("Track1!F",A80+6)),"")</f>
        <v>0</v>
      </c>
      <c r="G85" s="121" t="str">
        <f ca="1">IFERROR(INDIRECT(CONCATENATE("Track1!G",A80+6)),"")</f>
        <v/>
      </c>
      <c r="H85" s="66"/>
      <c r="I85" s="66">
        <f ca="1">IFERROR(INDIRECT(CONCATENATE("Track1!I",A80+6)),"")</f>
        <v>5</v>
      </c>
      <c r="J85" s="66">
        <f ca="1">IFERROR(INDIRECT(CONCATENATE("Track1!J",A80+6)),"")</f>
        <v>0</v>
      </c>
      <c r="K85" s="89" t="str">
        <f ca="1">IFERROR(INDIRECT(CONCATENATE("Track1!K",A80+6)),"")</f>
        <v/>
      </c>
      <c r="L85" s="89" t="str">
        <f ca="1">IFERROR(INDIRECT(CONCATENATE("Track1!L",A80+6)),"")</f>
        <v/>
      </c>
      <c r="M85" s="299">
        <f ca="1">IFERROR(INDIRECT(CONCATENATE("Track1!M",A80+6)),"")</f>
        <v>0</v>
      </c>
      <c r="N85" s="121" t="str">
        <f ca="1">IFERROR(INDIRECT(CONCATENATE("Track1!N",A80+6)),"")</f>
        <v/>
      </c>
    </row>
    <row r="86" spans="1:18" x14ac:dyDescent="0.35">
      <c r="B86" s="66">
        <f ca="1">IFERROR(INDIRECT(CONCATENATE("Track1!B",A80+7)),"")</f>
        <v>6</v>
      </c>
      <c r="C86" s="66">
        <f ca="1">IFERROR(INDIRECT(CONCATENATE("Track1!C",A80+7)),"")</f>
        <v>0</v>
      </c>
      <c r="D86" s="89" t="str">
        <f ca="1">IFERROR(INDIRECT(CONCATENATE("Track1!D",A80+7)),"")</f>
        <v/>
      </c>
      <c r="E86" s="89" t="str">
        <f ca="1">IFERROR(INDIRECT(CONCATENATE("Track1!E",A80+7)),"")</f>
        <v/>
      </c>
      <c r="F86" s="299">
        <f ca="1">IFERROR(INDIRECT(CONCATENATE("Track1!F",A80+7)),"")</f>
        <v>0</v>
      </c>
      <c r="G86" s="121" t="str">
        <f ca="1">IFERROR(INDIRECT(CONCATENATE("Track1!G",A80+7)),"")</f>
        <v/>
      </c>
      <c r="H86" s="66"/>
      <c r="I86" s="66">
        <f ca="1">IFERROR(INDIRECT(CONCATENATE("Track1!I",A80+7)),"")</f>
        <v>6</v>
      </c>
      <c r="J86" s="66">
        <f ca="1">IFERROR(INDIRECT(CONCATENATE("Track1!J",A80+7)),"")</f>
        <v>0</v>
      </c>
      <c r="K86" s="89" t="str">
        <f ca="1">IFERROR(INDIRECT(CONCATENATE("Track1!K",A80+7)),"")</f>
        <v/>
      </c>
      <c r="L86" s="89" t="str">
        <f ca="1">IFERROR(INDIRECT(CONCATENATE("Track1!L",A80+7)),"")</f>
        <v/>
      </c>
      <c r="M86" s="299">
        <f ca="1">IFERROR(INDIRECT(CONCATENATE("Track1!M",A80+7)),"")</f>
        <v>0</v>
      </c>
      <c r="N86" s="121" t="str">
        <f ca="1">IFERROR(INDIRECT(CONCATENATE("Track1!N",A80+7)),"")</f>
        <v/>
      </c>
    </row>
    <row r="87" spans="1:18" x14ac:dyDescent="0.35">
      <c r="B87" s="66">
        <f ca="1">IFERROR(INDIRECT(CONCATENATE("Track1!B",A80+8)),"")</f>
        <v>7</v>
      </c>
      <c r="C87" s="66">
        <f ca="1">IFERROR(INDIRECT(CONCATENATE("Track1!C",A80+8)),"")</f>
        <v>0</v>
      </c>
      <c r="D87" s="89" t="str">
        <f ca="1">IFERROR(INDIRECT(CONCATENATE("Track1!D",A80+8)),"")</f>
        <v/>
      </c>
      <c r="E87" s="89" t="str">
        <f ca="1">IFERROR(INDIRECT(CONCATENATE("Track1!E",A80+8)),"")</f>
        <v/>
      </c>
      <c r="F87" s="299">
        <f ca="1">IFERROR(INDIRECT(CONCATENATE("Track1!F",A80+8)),"")</f>
        <v>0</v>
      </c>
      <c r="G87" s="121" t="str">
        <f ca="1">IFERROR(INDIRECT(CONCATENATE("Track1!G",A80+8)),"")</f>
        <v/>
      </c>
      <c r="H87" s="66"/>
      <c r="I87" s="66">
        <f ca="1">IFERROR(INDIRECT(CONCATENATE("Track1!I",A80+8)),"")</f>
        <v>7</v>
      </c>
      <c r="J87" s="66">
        <f ca="1">IFERROR(INDIRECT(CONCATENATE("Track1!J",A80+8)),"")</f>
        <v>0</v>
      </c>
      <c r="K87" s="89" t="str">
        <f ca="1">IFERROR(INDIRECT(CONCATENATE("Track1!K",A80+8)),"")</f>
        <v/>
      </c>
      <c r="L87" s="89" t="str">
        <f ca="1">IFERROR(INDIRECT(CONCATENATE("Track1!L",A80+8)),"")</f>
        <v/>
      </c>
      <c r="M87" s="299">
        <f ca="1">IFERROR(INDIRECT(CONCATENATE("Track1!M",A80+8)),"")</f>
        <v>0</v>
      </c>
      <c r="N87" s="121" t="str">
        <f ca="1">IFERROR(INDIRECT(CONCATENATE("Track1!N",A80+8)),"")</f>
        <v/>
      </c>
    </row>
    <row r="88" spans="1:18" x14ac:dyDescent="0.35">
      <c r="B88" s="66">
        <f ca="1">IFERROR(INDIRECT(CONCATENATE("Track1!B",A80+9)),"")</f>
        <v>8</v>
      </c>
      <c r="C88" s="66">
        <f ca="1">IFERROR(INDIRECT(CONCATENATE("Track1!C",A80+9)),"")</f>
        <v>0</v>
      </c>
      <c r="D88" s="89" t="str">
        <f ca="1">IFERROR(INDIRECT(CONCATENATE("Track1!D",A80+9)),"")</f>
        <v/>
      </c>
      <c r="E88" s="89" t="str">
        <f ca="1">IFERROR(INDIRECT(CONCATENATE("Track1!E",A80+9)),"")</f>
        <v/>
      </c>
      <c r="F88" s="299">
        <f ca="1">IFERROR(INDIRECT(CONCATENATE("Track1!F",A80+9)),"")</f>
        <v>0</v>
      </c>
      <c r="G88" s="121" t="str">
        <f ca="1">IFERROR(INDIRECT(CONCATENATE("Track1!G",A80+9)),"")</f>
        <v/>
      </c>
      <c r="H88" s="66"/>
      <c r="I88" s="66">
        <f ca="1">IFERROR(INDIRECT(CONCATENATE("Track1!I",A80+9)),"")</f>
        <v>8</v>
      </c>
      <c r="J88" s="66">
        <f ca="1">IFERROR(INDIRECT(CONCATENATE("Track1!J",A80+9)),"")</f>
        <v>0</v>
      </c>
      <c r="K88" s="89" t="str">
        <f ca="1">IFERROR(INDIRECT(CONCATENATE("Track1!K",A80+9)),"")</f>
        <v/>
      </c>
      <c r="L88" s="89" t="str">
        <f ca="1">IFERROR(INDIRECT(CONCATENATE("Track1!L",A80+9)),"")</f>
        <v/>
      </c>
      <c r="M88" s="299">
        <f ca="1">IFERROR(INDIRECT(CONCATENATE("Track1!M",A80+9)),"")</f>
        <v>0</v>
      </c>
      <c r="N88" s="121" t="str">
        <f ca="1">IFERROR(INDIRECT(CONCATENATE("Track1!N",A80+9)),"")</f>
        <v/>
      </c>
    </row>
    <row r="90" spans="1:18" x14ac:dyDescent="0.35">
      <c r="A90" s="402" t="s">
        <v>298</v>
      </c>
      <c r="B90" s="115" t="str">
        <f ca="1">IFERROR(INDIRECT(CONCATENATE("Field!B",A91)),"")</f>
        <v>Long Jump U15 Girls A</v>
      </c>
      <c r="F90" s="65"/>
      <c r="G90" s="403" t="str">
        <f ca="1">IFERROR(INDIRECT(CONCATENATE("Field!g",A91)),"")</f>
        <v/>
      </c>
      <c r="I90" s="115" t="str">
        <f ca="1">IFERROR(INDIRECT(CONCATENATE("Field!I",A91)),"")</f>
        <v>Long Jump U15 Girls B</v>
      </c>
      <c r="M90" s="67"/>
    </row>
    <row r="91" spans="1:18" x14ac:dyDescent="0.35">
      <c r="A91" s="66">
        <f>IFERROR(MATCH(A90,Field!A:A,0),"")</f>
        <v>145</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row>
    <row r="92" spans="1:18" x14ac:dyDescent="0.35">
      <c r="A92" s="66" t="str">
        <f>"_"&amp;A90</f>
        <v>_LFW02</v>
      </c>
      <c r="B92" s="66">
        <f ca="1">IFERROR(INDIRECT(CONCATENATE("Field!B",A91+2)),"")</f>
        <v>1</v>
      </c>
      <c r="C92" s="66">
        <f ca="1">IFERROR(INDIRECT(CONCATENATE("Field!C",A91+2)),"")</f>
        <v>2</v>
      </c>
      <c r="D92" s="89" t="str">
        <f ca="1">IFERROR(INDIRECT(CONCATENATE("Field!D",A91+2)),"")</f>
        <v>MYCROFT Tilly</v>
      </c>
      <c r="E92" s="89" t="str">
        <f ca="1">IFERROR(INDIRECT(CONCATENATE("Field!E",A91+2)),"")</f>
        <v>Sheff+D</v>
      </c>
      <c r="F92" s="149" t="str">
        <f ca="1">IFERROR(TEXT(INDIRECT(CONCATENATE("Field!F",A91+2)),"#.#0")&amp;" "&amp;VLOOKUP(C92,INDIRECT($A$92),5,FALSE),"")</f>
        <v xml:space="preserve">5.05 </v>
      </c>
      <c r="G92" s="121">
        <f ca="1">IFERROR(INDIRECT(CONCATENATE("Field!G",A91+2)),"")</f>
        <v>1</v>
      </c>
      <c r="H92" s="66"/>
      <c r="I92" s="66">
        <f ca="1">IFERROR(INDIRECT(CONCATENATE("Field!I",A91+2)),"")</f>
        <v>1</v>
      </c>
      <c r="J92" s="66">
        <f ca="1">IFERROR(INDIRECT(CONCATENATE("Field!J",A91+2)),"")</f>
        <v>22</v>
      </c>
      <c r="K92" s="89" t="str">
        <f ca="1">IFERROR(INDIRECT(CONCATENATE("Field!K",A91+2)),"")</f>
        <v>ADEBAYO Daphney</v>
      </c>
      <c r="L92" s="89" t="str">
        <f ca="1">IFERROR(INDIRECT(CONCATENATE("Field!L",A91+2)),"")</f>
        <v>Sheff+D</v>
      </c>
      <c r="M92" s="149" t="str">
        <f ca="1">IFERROR(TEXT(INDIRECT(CONCATENATE("Field!m",A91+2)),"#.#0")&amp;" "&amp;VLOOKUP(J92,INDIRECT($A$92),5,FALSE),"")</f>
        <v xml:space="preserve">4.81 </v>
      </c>
      <c r="N92" s="121">
        <f ca="1">IFERROR(INDIRECT(CONCATENATE("Field!N",A91+2)),"")</f>
        <v>3</v>
      </c>
      <c r="R92" s="219">
        <f ca="1">IFERROR(INDIRECT(CONCATENATE("Field!r",A91+2)),"")</f>
        <v>1</v>
      </c>
    </row>
    <row r="93" spans="1:18" x14ac:dyDescent="0.35">
      <c r="B93" s="66">
        <f ca="1">IFERROR(INDIRECT(CONCATENATE("Field!B",A91+3)),"")</f>
        <v>2</v>
      </c>
      <c r="C93" s="66">
        <f ca="1">IFERROR(INDIRECT(CONCATENATE("Field!C",A91+3)),"")</f>
        <v>3</v>
      </c>
      <c r="D93" s="89" t="str">
        <f ca="1">IFERROR(INDIRECT(CONCATENATE("Field!D",A91+3)),"")</f>
        <v>HASTIE Eve</v>
      </c>
      <c r="E93" s="89" t="str">
        <f ca="1">IFERROR(INDIRECT(CONCATENATE("Field!E",A91+3)),"")</f>
        <v>York</v>
      </c>
      <c r="F93" s="149" t="str">
        <f ca="1">IFERROR(TEXT(INDIRECT(CONCATENATE("Field!F",A91+3)),"#.#0")&amp;" "&amp;VLOOKUP(C93,INDIRECT($A$92),5,FALSE),"")</f>
        <v xml:space="preserve">4.70 </v>
      </c>
      <c r="G93" s="121">
        <f ca="1">IFERROR(INDIRECT(CONCATENATE("Field!G",A91+3)),"")</f>
        <v>3</v>
      </c>
      <c r="H93" s="66"/>
      <c r="I93" s="66">
        <f ca="1">IFERROR(INDIRECT(CONCATENATE("Field!I",A91+3)),"")</f>
        <v>2</v>
      </c>
      <c r="J93" s="66">
        <f ca="1">IFERROR(INDIRECT(CONCATENATE("Field!J",A91+3)),"")</f>
        <v>33</v>
      </c>
      <c r="K93" s="89" t="str">
        <f ca="1">IFERROR(INDIRECT(CONCATENATE("Field!K",A91+3)),"")</f>
        <v>MAUDE Charlotte</v>
      </c>
      <c r="L93" s="89" t="str">
        <f ca="1">IFERROR(INDIRECT(CONCATENATE("Field!L",A91+3)),"")</f>
        <v>York</v>
      </c>
      <c r="M93" s="149" t="str">
        <f ca="1">IFERROR(TEXT(INDIRECT(CONCATENATE("Field!m",A91+3)),"#.#0")&amp;" "&amp;VLOOKUP(J93,INDIRECT($A$92),5,FALSE),"")</f>
        <v xml:space="preserve">4.24 </v>
      </c>
      <c r="N93" s="121" t="str">
        <f ca="1">IFERROR(INDIRECT(CONCATENATE("Field!N",A91+3)),"")</f>
        <v/>
      </c>
    </row>
    <row r="94" spans="1:18" x14ac:dyDescent="0.35">
      <c r="B94" s="66">
        <f ca="1">IFERROR(INDIRECT(CONCATENATE("Field!B",A91+4)),"")</f>
        <v>3</v>
      </c>
      <c r="C94" s="66">
        <f ca="1">IFERROR(INDIRECT(CONCATENATE("Field!C",A91+4)),"")</f>
        <v>44</v>
      </c>
      <c r="D94" s="89" t="str">
        <f ca="1">IFERROR(INDIRECT(CONCATENATE("Field!D",A91+4)),"")</f>
        <v>MANNION Grace</v>
      </c>
      <c r="E94" s="89" t="str">
        <f ca="1">IFERROR(INDIRECT(CONCATENATE("Field!E",A91+4)),"")</f>
        <v>M'bro</v>
      </c>
      <c r="F94" s="149" t="str">
        <f ca="1">IFERROR(TEXT(INDIRECT(CONCATENATE("Field!F",A91+4)),"#.#0")&amp;" "&amp;VLOOKUP(C94,INDIRECT($A$92),5,FALSE),"")</f>
        <v xml:space="preserve">3.87 </v>
      </c>
      <c r="G94" s="121" t="str">
        <f ca="1">IFERROR(INDIRECT(CONCATENATE("Field!G",A91+4)),"")</f>
        <v/>
      </c>
      <c r="H94" s="66"/>
      <c r="I94" s="66">
        <f ca="1">IFERROR(INDIRECT(CONCATENATE("Field!I",A91+4)),"")</f>
        <v>3</v>
      </c>
      <c r="J94" s="66">
        <f ca="1">IFERROR(INDIRECT(CONCATENATE("Field!J",A91+4)),"")</f>
        <v>4</v>
      </c>
      <c r="K94" s="89" t="str">
        <f ca="1">IFERROR(INDIRECT(CONCATENATE("Field!K",A91+4)),"")</f>
        <v>PYE Naiomi</v>
      </c>
      <c r="L94" s="89" t="str">
        <f ca="1">IFERROR(INDIRECT(CONCATENATE("Field!L",A91+4)),"")</f>
        <v>M'bro</v>
      </c>
      <c r="M94" s="149" t="str">
        <f ca="1">IFERROR(TEXT(INDIRECT(CONCATENATE("Field!m",A91+4)),"#.#0")&amp;" "&amp;VLOOKUP(J94,INDIRECT($A$92),5,FALSE),"")</f>
        <v xml:space="preserve">3.57 </v>
      </c>
      <c r="N94" s="121" t="str">
        <f ca="1">IFERROR(INDIRECT(CONCATENATE("Field!N",A91+4)),"")</f>
        <v/>
      </c>
    </row>
    <row r="95" spans="1:18" x14ac:dyDescent="0.35">
      <c r="B95" s="66">
        <f ca="1">IFERROR(INDIRECT(CONCATENATE("Field!B",A91+5)),"")</f>
        <v>4</v>
      </c>
      <c r="C95" s="66">
        <f ca="1">IFERROR(INDIRECT(CONCATENATE("Field!C",A91+5)),"")</f>
        <v>1</v>
      </c>
      <c r="D95" s="89" t="str">
        <f ca="1">IFERROR(INDIRECT(CONCATENATE("Field!D",A91+5)),"")</f>
        <v>BRIDDON Missy</v>
      </c>
      <c r="E95" s="89" t="str">
        <f ca="1">IFERROR(INDIRECT(CONCATENATE("Field!E",A91+5)),"")</f>
        <v>C'field</v>
      </c>
      <c r="F95" s="149" t="str">
        <f ca="1">IFERROR(TEXT(INDIRECT(CONCATENATE("Field!F",A91+5)),"#.#0")&amp;" "&amp;VLOOKUP(C95,INDIRECT($A$92),5,FALSE),"")</f>
        <v xml:space="preserve">3.82 </v>
      </c>
      <c r="G95" s="121" t="str">
        <f ca="1">IFERROR(INDIRECT(CONCATENATE("Field!G",A91+5)),"")</f>
        <v/>
      </c>
      <c r="H95" s="66"/>
      <c r="I95" s="66">
        <f ca="1">IFERROR(INDIRECT(CONCATENATE("Field!I",A91+5)),"")</f>
        <v>4</v>
      </c>
      <c r="J95" s="66">
        <f ca="1">IFERROR(INDIRECT(CONCATENATE("Field!J",A91+5)),"")</f>
        <v>11</v>
      </c>
      <c r="K95" s="89" t="str">
        <f ca="1">IFERROR(INDIRECT(CONCATENATE("Field!K",A91+5)),"")</f>
        <v>ROGERS Emily</v>
      </c>
      <c r="L95" s="89" t="str">
        <f ca="1">IFERROR(INDIRECT(CONCATENATE("Field!L",A91+5)),"")</f>
        <v>C'field</v>
      </c>
      <c r="M95" s="149" t="str">
        <f ca="1">IFERROR(TEXT(INDIRECT(CONCATENATE("Field!m",A91+5)),"#.#0")&amp;" "&amp;VLOOKUP(J95,INDIRECT($A$92),5,FALSE),"")</f>
        <v xml:space="preserve">3.49 </v>
      </c>
      <c r="N95" s="121" t="str">
        <f ca="1">IFERROR(INDIRECT(CONCATENATE("Field!N",A91+5)),"")</f>
        <v/>
      </c>
    </row>
    <row r="96" spans="1:18" x14ac:dyDescent="0.35">
      <c r="B96" s="66">
        <f ca="1">IFERROR(INDIRECT(CONCATENATE("Field!B",A91+6)),"")</f>
        <v>5</v>
      </c>
      <c r="C96" s="66">
        <f ca="1">IFERROR(INDIRECT(CONCATENATE("Field!C",A91+6)),"")</f>
        <v>55</v>
      </c>
      <c r="D96" s="89" t="str">
        <f ca="1">IFERROR(INDIRECT(CONCATENATE("Field!D",A91+6)),"")</f>
        <v>WHITTAKER Millie</v>
      </c>
      <c r="E96" s="89" t="str">
        <f ca="1">IFERROR(INDIRECT(CONCATENATE("Field!E",A91+6)),"")</f>
        <v>Scun</v>
      </c>
      <c r="F96" s="149" t="str">
        <f ca="1">IFERROR(TEXT(INDIRECT(CONCATENATE("Field!F",A91+6)),"#.#0")&amp;" "&amp;VLOOKUP(C96,INDIRECT($A$92),5,FALSE),"")</f>
        <v xml:space="preserve">3.24 </v>
      </c>
      <c r="G96" s="121" t="str">
        <f ca="1">IFERROR(INDIRECT(CONCATENATE("Field!G",A91+6)),"")</f>
        <v/>
      </c>
      <c r="H96" s="66"/>
      <c r="I96" s="66">
        <f ca="1">IFERROR(INDIRECT(CONCATENATE("Field!I",A91+6)),"")</f>
        <v>5</v>
      </c>
      <c r="J96" s="66">
        <f ca="1">IFERROR(INDIRECT(CONCATENATE("Field!J",A91+6)),"")</f>
        <v>5</v>
      </c>
      <c r="K96" s="89" t="str">
        <f ca="1">IFERROR(INDIRECT(CONCATENATE("Field!K",A91+6)),"")</f>
        <v>LINGARD Alice</v>
      </c>
      <c r="L96" s="89" t="str">
        <f ca="1">IFERROR(INDIRECT(CONCATENATE("Field!L",A91+6)),"")</f>
        <v>Scun</v>
      </c>
      <c r="M96" s="149" t="str">
        <f ca="1">IFERROR(TEXT(INDIRECT(CONCATENATE("Field!m",A91+6)),"#.#0")&amp;" "&amp;VLOOKUP(J96,INDIRECT($A$92),5,FALSE),"")</f>
        <v xml:space="preserve">3.11 </v>
      </c>
      <c r="N96" s="121" t="str">
        <f ca="1">IFERROR(INDIRECT(CONCATENATE("Field!N",A91+6)),"")</f>
        <v/>
      </c>
    </row>
    <row r="97" spans="1:18" x14ac:dyDescent="0.35">
      <c r="B97" s="66">
        <f ca="1">IFERROR(INDIRECT(CONCATENATE("Field!B",A91+7)),"")</f>
        <v>6</v>
      </c>
      <c r="C97" s="66" t="str">
        <f ca="1">IFERROR(INDIRECT(CONCATENATE("Field!C",A91+7)),"")</f>
        <v/>
      </c>
      <c r="D97" s="89" t="str">
        <f ca="1">IFERROR(INDIRECT(CONCATENATE("Field!D",A91+7)),"")</f>
        <v/>
      </c>
      <c r="E97" s="89" t="str">
        <f ca="1">IFERROR(INDIRECT(CONCATENATE("Field!E",A91+7)),"")</f>
        <v/>
      </c>
      <c r="F97" s="149" t="str">
        <f ca="1">IFERROR(TEXT(INDIRECT(CONCATENATE("Field!F",A91+7)),"#.#0")&amp;" "&amp;VLOOKUP(C97,INDIRECT($A$92),5,FALSE),"")</f>
        <v/>
      </c>
      <c r="G97" s="121" t="str">
        <f ca="1">IFERROR(INDIRECT(CONCATENATE("Field!G",A91+7)),"")</f>
        <v/>
      </c>
      <c r="H97" s="66"/>
      <c r="I97" s="66">
        <f ca="1">IFERROR(INDIRECT(CONCATENATE("Field!I",A91+7)),"")</f>
        <v>6</v>
      </c>
      <c r="J97" s="66" t="str">
        <f ca="1">IFERROR(INDIRECT(CONCATENATE("Field!J",A91+7)),"")</f>
        <v/>
      </c>
      <c r="K97" s="89" t="str">
        <f ca="1">IFERROR(INDIRECT(CONCATENATE("Field!K",A91+7)),"")</f>
        <v/>
      </c>
      <c r="L97" s="89" t="str">
        <f ca="1">IFERROR(INDIRECT(CONCATENATE("Field!L",A91+7)),"")</f>
        <v/>
      </c>
      <c r="M97" s="149" t="str">
        <f ca="1">IFERROR(TEXT(INDIRECT(CONCATENATE("Field!m",A91+7)),"#.#0")&amp;" "&amp;VLOOKUP(J97,INDIRECT($A$92),5,FALSE),"")</f>
        <v/>
      </c>
      <c r="N97" s="121" t="str">
        <f ca="1">IFERROR(INDIRECT(CONCATENATE("Field!N",A91+7)),"")</f>
        <v/>
      </c>
    </row>
    <row r="98" spans="1:18" x14ac:dyDescent="0.35">
      <c r="B98" s="66">
        <f ca="1">IFERROR(INDIRECT(CONCATENATE("Field!B",A91+8)),"")</f>
        <v>7</v>
      </c>
      <c r="C98" s="66" t="str">
        <f ca="1">IFERROR(INDIRECT(CONCATENATE("Field!C",A91+8)),"")</f>
        <v/>
      </c>
      <c r="D98" s="89" t="str">
        <f ca="1">IFERROR(INDIRECT(CONCATENATE("Field!D",A91+8)),"")</f>
        <v/>
      </c>
      <c r="E98" s="89" t="str">
        <f ca="1">IFERROR(INDIRECT(CONCATENATE("Field!E",A91+8)),"")</f>
        <v/>
      </c>
      <c r="F98" s="149" t="str">
        <f ca="1">IFERROR(TEXT(INDIRECT(CONCATENATE("Field!F",A91+8)),"#.#0")&amp;" "&amp;VLOOKUP(C98,INDIRECT($A$92),5,FALSE),"")</f>
        <v/>
      </c>
      <c r="G98" s="121" t="str">
        <f ca="1">IFERROR(INDIRECT(CONCATENATE("Field!G",A91+8)),"")</f>
        <v/>
      </c>
      <c r="H98" s="66"/>
      <c r="I98" s="66">
        <f ca="1">IFERROR(INDIRECT(CONCATENATE("Field!I",A91+8)),"")</f>
        <v>7</v>
      </c>
      <c r="J98" s="66" t="str">
        <f ca="1">IFERROR(INDIRECT(CONCATENATE("Field!J",A91+8)),"")</f>
        <v/>
      </c>
      <c r="K98" s="89" t="str">
        <f ca="1">IFERROR(INDIRECT(CONCATENATE("Field!K",A91+8)),"")</f>
        <v/>
      </c>
      <c r="L98" s="89" t="str">
        <f ca="1">IFERROR(INDIRECT(CONCATENATE("Field!L",A91+8)),"")</f>
        <v/>
      </c>
      <c r="M98" s="149" t="str">
        <f ca="1">IFERROR(TEXT(INDIRECT(CONCATENATE("Field!m",A91+8)),"#.#0")&amp;" "&amp;VLOOKUP(J98,INDIRECT($A$92),5,FALSE),"")</f>
        <v/>
      </c>
      <c r="N98" s="121" t="str">
        <f ca="1">IFERROR(INDIRECT(CONCATENATE("Field!N",A91+8)),"")</f>
        <v/>
      </c>
    </row>
    <row r="99" spans="1:18" x14ac:dyDescent="0.35">
      <c r="B99" s="66">
        <f ca="1">IFERROR(INDIRECT(CONCATENATE("Field!B",A91+9)),"")</f>
        <v>8</v>
      </c>
      <c r="C99" s="66" t="str">
        <f ca="1">IFERROR(INDIRECT(CONCATENATE("Field!C",A91+9)),"")</f>
        <v/>
      </c>
      <c r="D99" s="89" t="str">
        <f ca="1">IFERROR(INDIRECT(CONCATENATE("Field!D",A91+9)),"")</f>
        <v/>
      </c>
      <c r="E99" s="89" t="str">
        <f ca="1">IFERROR(INDIRECT(CONCATENATE("Field!E",A91+9)),"")</f>
        <v/>
      </c>
      <c r="F99" s="149" t="str">
        <f ca="1">IFERROR(TEXT(INDIRECT(CONCATENATE("Field!F",A91+9)),"#.#0")&amp;" "&amp;VLOOKUP(C99,INDIRECT($A$92),5,FALSE),"")</f>
        <v/>
      </c>
      <c r="G99" s="121" t="str">
        <f ca="1">IFERROR(INDIRECT(CONCATENATE("Field!G",A91+9)),"")</f>
        <v/>
      </c>
      <c r="H99" s="66"/>
      <c r="I99" s="66">
        <f ca="1">IFERROR(INDIRECT(CONCATENATE("Field!I",A91+9)),"")</f>
        <v>8</v>
      </c>
      <c r="J99" s="66" t="str">
        <f ca="1">IFERROR(INDIRECT(CONCATENATE("Field!J",A91+9)),"")</f>
        <v/>
      </c>
      <c r="K99" s="89" t="str">
        <f ca="1">IFERROR(INDIRECT(CONCATENATE("Field!K",A91+9)),"")</f>
        <v/>
      </c>
      <c r="L99" s="89" t="str">
        <f ca="1">IFERROR(INDIRECT(CONCATENATE("Field!L",A91+9)),"")</f>
        <v/>
      </c>
      <c r="M99" s="149" t="str">
        <f ca="1">IFERROR(TEXT(INDIRECT(CONCATENATE("Field!m",A91+9)),"#.#0")&amp;" "&amp;VLOOKUP(J99,INDIRECT($A$92),5,FALSE),"")</f>
        <v/>
      </c>
      <c r="N99" s="121" t="str">
        <f ca="1">IFERROR(INDIRECT(CONCATENATE("Field!N",A91+9)),"")</f>
        <v/>
      </c>
    </row>
    <row r="100" spans="1:18" x14ac:dyDescent="0.35">
      <c r="F100" s="67"/>
      <c r="M100" s="67"/>
    </row>
    <row r="101" spans="1:18" x14ac:dyDescent="0.35">
      <c r="A101" s="66" t="s">
        <v>233</v>
      </c>
      <c r="B101" s="115" t="str">
        <f ca="1">IFERROR(INDIRECT(CONCATENATE("Field!B",A102)),"")</f>
        <v>High Jump U15 Girls A</v>
      </c>
      <c r="F101" s="67"/>
      <c r="G101" s="121" t="str">
        <f ca="1">IFERROR(INDIRECT(CONCATENATE("Field!g",A102)),"")</f>
        <v/>
      </c>
      <c r="I101" s="115" t="str">
        <f ca="1">IFERROR(INDIRECT(CONCATENATE("Field!I",A102)),"")</f>
        <v>High Jump U15 Girls B</v>
      </c>
      <c r="M101" s="67"/>
    </row>
    <row r="102" spans="1:18" x14ac:dyDescent="0.35">
      <c r="A102" s="66">
        <f>IFERROR(MATCH(A101,Field!A:A,0),"")</f>
        <v>178</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row>
    <row r="103" spans="1:18" x14ac:dyDescent="0.35">
      <c r="B103" s="66">
        <f ca="1">IFERROR(INDIRECT(CONCATENATE("Field!B",A102+2)),"")</f>
        <v>1</v>
      </c>
      <c r="C103" s="66">
        <f ca="1">IFERROR(INDIRECT(CONCATENATE("Field!C",A102+2)),"")</f>
        <v>1</v>
      </c>
      <c r="D103" s="89" t="str">
        <f ca="1">IFERROR(INDIRECT(CONCATENATE("Field!D",A102+2)),"")</f>
        <v>MOODY Hannah</v>
      </c>
      <c r="E103" s="89" t="str">
        <f ca="1">IFERROR(INDIRECT(CONCATENATE("Field!E",A102+2)),"")</f>
        <v>C'field</v>
      </c>
      <c r="F103" s="65">
        <f ca="1">IFERROR(INDIRECT(CONCATENATE("Field!F",A102+2)),"")</f>
        <v>1.55</v>
      </c>
      <c r="G103" s="121">
        <f ca="1">IFERROR(INDIRECT(CONCATENATE("Field!G",A102+2)),"")</f>
        <v>2</v>
      </c>
      <c r="H103" s="66"/>
      <c r="I103" s="66">
        <f ca="1">IFERROR(INDIRECT(CONCATENATE("Field!I",A102+2)),"")</f>
        <v>1</v>
      </c>
      <c r="J103" s="66">
        <f ca="1">IFERROR(INDIRECT(CONCATENATE("Field!J",A102+2)),"")</f>
        <v>22</v>
      </c>
      <c r="K103" s="89" t="str">
        <f ca="1">IFERROR(INDIRECT(CONCATENATE("Field!K",A102+2)),"")</f>
        <v>MYCROFT Tilly</v>
      </c>
      <c r="L103" s="89" t="str">
        <f ca="1">IFERROR(INDIRECT(CONCATENATE("Field!L",A102+2)),"")</f>
        <v>Sheff+D</v>
      </c>
      <c r="M103" s="65">
        <f ca="1">IFERROR(INDIRECT(CONCATENATE("Field!M",A102+2)),"")</f>
        <v>1.45</v>
      </c>
      <c r="N103" s="121">
        <f ca="1">IFERROR(INDIRECT(CONCATENATE("Field!N",A102+2)),"")</f>
        <v>4</v>
      </c>
      <c r="R103" s="219">
        <f ca="1">IFERROR(INDIRECT(CONCATENATE("Field!r",A102+2)),"")</f>
        <v>1</v>
      </c>
    </row>
    <row r="104" spans="1:18" x14ac:dyDescent="0.35">
      <c r="B104" s="66">
        <f ca="1">IFERROR(INDIRECT(CONCATENATE("Field!B",A102+3)),"")</f>
        <v>2</v>
      </c>
      <c r="C104" s="66">
        <f ca="1">IFERROR(INDIRECT(CONCATENATE("Field!C",A102+3)),"")</f>
        <v>3</v>
      </c>
      <c r="D104" s="89" t="str">
        <f ca="1">IFERROR(INDIRECT(CONCATENATE("Field!D",A102+3)),"")</f>
        <v>HOGG Frances</v>
      </c>
      <c r="E104" s="89" t="str">
        <f ca="1">IFERROR(INDIRECT(CONCATENATE("Field!E",A102+3)),"")</f>
        <v>York</v>
      </c>
      <c r="F104" s="65">
        <f ca="1">IFERROR(INDIRECT(CONCATENATE("Field!F",A102+3)),"")</f>
        <v>1.5</v>
      </c>
      <c r="G104" s="121">
        <f ca="1">IFERROR(INDIRECT(CONCATENATE("Field!G",A102+3)),"")</f>
        <v>3</v>
      </c>
      <c r="H104" s="66"/>
      <c r="I104" s="66">
        <f ca="1">IFERROR(INDIRECT(CONCATENATE("Field!I",A102+3)),"")</f>
        <v>2</v>
      </c>
      <c r="J104" s="66">
        <f ca="1">IFERROR(INDIRECT(CONCATENATE("Field!J",A102+3)),"")</f>
        <v>33</v>
      </c>
      <c r="K104" s="89" t="str">
        <f ca="1">IFERROR(INDIRECT(CONCATENATE("Field!K",A102+3)),"")</f>
        <v>TWEDDLE Bella</v>
      </c>
      <c r="L104" s="89" t="str">
        <f ca="1">IFERROR(INDIRECT(CONCATENATE("Field!L",A102+3)),"")</f>
        <v>York</v>
      </c>
      <c r="M104" s="65">
        <f ca="1">IFERROR(INDIRECT(CONCATENATE("Field!M",A102+3)),"")</f>
        <v>1.4</v>
      </c>
      <c r="N104" s="121" t="str">
        <f ca="1">IFERROR(INDIRECT(CONCATENATE("Field!N",A102+3)),"")</f>
        <v/>
      </c>
    </row>
    <row r="105" spans="1:18" x14ac:dyDescent="0.35">
      <c r="B105" s="66">
        <f ca="1">IFERROR(INDIRECT(CONCATENATE("Field!B",A102+4)),"")</f>
        <v>3</v>
      </c>
      <c r="C105" s="66">
        <f ca="1">IFERROR(INDIRECT(CONCATENATE("Field!C",A102+4)),"")</f>
        <v>2</v>
      </c>
      <c r="D105" s="89" t="str">
        <f ca="1">IFERROR(INDIRECT(CONCATENATE("Field!D",A102+4)),"")</f>
        <v>WOODHOUSE Polly</v>
      </c>
      <c r="E105" s="89" t="str">
        <f ca="1">IFERROR(INDIRECT(CONCATENATE("Field!E",A102+4)),"")</f>
        <v>Sheff+D</v>
      </c>
      <c r="F105" s="65">
        <f ca="1">IFERROR(INDIRECT(CONCATENATE("Field!F",A102+4)),"")</f>
        <v>1.5</v>
      </c>
      <c r="G105" s="121">
        <f ca="1">IFERROR(INDIRECT(CONCATENATE("Field!G",A102+4)),"")</f>
        <v>3</v>
      </c>
      <c r="H105" s="66"/>
      <c r="I105" s="66" t="str">
        <f ca="1">IFERROR(INDIRECT(CONCATENATE("Field!I",A102+4)),"")</f>
        <v/>
      </c>
      <c r="J105" s="66" t="str">
        <f ca="1">IFERROR(INDIRECT(CONCATENATE("Field!J",A102+4)),"")</f>
        <v/>
      </c>
      <c r="K105" s="89" t="str">
        <f ca="1">IFERROR(INDIRECT(CONCATENATE("Field!K",A102+4)),"")</f>
        <v/>
      </c>
      <c r="L105" s="89" t="str">
        <f ca="1">IFERROR(INDIRECT(CONCATENATE("Field!L",A102+4)),"")</f>
        <v/>
      </c>
      <c r="M105" s="65">
        <f ca="1">IFERROR(INDIRECT(CONCATENATE("Field!M",A102+4)),"")</f>
        <v>0</v>
      </c>
      <c r="N105" s="121" t="str">
        <f ca="1">IFERROR(INDIRECT(CONCATENATE("Field!N",A102+4)),"")</f>
        <v/>
      </c>
    </row>
    <row r="106" spans="1:18" x14ac:dyDescent="0.35">
      <c r="B106" s="66" t="str">
        <f ca="1">IFERROR(INDIRECT(CONCATENATE("Field!B",A102+5)),"")</f>
        <v/>
      </c>
      <c r="C106" s="66" t="str">
        <f ca="1">IFERROR(INDIRECT(CONCATENATE("Field!C",A102+5)),"")</f>
        <v/>
      </c>
      <c r="D106" s="89" t="str">
        <f ca="1">IFERROR(INDIRECT(CONCATENATE("Field!D",A102+5)),"")</f>
        <v/>
      </c>
      <c r="E106" s="89" t="str">
        <f ca="1">IFERROR(INDIRECT(CONCATENATE("Field!E",A102+5)),"")</f>
        <v/>
      </c>
      <c r="F106" s="65">
        <f ca="1">IFERROR(INDIRECT(CONCATENATE("Field!F",A102+5)),"")</f>
        <v>0</v>
      </c>
      <c r="G106" s="121" t="str">
        <f ca="1">IFERROR(INDIRECT(CONCATENATE("Field!G",A102+5)),"")</f>
        <v/>
      </c>
      <c r="H106" s="66"/>
      <c r="I106" s="66" t="str">
        <f ca="1">IFERROR(INDIRECT(CONCATENATE("Field!I",A102+5)),"")</f>
        <v/>
      </c>
      <c r="J106" s="66" t="str">
        <f ca="1">IFERROR(INDIRECT(CONCATENATE("Field!J",A102+5)),"")</f>
        <v/>
      </c>
      <c r="K106" s="89" t="str">
        <f ca="1">IFERROR(INDIRECT(CONCATENATE("Field!K",A102+5)),"")</f>
        <v/>
      </c>
      <c r="L106" s="89" t="str">
        <f ca="1">IFERROR(INDIRECT(CONCATENATE("Field!L",A102+5)),"")</f>
        <v/>
      </c>
      <c r="M106" s="65">
        <f ca="1">IFERROR(INDIRECT(CONCATENATE("Field!M",A102+5)),"")</f>
        <v>0</v>
      </c>
      <c r="N106" s="121" t="str">
        <f ca="1">IFERROR(INDIRECT(CONCATENATE("Field!N",A102+5)),"")</f>
        <v/>
      </c>
    </row>
    <row r="107" spans="1:18" x14ac:dyDescent="0.35">
      <c r="B107" s="66" t="str">
        <f ca="1">IFERROR(INDIRECT(CONCATENATE("Field!B",A102+6)),"")</f>
        <v/>
      </c>
      <c r="C107" s="66" t="str">
        <f ca="1">IFERROR(INDIRECT(CONCATENATE("Field!C",A102+6)),"")</f>
        <v/>
      </c>
      <c r="D107" s="89" t="str">
        <f ca="1">IFERROR(INDIRECT(CONCATENATE("Field!D",A102+6)),"")</f>
        <v/>
      </c>
      <c r="E107" s="89" t="str">
        <f ca="1">IFERROR(INDIRECT(CONCATENATE("Field!E",A102+6)),"")</f>
        <v/>
      </c>
      <c r="F107" s="65">
        <f ca="1">IFERROR(INDIRECT(CONCATENATE("Field!F",A102+6)),"")</f>
        <v>0</v>
      </c>
      <c r="G107" s="121" t="str">
        <f ca="1">IFERROR(INDIRECT(CONCATENATE("Field!G",A102+6)),"")</f>
        <v/>
      </c>
      <c r="H107" s="66"/>
      <c r="I107" s="66" t="str">
        <f ca="1">IFERROR(INDIRECT(CONCATENATE("Field!I",A102+6)),"")</f>
        <v/>
      </c>
      <c r="J107" s="66" t="str">
        <f ca="1">IFERROR(INDIRECT(CONCATENATE("Field!J",A102+6)),"")</f>
        <v/>
      </c>
      <c r="K107" s="89" t="str">
        <f ca="1">IFERROR(INDIRECT(CONCATENATE("Field!K",A102+6)),"")</f>
        <v/>
      </c>
      <c r="L107" s="89" t="str">
        <f ca="1">IFERROR(INDIRECT(CONCATENATE("Field!L",A102+6)),"")</f>
        <v/>
      </c>
      <c r="M107" s="65">
        <f ca="1">IFERROR(INDIRECT(CONCATENATE("Field!M",A102+6)),"")</f>
        <v>0</v>
      </c>
      <c r="N107" s="121" t="str">
        <f ca="1">IFERROR(INDIRECT(CONCATENATE("Field!N",A102+6)),"")</f>
        <v/>
      </c>
    </row>
    <row r="108" spans="1:18" x14ac:dyDescent="0.35">
      <c r="B108" s="66" t="str">
        <f ca="1">IFERROR(INDIRECT(CONCATENATE("Field!B",A102+7)),"")</f>
        <v/>
      </c>
      <c r="C108" s="66" t="str">
        <f ca="1">IFERROR(INDIRECT(CONCATENATE("Field!C",A102+7)),"")</f>
        <v/>
      </c>
      <c r="D108" s="89" t="str">
        <f ca="1">IFERROR(INDIRECT(CONCATENATE("Field!D",A102+7)),"")</f>
        <v/>
      </c>
      <c r="E108" s="89" t="str">
        <f ca="1">IFERROR(INDIRECT(CONCATENATE("Field!E",A102+7)),"")</f>
        <v/>
      </c>
      <c r="F108" s="65">
        <f ca="1">IFERROR(INDIRECT(CONCATENATE("Field!F",A102+7)),"")</f>
        <v>0</v>
      </c>
      <c r="G108" s="121" t="str">
        <f ca="1">IFERROR(INDIRECT(CONCATENATE("Field!G",A102+7)),"")</f>
        <v/>
      </c>
      <c r="H108" s="66"/>
      <c r="I108" s="66" t="str">
        <f ca="1">IFERROR(INDIRECT(CONCATENATE("Field!I",A102+7)),"")</f>
        <v/>
      </c>
      <c r="J108" s="66" t="str">
        <f ca="1">IFERROR(INDIRECT(CONCATENATE("Field!J",A102+7)),"")</f>
        <v/>
      </c>
      <c r="K108" s="89" t="str">
        <f ca="1">IFERROR(INDIRECT(CONCATENATE("Field!K",A102+7)),"")</f>
        <v/>
      </c>
      <c r="L108" s="89" t="str">
        <f ca="1">IFERROR(INDIRECT(CONCATENATE("Field!L",A102+7)),"")</f>
        <v/>
      </c>
      <c r="M108" s="65">
        <f ca="1">IFERROR(INDIRECT(CONCATENATE("Field!M",A102+7)),"")</f>
        <v>0</v>
      </c>
      <c r="N108" s="121" t="str">
        <f ca="1">IFERROR(INDIRECT(CONCATENATE("Field!N",A102+7)),"")</f>
        <v/>
      </c>
    </row>
    <row r="109" spans="1:18" x14ac:dyDescent="0.35">
      <c r="B109" s="66" t="str">
        <f ca="1">IFERROR(INDIRECT(CONCATENATE("Field!B",A102+8)),"")</f>
        <v/>
      </c>
      <c r="C109" s="66" t="str">
        <f ca="1">IFERROR(INDIRECT(CONCATENATE("Field!C",A102+8)),"")</f>
        <v/>
      </c>
      <c r="D109" s="89" t="str">
        <f ca="1">IFERROR(INDIRECT(CONCATENATE("Field!D",A102+8)),"")</f>
        <v/>
      </c>
      <c r="E109" s="89" t="str">
        <f ca="1">IFERROR(INDIRECT(CONCATENATE("Field!E",A102+8)),"")</f>
        <v/>
      </c>
      <c r="F109" s="65">
        <f ca="1">IFERROR(INDIRECT(CONCATENATE("Field!F",A102+8)),"")</f>
        <v>0</v>
      </c>
      <c r="G109" s="121" t="str">
        <f ca="1">IFERROR(INDIRECT(CONCATENATE("Field!G",A102+8)),"")</f>
        <v/>
      </c>
      <c r="H109" s="66"/>
      <c r="I109" s="66" t="str">
        <f ca="1">IFERROR(INDIRECT(CONCATENATE("Field!I",A102+8)),"")</f>
        <v/>
      </c>
      <c r="J109" s="66" t="str">
        <f ca="1">IFERROR(INDIRECT(CONCATENATE("Field!J",A102+8)),"")</f>
        <v/>
      </c>
      <c r="K109" s="89" t="str">
        <f ca="1">IFERROR(INDIRECT(CONCATENATE("Field!K",A102+8)),"")</f>
        <v/>
      </c>
      <c r="L109" s="89" t="str">
        <f ca="1">IFERROR(INDIRECT(CONCATENATE("Field!L",A102+8)),"")</f>
        <v/>
      </c>
      <c r="M109" s="65">
        <f ca="1">IFERROR(INDIRECT(CONCATENATE("Field!M",A102+8)),"")</f>
        <v>0</v>
      </c>
      <c r="N109" s="121" t="str">
        <f ca="1">IFERROR(INDIRECT(CONCATENATE("Field!N",A102+8)),"")</f>
        <v/>
      </c>
    </row>
    <row r="110" spans="1:18" x14ac:dyDescent="0.35">
      <c r="B110" s="66" t="str">
        <f ca="1">IFERROR(INDIRECT(CONCATENATE("Field!B",A102+9)),"")</f>
        <v/>
      </c>
      <c r="C110" s="66" t="str">
        <f ca="1">IFERROR(INDIRECT(CONCATENATE("Field!C",A102+9)),"")</f>
        <v/>
      </c>
      <c r="D110" s="89" t="str">
        <f ca="1">IFERROR(INDIRECT(CONCATENATE("Field!D",A102+9)),"")</f>
        <v/>
      </c>
      <c r="E110" s="89" t="str">
        <f ca="1">IFERROR(INDIRECT(CONCATENATE("Field!E",A102+9)),"")</f>
        <v/>
      </c>
      <c r="F110" s="65">
        <f ca="1">IFERROR(INDIRECT(CONCATENATE("Field!F",A102+9)),"")</f>
        <v>0</v>
      </c>
      <c r="G110" s="121" t="str">
        <f ca="1">IFERROR(INDIRECT(CONCATENATE("Field!G",A102+9)),"")</f>
        <v/>
      </c>
      <c r="H110" s="66"/>
      <c r="I110" s="66" t="str">
        <f ca="1">IFERROR(INDIRECT(CONCATENATE("Field!I",A102+9)),"")</f>
        <v/>
      </c>
      <c r="J110" s="66" t="str">
        <f ca="1">IFERROR(INDIRECT(CONCATENATE("Field!J",A102+9)),"")</f>
        <v/>
      </c>
      <c r="K110" s="89" t="str">
        <f ca="1">IFERROR(INDIRECT(CONCATENATE("Field!K",A102+9)),"")</f>
        <v/>
      </c>
      <c r="L110" s="89" t="str">
        <f ca="1">IFERROR(INDIRECT(CONCATENATE("Field!L",A102+9)),"")</f>
        <v/>
      </c>
      <c r="M110" s="65">
        <f ca="1">IFERROR(INDIRECT(CONCATENATE("Field!M",A102+9)),"")</f>
        <v>0</v>
      </c>
      <c r="N110" s="121" t="str">
        <f ca="1">IFERROR(INDIRECT(CONCATENATE("Field!N",A102+9)),"")</f>
        <v/>
      </c>
    </row>
    <row r="111" spans="1:18" x14ac:dyDescent="0.35">
      <c r="F111" s="67"/>
      <c r="M111" s="67"/>
    </row>
    <row r="112" spans="1:18" x14ac:dyDescent="0.35">
      <c r="A112" s="66" t="s">
        <v>240</v>
      </c>
      <c r="B112" s="115" t="str">
        <f ca="1">IFERROR(INDIRECT(CONCATENATE("Field!B",A113)),"")</f>
        <v>Pole Vault U15 Girls A</v>
      </c>
      <c r="F112" s="67"/>
      <c r="G112" s="121" t="str">
        <f ca="1">IFERROR(INDIRECT(CONCATENATE("Field!g",A113)),"")</f>
        <v/>
      </c>
      <c r="I112" s="115" t="str">
        <f ca="1">IFERROR(INDIRECT(CONCATENATE("Field!I",A113)),"")</f>
        <v>Pole Vault U15 Girls B</v>
      </c>
      <c r="M112" s="67"/>
    </row>
    <row r="113" spans="1:18" x14ac:dyDescent="0.35">
      <c r="A113" s="66">
        <f>IFERROR(MATCH(A112,Field!A:A,0),"")</f>
        <v>222</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row>
    <row r="114" spans="1:18" x14ac:dyDescent="0.35">
      <c r="B114" s="66">
        <f ca="1">IFERROR(INDIRECT(CONCATENATE("Field!B",A113+2)),"")</f>
        <v>1</v>
      </c>
      <c r="C114" s="66">
        <f ca="1">IFERROR(INDIRECT(CONCATENATE("Field!C",A113+2)),"")</f>
        <v>1</v>
      </c>
      <c r="D114" s="89" t="str">
        <f ca="1">IFERROR(INDIRECT(CONCATENATE("Field!D",A113+2)),"")</f>
        <v>MOODY Hannah</v>
      </c>
      <c r="E114" s="89" t="str">
        <f ca="1">IFERROR(INDIRECT(CONCATENATE("Field!E",A113+2)),"")</f>
        <v>C'field</v>
      </c>
      <c r="F114" s="65">
        <f ca="1">IFERROR(INDIRECT(CONCATENATE("Field!F",A113+2)),"")</f>
        <v>2.5</v>
      </c>
      <c r="G114" s="121">
        <f ca="1">IFERROR(INDIRECT(CONCATENATE("Field!G",A113+2)),"")</f>
        <v>3</v>
      </c>
      <c r="H114" s="66"/>
      <c r="I114" s="66">
        <f ca="1">IFERROR(INDIRECT(CONCATENATE("Field!I",A113+2)),"")</f>
        <v>1</v>
      </c>
      <c r="J114" s="66">
        <f ca="1">IFERROR(INDIRECT(CONCATENATE("Field!J",A113+2)),"")</f>
        <v>11</v>
      </c>
      <c r="K114" s="89" t="str">
        <f ca="1">IFERROR(INDIRECT(CONCATENATE("Field!K",A113+2)),"")</f>
        <v>PROCTOR Alicia</v>
      </c>
      <c r="L114" s="89" t="str">
        <f ca="1">IFERROR(INDIRECT(CONCATENATE("Field!L",A113+2)),"")</f>
        <v>C'field</v>
      </c>
      <c r="M114" s="65" t="str">
        <f ca="1">IFERROR(INDIRECT(CONCATENATE("Field!M",A113+2)),"")</f>
        <v>X</v>
      </c>
      <c r="N114" s="121" t="str">
        <f ca="1">IFERROR(INDIRECT(CONCATENATE("Field!N",A113+2)),"")</f>
        <v/>
      </c>
      <c r="R114" s="219">
        <f ca="1">IFERROR(INDIRECT(CONCATENATE("Field!r",A113+2)),"")</f>
        <v>1</v>
      </c>
    </row>
    <row r="115" spans="1:18" x14ac:dyDescent="0.35">
      <c r="B115" s="66">
        <f ca="1">IFERROR(INDIRECT(CONCATENATE("Field!B",A113+3)),"")</f>
        <v>2</v>
      </c>
      <c r="C115" s="66">
        <f ca="1">IFERROR(INDIRECT(CONCATENATE("Field!C",A113+3)),"")</f>
        <v>33</v>
      </c>
      <c r="D115" s="89" t="str">
        <f ca="1">IFERROR(INDIRECT(CONCATENATE("Field!D",A113+3)),"")</f>
        <v>LEE Isabel</v>
      </c>
      <c r="E115" s="89" t="str">
        <f ca="1">IFERROR(INDIRECT(CONCATENATE("Field!E",A113+3)),"")</f>
        <v>York</v>
      </c>
      <c r="F115" s="65" t="str">
        <f ca="1">IFERROR(INDIRECT(CONCATENATE("Field!F",A113+3)),"")</f>
        <v>X</v>
      </c>
      <c r="G115" s="121" t="str">
        <f ca="1">IFERROR(INDIRECT(CONCATENATE("Field!G",A113+3)),"")</f>
        <v/>
      </c>
      <c r="H115" s="66"/>
      <c r="I115" s="66" t="str">
        <f ca="1">IFERROR(INDIRECT(CONCATENATE("Field!I",A113+3)),"")</f>
        <v/>
      </c>
      <c r="J115" s="66" t="str">
        <f ca="1">IFERROR(INDIRECT(CONCATENATE("Field!J",A113+3)),"")</f>
        <v/>
      </c>
      <c r="K115" s="89" t="str">
        <f ca="1">IFERROR(INDIRECT(CONCATENATE("Field!K",A113+3)),"")</f>
        <v/>
      </c>
      <c r="L115" s="89" t="str">
        <f ca="1">IFERROR(INDIRECT(CONCATENATE("Field!L",A113+3)),"")</f>
        <v/>
      </c>
      <c r="M115" s="65">
        <f ca="1">IFERROR(INDIRECT(CONCATENATE("Field!M",A113+3)),"")</f>
        <v>0</v>
      </c>
      <c r="N115" s="121" t="str">
        <f ca="1">IFERROR(INDIRECT(CONCATENATE("Field!N",A113+3)),"")</f>
        <v/>
      </c>
    </row>
    <row r="116" spans="1:18" x14ac:dyDescent="0.35">
      <c r="B116" s="66" t="str">
        <f ca="1">IFERROR(INDIRECT(CONCATENATE("Field!B",A113+4)),"")</f>
        <v/>
      </c>
      <c r="C116" s="66" t="str">
        <f ca="1">IFERROR(INDIRECT(CONCATENATE("Field!C",A113+4)),"")</f>
        <v/>
      </c>
      <c r="D116" s="89" t="str">
        <f ca="1">IFERROR(INDIRECT(CONCATENATE("Field!D",A113+4)),"")</f>
        <v/>
      </c>
      <c r="E116" s="89" t="str">
        <f ca="1">IFERROR(INDIRECT(CONCATENATE("Field!E",A113+4)),"")</f>
        <v/>
      </c>
      <c r="F116" s="65">
        <f ca="1">IFERROR(INDIRECT(CONCATENATE("Field!F",A113+4)),"")</f>
        <v>0</v>
      </c>
      <c r="G116" s="121" t="str">
        <f ca="1">IFERROR(INDIRECT(CONCATENATE("Field!G",A113+4)),"")</f>
        <v/>
      </c>
      <c r="H116" s="66"/>
      <c r="I116" s="66" t="str">
        <f ca="1">IFERROR(INDIRECT(CONCATENATE("Field!I",A113+4)),"")</f>
        <v/>
      </c>
      <c r="J116" s="66" t="str">
        <f ca="1">IFERROR(INDIRECT(CONCATENATE("Field!J",A113+4)),"")</f>
        <v/>
      </c>
      <c r="K116" s="89" t="str">
        <f ca="1">IFERROR(INDIRECT(CONCATENATE("Field!K",A113+4)),"")</f>
        <v/>
      </c>
      <c r="L116" s="89" t="str">
        <f ca="1">IFERROR(INDIRECT(CONCATENATE("Field!L",A113+4)),"")</f>
        <v/>
      </c>
      <c r="M116" s="65">
        <f ca="1">IFERROR(INDIRECT(CONCATENATE("Field!M",A113+4)),"")</f>
        <v>0</v>
      </c>
      <c r="N116" s="121" t="str">
        <f ca="1">IFERROR(INDIRECT(CONCATENATE("Field!N",A113+4)),"")</f>
        <v/>
      </c>
    </row>
    <row r="117" spans="1:18" x14ac:dyDescent="0.35">
      <c r="B117" s="66" t="str">
        <f ca="1">IFERROR(INDIRECT(CONCATENATE("Field!B",A113+5)),"")</f>
        <v/>
      </c>
      <c r="C117" s="66" t="str">
        <f ca="1">IFERROR(INDIRECT(CONCATENATE("Field!C",A113+5)),"")</f>
        <v/>
      </c>
      <c r="D117" s="89" t="str">
        <f ca="1">IFERROR(INDIRECT(CONCATENATE("Field!D",A113+5)),"")</f>
        <v/>
      </c>
      <c r="E117" s="89" t="str">
        <f ca="1">IFERROR(INDIRECT(CONCATENATE("Field!E",A113+5)),"")</f>
        <v/>
      </c>
      <c r="F117" s="65">
        <f ca="1">IFERROR(INDIRECT(CONCATENATE("Field!F",A113+5)),"")</f>
        <v>0</v>
      </c>
      <c r="G117" s="121" t="str">
        <f ca="1">IFERROR(INDIRECT(CONCATENATE("Field!G",A113+5)),"")</f>
        <v/>
      </c>
      <c r="H117" s="66"/>
      <c r="I117" s="66" t="str">
        <f ca="1">IFERROR(INDIRECT(CONCATENATE("Field!I",A113+5)),"")</f>
        <v/>
      </c>
      <c r="J117" s="66" t="str">
        <f ca="1">IFERROR(INDIRECT(CONCATENATE("Field!J",A113+5)),"")</f>
        <v/>
      </c>
      <c r="K117" s="89" t="str">
        <f ca="1">IFERROR(INDIRECT(CONCATENATE("Field!K",A113+5)),"")</f>
        <v/>
      </c>
      <c r="L117" s="89" t="str">
        <f ca="1">IFERROR(INDIRECT(CONCATENATE("Field!L",A113+5)),"")</f>
        <v/>
      </c>
      <c r="M117" s="65">
        <f ca="1">IFERROR(INDIRECT(CONCATENATE("Field!M",A113+5)),"")</f>
        <v>0</v>
      </c>
      <c r="N117" s="121" t="str">
        <f ca="1">IFERROR(INDIRECT(CONCATENATE("Field!N",A113+5)),"")</f>
        <v/>
      </c>
    </row>
    <row r="118" spans="1:18" x14ac:dyDescent="0.35">
      <c r="B118" s="66" t="str">
        <f ca="1">IFERROR(INDIRECT(CONCATENATE("Field!B",A113+6)),"")</f>
        <v/>
      </c>
      <c r="C118" s="66" t="str">
        <f ca="1">IFERROR(INDIRECT(CONCATENATE("Field!C",A113+6)),"")</f>
        <v/>
      </c>
      <c r="D118" s="89" t="str">
        <f ca="1">IFERROR(INDIRECT(CONCATENATE("Field!D",A113+6)),"")</f>
        <v/>
      </c>
      <c r="E118" s="89" t="str">
        <f ca="1">IFERROR(INDIRECT(CONCATENATE("Field!E",A113+6)),"")</f>
        <v/>
      </c>
      <c r="F118" s="65">
        <f ca="1">IFERROR(INDIRECT(CONCATENATE("Field!F",A113+6)),"")</f>
        <v>0</v>
      </c>
      <c r="G118" s="121" t="str">
        <f ca="1">IFERROR(INDIRECT(CONCATENATE("Field!G",A113+6)),"")</f>
        <v/>
      </c>
      <c r="H118" s="66"/>
      <c r="I118" s="66" t="str">
        <f ca="1">IFERROR(INDIRECT(CONCATENATE("Field!I",A113+6)),"")</f>
        <v/>
      </c>
      <c r="J118" s="66" t="str">
        <f ca="1">IFERROR(INDIRECT(CONCATENATE("Field!J",A113+6)),"")</f>
        <v/>
      </c>
      <c r="K118" s="89" t="str">
        <f ca="1">IFERROR(INDIRECT(CONCATENATE("Field!K",A113+6)),"")</f>
        <v/>
      </c>
      <c r="L118" s="89" t="str">
        <f ca="1">IFERROR(INDIRECT(CONCATENATE("Field!L",A113+6)),"")</f>
        <v/>
      </c>
      <c r="M118" s="65">
        <f ca="1">IFERROR(INDIRECT(CONCATENATE("Field!M",A113+6)),"")</f>
        <v>0</v>
      </c>
      <c r="N118" s="121" t="str">
        <f ca="1">IFERROR(INDIRECT(CONCATENATE("Field!N",A113+6)),"")</f>
        <v/>
      </c>
    </row>
    <row r="119" spans="1:18" x14ac:dyDescent="0.35">
      <c r="B119" s="66" t="str">
        <f ca="1">IFERROR(INDIRECT(CONCATENATE("Field!B",A113+7)),"")</f>
        <v/>
      </c>
      <c r="C119" s="66" t="str">
        <f ca="1">IFERROR(INDIRECT(CONCATENATE("Field!C",A113+7)),"")</f>
        <v/>
      </c>
      <c r="D119" s="89" t="str">
        <f ca="1">IFERROR(INDIRECT(CONCATENATE("Field!D",A113+7)),"")</f>
        <v/>
      </c>
      <c r="E119" s="89" t="str">
        <f ca="1">IFERROR(INDIRECT(CONCATENATE("Field!E",A113+7)),"")</f>
        <v/>
      </c>
      <c r="F119" s="65">
        <f ca="1">IFERROR(INDIRECT(CONCATENATE("Field!F",A113+7)),"")</f>
        <v>0</v>
      </c>
      <c r="G119" s="121" t="str">
        <f ca="1">IFERROR(INDIRECT(CONCATENATE("Field!G",A113+7)),"")</f>
        <v/>
      </c>
      <c r="H119" s="66"/>
      <c r="I119" s="66" t="str">
        <f ca="1">IFERROR(INDIRECT(CONCATENATE("Field!I",A113+7)),"")</f>
        <v/>
      </c>
      <c r="J119" s="66" t="str">
        <f ca="1">IFERROR(INDIRECT(CONCATENATE("Field!J",A113+7)),"")</f>
        <v/>
      </c>
      <c r="K119" s="89" t="str">
        <f ca="1">IFERROR(INDIRECT(CONCATENATE("Field!K",A113+7)),"")</f>
        <v/>
      </c>
      <c r="L119" s="89" t="str">
        <f ca="1">IFERROR(INDIRECT(CONCATENATE("Field!L",A113+7)),"")</f>
        <v/>
      </c>
      <c r="M119" s="65">
        <f ca="1">IFERROR(INDIRECT(CONCATENATE("Field!M",A113+7)),"")</f>
        <v>0</v>
      </c>
      <c r="N119" s="121" t="str">
        <f ca="1">IFERROR(INDIRECT(CONCATENATE("Field!N",A113+7)),"")</f>
        <v/>
      </c>
    </row>
    <row r="120" spans="1:18" x14ac:dyDescent="0.35">
      <c r="B120" s="66" t="str">
        <f ca="1">IFERROR(INDIRECT(CONCATENATE("Field!B",A113+8)),"")</f>
        <v/>
      </c>
      <c r="C120" s="66" t="str">
        <f ca="1">IFERROR(INDIRECT(CONCATENATE("Field!C",A113+8)),"")</f>
        <v/>
      </c>
      <c r="D120" s="89" t="str">
        <f ca="1">IFERROR(INDIRECT(CONCATENATE("Field!D",A113+8)),"")</f>
        <v/>
      </c>
      <c r="E120" s="89" t="str">
        <f ca="1">IFERROR(INDIRECT(CONCATENATE("Field!E",A113+8)),"")</f>
        <v/>
      </c>
      <c r="F120" s="65">
        <f ca="1">IFERROR(INDIRECT(CONCATENATE("Field!F",A113+8)),"")</f>
        <v>0</v>
      </c>
      <c r="G120" s="121" t="str">
        <f ca="1">IFERROR(INDIRECT(CONCATENATE("Field!G",A113+8)),"")</f>
        <v/>
      </c>
      <c r="H120" s="66"/>
      <c r="I120" s="66" t="str">
        <f ca="1">IFERROR(INDIRECT(CONCATENATE("Field!I",A113+8)),"")</f>
        <v/>
      </c>
      <c r="J120" s="66" t="str">
        <f ca="1">IFERROR(INDIRECT(CONCATENATE("Field!J",A113+8)),"")</f>
        <v/>
      </c>
      <c r="K120" s="89" t="str">
        <f ca="1">IFERROR(INDIRECT(CONCATENATE("Field!K",A113+8)),"")</f>
        <v/>
      </c>
      <c r="L120" s="89" t="str">
        <f ca="1">IFERROR(INDIRECT(CONCATENATE("Field!L",A113+8)),"")</f>
        <v/>
      </c>
      <c r="M120" s="65">
        <f ca="1">IFERROR(INDIRECT(CONCATENATE("Field!M",A113+8)),"")</f>
        <v>0</v>
      </c>
      <c r="N120" s="121" t="str">
        <f ca="1">IFERROR(INDIRECT(CONCATENATE("Field!N",A113+8)),"")</f>
        <v/>
      </c>
    </row>
    <row r="121" spans="1:18" x14ac:dyDescent="0.35">
      <c r="B121" s="66" t="str">
        <f ca="1">IFERROR(INDIRECT(CONCATENATE("Field!B",A113+9)),"")</f>
        <v/>
      </c>
      <c r="C121" s="66" t="str">
        <f ca="1">IFERROR(INDIRECT(CONCATENATE("Field!C",A113+9)),"")</f>
        <v/>
      </c>
      <c r="D121" s="89" t="str">
        <f ca="1">IFERROR(INDIRECT(CONCATENATE("Field!D",A113+9)),"")</f>
        <v/>
      </c>
      <c r="E121" s="89" t="str">
        <f ca="1">IFERROR(INDIRECT(CONCATENATE("Field!E",A113+9)),"")</f>
        <v/>
      </c>
      <c r="F121" s="65">
        <f ca="1">IFERROR(INDIRECT(CONCATENATE("Field!F",A113+9)),"")</f>
        <v>0</v>
      </c>
      <c r="G121" s="121" t="str">
        <f ca="1">IFERROR(INDIRECT(CONCATENATE("Field!G",A113+9)),"")</f>
        <v/>
      </c>
      <c r="H121" s="66"/>
      <c r="I121" s="66" t="str">
        <f ca="1">IFERROR(INDIRECT(CONCATENATE("Field!I",A113+9)),"")</f>
        <v/>
      </c>
      <c r="J121" s="66" t="str">
        <f ca="1">IFERROR(INDIRECT(CONCATENATE("Field!J",A113+9)),"")</f>
        <v/>
      </c>
      <c r="K121" s="89" t="str">
        <f ca="1">IFERROR(INDIRECT(CONCATENATE("Field!K",A113+9)),"")</f>
        <v/>
      </c>
      <c r="L121" s="89" t="str">
        <f ca="1">IFERROR(INDIRECT(CONCATENATE("Field!L",A113+9)),"")</f>
        <v/>
      </c>
      <c r="M121" s="65">
        <f ca="1">IFERROR(INDIRECT(CONCATENATE("Field!M",A113+9)),"")</f>
        <v>0</v>
      </c>
      <c r="N121" s="121" t="str">
        <f ca="1">IFERROR(INDIRECT(CONCATENATE("Field!N",A113+9)),"")</f>
        <v/>
      </c>
    </row>
    <row r="122" spans="1:18" x14ac:dyDescent="0.35">
      <c r="F122" s="67"/>
      <c r="M122" s="67"/>
    </row>
    <row r="123" spans="1:18" x14ac:dyDescent="0.35">
      <c r="A123" s="66" t="s">
        <v>247</v>
      </c>
      <c r="B123" s="115" t="str">
        <f ca="1">IFERROR(INDIRECT(CONCATENATE("Field!B",A124)),"")</f>
        <v>Shot U15 Girls A</v>
      </c>
      <c r="F123" s="67"/>
      <c r="G123" s="121" t="str">
        <f ca="1">IFERROR(INDIRECT(CONCATENATE("Field!g",A124)),"")</f>
        <v/>
      </c>
      <c r="I123" s="115" t="str">
        <f ca="1">IFERROR(INDIRECT(CONCATENATE("Field!I",A124)),"")</f>
        <v>Shot U15 Girls B</v>
      </c>
      <c r="M123" s="67"/>
    </row>
    <row r="124" spans="1:18" x14ac:dyDescent="0.35">
      <c r="A124" s="66">
        <f>IFERROR(MATCH(A123,Field!A:A,0),"")</f>
        <v>112</v>
      </c>
      <c r="B124" s="45" t="str">
        <f ca="1">IFERROR(INDIRECT(CONCATENATE("Field!B",A124+1)),"")</f>
        <v>Posn</v>
      </c>
      <c r="C124" s="45" t="str">
        <f ca="1">IFERROR(INDIRECT(CONCATENATE("Field!C",A124+1)),"")</f>
        <v>Bib</v>
      </c>
      <c r="D124" s="182" t="str">
        <f ca="1">IFERROR(INDIRECT(CONCATENATE("Field!D",A124+1)),"")</f>
        <v>Athlete</v>
      </c>
      <c r="E124" s="182" t="str">
        <f ca="1">IFERROR(INDIRECT(CONCATENATE("Field!E",A124+1)),"")</f>
        <v>Club</v>
      </c>
      <c r="F124" s="149" t="str">
        <f ca="1">IFERROR(INDIRECT(CONCATENATE("Field!F",A124+1)),"")</f>
        <v>Perf</v>
      </c>
      <c r="G124" s="218" t="str">
        <f ca="1">IFERROR(INDIRECT(CONCATENATE("Field!G",A124+1)),"")</f>
        <v>AAA</v>
      </c>
      <c r="H124" s="45"/>
      <c r="I124" s="45" t="str">
        <f ca="1">IFERROR(INDIRECT(CONCATENATE("Field!I",A124+1)),"")</f>
        <v>Posn</v>
      </c>
      <c r="J124" s="45" t="str">
        <f ca="1">IFERROR(INDIRECT(CONCATENATE("Field!J",A124+1)),"")</f>
        <v>Bib</v>
      </c>
      <c r="K124" s="182" t="str">
        <f ca="1">IFERROR(INDIRECT(CONCATENATE("Field!K",A124+1)),"")</f>
        <v>Athlete</v>
      </c>
      <c r="L124" s="182" t="str">
        <f ca="1">IFERROR(INDIRECT(CONCATENATE("Field!L",A124+1)),"")</f>
        <v>Club</v>
      </c>
      <c r="M124" s="149" t="str">
        <f ca="1">IFERROR(INDIRECT(CONCATENATE("Field!M",A124+1)),"")</f>
        <v>Perf</v>
      </c>
      <c r="N124" s="218" t="str">
        <f ca="1">IFERROR(INDIRECT(CONCATENATE("Field!N",A124+1)),"")</f>
        <v>AAA</v>
      </c>
    </row>
    <row r="125" spans="1:18" x14ac:dyDescent="0.35">
      <c r="B125" s="66">
        <f ca="1">IFERROR(INDIRECT(CONCATENATE("Field!B",A124+2)),"")</f>
        <v>1</v>
      </c>
      <c r="C125" s="66">
        <f ca="1">IFERROR(INDIRECT(CONCATENATE("Field!C",A124+2)),"")</f>
        <v>2</v>
      </c>
      <c r="D125" s="89" t="str">
        <f ca="1">IFERROR(INDIRECT(CONCATENATE("Field!D",A124+2)),"")</f>
        <v>ADEBAYO Daphney</v>
      </c>
      <c r="E125" s="89" t="str">
        <f ca="1">IFERROR(INDIRECT(CONCATENATE("Field!E",A124+2)),"")</f>
        <v>Sheff+D</v>
      </c>
      <c r="F125" s="65">
        <f ca="1">IFERROR(INDIRECT(CONCATENATE("Field!F",A124+2)),"")</f>
        <v>10.51</v>
      </c>
      <c r="G125" s="121">
        <f ca="1">IFERROR(INDIRECT(CONCATENATE("Field!G",A124+2)),"")</f>
        <v>1</v>
      </c>
      <c r="H125" s="66"/>
      <c r="I125" s="66">
        <f ca="1">IFERROR(INDIRECT(CONCATENATE("Field!I",A124+2)),"")</f>
        <v>1</v>
      </c>
      <c r="J125" s="66">
        <f ca="1">IFERROR(INDIRECT(CONCATENATE("Field!J",A124+2)),"")</f>
        <v>22</v>
      </c>
      <c r="K125" s="89" t="str">
        <f ca="1">IFERROR(INDIRECT(CONCATENATE("Field!K",A124+2)),"")</f>
        <v>KYNOCH Ella</v>
      </c>
      <c r="L125" s="89" t="str">
        <f ca="1">IFERROR(INDIRECT(CONCATENATE("Field!L",A124+2)),"")</f>
        <v>Sheff+D</v>
      </c>
      <c r="M125" s="65">
        <f ca="1">IFERROR(INDIRECT(CONCATENATE("Field!M",A124+2)),"")</f>
        <v>10.28</v>
      </c>
      <c r="N125" s="121">
        <f ca="1">IFERROR(INDIRECT(CONCATENATE("Field!N",A124+2)),"")</f>
        <v>1</v>
      </c>
      <c r="R125" s="219">
        <f ca="1">IFERROR(INDIRECT(CONCATENATE("Field!r",A124+2)),"")</f>
        <v>1</v>
      </c>
    </row>
    <row r="126" spans="1:18" x14ac:dyDescent="0.35">
      <c r="B126" s="66">
        <f ca="1">IFERROR(INDIRECT(CONCATENATE("Field!B",A124+3)),"")</f>
        <v>2</v>
      </c>
      <c r="C126" s="66">
        <f ca="1">IFERROR(INDIRECT(CONCATENATE("Field!C",A124+3)),"")</f>
        <v>3</v>
      </c>
      <c r="D126" s="89" t="str">
        <f ca="1">IFERROR(INDIRECT(CONCATENATE("Field!D",A124+3)),"")</f>
        <v>BROOKS Carmen</v>
      </c>
      <c r="E126" s="89" t="str">
        <f ca="1">IFERROR(INDIRECT(CONCATENATE("Field!E",A124+3)),"")</f>
        <v>York</v>
      </c>
      <c r="F126" s="65">
        <f ca="1">IFERROR(INDIRECT(CONCATENATE("Field!F",A124+3)),"")</f>
        <v>10.01</v>
      </c>
      <c r="G126" s="121">
        <f ca="1">IFERROR(INDIRECT(CONCATENATE("Field!G",A124+3)),"")</f>
        <v>2</v>
      </c>
      <c r="H126" s="66"/>
      <c r="I126" s="66">
        <f ca="1">IFERROR(INDIRECT(CONCATENATE("Field!I",A124+3)),"")</f>
        <v>2</v>
      </c>
      <c r="J126" s="66">
        <f ca="1">IFERROR(INDIRECT(CONCATENATE("Field!J",A124+3)),"")</f>
        <v>33</v>
      </c>
      <c r="K126" s="89" t="str">
        <f ca="1">IFERROR(INDIRECT(CONCATENATE("Field!K",A124+3)),"")</f>
        <v>LEE Isabel</v>
      </c>
      <c r="L126" s="89" t="str">
        <f ca="1">IFERROR(INDIRECT(CONCATENATE("Field!L",A124+3)),"")</f>
        <v>York</v>
      </c>
      <c r="M126" s="65">
        <f ca="1">IFERROR(INDIRECT(CONCATENATE("Field!M",A124+3)),"")</f>
        <v>7.07</v>
      </c>
      <c r="N126" s="121" t="str">
        <f ca="1">IFERROR(INDIRECT(CONCATENATE("Field!N",A124+3)),"")</f>
        <v/>
      </c>
    </row>
    <row r="127" spans="1:18" x14ac:dyDescent="0.35">
      <c r="B127" s="66">
        <f ca="1">IFERROR(INDIRECT(CONCATENATE("Field!B",A124+4)),"")</f>
        <v>3</v>
      </c>
      <c r="C127" s="66">
        <f ca="1">IFERROR(INDIRECT(CONCATENATE("Field!C",A124+4)),"")</f>
        <v>4</v>
      </c>
      <c r="D127" s="89" t="str">
        <f ca="1">IFERROR(INDIRECT(CONCATENATE("Field!D",A124+4)),"")</f>
        <v>DORAN Bethany</v>
      </c>
      <c r="E127" s="89" t="str">
        <f ca="1">IFERROR(INDIRECT(CONCATENATE("Field!E",A124+4)),"")</f>
        <v>M'bro</v>
      </c>
      <c r="F127" s="65">
        <f ca="1">IFERROR(INDIRECT(CONCATENATE("Field!F",A124+4)),"")</f>
        <v>7.89</v>
      </c>
      <c r="G127" s="121" t="str">
        <f ca="1">IFERROR(INDIRECT(CONCATENATE("Field!G",A124+4)),"")</f>
        <v/>
      </c>
      <c r="H127" s="66"/>
      <c r="I127" s="66">
        <f ca="1">IFERROR(INDIRECT(CONCATENATE("Field!I",A124+4)),"")</f>
        <v>3</v>
      </c>
      <c r="J127" s="66">
        <f ca="1">IFERROR(INDIRECT(CONCATENATE("Field!J",A124+4)),"")</f>
        <v>11</v>
      </c>
      <c r="K127" s="89" t="str">
        <f ca="1">IFERROR(INDIRECT(CONCATENATE("Field!K",A124+4)),"")</f>
        <v>BAINES Lily</v>
      </c>
      <c r="L127" s="89" t="str">
        <f ca="1">IFERROR(INDIRECT(CONCATENATE("Field!L",A124+4)),"")</f>
        <v>C'field</v>
      </c>
      <c r="M127" s="65">
        <f ca="1">IFERROR(INDIRECT(CONCATENATE("Field!M",A124+4)),"")</f>
        <v>6.25</v>
      </c>
      <c r="N127" s="121" t="str">
        <f ca="1">IFERROR(INDIRECT(CONCATENATE("Field!N",A124+4)),"")</f>
        <v/>
      </c>
    </row>
    <row r="128" spans="1:18" x14ac:dyDescent="0.35">
      <c r="B128" s="66">
        <f ca="1">IFERROR(INDIRECT(CONCATENATE("Field!B",A124+5)),"")</f>
        <v>4</v>
      </c>
      <c r="C128" s="66">
        <f ca="1">IFERROR(INDIRECT(CONCATENATE("Field!C",A124+5)),"")</f>
        <v>5</v>
      </c>
      <c r="D128" s="89" t="str">
        <f ca="1">IFERROR(INDIRECT(CONCATENATE("Field!D",A124+5)),"")</f>
        <v>THIRKETTLE Charlotte</v>
      </c>
      <c r="E128" s="89" t="str">
        <f ca="1">IFERROR(INDIRECT(CONCATENATE("Field!E",A124+5)),"")</f>
        <v>Scun</v>
      </c>
      <c r="F128" s="65">
        <f ca="1">IFERROR(INDIRECT(CONCATENATE("Field!F",A124+5)),"")</f>
        <v>7.3</v>
      </c>
      <c r="G128" s="121" t="str">
        <f ca="1">IFERROR(INDIRECT(CONCATENATE("Field!G",A124+5)),"")</f>
        <v/>
      </c>
      <c r="H128" s="66"/>
      <c r="I128" s="66">
        <f ca="1">IFERROR(INDIRECT(CONCATENATE("Field!I",A124+5)),"")</f>
        <v>4</v>
      </c>
      <c r="J128" s="66">
        <f ca="1">IFERROR(INDIRECT(CONCATENATE("Field!J",A124+5)),"")</f>
        <v>55</v>
      </c>
      <c r="K128" s="89" t="str">
        <f ca="1">IFERROR(INDIRECT(CONCATENATE("Field!K",A124+5)),"")</f>
        <v>VICKERS Cerys</v>
      </c>
      <c r="L128" s="89" t="str">
        <f ca="1">IFERROR(INDIRECT(CONCATENATE("Field!L",A124+5)),"")</f>
        <v>Scun</v>
      </c>
      <c r="M128" s="65">
        <f ca="1">IFERROR(INDIRECT(CONCATENATE("Field!M",A124+5)),"")</f>
        <v>5.08</v>
      </c>
      <c r="N128" s="121" t="str">
        <f ca="1">IFERROR(INDIRECT(CONCATENATE("Field!N",A124+5)),"")</f>
        <v/>
      </c>
    </row>
    <row r="129" spans="1:18" x14ac:dyDescent="0.35">
      <c r="B129" s="66">
        <f ca="1">IFERROR(INDIRECT(CONCATENATE("Field!B",A124+6)),"")</f>
        <v>5</v>
      </c>
      <c r="C129" s="66">
        <f ca="1">IFERROR(INDIRECT(CONCATENATE("Field!C",A124+6)),"")</f>
        <v>1</v>
      </c>
      <c r="D129" s="89" t="str">
        <f ca="1">IFERROR(INDIRECT(CONCATENATE("Field!D",A124+6)),"")</f>
        <v>HIGHAM Ruby</v>
      </c>
      <c r="E129" s="89" t="str">
        <f ca="1">IFERROR(INDIRECT(CONCATENATE("Field!E",A124+6)),"")</f>
        <v>C'field</v>
      </c>
      <c r="F129" s="65">
        <f ca="1">IFERROR(INDIRECT(CONCATENATE("Field!F",A124+6)),"")</f>
        <v>6.45</v>
      </c>
      <c r="G129" s="121" t="str">
        <f ca="1">IFERROR(INDIRECT(CONCATENATE("Field!G",A124+6)),"")</f>
        <v/>
      </c>
      <c r="H129" s="66"/>
      <c r="I129" s="66">
        <f ca="1">IFERROR(INDIRECT(CONCATENATE("Field!I",A124+6)),"")</f>
        <v>5</v>
      </c>
      <c r="J129" s="66" t="str">
        <f ca="1">IFERROR(INDIRECT(CONCATENATE("Field!J",A124+6)),"")</f>
        <v/>
      </c>
      <c r="K129" s="89" t="str">
        <f ca="1">IFERROR(INDIRECT(CONCATENATE("Field!K",A124+6)),"")</f>
        <v/>
      </c>
      <c r="L129" s="89" t="str">
        <f ca="1">IFERROR(INDIRECT(CONCATENATE("Field!L",A124+6)),"")</f>
        <v/>
      </c>
      <c r="M129" s="65" t="str">
        <f ca="1">IFERROR(INDIRECT(CONCATENATE("Field!M",A124+6)),"")</f>
        <v/>
      </c>
      <c r="N129" s="121" t="str">
        <f ca="1">IFERROR(INDIRECT(CONCATENATE("Field!N",A124+6)),"")</f>
        <v/>
      </c>
    </row>
    <row r="130" spans="1:18" x14ac:dyDescent="0.35">
      <c r="B130" s="66">
        <f ca="1">IFERROR(INDIRECT(CONCATENATE("Field!B",A124+7)),"")</f>
        <v>6</v>
      </c>
      <c r="C130" s="66" t="str">
        <f ca="1">IFERROR(INDIRECT(CONCATENATE("Field!C",A124+7)),"")</f>
        <v/>
      </c>
      <c r="D130" s="89" t="str">
        <f ca="1">IFERROR(INDIRECT(CONCATENATE("Field!D",A124+7)),"")</f>
        <v/>
      </c>
      <c r="E130" s="89" t="str">
        <f ca="1">IFERROR(INDIRECT(CONCATENATE("Field!E",A124+7)),"")</f>
        <v/>
      </c>
      <c r="F130" s="65" t="str">
        <f ca="1">IFERROR(INDIRECT(CONCATENATE("Field!F",A124+7)),"")</f>
        <v/>
      </c>
      <c r="G130" s="121" t="str">
        <f ca="1">IFERROR(INDIRECT(CONCATENATE("Field!G",A124+7)),"")</f>
        <v/>
      </c>
      <c r="H130" s="66"/>
      <c r="I130" s="66">
        <f ca="1">IFERROR(INDIRECT(CONCATENATE("Field!I",A124+7)),"")</f>
        <v>6</v>
      </c>
      <c r="J130" s="66" t="str">
        <f ca="1">IFERROR(INDIRECT(CONCATENATE("Field!J",A124+7)),"")</f>
        <v/>
      </c>
      <c r="K130" s="89" t="str">
        <f ca="1">IFERROR(INDIRECT(CONCATENATE("Field!K",A124+7)),"")</f>
        <v/>
      </c>
      <c r="L130" s="89" t="str">
        <f ca="1">IFERROR(INDIRECT(CONCATENATE("Field!L",A124+7)),"")</f>
        <v/>
      </c>
      <c r="M130" s="65" t="str">
        <f ca="1">IFERROR(INDIRECT(CONCATENATE("Field!M",A124+7)),"")</f>
        <v/>
      </c>
      <c r="N130" s="121" t="str">
        <f ca="1">IFERROR(INDIRECT(CONCATENATE("Field!N",A124+7)),"")</f>
        <v/>
      </c>
    </row>
    <row r="131" spans="1:18" x14ac:dyDescent="0.35">
      <c r="B131" s="66">
        <f ca="1">IFERROR(INDIRECT(CONCATENATE("Field!B",A124+8)),"")</f>
        <v>7</v>
      </c>
      <c r="C131" s="66" t="str">
        <f ca="1">IFERROR(INDIRECT(CONCATENATE("Field!C",A124+8)),"")</f>
        <v/>
      </c>
      <c r="D131" s="89" t="str">
        <f ca="1">IFERROR(INDIRECT(CONCATENATE("Field!D",A124+8)),"")</f>
        <v/>
      </c>
      <c r="E131" s="89" t="str">
        <f ca="1">IFERROR(INDIRECT(CONCATENATE("Field!E",A124+8)),"")</f>
        <v/>
      </c>
      <c r="F131" s="65" t="str">
        <f ca="1">IFERROR(INDIRECT(CONCATENATE("Field!F",A124+8)),"")</f>
        <v/>
      </c>
      <c r="G131" s="121" t="str">
        <f ca="1">IFERROR(INDIRECT(CONCATENATE("Field!G",A124+8)),"")</f>
        <v/>
      </c>
      <c r="H131" s="66"/>
      <c r="I131" s="66">
        <f ca="1">IFERROR(INDIRECT(CONCATENATE("Field!I",A124+8)),"")</f>
        <v>7</v>
      </c>
      <c r="J131" s="66" t="str">
        <f ca="1">IFERROR(INDIRECT(CONCATENATE("Field!J",A124+8)),"")</f>
        <v/>
      </c>
      <c r="K131" s="89" t="str">
        <f ca="1">IFERROR(INDIRECT(CONCATENATE("Field!K",A124+8)),"")</f>
        <v/>
      </c>
      <c r="L131" s="89" t="str">
        <f ca="1">IFERROR(INDIRECT(CONCATENATE("Field!L",A124+8)),"")</f>
        <v/>
      </c>
      <c r="M131" s="65" t="str">
        <f ca="1">IFERROR(INDIRECT(CONCATENATE("Field!M",A124+8)),"")</f>
        <v/>
      </c>
      <c r="N131" s="121" t="str">
        <f ca="1">IFERROR(INDIRECT(CONCATENATE("Field!N",A124+8)),"")</f>
        <v/>
      </c>
    </row>
    <row r="132" spans="1:18" x14ac:dyDescent="0.35">
      <c r="B132" s="66">
        <f ca="1">IFERROR(INDIRECT(CONCATENATE("Field!B",A124+9)),"")</f>
        <v>8</v>
      </c>
      <c r="C132" s="66" t="str">
        <f ca="1">IFERROR(INDIRECT(CONCATENATE("Field!C",A124+9)),"")</f>
        <v/>
      </c>
      <c r="D132" s="89" t="str">
        <f ca="1">IFERROR(INDIRECT(CONCATENATE("Field!D",A124+9)),"")</f>
        <v/>
      </c>
      <c r="E132" s="89" t="str">
        <f ca="1">IFERROR(INDIRECT(CONCATENATE("Field!E",A124+9)),"")</f>
        <v/>
      </c>
      <c r="F132" s="65" t="str">
        <f ca="1">IFERROR(INDIRECT(CONCATENATE("Field!F",A124+9)),"")</f>
        <v/>
      </c>
      <c r="G132" s="121" t="str">
        <f ca="1">IFERROR(INDIRECT(CONCATENATE("Field!G",A124+9)),"")</f>
        <v/>
      </c>
      <c r="H132" s="66"/>
      <c r="I132" s="66">
        <f ca="1">IFERROR(INDIRECT(CONCATENATE("Field!I",A124+9)),"")</f>
        <v>8</v>
      </c>
      <c r="J132" s="66" t="str">
        <f ca="1">IFERROR(INDIRECT(CONCATENATE("Field!J",A124+9)),"")</f>
        <v/>
      </c>
      <c r="K132" s="89" t="str">
        <f ca="1">IFERROR(INDIRECT(CONCATENATE("Field!K",A124+9)),"")</f>
        <v/>
      </c>
      <c r="L132" s="89" t="str">
        <f ca="1">IFERROR(INDIRECT(CONCATENATE("Field!L",A124+9)),"")</f>
        <v/>
      </c>
      <c r="M132" s="65" t="str">
        <f ca="1">IFERROR(INDIRECT(CONCATENATE("Field!M",A124+9)),"")</f>
        <v/>
      </c>
      <c r="N132" s="121" t="str">
        <f ca="1">IFERROR(INDIRECT(CONCATENATE("Field!N",A124+9)),"")</f>
        <v/>
      </c>
    </row>
    <row r="133" spans="1:18" x14ac:dyDescent="0.35">
      <c r="F133" s="67"/>
      <c r="M133" s="67"/>
    </row>
    <row r="134" spans="1:18" x14ac:dyDescent="0.35">
      <c r="A134" s="66" t="s">
        <v>235</v>
      </c>
      <c r="B134" s="115" t="str">
        <f ca="1">IFERROR(INDIRECT(CONCATENATE("Field!B",A135)),"")</f>
        <v>Discus U15 Girls A</v>
      </c>
      <c r="F134" s="67"/>
      <c r="G134" s="121" t="str">
        <f ca="1">IFERROR(INDIRECT(CONCATENATE("Field!g",A135)),"")</f>
        <v/>
      </c>
      <c r="I134" s="115" t="str">
        <f ca="1">IFERROR(INDIRECT(CONCATENATE("Field!I",A135)),"")</f>
        <v>Discus U15 Girls B</v>
      </c>
      <c r="M134" s="67"/>
    </row>
    <row r="135" spans="1:18" x14ac:dyDescent="0.35">
      <c r="A135" s="66">
        <f>IFERROR(MATCH(A134,Field!A:A,0),"")</f>
        <v>46</v>
      </c>
      <c r="B135" s="45" t="str">
        <f ca="1">IFERROR(INDIRECT(CONCATENATE("Field!B",A135+1)),"")</f>
        <v>Posn</v>
      </c>
      <c r="C135" s="45" t="str">
        <f ca="1">IFERROR(INDIRECT(CONCATENATE("Field!C",A135+1)),"")</f>
        <v>Bib</v>
      </c>
      <c r="D135" s="182" t="str">
        <f ca="1">IFERROR(INDIRECT(CONCATENATE("Field!D",A135+1)),"")</f>
        <v>Athlete</v>
      </c>
      <c r="E135" s="182" t="str">
        <f ca="1">IFERROR(INDIRECT(CONCATENATE("Field!E",A135+1)),"")</f>
        <v>Club</v>
      </c>
      <c r="F135" s="149" t="str">
        <f ca="1">IFERROR(INDIRECT(CONCATENATE("Field!F",A135+1)),"")</f>
        <v>Perf</v>
      </c>
      <c r="G135" s="218" t="str">
        <f ca="1">IFERROR(INDIRECT(CONCATENATE("Field!G",A135+1)),"")</f>
        <v>AAA</v>
      </c>
      <c r="H135" s="45"/>
      <c r="I135" s="45" t="str">
        <f ca="1">IFERROR(INDIRECT(CONCATENATE("Field!I",A135+1)),"")</f>
        <v>Posn</v>
      </c>
      <c r="J135" s="45" t="str">
        <f ca="1">IFERROR(INDIRECT(CONCATENATE("Field!J",A135+1)),"")</f>
        <v>Bib</v>
      </c>
      <c r="K135" s="182" t="str">
        <f ca="1">IFERROR(INDIRECT(CONCATENATE("Field!K",A135+1)),"")</f>
        <v>Athlete</v>
      </c>
      <c r="L135" s="182" t="str">
        <f ca="1">IFERROR(INDIRECT(CONCATENATE("Field!L",A135+1)),"")</f>
        <v>Club</v>
      </c>
      <c r="M135" s="149" t="str">
        <f ca="1">IFERROR(INDIRECT(CONCATENATE("Field!M",A135+1)),"")</f>
        <v>Perf</v>
      </c>
      <c r="N135" s="218" t="str">
        <f ca="1">IFERROR(INDIRECT(CONCATENATE("Field!N",A135+1)),"")</f>
        <v>AAA</v>
      </c>
    </row>
    <row r="136" spans="1:18" x14ac:dyDescent="0.35">
      <c r="B136" s="66">
        <f ca="1">IFERROR(INDIRECT(CONCATENATE("Field!B",A135+2)),"")</f>
        <v>1</v>
      </c>
      <c r="C136" s="66">
        <f ca="1">IFERROR(INDIRECT(CONCATENATE("Field!C",A135+2)),"")</f>
        <v>2</v>
      </c>
      <c r="D136" s="89" t="str">
        <f ca="1">IFERROR(INDIRECT(CONCATENATE("Field!D",A135+2)),"")</f>
        <v>KYNOCH Ella</v>
      </c>
      <c r="E136" s="89" t="str">
        <f ca="1">IFERROR(INDIRECT(CONCATENATE("Field!E",A135+2)),"")</f>
        <v>Sheff+D</v>
      </c>
      <c r="F136" s="65">
        <f ca="1">IFERROR(INDIRECT(CONCATENATE("Field!F",A135+2)),"")</f>
        <v>28.23</v>
      </c>
      <c r="G136" s="121" t="str">
        <f ca="1">IFERROR(INDIRECT(CONCATENATE("Field!G",A135+2)),"")</f>
        <v/>
      </c>
      <c r="H136" s="66"/>
      <c r="I136" s="66">
        <f ca="1">IFERROR(INDIRECT(CONCATENATE("Field!I",A135+2)),"")</f>
        <v>1</v>
      </c>
      <c r="J136" s="66">
        <f ca="1">IFERROR(INDIRECT(CONCATENATE("Field!J",A135+2)),"")</f>
        <v>22</v>
      </c>
      <c r="K136" s="89" t="str">
        <f ca="1">IFERROR(INDIRECT(CONCATENATE("Field!K",A135+2)),"")</f>
        <v>JELONKIEWICZ Viktoria</v>
      </c>
      <c r="L136" s="89" t="str">
        <f ca="1">IFERROR(INDIRECT(CONCATENATE("Field!L",A135+2)),"")</f>
        <v>Sheff+D</v>
      </c>
      <c r="M136" s="65">
        <f ca="1">IFERROR(INDIRECT(CONCATENATE("Field!M",A135+2)),"")</f>
        <v>17.149999999999999</v>
      </c>
      <c r="N136" s="121" t="str">
        <f ca="1">IFERROR(INDIRECT(CONCATENATE("Field!N",A135+2)),"")</f>
        <v/>
      </c>
      <c r="R136" s="219">
        <f ca="1">IFERROR(INDIRECT(CONCATENATE("Field!r",A135+2)),"")</f>
        <v>1</v>
      </c>
    </row>
    <row r="137" spans="1:18" x14ac:dyDescent="0.35">
      <c r="B137" s="66">
        <f ca="1">IFERROR(INDIRECT(CONCATENATE("Field!B",A135+3)),"")</f>
        <v>2</v>
      </c>
      <c r="C137" s="66">
        <f ca="1">IFERROR(INDIRECT(CONCATENATE("Field!C",A135+3)),"")</f>
        <v>3</v>
      </c>
      <c r="D137" s="89" t="str">
        <f ca="1">IFERROR(INDIRECT(CONCATENATE("Field!D",A135+3)),"")</f>
        <v>BROOKS Carmen</v>
      </c>
      <c r="E137" s="89" t="str">
        <f ca="1">IFERROR(INDIRECT(CONCATENATE("Field!E",A135+3)),"")</f>
        <v>York</v>
      </c>
      <c r="F137" s="65">
        <f ca="1">IFERROR(INDIRECT(CONCATENATE("Field!F",A135+3)),"")</f>
        <v>20.52</v>
      </c>
      <c r="G137" s="121" t="str">
        <f ca="1">IFERROR(INDIRECT(CONCATENATE("Field!G",A135+3)),"")</f>
        <v/>
      </c>
      <c r="H137" s="66"/>
      <c r="I137" s="66">
        <f ca="1">IFERROR(INDIRECT(CONCATENATE("Field!I",A135+3)),"")</f>
        <v>2</v>
      </c>
      <c r="J137" s="66">
        <f ca="1">IFERROR(INDIRECT(CONCATENATE("Field!J",A135+3)),"")</f>
        <v>33</v>
      </c>
      <c r="K137" s="89" t="str">
        <f ca="1">IFERROR(INDIRECT(CONCATENATE("Field!K",A135+3)),"")</f>
        <v>LEE Isabel</v>
      </c>
      <c r="L137" s="89" t="str">
        <f ca="1">IFERROR(INDIRECT(CONCATENATE("Field!L",A135+3)),"")</f>
        <v>York</v>
      </c>
      <c r="M137" s="65">
        <f ca="1">IFERROR(INDIRECT(CONCATENATE("Field!M",A135+3)),"")</f>
        <v>14.1</v>
      </c>
      <c r="N137" s="121" t="str">
        <f ca="1">IFERROR(INDIRECT(CONCATENATE("Field!N",A135+3)),"")</f>
        <v/>
      </c>
    </row>
    <row r="138" spans="1:18" x14ac:dyDescent="0.35">
      <c r="B138" s="66">
        <f ca="1">IFERROR(INDIRECT(CONCATENATE("Field!B",A135+4)),"")</f>
        <v>3</v>
      </c>
      <c r="C138" s="66">
        <f ca="1">IFERROR(INDIRECT(CONCATENATE("Field!C",A135+4)),"")</f>
        <v>4</v>
      </c>
      <c r="D138" s="89" t="str">
        <f ca="1">IFERROR(INDIRECT(CONCATENATE("Field!D",A135+4)),"")</f>
        <v>DORAN Bethany</v>
      </c>
      <c r="E138" s="89" t="str">
        <f ca="1">IFERROR(INDIRECT(CONCATENATE("Field!E",A135+4)),"")</f>
        <v>M'bro</v>
      </c>
      <c r="F138" s="65">
        <f ca="1">IFERROR(INDIRECT(CONCATENATE("Field!F",A135+4)),"")</f>
        <v>16.43</v>
      </c>
      <c r="G138" s="121" t="str">
        <f ca="1">IFERROR(INDIRECT(CONCATENATE("Field!G",A135+4)),"")</f>
        <v/>
      </c>
      <c r="H138" s="66"/>
      <c r="I138" s="66">
        <f ca="1">IFERROR(INDIRECT(CONCATENATE("Field!I",A135+4)),"")</f>
        <v>3</v>
      </c>
      <c r="J138" s="66">
        <f ca="1">IFERROR(INDIRECT(CONCATENATE("Field!J",A135+4)),"")</f>
        <v>44</v>
      </c>
      <c r="K138" s="89" t="str">
        <f ca="1">IFERROR(INDIRECT(CONCATENATE("Field!K",A135+4)),"")</f>
        <v>MANNION Grace</v>
      </c>
      <c r="L138" s="89" t="str">
        <f ca="1">IFERROR(INDIRECT(CONCATENATE("Field!L",A135+4)),"")</f>
        <v>M'bro</v>
      </c>
      <c r="M138" s="65">
        <f ca="1">IFERROR(INDIRECT(CONCATENATE("Field!M",A135+4)),"")</f>
        <v>11.92</v>
      </c>
      <c r="N138" s="121" t="str">
        <f ca="1">IFERROR(INDIRECT(CONCATENATE("Field!N",A135+4)),"")</f>
        <v/>
      </c>
    </row>
    <row r="139" spans="1:18" x14ac:dyDescent="0.35">
      <c r="B139" s="66">
        <f ca="1">IFERROR(INDIRECT(CONCATENATE("Field!B",A135+5)),"")</f>
        <v>4</v>
      </c>
      <c r="C139" s="66">
        <f ca="1">IFERROR(INDIRECT(CONCATENATE("Field!C",A135+5)),"")</f>
        <v>5</v>
      </c>
      <c r="D139" s="89" t="str">
        <f ca="1">IFERROR(INDIRECT(CONCATENATE("Field!D",A135+5)),"")</f>
        <v>THIRKETTLE Charlotte</v>
      </c>
      <c r="E139" s="89" t="str">
        <f ca="1">IFERROR(INDIRECT(CONCATENATE("Field!E",A135+5)),"")</f>
        <v>Scun</v>
      </c>
      <c r="F139" s="65">
        <f ca="1">IFERROR(INDIRECT(CONCATENATE("Field!F",A135+5)),"")</f>
        <v>15.65</v>
      </c>
      <c r="G139" s="121" t="str">
        <f ca="1">IFERROR(INDIRECT(CONCATENATE("Field!G",A135+5)),"")</f>
        <v/>
      </c>
      <c r="H139" s="66"/>
      <c r="I139" s="66">
        <f ca="1">IFERROR(INDIRECT(CONCATENATE("Field!I",A135+5)),"")</f>
        <v>4</v>
      </c>
      <c r="J139" s="66">
        <f ca="1">IFERROR(INDIRECT(CONCATENATE("Field!J",A135+5)),"")</f>
        <v>11</v>
      </c>
      <c r="K139" s="89" t="str">
        <f ca="1">IFERROR(INDIRECT(CONCATENATE("Field!K",A135+5)),"")</f>
        <v>HIGHAM Ruby</v>
      </c>
      <c r="L139" s="89" t="str">
        <f ca="1">IFERROR(INDIRECT(CONCATENATE("Field!L",A135+5)),"")</f>
        <v>C'field</v>
      </c>
      <c r="M139" s="65">
        <f ca="1">IFERROR(INDIRECT(CONCATENATE("Field!M",A135+5)),"")</f>
        <v>10.61</v>
      </c>
      <c r="N139" s="121" t="str">
        <f ca="1">IFERROR(INDIRECT(CONCATENATE("Field!N",A135+5)),"")</f>
        <v/>
      </c>
    </row>
    <row r="140" spans="1:18" x14ac:dyDescent="0.35">
      <c r="B140" s="66">
        <f ca="1">IFERROR(INDIRECT(CONCATENATE("Field!B",A135+6)),"")</f>
        <v>5</v>
      </c>
      <c r="C140" s="66">
        <f ca="1">IFERROR(INDIRECT(CONCATENATE("Field!C",A135+6)),"")</f>
        <v>1</v>
      </c>
      <c r="D140" s="89" t="str">
        <f ca="1">IFERROR(INDIRECT(CONCATENATE("Field!D",A135+6)),"")</f>
        <v>LABAN Ella</v>
      </c>
      <c r="E140" s="89" t="str">
        <f ca="1">IFERROR(INDIRECT(CONCATENATE("Field!E",A135+6)),"")</f>
        <v>C'field</v>
      </c>
      <c r="F140" s="65">
        <f ca="1">IFERROR(INDIRECT(CONCATENATE("Field!F",A135+6)),"")</f>
        <v>15.03</v>
      </c>
      <c r="G140" s="121" t="str">
        <f ca="1">IFERROR(INDIRECT(CONCATENATE("Field!G",A135+6)),"")</f>
        <v/>
      </c>
      <c r="H140" s="66"/>
      <c r="I140" s="66">
        <f ca="1">IFERROR(INDIRECT(CONCATENATE("Field!I",A135+6)),"")</f>
        <v>5</v>
      </c>
      <c r="J140" s="66" t="str">
        <f ca="1">IFERROR(INDIRECT(CONCATENATE("Field!J",A135+6)),"")</f>
        <v/>
      </c>
      <c r="K140" s="89" t="str">
        <f ca="1">IFERROR(INDIRECT(CONCATENATE("Field!K",A135+6)),"")</f>
        <v/>
      </c>
      <c r="L140" s="89" t="str">
        <f ca="1">IFERROR(INDIRECT(CONCATENATE("Field!L",A135+6)),"")</f>
        <v/>
      </c>
      <c r="M140" s="65" t="str">
        <f ca="1">IFERROR(INDIRECT(CONCATENATE("Field!M",A135+6)),"")</f>
        <v/>
      </c>
      <c r="N140" s="121" t="str">
        <f ca="1">IFERROR(INDIRECT(CONCATENATE("Field!N",A135+6)),"")</f>
        <v/>
      </c>
    </row>
    <row r="141" spans="1:18" x14ac:dyDescent="0.35">
      <c r="B141" s="66">
        <f ca="1">IFERROR(INDIRECT(CONCATENATE("Field!B",A135+7)),"")</f>
        <v>6</v>
      </c>
      <c r="C141" s="66" t="str">
        <f ca="1">IFERROR(INDIRECT(CONCATENATE("Field!C",A135+7)),"")</f>
        <v/>
      </c>
      <c r="D141" s="89" t="str">
        <f ca="1">IFERROR(INDIRECT(CONCATENATE("Field!D",A135+7)),"")</f>
        <v/>
      </c>
      <c r="E141" s="89" t="str">
        <f ca="1">IFERROR(INDIRECT(CONCATENATE("Field!E",A135+7)),"")</f>
        <v/>
      </c>
      <c r="F141" s="65" t="str">
        <f ca="1">IFERROR(INDIRECT(CONCATENATE("Field!F",A135+7)),"")</f>
        <v/>
      </c>
      <c r="G141" s="121" t="str">
        <f ca="1">IFERROR(INDIRECT(CONCATENATE("Field!G",A135+7)),"")</f>
        <v/>
      </c>
      <c r="H141" s="66"/>
      <c r="I141" s="66">
        <f ca="1">IFERROR(INDIRECT(CONCATENATE("Field!I",A135+7)),"")</f>
        <v>6</v>
      </c>
      <c r="J141" s="66" t="str">
        <f ca="1">IFERROR(INDIRECT(CONCATENATE("Field!J",A135+7)),"")</f>
        <v/>
      </c>
      <c r="K141" s="89" t="str">
        <f ca="1">IFERROR(INDIRECT(CONCATENATE("Field!K",A135+7)),"")</f>
        <v/>
      </c>
      <c r="L141" s="89" t="str">
        <f ca="1">IFERROR(INDIRECT(CONCATENATE("Field!L",A135+7)),"")</f>
        <v/>
      </c>
      <c r="M141" s="65" t="str">
        <f ca="1">IFERROR(INDIRECT(CONCATENATE("Field!M",A135+7)),"")</f>
        <v/>
      </c>
      <c r="N141" s="121" t="str">
        <f ca="1">IFERROR(INDIRECT(CONCATENATE("Field!N",A135+7)),"")</f>
        <v/>
      </c>
    </row>
    <row r="142" spans="1:18" x14ac:dyDescent="0.35">
      <c r="B142" s="66">
        <f ca="1">IFERROR(INDIRECT(CONCATENATE("Field!B",A135+8)),"")</f>
        <v>7</v>
      </c>
      <c r="C142" s="66" t="str">
        <f ca="1">IFERROR(INDIRECT(CONCATENATE("Field!C",A135+8)),"")</f>
        <v/>
      </c>
      <c r="D142" s="89" t="str">
        <f ca="1">IFERROR(INDIRECT(CONCATENATE("Field!D",A135+8)),"")</f>
        <v/>
      </c>
      <c r="E142" s="89" t="str">
        <f ca="1">IFERROR(INDIRECT(CONCATENATE("Field!E",A135+8)),"")</f>
        <v/>
      </c>
      <c r="F142" s="65" t="str">
        <f ca="1">IFERROR(INDIRECT(CONCATENATE("Field!F",A135+8)),"")</f>
        <v/>
      </c>
      <c r="G142" s="121" t="str">
        <f ca="1">IFERROR(INDIRECT(CONCATENATE("Field!G",A135+8)),"")</f>
        <v/>
      </c>
      <c r="H142" s="66"/>
      <c r="I142" s="66">
        <f ca="1">IFERROR(INDIRECT(CONCATENATE("Field!I",A135+8)),"")</f>
        <v>7</v>
      </c>
      <c r="J142" s="66" t="str">
        <f ca="1">IFERROR(INDIRECT(CONCATENATE("Field!J",A135+8)),"")</f>
        <v/>
      </c>
      <c r="K142" s="89" t="str">
        <f ca="1">IFERROR(INDIRECT(CONCATENATE("Field!K",A135+8)),"")</f>
        <v/>
      </c>
      <c r="L142" s="89" t="str">
        <f ca="1">IFERROR(INDIRECT(CONCATENATE("Field!L",A135+8)),"")</f>
        <v/>
      </c>
      <c r="M142" s="65" t="str">
        <f ca="1">IFERROR(INDIRECT(CONCATENATE("Field!M",A135+8)),"")</f>
        <v/>
      </c>
      <c r="N142" s="121" t="str">
        <f ca="1">IFERROR(INDIRECT(CONCATENATE("Field!N",A135+8)),"")</f>
        <v/>
      </c>
    </row>
    <row r="143" spans="1:18" x14ac:dyDescent="0.35">
      <c r="B143" s="66">
        <f ca="1">IFERROR(INDIRECT(CONCATENATE("Field!B",A135+9)),"")</f>
        <v>8</v>
      </c>
      <c r="C143" s="66" t="str">
        <f ca="1">IFERROR(INDIRECT(CONCATENATE("Field!C",A135+9)),"")</f>
        <v/>
      </c>
      <c r="D143" s="89" t="str">
        <f ca="1">IFERROR(INDIRECT(CONCATENATE("Field!D",A135+9)),"")</f>
        <v/>
      </c>
      <c r="E143" s="89" t="str">
        <f ca="1">IFERROR(INDIRECT(CONCATENATE("Field!E",A135+9)),"")</f>
        <v/>
      </c>
      <c r="F143" s="65" t="str">
        <f ca="1">IFERROR(INDIRECT(CONCATENATE("Field!F",A135+9)),"")</f>
        <v/>
      </c>
      <c r="G143" s="121" t="str">
        <f ca="1">IFERROR(INDIRECT(CONCATENATE("Field!G",A135+9)),"")</f>
        <v/>
      </c>
      <c r="H143" s="66"/>
      <c r="I143" s="66">
        <f ca="1">IFERROR(INDIRECT(CONCATENATE("Field!I",A135+9)),"")</f>
        <v>8</v>
      </c>
      <c r="J143" s="66" t="str">
        <f ca="1">IFERROR(INDIRECT(CONCATENATE("Field!J",A135+9)),"")</f>
        <v/>
      </c>
      <c r="K143" s="89" t="str">
        <f ca="1">IFERROR(INDIRECT(CONCATENATE("Field!K",A135+9)),"")</f>
        <v/>
      </c>
      <c r="L143" s="89" t="str">
        <f ca="1">IFERROR(INDIRECT(CONCATENATE("Field!L",A135+9)),"")</f>
        <v/>
      </c>
      <c r="M143" s="65" t="str">
        <f ca="1">IFERROR(INDIRECT(CONCATENATE("Field!M",A135+9)),"")</f>
        <v/>
      </c>
      <c r="N143" s="121" t="str">
        <f ca="1">IFERROR(INDIRECT(CONCATENATE("Field!N",A135+9)),"")</f>
        <v/>
      </c>
    </row>
    <row r="144" spans="1:18" x14ac:dyDescent="0.35">
      <c r="F144" s="67"/>
      <c r="M144" s="67"/>
    </row>
    <row r="145" spans="1:18" x14ac:dyDescent="0.35">
      <c r="A145" s="66" t="s">
        <v>232</v>
      </c>
      <c r="B145" s="115" t="str">
        <f ca="1">IFERROR(INDIRECT(CONCATENATE("Field!B",A146)),"")</f>
        <v>Hammer U15 Girls A</v>
      </c>
      <c r="F145" s="67"/>
      <c r="G145" s="121" t="str">
        <f ca="1">IFERROR(INDIRECT(CONCATENATE("Field!g",A146)),"")</f>
        <v/>
      </c>
      <c r="I145" s="115" t="str">
        <f ca="1">IFERROR(INDIRECT(CONCATENATE("Field!I",A146)),"")</f>
        <v>Hammer U15 Girls B</v>
      </c>
      <c r="M145" s="67"/>
    </row>
    <row r="146" spans="1:18" x14ac:dyDescent="0.35">
      <c r="A146" s="66">
        <f>IFERROR(MATCH(A145,Field!A:A,0),"")</f>
        <v>13</v>
      </c>
      <c r="B146" s="45" t="str">
        <f ca="1">IFERROR(INDIRECT(CONCATENATE("Field!B",A146+1)),"")</f>
        <v>Posn</v>
      </c>
      <c r="C146" s="45" t="str">
        <f ca="1">IFERROR(INDIRECT(CONCATENATE("Field!C",A146+1)),"")</f>
        <v>Bib</v>
      </c>
      <c r="D146" s="182" t="str">
        <f ca="1">IFERROR(INDIRECT(CONCATENATE("Field!D",A146+1)),"")</f>
        <v>Athlete</v>
      </c>
      <c r="E146" s="182" t="str">
        <f ca="1">IFERROR(INDIRECT(CONCATENATE("Field!E",A146+1)),"")</f>
        <v>Club</v>
      </c>
      <c r="F146" s="149" t="str">
        <f ca="1">IFERROR(INDIRECT(CONCATENATE("Field!F",A146+1)),"")</f>
        <v>Perf</v>
      </c>
      <c r="G146" s="218" t="str">
        <f ca="1">IFERROR(INDIRECT(CONCATENATE("Field!G",A146+1)),"")</f>
        <v>AAA</v>
      </c>
      <c r="H146" s="45"/>
      <c r="I146" s="45" t="str">
        <f ca="1">IFERROR(INDIRECT(CONCATENATE("Field!I",A146+1)),"")</f>
        <v>Posn</v>
      </c>
      <c r="J146" s="45" t="str">
        <f ca="1">IFERROR(INDIRECT(CONCATENATE("Field!J",A146+1)),"")</f>
        <v>Bib</v>
      </c>
      <c r="K146" s="182" t="str">
        <f ca="1">IFERROR(INDIRECT(CONCATENATE("Field!K",A146+1)),"")</f>
        <v>Athlete</v>
      </c>
      <c r="L146" s="182" t="str">
        <f ca="1">IFERROR(INDIRECT(CONCATENATE("Field!L",A146+1)),"")</f>
        <v>Club</v>
      </c>
      <c r="M146" s="149" t="str">
        <f ca="1">IFERROR(INDIRECT(CONCATENATE("Field!M",A146+1)),"")</f>
        <v>Perf</v>
      </c>
      <c r="N146" s="218" t="str">
        <f ca="1">IFERROR(INDIRECT(CONCATENATE("Field!N",A146+1)),"")</f>
        <v>AAA</v>
      </c>
    </row>
    <row r="147" spans="1:18" x14ac:dyDescent="0.35">
      <c r="B147" s="66">
        <f ca="1">IFERROR(INDIRECT(CONCATENATE("Field!B",A146+2)),"")</f>
        <v>1</v>
      </c>
      <c r="C147" s="66">
        <f ca="1">IFERROR(INDIRECT(CONCATENATE("Field!C",A146+2)),"")</f>
        <v>5</v>
      </c>
      <c r="D147" s="89" t="str">
        <f ca="1">IFERROR(INDIRECT(CONCATENATE("Field!D",A146+2)),"")</f>
        <v>LOVE Katie</v>
      </c>
      <c r="E147" s="89" t="str">
        <f ca="1">IFERROR(INDIRECT(CONCATENATE("Field!E",A146+2)),"")</f>
        <v>Scun</v>
      </c>
      <c r="F147" s="65">
        <f ca="1">IFERROR(INDIRECT(CONCATENATE("Field!F",A146+2)),"")</f>
        <v>30.77</v>
      </c>
      <c r="G147" s="121">
        <f ca="1">IFERROR(INDIRECT(CONCATENATE("Field!G",A146+2)),"")</f>
        <v>4</v>
      </c>
      <c r="H147" s="66"/>
      <c r="I147" s="66">
        <f ca="1">IFERROR(INDIRECT(CONCATENATE("Field!I",A146+2)),"")</f>
        <v>1</v>
      </c>
      <c r="J147" s="66">
        <f ca="1">IFERROR(INDIRECT(CONCATENATE("Field!J",A146+2)),"")</f>
        <v>1</v>
      </c>
      <c r="K147" s="89" t="str">
        <f ca="1">IFERROR(INDIRECT(CONCATENATE("Field!K",A146+2)),"")</f>
        <v>LABAN Ella</v>
      </c>
      <c r="L147" s="89" t="str">
        <f ca="1">IFERROR(INDIRECT(CONCATENATE("Field!L",A146+2)),"")</f>
        <v>C'field</v>
      </c>
      <c r="M147" s="65">
        <f ca="1">IFERROR(INDIRECT(CONCATENATE("Field!M",A146+2)),"")</f>
        <v>19.600000000000001</v>
      </c>
      <c r="N147" s="121" t="str">
        <f ca="1">IFERROR(INDIRECT(CONCATENATE("Field!N",A146+2)),"")</f>
        <v/>
      </c>
      <c r="R147" s="219">
        <f ca="1">IFERROR(INDIRECT(CONCATENATE("Field!r",A146+2)),"")</f>
        <v>1</v>
      </c>
    </row>
    <row r="148" spans="1:18" x14ac:dyDescent="0.35">
      <c r="B148" s="66">
        <f ca="1">IFERROR(INDIRECT(CONCATENATE("Field!B",A146+3)),"")</f>
        <v>2</v>
      </c>
      <c r="C148" s="66">
        <f ca="1">IFERROR(INDIRECT(CONCATENATE("Field!C",A146+3)),"")</f>
        <v>11</v>
      </c>
      <c r="D148" s="89" t="str">
        <f ca="1">IFERROR(INDIRECT(CONCATENATE("Field!D",A146+3)),"")</f>
        <v>HIGHAM Ruby</v>
      </c>
      <c r="E148" s="89" t="str">
        <f ca="1">IFERROR(INDIRECT(CONCATENATE("Field!E",A146+3)),"")</f>
        <v>C'field</v>
      </c>
      <c r="F148" s="65">
        <f ca="1">IFERROR(INDIRECT(CONCATENATE("Field!F",A146+3)),"")</f>
        <v>20.57</v>
      </c>
      <c r="G148" s="121" t="str">
        <f ca="1">IFERROR(INDIRECT(CONCATENATE("Field!G",A146+3)),"")</f>
        <v/>
      </c>
      <c r="H148" s="66"/>
      <c r="I148" s="66">
        <f ca="1">IFERROR(INDIRECT(CONCATENATE("Field!I",A146+3)),"")</f>
        <v>2</v>
      </c>
      <c r="J148" s="66">
        <f ca="1">IFERROR(INDIRECT(CONCATENATE("Field!J",A146+3)),"")</f>
        <v>55</v>
      </c>
      <c r="K148" s="89" t="str">
        <f ca="1">IFERROR(INDIRECT(CONCATENATE("Field!K",A146+3)),"")</f>
        <v>BETTS Demi</v>
      </c>
      <c r="L148" s="89" t="str">
        <f ca="1">IFERROR(INDIRECT(CONCATENATE("Field!L",A146+3)),"")</f>
        <v>Scun</v>
      </c>
      <c r="M148" s="65">
        <f ca="1">IFERROR(INDIRECT(CONCATENATE("Field!M",A146+3)),"")</f>
        <v>11.51</v>
      </c>
      <c r="N148" s="121" t="str">
        <f ca="1">IFERROR(INDIRECT(CONCATENATE("Field!N",A146+3)),"")</f>
        <v/>
      </c>
    </row>
    <row r="149" spans="1:18" x14ac:dyDescent="0.35">
      <c r="B149" s="66">
        <f ca="1">IFERROR(INDIRECT(CONCATENATE("Field!B",A146+4)),"")</f>
        <v>3</v>
      </c>
      <c r="C149" s="66">
        <f ca="1">IFERROR(INDIRECT(CONCATENATE("Field!C",A146+4)),"")</f>
        <v>22</v>
      </c>
      <c r="D149" s="89" t="str">
        <f ca="1">IFERROR(INDIRECT(CONCATENATE("Field!D",A146+4)),"")</f>
        <v>PADDON Freya</v>
      </c>
      <c r="E149" s="89" t="str">
        <f ca="1">IFERROR(INDIRECT(CONCATENATE("Field!E",A146+4)),"")</f>
        <v>Sheff+D</v>
      </c>
      <c r="F149" s="65">
        <f ca="1">IFERROR(INDIRECT(CONCATENATE("Field!F",A146+4)),"")</f>
        <v>16.18</v>
      </c>
      <c r="G149" s="121" t="str">
        <f ca="1">IFERROR(INDIRECT(CONCATENATE("Field!G",A146+4)),"")</f>
        <v/>
      </c>
      <c r="H149" s="66"/>
      <c r="I149" s="66">
        <f ca="1">IFERROR(INDIRECT(CONCATENATE("Field!I",A146+4)),"")</f>
        <v>3</v>
      </c>
      <c r="J149" s="66">
        <f ca="1">IFERROR(INDIRECT(CONCATENATE("Field!J",A146+4)),"")</f>
        <v>2</v>
      </c>
      <c r="K149" s="89" t="str">
        <f ca="1">IFERROR(INDIRECT(CONCATENATE("Field!K",A146+4)),"")</f>
        <v>KYNOCH Ella</v>
      </c>
      <c r="L149" s="89" t="str">
        <f ca="1">IFERROR(INDIRECT(CONCATENATE("Field!L",A146+4)),"")</f>
        <v>Sheff+D</v>
      </c>
      <c r="M149" s="65">
        <f ca="1">IFERROR(INDIRECT(CONCATENATE("Field!M",A146+4)),"")</f>
        <v>7.09</v>
      </c>
      <c r="N149" s="121" t="str">
        <f ca="1">IFERROR(INDIRECT(CONCATENATE("Field!N",A146+4)),"")</f>
        <v/>
      </c>
    </row>
    <row r="150" spans="1:18" x14ac:dyDescent="0.35">
      <c r="B150" s="66">
        <f ca="1">IFERROR(INDIRECT(CONCATENATE("Field!B",A146+5)),"")</f>
        <v>4</v>
      </c>
      <c r="C150" s="66" t="str">
        <f ca="1">IFERROR(INDIRECT(CONCATENATE("Field!C",A146+5)),"")</f>
        <v/>
      </c>
      <c r="D150" s="89" t="str">
        <f ca="1">IFERROR(INDIRECT(CONCATENATE("Field!D",A146+5)),"")</f>
        <v/>
      </c>
      <c r="E150" s="89" t="str">
        <f ca="1">IFERROR(INDIRECT(CONCATENATE("Field!E",A146+5)),"")</f>
        <v/>
      </c>
      <c r="F150" s="65" t="str">
        <f ca="1">IFERROR(INDIRECT(CONCATENATE("Field!F",A146+5)),"")</f>
        <v/>
      </c>
      <c r="G150" s="121" t="str">
        <f ca="1">IFERROR(INDIRECT(CONCATENATE("Field!G",A146+5)),"")</f>
        <v/>
      </c>
      <c r="H150" s="66"/>
      <c r="I150" s="66">
        <f ca="1">IFERROR(INDIRECT(CONCATENATE("Field!I",A146+5)),"")</f>
        <v>4</v>
      </c>
      <c r="J150" s="66" t="str">
        <f ca="1">IFERROR(INDIRECT(CONCATENATE("Field!J",A146+5)),"")</f>
        <v/>
      </c>
      <c r="K150" s="89" t="str">
        <f ca="1">IFERROR(INDIRECT(CONCATENATE("Field!K",A146+5)),"")</f>
        <v/>
      </c>
      <c r="L150" s="89" t="str">
        <f ca="1">IFERROR(INDIRECT(CONCATENATE("Field!L",A146+5)),"")</f>
        <v/>
      </c>
      <c r="M150" s="65" t="str">
        <f ca="1">IFERROR(INDIRECT(CONCATENATE("Field!M",A146+5)),"")</f>
        <v/>
      </c>
      <c r="N150" s="121" t="str">
        <f ca="1">IFERROR(INDIRECT(CONCATENATE("Field!N",A146+5)),"")</f>
        <v/>
      </c>
    </row>
    <row r="151" spans="1:18" x14ac:dyDescent="0.35">
      <c r="B151" s="66">
        <f ca="1">IFERROR(INDIRECT(CONCATENATE("Field!B",A146+6)),"")</f>
        <v>5</v>
      </c>
      <c r="C151" s="66" t="str">
        <f ca="1">IFERROR(INDIRECT(CONCATENATE("Field!C",A146+6)),"")</f>
        <v/>
      </c>
      <c r="D151" s="89" t="str">
        <f ca="1">IFERROR(INDIRECT(CONCATENATE("Field!D",A146+6)),"")</f>
        <v/>
      </c>
      <c r="E151" s="89" t="str">
        <f ca="1">IFERROR(INDIRECT(CONCATENATE("Field!E",A146+6)),"")</f>
        <v/>
      </c>
      <c r="F151" s="65" t="str">
        <f ca="1">IFERROR(INDIRECT(CONCATENATE("Field!F",A146+6)),"")</f>
        <v/>
      </c>
      <c r="G151" s="121" t="str">
        <f ca="1">IFERROR(INDIRECT(CONCATENATE("Field!G",A146+6)),"")</f>
        <v/>
      </c>
      <c r="H151" s="66"/>
      <c r="I151" s="66">
        <f ca="1">IFERROR(INDIRECT(CONCATENATE("Field!I",A146+6)),"")</f>
        <v>5</v>
      </c>
      <c r="J151" s="66" t="str">
        <f ca="1">IFERROR(INDIRECT(CONCATENATE("Field!J",A146+6)),"")</f>
        <v/>
      </c>
      <c r="K151" s="89" t="str">
        <f ca="1">IFERROR(INDIRECT(CONCATENATE("Field!K",A146+6)),"")</f>
        <v/>
      </c>
      <c r="L151" s="89" t="str">
        <f ca="1">IFERROR(INDIRECT(CONCATENATE("Field!L",A146+6)),"")</f>
        <v/>
      </c>
      <c r="M151" s="65" t="str">
        <f ca="1">IFERROR(INDIRECT(CONCATENATE("Field!M",A146+6)),"")</f>
        <v/>
      </c>
      <c r="N151" s="121" t="str">
        <f ca="1">IFERROR(INDIRECT(CONCATENATE("Field!N",A146+6)),"")</f>
        <v/>
      </c>
    </row>
    <row r="152" spans="1:18" x14ac:dyDescent="0.35">
      <c r="B152" s="66">
        <f ca="1">IFERROR(INDIRECT(CONCATENATE("Field!B",A146+7)),"")</f>
        <v>6</v>
      </c>
      <c r="C152" s="66" t="str">
        <f ca="1">IFERROR(INDIRECT(CONCATENATE("Field!C",A146+7)),"")</f>
        <v/>
      </c>
      <c r="D152" s="89" t="str">
        <f ca="1">IFERROR(INDIRECT(CONCATENATE("Field!D",A146+7)),"")</f>
        <v/>
      </c>
      <c r="E152" s="89" t="str">
        <f ca="1">IFERROR(INDIRECT(CONCATENATE("Field!E",A146+7)),"")</f>
        <v/>
      </c>
      <c r="F152" s="65" t="str">
        <f ca="1">IFERROR(INDIRECT(CONCATENATE("Field!F",A146+7)),"")</f>
        <v/>
      </c>
      <c r="G152" s="121" t="str">
        <f ca="1">IFERROR(INDIRECT(CONCATENATE("Field!G",A146+7)),"")</f>
        <v/>
      </c>
      <c r="H152" s="66"/>
      <c r="I152" s="66">
        <f ca="1">IFERROR(INDIRECT(CONCATENATE("Field!I",A146+7)),"")</f>
        <v>6</v>
      </c>
      <c r="J152" s="66" t="str">
        <f ca="1">IFERROR(INDIRECT(CONCATENATE("Field!J",A146+7)),"")</f>
        <v/>
      </c>
      <c r="K152" s="89" t="str">
        <f ca="1">IFERROR(INDIRECT(CONCATENATE("Field!K",A146+7)),"")</f>
        <v/>
      </c>
      <c r="L152" s="89" t="str">
        <f ca="1">IFERROR(INDIRECT(CONCATENATE("Field!L",A146+7)),"")</f>
        <v/>
      </c>
      <c r="M152" s="65" t="str">
        <f ca="1">IFERROR(INDIRECT(CONCATENATE("Field!M",A146+7)),"")</f>
        <v/>
      </c>
      <c r="N152" s="121" t="str">
        <f ca="1">IFERROR(INDIRECT(CONCATENATE("Field!N",A146+7)),"")</f>
        <v/>
      </c>
    </row>
    <row r="153" spans="1:18" x14ac:dyDescent="0.35">
      <c r="B153" s="66">
        <f ca="1">IFERROR(INDIRECT(CONCATENATE("Field!B",A146+8)),"")</f>
        <v>7</v>
      </c>
      <c r="C153" s="66" t="str">
        <f ca="1">IFERROR(INDIRECT(CONCATENATE("Field!C",A146+8)),"")</f>
        <v/>
      </c>
      <c r="D153" s="89" t="str">
        <f ca="1">IFERROR(INDIRECT(CONCATENATE("Field!D",A146+8)),"")</f>
        <v/>
      </c>
      <c r="E153" s="89" t="str">
        <f ca="1">IFERROR(INDIRECT(CONCATENATE("Field!E",A146+8)),"")</f>
        <v/>
      </c>
      <c r="F153" s="65" t="str">
        <f ca="1">IFERROR(INDIRECT(CONCATENATE("Field!F",A146+8)),"")</f>
        <v/>
      </c>
      <c r="G153" s="121" t="str">
        <f ca="1">IFERROR(INDIRECT(CONCATENATE("Field!G",A146+8)),"")</f>
        <v/>
      </c>
      <c r="H153" s="66"/>
      <c r="I153" s="66">
        <f ca="1">IFERROR(INDIRECT(CONCATENATE("Field!I",A146+8)),"")</f>
        <v>7</v>
      </c>
      <c r="J153" s="66" t="str">
        <f ca="1">IFERROR(INDIRECT(CONCATENATE("Field!J",A146+8)),"")</f>
        <v/>
      </c>
      <c r="K153" s="89" t="str">
        <f ca="1">IFERROR(INDIRECT(CONCATENATE("Field!K",A146+8)),"")</f>
        <v/>
      </c>
      <c r="L153" s="89" t="str">
        <f ca="1">IFERROR(INDIRECT(CONCATENATE("Field!L",A146+8)),"")</f>
        <v/>
      </c>
      <c r="M153" s="65" t="str">
        <f ca="1">IFERROR(INDIRECT(CONCATENATE("Field!M",A146+8)),"")</f>
        <v/>
      </c>
      <c r="N153" s="121" t="str">
        <f ca="1">IFERROR(INDIRECT(CONCATENATE("Field!N",A146+8)),"")</f>
        <v/>
      </c>
    </row>
    <row r="154" spans="1:18" x14ac:dyDescent="0.35">
      <c r="B154" s="66">
        <f ca="1">IFERROR(INDIRECT(CONCATENATE("Field!B",A146+9)),"")</f>
        <v>8</v>
      </c>
      <c r="C154" s="66" t="str">
        <f ca="1">IFERROR(INDIRECT(CONCATENATE("Field!C",A146+9)),"")</f>
        <v/>
      </c>
      <c r="D154" s="89" t="str">
        <f ca="1">IFERROR(INDIRECT(CONCATENATE("Field!D",A146+9)),"")</f>
        <v/>
      </c>
      <c r="E154" s="89" t="str">
        <f ca="1">IFERROR(INDIRECT(CONCATENATE("Field!E",A146+9)),"")</f>
        <v/>
      </c>
      <c r="F154" s="65" t="str">
        <f ca="1">IFERROR(INDIRECT(CONCATENATE("Field!F",A146+9)),"")</f>
        <v/>
      </c>
      <c r="G154" s="121" t="str">
        <f ca="1">IFERROR(INDIRECT(CONCATENATE("Field!G",A146+9)),"")</f>
        <v/>
      </c>
      <c r="H154" s="66"/>
      <c r="I154" s="66">
        <f ca="1">IFERROR(INDIRECT(CONCATENATE("Field!I",A146+9)),"")</f>
        <v>8</v>
      </c>
      <c r="J154" s="66" t="str">
        <f ca="1">IFERROR(INDIRECT(CONCATENATE("Field!J",A146+9)),"")</f>
        <v/>
      </c>
      <c r="K154" s="89" t="str">
        <f ca="1">IFERROR(INDIRECT(CONCATENATE("Field!K",A146+9)),"")</f>
        <v/>
      </c>
      <c r="L154" s="89" t="str">
        <f ca="1">IFERROR(INDIRECT(CONCATENATE("Field!L",A146+9)),"")</f>
        <v/>
      </c>
      <c r="M154" s="65" t="str">
        <f ca="1">IFERROR(INDIRECT(CONCATENATE("Field!M",A146+9)),"")</f>
        <v/>
      </c>
      <c r="N154" s="121" t="str">
        <f ca="1">IFERROR(INDIRECT(CONCATENATE("Field!N",A146+9)),"")</f>
        <v/>
      </c>
    </row>
    <row r="155" spans="1:18" x14ac:dyDescent="0.35">
      <c r="F155" s="67"/>
      <c r="M155" s="67"/>
    </row>
    <row r="156" spans="1:18" x14ac:dyDescent="0.35">
      <c r="A156" s="66" t="s">
        <v>244</v>
      </c>
      <c r="B156" s="115" t="str">
        <f ca="1">IFERROR(INDIRECT(CONCATENATE("Field!B",A157)),"")</f>
        <v>Javelin U15 Girls A</v>
      </c>
      <c r="F156" s="67"/>
      <c r="G156" s="121" t="str">
        <f ca="1">IFERROR(INDIRECT(CONCATENATE("Field!g",A157)),"")</f>
        <v/>
      </c>
      <c r="I156" s="115" t="str">
        <f ca="1">IFERROR(INDIRECT(CONCATENATE("Field!I",A157)),"")</f>
        <v>Javelin U15 Girls B</v>
      </c>
      <c r="M156" s="67"/>
    </row>
    <row r="157" spans="1:18" x14ac:dyDescent="0.35">
      <c r="A157" s="66">
        <f>IFERROR(MATCH(A156,Field!A:A,0),"")</f>
        <v>79</v>
      </c>
      <c r="B157" s="45" t="str">
        <f ca="1">IFERROR(INDIRECT(CONCATENATE("Field!B",A157+1)),"")</f>
        <v>Posn</v>
      </c>
      <c r="C157" s="45" t="str">
        <f ca="1">IFERROR(INDIRECT(CONCATENATE("Field!C",A157+1)),"")</f>
        <v>Bib</v>
      </c>
      <c r="D157" s="182" t="str">
        <f ca="1">IFERROR(INDIRECT(CONCATENATE("Field!D",A157+1)),"")</f>
        <v>Athlete</v>
      </c>
      <c r="E157" s="182" t="str">
        <f ca="1">IFERROR(INDIRECT(CONCATENATE("Field!E",A157+1)),"")</f>
        <v>Club</v>
      </c>
      <c r="F157" s="149" t="str">
        <f ca="1">IFERROR(INDIRECT(CONCATENATE("Field!F",A157+1)),"")</f>
        <v>Perf</v>
      </c>
      <c r="G157" s="218" t="str">
        <f ca="1">IFERROR(INDIRECT(CONCATENATE("Field!G",A157+1)),"")</f>
        <v>AAA</v>
      </c>
      <c r="H157" s="45"/>
      <c r="I157" s="45" t="str">
        <f ca="1">IFERROR(INDIRECT(CONCATENATE("Field!I",A157+1)),"")</f>
        <v>Posn</v>
      </c>
      <c r="J157" s="45" t="str">
        <f ca="1">IFERROR(INDIRECT(CONCATENATE("Field!J",A157+1)),"")</f>
        <v>Bib</v>
      </c>
      <c r="K157" s="182" t="str">
        <f ca="1">IFERROR(INDIRECT(CONCATENATE("Field!K",A157+1)),"")</f>
        <v>Athlete</v>
      </c>
      <c r="L157" s="182" t="str">
        <f ca="1">IFERROR(INDIRECT(CONCATENATE("Field!L",A157+1)),"")</f>
        <v>Club</v>
      </c>
      <c r="M157" s="149" t="str">
        <f ca="1">IFERROR(INDIRECT(CONCATENATE("Field!M",A157+1)),"")</f>
        <v>Perf</v>
      </c>
      <c r="N157" s="218" t="str">
        <f ca="1">IFERROR(INDIRECT(CONCATENATE("Field!N",A157+1)),"")</f>
        <v>AAA</v>
      </c>
    </row>
    <row r="158" spans="1:18" x14ac:dyDescent="0.35">
      <c r="B158" s="66">
        <f ca="1">IFERROR(INDIRECT(CONCATENATE("Field!B",A157+2)),"")</f>
        <v>1</v>
      </c>
      <c r="C158" s="66">
        <f ca="1">IFERROR(INDIRECT(CONCATENATE("Field!C",A157+2)),"")</f>
        <v>2</v>
      </c>
      <c r="D158" s="89" t="str">
        <f ca="1">IFERROR(INDIRECT(CONCATENATE("Field!D",A157+2)),"")</f>
        <v>PADDON Freya</v>
      </c>
      <c r="E158" s="89" t="str">
        <f ca="1">IFERROR(INDIRECT(CONCATENATE("Field!E",A157+2)),"")</f>
        <v>Sheff+D</v>
      </c>
      <c r="F158" s="65">
        <f ca="1">IFERROR(INDIRECT(CONCATENATE("Field!F",A157+2)),"")</f>
        <v>24.29</v>
      </c>
      <c r="G158" s="121">
        <f ca="1">IFERROR(INDIRECT(CONCATENATE("Field!G",A157+2)),"")</f>
        <v>4</v>
      </c>
      <c r="H158" s="66"/>
      <c r="I158" s="66">
        <f ca="1">IFERROR(INDIRECT(CONCATENATE("Field!I",A157+2)),"")</f>
        <v>1</v>
      </c>
      <c r="J158" s="66">
        <f ca="1">IFERROR(INDIRECT(CONCATENATE("Field!J",A157+2)),"")</f>
        <v>22</v>
      </c>
      <c r="K158" s="89" t="str">
        <f ca="1">IFERROR(INDIRECT(CONCATENATE("Field!K",A157+2)),"")</f>
        <v>PADDON Olivia</v>
      </c>
      <c r="L158" s="89" t="str">
        <f ca="1">IFERROR(INDIRECT(CONCATENATE("Field!L",A157+2)),"")</f>
        <v>Sheff+D</v>
      </c>
      <c r="M158" s="65">
        <f ca="1">IFERROR(INDIRECT(CONCATENATE("Field!M",A157+2)),"")</f>
        <v>21.25</v>
      </c>
      <c r="N158" s="121" t="str">
        <f ca="1">IFERROR(INDIRECT(CONCATENATE("Field!N",A157+2)),"")</f>
        <v/>
      </c>
      <c r="R158" s="219">
        <f ca="1">IFERROR(INDIRECT(CONCATENATE("Field!r",A157+2)),"")</f>
        <v>1</v>
      </c>
    </row>
    <row r="159" spans="1:18" x14ac:dyDescent="0.35">
      <c r="B159" s="66">
        <f ca="1">IFERROR(INDIRECT(CONCATENATE("Field!B",A157+3)),"")</f>
        <v>2</v>
      </c>
      <c r="C159" s="66">
        <f ca="1">IFERROR(INDIRECT(CONCATENATE("Field!C",A157+3)),"")</f>
        <v>1</v>
      </c>
      <c r="D159" s="89" t="str">
        <f ca="1">IFERROR(INDIRECT(CONCATENATE("Field!D",A157+3)),"")</f>
        <v>BAINES Lily</v>
      </c>
      <c r="E159" s="89" t="str">
        <f ca="1">IFERROR(INDIRECT(CONCATENATE("Field!E",A157+3)),"")</f>
        <v>C'field</v>
      </c>
      <c r="F159" s="65">
        <f ca="1">IFERROR(INDIRECT(CONCATENATE("Field!F",A157+3)),"")</f>
        <v>23.48</v>
      </c>
      <c r="G159" s="121">
        <f ca="1">IFERROR(INDIRECT(CONCATENATE("Field!G",A157+3)),"")</f>
        <v>4</v>
      </c>
      <c r="H159" s="66"/>
      <c r="I159" s="66">
        <f ca="1">IFERROR(INDIRECT(CONCATENATE("Field!I",A157+3)),"")</f>
        <v>2</v>
      </c>
      <c r="J159" s="66">
        <f ca="1">IFERROR(INDIRECT(CONCATENATE("Field!J",A157+3)),"")</f>
        <v>11</v>
      </c>
      <c r="K159" s="89" t="str">
        <f ca="1">IFERROR(INDIRECT(CONCATENATE("Field!K",A157+3)),"")</f>
        <v>KIRKWOOD Eva</v>
      </c>
      <c r="L159" s="89" t="str">
        <f ca="1">IFERROR(INDIRECT(CONCATENATE("Field!L",A157+3)),"")</f>
        <v>C'field</v>
      </c>
      <c r="M159" s="65">
        <f ca="1">IFERROR(INDIRECT(CONCATENATE("Field!M",A157+3)),"")</f>
        <v>18.78</v>
      </c>
      <c r="N159" s="121" t="str">
        <f ca="1">IFERROR(INDIRECT(CONCATENATE("Field!N",A157+3)),"")</f>
        <v/>
      </c>
    </row>
    <row r="160" spans="1:18" x14ac:dyDescent="0.35">
      <c r="B160" s="66">
        <f ca="1">IFERROR(INDIRECT(CONCATENATE("Field!B",A157+4)),"")</f>
        <v>3</v>
      </c>
      <c r="C160" s="66">
        <f ca="1">IFERROR(INDIRECT(CONCATENATE("Field!C",A157+4)),"")</f>
        <v>4</v>
      </c>
      <c r="D160" s="89" t="str">
        <f ca="1">IFERROR(INDIRECT(CONCATENATE("Field!D",A157+4)),"")</f>
        <v>DORAN Bethany</v>
      </c>
      <c r="E160" s="89" t="str">
        <f ca="1">IFERROR(INDIRECT(CONCATENATE("Field!E",A157+4)),"")</f>
        <v>M'bro</v>
      </c>
      <c r="F160" s="65">
        <f ca="1">IFERROR(INDIRECT(CONCATENATE("Field!F",A157+4)),"")</f>
        <v>17.09</v>
      </c>
      <c r="G160" s="121" t="str">
        <f ca="1">IFERROR(INDIRECT(CONCATENATE("Field!G",A157+4)),"")</f>
        <v/>
      </c>
      <c r="H160" s="66"/>
      <c r="I160" s="66">
        <f ca="1">IFERROR(INDIRECT(CONCATENATE("Field!I",A157+4)),"")</f>
        <v>3</v>
      </c>
      <c r="J160" s="66">
        <f ca="1">IFERROR(INDIRECT(CONCATENATE("Field!J",A157+4)),"")</f>
        <v>44</v>
      </c>
      <c r="K160" s="89" t="str">
        <f ca="1">IFERROR(INDIRECT(CONCATENATE("Field!K",A157+4)),"")</f>
        <v>SULLOCK Amy</v>
      </c>
      <c r="L160" s="89" t="str">
        <f ca="1">IFERROR(INDIRECT(CONCATENATE("Field!L",A157+4)),"")</f>
        <v>M'bro</v>
      </c>
      <c r="M160" s="65">
        <f ca="1">IFERROR(INDIRECT(CONCATENATE("Field!M",A157+4)),"")</f>
        <v>16.690000000000001</v>
      </c>
      <c r="N160" s="121" t="str">
        <f ca="1">IFERROR(INDIRECT(CONCATENATE("Field!N",A157+4)),"")</f>
        <v/>
      </c>
    </row>
    <row r="161" spans="1:18" x14ac:dyDescent="0.35">
      <c r="B161" s="66">
        <f ca="1">IFERROR(INDIRECT(CONCATENATE("Field!B",A157+5)),"")</f>
        <v>4</v>
      </c>
      <c r="C161" s="66">
        <f ca="1">IFERROR(INDIRECT(CONCATENATE("Field!C",A157+5)),"")</f>
        <v>33</v>
      </c>
      <c r="D161" s="89" t="str">
        <f ca="1">IFERROR(INDIRECT(CONCATENATE("Field!D",A157+5)),"")</f>
        <v>HICKLING Rosie</v>
      </c>
      <c r="E161" s="89" t="str">
        <f ca="1">IFERROR(INDIRECT(CONCATENATE("Field!E",A157+5)),"")</f>
        <v>York</v>
      </c>
      <c r="F161" s="65">
        <f ca="1">IFERROR(INDIRECT(CONCATENATE("Field!F",A157+5)),"")</f>
        <v>13.89</v>
      </c>
      <c r="G161" s="121" t="str">
        <f ca="1">IFERROR(INDIRECT(CONCATENATE("Field!G",A157+5)),"")</f>
        <v/>
      </c>
      <c r="H161" s="66"/>
      <c r="I161" s="66">
        <f ca="1">IFERROR(INDIRECT(CONCATENATE("Field!I",A157+5)),"")</f>
        <v>4</v>
      </c>
      <c r="J161" s="66">
        <f ca="1">IFERROR(INDIRECT(CONCATENATE("Field!J",A157+5)),"")</f>
        <v>3</v>
      </c>
      <c r="K161" s="89" t="str">
        <f ca="1">IFERROR(INDIRECT(CONCATENATE("Field!K",A157+5)),"")</f>
        <v>CROSBY Alice</v>
      </c>
      <c r="L161" s="89" t="str">
        <f ca="1">IFERROR(INDIRECT(CONCATENATE("Field!L",A157+5)),"")</f>
        <v>York</v>
      </c>
      <c r="M161" s="65">
        <f ca="1">IFERROR(INDIRECT(CONCATENATE("Field!M",A157+5)),"")</f>
        <v>13.19</v>
      </c>
      <c r="N161" s="121" t="str">
        <f ca="1">IFERROR(INDIRECT(CONCATENATE("Field!N",A157+5)),"")</f>
        <v/>
      </c>
    </row>
    <row r="162" spans="1:18" x14ac:dyDescent="0.35">
      <c r="B162" s="66">
        <f ca="1">IFERROR(INDIRECT(CONCATENATE("Field!B",A157+6)),"")</f>
        <v>5</v>
      </c>
      <c r="C162" s="66">
        <f ca="1">IFERROR(INDIRECT(CONCATENATE("Field!C",A157+6)),"")</f>
        <v>5</v>
      </c>
      <c r="D162" s="89" t="str">
        <f ca="1">IFERROR(INDIRECT(CONCATENATE("Field!D",A157+6)),"")</f>
        <v>BETTS Demi</v>
      </c>
      <c r="E162" s="89" t="str">
        <f ca="1">IFERROR(INDIRECT(CONCATENATE("Field!E",A157+6)),"")</f>
        <v>Scun</v>
      </c>
      <c r="F162" s="65">
        <f ca="1">IFERROR(INDIRECT(CONCATENATE("Field!F",A157+6)),"")</f>
        <v>13.24</v>
      </c>
      <c r="G162" s="121" t="str">
        <f ca="1">IFERROR(INDIRECT(CONCATENATE("Field!G",A157+6)),"")</f>
        <v/>
      </c>
      <c r="H162" s="66"/>
      <c r="I162" s="66">
        <f ca="1">IFERROR(INDIRECT(CONCATENATE("Field!I",A157+6)),"")</f>
        <v>5</v>
      </c>
      <c r="J162" s="66" t="str">
        <f ca="1">IFERROR(INDIRECT(CONCATENATE("Field!J",A157+6)),"")</f>
        <v/>
      </c>
      <c r="K162" s="89" t="str">
        <f ca="1">IFERROR(INDIRECT(CONCATENATE("Field!K",A157+6)),"")</f>
        <v/>
      </c>
      <c r="L162" s="89" t="str">
        <f ca="1">IFERROR(INDIRECT(CONCATENATE("Field!L",A157+6)),"")</f>
        <v/>
      </c>
      <c r="M162" s="65" t="str">
        <f ca="1">IFERROR(INDIRECT(CONCATENATE("Field!M",A157+6)),"")</f>
        <v/>
      </c>
      <c r="N162" s="121" t="str">
        <f ca="1">IFERROR(INDIRECT(CONCATENATE("Field!N",A157+6)),"")</f>
        <v/>
      </c>
    </row>
    <row r="163" spans="1:18" x14ac:dyDescent="0.35">
      <c r="B163" s="66">
        <f ca="1">IFERROR(INDIRECT(CONCATENATE("Field!B",A157+7)),"")</f>
        <v>6</v>
      </c>
      <c r="C163" s="66" t="str">
        <f ca="1">IFERROR(INDIRECT(CONCATENATE("Field!C",A157+7)),"")</f>
        <v/>
      </c>
      <c r="D163" s="89" t="str">
        <f ca="1">IFERROR(INDIRECT(CONCATENATE("Field!D",A157+7)),"")</f>
        <v/>
      </c>
      <c r="E163" s="89" t="str">
        <f ca="1">IFERROR(INDIRECT(CONCATENATE("Field!E",A157+7)),"")</f>
        <v/>
      </c>
      <c r="F163" s="65" t="str">
        <f ca="1">IFERROR(INDIRECT(CONCATENATE("Field!F",A157+7)),"")</f>
        <v/>
      </c>
      <c r="G163" s="121" t="str">
        <f ca="1">IFERROR(INDIRECT(CONCATENATE("Field!G",A157+7)),"")</f>
        <v/>
      </c>
      <c r="H163" s="66"/>
      <c r="I163" s="66">
        <f ca="1">IFERROR(INDIRECT(CONCATENATE("Field!I",A157+7)),"")</f>
        <v>6</v>
      </c>
      <c r="J163" s="66" t="str">
        <f ca="1">IFERROR(INDIRECT(CONCATENATE("Field!J",A157+7)),"")</f>
        <v/>
      </c>
      <c r="K163" s="89" t="str">
        <f ca="1">IFERROR(INDIRECT(CONCATENATE("Field!K",A157+7)),"")</f>
        <v/>
      </c>
      <c r="L163" s="89" t="str">
        <f ca="1">IFERROR(INDIRECT(CONCATENATE("Field!L",A157+7)),"")</f>
        <v/>
      </c>
      <c r="M163" s="65" t="str">
        <f ca="1">IFERROR(INDIRECT(CONCATENATE("Field!M",A157+7)),"")</f>
        <v/>
      </c>
      <c r="N163" s="121" t="str">
        <f ca="1">IFERROR(INDIRECT(CONCATENATE("Field!N",A157+7)),"")</f>
        <v/>
      </c>
    </row>
    <row r="164" spans="1:18" x14ac:dyDescent="0.35">
      <c r="B164" s="66">
        <f ca="1">IFERROR(INDIRECT(CONCATENATE("Field!B",A157+8)),"")</f>
        <v>7</v>
      </c>
      <c r="C164" s="66" t="str">
        <f ca="1">IFERROR(INDIRECT(CONCATENATE("Field!C",A157+8)),"")</f>
        <v/>
      </c>
      <c r="D164" s="89" t="str">
        <f ca="1">IFERROR(INDIRECT(CONCATENATE("Field!D",A157+8)),"")</f>
        <v/>
      </c>
      <c r="E164" s="89" t="str">
        <f ca="1">IFERROR(INDIRECT(CONCATENATE("Field!E",A157+8)),"")</f>
        <v/>
      </c>
      <c r="F164" s="65" t="str">
        <f ca="1">IFERROR(INDIRECT(CONCATENATE("Field!F",A157+8)),"")</f>
        <v/>
      </c>
      <c r="G164" s="121" t="str">
        <f ca="1">IFERROR(INDIRECT(CONCATENATE("Field!G",A157+8)),"")</f>
        <v/>
      </c>
      <c r="H164" s="66"/>
      <c r="I164" s="66">
        <f ca="1">IFERROR(INDIRECT(CONCATENATE("Field!I",A157+8)),"")</f>
        <v>7</v>
      </c>
      <c r="J164" s="66" t="str">
        <f ca="1">IFERROR(INDIRECT(CONCATENATE("Field!J",A157+8)),"")</f>
        <v/>
      </c>
      <c r="K164" s="89" t="str">
        <f ca="1">IFERROR(INDIRECT(CONCATENATE("Field!K",A157+8)),"")</f>
        <v/>
      </c>
      <c r="L164" s="89" t="str">
        <f ca="1">IFERROR(INDIRECT(CONCATENATE("Field!L",A157+8)),"")</f>
        <v/>
      </c>
      <c r="M164" s="65" t="str">
        <f ca="1">IFERROR(INDIRECT(CONCATENATE("Field!M",A157+8)),"")</f>
        <v/>
      </c>
      <c r="N164" s="121" t="str">
        <f ca="1">IFERROR(INDIRECT(CONCATENATE("Field!N",A157+8)),"")</f>
        <v/>
      </c>
    </row>
    <row r="165" spans="1:18" x14ac:dyDescent="0.35">
      <c r="B165" s="66">
        <f ca="1">IFERROR(INDIRECT(CONCATENATE("Field!B",A157+9)),"")</f>
        <v>8</v>
      </c>
      <c r="C165" s="66" t="str">
        <f ca="1">IFERROR(INDIRECT(CONCATENATE("Field!C",A157+9)),"")</f>
        <v/>
      </c>
      <c r="D165" s="89" t="str">
        <f ca="1">IFERROR(INDIRECT(CONCATENATE("Field!D",A157+9)),"")</f>
        <v/>
      </c>
      <c r="E165" s="89" t="str">
        <f ca="1">IFERROR(INDIRECT(CONCATENATE("Field!E",A157+9)),"")</f>
        <v/>
      </c>
      <c r="F165" s="65" t="str">
        <f ca="1">IFERROR(INDIRECT(CONCATENATE("Field!F",A157+9)),"")</f>
        <v/>
      </c>
      <c r="G165" s="121" t="str">
        <f ca="1">IFERROR(INDIRECT(CONCATENATE("Field!G",A157+9)),"")</f>
        <v/>
      </c>
      <c r="H165" s="66"/>
      <c r="I165" s="66">
        <f ca="1">IFERROR(INDIRECT(CONCATENATE("Field!I",A157+9)),"")</f>
        <v>8</v>
      </c>
      <c r="J165" s="66" t="str">
        <f ca="1">IFERROR(INDIRECT(CONCATENATE("Field!J",A157+9)),"")</f>
        <v/>
      </c>
      <c r="K165" s="89" t="str">
        <f ca="1">IFERROR(INDIRECT(CONCATENATE("Field!K",A157+9)),"")</f>
        <v/>
      </c>
      <c r="L165" s="89" t="str">
        <f ca="1">IFERROR(INDIRECT(CONCATENATE("Field!L",A157+9)),"")</f>
        <v/>
      </c>
      <c r="M165" s="65" t="str">
        <f ca="1">IFERROR(INDIRECT(CONCATENATE("Field!M",A157+9)),"")</f>
        <v/>
      </c>
      <c r="N165" s="121" t="str">
        <f ca="1">IFERROR(INDIRECT(CONCATENATE("Field!N",A157+9)),"")</f>
        <v/>
      </c>
    </row>
    <row r="167" spans="1:18" x14ac:dyDescent="0.35">
      <c r="A167" s="66" t="s">
        <v>317</v>
      </c>
      <c r="B167" s="115" t="str">
        <f ca="1">IFERROR(INDIRECT(CONCATENATE("Relays!B",A168)),"")</f>
        <v xml:space="preserve"> 4 x 100m U15 Girls A</v>
      </c>
      <c r="M167" s="301" t="str">
        <f ca="1">IFERROR(INDIRECT(CONCATENATE("Relays!i",A168)),"")</f>
        <v/>
      </c>
    </row>
    <row r="168" spans="1:18" x14ac:dyDescent="0.35">
      <c r="A168" s="66">
        <f>IFERROR(MATCH(A167,Relays!A:A,0),"")</f>
        <v>24</v>
      </c>
      <c r="B168" s="45" t="str">
        <f ca="1">IFERROR(INDIRECT(CONCATENATE("Relays!B",A168+1)),"")</f>
        <v>Posn</v>
      </c>
      <c r="C168" s="45" t="str">
        <f ca="1">IFERROR(INDIRECT(CONCATENATE("Relays!C",A168+1)),"")</f>
        <v>No.</v>
      </c>
      <c r="D168" s="182" t="s">
        <v>783</v>
      </c>
      <c r="G168" s="45"/>
      <c r="K168" s="45"/>
      <c r="L168" s="182" t="str">
        <f ca="1">IFERROR(INDIRECT(CONCATENATE("Relays!D",A168+1)),"")</f>
        <v>Club</v>
      </c>
      <c r="M168" s="301" t="str">
        <f ca="1">IFERROR(INDIRECT(CONCATENATE("Relays!i",A168+1)),"")</f>
        <v>Perf</v>
      </c>
    </row>
    <row r="169" spans="1:18" x14ac:dyDescent="0.35">
      <c r="B169" s="66">
        <f ca="1">IFERROR(INDIRECT(CONCATENATE("Relays!B",A168+2)),"")</f>
        <v>1</v>
      </c>
      <c r="C169" s="66">
        <f ca="1">IFERROR(INDIRECT(CONCATENATE("Relays!C",A168+2)),"")</f>
        <v>3</v>
      </c>
      <c r="D169" s="89" t="str">
        <f ca="1">IFERROR(IF(INDIRECT(CONCATENATE("Relays!e",A168+2))="","",INDIRECT(CONCATENATE("Relays!e",A168+2))&amp;", "&amp;INDIRECT(CONCATENATE("Relays!f",A168+2))&amp;", "&amp;INDIRECT(CONCATENATE("Relays!g",A168+2))&amp;", "&amp;INDIRECT(CONCATENATE("Relays!h",A168+2))),"")</f>
        <v>HOGG Frances, MAUDE Charlotte, HASTIE Eve, HICKLING Rosie</v>
      </c>
      <c r="G169" s="66"/>
      <c r="K169" s="66"/>
      <c r="L169" s="89" t="str">
        <f ca="1">IFERROR(INDIRECT(CONCATENATE("Relays!D",A168+2)),"")</f>
        <v>York</v>
      </c>
      <c r="M169" s="299">
        <f ca="1">IFERROR(INDIRECT(CONCATENATE("Relays!i",A168+2)),"")</f>
        <v>53.8</v>
      </c>
      <c r="R169" s="66">
        <f ca="1">IFERROR(INDIRECT(CONCATENATE("Relays!M",A168+2)),"")</f>
        <v>1</v>
      </c>
    </row>
    <row r="170" spans="1:18" x14ac:dyDescent="0.35">
      <c r="B170" s="66">
        <f ca="1">IFERROR(INDIRECT(CONCATENATE("Relays!B",A168+3)),"")</f>
        <v>2</v>
      </c>
      <c r="C170" s="66">
        <f ca="1">IFERROR(INDIRECT(CONCATENATE("Relays!C",A168+3)),"")</f>
        <v>4</v>
      </c>
      <c r="D170" s="89" t="str">
        <f ca="1">IFERROR(IF(INDIRECT(CONCATENATE("Relays!e",A168+3))="","",INDIRECT(CONCATENATE("Relays!e",A168+3))&amp;", "&amp;INDIRECT(CONCATENATE("Relays!f",A168+3))&amp;", "&amp;INDIRECT(CONCATENATE("Relays!g",A168+3))&amp;", "&amp;INDIRECT(CONCATENATE("Relays!h",A168+3))),"")</f>
        <v>OKEY Busonma, ROBSON Daisy, PYE Naiomi, WYATT Martha</v>
      </c>
      <c r="G170" s="66"/>
      <c r="K170" s="66"/>
      <c r="L170" s="89" t="str">
        <f ca="1">IFERROR(INDIRECT(CONCATENATE("Relays!D",A168+3)),"")</f>
        <v>M'bro</v>
      </c>
      <c r="M170" s="299">
        <f ca="1">IFERROR(INDIRECT(CONCATENATE("Relays!i",A168+3)),"")</f>
        <v>53.9</v>
      </c>
    </row>
    <row r="171" spans="1:18" x14ac:dyDescent="0.35">
      <c r="B171" s="66">
        <f ca="1">IFERROR(INDIRECT(CONCATENATE("Relays!B",A168+4)),"")</f>
        <v>3</v>
      </c>
      <c r="C171" s="66">
        <f ca="1">IFERROR(INDIRECT(CONCATENATE("Relays!C",A168+4)),"")</f>
        <v>2</v>
      </c>
      <c r="D171" s="89" t="str">
        <f ca="1">IFERROR(IF(INDIRECT(CONCATENATE("Relays!e",A168+4))="","",INDIRECT(CONCATENATE("Relays!e",A168+4))&amp;", "&amp;INDIRECT(CONCATENATE("Relays!f",A168+4))&amp;", "&amp;INDIRECT(CONCATENATE("Relays!g",A168+4))&amp;", "&amp;INDIRECT(CONCATENATE("Relays!h",A168+4))),"")</f>
        <v>PADDON Olivia, PADDON Freya, ADEBAYO Daphney, JELONKIEWICZ Viktoria</v>
      </c>
      <c r="G171" s="66"/>
      <c r="K171" s="66"/>
      <c r="L171" s="89" t="str">
        <f ca="1">IFERROR(INDIRECT(CONCATENATE("Relays!D",A168+4)),"")</f>
        <v>Sheff+D</v>
      </c>
      <c r="M171" s="299">
        <f ca="1">IFERROR(INDIRECT(CONCATENATE("Relays!i",A168+4)),"")</f>
        <v>55.5</v>
      </c>
    </row>
    <row r="172" spans="1:18" x14ac:dyDescent="0.35">
      <c r="B172" s="66">
        <f ca="1">IFERROR(INDIRECT(CONCATENATE("Relays!B",A168+5)),"")</f>
        <v>4</v>
      </c>
      <c r="C172" s="66">
        <f ca="1">IFERROR(INDIRECT(CONCATENATE("Relays!C",A168+5)),"")</f>
        <v>1</v>
      </c>
      <c r="D172" s="89" t="str">
        <f ca="1">IFERROR(IF(INDIRECT(CONCATENATE("Relays!e",A168+5))="","",INDIRECT(CONCATENATE("Relays!e",A168+5))&amp;", "&amp;INDIRECT(CONCATENATE("Relays!f",A168+5))&amp;", "&amp;INDIRECT(CONCATENATE("Relays!g",A168+5))&amp;", "&amp;INDIRECT(CONCATENATE("Relays!h",A168+5))),"")</f>
        <v>BAINES Lily, KIRKWOOD Eva, DUNKLEY Autum, BRIDDON Missy</v>
      </c>
      <c r="G172" s="66"/>
      <c r="K172" s="66"/>
      <c r="L172" s="89" t="str">
        <f ca="1">IFERROR(INDIRECT(CONCATENATE("Relays!D",A168+5)),"")</f>
        <v>C'field</v>
      </c>
      <c r="M172" s="299">
        <f ca="1">IFERROR(INDIRECT(CONCATENATE("Relays!i",A168+5)),"")</f>
        <v>60.8</v>
      </c>
    </row>
    <row r="173" spans="1:18" x14ac:dyDescent="0.35">
      <c r="B173" s="66">
        <f ca="1">IFERROR(INDIRECT(CONCATENATE("Relays!B",A168+6)),"")</f>
        <v>5</v>
      </c>
      <c r="C173" s="66">
        <f ca="1">IFERROR(INDIRECT(CONCATENATE("Relays!C",A168+6)),"")</f>
        <v>5</v>
      </c>
      <c r="D173" s="89" t="str">
        <f ca="1">IFERROR(IF(INDIRECT(CONCATENATE("Relays!e",A168+6))="","",INDIRECT(CONCATENATE("Relays!e",A168+6))&amp;", "&amp;INDIRECT(CONCATENATE("Relays!f",A168+6))&amp;", "&amp;INDIRECT(CONCATENATE("Relays!g",A168+6))&amp;", "&amp;INDIRECT(CONCATENATE("Relays!h",A168+6))),"")</f>
        <v>VICKERS Cerys, WRIGHT Lucy, WHITTAKER Millie, BETTS Demi</v>
      </c>
      <c r="G173" s="66"/>
      <c r="K173" s="66"/>
      <c r="L173" s="89" t="str">
        <f ca="1">IFERROR(INDIRECT(CONCATENATE("Relays!D",A168+6)),"")</f>
        <v>Scun</v>
      </c>
      <c r="M173" s="299">
        <f ca="1">IFERROR(INDIRECT(CONCATENATE("Relays!i",A168+6)),"")</f>
        <v>67.2</v>
      </c>
    </row>
    <row r="174" spans="1:18" x14ac:dyDescent="0.35">
      <c r="B174" s="66">
        <f ca="1">IFERROR(INDIRECT(CONCATENATE("Relays!B",A168+7)),"")</f>
        <v>6</v>
      </c>
      <c r="C174" s="66">
        <f ca="1">IFERROR(INDIRECT(CONCATENATE("Relays!C",A168+7)),"")</f>
        <v>0</v>
      </c>
      <c r="D174" s="89" t="str">
        <f ca="1">IFERROR(IF(INDIRECT(CONCATENATE("Relays!e",A168+7))="","",INDIRECT(CONCATENATE("Relays!e",A168+7))&amp;", "&amp;INDIRECT(CONCATENATE("Relays!f",A168+7))&amp;", "&amp;INDIRECT(CONCATENATE("Relays!g",A168+7))&amp;", "&amp;INDIRECT(CONCATENATE("Relays!h",A168+7))),"")</f>
        <v/>
      </c>
      <c r="G174" s="66"/>
      <c r="K174" s="66"/>
      <c r="L174" s="89" t="str">
        <f ca="1">IFERROR(INDIRECT(CONCATENATE("Relays!D",A168+7)),"")</f>
        <v/>
      </c>
      <c r="M174" s="299">
        <f ca="1">IFERROR(INDIRECT(CONCATENATE("Relays!i",A168+7)),"")</f>
        <v>0</v>
      </c>
    </row>
    <row r="175" spans="1:18" x14ac:dyDescent="0.35">
      <c r="B175" s="66">
        <f ca="1">IFERROR(INDIRECT(CONCATENATE("Relays!B",A168+8)),"")</f>
        <v>7</v>
      </c>
      <c r="C175" s="66">
        <f ca="1">IFERROR(INDIRECT(CONCATENATE("Relays!C",A168+8)),"")</f>
        <v>0</v>
      </c>
      <c r="D175" s="89" t="str">
        <f ca="1">IFERROR(IF(INDIRECT(CONCATENATE("Relays!e",A168+8))="","",INDIRECT(CONCATENATE("Relays!e",A168+8))&amp;", "&amp;INDIRECT(CONCATENATE("Relays!f",A168+8))&amp;", "&amp;INDIRECT(CONCATENATE("Relays!g",A168+8))&amp;", "&amp;INDIRECT(CONCATENATE("Relays!h",A168+8))),"")</f>
        <v/>
      </c>
      <c r="G175" s="66"/>
      <c r="K175" s="66"/>
      <c r="L175" s="89" t="str">
        <f ca="1">IFERROR(INDIRECT(CONCATENATE("Relays!D",A168+8)),"")</f>
        <v/>
      </c>
      <c r="M175" s="299">
        <f ca="1">IFERROR(INDIRECT(CONCATENATE("Relays!i",A168+8)),"")</f>
        <v>0</v>
      </c>
    </row>
    <row r="176" spans="1:18" x14ac:dyDescent="0.35">
      <c r="B176" s="66">
        <f ca="1">IFERROR(INDIRECT(CONCATENATE("Relays!B",A168+9)),"")</f>
        <v>8</v>
      </c>
      <c r="C176" s="66">
        <f ca="1">IFERROR(INDIRECT(CONCATENATE("Relays!C",A168+9)),"")</f>
        <v>0</v>
      </c>
      <c r="D176" s="89" t="str">
        <f ca="1">IFERROR(IF(INDIRECT(CONCATENATE("Relays!e",A168+9))="","",INDIRECT(CONCATENATE("Relays!e",A168+9))&amp;", "&amp;INDIRECT(CONCATENATE("Relays!f",A168+9))&amp;", "&amp;INDIRECT(CONCATENATE("Relays!g",A168+9))&amp;", "&amp;INDIRECT(CONCATENATE("Relays!h",A168+9))),"")</f>
        <v/>
      </c>
      <c r="G176" s="66"/>
      <c r="K176" s="66"/>
      <c r="L176" s="89" t="str">
        <f ca="1">IFERROR(INDIRECT(CONCATENATE("Relays!D",A168+9)),"")</f>
        <v/>
      </c>
      <c r="M176" s="299">
        <f ca="1">IFERROR(INDIRECT(CONCATENATE("Relays!i",A168+9)),"")</f>
        <v>0</v>
      </c>
    </row>
    <row r="178" spans="1:18" x14ac:dyDescent="0.35">
      <c r="A178" s="66" t="s">
        <v>313</v>
      </c>
      <c r="B178" s="115" t="str">
        <f ca="1">IFERROR(INDIRECT(CONCATENATE("Relays!B",A179)),"")</f>
        <v xml:space="preserve"> 4 x 300m U15 Girls A</v>
      </c>
      <c r="M178" s="301" t="str">
        <f ca="1">IFERROR(INDIRECT(CONCATENATE("Relays!i",A179)),"")</f>
        <v/>
      </c>
    </row>
    <row r="179" spans="1:18" x14ac:dyDescent="0.35">
      <c r="A179" s="66">
        <f>IFERROR(MATCH(A178,Relays!A:A,0),"")</f>
        <v>46</v>
      </c>
      <c r="B179" s="45" t="str">
        <f ca="1">IFERROR(INDIRECT(CONCATENATE("Relays!B",A179+1)),"")</f>
        <v>Posn</v>
      </c>
      <c r="C179" s="45" t="str">
        <f ca="1">IFERROR(INDIRECT(CONCATENATE("Relays!C",A179+1)),"")</f>
        <v>No.</v>
      </c>
      <c r="D179" s="182" t="s">
        <v>783</v>
      </c>
      <c r="G179" s="45"/>
      <c r="K179" s="45"/>
      <c r="L179" s="182" t="str">
        <f ca="1">IFERROR(INDIRECT(CONCATENATE("Relays!D",A179+1)),"")</f>
        <v>Club</v>
      </c>
      <c r="M179" s="301" t="str">
        <f ca="1">IFERROR(INDIRECT(CONCATENATE("Relays!i",A179+1)),"")</f>
        <v>Perf</v>
      </c>
    </row>
    <row r="180" spans="1:18" x14ac:dyDescent="0.35">
      <c r="B180" s="66">
        <f ca="1">IFERROR(INDIRECT(CONCATENATE("Relays!B",A179+2)),"")</f>
        <v>1</v>
      </c>
      <c r="C180" s="66">
        <f ca="1">IFERROR(INDIRECT(CONCATENATE("Relays!C",A179+2)),"")</f>
        <v>4</v>
      </c>
      <c r="D180" s="89" t="str">
        <f ca="1">IFERROR(IF(INDIRECT(CONCATENATE("Relays!e",A179+2))="","",INDIRECT(CONCATENATE("Relays!e",A179+2))&amp;", "&amp;INDIRECT(CONCATENATE("Relays!f",A179+2))&amp;", "&amp;INDIRECT(CONCATENATE("Relays!g",A179+2))&amp;", "&amp;INDIRECT(CONCATENATE("Relays!h",A179+2))),"")</f>
        <v>MCNEILL Emma, LILLIE Imogen, PYE Leoni, GILLIS Madelaine</v>
      </c>
      <c r="G180" s="66"/>
      <c r="K180" s="66"/>
      <c r="L180" s="89" t="str">
        <f ca="1">IFERROR(INDIRECT(CONCATENATE("Relays!D",A179+2)),"")</f>
        <v>M'bro</v>
      </c>
      <c r="M180" s="302">
        <f ca="1">IFERROR(INDIRECT(CONCATENATE("Relays!K",A179+2)),"")</f>
        <v>2.2789351851851851E-3</v>
      </c>
      <c r="R180" s="66">
        <f ca="1">IFERROR(INDIRECT(CONCATENATE("Relays!M",A179+2)),"")</f>
        <v>1</v>
      </c>
    </row>
    <row r="181" spans="1:18" x14ac:dyDescent="0.35">
      <c r="B181" s="66">
        <f ca="1">IFERROR(INDIRECT(CONCATENATE("Relays!B",A179+3)),"")</f>
        <v>2</v>
      </c>
      <c r="C181" s="66">
        <f ca="1">IFERROR(INDIRECT(CONCATENATE("Relays!C",A179+3)),"")</f>
        <v>3</v>
      </c>
      <c r="D181" s="89" t="str">
        <f ca="1">IFERROR(IF(INDIRECT(CONCATENATE("Relays!e",A179+3))="","",INDIRECT(CONCATENATE("Relays!e",A179+3))&amp;", "&amp;INDIRECT(CONCATENATE("Relays!f",A179+3))&amp;", "&amp;INDIRECT(CONCATENATE("Relays!g",A179+3))&amp;", "&amp;INDIRECT(CONCATENATE("Relays!h",A179+3))),"")</f>
        <v>WALSH Tierney, BROOKS Carmen, LEE Isabel, TWEDDLE Bella</v>
      </c>
      <c r="G181" s="66"/>
      <c r="K181" s="66"/>
      <c r="L181" s="89" t="str">
        <f ca="1">IFERROR(INDIRECT(CONCATENATE("Relays!D",A179+3)),"")</f>
        <v>York</v>
      </c>
      <c r="M181" s="302">
        <f ca="1">IFERROR(INDIRECT(CONCATENATE("Relays!K",A179+3)),"")</f>
        <v>2.3437499999999999E-3</v>
      </c>
    </row>
    <row r="182" spans="1:18" x14ac:dyDescent="0.35">
      <c r="B182" s="66">
        <f ca="1">IFERROR(INDIRECT(CONCATENATE("Relays!B",A179+4)),"")</f>
        <v>3</v>
      </c>
      <c r="C182" s="66">
        <f ca="1">IFERROR(INDIRECT(CONCATENATE("Relays!C",A179+4)),"")</f>
        <v>1</v>
      </c>
      <c r="D182" s="89" t="str">
        <f ca="1">IFERROR(IF(INDIRECT(CONCATENATE("Relays!e",A179+4))="","",INDIRECT(CONCATENATE("Relays!e",A179+4))&amp;", "&amp;INDIRECT(CONCATENATE("Relays!f",A179+4))&amp;", "&amp;INDIRECT(CONCATENATE("Relays!g",A179+4))&amp;", "&amp;INDIRECT(CONCATENATE("Relays!h",A179+4))),"")</f>
        <v>LABAN Ella, DUNKLEY Autum, PROCTOR Alicia, MOODY Hannah</v>
      </c>
      <c r="G182" s="66"/>
      <c r="K182" s="66"/>
      <c r="L182" s="89" t="str">
        <f ca="1">IFERROR(INDIRECT(CONCATENATE("Relays!D",A179+4)),"")</f>
        <v>C'field</v>
      </c>
      <c r="M182" s="302">
        <f ca="1">IFERROR(INDIRECT(CONCATENATE("Relays!K",A179+4)),"")</f>
        <v>2.4421296296296296E-3</v>
      </c>
    </row>
    <row r="183" spans="1:18" x14ac:dyDescent="0.35">
      <c r="B183" s="66">
        <f ca="1">IFERROR(INDIRECT(CONCATENATE("Relays!B",A179+5)),"")</f>
        <v>4</v>
      </c>
      <c r="C183" s="66">
        <f ca="1">IFERROR(INDIRECT(CONCATENATE("Relays!C",A179+5)),"")</f>
        <v>0</v>
      </c>
      <c r="D183" s="89" t="str">
        <f ca="1">IFERROR(IF(INDIRECT(CONCATENATE("Relays!e",A179+5))="","",INDIRECT(CONCATENATE("Relays!e",A179+5))&amp;", "&amp;INDIRECT(CONCATENATE("Relays!f",A179+5))&amp;", "&amp;INDIRECT(CONCATENATE("Relays!g",A179+5))&amp;", "&amp;INDIRECT(CONCATENATE("Relays!h",A179+5))),"")</f>
        <v/>
      </c>
      <c r="G183" s="66"/>
      <c r="K183" s="66"/>
      <c r="L183" s="89" t="str">
        <f ca="1">IFERROR(INDIRECT(CONCATENATE("Relays!D",A179+5)),"")</f>
        <v/>
      </c>
      <c r="M183" s="302">
        <f ca="1">IFERROR(INDIRECT(CONCATENATE("Relays!K",A179+5)),"")</f>
        <v>0</v>
      </c>
    </row>
    <row r="184" spans="1:18" x14ac:dyDescent="0.35">
      <c r="B184" s="66">
        <f ca="1">IFERROR(INDIRECT(CONCATENATE("Relays!B",A179+6)),"")</f>
        <v>5</v>
      </c>
      <c r="C184" s="66">
        <f ca="1">IFERROR(INDIRECT(CONCATENATE("Relays!C",A179+6)),"")</f>
        <v>0</v>
      </c>
      <c r="D184" s="89" t="str">
        <f ca="1">IFERROR(IF(INDIRECT(CONCATENATE("Relays!e",A179+6))="","",INDIRECT(CONCATENATE("Relays!e",A179+6))&amp;", "&amp;INDIRECT(CONCATENATE("Relays!f",A179+6))&amp;", "&amp;INDIRECT(CONCATENATE("Relays!g",A179+6))&amp;", "&amp;INDIRECT(CONCATENATE("Relays!h",A179+6))),"")</f>
        <v/>
      </c>
      <c r="G184" s="66"/>
      <c r="K184" s="66"/>
      <c r="L184" s="89" t="str">
        <f ca="1">IFERROR(INDIRECT(CONCATENATE("Relays!D",A179+6)),"")</f>
        <v/>
      </c>
      <c r="M184" s="302">
        <f ca="1">IFERROR(INDIRECT(CONCATENATE("Relays!K",A179+6)),"")</f>
        <v>0</v>
      </c>
    </row>
    <row r="185" spans="1:18" x14ac:dyDescent="0.35">
      <c r="B185" s="66">
        <f ca="1">IFERROR(INDIRECT(CONCATENATE("Relays!B",A179+7)),"")</f>
        <v>6</v>
      </c>
      <c r="C185" s="66">
        <f ca="1">IFERROR(INDIRECT(CONCATENATE("Relays!C",A179+7)),"")</f>
        <v>0</v>
      </c>
      <c r="D185" s="89" t="str">
        <f ca="1">IFERROR(IF(INDIRECT(CONCATENATE("Relays!e",A179+7))="","",INDIRECT(CONCATENATE("Relays!e",A179+7))&amp;", "&amp;INDIRECT(CONCATENATE("Relays!f",A179+7))&amp;", "&amp;INDIRECT(CONCATENATE("Relays!g",A179+7))&amp;", "&amp;INDIRECT(CONCATENATE("Relays!h",A179+7))),"")</f>
        <v/>
      </c>
      <c r="G185" s="66"/>
      <c r="K185" s="66"/>
      <c r="L185" s="89" t="str">
        <f ca="1">IFERROR(INDIRECT(CONCATENATE("Relays!D",A179+7)),"")</f>
        <v/>
      </c>
      <c r="M185" s="302">
        <f ca="1">IFERROR(INDIRECT(CONCATENATE("Relays!K",A179+7)),"")</f>
        <v>0</v>
      </c>
    </row>
    <row r="186" spans="1:18" x14ac:dyDescent="0.35">
      <c r="B186" s="66">
        <f ca="1">IFERROR(INDIRECT(CONCATENATE("Relays!B",A179+8)),"")</f>
        <v>7</v>
      </c>
      <c r="C186" s="66">
        <f ca="1">IFERROR(INDIRECT(CONCATENATE("Relays!C",A179+8)),"")</f>
        <v>0</v>
      </c>
      <c r="D186" s="89" t="str">
        <f ca="1">IFERROR(IF(INDIRECT(CONCATENATE("Relays!e",A179+8))="","",INDIRECT(CONCATENATE("Relays!e",A179+8))&amp;", "&amp;INDIRECT(CONCATENATE("Relays!f",A179+8))&amp;", "&amp;INDIRECT(CONCATENATE("Relays!g",A179+8))&amp;", "&amp;INDIRECT(CONCATENATE("Relays!h",A179+8))),"")</f>
        <v/>
      </c>
      <c r="G186" s="66"/>
      <c r="K186" s="66"/>
      <c r="L186" s="89" t="str">
        <f ca="1">IFERROR(INDIRECT(CONCATENATE("Relays!D",A179+8)),"")</f>
        <v/>
      </c>
      <c r="M186" s="302">
        <f ca="1">IFERROR(INDIRECT(CONCATENATE("Relays!K",A179+8)),"")</f>
        <v>0</v>
      </c>
    </row>
    <row r="187" spans="1:18" x14ac:dyDescent="0.35">
      <c r="B187" s="66">
        <f ca="1">IFERROR(INDIRECT(CONCATENATE("Relays!B",A179+9)),"")</f>
        <v>8</v>
      </c>
      <c r="C187" s="66">
        <f ca="1">IFERROR(INDIRECT(CONCATENATE("Relays!C",A179+9)),"")</f>
        <v>0</v>
      </c>
      <c r="D187" s="89" t="str">
        <f ca="1">IFERROR(IF(INDIRECT(CONCATENATE("Relays!e",A179+9))="","",INDIRECT(CONCATENATE("Relays!e",A179+9))&amp;", "&amp;INDIRECT(CONCATENATE("Relays!f",A179+9))&amp;", "&amp;INDIRECT(CONCATENATE("Relays!g",A179+9))&amp;", "&amp;INDIRECT(CONCATENATE("Relays!h",A179+9))),"")</f>
        <v/>
      </c>
      <c r="G187" s="66"/>
      <c r="K187" s="66"/>
      <c r="L187" s="89" t="str">
        <f ca="1">IFERROR(INDIRECT(CONCATENATE("Relays!D",A179+9)),"")</f>
        <v/>
      </c>
      <c r="M187" s="302">
        <f ca="1">IFERROR(INDIRECT(CONCATENATE("Relays!K",A179+9)),"")</f>
        <v>0</v>
      </c>
    </row>
  </sheetData>
  <sheetProtection algorithmName="SHA-512" hashValue="2p7rcUs27ERPf6GQcoKOOIGZWxa1UP6tofn1vhQPJrRaRMtPC6Iuj9jUXh1ZqiVHx5LdnH2sylXtIQA20LHUJA==" saltValue="gxzDzcr9D1jlYk6KGHEDGA=="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4" manualBreakCount="4">
    <brk id="45" min="1" max="13" man="1"/>
    <brk id="89" min="1" max="13" man="1"/>
    <brk id="133" min="1" max="13" man="1"/>
    <brk id="166" min="1" max="1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tabColor rgb="FFFFFF00"/>
  </sheetPr>
  <dimension ref="A1:AB352"/>
  <sheetViews>
    <sheetView showZeros="0" topLeftCell="B1" zoomScaleNormal="100" workbookViewId="0">
      <pane ySplit="1" topLeftCell="A95" activePane="bottomLeft" state="frozen"/>
      <selection activeCell="T1" sqref="T1:W1048576"/>
      <selection pane="bottomLeft" activeCell="B56" sqref="A56:XFD68"/>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67"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67" customWidth="1"/>
    <col min="14" max="14" width="4" style="121" customWidth="1"/>
    <col min="15" max="17" width="8.86328125" style="64"/>
    <col min="18" max="18" width="0" style="64" hidden="1" customWidth="1"/>
    <col min="19" max="19" width="8.86328125" style="64"/>
    <col min="20" max="21" width="0" style="64" hidden="1" customWidth="1"/>
    <col min="22" max="23" width="0" style="422" hidden="1" customWidth="1"/>
    <col min="24" max="28" width="8.86328125" style="422"/>
    <col min="29" max="16384" width="8.86328125" style="64"/>
  </cols>
  <sheetData>
    <row r="1" spans="1:26" ht="45" customHeight="1" x14ac:dyDescent="0.35">
      <c r="A1" s="201" t="s">
        <v>784</v>
      </c>
      <c r="B1" s="223" t="str">
        <f>Dashboard!E1</f>
        <v>LOWER NORTH East 1 @ Doncaster</v>
      </c>
      <c r="D1" s="288"/>
      <c r="G1" s="198"/>
      <c r="I1" s="64"/>
      <c r="J1" s="64"/>
      <c r="K1" s="202"/>
      <c r="L1" s="497">
        <f>Dashboard!E2</f>
        <v>43582</v>
      </c>
      <c r="M1" s="497"/>
      <c r="N1" s="200"/>
      <c r="P1" s="82"/>
      <c r="Q1" s="70"/>
      <c r="R1" s="82">
        <f ca="1">SUM(R2:R300)</f>
        <v>15</v>
      </c>
    </row>
    <row r="2" spans="1:26" x14ac:dyDescent="0.35">
      <c r="A2" s="66" t="s">
        <v>43</v>
      </c>
      <c r="B2" s="115" t="str">
        <f ca="1">IFERROR(INDIRECT(CONCATENATE("Track1!B",A3)),"")</f>
        <v>100m U15 Girls A</v>
      </c>
      <c r="E2" s="89" t="s">
        <v>259</v>
      </c>
      <c r="F2" s="299">
        <f ca="1">IFERROR(INDIRECT(CONCATENATE("Track1!f",A3)),"")</f>
        <v>0</v>
      </c>
      <c r="G2" s="121" t="str">
        <f ca="1">IFERROR(INDIRECT(CONCATENATE("Track1!g",A3)),"")</f>
        <v/>
      </c>
      <c r="I2" s="115" t="str">
        <f ca="1">IFERROR(INDIRECT(CONCATENATE("Track1!I",A3)),"")</f>
        <v>100m U15 Girls B</v>
      </c>
      <c r="L2" s="89" t="s">
        <v>259</v>
      </c>
      <c r="M2" s="299">
        <f ca="1">IFERROR(INDIRECT(CONCATENATE("Track1!M",A3)),"")</f>
        <v>0</v>
      </c>
    </row>
    <row r="3" spans="1:26" x14ac:dyDescent="0.35">
      <c r="A3" s="66">
        <f>IFERROR(MATCH(A2,Track1!A:A,0),"")</f>
        <v>112</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149"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149" t="str">
        <f ca="1">IFERROR(INDIRECT(CONCATENATE("Track1!M",A3+1)),"")</f>
        <v>Perf</v>
      </c>
      <c r="N3" s="218" t="str">
        <f ca="1">IFERROR(INDIRECT(CONCATENATE("Track1!N",A3+1)),"")</f>
        <v>AAA</v>
      </c>
    </row>
    <row r="4" spans="1:26" x14ac:dyDescent="0.35">
      <c r="B4" s="66">
        <f ca="1">IFERROR(INDIRECT(CONCATENATE("Track1!B",A3+2)),"")</f>
        <v>1</v>
      </c>
      <c r="C4" s="66">
        <f ca="1">IFERROR(INDIRECT(CONCATENATE("Track1!C",A3+2)),"")</f>
        <v>4</v>
      </c>
      <c r="D4" s="89" t="str">
        <f ca="1">IFERROR(INDIRECT(CONCATENATE("Track1!D",A3+2)),"")</f>
        <v>WYATT Martha</v>
      </c>
      <c r="E4" s="89" t="str">
        <f ca="1">IFERROR(INDIRECT(CONCATENATE("Track1!E",A3+2)),"")</f>
        <v>M'bro</v>
      </c>
      <c r="F4" s="65">
        <f ca="1">IFERROR(INDIRECT(CONCATENATE("Track1!F",A3+2)),"")</f>
        <v>12.8</v>
      </c>
      <c r="G4" s="121">
        <f ca="1">IFERROR(INDIRECT(CONCATENATE("Track1!G",A3+2)),"")</f>
        <v>2</v>
      </c>
      <c r="H4" s="66"/>
      <c r="I4" s="66">
        <f ca="1">IFERROR(INDIRECT(CONCATENATE("Track1!I",A3+2)),"")</f>
        <v>1</v>
      </c>
      <c r="J4" s="66">
        <f ca="1">IFERROR(INDIRECT(CONCATENATE("Track1!J",A3+2)),"")</f>
        <v>3</v>
      </c>
      <c r="K4" s="89" t="str">
        <f ca="1">IFERROR(INDIRECT(CONCATENATE("Track1!K",A3+2)),"")</f>
        <v>BROOKS Carmen</v>
      </c>
      <c r="L4" s="89" t="str">
        <f ca="1">IFERROR(INDIRECT(CONCATENATE("Track1!L",A3+2)),"")</f>
        <v>York</v>
      </c>
      <c r="M4" s="65">
        <f ca="1">IFERROR(INDIRECT(CONCATENATE("Track1!M",A3+2)),"")</f>
        <v>13.5</v>
      </c>
      <c r="N4" s="121">
        <f ca="1">IFERROR(INDIRECT(CONCATENATE("Track1!N",A3+2)),"")</f>
        <v>4</v>
      </c>
      <c r="R4" s="219">
        <f ca="1">IFERROR(INDIRECT(CONCATENATE("Track1!r",A3+2)),"")</f>
        <v>1</v>
      </c>
      <c r="T4" s="64">
        <f ca="1">IF(OR(D4=0,D4="",D4="Athlete"),"",COUNTIF($D$4:$D$352,D4))</f>
        <v>1</v>
      </c>
      <c r="U4" s="64">
        <f ca="1">IF(OR(K4=0,K4="",K4="Athlete"),"",COUNTIF($D$4:$D$352,K4))</f>
        <v>3</v>
      </c>
      <c r="V4" s="422">
        <f ca="1">IF(OR(D4=0,D4="",D4="Athlete"),"",COUNTIF($D$4:$D4,D4))</f>
        <v>1</v>
      </c>
      <c r="W4" s="422" t="str">
        <f ca="1">IF(OR(D4=0,D4="",D4="Athlete"),"",E4)</f>
        <v>M'bro</v>
      </c>
      <c r="Z4" s="422">
        <f ca="1">IF(OR(G4=0,G4="",G4="Athlete"),"",H4)</f>
        <v>0</v>
      </c>
    </row>
    <row r="5" spans="1:26" x14ac:dyDescent="0.35">
      <c r="B5" s="66">
        <f ca="1">IFERROR(INDIRECT(CONCATENATE("Track1!B",A3+3)),"")</f>
        <v>2</v>
      </c>
      <c r="C5" s="66">
        <f ca="1">IFERROR(INDIRECT(CONCATENATE("Track1!C",A3+3)),"")</f>
        <v>2</v>
      </c>
      <c r="D5" s="89" t="str">
        <f ca="1">IFERROR(INDIRECT(CONCATENATE("Track1!D",A3+3)),"")</f>
        <v>MYCROFT Tilly</v>
      </c>
      <c r="E5" s="89" t="str">
        <f ca="1">IFERROR(INDIRECT(CONCATENATE("Track1!E",A3+3)),"")</f>
        <v>Sheff+D</v>
      </c>
      <c r="F5" s="65">
        <f ca="1">IFERROR(INDIRECT(CONCATENATE("Track1!F",A3+3)),"")</f>
        <v>13.3</v>
      </c>
      <c r="G5" s="121">
        <f ca="1">IFERROR(INDIRECT(CONCATENATE("Track1!G",A3+3)),"")</f>
        <v>4</v>
      </c>
      <c r="H5" s="66"/>
      <c r="I5" s="66">
        <f ca="1">IFERROR(INDIRECT(CONCATENATE("Track1!I",A3+3)),"")</f>
        <v>2</v>
      </c>
      <c r="J5" s="66">
        <f ca="1">IFERROR(INDIRECT(CONCATENATE("Track1!J",A3+3)),"")</f>
        <v>44</v>
      </c>
      <c r="K5" s="89" t="str">
        <f ca="1">IFERROR(INDIRECT(CONCATENATE("Track1!K",A3+3)),"")</f>
        <v>GILLIS Madelaine</v>
      </c>
      <c r="L5" s="89" t="str">
        <f ca="1">IFERROR(INDIRECT(CONCATENATE("Track1!L",A3+3)),"")</f>
        <v>M'bro</v>
      </c>
      <c r="M5" s="65">
        <f ca="1">IFERROR(INDIRECT(CONCATENATE("Track1!M",A3+3)),"")</f>
        <v>13.8</v>
      </c>
      <c r="N5" s="121" t="str">
        <f ca="1">IFERROR(INDIRECT(CONCATENATE("Track1!N",A3+3)),"")</f>
        <v/>
      </c>
      <c r="T5" s="64">
        <f t="shared" ref="T5:T68" ca="1" si="0">IF(OR(D5=0,D5="",D5="Athlete"),"",COUNTIF($D$4:$D$352,D5))</f>
        <v>3</v>
      </c>
      <c r="U5" s="64">
        <f t="shared" ref="U5:U68" ca="1" si="1">IF(OR(K5=0,K5="",K5="Athlete"),"",COUNTIF($D$4:$D$352,K5))</f>
        <v>2</v>
      </c>
      <c r="V5" s="422">
        <f ca="1">IF(OR(D5=0,D5="",D5="Athlete"),"",COUNTIF($D$4:$D5,D5))</f>
        <v>1</v>
      </c>
      <c r="W5" s="422" t="str">
        <f t="shared" ref="W5:W68" ca="1" si="2">IF(OR(D5=0,D5="",D5="Athlete"),"",E5)</f>
        <v>Sheff+D</v>
      </c>
      <c r="Z5" s="422">
        <f t="shared" ref="Z5:Z68" ca="1" si="3">IF(OR(G5=0,G5="",G5="Athlete"),"",H5)</f>
        <v>0</v>
      </c>
    </row>
    <row r="6" spans="1:26" x14ac:dyDescent="0.35">
      <c r="B6" s="66">
        <f ca="1">IFERROR(INDIRECT(CONCATENATE("Track1!B",A3+4)),"")</f>
        <v>3</v>
      </c>
      <c r="C6" s="66">
        <f ca="1">IFERROR(INDIRECT(CONCATENATE("Track1!C",A3+4)),"")</f>
        <v>33</v>
      </c>
      <c r="D6" s="89" t="str">
        <f ca="1">IFERROR(INDIRECT(CONCATENATE("Track1!D",A3+4)),"")</f>
        <v>HICKLING Rosie</v>
      </c>
      <c r="E6" s="89" t="str">
        <f ca="1">IFERROR(INDIRECT(CONCATENATE("Track1!E",A3+4)),"")</f>
        <v>York</v>
      </c>
      <c r="F6" s="65">
        <f ca="1">IFERROR(INDIRECT(CONCATENATE("Track1!F",A3+4)),"")</f>
        <v>13.3</v>
      </c>
      <c r="G6" s="121">
        <f ca="1">IFERROR(INDIRECT(CONCATENATE("Track1!G",A3+4)),"")</f>
        <v>4</v>
      </c>
      <c r="H6" s="66"/>
      <c r="I6" s="66">
        <f ca="1">IFERROR(INDIRECT(CONCATENATE("Track1!I",A3+4)),"")</f>
        <v>3</v>
      </c>
      <c r="J6" s="66">
        <f ca="1">IFERROR(INDIRECT(CONCATENATE("Track1!J",A3+4)),"")</f>
        <v>22</v>
      </c>
      <c r="K6" s="89" t="str">
        <f ca="1">IFERROR(INDIRECT(CONCATENATE("Track1!K",A3+4)),"")</f>
        <v>JELONKIEWICZ Viktoria</v>
      </c>
      <c r="L6" s="89" t="str">
        <f ca="1">IFERROR(INDIRECT(CONCATENATE("Track1!L",A3+4)),"")</f>
        <v>Sheff+D</v>
      </c>
      <c r="M6" s="65">
        <f ca="1">IFERROR(INDIRECT(CONCATENATE("Track1!M",A3+4)),"")</f>
        <v>13.9</v>
      </c>
      <c r="N6" s="121" t="str">
        <f ca="1">IFERROR(INDIRECT(CONCATENATE("Track1!N",A3+4)),"")</f>
        <v/>
      </c>
      <c r="T6" s="64">
        <f t="shared" ca="1" si="0"/>
        <v>2</v>
      </c>
      <c r="U6" s="64">
        <f t="shared" ca="1" si="1"/>
        <v>2</v>
      </c>
      <c r="V6" s="422">
        <f ca="1">IF(OR(D6=0,D6="",D6="Athlete"),"",COUNTIF($D$4:$D6,D6))</f>
        <v>1</v>
      </c>
      <c r="W6" s="422" t="str">
        <f t="shared" ca="1" si="2"/>
        <v>York</v>
      </c>
      <c r="Z6" s="422">
        <f t="shared" ca="1" si="3"/>
        <v>0</v>
      </c>
    </row>
    <row r="7" spans="1:26" x14ac:dyDescent="0.35">
      <c r="B7" s="66">
        <f ca="1">IFERROR(INDIRECT(CONCATENATE("Track1!B",A3+5)),"")</f>
        <v>4</v>
      </c>
      <c r="C7" s="66">
        <f ca="1">IFERROR(INDIRECT(CONCATENATE("Track1!C",A3+5)),"")</f>
        <v>1</v>
      </c>
      <c r="D7" s="89" t="str">
        <f ca="1">IFERROR(INDIRECT(CONCATENATE("Track1!D",A3+5)),"")</f>
        <v>BRIDDON Missy</v>
      </c>
      <c r="E7" s="89" t="str">
        <f ca="1">IFERROR(INDIRECT(CONCATENATE("Track1!E",A3+5)),"")</f>
        <v>C'field</v>
      </c>
      <c r="F7" s="65">
        <f ca="1">IFERROR(INDIRECT(CONCATENATE("Track1!F",A3+5)),"")</f>
        <v>13.7</v>
      </c>
      <c r="G7" s="121" t="str">
        <f ca="1">IFERROR(INDIRECT(CONCATENATE("Track1!G",A3+5)),"")</f>
        <v/>
      </c>
      <c r="H7" s="66"/>
      <c r="I7" s="66">
        <f ca="1">IFERROR(INDIRECT(CONCATENATE("Track1!I",A3+5)),"")</f>
        <v>4</v>
      </c>
      <c r="J7" s="66">
        <f ca="1">IFERROR(INDIRECT(CONCATENATE("Track1!J",A3+5)),"")</f>
        <v>11</v>
      </c>
      <c r="K7" s="89" t="str">
        <f ca="1">IFERROR(INDIRECT(CONCATENATE("Track1!K",A3+5)),"")</f>
        <v>BAINES Lily</v>
      </c>
      <c r="L7" s="89" t="str">
        <f ca="1">IFERROR(INDIRECT(CONCATENATE("Track1!L",A3+5)),"")</f>
        <v>C'field</v>
      </c>
      <c r="M7" s="65">
        <f ca="1">IFERROR(INDIRECT(CONCATENATE("Track1!M",A3+5)),"")</f>
        <v>15.2</v>
      </c>
      <c r="N7" s="121" t="str">
        <f ca="1">IFERROR(INDIRECT(CONCATENATE("Track1!N",A3+5)),"")</f>
        <v/>
      </c>
      <c r="T7" s="64">
        <f t="shared" ca="1" si="0"/>
        <v>3</v>
      </c>
      <c r="U7" s="64">
        <f t="shared" ca="1" si="1"/>
        <v>3</v>
      </c>
      <c r="V7" s="422">
        <f ca="1">IF(OR(D7=0,D7="",D7="Athlete"),"",COUNTIF($D$4:$D7,D7))</f>
        <v>1</v>
      </c>
      <c r="W7" s="422" t="str">
        <f t="shared" ca="1" si="2"/>
        <v>C'field</v>
      </c>
      <c r="Z7" s="422" t="str">
        <f t="shared" ca="1" si="3"/>
        <v/>
      </c>
    </row>
    <row r="8" spans="1:26" x14ac:dyDescent="0.35">
      <c r="B8" s="66">
        <f ca="1">IFERROR(INDIRECT(CONCATENATE("Track1!B",A3+6)),"")</f>
        <v>5</v>
      </c>
      <c r="C8" s="66">
        <f ca="1">IFERROR(INDIRECT(CONCATENATE("Track1!C",A3+6)),"")</f>
        <v>0</v>
      </c>
      <c r="D8" s="89" t="str">
        <f ca="1">IFERROR(INDIRECT(CONCATENATE("Track1!D",A3+6)),"")</f>
        <v/>
      </c>
      <c r="E8" s="89" t="str">
        <f ca="1">IFERROR(INDIRECT(CONCATENATE("Track1!E",A3+6)),"")</f>
        <v/>
      </c>
      <c r="F8" s="65">
        <f ca="1">IFERROR(INDIRECT(CONCATENATE("Track1!F",A3+6)),"")</f>
        <v>0</v>
      </c>
      <c r="G8" s="121" t="str">
        <f ca="1">IFERROR(INDIRECT(CONCATENATE("Track1!G",A3+6)),"")</f>
        <v/>
      </c>
      <c r="H8" s="66"/>
      <c r="I8" s="66">
        <f ca="1">IFERROR(INDIRECT(CONCATENATE("Track1!I",A3+6)),"")</f>
        <v>5</v>
      </c>
      <c r="J8" s="66">
        <f ca="1">IFERROR(INDIRECT(CONCATENATE("Track1!J",A3+6)),"")</f>
        <v>0</v>
      </c>
      <c r="K8" s="89" t="str">
        <f ca="1">IFERROR(INDIRECT(CONCATENATE("Track1!K",A3+6)),"")</f>
        <v/>
      </c>
      <c r="L8" s="89" t="str">
        <f ca="1">IFERROR(INDIRECT(CONCATENATE("Track1!L",A3+6)),"")</f>
        <v/>
      </c>
      <c r="M8" s="65">
        <f ca="1">IFERROR(INDIRECT(CONCATENATE("Track1!M",A3+6)),"")</f>
        <v>0</v>
      </c>
      <c r="N8" s="121" t="str">
        <f ca="1">IFERROR(INDIRECT(CONCATENATE("Track1!N",A3+6)),"")</f>
        <v/>
      </c>
      <c r="T8" s="64" t="str">
        <f t="shared" ca="1" si="0"/>
        <v/>
      </c>
      <c r="U8" s="64" t="str">
        <f t="shared" ca="1" si="1"/>
        <v/>
      </c>
      <c r="V8" s="422" t="str">
        <f ca="1">IF(OR(D8=0,D8="",D8="Athlete"),"",COUNTIF($D$4:$D8,D8))</f>
        <v/>
      </c>
      <c r="W8" s="422" t="str">
        <f t="shared" ca="1" si="2"/>
        <v/>
      </c>
      <c r="Z8" s="422" t="str">
        <f t="shared" ca="1" si="3"/>
        <v/>
      </c>
    </row>
    <row r="9" spans="1:26" x14ac:dyDescent="0.35">
      <c r="B9" s="66">
        <f ca="1">IFERROR(INDIRECT(CONCATENATE("Track1!B",A3+7)),"")</f>
        <v>6</v>
      </c>
      <c r="C9" s="66">
        <f ca="1">IFERROR(INDIRECT(CONCATENATE("Track1!C",A3+7)),"")</f>
        <v>0</v>
      </c>
      <c r="D9" s="89" t="str">
        <f ca="1">IFERROR(INDIRECT(CONCATENATE("Track1!D",A3+7)),"")</f>
        <v/>
      </c>
      <c r="E9" s="89" t="str">
        <f ca="1">IFERROR(INDIRECT(CONCATENATE("Track1!E",A3+7)),"")</f>
        <v/>
      </c>
      <c r="F9" s="65">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65">
        <f ca="1">IFERROR(INDIRECT(CONCATENATE("Track1!M",A3+7)),"")</f>
        <v>0</v>
      </c>
      <c r="N9" s="121" t="str">
        <f ca="1">IFERROR(INDIRECT(CONCATENATE("Track1!N",A3+7)),"")</f>
        <v/>
      </c>
      <c r="T9" s="64" t="str">
        <f t="shared" ca="1" si="0"/>
        <v/>
      </c>
      <c r="U9" s="64" t="str">
        <f t="shared" ca="1" si="1"/>
        <v/>
      </c>
      <c r="V9" s="422" t="str">
        <f ca="1">IF(OR(D9=0,D9="",D9="Athlete"),"",COUNTIF($D$4:$D9,D9))</f>
        <v/>
      </c>
      <c r="W9" s="422" t="str">
        <f t="shared" ca="1" si="2"/>
        <v/>
      </c>
      <c r="Z9" s="422" t="str">
        <f t="shared" ca="1" si="3"/>
        <v/>
      </c>
    </row>
    <row r="10" spans="1:26" x14ac:dyDescent="0.35">
      <c r="B10" s="66">
        <f ca="1">IFERROR(INDIRECT(CONCATENATE("Track1!B",A3+8)),"")</f>
        <v>7</v>
      </c>
      <c r="C10" s="66">
        <f ca="1">IFERROR(INDIRECT(CONCATENATE("Track1!C",A3+8)),"")</f>
        <v>0</v>
      </c>
      <c r="D10" s="89" t="str">
        <f ca="1">IFERROR(INDIRECT(CONCATENATE("Track1!D",A3+8)),"")</f>
        <v/>
      </c>
      <c r="E10" s="89" t="str">
        <f ca="1">IFERROR(INDIRECT(CONCATENATE("Track1!E",A3+8)),"")</f>
        <v/>
      </c>
      <c r="F10" s="65">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65">
        <f ca="1">IFERROR(INDIRECT(CONCATENATE("Track1!M",A3+8)),"")</f>
        <v>0</v>
      </c>
      <c r="N10" s="121" t="str">
        <f ca="1">IFERROR(INDIRECT(CONCATENATE("Track1!N",A3+8)),"")</f>
        <v/>
      </c>
      <c r="T10" s="64" t="str">
        <f t="shared" ca="1" si="0"/>
        <v/>
      </c>
      <c r="U10" s="64" t="str">
        <f t="shared" ca="1" si="1"/>
        <v/>
      </c>
      <c r="V10" s="422" t="str">
        <f ca="1">IF(OR(D10=0,D10="",D10="Athlete"),"",COUNTIF($D$4:$D10,D10))</f>
        <v/>
      </c>
      <c r="W10" s="422" t="str">
        <f t="shared" ca="1" si="2"/>
        <v/>
      </c>
      <c r="Z10" s="422" t="str">
        <f t="shared" ca="1" si="3"/>
        <v/>
      </c>
    </row>
    <row r="11" spans="1:26" x14ac:dyDescent="0.35">
      <c r="B11" s="66">
        <f ca="1">IFERROR(INDIRECT(CONCATENATE("Track1!B",A3+9)),"")</f>
        <v>8</v>
      </c>
      <c r="C11" s="66">
        <f ca="1">IFERROR(INDIRECT(CONCATENATE("Track1!C",A3+9)),"")</f>
        <v>0</v>
      </c>
      <c r="D11" s="89" t="str">
        <f ca="1">IFERROR(INDIRECT(CONCATENATE("Track1!D",A3+9)),"")</f>
        <v/>
      </c>
      <c r="E11" s="89" t="str">
        <f ca="1">IFERROR(INDIRECT(CONCATENATE("Track1!E",A3+9)),"")</f>
        <v/>
      </c>
      <c r="F11" s="65">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65">
        <f ca="1">IFERROR(INDIRECT(CONCATENATE("Track1!M",A3+9)),"")</f>
        <v>0</v>
      </c>
      <c r="N11" s="121" t="str">
        <f ca="1">IFERROR(INDIRECT(CONCATENATE("Track1!N",A3+9)),"")</f>
        <v/>
      </c>
      <c r="T11" s="64" t="str">
        <f t="shared" ca="1" si="0"/>
        <v/>
      </c>
      <c r="U11" s="64" t="str">
        <f t="shared" ca="1" si="1"/>
        <v/>
      </c>
      <c r="V11" s="422" t="str">
        <f ca="1">IF(OR(D11=0,D11="",D11="Athlete"),"",COUNTIF($D$4:$D11,D11))</f>
        <v/>
      </c>
      <c r="W11" s="422" t="str">
        <f t="shared" ca="1" si="2"/>
        <v/>
      </c>
      <c r="Z11" s="422" t="str">
        <f t="shared" ca="1" si="3"/>
        <v/>
      </c>
    </row>
    <row r="12" spans="1:26" x14ac:dyDescent="0.35">
      <c r="T12" s="64" t="str">
        <f t="shared" si="0"/>
        <v/>
      </c>
      <c r="U12" s="64" t="str">
        <f t="shared" si="1"/>
        <v/>
      </c>
      <c r="V12" s="422" t="str">
        <f>IF(OR(D12=0,D12="",D12="Athlete"),"",COUNTIF($D$4:$D12,D12))</f>
        <v/>
      </c>
      <c r="W12" s="422" t="str">
        <f t="shared" si="2"/>
        <v/>
      </c>
      <c r="Z12" s="422" t="str">
        <f t="shared" si="3"/>
        <v/>
      </c>
    </row>
    <row r="13" spans="1:26" x14ac:dyDescent="0.35">
      <c r="A13" s="66" t="s">
        <v>46</v>
      </c>
      <c r="B13" s="115" t="str">
        <f ca="1">IFERROR(INDIRECT(CONCATENATE("Track1!B",A14)),"")</f>
        <v>100m NS U15 Girls A</v>
      </c>
      <c r="E13" s="89" t="s">
        <v>259</v>
      </c>
      <c r="F13" s="299">
        <f ca="1">IFERROR(INDIRECT(CONCATENATE("Track1!f",A14)),"")</f>
        <v>0</v>
      </c>
      <c r="G13" s="121" t="str">
        <f ca="1">IFERROR(INDIRECT(CONCATENATE("Track1!g",A14)),"")</f>
        <v/>
      </c>
      <c r="I13" s="115" t="str">
        <f ca="1">IFERROR(INDIRECT(CONCATENATE("Track1!I",A14)),"")</f>
        <v>100m NS U15 Girls B</v>
      </c>
      <c r="L13" s="89" t="s">
        <v>259</v>
      </c>
      <c r="M13" s="299">
        <f ca="1">IFERROR(INDIRECT(CONCATENATE("Track1!M",A14)),"")</f>
        <v>0</v>
      </c>
      <c r="T13" s="64" t="str">
        <f t="shared" si="0"/>
        <v/>
      </c>
      <c r="U13" s="64" t="str">
        <f t="shared" si="1"/>
        <v/>
      </c>
      <c r="V13" s="422" t="str">
        <f>IF(OR(D13=0,D13="",D13="Athlete"),"",COUNTIF($D$4:$D13,D13))</f>
        <v/>
      </c>
      <c r="W13" s="422" t="str">
        <f t="shared" si="2"/>
        <v/>
      </c>
      <c r="Z13" s="422" t="str">
        <f t="shared" ca="1" si="3"/>
        <v/>
      </c>
    </row>
    <row r="14" spans="1:26" x14ac:dyDescent="0.35">
      <c r="A14" s="66">
        <f>IFERROR(MATCH(A13,Track1!A:A,0),"")</f>
        <v>156</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149"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149" t="str">
        <f ca="1">IFERROR(INDIRECT(CONCATENATE("Track1!M",A14+1)),"")</f>
        <v>Perf</v>
      </c>
      <c r="N14" s="218" t="str">
        <f ca="1">IFERROR(INDIRECT(CONCATENATE("Track1!N",A14+1)),"")</f>
        <v>AAA</v>
      </c>
      <c r="T14" s="64" t="str">
        <f t="shared" ca="1" si="0"/>
        <v/>
      </c>
      <c r="U14" s="64" t="str">
        <f t="shared" ca="1" si="1"/>
        <v/>
      </c>
      <c r="V14" s="422" t="str">
        <f ca="1">IF(OR(D14=0,D14="",D14="Athlete"),"",COUNTIF($D$4:$D14,D14))</f>
        <v/>
      </c>
      <c r="W14" s="422" t="str">
        <f t="shared" ca="1" si="2"/>
        <v/>
      </c>
      <c r="Z14" s="422">
        <f t="shared" ca="1" si="3"/>
        <v>0</v>
      </c>
    </row>
    <row r="15" spans="1:26" x14ac:dyDescent="0.35">
      <c r="B15" s="66">
        <f ca="1">IFERROR(INDIRECT(CONCATENATE("Track1!B",A14+2)),"")</f>
        <v>1</v>
      </c>
      <c r="C15" s="66">
        <f ca="1">IFERROR(INDIRECT(CONCATENATE("Track1!C",A14+2)),"")</f>
        <v>0</v>
      </c>
      <c r="D15" s="89" t="str">
        <f ca="1">IFERROR(INDIRECT(CONCATENATE("Track1!D",A14+2)),"")</f>
        <v/>
      </c>
      <c r="E15" s="89" t="str">
        <f ca="1">IFERROR(INDIRECT(CONCATENATE("Track1!E",A14+2)),"")</f>
        <v/>
      </c>
      <c r="F15" s="65">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65">
        <f ca="1">IFERROR(INDIRECT(CONCATENATE("Track1!M",A14+2)),"")</f>
        <v>0</v>
      </c>
      <c r="N15" s="121" t="str">
        <f ca="1">IFERROR(INDIRECT(CONCATENATE("Track1!N",A14+2)),"")</f>
        <v/>
      </c>
      <c r="R15" s="219">
        <f ca="1">IFERROR(INDIRECT(CONCATENATE("Track1!r",A14+2)),"")</f>
        <v>0</v>
      </c>
      <c r="T15" s="64" t="str">
        <f t="shared" ca="1" si="0"/>
        <v/>
      </c>
      <c r="U15" s="64" t="str">
        <f t="shared" ca="1" si="1"/>
        <v/>
      </c>
      <c r="V15" s="422" t="str">
        <f ca="1">IF(OR(D15=0,D15="",D15="Athlete"),"",COUNTIF($D$4:$D15,D15))</f>
        <v/>
      </c>
      <c r="W15" s="422" t="str">
        <f t="shared" ca="1" si="2"/>
        <v/>
      </c>
      <c r="Z15" s="422" t="str">
        <f t="shared" ca="1" si="3"/>
        <v/>
      </c>
    </row>
    <row r="16" spans="1:26" x14ac:dyDescent="0.35">
      <c r="B16" s="66">
        <f ca="1">IFERROR(INDIRECT(CONCATENATE("Track1!B",A14+3)),"")</f>
        <v>2</v>
      </c>
      <c r="C16" s="66">
        <f ca="1">IFERROR(INDIRECT(CONCATENATE("Track1!C",A14+3)),"")</f>
        <v>0</v>
      </c>
      <c r="D16" s="89" t="str">
        <f ca="1">IFERROR(INDIRECT(CONCATENATE("Track1!D",A14+3)),"")</f>
        <v/>
      </c>
      <c r="E16" s="89" t="str">
        <f ca="1">IFERROR(INDIRECT(CONCATENATE("Track1!E",A14+3)),"")</f>
        <v/>
      </c>
      <c r="F16" s="65">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65">
        <f ca="1">IFERROR(INDIRECT(CONCATENATE("Track1!M",A14+3)),"")</f>
        <v>0</v>
      </c>
      <c r="N16" s="121" t="str">
        <f ca="1">IFERROR(INDIRECT(CONCATENATE("Track1!N",A14+3)),"")</f>
        <v/>
      </c>
      <c r="T16" s="64" t="str">
        <f t="shared" ca="1" si="0"/>
        <v/>
      </c>
      <c r="U16" s="64" t="str">
        <f t="shared" ca="1" si="1"/>
        <v/>
      </c>
      <c r="V16" s="422" t="str">
        <f ca="1">IF(OR(D16=0,D16="",D16="Athlete"),"",COUNTIF($D$4:$D16,D16))</f>
        <v/>
      </c>
      <c r="W16" s="422" t="str">
        <f t="shared" ca="1" si="2"/>
        <v/>
      </c>
      <c r="Z16" s="422" t="str">
        <f t="shared" ca="1" si="3"/>
        <v/>
      </c>
    </row>
    <row r="17" spans="1:26" x14ac:dyDescent="0.35">
      <c r="B17" s="66">
        <f ca="1">IFERROR(INDIRECT(CONCATENATE("Track1!B",A14+4)),"")</f>
        <v>3</v>
      </c>
      <c r="C17" s="66">
        <f ca="1">IFERROR(INDIRECT(CONCATENATE("Track1!C",A14+4)),"")</f>
        <v>0</v>
      </c>
      <c r="D17" s="89" t="str">
        <f ca="1">IFERROR(INDIRECT(CONCATENATE("Track1!D",A14+4)),"")</f>
        <v/>
      </c>
      <c r="E17" s="89" t="str">
        <f ca="1">IFERROR(INDIRECT(CONCATENATE("Track1!E",A14+4)),"")</f>
        <v/>
      </c>
      <c r="F17" s="65">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65">
        <f ca="1">IFERROR(INDIRECT(CONCATENATE("Track1!M",A14+4)),"")</f>
        <v>0</v>
      </c>
      <c r="N17" s="121" t="str">
        <f ca="1">IFERROR(INDIRECT(CONCATENATE("Track1!N",A14+4)),"")</f>
        <v/>
      </c>
      <c r="T17" s="64" t="str">
        <f t="shared" ca="1" si="0"/>
        <v/>
      </c>
      <c r="U17" s="64" t="str">
        <f t="shared" ca="1" si="1"/>
        <v/>
      </c>
      <c r="V17" s="422" t="str">
        <f ca="1">IF(OR(D17=0,D17="",D17="Athlete"),"",COUNTIF($D$4:$D17,D17))</f>
        <v/>
      </c>
      <c r="W17" s="422" t="str">
        <f t="shared" ca="1" si="2"/>
        <v/>
      </c>
      <c r="Z17" s="422" t="str">
        <f t="shared" ca="1" si="3"/>
        <v/>
      </c>
    </row>
    <row r="18" spans="1:26" x14ac:dyDescent="0.35">
      <c r="B18" s="66">
        <f ca="1">IFERROR(INDIRECT(CONCATENATE("Track1!B",A14+5)),"")</f>
        <v>4</v>
      </c>
      <c r="C18" s="66">
        <f ca="1">IFERROR(INDIRECT(CONCATENATE("Track1!C",A14+5)),"")</f>
        <v>0</v>
      </c>
      <c r="D18" s="89" t="str">
        <f ca="1">IFERROR(INDIRECT(CONCATENATE("Track1!D",A14+5)),"")</f>
        <v/>
      </c>
      <c r="E18" s="89" t="str">
        <f ca="1">IFERROR(INDIRECT(CONCATENATE("Track1!E",A14+5)),"")</f>
        <v/>
      </c>
      <c r="F18" s="65">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65">
        <f ca="1">IFERROR(INDIRECT(CONCATENATE("Track1!M",A14+5)),"")</f>
        <v>0</v>
      </c>
      <c r="N18" s="121" t="str">
        <f ca="1">IFERROR(INDIRECT(CONCATENATE("Track1!N",A14+5)),"")</f>
        <v/>
      </c>
      <c r="T18" s="64" t="str">
        <f t="shared" ca="1" si="0"/>
        <v/>
      </c>
      <c r="U18" s="64" t="str">
        <f t="shared" ca="1" si="1"/>
        <v/>
      </c>
      <c r="V18" s="422" t="str">
        <f ca="1">IF(OR(D18=0,D18="",D18="Athlete"),"",COUNTIF($D$4:$D18,D18))</f>
        <v/>
      </c>
      <c r="W18" s="422" t="str">
        <f t="shared" ca="1" si="2"/>
        <v/>
      </c>
      <c r="Z18" s="422" t="str">
        <f t="shared" ca="1" si="3"/>
        <v/>
      </c>
    </row>
    <row r="19" spans="1:26" x14ac:dyDescent="0.35">
      <c r="B19" s="66">
        <f ca="1">IFERROR(INDIRECT(CONCATENATE("Track1!B",A14+6)),"")</f>
        <v>5</v>
      </c>
      <c r="C19" s="66">
        <f ca="1">IFERROR(INDIRECT(CONCATENATE("Track1!C",A14+6)),"")</f>
        <v>0</v>
      </c>
      <c r="D19" s="89" t="str">
        <f ca="1">IFERROR(INDIRECT(CONCATENATE("Track1!D",A14+6)),"")</f>
        <v/>
      </c>
      <c r="E19" s="89" t="str">
        <f ca="1">IFERROR(INDIRECT(CONCATENATE("Track1!E",A14+6)),"")</f>
        <v/>
      </c>
      <c r="F19" s="65">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65">
        <f ca="1">IFERROR(INDIRECT(CONCATENATE("Track1!M",A14+6)),"")</f>
        <v>0</v>
      </c>
      <c r="N19" s="121" t="str">
        <f ca="1">IFERROR(INDIRECT(CONCATENATE("Track1!N",A14+6)),"")</f>
        <v/>
      </c>
      <c r="T19" s="64" t="str">
        <f t="shared" ca="1" si="0"/>
        <v/>
      </c>
      <c r="U19" s="64" t="str">
        <f t="shared" ca="1" si="1"/>
        <v/>
      </c>
      <c r="V19" s="422" t="str">
        <f ca="1">IF(OR(D19=0,D19="",D19="Athlete"),"",COUNTIF($D$4:$D19,D19))</f>
        <v/>
      </c>
      <c r="W19" s="422" t="str">
        <f t="shared" ca="1" si="2"/>
        <v/>
      </c>
      <c r="Z19" s="422" t="str">
        <f t="shared" ca="1" si="3"/>
        <v/>
      </c>
    </row>
    <row r="20" spans="1:26" x14ac:dyDescent="0.35">
      <c r="B20" s="66">
        <f ca="1">IFERROR(INDIRECT(CONCATENATE("Track1!B",A14+7)),"")</f>
        <v>6</v>
      </c>
      <c r="C20" s="66">
        <f ca="1">IFERROR(INDIRECT(CONCATENATE("Track1!C",A14+7)),"")</f>
        <v>0</v>
      </c>
      <c r="D20" s="89" t="str">
        <f ca="1">IFERROR(INDIRECT(CONCATENATE("Track1!D",A14+7)),"")</f>
        <v/>
      </c>
      <c r="E20" s="89" t="str">
        <f ca="1">IFERROR(INDIRECT(CONCATENATE("Track1!E",A14+7)),"")</f>
        <v/>
      </c>
      <c r="F20" s="65">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65">
        <f ca="1">IFERROR(INDIRECT(CONCATENATE("Track1!M",A14+7)),"")</f>
        <v>0</v>
      </c>
      <c r="N20" s="121" t="str">
        <f ca="1">IFERROR(INDIRECT(CONCATENATE("Track1!N",A14+7)),"")</f>
        <v/>
      </c>
      <c r="T20" s="64" t="str">
        <f t="shared" ca="1" si="0"/>
        <v/>
      </c>
      <c r="U20" s="64" t="str">
        <f t="shared" ca="1" si="1"/>
        <v/>
      </c>
      <c r="V20" s="422" t="str">
        <f ca="1">IF(OR(D20=0,D20="",D20="Athlete"),"",COUNTIF($D$4:$D20,D20))</f>
        <v/>
      </c>
      <c r="W20" s="422" t="str">
        <f t="shared" ca="1" si="2"/>
        <v/>
      </c>
      <c r="Z20" s="422" t="str">
        <f t="shared" ca="1" si="3"/>
        <v/>
      </c>
    </row>
    <row r="21" spans="1:26" x14ac:dyDescent="0.35">
      <c r="B21" s="66">
        <f ca="1">IFERROR(INDIRECT(CONCATENATE("Track1!B",A14+8)),"")</f>
        <v>7</v>
      </c>
      <c r="C21" s="66">
        <f ca="1">IFERROR(INDIRECT(CONCATENATE("Track1!C",A14+8)),"")</f>
        <v>0</v>
      </c>
      <c r="D21" s="89" t="str">
        <f ca="1">IFERROR(INDIRECT(CONCATENATE("Track1!D",A14+8)),"")</f>
        <v/>
      </c>
      <c r="E21" s="89" t="str">
        <f ca="1">IFERROR(INDIRECT(CONCATENATE("Track1!E",A14+8)),"")</f>
        <v/>
      </c>
      <c r="F21" s="65">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65">
        <f ca="1">IFERROR(INDIRECT(CONCATENATE("Track1!M",A14+8)),"")</f>
        <v>0</v>
      </c>
      <c r="N21" s="121" t="str">
        <f ca="1">IFERROR(INDIRECT(CONCATENATE("Track1!N",A14+8)),"")</f>
        <v/>
      </c>
      <c r="T21" s="64" t="str">
        <f t="shared" ca="1" si="0"/>
        <v/>
      </c>
      <c r="U21" s="64" t="str">
        <f t="shared" ca="1" si="1"/>
        <v/>
      </c>
      <c r="V21" s="422" t="str">
        <f ca="1">IF(OR(D21=0,D21="",D21="Athlete"),"",COUNTIF($D$4:$D21,D21))</f>
        <v/>
      </c>
      <c r="W21" s="422" t="str">
        <f t="shared" ca="1" si="2"/>
        <v/>
      </c>
      <c r="Z21" s="422" t="str">
        <f t="shared" ca="1" si="3"/>
        <v/>
      </c>
    </row>
    <row r="22" spans="1:26" x14ac:dyDescent="0.35">
      <c r="B22" s="66">
        <f ca="1">IFERROR(INDIRECT(CONCATENATE("Track1!B",A14+9)),"")</f>
        <v>8</v>
      </c>
      <c r="C22" s="66">
        <f ca="1">IFERROR(INDIRECT(CONCATENATE("Track1!C",A14+9)),"")</f>
        <v>0</v>
      </c>
      <c r="D22" s="89" t="str">
        <f ca="1">IFERROR(INDIRECT(CONCATENATE("Track1!D",A14+9)),"")</f>
        <v/>
      </c>
      <c r="E22" s="89" t="str">
        <f ca="1">IFERROR(INDIRECT(CONCATENATE("Track1!E",A14+9)),"")</f>
        <v/>
      </c>
      <c r="F22" s="65">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65">
        <f ca="1">IFERROR(INDIRECT(CONCATENATE("Track1!M",A14+9)),"")</f>
        <v>0</v>
      </c>
      <c r="N22" s="121" t="str">
        <f ca="1">IFERROR(INDIRECT(CONCATENATE("Track1!N",A14+9)),"")</f>
        <v/>
      </c>
      <c r="T22" s="64" t="str">
        <f t="shared" ca="1" si="0"/>
        <v/>
      </c>
      <c r="U22" s="64" t="str">
        <f t="shared" ca="1" si="1"/>
        <v/>
      </c>
      <c r="V22" s="422" t="str">
        <f ca="1">IF(OR(D22=0,D22="",D22="Athlete"),"",COUNTIF($D$4:$D22,D22))</f>
        <v/>
      </c>
      <c r="W22" s="422" t="str">
        <f t="shared" ca="1" si="2"/>
        <v/>
      </c>
      <c r="Z22" s="422" t="str">
        <f t="shared" ca="1" si="3"/>
        <v/>
      </c>
    </row>
    <row r="23" spans="1:26" x14ac:dyDescent="0.35">
      <c r="T23" s="64" t="str">
        <f t="shared" si="0"/>
        <v/>
      </c>
      <c r="U23" s="64" t="str">
        <f t="shared" si="1"/>
        <v/>
      </c>
      <c r="V23" s="422" t="str">
        <f>IF(OR(D23=0,D23="",D23="Athlete"),"",COUNTIF($D$4:$D23,D23))</f>
        <v/>
      </c>
      <c r="W23" s="422" t="str">
        <f t="shared" si="2"/>
        <v/>
      </c>
      <c r="Z23" s="422" t="str">
        <f t="shared" si="3"/>
        <v/>
      </c>
    </row>
    <row r="24" spans="1:26" x14ac:dyDescent="0.35">
      <c r="A24" s="66" t="s">
        <v>38</v>
      </c>
      <c r="B24" s="115" t="str">
        <f ca="1">IFERROR(INDIRECT(CONCATENATE("Track1!B",A25)),"")</f>
        <v>200m U15 Girls A</v>
      </c>
      <c r="E24" s="89" t="s">
        <v>259</v>
      </c>
      <c r="F24" s="299">
        <f ca="1">IFERROR(INDIRECT(CONCATENATE("Track1!f",A25)),"")</f>
        <v>0</v>
      </c>
      <c r="G24" s="121" t="str">
        <f ca="1">IFERROR(INDIRECT(CONCATENATE("Track1!g",A25)),"")</f>
        <v/>
      </c>
      <c r="I24" s="115" t="str">
        <f ca="1">IFERROR(INDIRECT(CONCATENATE("Track1!I",A25)),"")</f>
        <v>200m U15 Girls B</v>
      </c>
      <c r="L24" s="89" t="s">
        <v>259</v>
      </c>
      <c r="M24" s="299">
        <f ca="1">IFERROR(INDIRECT(CONCATENATE("Track1!M",A25)),"")</f>
        <v>0</v>
      </c>
      <c r="T24" s="64" t="str">
        <f t="shared" si="0"/>
        <v/>
      </c>
      <c r="U24" s="64" t="str">
        <f t="shared" si="1"/>
        <v/>
      </c>
      <c r="V24" s="422" t="str">
        <f>IF(OR(D24=0,D24="",D24="Athlete"),"",COUNTIF($D$4:$D24,D24))</f>
        <v/>
      </c>
      <c r="W24" s="422" t="str">
        <f t="shared" si="2"/>
        <v/>
      </c>
      <c r="Z24" s="422" t="str">
        <f t="shared" ca="1" si="3"/>
        <v/>
      </c>
    </row>
    <row r="25" spans="1:26" x14ac:dyDescent="0.35">
      <c r="A25" s="66">
        <f>IFERROR(MATCH(A24,Track1!A:A,0),"")</f>
        <v>68</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149"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149" t="str">
        <f ca="1">IFERROR(INDIRECT(CONCATENATE("Track1!M",A25+1)),"")</f>
        <v>Perf</v>
      </c>
      <c r="N25" s="218" t="str">
        <f ca="1">IFERROR(INDIRECT(CONCATENATE("Track1!N",A25+1)),"")</f>
        <v>AAA</v>
      </c>
      <c r="T25" s="64" t="str">
        <f t="shared" ca="1" si="0"/>
        <v/>
      </c>
      <c r="U25" s="64" t="str">
        <f t="shared" ca="1" si="1"/>
        <v/>
      </c>
      <c r="V25" s="422" t="str">
        <f ca="1">IF(OR(D25=0,D25="",D25="Athlete"),"",COUNTIF($D$4:$D25,D25))</f>
        <v/>
      </c>
      <c r="W25" s="422" t="str">
        <f t="shared" ca="1" si="2"/>
        <v/>
      </c>
      <c r="Z25" s="422">
        <f t="shared" ca="1" si="3"/>
        <v>0</v>
      </c>
    </row>
    <row r="26" spans="1:26" x14ac:dyDescent="0.35">
      <c r="B26" s="66">
        <f ca="1">IFERROR(INDIRECT(CONCATENATE("Track1!B",A25+2)),"")</f>
        <v>1</v>
      </c>
      <c r="C26" s="66">
        <f ca="1">IFERROR(INDIRECT(CONCATENATE("Track1!C",A25+2)),"")</f>
        <v>3</v>
      </c>
      <c r="D26" s="89" t="str">
        <f ca="1">IFERROR(INDIRECT(CONCATENATE("Track1!D",A25+2)),"")</f>
        <v>HOGG Frances</v>
      </c>
      <c r="E26" s="89" t="str">
        <f ca="1">IFERROR(INDIRECT(CONCATENATE("Track1!E",A25+2)),"")</f>
        <v>York</v>
      </c>
      <c r="F26" s="65">
        <f ca="1">IFERROR(INDIRECT(CONCATENATE("Track1!F",A25+2)),"")</f>
        <v>27</v>
      </c>
      <c r="G26" s="121">
        <f ca="1">IFERROR(INDIRECT(CONCATENATE("Track1!G",A25+2)),"")</f>
        <v>3</v>
      </c>
      <c r="H26" s="66"/>
      <c r="I26" s="66">
        <f ca="1">IFERROR(INDIRECT(CONCATENATE("Track1!I",A25+2)),"")</f>
        <v>1</v>
      </c>
      <c r="J26" s="66">
        <f ca="1">IFERROR(INDIRECT(CONCATENATE("Track1!J",A25+2)),"")</f>
        <v>44</v>
      </c>
      <c r="K26" s="89" t="str">
        <f ca="1">IFERROR(INDIRECT(CONCATENATE("Track1!K",A25+2)),"")</f>
        <v>PYE Leoni</v>
      </c>
      <c r="L26" s="89" t="str">
        <f ca="1">IFERROR(INDIRECT(CONCATENATE("Track1!L",A25+2)),"")</f>
        <v>M'bro</v>
      </c>
      <c r="M26" s="65">
        <f ca="1">IFERROR(INDIRECT(CONCATENATE("Track1!M",A25+2)),"")</f>
        <v>28</v>
      </c>
      <c r="N26" s="121">
        <f ca="1">IFERROR(INDIRECT(CONCATENATE("Track1!N",A25+2)),"")</f>
        <v>4</v>
      </c>
      <c r="R26" s="219">
        <f ca="1">IFERROR(INDIRECT(CONCATENATE("Track1!r",A25+2)),"")</f>
        <v>1</v>
      </c>
      <c r="T26" s="64">
        <f t="shared" ca="1" si="0"/>
        <v>3</v>
      </c>
      <c r="U26" s="64">
        <f t="shared" ca="1" si="1"/>
        <v>2</v>
      </c>
      <c r="V26" s="422">
        <f ca="1">IF(OR(D26=0,D26="",D26="Athlete"),"",COUNTIF($D$4:$D26,D26))</f>
        <v>1</v>
      </c>
      <c r="W26" s="422" t="str">
        <f t="shared" ca="1" si="2"/>
        <v>York</v>
      </c>
      <c r="Z26" s="422">
        <f t="shared" ca="1" si="3"/>
        <v>0</v>
      </c>
    </row>
    <row r="27" spans="1:26" x14ac:dyDescent="0.35">
      <c r="B27" s="66">
        <f ca="1">IFERROR(INDIRECT(CONCATENATE("Track1!B",A25+3)),"")</f>
        <v>2</v>
      </c>
      <c r="C27" s="66">
        <f ca="1">IFERROR(INDIRECT(CONCATENATE("Track1!C",A25+3)),"")</f>
        <v>2</v>
      </c>
      <c r="D27" s="89" t="str">
        <f ca="1">IFERROR(INDIRECT(CONCATENATE("Track1!D",A25+3)),"")</f>
        <v>ADEBAYO Daphney</v>
      </c>
      <c r="E27" s="89" t="str">
        <f ca="1">IFERROR(INDIRECT(CONCATENATE("Track1!E",A25+3)),"")</f>
        <v>Sheff+D</v>
      </c>
      <c r="F27" s="65">
        <f ca="1">IFERROR(INDIRECT(CONCATENATE("Track1!F",A25+3)),"")</f>
        <v>27.4</v>
      </c>
      <c r="G27" s="121">
        <f ca="1">IFERROR(INDIRECT(CONCATENATE("Track1!G",A25+3)),"")</f>
        <v>4</v>
      </c>
      <c r="H27" s="66"/>
      <c r="I27" s="66">
        <f ca="1">IFERROR(INDIRECT(CONCATENATE("Track1!I",A25+3)),"")</f>
        <v>2</v>
      </c>
      <c r="J27" s="66">
        <f ca="1">IFERROR(INDIRECT(CONCATENATE("Track1!J",A25+3)),"")</f>
        <v>33</v>
      </c>
      <c r="K27" s="89" t="str">
        <f ca="1">IFERROR(INDIRECT(CONCATENATE("Track1!K",A25+3)),"")</f>
        <v>HASTIE Eve</v>
      </c>
      <c r="L27" s="89" t="str">
        <f ca="1">IFERROR(INDIRECT(CONCATENATE("Track1!L",A25+3)),"")</f>
        <v>York</v>
      </c>
      <c r="M27" s="65">
        <f ca="1">IFERROR(INDIRECT(CONCATENATE("Track1!M",A25+3)),"")</f>
        <v>28.8</v>
      </c>
      <c r="N27" s="121" t="str">
        <f ca="1">IFERROR(INDIRECT(CONCATENATE("Track1!N",A25+3)),"")</f>
        <v/>
      </c>
      <c r="T27" s="64">
        <f t="shared" ca="1" si="0"/>
        <v>3</v>
      </c>
      <c r="U27" s="64">
        <f t="shared" ca="1" si="1"/>
        <v>2</v>
      </c>
      <c r="V27" s="422">
        <f ca="1">IF(OR(D27=0,D27="",D27="Athlete"),"",COUNTIF($D$4:$D27,D27))</f>
        <v>1</v>
      </c>
      <c r="W27" s="422" t="str">
        <f t="shared" ca="1" si="2"/>
        <v>Sheff+D</v>
      </c>
      <c r="Z27" s="422">
        <f t="shared" ca="1" si="3"/>
        <v>0</v>
      </c>
    </row>
    <row r="28" spans="1:26" x14ac:dyDescent="0.35">
      <c r="B28" s="66">
        <f ca="1">IFERROR(INDIRECT(CONCATENATE("Track1!B",A25+4)),"")</f>
        <v>3</v>
      </c>
      <c r="C28" s="66">
        <f ca="1">IFERROR(INDIRECT(CONCATENATE("Track1!C",A25+4)),"")</f>
        <v>4</v>
      </c>
      <c r="D28" s="89" t="str">
        <f ca="1">IFERROR(INDIRECT(CONCATENATE("Track1!D",A25+4)),"")</f>
        <v>PYE Naiomi</v>
      </c>
      <c r="E28" s="89" t="str">
        <f ca="1">IFERROR(INDIRECT(CONCATENATE("Track1!E",A25+4)),"")</f>
        <v>M'bro</v>
      </c>
      <c r="F28" s="65">
        <f ca="1">IFERROR(INDIRECT(CONCATENATE("Track1!F",A25+4)),"")</f>
        <v>27.5</v>
      </c>
      <c r="G28" s="121">
        <f ca="1">IFERROR(INDIRECT(CONCATENATE("Track1!G",A25+4)),"")</f>
        <v>4</v>
      </c>
      <c r="H28" s="66"/>
      <c r="I28" s="66">
        <f ca="1">IFERROR(INDIRECT(CONCATENATE("Track1!I",A25+4)),"")</f>
        <v>3</v>
      </c>
      <c r="J28" s="66">
        <f ca="1">IFERROR(INDIRECT(CONCATENATE("Track1!J",A25+4)),"")</f>
        <v>22</v>
      </c>
      <c r="K28" s="89" t="str">
        <f ca="1">IFERROR(INDIRECT(CONCATENATE("Track1!K",A25+4)),"")</f>
        <v>PADDON Olivia</v>
      </c>
      <c r="L28" s="89" t="str">
        <f ca="1">IFERROR(INDIRECT(CONCATENATE("Track1!L",A25+4)),"")</f>
        <v>Sheff+D</v>
      </c>
      <c r="M28" s="65">
        <f ca="1">IFERROR(INDIRECT(CONCATENATE("Track1!M",A25+4)),"")</f>
        <v>29.5</v>
      </c>
      <c r="N28" s="121" t="str">
        <f ca="1">IFERROR(INDIRECT(CONCATENATE("Track1!N",A25+4)),"")</f>
        <v/>
      </c>
      <c r="T28" s="64">
        <f t="shared" ca="1" si="0"/>
        <v>2</v>
      </c>
      <c r="U28" s="64">
        <f t="shared" ca="1" si="1"/>
        <v>3</v>
      </c>
      <c r="V28" s="422">
        <f ca="1">IF(OR(D28=0,D28="",D28="Athlete"),"",COUNTIF($D$4:$D28,D28))</f>
        <v>1</v>
      </c>
      <c r="W28" s="422" t="str">
        <f t="shared" ca="1" si="2"/>
        <v>M'bro</v>
      </c>
      <c r="Z28" s="422">
        <f t="shared" ca="1" si="3"/>
        <v>0</v>
      </c>
    </row>
    <row r="29" spans="1:26" x14ac:dyDescent="0.35">
      <c r="B29" s="66">
        <f ca="1">IFERROR(INDIRECT(CONCATENATE("Track1!B",A25+5)),"")</f>
        <v>4</v>
      </c>
      <c r="C29" s="66">
        <f ca="1">IFERROR(INDIRECT(CONCATENATE("Track1!C",A25+5)),"")</f>
        <v>5</v>
      </c>
      <c r="D29" s="89" t="str">
        <f ca="1">IFERROR(INDIRECT(CONCATENATE("Track1!D",A25+5)),"")</f>
        <v>LINGARD Alice</v>
      </c>
      <c r="E29" s="89" t="str">
        <f ca="1">IFERROR(INDIRECT(CONCATENATE("Track1!E",A25+5)),"")</f>
        <v>Scun</v>
      </c>
      <c r="F29" s="65">
        <f ca="1">IFERROR(INDIRECT(CONCATENATE("Track1!F",A25+5)),"")</f>
        <v>28.6</v>
      </c>
      <c r="G29" s="121" t="str">
        <f ca="1">IFERROR(INDIRECT(CONCATENATE("Track1!G",A25+5)),"")</f>
        <v/>
      </c>
      <c r="H29" s="66"/>
      <c r="I29" s="66">
        <f ca="1">IFERROR(INDIRECT(CONCATENATE("Track1!I",A25+5)),"")</f>
        <v>4</v>
      </c>
      <c r="J29" s="66">
        <f ca="1">IFERROR(INDIRECT(CONCATENATE("Track1!J",A25+5)),"")</f>
        <v>11</v>
      </c>
      <c r="K29" s="89" t="str">
        <f ca="1">IFERROR(INDIRECT(CONCATENATE("Track1!K",A25+5)),"")</f>
        <v>ROGERS Emily</v>
      </c>
      <c r="L29" s="89" t="str">
        <f ca="1">IFERROR(INDIRECT(CONCATENATE("Track1!L",A25+5)),"")</f>
        <v>C'field</v>
      </c>
      <c r="M29" s="65">
        <f ca="1">IFERROR(INDIRECT(CONCATENATE("Track1!M",A25+5)),"")</f>
        <v>30.9</v>
      </c>
      <c r="N29" s="121" t="str">
        <f ca="1">IFERROR(INDIRECT(CONCATENATE("Track1!N",A25+5)),"")</f>
        <v/>
      </c>
      <c r="T29" s="64">
        <f t="shared" ca="1" si="0"/>
        <v>2</v>
      </c>
      <c r="U29" s="64">
        <f t="shared" ca="1" si="1"/>
        <v>3</v>
      </c>
      <c r="V29" s="422">
        <f ca="1">IF(OR(D29=0,D29="",D29="Athlete"),"",COUNTIF($D$4:$D29,D29))</f>
        <v>1</v>
      </c>
      <c r="W29" s="422" t="str">
        <f t="shared" ca="1" si="2"/>
        <v>Scun</v>
      </c>
      <c r="Z29" s="422" t="str">
        <f t="shared" ca="1" si="3"/>
        <v/>
      </c>
    </row>
    <row r="30" spans="1:26" x14ac:dyDescent="0.35">
      <c r="B30" s="66">
        <f ca="1">IFERROR(INDIRECT(CONCATENATE("Track1!B",A25+6)),"")</f>
        <v>5</v>
      </c>
      <c r="C30" s="66">
        <f ca="1">IFERROR(INDIRECT(CONCATENATE("Track1!C",A25+6)),"")</f>
        <v>1</v>
      </c>
      <c r="D30" s="89" t="str">
        <f ca="1">IFERROR(INDIRECT(CONCATENATE("Track1!D",A25+6)),"")</f>
        <v>BRIDDON Missy</v>
      </c>
      <c r="E30" s="89" t="str">
        <f ca="1">IFERROR(INDIRECT(CONCATENATE("Track1!E",A25+6)),"")</f>
        <v>C'field</v>
      </c>
      <c r="F30" s="65">
        <f ca="1">IFERROR(INDIRECT(CONCATENATE("Track1!F",A25+6)),"")</f>
        <v>29</v>
      </c>
      <c r="G30" s="121" t="str">
        <f ca="1">IFERROR(INDIRECT(CONCATENATE("Track1!G",A25+6)),"")</f>
        <v/>
      </c>
      <c r="H30" s="66"/>
      <c r="I30" s="66">
        <f ca="1">IFERROR(INDIRECT(CONCATENATE("Track1!I",A25+6)),"")</f>
        <v>5</v>
      </c>
      <c r="J30" s="66">
        <f ca="1">IFERROR(INDIRECT(CONCATENATE("Track1!J",A25+6)),"")</f>
        <v>0</v>
      </c>
      <c r="K30" s="89" t="str">
        <f ca="1">IFERROR(INDIRECT(CONCATENATE("Track1!K",A25+6)),"")</f>
        <v/>
      </c>
      <c r="L30" s="89" t="str">
        <f ca="1">IFERROR(INDIRECT(CONCATENATE("Track1!L",A25+6)),"")</f>
        <v/>
      </c>
      <c r="M30" s="65">
        <f ca="1">IFERROR(INDIRECT(CONCATENATE("Track1!M",A25+6)),"")</f>
        <v>0</v>
      </c>
      <c r="N30" s="121" t="str">
        <f ca="1">IFERROR(INDIRECT(CONCATENATE("Track1!N",A25+6)),"")</f>
        <v/>
      </c>
      <c r="T30" s="64">
        <f t="shared" ca="1" si="0"/>
        <v>3</v>
      </c>
      <c r="U30" s="64" t="str">
        <f t="shared" ca="1" si="1"/>
        <v/>
      </c>
      <c r="V30" s="422">
        <f ca="1">IF(OR(D30=0,D30="",D30="Athlete"),"",COUNTIF($D$4:$D30,D30))</f>
        <v>2</v>
      </c>
      <c r="W30" s="422" t="str">
        <f t="shared" ca="1" si="2"/>
        <v>C'field</v>
      </c>
      <c r="Z30" s="422" t="str">
        <f t="shared" ca="1" si="3"/>
        <v/>
      </c>
    </row>
    <row r="31" spans="1:26" x14ac:dyDescent="0.35">
      <c r="B31" s="66">
        <f ca="1">IFERROR(INDIRECT(CONCATENATE("Track1!B",A25+7)),"")</f>
        <v>6</v>
      </c>
      <c r="C31" s="66">
        <f ca="1">IFERROR(INDIRECT(CONCATENATE("Track1!C",A25+7)),"")</f>
        <v>0</v>
      </c>
      <c r="D31" s="89" t="str">
        <f ca="1">IFERROR(INDIRECT(CONCATENATE("Track1!D",A25+7)),"")</f>
        <v/>
      </c>
      <c r="E31" s="89" t="str">
        <f ca="1">IFERROR(INDIRECT(CONCATENATE("Track1!E",A25+7)),"")</f>
        <v/>
      </c>
      <c r="F31" s="65">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65">
        <f ca="1">IFERROR(INDIRECT(CONCATENATE("Track1!M",A25+7)),"")</f>
        <v>0</v>
      </c>
      <c r="N31" s="121" t="str">
        <f ca="1">IFERROR(INDIRECT(CONCATENATE("Track1!N",A25+7)),"")</f>
        <v/>
      </c>
      <c r="T31" s="64" t="str">
        <f t="shared" ca="1" si="0"/>
        <v/>
      </c>
      <c r="U31" s="64" t="str">
        <f t="shared" ca="1" si="1"/>
        <v/>
      </c>
      <c r="V31" s="422" t="str">
        <f ca="1">IF(OR(D31=0,D31="",D31="Athlete"),"",COUNTIF($D$4:$D31,D31))</f>
        <v/>
      </c>
      <c r="W31" s="422" t="str">
        <f t="shared" ca="1" si="2"/>
        <v/>
      </c>
      <c r="Z31" s="422" t="str">
        <f t="shared" ca="1" si="3"/>
        <v/>
      </c>
    </row>
    <row r="32" spans="1:26" x14ac:dyDescent="0.35">
      <c r="B32" s="66">
        <f ca="1">IFERROR(INDIRECT(CONCATENATE("Track1!B",A25+8)),"")</f>
        <v>7</v>
      </c>
      <c r="C32" s="66">
        <f ca="1">IFERROR(INDIRECT(CONCATENATE("Track1!C",A25+8)),"")</f>
        <v>0</v>
      </c>
      <c r="D32" s="89" t="str">
        <f ca="1">IFERROR(INDIRECT(CONCATENATE("Track1!D",A25+8)),"")</f>
        <v/>
      </c>
      <c r="E32" s="89" t="str">
        <f ca="1">IFERROR(INDIRECT(CONCATENATE("Track1!E",A25+8)),"")</f>
        <v/>
      </c>
      <c r="F32" s="65">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65">
        <f ca="1">IFERROR(INDIRECT(CONCATENATE("Track1!M",A25+8)),"")</f>
        <v>0</v>
      </c>
      <c r="N32" s="121" t="str">
        <f ca="1">IFERROR(INDIRECT(CONCATENATE("Track1!N",A25+8)),"")</f>
        <v/>
      </c>
      <c r="T32" s="64" t="str">
        <f t="shared" ca="1" si="0"/>
        <v/>
      </c>
      <c r="U32" s="64" t="str">
        <f t="shared" ca="1" si="1"/>
        <v/>
      </c>
      <c r="V32" s="422" t="str">
        <f ca="1">IF(OR(D32=0,D32="",D32="Athlete"),"",COUNTIF($D$4:$D32,D32))</f>
        <v/>
      </c>
      <c r="W32" s="422" t="str">
        <f t="shared" ca="1" si="2"/>
        <v/>
      </c>
      <c r="Z32" s="422" t="str">
        <f t="shared" ca="1" si="3"/>
        <v/>
      </c>
    </row>
    <row r="33" spans="1:26" x14ac:dyDescent="0.35">
      <c r="B33" s="66">
        <f ca="1">IFERROR(INDIRECT(CONCATENATE("Track1!B",A25+9)),"")</f>
        <v>8</v>
      </c>
      <c r="C33" s="66">
        <f ca="1">IFERROR(INDIRECT(CONCATENATE("Track1!C",A25+9)),"")</f>
        <v>0</v>
      </c>
      <c r="D33" s="89" t="str">
        <f ca="1">IFERROR(INDIRECT(CONCATENATE("Track1!D",A25+9)),"")</f>
        <v/>
      </c>
      <c r="E33" s="89" t="str">
        <f ca="1">IFERROR(INDIRECT(CONCATENATE("Track1!E",A25+9)),"")</f>
        <v/>
      </c>
      <c r="F33" s="65">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65">
        <f ca="1">IFERROR(INDIRECT(CONCATENATE("Track1!M",A25+9)),"")</f>
        <v>0</v>
      </c>
      <c r="N33" s="121" t="str">
        <f ca="1">IFERROR(INDIRECT(CONCATENATE("Track1!N",A25+9)),"")</f>
        <v/>
      </c>
      <c r="T33" s="64" t="str">
        <f t="shared" ca="1" si="0"/>
        <v/>
      </c>
      <c r="U33" s="64" t="str">
        <f t="shared" ca="1" si="1"/>
        <v/>
      </c>
      <c r="V33" s="422" t="str">
        <f ca="1">IF(OR(D33=0,D33="",D33="Athlete"),"",COUNTIF($D$4:$D33,D33))</f>
        <v/>
      </c>
      <c r="W33" s="422" t="str">
        <f t="shared" ca="1" si="2"/>
        <v/>
      </c>
      <c r="Z33" s="422" t="str">
        <f t="shared" ca="1" si="3"/>
        <v/>
      </c>
    </row>
    <row r="34" spans="1:26" x14ac:dyDescent="0.35">
      <c r="T34" s="64" t="str">
        <f t="shared" si="0"/>
        <v/>
      </c>
      <c r="U34" s="64" t="str">
        <f t="shared" si="1"/>
        <v/>
      </c>
      <c r="V34" s="422" t="str">
        <f>IF(OR(D34=0,D34="",D34="Athlete"),"",COUNTIF($D$4:$D34,D34))</f>
        <v/>
      </c>
      <c r="W34" s="422" t="str">
        <f t="shared" si="2"/>
        <v/>
      </c>
      <c r="Z34" s="422" t="str">
        <f t="shared" si="3"/>
        <v/>
      </c>
    </row>
    <row r="35" spans="1:26" x14ac:dyDescent="0.35">
      <c r="A35" s="66" t="s">
        <v>48</v>
      </c>
      <c r="B35" s="115" t="str">
        <f ca="1">IFERROR(INDIRECT(CONCATENATE("Track1!B",A36)),"")</f>
        <v>300m U15 Girls A</v>
      </c>
      <c r="F35" s="65">
        <f ca="1">IFERROR(INDIRECT(CONCATENATE("Track1!f",A36)),"")</f>
        <v>0</v>
      </c>
      <c r="G35" s="121" t="str">
        <f ca="1">IFERROR(INDIRECT(CONCATENATE("Track1!g",A36)),"")</f>
        <v/>
      </c>
      <c r="I35" s="115" t="str">
        <f ca="1">IFERROR(INDIRECT(CONCATENATE("Track1!I",A36)),"")</f>
        <v>300m U15 Girls B</v>
      </c>
      <c r="T35" s="64" t="str">
        <f t="shared" si="0"/>
        <v/>
      </c>
      <c r="U35" s="64" t="str">
        <f t="shared" si="1"/>
        <v/>
      </c>
      <c r="V35" s="422" t="str">
        <f>IF(OR(D35=0,D35="",D35="Athlete"),"",COUNTIF($D$4:$D35,D35))</f>
        <v/>
      </c>
      <c r="W35" s="422" t="str">
        <f t="shared" si="2"/>
        <v/>
      </c>
      <c r="Z35" s="422" t="str">
        <f t="shared" ca="1" si="3"/>
        <v/>
      </c>
    </row>
    <row r="36" spans="1:26" x14ac:dyDescent="0.35">
      <c r="A36" s="66">
        <f>IFERROR(MATCH(A35,Track1!A:A,0),"")</f>
        <v>178</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149"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149" t="str">
        <f ca="1">IFERROR(INDIRECT(CONCATENATE("Track1!M",A36+1)),"")</f>
        <v>Perf</v>
      </c>
      <c r="N36" s="218" t="str">
        <f ca="1">IFERROR(INDIRECT(CONCATENATE("Track1!N",A36+1)),"")</f>
        <v>AAA</v>
      </c>
      <c r="T36" s="64" t="str">
        <f t="shared" ca="1" si="0"/>
        <v/>
      </c>
      <c r="U36" s="64" t="str">
        <f t="shared" ca="1" si="1"/>
        <v/>
      </c>
      <c r="V36" s="422" t="str">
        <f ca="1">IF(OR(D36=0,D36="",D36="Athlete"),"",COUNTIF($D$4:$D36,D36))</f>
        <v/>
      </c>
      <c r="W36" s="422" t="str">
        <f t="shared" ca="1" si="2"/>
        <v/>
      </c>
      <c r="Z36" s="422">
        <f t="shared" ca="1" si="3"/>
        <v>0</v>
      </c>
    </row>
    <row r="37" spans="1:26" x14ac:dyDescent="0.35">
      <c r="B37" s="66">
        <f ca="1">IFERROR(INDIRECT(CONCATENATE("Track1!B",A36+2)),"")</f>
        <v>1</v>
      </c>
      <c r="C37" s="66">
        <f ca="1">IFERROR(INDIRECT(CONCATENATE("Track1!C",A36+2)),"")</f>
        <v>1</v>
      </c>
      <c r="D37" s="89" t="str">
        <f ca="1">IFERROR(INDIRECT(CONCATENATE("Track1!D",A36+2)),"")</f>
        <v>MOODY Hannah</v>
      </c>
      <c r="E37" s="89" t="str">
        <f ca="1">IFERROR(INDIRECT(CONCATENATE("Track1!E",A36+2)),"")</f>
        <v>C'field</v>
      </c>
      <c r="F37" s="65">
        <f ca="1">IFERROR(INDIRECT(CONCATENATE("Track1!F",A36+2)),"")</f>
        <v>45.7</v>
      </c>
      <c r="G37" s="121">
        <f ca="1">IFERROR(INDIRECT(CONCATENATE("Track1!G",A36+2)),"")</f>
        <v>4</v>
      </c>
      <c r="H37" s="66"/>
      <c r="I37" s="66">
        <f ca="1">IFERROR(INDIRECT(CONCATENATE("Track1!I",A36+2)),"")</f>
        <v>1</v>
      </c>
      <c r="J37" s="66">
        <f ca="1">IFERROR(INDIRECT(CONCATENATE("Track1!J",A36+2)),"")</f>
        <v>44</v>
      </c>
      <c r="K37" s="89" t="str">
        <f ca="1">IFERROR(INDIRECT(CONCATENATE("Track1!K",A36+2)),"")</f>
        <v>PYE Leoni</v>
      </c>
      <c r="L37" s="89" t="str">
        <f ca="1">IFERROR(INDIRECT(CONCATENATE("Track1!L",A36+2)),"")</f>
        <v>M'bro</v>
      </c>
      <c r="M37" s="65">
        <f ca="1">IFERROR(INDIRECT(CONCATENATE("Track1!M",A36+2)),"")</f>
        <v>47.5</v>
      </c>
      <c r="N37" s="121" t="str">
        <f ca="1">IFERROR(INDIRECT(CONCATENATE("Track1!N",A36+2)),"")</f>
        <v/>
      </c>
      <c r="R37" s="219">
        <f ca="1">IFERROR(INDIRECT(CONCATENATE("Track1!r",A36+2)),"")</f>
        <v>1</v>
      </c>
      <c r="T37" s="64">
        <f t="shared" ca="1" si="0"/>
        <v>3</v>
      </c>
      <c r="U37" s="64">
        <f t="shared" ca="1" si="1"/>
        <v>2</v>
      </c>
      <c r="V37" s="422">
        <f ca="1">IF(OR(D37=0,D37="",D37="Athlete"),"",COUNTIF($D$4:$D37,D37))</f>
        <v>1</v>
      </c>
      <c r="W37" s="422" t="str">
        <f t="shared" ca="1" si="2"/>
        <v>C'field</v>
      </c>
      <c r="Z37" s="422">
        <f t="shared" ca="1" si="3"/>
        <v>0</v>
      </c>
    </row>
    <row r="38" spans="1:26" x14ac:dyDescent="0.35">
      <c r="B38" s="66">
        <f ca="1">IFERROR(INDIRECT(CONCATENATE("Track1!B",A36+3)),"")</f>
        <v>2</v>
      </c>
      <c r="C38" s="66">
        <f ca="1">IFERROR(INDIRECT(CONCATENATE("Track1!C",A36+3)),"")</f>
        <v>4</v>
      </c>
      <c r="D38" s="89" t="str">
        <f ca="1">IFERROR(INDIRECT(CONCATENATE("Track1!D",A36+3)),"")</f>
        <v>GILLIS Madelaine</v>
      </c>
      <c r="E38" s="89" t="str">
        <f ca="1">IFERROR(INDIRECT(CONCATENATE("Track1!E",A36+3)),"")</f>
        <v>M'bro</v>
      </c>
      <c r="F38" s="65">
        <f ca="1">IFERROR(INDIRECT(CONCATENATE("Track1!F",A36+3)),"")</f>
        <v>46.2</v>
      </c>
      <c r="G38" s="121" t="str">
        <f ca="1">IFERROR(INDIRECT(CONCATENATE("Track1!G",A36+3)),"")</f>
        <v/>
      </c>
      <c r="H38" s="66"/>
      <c r="I38" s="66">
        <f ca="1">IFERROR(INDIRECT(CONCATENATE("Track1!I",A36+3)),"")</f>
        <v>2</v>
      </c>
      <c r="J38" s="66">
        <f ca="1">IFERROR(INDIRECT(CONCATENATE("Track1!J",A36+3)),"")</f>
        <v>33</v>
      </c>
      <c r="K38" s="89" t="str">
        <f ca="1">IFERROR(INDIRECT(CONCATENATE("Track1!K",A36+3)),"")</f>
        <v>COURTNEY Libby</v>
      </c>
      <c r="L38" s="89" t="str">
        <f ca="1">IFERROR(INDIRECT(CONCATENATE("Track1!L",A36+3)),"")</f>
        <v>York</v>
      </c>
      <c r="M38" s="65">
        <f ca="1">IFERROR(INDIRECT(CONCATENATE("Track1!M",A36+3)),"")</f>
        <v>50.9</v>
      </c>
      <c r="N38" s="121" t="str">
        <f ca="1">IFERROR(INDIRECT(CONCATENATE("Track1!N",A36+3)),"")</f>
        <v/>
      </c>
      <c r="T38" s="64">
        <f t="shared" ca="1" si="0"/>
        <v>2</v>
      </c>
      <c r="U38" s="64">
        <f t="shared" ca="1" si="1"/>
        <v>2</v>
      </c>
      <c r="V38" s="422">
        <f ca="1">IF(OR(D38=0,D38="",D38="Athlete"),"",COUNTIF($D$4:$D38,D38))</f>
        <v>1</v>
      </c>
      <c r="W38" s="422" t="str">
        <f t="shared" ca="1" si="2"/>
        <v>M'bro</v>
      </c>
      <c r="Z38" s="422" t="str">
        <f t="shared" ca="1" si="3"/>
        <v/>
      </c>
    </row>
    <row r="39" spans="1:26" x14ac:dyDescent="0.35">
      <c r="B39" s="66">
        <f ca="1">IFERROR(INDIRECT(CONCATENATE("Track1!B",A36+4)),"")</f>
        <v>3</v>
      </c>
      <c r="C39" s="66">
        <f ca="1">IFERROR(INDIRECT(CONCATENATE("Track1!C",A36+4)),"")</f>
        <v>3</v>
      </c>
      <c r="D39" s="89" t="str">
        <f ca="1">IFERROR(INDIRECT(CONCATENATE("Track1!D",A36+4)),"")</f>
        <v>WALSH Tierney</v>
      </c>
      <c r="E39" s="89" t="str">
        <f ca="1">IFERROR(INDIRECT(CONCATENATE("Track1!E",A36+4)),"")</f>
        <v>York</v>
      </c>
      <c r="F39" s="65">
        <f ca="1">IFERROR(INDIRECT(CONCATENATE("Track1!F",A36+4)),"")</f>
        <v>47.1</v>
      </c>
      <c r="G39" s="121" t="str">
        <f ca="1">IFERROR(INDIRECT(CONCATENATE("Track1!G",A36+4)),"")</f>
        <v/>
      </c>
      <c r="H39" s="66"/>
      <c r="I39" s="66">
        <f ca="1">IFERROR(INDIRECT(CONCATENATE("Track1!I",A36+4)),"")</f>
        <v>3</v>
      </c>
      <c r="J39" s="66">
        <f ca="1">IFERROR(INDIRECT(CONCATENATE("Track1!J",A36+4)),"")</f>
        <v>11</v>
      </c>
      <c r="K39" s="89" t="str">
        <f ca="1">IFERROR(INDIRECT(CONCATENATE("Track1!K",A36+4)),"")</f>
        <v>PROCTOR Alicia</v>
      </c>
      <c r="L39" s="89" t="str">
        <f ca="1">IFERROR(INDIRECT(CONCATENATE("Track1!L",A36+4)),"")</f>
        <v>C'field</v>
      </c>
      <c r="M39" s="65">
        <f ca="1">IFERROR(INDIRECT(CONCATENATE("Track1!M",A36+4)),"")</f>
        <v>53.4</v>
      </c>
      <c r="N39" s="121" t="str">
        <f ca="1">IFERROR(INDIRECT(CONCATENATE("Track1!N",A36+4)),"")</f>
        <v/>
      </c>
      <c r="T39" s="64">
        <f t="shared" ca="1" si="0"/>
        <v>2</v>
      </c>
      <c r="U39" s="64">
        <f t="shared" ca="1" si="1"/>
        <v>3</v>
      </c>
      <c r="V39" s="422">
        <f ca="1">IF(OR(D39=0,D39="",D39="Athlete"),"",COUNTIF($D$4:$D39,D39))</f>
        <v>1</v>
      </c>
      <c r="W39" s="422" t="str">
        <f t="shared" ca="1" si="2"/>
        <v>York</v>
      </c>
      <c r="Z39" s="422" t="str">
        <f t="shared" ca="1" si="3"/>
        <v/>
      </c>
    </row>
    <row r="40" spans="1:26" x14ac:dyDescent="0.35">
      <c r="B40" s="66">
        <f ca="1">IFERROR(INDIRECT(CONCATENATE("Track1!B",A36+5)),"")</f>
        <v>4</v>
      </c>
      <c r="C40" s="66">
        <f ca="1">IFERROR(INDIRECT(CONCATENATE("Track1!C",A36+5)),"")</f>
        <v>5</v>
      </c>
      <c r="D40" s="89" t="str">
        <f ca="1">IFERROR(INDIRECT(CONCATENATE("Track1!D",A36+5)),"")</f>
        <v>WRIGHT Lucy</v>
      </c>
      <c r="E40" s="89" t="str">
        <f ca="1">IFERROR(INDIRECT(CONCATENATE("Track1!E",A36+5)),"")</f>
        <v>Scun</v>
      </c>
      <c r="F40" s="65">
        <f ca="1">IFERROR(INDIRECT(CONCATENATE("Track1!F",A36+5)),"")</f>
        <v>52.5</v>
      </c>
      <c r="G40" s="121" t="str">
        <f ca="1">IFERROR(INDIRECT(CONCATENATE("Track1!G",A36+5)),"")</f>
        <v/>
      </c>
      <c r="H40" s="66"/>
      <c r="I40" s="66">
        <f ca="1">IFERROR(INDIRECT(CONCATENATE("Track1!I",A36+5)),"")</f>
        <v>4</v>
      </c>
      <c r="J40" s="66">
        <f ca="1">IFERROR(INDIRECT(CONCATENATE("Track1!J",A36+5)),"")</f>
        <v>0</v>
      </c>
      <c r="K40" s="89" t="str">
        <f ca="1">IFERROR(INDIRECT(CONCATENATE("Track1!K",A36+5)),"")</f>
        <v/>
      </c>
      <c r="L40" s="89" t="str">
        <f ca="1">IFERROR(INDIRECT(CONCATENATE("Track1!L",A36+5)),"")</f>
        <v/>
      </c>
      <c r="M40" s="65">
        <f ca="1">IFERROR(INDIRECT(CONCATENATE("Track1!M",A36+5)),"")</f>
        <v>0</v>
      </c>
      <c r="N40" s="121" t="str">
        <f ca="1">IFERROR(INDIRECT(CONCATENATE("Track1!N",A36+5)),"")</f>
        <v/>
      </c>
      <c r="T40" s="64">
        <f t="shared" ca="1" si="0"/>
        <v>2</v>
      </c>
      <c r="U40" s="64" t="str">
        <f t="shared" ca="1" si="1"/>
        <v/>
      </c>
      <c r="V40" s="422">
        <f ca="1">IF(OR(D40=0,D40="",D40="Athlete"),"",COUNTIF($D$4:$D40,D40))</f>
        <v>1</v>
      </c>
      <c r="W40" s="422" t="str">
        <f t="shared" ca="1" si="2"/>
        <v>Scun</v>
      </c>
      <c r="Z40" s="422" t="str">
        <f t="shared" ca="1" si="3"/>
        <v/>
      </c>
    </row>
    <row r="41" spans="1:26" x14ac:dyDescent="0.35">
      <c r="B41" s="66">
        <f ca="1">IFERROR(INDIRECT(CONCATENATE("Track1!B",A36+6)),"")</f>
        <v>5</v>
      </c>
      <c r="C41" s="66">
        <f ca="1">IFERROR(INDIRECT(CONCATENATE("Track1!C",A36+6)),"")</f>
        <v>0</v>
      </c>
      <c r="D41" s="89" t="str">
        <f ca="1">IFERROR(INDIRECT(CONCATENATE("Track1!D",A36+6)),"")</f>
        <v/>
      </c>
      <c r="E41" s="89" t="str">
        <f ca="1">IFERROR(INDIRECT(CONCATENATE("Track1!E",A36+6)),"")</f>
        <v/>
      </c>
      <c r="F41" s="65">
        <f ca="1">IFERROR(INDIRECT(CONCATENATE("Track1!F",A36+6)),"")</f>
        <v>0</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65">
        <f ca="1">IFERROR(INDIRECT(CONCATENATE("Track1!M",A36+6)),"")</f>
        <v>0</v>
      </c>
      <c r="N41" s="121" t="str">
        <f ca="1">IFERROR(INDIRECT(CONCATENATE("Track1!N",A36+6)),"")</f>
        <v/>
      </c>
      <c r="T41" s="64" t="str">
        <f t="shared" ca="1" si="0"/>
        <v/>
      </c>
      <c r="U41" s="64" t="str">
        <f t="shared" ca="1" si="1"/>
        <v/>
      </c>
      <c r="V41" s="422" t="str">
        <f ca="1">IF(OR(D41=0,D41="",D41="Athlete"),"",COUNTIF($D$4:$D41,D41))</f>
        <v/>
      </c>
      <c r="W41" s="422" t="str">
        <f t="shared" ca="1" si="2"/>
        <v/>
      </c>
      <c r="Z41" s="422" t="str">
        <f t="shared" ca="1" si="3"/>
        <v/>
      </c>
    </row>
    <row r="42" spans="1:26" x14ac:dyDescent="0.35">
      <c r="B42" s="66">
        <f ca="1">IFERROR(INDIRECT(CONCATENATE("Track1!B",A36+7)),"")</f>
        <v>6</v>
      </c>
      <c r="C42" s="66">
        <f ca="1">IFERROR(INDIRECT(CONCATENATE("Track1!C",A36+7)),"")</f>
        <v>0</v>
      </c>
      <c r="D42" s="89" t="str">
        <f ca="1">IFERROR(INDIRECT(CONCATENATE("Track1!D",A36+7)),"")</f>
        <v/>
      </c>
      <c r="E42" s="89" t="str">
        <f ca="1">IFERROR(INDIRECT(CONCATENATE("Track1!E",A36+7)),"")</f>
        <v/>
      </c>
      <c r="F42" s="65">
        <f ca="1">IFERROR(INDIRECT(CONCATENATE("Track1!F",A36+7)),"")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65">
        <f ca="1">IFERROR(INDIRECT(CONCATENATE("Track1!M",A36+7)),"")</f>
        <v>0</v>
      </c>
      <c r="N42" s="121" t="str">
        <f ca="1">IFERROR(INDIRECT(CONCATENATE("Track1!N",A36+7)),"")</f>
        <v/>
      </c>
      <c r="T42" s="64" t="str">
        <f t="shared" ca="1" si="0"/>
        <v/>
      </c>
      <c r="U42" s="64" t="str">
        <f t="shared" ca="1" si="1"/>
        <v/>
      </c>
      <c r="V42" s="422" t="str">
        <f ca="1">IF(OR(D42=0,D42="",D42="Athlete"),"",COUNTIF($D$4:$D42,D42))</f>
        <v/>
      </c>
      <c r="W42" s="422" t="str">
        <f t="shared" ca="1" si="2"/>
        <v/>
      </c>
      <c r="Z42" s="422" t="str">
        <f t="shared" ca="1" si="3"/>
        <v/>
      </c>
    </row>
    <row r="43" spans="1:26" x14ac:dyDescent="0.35">
      <c r="B43" s="66">
        <f ca="1">IFERROR(INDIRECT(CONCATENATE("Track1!B",A36+8)),"")</f>
        <v>7</v>
      </c>
      <c r="C43" s="66">
        <f ca="1">IFERROR(INDIRECT(CONCATENATE("Track1!C",A36+8)),"")</f>
        <v>0</v>
      </c>
      <c r="D43" s="89" t="str">
        <f ca="1">IFERROR(INDIRECT(CONCATENATE("Track1!D",A36+8)),"")</f>
        <v/>
      </c>
      <c r="E43" s="89" t="str">
        <f ca="1">IFERROR(INDIRECT(CONCATENATE("Track1!E",A36+8)),"")</f>
        <v/>
      </c>
      <c r="F43" s="65">
        <f ca="1">IFERROR(INDIRECT(CONCATENATE("Track1!F",A36+8)),"")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65">
        <f ca="1">IFERROR(INDIRECT(CONCATENATE("Track1!M",A36+8)),"")</f>
        <v>0</v>
      </c>
      <c r="N43" s="121" t="str">
        <f ca="1">IFERROR(INDIRECT(CONCATENATE("Track1!N",A36+8)),"")</f>
        <v/>
      </c>
      <c r="T43" s="64" t="str">
        <f t="shared" ca="1" si="0"/>
        <v/>
      </c>
      <c r="U43" s="64" t="str">
        <f t="shared" ca="1" si="1"/>
        <v/>
      </c>
      <c r="V43" s="422" t="str">
        <f ca="1">IF(OR(D43=0,D43="",D43="Athlete"),"",COUNTIF($D$4:$D43,D43))</f>
        <v/>
      </c>
      <c r="W43" s="422" t="str">
        <f t="shared" ca="1" si="2"/>
        <v/>
      </c>
      <c r="Z43" s="422" t="str">
        <f t="shared" ca="1" si="3"/>
        <v/>
      </c>
    </row>
    <row r="44" spans="1:26" x14ac:dyDescent="0.35">
      <c r="B44" s="66">
        <f ca="1">IFERROR(INDIRECT(CONCATENATE("Track1!B",A36+9)),"")</f>
        <v>8</v>
      </c>
      <c r="C44" s="66">
        <f ca="1">IFERROR(INDIRECT(CONCATENATE("Track1!C",A36+9)),"")</f>
        <v>0</v>
      </c>
      <c r="D44" s="89" t="str">
        <f ca="1">IFERROR(INDIRECT(CONCATENATE("Track1!D",A36+9)),"")</f>
        <v/>
      </c>
      <c r="E44" s="89" t="str">
        <f ca="1">IFERROR(INDIRECT(CONCATENATE("Track1!E",A36+9)),"")</f>
        <v/>
      </c>
      <c r="F44" s="65">
        <f ca="1">IFERROR(INDIRECT(CONCATENATE("Track1!F",A36+9)),"")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65">
        <f ca="1">IFERROR(INDIRECT(CONCATENATE("Track1!M",A36+9)),"")</f>
        <v>0</v>
      </c>
      <c r="N44" s="121" t="str">
        <f ca="1">IFERROR(INDIRECT(CONCATENATE("Track1!N",A36+9)),"")</f>
        <v/>
      </c>
      <c r="T44" s="64" t="str">
        <f t="shared" ca="1" si="0"/>
        <v/>
      </c>
      <c r="U44" s="64" t="str">
        <f t="shared" ca="1" si="1"/>
        <v/>
      </c>
      <c r="V44" s="422" t="str">
        <f ca="1">IF(OR(D44=0,D44="",D44="Athlete"),"",COUNTIF($D$4:$D44,D44))</f>
        <v/>
      </c>
      <c r="W44" s="422" t="str">
        <f t="shared" ca="1" si="2"/>
        <v/>
      </c>
      <c r="Z44" s="422" t="str">
        <f t="shared" ca="1" si="3"/>
        <v/>
      </c>
    </row>
    <row r="45" spans="1:26" x14ac:dyDescent="0.35">
      <c r="T45" s="64" t="str">
        <f t="shared" si="0"/>
        <v/>
      </c>
      <c r="U45" s="64" t="str">
        <f t="shared" si="1"/>
        <v/>
      </c>
      <c r="V45" s="422" t="str">
        <f>IF(OR(D45=0,D45="",D45="Athlete"),"",COUNTIF($D$4:$D45,D45))</f>
        <v/>
      </c>
      <c r="W45" s="422" t="str">
        <f t="shared" si="2"/>
        <v/>
      </c>
      <c r="Z45" s="422" t="str">
        <f t="shared" si="3"/>
        <v/>
      </c>
    </row>
    <row r="46" spans="1:26" x14ac:dyDescent="0.35">
      <c r="A46" s="66" t="s">
        <v>508</v>
      </c>
      <c r="B46" s="115" t="str">
        <f ca="1">IFERROR(INDIRECT(CONCATENATE("Track1!B",A47)),"")</f>
        <v>800m U15 Girls A</v>
      </c>
      <c r="F46" s="65">
        <f ca="1">IFERROR(INDIRECT(CONCATENATE("Track1!f",A47)),"")</f>
        <v>0</v>
      </c>
      <c r="G46" s="121" t="str">
        <f ca="1">IFERROR(INDIRECT(CONCATENATE("Track1!g",A47)),"")</f>
        <v/>
      </c>
      <c r="I46" s="115" t="str">
        <f ca="1">IFERROR(INDIRECT(CONCATENATE("Track1!I",A47)),"")</f>
        <v>800m U15 Girls B</v>
      </c>
      <c r="T46" s="64" t="str">
        <f t="shared" si="0"/>
        <v/>
      </c>
      <c r="U46" s="64" t="str">
        <f t="shared" si="1"/>
        <v/>
      </c>
      <c r="V46" s="422" t="str">
        <f>IF(OR(D46=0,D46="",D46="Athlete"),"",COUNTIF($D$4:$D46,D46))</f>
        <v/>
      </c>
      <c r="W46" s="422" t="str">
        <f t="shared" si="2"/>
        <v/>
      </c>
      <c r="Z46" s="422" t="str">
        <f t="shared" ca="1" si="3"/>
        <v/>
      </c>
    </row>
    <row r="47" spans="1:26" x14ac:dyDescent="0.35">
      <c r="A47" s="66">
        <f>IFERROR(MATCH(A46,Track1!A:A,0),"")</f>
        <v>222</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149"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149" t="str">
        <f ca="1">IFERROR(INDIRECT(CONCATENATE("Track1!M",A47+1)),"")</f>
        <v>Perf</v>
      </c>
      <c r="N47" s="218" t="str">
        <f ca="1">IFERROR(INDIRECT(CONCATENATE("Track1!N",A47+1)),"")</f>
        <v>AAA</v>
      </c>
      <c r="T47" s="64" t="str">
        <f t="shared" ca="1" si="0"/>
        <v/>
      </c>
      <c r="U47" s="64" t="str">
        <f t="shared" ca="1" si="1"/>
        <v/>
      </c>
      <c r="V47" s="422" t="str">
        <f ca="1">IF(OR(D47=0,D47="",D47="Athlete"),"",COUNTIF($D$4:$D47,D47))</f>
        <v/>
      </c>
      <c r="W47" s="422" t="str">
        <f t="shared" ca="1" si="2"/>
        <v/>
      </c>
      <c r="Z47" s="422">
        <f t="shared" ca="1" si="3"/>
        <v>0</v>
      </c>
    </row>
    <row r="48" spans="1:26" x14ac:dyDescent="0.35">
      <c r="B48" s="66">
        <f ca="1">IFERROR(INDIRECT(CONCATENATE("Track1!B",A47+2)),"")</f>
        <v>1</v>
      </c>
      <c r="C48" s="66">
        <f ca="1">IFERROR(INDIRECT(CONCATENATE("Track1!C",A47+2)),"")</f>
        <v>4</v>
      </c>
      <c r="D48" s="89" t="str">
        <f ca="1">IFERROR(INDIRECT(CONCATENATE("Track1!D",A47+2)),"")</f>
        <v>CREASEY Lois</v>
      </c>
      <c r="E48" s="89" t="str">
        <f ca="1">IFERROR(INDIRECT(CONCATENATE("Track1!E",A47+2)),"")</f>
        <v>M'bro</v>
      </c>
      <c r="F48" s="109">
        <f ca="1">IFERROR(INDIRECT(CONCATENATE("Track1!T",A47+2)),"")</f>
        <v>1.7037037037037036E-3</v>
      </c>
      <c r="G48" s="121">
        <f ca="1">IFERROR(INDIRECT(CONCATENATE("Track1!G",A47+2)),"")</f>
        <v>4</v>
      </c>
      <c r="H48" s="66"/>
      <c r="I48" s="66">
        <f ca="1">IFERROR(INDIRECT(CONCATENATE("Track1!I",A47+2)),"")</f>
        <v>1</v>
      </c>
      <c r="J48" s="66">
        <f ca="1">IFERROR(INDIRECT(CONCATENATE("Track1!J",A47+2)),"")</f>
        <v>44</v>
      </c>
      <c r="K48" s="89" t="str">
        <f ca="1">IFERROR(INDIRECT(CONCATENATE("Track1!K",A47+2)),"")</f>
        <v>LILLIE Imogen</v>
      </c>
      <c r="L48" s="89" t="str">
        <f ca="1">IFERROR(INDIRECT(CONCATENATE("Track1!L",A47+2)),"")</f>
        <v>M'bro</v>
      </c>
      <c r="M48" s="109">
        <f ca="1">IFERROR(INDIRECT(CONCATENATE("Track1!U",A47+2)),"")</f>
        <v>1.8090277777777779E-3</v>
      </c>
      <c r="N48" s="121" t="str">
        <f ca="1">IFERROR(INDIRECT(CONCATENATE("Track1!N",A47+2)),"")</f>
        <v/>
      </c>
      <c r="R48" s="219">
        <f ca="1">IFERROR(INDIRECT(CONCATENATE("Track1!r",A47+2)),"")</f>
        <v>1</v>
      </c>
      <c r="T48" s="64">
        <f t="shared" ca="1" si="0"/>
        <v>1</v>
      </c>
      <c r="U48" s="64">
        <f t="shared" ca="1" si="1"/>
        <v>1</v>
      </c>
      <c r="V48" s="422">
        <f ca="1">IF(OR(D48=0,D48="",D48="Athlete"),"",COUNTIF($D$4:$D48,D48))</f>
        <v>1</v>
      </c>
      <c r="W48" s="422" t="str">
        <f t="shared" ca="1" si="2"/>
        <v>M'bro</v>
      </c>
      <c r="Z48" s="422">
        <f t="shared" ca="1" si="3"/>
        <v>0</v>
      </c>
    </row>
    <row r="49" spans="1:26" x14ac:dyDescent="0.35">
      <c r="B49" s="66">
        <f ca="1">IFERROR(INDIRECT(CONCATENATE("Track1!B",A47+3)),"")</f>
        <v>2</v>
      </c>
      <c r="C49" s="66">
        <f ca="1">IFERROR(INDIRECT(CONCATENATE("Track1!C",A47+3)),"")</f>
        <v>2</v>
      </c>
      <c r="D49" s="89" t="str">
        <f ca="1">IFERROR(INDIRECT(CONCATENATE("Track1!D",A47+3)),"")</f>
        <v>EVANS Rebecca</v>
      </c>
      <c r="E49" s="89" t="str">
        <f ca="1">IFERROR(INDIRECT(CONCATENATE("Track1!E",A47+3)),"")</f>
        <v>Sheff+D</v>
      </c>
      <c r="F49" s="109">
        <f ca="1">IFERROR(INDIRECT(CONCATENATE("Track1!T",A47+3)),"")</f>
        <v>1.7499999999999998E-3</v>
      </c>
      <c r="G49" s="121" t="str">
        <f ca="1">IFERROR(INDIRECT(CONCATENATE("Track1!G",A47+3)),"")</f>
        <v/>
      </c>
      <c r="H49" s="66"/>
      <c r="I49" s="66">
        <f ca="1">IFERROR(INDIRECT(CONCATENATE("Track1!I",A47+3)),"")</f>
        <v>2</v>
      </c>
      <c r="J49" s="66">
        <f ca="1">IFERROR(INDIRECT(CONCATENATE("Track1!J",A47+3)),"")</f>
        <v>33</v>
      </c>
      <c r="K49" s="89" t="str">
        <f ca="1">IFERROR(INDIRECT(CONCATENATE("Track1!K",A47+3)),"")</f>
        <v>HOGG Frances</v>
      </c>
      <c r="L49" s="89" t="str">
        <f ca="1">IFERROR(INDIRECT(CONCATENATE("Track1!L",A47+3)),"")</f>
        <v>York</v>
      </c>
      <c r="M49" s="109">
        <f ca="1">IFERROR(INDIRECT(CONCATENATE("Track1!U",A47+3)),"")</f>
        <v>1.8217592592592593E-3</v>
      </c>
      <c r="N49" s="121" t="str">
        <f ca="1">IFERROR(INDIRECT(CONCATENATE("Track1!N",A47+3)),"")</f>
        <v/>
      </c>
      <c r="T49" s="64">
        <f t="shared" ca="1" si="0"/>
        <v>1</v>
      </c>
      <c r="U49" s="64">
        <f t="shared" ca="1" si="1"/>
        <v>3</v>
      </c>
      <c r="V49" s="422">
        <f ca="1">IF(OR(D49=0,D49="",D49="Athlete"),"",COUNTIF($D$4:$D49,D49))</f>
        <v>1</v>
      </c>
      <c r="W49" s="422" t="str">
        <f t="shared" ca="1" si="2"/>
        <v>Sheff+D</v>
      </c>
      <c r="Z49" s="422" t="str">
        <f t="shared" ca="1" si="3"/>
        <v/>
      </c>
    </row>
    <row r="50" spans="1:26" x14ac:dyDescent="0.35">
      <c r="B50" s="66">
        <f ca="1">IFERROR(INDIRECT(CONCATENATE("Track1!B",A47+4)),"")</f>
        <v>3</v>
      </c>
      <c r="C50" s="66">
        <f ca="1">IFERROR(INDIRECT(CONCATENATE("Track1!C",A47+4)),"")</f>
        <v>3</v>
      </c>
      <c r="D50" s="89" t="str">
        <f ca="1">IFERROR(INDIRECT(CONCATENATE("Track1!D",A47+4)),"")</f>
        <v>WALSH Tierney</v>
      </c>
      <c r="E50" s="89" t="str">
        <f ca="1">IFERROR(INDIRECT(CONCATENATE("Track1!E",A47+4)),"")</f>
        <v>York</v>
      </c>
      <c r="F50" s="109">
        <f ca="1">IFERROR(INDIRECT(CONCATENATE("Track1!T",A47+4)),"")</f>
        <v>1.7777777777777776E-3</v>
      </c>
      <c r="G50" s="121" t="str">
        <f ca="1">IFERROR(INDIRECT(CONCATENATE("Track1!G",A47+4)),"")</f>
        <v/>
      </c>
      <c r="H50" s="66"/>
      <c r="I50" s="66">
        <f ca="1">IFERROR(INDIRECT(CONCATENATE("Track1!I",A47+4)),"")</f>
        <v>3</v>
      </c>
      <c r="J50" s="66">
        <f ca="1">IFERROR(INDIRECT(CONCATENATE("Track1!J",A47+4)),"")</f>
        <v>22</v>
      </c>
      <c r="K50" s="89" t="str">
        <f ca="1">IFERROR(INDIRECT(CONCATENATE("Track1!K",A47+4)),"")</f>
        <v>FLINDERS Agnes</v>
      </c>
      <c r="L50" s="89" t="str">
        <f ca="1">IFERROR(INDIRECT(CONCATENATE("Track1!L",A47+4)),"")</f>
        <v>Sheff+D</v>
      </c>
      <c r="M50" s="109">
        <f ca="1">IFERROR(INDIRECT(CONCATENATE("Track1!U",A47+4)),"")</f>
        <v>1.8993055555555551E-3</v>
      </c>
      <c r="N50" s="121" t="str">
        <f ca="1">IFERROR(INDIRECT(CONCATENATE("Track1!N",A47+4)),"")</f>
        <v/>
      </c>
      <c r="T50" s="64">
        <f t="shared" ca="1" si="0"/>
        <v>2</v>
      </c>
      <c r="U50" s="64">
        <f t="shared" ca="1" si="1"/>
        <v>1</v>
      </c>
      <c r="V50" s="422">
        <f ca="1">IF(OR(D50=0,D50="",D50="Athlete"),"",COUNTIF($D$4:$D50,D50))</f>
        <v>2</v>
      </c>
      <c r="W50" s="422" t="str">
        <f t="shared" ca="1" si="2"/>
        <v>York</v>
      </c>
      <c r="Z50" s="422" t="str">
        <f t="shared" ca="1" si="3"/>
        <v/>
      </c>
    </row>
    <row r="51" spans="1:26" x14ac:dyDescent="0.35">
      <c r="B51" s="66">
        <f ca="1">IFERROR(INDIRECT(CONCATENATE("Track1!B",A47+5)),"")</f>
        <v>4</v>
      </c>
      <c r="C51" s="66">
        <f ca="1">IFERROR(INDIRECT(CONCATENATE("Track1!C",A47+5)),"")</f>
        <v>5</v>
      </c>
      <c r="D51" s="89" t="str">
        <f ca="1">IFERROR(INDIRECT(CONCATENATE("Track1!D",A47+5)),"")</f>
        <v>WRIGHT Lucy</v>
      </c>
      <c r="E51" s="89" t="str">
        <f ca="1">IFERROR(INDIRECT(CONCATENATE("Track1!E",A47+5)),"")</f>
        <v>Scun</v>
      </c>
      <c r="F51" s="109">
        <f ca="1">IFERROR(INDIRECT(CONCATENATE("Track1!T",A47+5)),"")</f>
        <v>2.0092592592592592E-3</v>
      </c>
      <c r="G51" s="121" t="str">
        <f ca="1">IFERROR(INDIRECT(CONCATENATE("Track1!G",A47+5)),"")</f>
        <v/>
      </c>
      <c r="H51" s="66"/>
      <c r="I51" s="66">
        <f ca="1">IFERROR(INDIRECT(CONCATENATE("Track1!I",A47+5)),"")</f>
        <v>4</v>
      </c>
      <c r="J51" s="66">
        <f ca="1">IFERROR(INDIRECT(CONCATENATE("Track1!J",A47+5)),"")</f>
        <v>55</v>
      </c>
      <c r="K51" s="89" t="str">
        <f ca="1">IFERROR(INDIRECT(CONCATENATE("Track1!K",A47+5)),"")</f>
        <v>BETTS Demi</v>
      </c>
      <c r="L51" s="89" t="str">
        <f ca="1">IFERROR(INDIRECT(CONCATENATE("Track1!L",A47+5)),"")</f>
        <v>Scun</v>
      </c>
      <c r="M51" s="109">
        <f ca="1">IFERROR(INDIRECT(CONCATENATE("Track1!U",A47+5)),"")</f>
        <v>2.2615740740740738E-3</v>
      </c>
      <c r="N51" s="121" t="str">
        <f ca="1">IFERROR(INDIRECT(CONCATENATE("Track1!N",A47+5)),"")</f>
        <v/>
      </c>
      <c r="T51" s="64">
        <f t="shared" ca="1" si="0"/>
        <v>2</v>
      </c>
      <c r="U51" s="64">
        <f t="shared" ca="1" si="1"/>
        <v>3</v>
      </c>
      <c r="V51" s="422">
        <f ca="1">IF(OR(D51=0,D51="",D51="Athlete"),"",COUNTIF($D$4:$D51,D51))</f>
        <v>2</v>
      </c>
      <c r="W51" s="422" t="str">
        <f t="shared" ca="1" si="2"/>
        <v>Scun</v>
      </c>
      <c r="Z51" s="422" t="str">
        <f t="shared" ca="1" si="3"/>
        <v/>
      </c>
    </row>
    <row r="52" spans="1:26" x14ac:dyDescent="0.35">
      <c r="B52" s="66">
        <f ca="1">IFERROR(INDIRECT(CONCATENATE("Track1!B",A47+6)),"")</f>
        <v>5</v>
      </c>
      <c r="C52" s="66">
        <f ca="1">IFERROR(INDIRECT(CONCATENATE("Track1!C",A47+6)),"")</f>
        <v>1</v>
      </c>
      <c r="D52" s="89" t="str">
        <f ca="1">IFERROR(INDIRECT(CONCATENATE("Track1!D",A47+6)),"")</f>
        <v>PROCTOR Alicia</v>
      </c>
      <c r="E52" s="89" t="str">
        <f ca="1">IFERROR(INDIRECT(CONCATENATE("Track1!E",A47+6)),"")</f>
        <v>C'field</v>
      </c>
      <c r="F52" s="109">
        <f ca="1">IFERROR(INDIRECT(CONCATENATE("Track1!T",A47+6)),"")</f>
        <v>2.1990740740740742E-3</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109">
        <f ca="1">IFERROR(INDIRECT(CONCATENATE("Track1!U",A47+6)),"")</f>
        <v>0</v>
      </c>
      <c r="N52" s="121" t="str">
        <f ca="1">IFERROR(INDIRECT(CONCATENATE("Track1!N",A47+6)),"")</f>
        <v/>
      </c>
      <c r="T52" s="64">
        <f t="shared" ca="1" si="0"/>
        <v>3</v>
      </c>
      <c r="U52" s="64" t="str">
        <f t="shared" ca="1" si="1"/>
        <v/>
      </c>
      <c r="V52" s="422">
        <f ca="1">IF(OR(D52=0,D52="",D52="Athlete"),"",COUNTIF($D$4:$D52,D52))</f>
        <v>1</v>
      </c>
      <c r="W52" s="422" t="str">
        <f t="shared" ca="1" si="2"/>
        <v>C'field</v>
      </c>
      <c r="Z52" s="422" t="str">
        <f t="shared" ca="1" si="3"/>
        <v/>
      </c>
    </row>
    <row r="53" spans="1:26" x14ac:dyDescent="0.35">
      <c r="B53" s="66">
        <f ca="1">IFERROR(INDIRECT(CONCATENATE("Track1!B",A47+7)),"")</f>
        <v>6</v>
      </c>
      <c r="C53" s="66">
        <f ca="1">IFERROR(INDIRECT(CONCATENATE("Track1!C",A47+7)),"")</f>
        <v>0</v>
      </c>
      <c r="D53" s="89" t="str">
        <f ca="1">IFERROR(INDIRECT(CONCATENATE("Track1!D",A47+7)),"")</f>
        <v/>
      </c>
      <c r="E53" s="89" t="str">
        <f ca="1">IFERROR(INDIRECT(CONCATENATE("Track1!E",A47+7)),"")</f>
        <v/>
      </c>
      <c r="F53" s="109">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109">
        <f ca="1">IFERROR(INDIRECT(CONCATENATE("Track1!U",A47+7)),"")</f>
        <v>0</v>
      </c>
      <c r="N53" s="121" t="str">
        <f ca="1">IFERROR(INDIRECT(CONCATENATE("Track1!N",A47+7)),"")</f>
        <v/>
      </c>
      <c r="T53" s="64" t="str">
        <f t="shared" ca="1" si="0"/>
        <v/>
      </c>
      <c r="U53" s="64" t="str">
        <f t="shared" ca="1" si="1"/>
        <v/>
      </c>
      <c r="V53" s="422" t="str">
        <f ca="1">IF(OR(D53=0,D53="",D53="Athlete"),"",COUNTIF($D$4:$D53,D53))</f>
        <v/>
      </c>
      <c r="W53" s="422" t="str">
        <f t="shared" ca="1" si="2"/>
        <v/>
      </c>
      <c r="Z53" s="422" t="str">
        <f t="shared" ca="1" si="3"/>
        <v/>
      </c>
    </row>
    <row r="54" spans="1:26" x14ac:dyDescent="0.35">
      <c r="B54" s="66">
        <f ca="1">IFERROR(INDIRECT(CONCATENATE("Track1!B",A47+8)),"")</f>
        <v>7</v>
      </c>
      <c r="C54" s="66">
        <f ca="1">IFERROR(INDIRECT(CONCATENATE("Track1!C",A47+8)),"")</f>
        <v>0</v>
      </c>
      <c r="D54" s="89" t="str">
        <f ca="1">IFERROR(INDIRECT(CONCATENATE("Track1!D",A47+8)),"")</f>
        <v/>
      </c>
      <c r="E54" s="89" t="str">
        <f ca="1">IFERROR(INDIRECT(CONCATENATE("Track1!E",A47+8)),"")</f>
        <v/>
      </c>
      <c r="F54" s="109">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109">
        <f ca="1">IFERROR(INDIRECT(CONCATENATE("Track1!U",A47+8)),"")</f>
        <v>0</v>
      </c>
      <c r="N54" s="121" t="str">
        <f ca="1">IFERROR(INDIRECT(CONCATENATE("Track1!N",A47+8)),"")</f>
        <v/>
      </c>
      <c r="T54" s="64" t="str">
        <f t="shared" ca="1" si="0"/>
        <v/>
      </c>
      <c r="U54" s="64" t="str">
        <f t="shared" ca="1" si="1"/>
        <v/>
      </c>
      <c r="V54" s="422" t="str">
        <f ca="1">IF(OR(D54=0,D54="",D54="Athlete"),"",COUNTIF($D$4:$D54,D54))</f>
        <v/>
      </c>
      <c r="W54" s="422" t="str">
        <f t="shared" ca="1" si="2"/>
        <v/>
      </c>
      <c r="Z54" s="422" t="str">
        <f t="shared" ca="1" si="3"/>
        <v/>
      </c>
    </row>
    <row r="55" spans="1:26" x14ac:dyDescent="0.35">
      <c r="B55" s="66">
        <f ca="1">IFERROR(INDIRECT(CONCATENATE("Track1!B",A47+9)),"")</f>
        <v>8</v>
      </c>
      <c r="C55" s="66">
        <f ca="1">IFERROR(INDIRECT(CONCATENATE("Track1!C",A47+9)),"")</f>
        <v>0</v>
      </c>
      <c r="D55" s="89" t="str">
        <f ca="1">IFERROR(INDIRECT(CONCATENATE("Track1!D",A47+9)),"")</f>
        <v/>
      </c>
      <c r="E55" s="89" t="str">
        <f ca="1">IFERROR(INDIRECT(CONCATENATE("Track1!E",A47+9)),"")</f>
        <v/>
      </c>
      <c r="F55" s="109">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109">
        <f ca="1">IFERROR(INDIRECT(CONCATENATE("Track1!U",A47+9)),"")</f>
        <v>0</v>
      </c>
      <c r="N55" s="121" t="str">
        <f ca="1">IFERROR(INDIRECT(CONCATENATE("Track1!N",A47+9)),"")</f>
        <v/>
      </c>
      <c r="T55" s="64" t="str">
        <f t="shared" ca="1" si="0"/>
        <v/>
      </c>
      <c r="U55" s="64" t="str">
        <f t="shared" ca="1" si="1"/>
        <v/>
      </c>
      <c r="V55" s="422" t="str">
        <f ca="1">IF(OR(D55=0,D55="",D55="Athlete"),"",COUNTIF($D$4:$D55,D55))</f>
        <v/>
      </c>
      <c r="W55" s="422" t="str">
        <f t="shared" ca="1" si="2"/>
        <v/>
      </c>
      <c r="Z55" s="422" t="str">
        <f t="shared" ca="1" si="3"/>
        <v/>
      </c>
    </row>
    <row r="56" spans="1:26" x14ac:dyDescent="0.35">
      <c r="T56" s="64" t="str">
        <f t="shared" si="0"/>
        <v/>
      </c>
      <c r="U56" s="64" t="str">
        <f t="shared" si="1"/>
        <v/>
      </c>
      <c r="V56" s="422" t="str">
        <f>IF(OR(D56=0,D56="",D56="Athlete"),"",COUNTIF($D$4:$D56,D56))</f>
        <v/>
      </c>
      <c r="W56" s="422" t="str">
        <f t="shared" si="2"/>
        <v/>
      </c>
      <c r="Z56" s="422" t="str">
        <f t="shared" si="3"/>
        <v/>
      </c>
    </row>
    <row r="57" spans="1:26" x14ac:dyDescent="0.35">
      <c r="A57" s="66" t="s">
        <v>512</v>
      </c>
      <c r="B57" s="115" t="str">
        <f ca="1">IFERROR(INDIRECT(CONCATENATE("Track1!B",A58)),"")</f>
        <v>800m NS U15 Girls A</v>
      </c>
      <c r="F57" s="65">
        <f ca="1">IFERROR(INDIRECT(CONCATENATE("Track1!f",A58)),"")</f>
        <v>0</v>
      </c>
      <c r="G57" s="121" t="str">
        <f ca="1">IFERROR(INDIRECT(CONCATENATE("Track1!g",A58)),"")</f>
        <v/>
      </c>
      <c r="I57" s="115" t="str">
        <f ca="1">IFERROR(INDIRECT(CONCATENATE("Track1!I",A58)),"")</f>
        <v>800m NS U15 Girls B</v>
      </c>
      <c r="T57" s="64" t="str">
        <f t="shared" si="0"/>
        <v/>
      </c>
      <c r="U57" s="64" t="str">
        <f t="shared" si="1"/>
        <v/>
      </c>
      <c r="V57" s="422" t="str">
        <f>IF(OR(D57=0,D57="",D57="Athlete"),"",COUNTIF($D$4:$D57,D57))</f>
        <v/>
      </c>
      <c r="W57" s="422" t="str">
        <f t="shared" si="2"/>
        <v/>
      </c>
      <c r="Z57" s="422" t="str">
        <f t="shared" ca="1" si="3"/>
        <v/>
      </c>
    </row>
    <row r="58" spans="1:26" x14ac:dyDescent="0.35">
      <c r="A58" s="66">
        <f>IFERROR(MATCH(A57,Track1!A:A,0),"")</f>
        <v>266</v>
      </c>
      <c r="B58" s="45" t="str">
        <f ca="1">IFERROR(INDIRECT(CONCATENATE("Track1!B",A58+1)),"")</f>
        <v>Posn</v>
      </c>
      <c r="C58" s="45" t="str">
        <f ca="1">IFERROR(INDIRECT(CONCATENATE("Track1!C",A58+1)),"")</f>
        <v>No.</v>
      </c>
      <c r="D58" s="182" t="str">
        <f ca="1">IFERROR(INDIRECT(CONCATENATE("Track1!D",A58+1)),"")</f>
        <v>Athlete</v>
      </c>
      <c r="E58" s="182" t="str">
        <f ca="1">IFERROR(INDIRECT(CONCATENATE("Track1!E",A58+1)),"")</f>
        <v>Club</v>
      </c>
      <c r="F58" s="149" t="str">
        <f ca="1">IFERROR(INDIRECT(CONCATENATE("Track1!F",A58+1)),"")</f>
        <v>Perf</v>
      </c>
      <c r="G58" s="218" t="str">
        <f ca="1">IFERROR(INDIRECT(CONCATENATE("Track1!G",A58+1)),"")</f>
        <v>AAA</v>
      </c>
      <c r="H58" s="45"/>
      <c r="I58" s="45" t="str">
        <f ca="1">IFERROR(INDIRECT(CONCATENATE("Track1!I",A58+1)),"")</f>
        <v>Posn</v>
      </c>
      <c r="J58" s="45" t="str">
        <f ca="1">IFERROR(INDIRECT(CONCATENATE("Track1!J",A58+1)),"")</f>
        <v>No.</v>
      </c>
      <c r="K58" s="182" t="str">
        <f ca="1">IFERROR(INDIRECT(CONCATENATE("Track1!K",A58+1)),"")</f>
        <v>Athlete</v>
      </c>
      <c r="L58" s="182" t="str">
        <f ca="1">IFERROR(INDIRECT(CONCATENATE("Track1!L",A58+1)),"")</f>
        <v>Club</v>
      </c>
      <c r="M58" s="149" t="str">
        <f ca="1">IFERROR(INDIRECT(CONCATENATE("Track1!M",A58+1)),"")</f>
        <v>Perf</v>
      </c>
      <c r="N58" s="218" t="str">
        <f ca="1">IFERROR(INDIRECT(CONCATENATE("Track1!N",A58+1)),"")</f>
        <v>AAA</v>
      </c>
      <c r="T58" s="64" t="str">
        <f t="shared" ca="1" si="0"/>
        <v/>
      </c>
      <c r="U58" s="64" t="str">
        <f t="shared" ca="1" si="1"/>
        <v/>
      </c>
      <c r="V58" s="422" t="str">
        <f ca="1">IF(OR(D58=0,D58="",D58="Athlete"),"",COUNTIF($D$4:$D58,D58))</f>
        <v/>
      </c>
      <c r="W58" s="422" t="str">
        <f t="shared" ca="1" si="2"/>
        <v/>
      </c>
      <c r="Z58" s="422">
        <f t="shared" ca="1" si="3"/>
        <v>0</v>
      </c>
    </row>
    <row r="59" spans="1:26" x14ac:dyDescent="0.35">
      <c r="B59" s="66">
        <f ca="1">IFERROR(INDIRECT(CONCATENATE("Track1!B",A58+2)),"")</f>
        <v>1</v>
      </c>
      <c r="C59" s="66">
        <f ca="1">IFERROR(INDIRECT(CONCATENATE("Track1!C",A58+2)),"")</f>
        <v>0</v>
      </c>
      <c r="D59" s="89" t="str">
        <f ca="1">IFERROR(INDIRECT(CONCATENATE("Track1!D",A58+2)),"")</f>
        <v/>
      </c>
      <c r="E59" s="89" t="str">
        <f ca="1">IFERROR(INDIRECT(CONCATENATE("Track1!E",A58+2)),"")</f>
        <v/>
      </c>
      <c r="F59" s="109">
        <f ca="1">IFERROR(INDIRECT(CONCATENATE("Track1!T",A58+2)),"")</f>
        <v>0</v>
      </c>
      <c r="G59" s="121" t="str">
        <f ca="1">IFERROR(INDIRECT(CONCATENATE("Track1!G",A58+2)),"")</f>
        <v/>
      </c>
      <c r="H59" s="66"/>
      <c r="I59" s="66">
        <f ca="1">IFERROR(INDIRECT(CONCATENATE("Track1!I",A58+2)),"")</f>
        <v>1</v>
      </c>
      <c r="J59" s="66">
        <f ca="1">IFERROR(INDIRECT(CONCATENATE("Track1!J",A58+2)),"")</f>
        <v>0</v>
      </c>
      <c r="K59" s="89" t="str">
        <f ca="1">IFERROR(INDIRECT(CONCATENATE("Track1!K",A58+2)),"")</f>
        <v/>
      </c>
      <c r="L59" s="89" t="str">
        <f ca="1">IFERROR(INDIRECT(CONCATENATE("Track1!L",A58+2)),"")</f>
        <v/>
      </c>
      <c r="M59" s="109">
        <f ca="1">IFERROR(INDIRECT(CONCATENATE("Track1!U",A58+2)),"")</f>
        <v>0</v>
      </c>
      <c r="N59" s="121" t="str">
        <f ca="1">IFERROR(INDIRECT(CONCATENATE("Track1!N",A58+2)),"")</f>
        <v/>
      </c>
      <c r="R59" s="219">
        <f ca="1">IFERROR(INDIRECT(CONCATENATE("Track1!r",A58+2)),"")</f>
        <v>0</v>
      </c>
      <c r="T59" s="64" t="str">
        <f t="shared" ca="1" si="0"/>
        <v/>
      </c>
      <c r="U59" s="64" t="str">
        <f t="shared" ca="1" si="1"/>
        <v/>
      </c>
      <c r="V59" s="422" t="str">
        <f ca="1">IF(OR(D59=0,D59="",D59="Athlete"),"",COUNTIF($D$4:$D59,D59))</f>
        <v/>
      </c>
      <c r="W59" s="422" t="str">
        <f t="shared" ca="1" si="2"/>
        <v/>
      </c>
      <c r="Z59" s="422" t="str">
        <f t="shared" ca="1" si="3"/>
        <v/>
      </c>
    </row>
    <row r="60" spans="1:26" x14ac:dyDescent="0.35">
      <c r="B60" s="66">
        <f ca="1">IFERROR(INDIRECT(CONCATENATE("Track1!B",A58+3)),"")</f>
        <v>2</v>
      </c>
      <c r="C60" s="66">
        <f ca="1">IFERROR(INDIRECT(CONCATENATE("Track1!C",A58+3)),"")</f>
        <v>0</v>
      </c>
      <c r="D60" s="89" t="str">
        <f ca="1">IFERROR(INDIRECT(CONCATENATE("Track1!D",A58+3)),"")</f>
        <v/>
      </c>
      <c r="E60" s="89" t="str">
        <f ca="1">IFERROR(INDIRECT(CONCATENATE("Track1!E",A58+3)),"")</f>
        <v/>
      </c>
      <c r="F60" s="109">
        <f ca="1">IFERROR(INDIRECT(CONCATENATE("Track1!T",A58+3)),"")</f>
        <v>0</v>
      </c>
      <c r="G60" s="121" t="str">
        <f ca="1">IFERROR(INDIRECT(CONCATENATE("Track1!G",A58+3)),"")</f>
        <v/>
      </c>
      <c r="H60" s="66"/>
      <c r="I60" s="66">
        <f ca="1">IFERROR(INDIRECT(CONCATENATE("Track1!I",A58+3)),"")</f>
        <v>2</v>
      </c>
      <c r="J60" s="66">
        <f ca="1">IFERROR(INDIRECT(CONCATENATE("Track1!J",A58+3)),"")</f>
        <v>0</v>
      </c>
      <c r="K60" s="89" t="str">
        <f ca="1">IFERROR(INDIRECT(CONCATENATE("Track1!K",A58+3)),"")</f>
        <v/>
      </c>
      <c r="L60" s="89" t="str">
        <f ca="1">IFERROR(INDIRECT(CONCATENATE("Track1!L",A58+3)),"")</f>
        <v/>
      </c>
      <c r="M60" s="109">
        <f ca="1">IFERROR(INDIRECT(CONCATENATE("Track1!U",A58+3)),"")</f>
        <v>0</v>
      </c>
      <c r="N60" s="121" t="str">
        <f ca="1">IFERROR(INDIRECT(CONCATENATE("Track1!N",A58+3)),"")</f>
        <v/>
      </c>
      <c r="T60" s="64" t="str">
        <f t="shared" ca="1" si="0"/>
        <v/>
      </c>
      <c r="U60" s="64" t="str">
        <f t="shared" ca="1" si="1"/>
        <v/>
      </c>
      <c r="V60" s="422" t="str">
        <f ca="1">IF(OR(D60=0,D60="",D60="Athlete"),"",COUNTIF($D$4:$D60,D60))</f>
        <v/>
      </c>
      <c r="W60" s="422" t="str">
        <f t="shared" ca="1" si="2"/>
        <v/>
      </c>
      <c r="Z60" s="422" t="str">
        <f t="shared" ca="1" si="3"/>
        <v/>
      </c>
    </row>
    <row r="61" spans="1:26" x14ac:dyDescent="0.35">
      <c r="B61" s="66">
        <f ca="1">IFERROR(INDIRECT(CONCATENATE("Track1!B",A58+4)),"")</f>
        <v>3</v>
      </c>
      <c r="C61" s="66">
        <f ca="1">IFERROR(INDIRECT(CONCATENATE("Track1!C",A58+4)),"")</f>
        <v>0</v>
      </c>
      <c r="D61" s="89" t="str">
        <f ca="1">IFERROR(INDIRECT(CONCATENATE("Track1!D",A58+4)),"")</f>
        <v/>
      </c>
      <c r="E61" s="89" t="str">
        <f ca="1">IFERROR(INDIRECT(CONCATENATE("Track1!E",A58+4)),"")</f>
        <v/>
      </c>
      <c r="F61" s="109">
        <f ca="1">IFERROR(INDIRECT(CONCATENATE("Track1!T",A58+4)),"")</f>
        <v>0</v>
      </c>
      <c r="G61" s="121" t="str">
        <f ca="1">IFERROR(INDIRECT(CONCATENATE("Track1!G",A58+4)),"")</f>
        <v/>
      </c>
      <c r="H61" s="66"/>
      <c r="I61" s="66">
        <f ca="1">IFERROR(INDIRECT(CONCATENATE("Track1!I",A58+4)),"")</f>
        <v>3</v>
      </c>
      <c r="J61" s="66">
        <f ca="1">IFERROR(INDIRECT(CONCATENATE("Track1!J",A58+4)),"")</f>
        <v>0</v>
      </c>
      <c r="K61" s="89" t="str">
        <f ca="1">IFERROR(INDIRECT(CONCATENATE("Track1!K",A58+4)),"")</f>
        <v/>
      </c>
      <c r="L61" s="89" t="str">
        <f ca="1">IFERROR(INDIRECT(CONCATENATE("Track1!L",A58+4)),"")</f>
        <v/>
      </c>
      <c r="M61" s="109">
        <f ca="1">IFERROR(INDIRECT(CONCATENATE("Track1!U",A58+4)),"")</f>
        <v>0</v>
      </c>
      <c r="N61" s="121" t="str">
        <f ca="1">IFERROR(INDIRECT(CONCATENATE("Track1!N",A58+4)),"")</f>
        <v/>
      </c>
      <c r="T61" s="64" t="str">
        <f t="shared" ca="1" si="0"/>
        <v/>
      </c>
      <c r="U61" s="64" t="str">
        <f t="shared" ca="1" si="1"/>
        <v/>
      </c>
      <c r="V61" s="422" t="str">
        <f ca="1">IF(OR(D61=0,D61="",D61="Athlete"),"",COUNTIF($D$4:$D61,D61))</f>
        <v/>
      </c>
      <c r="W61" s="422" t="str">
        <f t="shared" ca="1" si="2"/>
        <v/>
      </c>
      <c r="Z61" s="422" t="str">
        <f t="shared" ca="1" si="3"/>
        <v/>
      </c>
    </row>
    <row r="62" spans="1:26" x14ac:dyDescent="0.35">
      <c r="B62" s="66">
        <f ca="1">IFERROR(INDIRECT(CONCATENATE("Track1!B",A58+5)),"")</f>
        <v>4</v>
      </c>
      <c r="C62" s="66">
        <f ca="1">IFERROR(INDIRECT(CONCATENATE("Track1!C",A58+5)),"")</f>
        <v>0</v>
      </c>
      <c r="D62" s="89" t="str">
        <f ca="1">IFERROR(INDIRECT(CONCATENATE("Track1!D",A58+5)),"")</f>
        <v/>
      </c>
      <c r="E62" s="89" t="str">
        <f ca="1">IFERROR(INDIRECT(CONCATENATE("Track1!E",A58+5)),"")</f>
        <v/>
      </c>
      <c r="F62" s="109">
        <f ca="1">IFERROR(INDIRECT(CONCATENATE("Track1!T",A58+5)),"")</f>
        <v>0</v>
      </c>
      <c r="G62" s="121" t="str">
        <f ca="1">IFERROR(INDIRECT(CONCATENATE("Track1!G",A58+5)),"")</f>
        <v/>
      </c>
      <c r="H62" s="66"/>
      <c r="I62" s="66">
        <f ca="1">IFERROR(INDIRECT(CONCATENATE("Track1!I",A58+5)),"")</f>
        <v>4</v>
      </c>
      <c r="J62" s="66">
        <f ca="1">IFERROR(INDIRECT(CONCATENATE("Track1!J",A58+5)),"")</f>
        <v>0</v>
      </c>
      <c r="K62" s="89" t="str">
        <f ca="1">IFERROR(INDIRECT(CONCATENATE("Track1!K",A58+5)),"")</f>
        <v/>
      </c>
      <c r="L62" s="89" t="str">
        <f ca="1">IFERROR(INDIRECT(CONCATENATE("Track1!L",A58+5)),"")</f>
        <v/>
      </c>
      <c r="M62" s="109">
        <f ca="1">IFERROR(INDIRECT(CONCATENATE("Track1!U",A58+5)),"")</f>
        <v>0</v>
      </c>
      <c r="N62" s="121" t="str">
        <f ca="1">IFERROR(INDIRECT(CONCATENATE("Track1!N",A58+5)),"")</f>
        <v/>
      </c>
      <c r="T62" s="64" t="str">
        <f t="shared" ca="1" si="0"/>
        <v/>
      </c>
      <c r="U62" s="64" t="str">
        <f t="shared" ca="1" si="1"/>
        <v/>
      </c>
      <c r="V62" s="422" t="str">
        <f ca="1">IF(OR(D62=0,D62="",D62="Athlete"),"",COUNTIF($D$4:$D62,D62))</f>
        <v/>
      </c>
      <c r="W62" s="422" t="str">
        <f t="shared" ca="1" si="2"/>
        <v/>
      </c>
      <c r="Z62" s="422" t="str">
        <f t="shared" ca="1" si="3"/>
        <v/>
      </c>
    </row>
    <row r="63" spans="1:26" x14ac:dyDescent="0.35">
      <c r="B63" s="66">
        <f ca="1">IFERROR(INDIRECT(CONCATENATE("Track1!B",A58+6)),"")</f>
        <v>5</v>
      </c>
      <c r="C63" s="66">
        <f ca="1">IFERROR(INDIRECT(CONCATENATE("Track1!C",A58+6)),"")</f>
        <v>0</v>
      </c>
      <c r="D63" s="89" t="str">
        <f ca="1">IFERROR(INDIRECT(CONCATENATE("Track1!D",A58+6)),"")</f>
        <v/>
      </c>
      <c r="E63" s="89" t="str">
        <f ca="1">IFERROR(INDIRECT(CONCATENATE("Track1!E",A58+6)),"")</f>
        <v/>
      </c>
      <c r="F63" s="109">
        <f ca="1">IFERROR(INDIRECT(CONCATENATE("Track1!T",A58+6)),"")</f>
        <v>0</v>
      </c>
      <c r="G63" s="121" t="str">
        <f ca="1">IFERROR(INDIRECT(CONCATENATE("Track1!G",A58+6)),"")</f>
        <v/>
      </c>
      <c r="H63" s="66"/>
      <c r="I63" s="66">
        <f ca="1">IFERROR(INDIRECT(CONCATENATE("Track1!I",A58+6)),"")</f>
        <v>5</v>
      </c>
      <c r="J63" s="66">
        <f ca="1">IFERROR(INDIRECT(CONCATENATE("Track1!J",A58+6)),"")</f>
        <v>0</v>
      </c>
      <c r="K63" s="89" t="str">
        <f ca="1">IFERROR(INDIRECT(CONCATENATE("Track1!K",A58+6)),"")</f>
        <v/>
      </c>
      <c r="L63" s="89" t="str">
        <f ca="1">IFERROR(INDIRECT(CONCATENATE("Track1!L",A58+6)),"")</f>
        <v/>
      </c>
      <c r="M63" s="109">
        <f ca="1">IFERROR(INDIRECT(CONCATENATE("Track1!U",A58+6)),"")</f>
        <v>0</v>
      </c>
      <c r="N63" s="121" t="str">
        <f ca="1">IFERROR(INDIRECT(CONCATENATE("Track1!N",A58+6)),"")</f>
        <v/>
      </c>
      <c r="T63" s="64" t="str">
        <f t="shared" ca="1" si="0"/>
        <v/>
      </c>
      <c r="U63" s="64" t="str">
        <f t="shared" ca="1" si="1"/>
        <v/>
      </c>
      <c r="V63" s="422" t="str">
        <f ca="1">IF(OR(D63=0,D63="",D63="Athlete"),"",COUNTIF($D$4:$D63,D63))</f>
        <v/>
      </c>
      <c r="W63" s="422" t="str">
        <f t="shared" ca="1" si="2"/>
        <v/>
      </c>
      <c r="Z63" s="422" t="str">
        <f t="shared" ca="1" si="3"/>
        <v/>
      </c>
    </row>
    <row r="64" spans="1:26" x14ac:dyDescent="0.35">
      <c r="B64" s="66">
        <f ca="1">IFERROR(INDIRECT(CONCATENATE("Track1!B",A58+7)),"")</f>
        <v>6</v>
      </c>
      <c r="C64" s="66">
        <f ca="1">IFERROR(INDIRECT(CONCATENATE("Track1!C",A58+7)),"")</f>
        <v>0</v>
      </c>
      <c r="D64" s="89" t="str">
        <f ca="1">IFERROR(INDIRECT(CONCATENATE("Track1!D",A58+7)),"")</f>
        <v/>
      </c>
      <c r="E64" s="89" t="str">
        <f ca="1">IFERROR(INDIRECT(CONCATENATE("Track1!E",A58+7)),"")</f>
        <v/>
      </c>
      <c r="F64" s="109">
        <f ca="1">IFERROR(INDIRECT(CONCATENATE("Track1!T",A58+7)),"")</f>
        <v>0</v>
      </c>
      <c r="G64" s="121" t="str">
        <f ca="1">IFERROR(INDIRECT(CONCATENATE("Track1!G",A58+7)),"")</f>
        <v/>
      </c>
      <c r="H64" s="66"/>
      <c r="I64" s="66">
        <f ca="1">IFERROR(INDIRECT(CONCATENATE("Track1!I",A58+7)),"")</f>
        <v>6</v>
      </c>
      <c r="J64" s="66">
        <f ca="1">IFERROR(INDIRECT(CONCATENATE("Track1!J",A58+7)),"")</f>
        <v>0</v>
      </c>
      <c r="K64" s="89" t="str">
        <f ca="1">IFERROR(INDIRECT(CONCATENATE("Track1!K",A58+7)),"")</f>
        <v/>
      </c>
      <c r="L64" s="89" t="str">
        <f ca="1">IFERROR(INDIRECT(CONCATENATE("Track1!L",A58+7)),"")</f>
        <v/>
      </c>
      <c r="M64" s="109">
        <f ca="1">IFERROR(INDIRECT(CONCATENATE("Track1!U",A58+7)),"")</f>
        <v>0</v>
      </c>
      <c r="N64" s="121" t="str">
        <f ca="1">IFERROR(INDIRECT(CONCATENATE("Track1!N",A58+7)),"")</f>
        <v/>
      </c>
      <c r="T64" s="64" t="str">
        <f t="shared" ca="1" si="0"/>
        <v/>
      </c>
      <c r="U64" s="64" t="str">
        <f t="shared" ca="1" si="1"/>
        <v/>
      </c>
      <c r="V64" s="422" t="str">
        <f ca="1">IF(OR(D64=0,D64="",D64="Athlete"),"",COUNTIF($D$4:$D64,D64))</f>
        <v/>
      </c>
      <c r="W64" s="422" t="str">
        <f t="shared" ca="1" si="2"/>
        <v/>
      </c>
      <c r="Z64" s="422" t="str">
        <f t="shared" ca="1" si="3"/>
        <v/>
      </c>
    </row>
    <row r="65" spans="1:26" x14ac:dyDescent="0.35">
      <c r="B65" s="66">
        <f ca="1">IFERROR(INDIRECT(CONCATENATE("Track1!B",A58+8)),"")</f>
        <v>7</v>
      </c>
      <c r="C65" s="66">
        <f ca="1">IFERROR(INDIRECT(CONCATENATE("Track1!C",A58+8)),"")</f>
        <v>0</v>
      </c>
      <c r="D65" s="89" t="str">
        <f ca="1">IFERROR(INDIRECT(CONCATENATE("Track1!D",A58+8)),"")</f>
        <v/>
      </c>
      <c r="E65" s="89" t="str">
        <f ca="1">IFERROR(INDIRECT(CONCATENATE("Track1!E",A58+8)),"")</f>
        <v/>
      </c>
      <c r="F65" s="109">
        <f ca="1">IFERROR(INDIRECT(CONCATENATE("Track1!T",A58+8)),"")</f>
        <v>0</v>
      </c>
      <c r="G65" s="121" t="str">
        <f ca="1">IFERROR(INDIRECT(CONCATENATE("Track1!G",A58+8)),"")</f>
        <v/>
      </c>
      <c r="H65" s="66"/>
      <c r="I65" s="66">
        <f ca="1">IFERROR(INDIRECT(CONCATENATE("Track1!I",A58+8)),"")</f>
        <v>7</v>
      </c>
      <c r="J65" s="66">
        <f ca="1">IFERROR(INDIRECT(CONCATENATE("Track1!J",A58+8)),"")</f>
        <v>0</v>
      </c>
      <c r="K65" s="89" t="str">
        <f ca="1">IFERROR(INDIRECT(CONCATENATE("Track1!K",A58+8)),"")</f>
        <v/>
      </c>
      <c r="L65" s="89" t="str">
        <f ca="1">IFERROR(INDIRECT(CONCATENATE("Track1!L",A58+8)),"")</f>
        <v/>
      </c>
      <c r="M65" s="109">
        <f ca="1">IFERROR(INDIRECT(CONCATENATE("Track1!U",A58+8)),"")</f>
        <v>0</v>
      </c>
      <c r="N65" s="121" t="str">
        <f ca="1">IFERROR(INDIRECT(CONCATENATE("Track1!N",A58+8)),"")</f>
        <v/>
      </c>
      <c r="T65" s="64" t="str">
        <f t="shared" ca="1" si="0"/>
        <v/>
      </c>
      <c r="U65" s="64" t="str">
        <f t="shared" ca="1" si="1"/>
        <v/>
      </c>
      <c r="V65" s="422" t="str">
        <f ca="1">IF(OR(D65=0,D65="",D65="Athlete"),"",COUNTIF($D$4:$D65,D65))</f>
        <v/>
      </c>
      <c r="W65" s="422" t="str">
        <f t="shared" ca="1" si="2"/>
        <v/>
      </c>
      <c r="Z65" s="422" t="str">
        <f t="shared" ca="1" si="3"/>
        <v/>
      </c>
    </row>
    <row r="66" spans="1:26" x14ac:dyDescent="0.35">
      <c r="B66" s="66">
        <f ca="1">IFERROR(INDIRECT(CONCATENATE("Track1!B",A58+9)),"")</f>
        <v>8</v>
      </c>
      <c r="C66" s="66">
        <f ca="1">IFERROR(INDIRECT(CONCATENATE("Track1!C",A58+9)),"")</f>
        <v>0</v>
      </c>
      <c r="D66" s="89" t="str">
        <f ca="1">IFERROR(INDIRECT(CONCATENATE("Track1!D",A58+9)),"")</f>
        <v/>
      </c>
      <c r="E66" s="89" t="str">
        <f ca="1">IFERROR(INDIRECT(CONCATENATE("Track1!E",A58+9)),"")</f>
        <v/>
      </c>
      <c r="F66" s="109">
        <f ca="1">IFERROR(INDIRECT(CONCATENATE("Track1!T",A58+9)),"")</f>
        <v>0</v>
      </c>
      <c r="G66" s="121" t="str">
        <f ca="1">IFERROR(INDIRECT(CONCATENATE("Track1!G",A58+9)),"")</f>
        <v/>
      </c>
      <c r="H66" s="66"/>
      <c r="I66" s="66">
        <f ca="1">IFERROR(INDIRECT(CONCATENATE("Track1!I",A58+9)),"")</f>
        <v>8</v>
      </c>
      <c r="J66" s="66">
        <f ca="1">IFERROR(INDIRECT(CONCATENATE("Track1!J",A58+9)),"")</f>
        <v>0</v>
      </c>
      <c r="K66" s="89" t="str">
        <f ca="1">IFERROR(INDIRECT(CONCATENATE("Track1!K",A58+9)),"")</f>
        <v/>
      </c>
      <c r="L66" s="89" t="str">
        <f ca="1">IFERROR(INDIRECT(CONCATENATE("Track1!L",A58+9)),"")</f>
        <v/>
      </c>
      <c r="M66" s="109">
        <f ca="1">IFERROR(INDIRECT(CONCATENATE("Track1!U",A58+9)),"")</f>
        <v>0</v>
      </c>
      <c r="N66" s="121" t="str">
        <f ca="1">IFERROR(INDIRECT(CONCATENATE("Track1!N",A58+9)),"")</f>
        <v/>
      </c>
      <c r="T66" s="64" t="str">
        <f t="shared" ca="1" si="0"/>
        <v/>
      </c>
      <c r="U66" s="64" t="str">
        <f t="shared" ca="1" si="1"/>
        <v/>
      </c>
      <c r="V66" s="422" t="str">
        <f ca="1">IF(OR(D66=0,D66="",D66="Athlete"),"",COUNTIF($D$4:$D66,D66))</f>
        <v/>
      </c>
      <c r="W66" s="422" t="str">
        <f t="shared" ca="1" si="2"/>
        <v/>
      </c>
      <c r="Z66" s="422" t="str">
        <f t="shared" ca="1" si="3"/>
        <v/>
      </c>
    </row>
    <row r="67" spans="1:26" x14ac:dyDescent="0.35">
      <c r="T67" s="64" t="str">
        <f t="shared" si="0"/>
        <v/>
      </c>
      <c r="U67" s="64" t="str">
        <f t="shared" si="1"/>
        <v/>
      </c>
      <c r="V67" s="422" t="str">
        <f>IF(OR(D67=0,D67="",D67="Athlete"),"",COUNTIF($D$4:$D67,D67))</f>
        <v/>
      </c>
      <c r="W67" s="422" t="str">
        <f t="shared" si="2"/>
        <v/>
      </c>
      <c r="Z67" s="422" t="str">
        <f t="shared" si="3"/>
        <v/>
      </c>
    </row>
    <row r="68" spans="1:26" x14ac:dyDescent="0.35">
      <c r="A68" s="66" t="s">
        <v>311</v>
      </c>
      <c r="B68" s="115" t="str">
        <f ca="1">IFERROR(INDIRECT(CONCATENATE("Track2!B",A69)),"")</f>
        <v>1500m U15 Girls A</v>
      </c>
      <c r="G68" s="121">
        <f ca="1">IFERROR(INDIRECT(CONCATENATE("Track2!g",A69)),"")</f>
        <v>0</v>
      </c>
      <c r="I68" s="115" t="str">
        <f ca="1">IFERROR(INDIRECT(CONCATENATE("Track2!I",A69)),"")</f>
        <v>1500m U15 Girls B</v>
      </c>
      <c r="T68" s="64" t="str">
        <f t="shared" si="0"/>
        <v/>
      </c>
      <c r="U68" s="64" t="str">
        <f t="shared" si="1"/>
        <v/>
      </c>
      <c r="V68" s="422" t="str">
        <f>IF(OR(D68=0,D68="",D68="Athlete"),"",COUNTIF($D$4:$D68,D68))</f>
        <v/>
      </c>
      <c r="W68" s="422" t="str">
        <f t="shared" si="2"/>
        <v/>
      </c>
      <c r="Z68" s="422" t="str">
        <f t="shared" ca="1" si="3"/>
        <v/>
      </c>
    </row>
    <row r="69" spans="1:26" x14ac:dyDescent="0.35">
      <c r="A69" s="66">
        <f>IFERROR(MATCH(A68,Track2!A:A,0),"")</f>
        <v>24</v>
      </c>
      <c r="B69" s="45" t="str">
        <f ca="1">IFERROR(INDIRECT(CONCATENATE("Track2!B",A69+1)),"")</f>
        <v>Posn</v>
      </c>
      <c r="C69" s="45" t="str">
        <f ca="1">IFERROR(INDIRECT(CONCATENATE("Track2!C",A69+1)),"")</f>
        <v>No.</v>
      </c>
      <c r="D69" s="182" t="str">
        <f ca="1">IFERROR(INDIRECT(CONCATENATE("Track2!D",A69+1)),"")</f>
        <v>Athlete</v>
      </c>
      <c r="E69" s="182" t="str">
        <f ca="1">IFERROR(INDIRECT(CONCATENATE("Track2!E",A69+1)),"")</f>
        <v>Club</v>
      </c>
      <c r="F69" s="149" t="str">
        <f ca="1">IFERROR(INDIRECT(CONCATENATE("Track2!F",A69+1)),"")</f>
        <v>Perf</v>
      </c>
      <c r="G69" s="218" t="str">
        <f ca="1">IFERROR(INDIRECT(CONCATENATE("Track2!G",A69+1)),"")</f>
        <v>AAA</v>
      </c>
      <c r="H69" s="45"/>
      <c r="I69" s="45" t="str">
        <f ca="1">IFERROR(INDIRECT(CONCATENATE("Track2!I",A69+1)),"")</f>
        <v>Posn</v>
      </c>
      <c r="J69" s="45" t="str">
        <f ca="1">IFERROR(INDIRECT(CONCATENATE("Track2!J",A69+1)),"")</f>
        <v>No.</v>
      </c>
      <c r="K69" s="182" t="str">
        <f ca="1">IFERROR(INDIRECT(CONCATENATE("Track2!K",A69+1)),"")</f>
        <v>Athlete</v>
      </c>
      <c r="L69" s="182" t="str">
        <f ca="1">IFERROR(INDIRECT(CONCATENATE("Track2!L",A69+1)),"")</f>
        <v>Club</v>
      </c>
      <c r="M69" s="149" t="str">
        <f ca="1">IFERROR(INDIRECT(CONCATENATE("Track2!M",A69+1)),"")</f>
        <v>Perf</v>
      </c>
      <c r="N69" s="218" t="str">
        <f ca="1">IFERROR(INDIRECT(CONCATENATE("Track2!N",A69+1)),"")</f>
        <v>AAA</v>
      </c>
      <c r="T69" s="64" t="str">
        <f t="shared" ref="T69:T132" ca="1" si="4">IF(OR(D69=0,D69="",D69="Athlete"),"",COUNTIF($D$4:$D$352,D69))</f>
        <v/>
      </c>
      <c r="U69" s="64" t="str">
        <f t="shared" ref="U69:U132" ca="1" si="5">IF(OR(K69=0,K69="",K69="Athlete"),"",COUNTIF($D$4:$D$352,K69))</f>
        <v/>
      </c>
      <c r="V69" s="422" t="str">
        <f ca="1">IF(OR(D69=0,D69="",D69="Athlete"),"",COUNTIF($D$4:$D69,D69))</f>
        <v/>
      </c>
      <c r="W69" s="422" t="str">
        <f t="shared" ref="W69:W132" ca="1" si="6">IF(OR(D69=0,D69="",D69="Athlete"),"",E69)</f>
        <v/>
      </c>
      <c r="Z69" s="422">
        <f t="shared" ref="Z69:Z132" ca="1" si="7">IF(OR(G69=0,G69="",G69="Athlete"),"",H69)</f>
        <v>0</v>
      </c>
    </row>
    <row r="70" spans="1:26" x14ac:dyDescent="0.35">
      <c r="B70" s="66">
        <f ca="1">IFERROR(INDIRECT(CONCATENATE("Track2!B",A69+2)),"")</f>
        <v>1</v>
      </c>
      <c r="C70" s="66">
        <f ca="1">IFERROR(INDIRECT(CONCATENATE("Track2!C",A69+2)),"")</f>
        <v>44</v>
      </c>
      <c r="D70" s="89" t="str">
        <f ca="1">IFERROR(INDIRECT(CONCATENATE("Track2!D",A69+2)),"")</f>
        <v>HILL Zoe</v>
      </c>
      <c r="E70" s="89" t="str">
        <f ca="1">IFERROR(INDIRECT(CONCATENATE("Track2!E",A69+2)),"")</f>
        <v>M'bro</v>
      </c>
      <c r="F70" s="109">
        <f ca="1">IFERROR(INDIRECT(CONCATENATE("Track2!F",A69+2)),"")</f>
        <v>3.6550925925925926E-3</v>
      </c>
      <c r="G70" s="121" t="str">
        <f ca="1">IFERROR(INDIRECT(CONCATENATE("Track2!G",A69+2)),"")</f>
        <v/>
      </c>
      <c r="H70" s="66"/>
      <c r="I70" s="66">
        <f ca="1">IFERROR(INDIRECT(CONCATENATE("Track2!I",A69+2)),"")</f>
        <v>1</v>
      </c>
      <c r="J70" s="66">
        <f ca="1">IFERROR(INDIRECT(CONCATENATE("Track2!J",A69+2)),"")</f>
        <v>4</v>
      </c>
      <c r="K70" s="89" t="str">
        <f ca="1">IFERROR(INDIRECT(CONCATENATE("Track2!K",A69+2)),"")</f>
        <v>MCNEILL Emma</v>
      </c>
      <c r="L70" s="89" t="str">
        <f ca="1">IFERROR(INDIRECT(CONCATENATE("Track2!L",A69+2)),"")</f>
        <v>M'bro</v>
      </c>
      <c r="M70" s="109">
        <f ca="1">IFERROR(INDIRECT(CONCATENATE("Track2!M",A69+2)),"")</f>
        <v>3.7650462962962963E-3</v>
      </c>
      <c r="N70" s="121" t="str">
        <f ca="1">IFERROR(INDIRECT(CONCATENATE("Track2!N",A69+2)),"")</f>
        <v/>
      </c>
      <c r="R70" s="219">
        <f ca="1">IFERROR(INDIRECT(CONCATENATE("Track2!r",A69+2)),"")</f>
        <v>1</v>
      </c>
      <c r="T70" s="64">
        <f t="shared" ca="1" si="4"/>
        <v>1</v>
      </c>
      <c r="U70" s="64">
        <f t="shared" ca="1" si="5"/>
        <v>1</v>
      </c>
      <c r="V70" s="422">
        <f ca="1">IF(OR(D70=0,D70="",D70="Athlete"),"",COUNTIF($D$4:$D70,D70))</f>
        <v>1</v>
      </c>
      <c r="W70" s="422" t="str">
        <f t="shared" ca="1" si="6"/>
        <v>M'bro</v>
      </c>
      <c r="Z70" s="422" t="str">
        <f t="shared" ca="1" si="7"/>
        <v/>
      </c>
    </row>
    <row r="71" spans="1:26" x14ac:dyDescent="0.35">
      <c r="B71" s="66">
        <f ca="1">IFERROR(INDIRECT(CONCATENATE("Track2!B",A69+3)),"")</f>
        <v>2</v>
      </c>
      <c r="C71" s="66">
        <f ca="1">IFERROR(INDIRECT(CONCATENATE("Track2!C",A69+3)),"")</f>
        <v>3</v>
      </c>
      <c r="D71" s="89" t="str">
        <f ca="1">IFERROR(INDIRECT(CONCATENATE("Track2!D",A69+3)),"")</f>
        <v>GASKIN Lucy</v>
      </c>
      <c r="E71" s="89" t="str">
        <f ca="1">IFERROR(INDIRECT(CONCATENATE("Track2!E",A69+3)),"")</f>
        <v>York</v>
      </c>
      <c r="F71" s="109">
        <f ca="1">IFERROR(INDIRECT(CONCATENATE("Track2!F",A69+3)),"")</f>
        <v>3.914351851851852E-3</v>
      </c>
      <c r="G71" s="121" t="str">
        <f ca="1">IFERROR(INDIRECT(CONCATENATE("Track2!G",A69+3)),"")</f>
        <v/>
      </c>
      <c r="H71" s="66"/>
      <c r="I71" s="66">
        <f ca="1">IFERROR(INDIRECT(CONCATENATE("Track2!I",A69+3)),"")</f>
        <v>2</v>
      </c>
      <c r="J71" s="66">
        <f ca="1">IFERROR(INDIRECT(CONCATENATE("Track2!J",A69+3)),"")</f>
        <v>55</v>
      </c>
      <c r="K71" s="89" t="str">
        <f ca="1">IFERROR(INDIRECT(CONCATENATE("Track2!K",A69+3)),"")</f>
        <v>WHITTAKER Millie</v>
      </c>
      <c r="L71" s="89" t="str">
        <f ca="1">IFERROR(INDIRECT(CONCATENATE("Track2!L",A69+3)),"")</f>
        <v>Scun</v>
      </c>
      <c r="M71" s="109">
        <f ca="1">IFERROR(INDIRECT(CONCATENATE("Track2!M",A69+3)),"")</f>
        <v>4.1226851851851858E-3</v>
      </c>
      <c r="N71" s="121" t="str">
        <f ca="1">IFERROR(INDIRECT(CONCATENATE("Track2!N",A69+3)),"")</f>
        <v/>
      </c>
      <c r="T71" s="64">
        <f t="shared" ca="1" si="4"/>
        <v>1</v>
      </c>
      <c r="U71" s="64">
        <f t="shared" ca="1" si="5"/>
        <v>2</v>
      </c>
      <c r="V71" s="422">
        <f ca="1">IF(OR(D71=0,D71="",D71="Athlete"),"",COUNTIF($D$4:$D71,D71))</f>
        <v>1</v>
      </c>
      <c r="W71" s="422" t="str">
        <f t="shared" ca="1" si="6"/>
        <v>York</v>
      </c>
      <c r="Z71" s="422" t="str">
        <f t="shared" ca="1" si="7"/>
        <v/>
      </c>
    </row>
    <row r="72" spans="1:26" x14ac:dyDescent="0.35">
      <c r="B72" s="66">
        <f ca="1">IFERROR(INDIRECT(CONCATENATE("Track2!B",A69+4)),"")</f>
        <v>3</v>
      </c>
      <c r="C72" s="66">
        <f ca="1">IFERROR(INDIRECT(CONCATENATE("Track2!C",A69+4)),"")</f>
        <v>5</v>
      </c>
      <c r="D72" s="89" t="str">
        <f ca="1">IFERROR(INDIRECT(CONCATENATE("Track2!D",A69+4)),"")</f>
        <v>VICKERS Cerys</v>
      </c>
      <c r="E72" s="89" t="str">
        <f ca="1">IFERROR(INDIRECT(CONCATENATE("Track2!E",A69+4)),"")</f>
        <v>Scun</v>
      </c>
      <c r="F72" s="109">
        <f ca="1">IFERROR(INDIRECT(CONCATENATE("Track2!F",A69+4)),"")</f>
        <v>4.1203703703703697E-3</v>
      </c>
      <c r="G72" s="121" t="str">
        <f ca="1">IFERROR(INDIRECT(CONCATENATE("Track2!G",A69+4)),"")</f>
        <v/>
      </c>
      <c r="H72" s="66"/>
      <c r="I72" s="66">
        <f ca="1">IFERROR(INDIRECT(CONCATENATE("Track2!I",A69+4)),"")</f>
        <v>3</v>
      </c>
      <c r="J72" s="66">
        <f ca="1">IFERROR(INDIRECT(CONCATENATE("Track2!J",A69+4)),"")</f>
        <v>33</v>
      </c>
      <c r="K72" s="89" t="str">
        <f ca="1">IFERROR(INDIRECT(CONCATENATE("Track2!K",A69+4)),"")</f>
        <v>COURTNEY Libby</v>
      </c>
      <c r="L72" s="89" t="str">
        <f ca="1">IFERROR(INDIRECT(CONCATENATE("Track2!L",A69+4)),"")</f>
        <v>York</v>
      </c>
      <c r="M72" s="109">
        <f ca="1">IFERROR(INDIRECT(CONCATENATE("Track2!M",A69+4)),"")</f>
        <v>4.293981481481482E-3</v>
      </c>
      <c r="N72" s="121" t="str">
        <f ca="1">IFERROR(INDIRECT(CONCATENATE("Track2!N",A69+4)),"")</f>
        <v/>
      </c>
      <c r="T72" s="64">
        <f t="shared" ca="1" si="4"/>
        <v>2</v>
      </c>
      <c r="U72" s="64">
        <f t="shared" ca="1" si="5"/>
        <v>2</v>
      </c>
      <c r="V72" s="422">
        <f ca="1">IF(OR(D72=0,D72="",D72="Athlete"),"",COUNTIF($D$4:$D72,D72))</f>
        <v>1</v>
      </c>
      <c r="W72" s="422" t="str">
        <f t="shared" ca="1" si="6"/>
        <v>Scun</v>
      </c>
      <c r="Z72" s="422" t="str">
        <f t="shared" ca="1" si="7"/>
        <v/>
      </c>
    </row>
    <row r="73" spans="1:26" x14ac:dyDescent="0.35">
      <c r="B73" s="66">
        <f ca="1">IFERROR(INDIRECT(CONCATENATE("Track2!B",A69+5)),"")</f>
        <v>4</v>
      </c>
      <c r="C73" s="66">
        <f ca="1">IFERROR(INDIRECT(CONCATENATE("Track2!C",A69+5)),"")</f>
        <v>1</v>
      </c>
      <c r="D73" s="89" t="str">
        <f ca="1">IFERROR(INDIRECT(CONCATENATE("Track2!D",A69+5)),"")</f>
        <v>KIRKWOOD Eva</v>
      </c>
      <c r="E73" s="89" t="str">
        <f ca="1">IFERROR(INDIRECT(CONCATENATE("Track2!E",A69+5)),"")</f>
        <v>C'field</v>
      </c>
      <c r="F73" s="109">
        <f ca="1">IFERROR(INDIRECT(CONCATENATE("Track2!F",A69+5)),"")</f>
        <v>4.2800925925925931E-3</v>
      </c>
      <c r="G73" s="121" t="str">
        <f ca="1">IFERROR(INDIRECT(CONCATENATE("Track2!G",A69+5)),"")</f>
        <v/>
      </c>
      <c r="H73" s="66"/>
      <c r="I73" s="66">
        <f ca="1">IFERROR(INDIRECT(CONCATENATE("Track2!I",A69+5)),"")</f>
        <v>4</v>
      </c>
      <c r="J73" s="66" t="str">
        <f ca="1">IFERROR(INDIRECT(CONCATENATE("Track2!J",A69+5)),"")</f>
        <v/>
      </c>
      <c r="K73" s="89" t="str">
        <f ca="1">IFERROR(INDIRECT(CONCATENATE("Track2!K",A69+5)),"")</f>
        <v/>
      </c>
      <c r="L73" s="89" t="str">
        <f ca="1">IFERROR(INDIRECT(CONCATENATE("Track2!L",A69+5)),"")</f>
        <v/>
      </c>
      <c r="M73" s="109" t="str">
        <f ca="1">IFERROR(INDIRECT(CONCATENATE("Track2!M",A69+5)),"")</f>
        <v/>
      </c>
      <c r="N73" s="121" t="str">
        <f ca="1">IFERROR(INDIRECT(CONCATENATE("Track2!N",A69+5)),"")</f>
        <v/>
      </c>
      <c r="T73" s="64">
        <f t="shared" ca="1" si="4"/>
        <v>2</v>
      </c>
      <c r="U73" s="64" t="str">
        <f t="shared" ca="1" si="5"/>
        <v/>
      </c>
      <c r="V73" s="422">
        <f ca="1">IF(OR(D73=0,D73="",D73="Athlete"),"",COUNTIF($D$4:$D73,D73))</f>
        <v>1</v>
      </c>
      <c r="W73" s="422" t="str">
        <f t="shared" ca="1" si="6"/>
        <v>C'field</v>
      </c>
      <c r="Z73" s="422" t="str">
        <f t="shared" ca="1" si="7"/>
        <v/>
      </c>
    </row>
    <row r="74" spans="1:26" x14ac:dyDescent="0.35">
      <c r="B74" s="66">
        <f ca="1">IFERROR(INDIRECT(CONCATENATE("Track2!B",A69+6)),"")</f>
        <v>5</v>
      </c>
      <c r="C74" s="66" t="str">
        <f ca="1">IFERROR(INDIRECT(CONCATENATE("Track2!C",A69+6)),"")</f>
        <v/>
      </c>
      <c r="D74" s="89" t="str">
        <f ca="1">IFERROR(INDIRECT(CONCATENATE("Track2!D",A69+6)),"")</f>
        <v/>
      </c>
      <c r="E74" s="89" t="str">
        <f ca="1">IFERROR(INDIRECT(CONCATENATE("Track2!E",A69+6)),"")</f>
        <v/>
      </c>
      <c r="F74" s="109" t="str">
        <f ca="1">IFERROR(INDIRECT(CONCATENATE("Track2!F",A69+6)),"")</f>
        <v/>
      </c>
      <c r="G74" s="121" t="str">
        <f ca="1">IFERROR(INDIRECT(CONCATENATE("Track2!G",A69+6)),"")</f>
        <v/>
      </c>
      <c r="H74" s="66"/>
      <c r="I74" s="66">
        <f ca="1">IFERROR(INDIRECT(CONCATENATE("Track2!I",A69+6)),"")</f>
        <v>5</v>
      </c>
      <c r="J74" s="66" t="str">
        <f ca="1">IFERROR(INDIRECT(CONCATENATE("Track2!J",A69+6)),"")</f>
        <v/>
      </c>
      <c r="K74" s="89" t="str">
        <f ca="1">IFERROR(INDIRECT(CONCATENATE("Track2!K",A69+6)),"")</f>
        <v/>
      </c>
      <c r="L74" s="89" t="str">
        <f ca="1">IFERROR(INDIRECT(CONCATENATE("Track2!L",A69+6)),"")</f>
        <v/>
      </c>
      <c r="M74" s="109" t="str">
        <f ca="1">IFERROR(INDIRECT(CONCATENATE("Track2!M",A69+6)),"")</f>
        <v/>
      </c>
      <c r="N74" s="121" t="str">
        <f ca="1">IFERROR(INDIRECT(CONCATENATE("Track2!N",A69+6)),"")</f>
        <v/>
      </c>
      <c r="T74" s="64" t="str">
        <f t="shared" ca="1" si="4"/>
        <v/>
      </c>
      <c r="U74" s="64" t="str">
        <f t="shared" ca="1" si="5"/>
        <v/>
      </c>
      <c r="V74" s="422" t="str">
        <f ca="1">IF(OR(D74=0,D74="",D74="Athlete"),"",COUNTIF($D$4:$D74,D74))</f>
        <v/>
      </c>
      <c r="W74" s="422" t="str">
        <f t="shared" ca="1" si="6"/>
        <v/>
      </c>
      <c r="Z74" s="422" t="str">
        <f t="shared" ca="1" si="7"/>
        <v/>
      </c>
    </row>
    <row r="75" spans="1:26" x14ac:dyDescent="0.35">
      <c r="B75" s="66">
        <f ca="1">IFERROR(INDIRECT(CONCATENATE("Track2!B",A69+7)),"")</f>
        <v>6</v>
      </c>
      <c r="C75" s="66" t="str">
        <f ca="1">IFERROR(INDIRECT(CONCATENATE("Track2!C",A69+7)),"")</f>
        <v/>
      </c>
      <c r="D75" s="89" t="str">
        <f ca="1">IFERROR(INDIRECT(CONCATENATE("Track2!D",A69+7)),"")</f>
        <v/>
      </c>
      <c r="E75" s="89" t="str">
        <f ca="1">IFERROR(INDIRECT(CONCATENATE("Track2!E",A69+7)),"")</f>
        <v/>
      </c>
      <c r="F75" s="109" t="str">
        <f ca="1">IFERROR(INDIRECT(CONCATENATE("Track2!F",A69+7)),"")</f>
        <v/>
      </c>
      <c r="G75" s="121" t="str">
        <f ca="1">IFERROR(INDIRECT(CONCATENATE("Track2!G",A69+7)),"")</f>
        <v/>
      </c>
      <c r="H75" s="66"/>
      <c r="I75" s="66">
        <f ca="1">IFERROR(INDIRECT(CONCATENATE("Track2!I",A69+7)),"")</f>
        <v>6</v>
      </c>
      <c r="J75" s="66" t="str">
        <f ca="1">IFERROR(INDIRECT(CONCATENATE("Track2!J",A69+7)),"")</f>
        <v/>
      </c>
      <c r="K75" s="89" t="str">
        <f ca="1">IFERROR(INDIRECT(CONCATENATE("Track2!K",A69+7)),"")</f>
        <v/>
      </c>
      <c r="L75" s="89" t="str">
        <f ca="1">IFERROR(INDIRECT(CONCATENATE("Track2!L",A69+7)),"")</f>
        <v/>
      </c>
      <c r="M75" s="109" t="str">
        <f ca="1">IFERROR(INDIRECT(CONCATENATE("Track2!M",A69+7)),"")</f>
        <v/>
      </c>
      <c r="N75" s="121" t="str">
        <f ca="1">IFERROR(INDIRECT(CONCATENATE("Track2!N",A69+7)),"")</f>
        <v/>
      </c>
      <c r="T75" s="64" t="str">
        <f t="shared" ca="1" si="4"/>
        <v/>
      </c>
      <c r="U75" s="64" t="str">
        <f t="shared" ca="1" si="5"/>
        <v/>
      </c>
      <c r="V75" s="422" t="str">
        <f ca="1">IF(OR(D75=0,D75="",D75="Athlete"),"",COUNTIF($D$4:$D75,D75))</f>
        <v/>
      </c>
      <c r="W75" s="422" t="str">
        <f t="shared" ca="1" si="6"/>
        <v/>
      </c>
      <c r="Z75" s="422" t="str">
        <f t="shared" ca="1" si="7"/>
        <v/>
      </c>
    </row>
    <row r="76" spans="1:26" x14ac:dyDescent="0.35">
      <c r="B76" s="66">
        <f ca="1">IFERROR(INDIRECT(CONCATENATE("Track2!B",A69+8)),"")</f>
        <v>7</v>
      </c>
      <c r="C76" s="66" t="str">
        <f ca="1">IFERROR(INDIRECT(CONCATENATE("Track2!C",A69+8)),"")</f>
        <v/>
      </c>
      <c r="D76" s="89" t="str">
        <f ca="1">IFERROR(INDIRECT(CONCATENATE("Track2!D",A69+8)),"")</f>
        <v/>
      </c>
      <c r="E76" s="89" t="str">
        <f ca="1">IFERROR(INDIRECT(CONCATENATE("Track2!E",A69+8)),"")</f>
        <v/>
      </c>
      <c r="F76" s="109" t="str">
        <f ca="1">IFERROR(INDIRECT(CONCATENATE("Track2!F",A69+8)),"")</f>
        <v/>
      </c>
      <c r="G76" s="121" t="str">
        <f ca="1">IFERROR(INDIRECT(CONCATENATE("Track2!G",A69+8)),"")</f>
        <v/>
      </c>
      <c r="H76" s="66"/>
      <c r="I76" s="66">
        <f ca="1">IFERROR(INDIRECT(CONCATENATE("Track2!I",A69+8)),"")</f>
        <v>7</v>
      </c>
      <c r="J76" s="66" t="str">
        <f ca="1">IFERROR(INDIRECT(CONCATENATE("Track2!J",A69+8)),"")</f>
        <v/>
      </c>
      <c r="K76" s="89" t="str">
        <f ca="1">IFERROR(INDIRECT(CONCATENATE("Track2!K",A69+8)),"")</f>
        <v/>
      </c>
      <c r="L76" s="89" t="str">
        <f ca="1">IFERROR(INDIRECT(CONCATENATE("Track2!L",A69+8)),"")</f>
        <v/>
      </c>
      <c r="M76" s="109" t="str">
        <f ca="1">IFERROR(INDIRECT(CONCATENATE("Track2!M",A69+8)),"")</f>
        <v/>
      </c>
      <c r="N76" s="121" t="str">
        <f ca="1">IFERROR(INDIRECT(CONCATENATE("Track2!N",A69+8)),"")</f>
        <v/>
      </c>
      <c r="T76" s="64" t="str">
        <f t="shared" ca="1" si="4"/>
        <v/>
      </c>
      <c r="U76" s="64" t="str">
        <f t="shared" ca="1" si="5"/>
        <v/>
      </c>
      <c r="V76" s="422" t="str">
        <f ca="1">IF(OR(D76=0,D76="",D76="Athlete"),"",COUNTIF($D$4:$D76,D76))</f>
        <v/>
      </c>
      <c r="W76" s="422" t="str">
        <f t="shared" ca="1" si="6"/>
        <v/>
      </c>
      <c r="Z76" s="422" t="str">
        <f t="shared" ca="1" si="7"/>
        <v/>
      </c>
    </row>
    <row r="77" spans="1:26" x14ac:dyDescent="0.35">
      <c r="B77" s="66">
        <f ca="1">IFERROR(INDIRECT(CONCATENATE("Track2!B",A69+9)),"")</f>
        <v>8</v>
      </c>
      <c r="C77" s="66" t="str">
        <f ca="1">IFERROR(INDIRECT(CONCATENATE("Track2!C",A69+9)),"")</f>
        <v/>
      </c>
      <c r="D77" s="89" t="str">
        <f ca="1">IFERROR(INDIRECT(CONCATENATE("Track2!D",A69+9)),"")</f>
        <v/>
      </c>
      <c r="E77" s="89" t="str">
        <f ca="1">IFERROR(INDIRECT(CONCATENATE("Track2!E",A69+9)),"")</f>
        <v/>
      </c>
      <c r="F77" s="109" t="str">
        <f ca="1">IFERROR(INDIRECT(CONCATENATE("Track2!F",A69+9)),"")</f>
        <v/>
      </c>
      <c r="G77" s="121" t="str">
        <f ca="1">IFERROR(INDIRECT(CONCATENATE("Track2!G",A69+9)),"")</f>
        <v/>
      </c>
      <c r="H77" s="66"/>
      <c r="I77" s="66">
        <f ca="1">IFERROR(INDIRECT(CONCATENATE("Track2!I",A69+9)),"")</f>
        <v>8</v>
      </c>
      <c r="J77" s="66" t="str">
        <f ca="1">IFERROR(INDIRECT(CONCATENATE("Track2!J",A69+9)),"")</f>
        <v/>
      </c>
      <c r="K77" s="89" t="str">
        <f ca="1">IFERROR(INDIRECT(CONCATENATE("Track2!K",A69+9)),"")</f>
        <v/>
      </c>
      <c r="L77" s="89" t="str">
        <f ca="1">IFERROR(INDIRECT(CONCATENATE("Track2!L",A69+9)),"")</f>
        <v/>
      </c>
      <c r="M77" s="109" t="str">
        <f ca="1">IFERROR(INDIRECT(CONCATENATE("Track2!M",A69+9)),"")</f>
        <v/>
      </c>
      <c r="N77" s="121" t="str">
        <f ca="1">IFERROR(INDIRECT(CONCATENATE("Track2!N",A69+9)),"")</f>
        <v/>
      </c>
      <c r="T77" s="64" t="str">
        <f t="shared" ca="1" si="4"/>
        <v/>
      </c>
      <c r="U77" s="64" t="str">
        <f t="shared" ca="1" si="5"/>
        <v/>
      </c>
      <c r="V77" s="422" t="str">
        <f ca="1">IF(OR(D77=0,D77="",D77="Athlete"),"",COUNTIF($D$4:$D77,D77))</f>
        <v/>
      </c>
      <c r="W77" s="422" t="str">
        <f t="shared" ca="1" si="6"/>
        <v/>
      </c>
      <c r="Z77" s="422" t="str">
        <f t="shared" ca="1" si="7"/>
        <v/>
      </c>
    </row>
    <row r="78" spans="1:26" x14ac:dyDescent="0.35">
      <c r="T78" s="64" t="str">
        <f t="shared" si="4"/>
        <v/>
      </c>
      <c r="U78" s="64" t="str">
        <f t="shared" si="5"/>
        <v/>
      </c>
      <c r="V78" s="422" t="str">
        <f>IF(OR(D78=0,D78="",D78="Athlete"),"",COUNTIF($D$4:$D78,D78))</f>
        <v/>
      </c>
      <c r="W78" s="422" t="str">
        <f t="shared" si="6"/>
        <v/>
      </c>
      <c r="Z78" s="422" t="str">
        <f t="shared" si="7"/>
        <v/>
      </c>
    </row>
    <row r="79" spans="1:26" x14ac:dyDescent="0.35">
      <c r="A79" s="66" t="s">
        <v>34</v>
      </c>
      <c r="B79" s="115" t="str">
        <f ca="1">IFERROR(INDIRECT(CONCATENATE("Track1!B",A80)),"")</f>
        <v>75m Hurdles U15 Girls A</v>
      </c>
      <c r="E79" s="89" t="s">
        <v>259</v>
      </c>
      <c r="F79" s="299">
        <f ca="1">IFERROR(INDIRECT(CONCATENATE("Track1!f",A80)),"")</f>
        <v>0</v>
      </c>
      <c r="G79" s="121" t="str">
        <f ca="1">IFERROR(INDIRECT(CONCATENATE("Track1!g",A80)),"")</f>
        <v/>
      </c>
      <c r="I79" s="115" t="str">
        <f ca="1">IFERROR(INDIRECT(CONCATENATE("Track1!I",A80)),"")</f>
        <v>75m Hurdles U15 Girls B</v>
      </c>
      <c r="L79" s="89" t="s">
        <v>259</v>
      </c>
      <c r="M79" s="299">
        <f ca="1">IFERROR(INDIRECT(CONCATENATE("Track1!M",A80)),"")</f>
        <v>0</v>
      </c>
      <c r="T79" s="64" t="str">
        <f t="shared" si="4"/>
        <v/>
      </c>
      <c r="U79" s="64" t="str">
        <f t="shared" si="5"/>
        <v/>
      </c>
      <c r="V79" s="422" t="str">
        <f>IF(OR(D79=0,D79="",D79="Athlete"),"",COUNTIF($D$4:$D79,D79))</f>
        <v/>
      </c>
      <c r="W79" s="422" t="str">
        <f t="shared" si="6"/>
        <v/>
      </c>
      <c r="Z79" s="422" t="str">
        <f t="shared" ca="1" si="7"/>
        <v/>
      </c>
    </row>
    <row r="80" spans="1:26" x14ac:dyDescent="0.35">
      <c r="A80" s="66">
        <f>IFERROR(MATCH(A79,Track1!A:A,0),"")</f>
        <v>24</v>
      </c>
      <c r="B80" s="45" t="str">
        <f ca="1">IFERROR(INDIRECT(CONCATENATE("Track1!B",A80+1)),"")</f>
        <v>Posn</v>
      </c>
      <c r="C80" s="45" t="str">
        <f ca="1">IFERROR(INDIRECT(CONCATENATE("Track1!C",A80+1)),"")</f>
        <v>No.</v>
      </c>
      <c r="D80" s="182" t="str">
        <f ca="1">IFERROR(INDIRECT(CONCATENATE("Track1!D",A80+1)),"")</f>
        <v>Athlete</v>
      </c>
      <c r="E80" s="182" t="str">
        <f ca="1">IFERROR(INDIRECT(CONCATENATE("Track1!E",A80+1)),"")</f>
        <v>Club</v>
      </c>
      <c r="F80" s="149" t="str">
        <f ca="1">IFERROR(INDIRECT(CONCATENATE("Track1!F",A80+1)),"")</f>
        <v>Perf</v>
      </c>
      <c r="G80" s="218" t="str">
        <f ca="1">IFERROR(INDIRECT(CONCATENATE("Track1!G",A80+1)),"")</f>
        <v>AAA</v>
      </c>
      <c r="H80" s="45"/>
      <c r="I80" s="45" t="str">
        <f ca="1">IFERROR(INDIRECT(CONCATENATE("Track1!I",A80+1)),"")</f>
        <v>Posn</v>
      </c>
      <c r="J80" s="45" t="str">
        <f ca="1">IFERROR(INDIRECT(CONCATENATE("Track1!J",A80+1)),"")</f>
        <v>No.</v>
      </c>
      <c r="K80" s="182" t="str">
        <f ca="1">IFERROR(INDIRECT(CONCATENATE("Track1!K",A80+1)),"")</f>
        <v>Athlete</v>
      </c>
      <c r="L80" s="182" t="str">
        <f ca="1">IFERROR(INDIRECT(CONCATENATE("Track1!L",A80+1)),"")</f>
        <v>Club</v>
      </c>
      <c r="M80" s="149" t="str">
        <f ca="1">IFERROR(INDIRECT(CONCATENATE("Track1!M",A80+1)),"")</f>
        <v>Perf</v>
      </c>
      <c r="N80" s="218" t="str">
        <f ca="1">IFERROR(INDIRECT(CONCATENATE("Track1!N",A80+1)),"")</f>
        <v>AAA</v>
      </c>
      <c r="T80" s="64" t="str">
        <f t="shared" ca="1" si="4"/>
        <v/>
      </c>
      <c r="U80" s="64" t="str">
        <f t="shared" ca="1" si="5"/>
        <v/>
      </c>
      <c r="V80" s="422" t="str">
        <f ca="1">IF(OR(D80=0,D80="",D80="Athlete"),"",COUNTIF($D$4:$D80,D80))</f>
        <v/>
      </c>
      <c r="W80" s="422" t="str">
        <f t="shared" ca="1" si="6"/>
        <v/>
      </c>
      <c r="Z80" s="422">
        <f t="shared" ca="1" si="7"/>
        <v>0</v>
      </c>
    </row>
    <row r="81" spans="1:26" x14ac:dyDescent="0.35">
      <c r="B81" s="66">
        <f ca="1">IFERROR(INDIRECT(CONCATENATE("Track1!B",A80+2)),"")</f>
        <v>1</v>
      </c>
      <c r="C81" s="66">
        <f ca="1">IFERROR(INDIRECT(CONCATENATE("Track1!C",A80+2)),"")</f>
        <v>2</v>
      </c>
      <c r="D81" s="89" t="str">
        <f ca="1">IFERROR(INDIRECT(CONCATENATE("Track1!D",A80+2)),"")</f>
        <v>PADDON Freya</v>
      </c>
      <c r="E81" s="89" t="str">
        <f ca="1">IFERROR(INDIRECT(CONCATENATE("Track1!E",A80+2)),"")</f>
        <v>Sheff+D</v>
      </c>
      <c r="F81" s="65">
        <f ca="1">IFERROR(INDIRECT(CONCATENATE("Track1!F",A80+2)),"")</f>
        <v>13</v>
      </c>
      <c r="G81" s="121">
        <f ca="1">IFERROR(INDIRECT(CONCATENATE("Track1!G",A80+2)),"")</f>
        <v>4</v>
      </c>
      <c r="H81" s="66"/>
      <c r="I81" s="66">
        <f ca="1">IFERROR(INDIRECT(CONCATENATE("Track1!I",A80+2)),"")</f>
        <v>1</v>
      </c>
      <c r="J81" s="66">
        <f ca="1">IFERROR(INDIRECT(CONCATENATE("Track1!J",A80+2)),"")</f>
        <v>22</v>
      </c>
      <c r="K81" s="89" t="str">
        <f ca="1">IFERROR(INDIRECT(CONCATENATE("Track1!K",A80+2)),"")</f>
        <v>PADDON Olivia</v>
      </c>
      <c r="L81" s="89" t="str">
        <f ca="1">IFERROR(INDIRECT(CONCATENATE("Track1!L",A80+2)),"")</f>
        <v>Sheff+D</v>
      </c>
      <c r="M81" s="65">
        <f ca="1">IFERROR(INDIRECT(CONCATENATE("Track1!M",A80+2)),"")</f>
        <v>13.2</v>
      </c>
      <c r="N81" s="121">
        <f ca="1">IFERROR(INDIRECT(CONCATENATE("Track1!N",A80+2)),"")</f>
        <v>4</v>
      </c>
      <c r="R81" s="219">
        <f ca="1">IFERROR(INDIRECT(CONCATENATE("Track1!r",A80+2)),"")</f>
        <v>1</v>
      </c>
      <c r="T81" s="64">
        <f t="shared" ca="1" si="4"/>
        <v>3</v>
      </c>
      <c r="U81" s="64">
        <f t="shared" ca="1" si="5"/>
        <v>3</v>
      </c>
      <c r="V81" s="422">
        <f ca="1">IF(OR(D81=0,D81="",D81="Athlete"),"",COUNTIF($D$4:$D81,D81))</f>
        <v>1</v>
      </c>
      <c r="W81" s="422" t="str">
        <f t="shared" ca="1" si="6"/>
        <v>Sheff+D</v>
      </c>
      <c r="Z81" s="422">
        <f t="shared" ca="1" si="7"/>
        <v>0</v>
      </c>
    </row>
    <row r="82" spans="1:26" x14ac:dyDescent="0.35">
      <c r="B82" s="66">
        <f ca="1">IFERROR(INDIRECT(CONCATENATE("Track1!B",A80+3)),"")</f>
        <v>2</v>
      </c>
      <c r="C82" s="66">
        <f ca="1">IFERROR(INDIRECT(CONCATENATE("Track1!C",A80+3)),"")</f>
        <v>3</v>
      </c>
      <c r="D82" s="89" t="str">
        <f ca="1">IFERROR(INDIRECT(CONCATENATE("Track1!D",A80+3)),"")</f>
        <v>MAUDE Charlotte</v>
      </c>
      <c r="E82" s="89" t="str">
        <f ca="1">IFERROR(INDIRECT(CONCATENATE("Track1!E",A80+3)),"")</f>
        <v>York</v>
      </c>
      <c r="F82" s="65">
        <f ca="1">IFERROR(INDIRECT(CONCATENATE("Track1!F",A80+3)),"")</f>
        <v>13.2</v>
      </c>
      <c r="G82" s="121">
        <f ca="1">IFERROR(INDIRECT(CONCATENATE("Track1!G",A80+3)),"")</f>
        <v>4</v>
      </c>
      <c r="H82" s="66"/>
      <c r="I82" s="66">
        <f ca="1">IFERROR(INDIRECT(CONCATENATE("Track1!I",A80+3)),"")</f>
        <v>2</v>
      </c>
      <c r="J82" s="66">
        <f ca="1">IFERROR(INDIRECT(CONCATENATE("Track1!J",A80+3)),"")</f>
        <v>33</v>
      </c>
      <c r="K82" s="89" t="str">
        <f ca="1">IFERROR(INDIRECT(CONCATENATE("Track1!K",A80+3)),"")</f>
        <v>CROSSAN Lily</v>
      </c>
      <c r="L82" s="89" t="str">
        <f ca="1">IFERROR(INDIRECT(CONCATENATE("Track1!L",A80+3)),"")</f>
        <v>York</v>
      </c>
      <c r="M82" s="65">
        <f ca="1">IFERROR(INDIRECT(CONCATENATE("Track1!M",A80+3)),"")</f>
        <v>13.7</v>
      </c>
      <c r="N82" s="121" t="str">
        <f ca="1">IFERROR(INDIRECT(CONCATENATE("Track1!N",A80+3)),"")</f>
        <v/>
      </c>
      <c r="T82" s="64">
        <f t="shared" ca="1" si="4"/>
        <v>2</v>
      </c>
      <c r="U82" s="64">
        <f t="shared" ca="1" si="5"/>
        <v>1</v>
      </c>
      <c r="V82" s="422">
        <f ca="1">IF(OR(D82=0,D82="",D82="Athlete"),"",COUNTIF($D$4:$D82,D82))</f>
        <v>1</v>
      </c>
      <c r="W82" s="422" t="str">
        <f t="shared" ca="1" si="6"/>
        <v>York</v>
      </c>
      <c r="Z82" s="422">
        <f t="shared" ca="1" si="7"/>
        <v>0</v>
      </c>
    </row>
    <row r="83" spans="1:26" x14ac:dyDescent="0.35">
      <c r="B83" s="66">
        <f ca="1">IFERROR(INDIRECT(CONCATENATE("Track1!B",A80+4)),"")</f>
        <v>3</v>
      </c>
      <c r="C83" s="66">
        <f ca="1">IFERROR(INDIRECT(CONCATENATE("Track1!C",A80+4)),"")</f>
        <v>1</v>
      </c>
      <c r="D83" s="89" t="str">
        <f ca="1">IFERROR(INDIRECT(CONCATENATE("Track1!D",A80+4)),"")</f>
        <v>LABAN Ella</v>
      </c>
      <c r="E83" s="89" t="str">
        <f ca="1">IFERROR(INDIRECT(CONCATENATE("Track1!E",A80+4)),"")</f>
        <v>C'field</v>
      </c>
      <c r="F83" s="65">
        <f ca="1">IFERROR(INDIRECT(CONCATENATE("Track1!F",A80+4)),"")</f>
        <v>17.399999999999999</v>
      </c>
      <c r="G83" s="121" t="str">
        <f ca="1">IFERROR(INDIRECT(CONCATENATE("Track1!G",A80+4)),"")</f>
        <v/>
      </c>
      <c r="H83" s="66"/>
      <c r="I83" s="66">
        <f ca="1">IFERROR(INDIRECT(CONCATENATE("Track1!I",A80+4)),"")</f>
        <v>3</v>
      </c>
      <c r="J83" s="66">
        <f ca="1">IFERROR(INDIRECT(CONCATENATE("Track1!J",A80+4)),"")</f>
        <v>11</v>
      </c>
      <c r="K83" s="89" t="str">
        <f ca="1">IFERROR(INDIRECT(CONCATENATE("Track1!K",A80+4)),"")</f>
        <v>ROGERS Emily</v>
      </c>
      <c r="L83" s="89" t="str">
        <f ca="1">IFERROR(INDIRECT(CONCATENATE("Track1!L",A80+4)),"")</f>
        <v>C'field</v>
      </c>
      <c r="M83" s="65">
        <f ca="1">IFERROR(INDIRECT(CONCATENATE("Track1!M",A80+4)),"")</f>
        <v>17.899999999999999</v>
      </c>
      <c r="N83" s="121" t="str">
        <f ca="1">IFERROR(INDIRECT(CONCATENATE("Track1!N",A80+4)),"")</f>
        <v/>
      </c>
      <c r="T83" s="64">
        <f t="shared" ca="1" si="4"/>
        <v>3</v>
      </c>
      <c r="U83" s="64">
        <f t="shared" ca="1" si="5"/>
        <v>3</v>
      </c>
      <c r="V83" s="422">
        <f ca="1">IF(OR(D83=0,D83="",D83="Athlete"),"",COUNTIF($D$4:$D83,D83))</f>
        <v>1</v>
      </c>
      <c r="W83" s="422" t="str">
        <f t="shared" ca="1" si="6"/>
        <v>C'field</v>
      </c>
      <c r="Z83" s="422" t="str">
        <f t="shared" ca="1" si="7"/>
        <v/>
      </c>
    </row>
    <row r="84" spans="1:26" x14ac:dyDescent="0.35">
      <c r="B84" s="66">
        <f ca="1">IFERROR(INDIRECT(CONCATENATE("Track1!B",A80+5)),"")</f>
        <v>4</v>
      </c>
      <c r="C84" s="66">
        <f ca="1">IFERROR(INDIRECT(CONCATENATE("Track1!C",A80+5)),"")</f>
        <v>0</v>
      </c>
      <c r="D84" s="89" t="str">
        <f ca="1">IFERROR(INDIRECT(CONCATENATE("Track1!D",A80+5)),"")</f>
        <v/>
      </c>
      <c r="E84" s="89" t="str">
        <f ca="1">IFERROR(INDIRECT(CONCATENATE("Track1!E",A80+5)),"")</f>
        <v/>
      </c>
      <c r="F84" s="65">
        <f ca="1">IFERROR(INDIRECT(CONCATENATE("Track1!F",A80+5)),"")</f>
        <v>0</v>
      </c>
      <c r="G84" s="121" t="str">
        <f ca="1">IFERROR(INDIRECT(CONCATENATE("Track1!G",A80+5)),"")</f>
        <v/>
      </c>
      <c r="H84" s="66"/>
      <c r="I84" s="66">
        <f ca="1">IFERROR(INDIRECT(CONCATENATE("Track1!I",A80+5)),"")</f>
        <v>4</v>
      </c>
      <c r="J84" s="66">
        <f ca="1">IFERROR(INDIRECT(CONCATENATE("Track1!J",A80+5)),"")</f>
        <v>0</v>
      </c>
      <c r="K84" s="89" t="str">
        <f ca="1">IFERROR(INDIRECT(CONCATENATE("Track1!K",A80+5)),"")</f>
        <v/>
      </c>
      <c r="L84" s="89" t="str">
        <f ca="1">IFERROR(INDIRECT(CONCATENATE("Track1!L",A80+5)),"")</f>
        <v/>
      </c>
      <c r="M84" s="65">
        <f ca="1">IFERROR(INDIRECT(CONCATENATE("Track1!M",A80+5)),"")</f>
        <v>0</v>
      </c>
      <c r="N84" s="121" t="str">
        <f ca="1">IFERROR(INDIRECT(CONCATENATE("Track1!N",A80+5)),"")</f>
        <v/>
      </c>
      <c r="T84" s="64" t="str">
        <f t="shared" ca="1" si="4"/>
        <v/>
      </c>
      <c r="U84" s="64" t="str">
        <f t="shared" ca="1" si="5"/>
        <v/>
      </c>
      <c r="V84" s="422" t="str">
        <f ca="1">IF(OR(D84=0,D84="",D84="Athlete"),"",COUNTIF($D$4:$D84,D84))</f>
        <v/>
      </c>
      <c r="W84" s="422" t="str">
        <f t="shared" ca="1" si="6"/>
        <v/>
      </c>
      <c r="Z84" s="422" t="str">
        <f t="shared" ca="1" si="7"/>
        <v/>
      </c>
    </row>
    <row r="85" spans="1:26" x14ac:dyDescent="0.35">
      <c r="B85" s="66">
        <f ca="1">IFERROR(INDIRECT(CONCATENATE("Track1!B",A80+6)),"")</f>
        <v>5</v>
      </c>
      <c r="C85" s="66">
        <f ca="1">IFERROR(INDIRECT(CONCATENATE("Track1!C",A80+6)),"")</f>
        <v>0</v>
      </c>
      <c r="D85" s="89" t="str">
        <f ca="1">IFERROR(INDIRECT(CONCATENATE("Track1!D",A80+6)),"")</f>
        <v/>
      </c>
      <c r="E85" s="89" t="str">
        <f ca="1">IFERROR(INDIRECT(CONCATENATE("Track1!E",A80+6)),"")</f>
        <v/>
      </c>
      <c r="F85" s="65">
        <f ca="1">IFERROR(INDIRECT(CONCATENATE("Track1!F",A80+6)),"")</f>
        <v>0</v>
      </c>
      <c r="G85" s="121" t="str">
        <f ca="1">IFERROR(INDIRECT(CONCATENATE("Track1!G",A80+6)),"")</f>
        <v/>
      </c>
      <c r="H85" s="66"/>
      <c r="I85" s="66">
        <f ca="1">IFERROR(INDIRECT(CONCATENATE("Track1!I",A80+6)),"")</f>
        <v>5</v>
      </c>
      <c r="J85" s="66">
        <f ca="1">IFERROR(INDIRECT(CONCATENATE("Track1!J",A80+6)),"")</f>
        <v>0</v>
      </c>
      <c r="K85" s="89" t="str">
        <f ca="1">IFERROR(INDIRECT(CONCATENATE("Track1!K",A80+6)),"")</f>
        <v/>
      </c>
      <c r="L85" s="89" t="str">
        <f ca="1">IFERROR(INDIRECT(CONCATENATE("Track1!L",A80+6)),"")</f>
        <v/>
      </c>
      <c r="M85" s="65">
        <f ca="1">IFERROR(INDIRECT(CONCATENATE("Track1!M",A80+6)),"")</f>
        <v>0</v>
      </c>
      <c r="N85" s="121" t="str">
        <f ca="1">IFERROR(INDIRECT(CONCATENATE("Track1!N",A80+6)),"")</f>
        <v/>
      </c>
      <c r="T85" s="64" t="str">
        <f t="shared" ca="1" si="4"/>
        <v/>
      </c>
      <c r="U85" s="64" t="str">
        <f t="shared" ca="1" si="5"/>
        <v/>
      </c>
      <c r="V85" s="422" t="str">
        <f ca="1">IF(OR(D85=0,D85="",D85="Athlete"),"",COUNTIF($D$4:$D85,D85))</f>
        <v/>
      </c>
      <c r="W85" s="422" t="str">
        <f t="shared" ca="1" si="6"/>
        <v/>
      </c>
      <c r="Z85" s="422" t="str">
        <f t="shared" ca="1" si="7"/>
        <v/>
      </c>
    </row>
    <row r="86" spans="1:26" x14ac:dyDescent="0.35">
      <c r="B86" s="66">
        <f ca="1">IFERROR(INDIRECT(CONCATENATE("Track1!B",A80+7)),"")</f>
        <v>6</v>
      </c>
      <c r="C86" s="66">
        <f ca="1">IFERROR(INDIRECT(CONCATENATE("Track1!C",A80+7)),"")</f>
        <v>0</v>
      </c>
      <c r="D86" s="89" t="str">
        <f ca="1">IFERROR(INDIRECT(CONCATENATE("Track1!D",A80+7)),"")</f>
        <v/>
      </c>
      <c r="E86" s="89" t="str">
        <f ca="1">IFERROR(INDIRECT(CONCATENATE("Track1!E",A80+7)),"")</f>
        <v/>
      </c>
      <c r="F86" s="65">
        <f ca="1">IFERROR(INDIRECT(CONCATENATE("Track1!F",A80+7)),"")</f>
        <v>0</v>
      </c>
      <c r="G86" s="121" t="str">
        <f ca="1">IFERROR(INDIRECT(CONCATENATE("Track1!G",A80+7)),"")</f>
        <v/>
      </c>
      <c r="H86" s="66"/>
      <c r="I86" s="66">
        <f ca="1">IFERROR(INDIRECT(CONCATENATE("Track1!I",A80+7)),"")</f>
        <v>6</v>
      </c>
      <c r="J86" s="66">
        <f ca="1">IFERROR(INDIRECT(CONCATENATE("Track1!J",A80+7)),"")</f>
        <v>0</v>
      </c>
      <c r="K86" s="89" t="str">
        <f ca="1">IFERROR(INDIRECT(CONCATENATE("Track1!K",A80+7)),"")</f>
        <v/>
      </c>
      <c r="L86" s="89" t="str">
        <f ca="1">IFERROR(INDIRECT(CONCATENATE("Track1!L",A80+7)),"")</f>
        <v/>
      </c>
      <c r="M86" s="65">
        <f ca="1">IFERROR(INDIRECT(CONCATENATE("Track1!M",A80+7)),"")</f>
        <v>0</v>
      </c>
      <c r="N86" s="121" t="str">
        <f ca="1">IFERROR(INDIRECT(CONCATENATE("Track1!N",A80+7)),"")</f>
        <v/>
      </c>
      <c r="T86" s="64" t="str">
        <f t="shared" ca="1" si="4"/>
        <v/>
      </c>
      <c r="U86" s="64" t="str">
        <f t="shared" ca="1" si="5"/>
        <v/>
      </c>
      <c r="V86" s="422" t="str">
        <f ca="1">IF(OR(D86=0,D86="",D86="Athlete"),"",COUNTIF($D$4:$D86,D86))</f>
        <v/>
      </c>
      <c r="W86" s="422" t="str">
        <f t="shared" ca="1" si="6"/>
        <v/>
      </c>
      <c r="Z86" s="422" t="str">
        <f t="shared" ca="1" si="7"/>
        <v/>
      </c>
    </row>
    <row r="87" spans="1:26" x14ac:dyDescent="0.35">
      <c r="B87" s="66">
        <f ca="1">IFERROR(INDIRECT(CONCATENATE("Track1!B",A80+8)),"")</f>
        <v>7</v>
      </c>
      <c r="C87" s="66">
        <f ca="1">IFERROR(INDIRECT(CONCATENATE("Track1!C",A80+8)),"")</f>
        <v>0</v>
      </c>
      <c r="D87" s="89" t="str">
        <f ca="1">IFERROR(INDIRECT(CONCATENATE("Track1!D",A80+8)),"")</f>
        <v/>
      </c>
      <c r="E87" s="89" t="str">
        <f ca="1">IFERROR(INDIRECT(CONCATENATE("Track1!E",A80+8)),"")</f>
        <v/>
      </c>
      <c r="F87" s="65">
        <f ca="1">IFERROR(INDIRECT(CONCATENATE("Track1!F",A80+8)),"")</f>
        <v>0</v>
      </c>
      <c r="G87" s="121" t="str">
        <f ca="1">IFERROR(INDIRECT(CONCATENATE("Track1!G",A80+8)),"")</f>
        <v/>
      </c>
      <c r="H87" s="66"/>
      <c r="I87" s="66">
        <f ca="1">IFERROR(INDIRECT(CONCATENATE("Track1!I",A80+8)),"")</f>
        <v>7</v>
      </c>
      <c r="J87" s="66">
        <f ca="1">IFERROR(INDIRECT(CONCATENATE("Track1!J",A80+8)),"")</f>
        <v>0</v>
      </c>
      <c r="K87" s="89" t="str">
        <f ca="1">IFERROR(INDIRECT(CONCATENATE("Track1!K",A80+8)),"")</f>
        <v/>
      </c>
      <c r="L87" s="89" t="str">
        <f ca="1">IFERROR(INDIRECT(CONCATENATE("Track1!L",A80+8)),"")</f>
        <v/>
      </c>
      <c r="M87" s="65">
        <f ca="1">IFERROR(INDIRECT(CONCATENATE("Track1!M",A80+8)),"")</f>
        <v>0</v>
      </c>
      <c r="N87" s="121" t="str">
        <f ca="1">IFERROR(INDIRECT(CONCATENATE("Track1!N",A80+8)),"")</f>
        <v/>
      </c>
      <c r="T87" s="64" t="str">
        <f t="shared" ca="1" si="4"/>
        <v/>
      </c>
      <c r="U87" s="64" t="str">
        <f t="shared" ca="1" si="5"/>
        <v/>
      </c>
      <c r="V87" s="422" t="str">
        <f ca="1">IF(OR(D87=0,D87="",D87="Athlete"),"",COUNTIF($D$4:$D87,D87))</f>
        <v/>
      </c>
      <c r="W87" s="422" t="str">
        <f t="shared" ca="1" si="6"/>
        <v/>
      </c>
      <c r="Z87" s="422" t="str">
        <f t="shared" ca="1" si="7"/>
        <v/>
      </c>
    </row>
    <row r="88" spans="1:26" x14ac:dyDescent="0.35">
      <c r="B88" s="66">
        <f ca="1">IFERROR(INDIRECT(CONCATENATE("Track1!B",A80+9)),"")</f>
        <v>8</v>
      </c>
      <c r="C88" s="66">
        <f ca="1">IFERROR(INDIRECT(CONCATENATE("Track1!C",A80+9)),"")</f>
        <v>0</v>
      </c>
      <c r="D88" s="89" t="str">
        <f ca="1">IFERROR(INDIRECT(CONCATENATE("Track1!D",A80+9)),"")</f>
        <v/>
      </c>
      <c r="E88" s="89" t="str">
        <f ca="1">IFERROR(INDIRECT(CONCATENATE("Track1!E",A80+9)),"")</f>
        <v/>
      </c>
      <c r="F88" s="65">
        <f ca="1">IFERROR(INDIRECT(CONCATENATE("Track1!F",A80+9)),"")</f>
        <v>0</v>
      </c>
      <c r="G88" s="121" t="str">
        <f ca="1">IFERROR(INDIRECT(CONCATENATE("Track1!G",A80+9)),"")</f>
        <v/>
      </c>
      <c r="H88" s="66"/>
      <c r="I88" s="66">
        <f ca="1">IFERROR(INDIRECT(CONCATENATE("Track1!I",A80+9)),"")</f>
        <v>8</v>
      </c>
      <c r="J88" s="66">
        <f ca="1">IFERROR(INDIRECT(CONCATENATE("Track1!J",A80+9)),"")</f>
        <v>0</v>
      </c>
      <c r="K88" s="89" t="str">
        <f ca="1">IFERROR(INDIRECT(CONCATENATE("Track1!K",A80+9)),"")</f>
        <v/>
      </c>
      <c r="L88" s="89" t="str">
        <f ca="1">IFERROR(INDIRECT(CONCATENATE("Track1!L",A80+9)),"")</f>
        <v/>
      </c>
      <c r="M88" s="65">
        <f ca="1">IFERROR(INDIRECT(CONCATENATE("Track1!M",A80+9)),"")</f>
        <v>0</v>
      </c>
      <c r="N88" s="121" t="str">
        <f ca="1">IFERROR(INDIRECT(CONCATENATE("Track1!N",A80+9)),"")</f>
        <v/>
      </c>
      <c r="T88" s="64" t="str">
        <f t="shared" ca="1" si="4"/>
        <v/>
      </c>
      <c r="U88" s="64" t="str">
        <f t="shared" ca="1" si="5"/>
        <v/>
      </c>
      <c r="V88" s="422" t="str">
        <f ca="1">IF(OR(D88=0,D88="",D88="Athlete"),"",COUNTIF($D$4:$D88,D88))</f>
        <v/>
      </c>
      <c r="W88" s="422" t="str">
        <f t="shared" ca="1" si="6"/>
        <v/>
      </c>
      <c r="Z88" s="422" t="str">
        <f t="shared" ca="1" si="7"/>
        <v/>
      </c>
    </row>
    <row r="89" spans="1:26" x14ac:dyDescent="0.35">
      <c r="T89" s="64" t="str">
        <f t="shared" si="4"/>
        <v/>
      </c>
      <c r="U89" s="64" t="str">
        <f t="shared" si="5"/>
        <v/>
      </c>
      <c r="V89" s="422" t="str">
        <f>IF(OR(D89=0,D89="",D89="Athlete"),"",COUNTIF($D$4:$D89,D89))</f>
        <v/>
      </c>
      <c r="W89" s="422" t="str">
        <f t="shared" si="6"/>
        <v/>
      </c>
      <c r="Z89" s="422" t="str">
        <f t="shared" si="7"/>
        <v/>
      </c>
    </row>
    <row r="90" spans="1:26" x14ac:dyDescent="0.35">
      <c r="A90" s="402" t="s">
        <v>298</v>
      </c>
      <c r="B90" s="115" t="str">
        <f ca="1">IFERROR(INDIRECT(CONCATENATE("Field!B",A91)),"")</f>
        <v>Long Jump U15 Girls A</v>
      </c>
      <c r="F90" s="65"/>
      <c r="G90" s="403" t="str">
        <f ca="1">IFERROR(INDIRECT(CONCATENATE("Field!g",A91)),"")</f>
        <v/>
      </c>
      <c r="I90" s="115" t="str">
        <f ca="1">IFERROR(INDIRECT(CONCATENATE("Field!I",A91)),"")</f>
        <v>Long Jump U15 Girls B</v>
      </c>
      <c r="T90" s="64" t="str">
        <f t="shared" si="4"/>
        <v/>
      </c>
      <c r="U90" s="64" t="str">
        <f t="shared" si="5"/>
        <v/>
      </c>
      <c r="V90" s="422" t="str">
        <f>IF(OR(D90=0,D90="",D90="Athlete"),"",COUNTIF($D$4:$D90,D90))</f>
        <v/>
      </c>
      <c r="W90" s="422" t="str">
        <f t="shared" si="6"/>
        <v/>
      </c>
      <c r="Z90" s="422" t="str">
        <f t="shared" ca="1" si="7"/>
        <v/>
      </c>
    </row>
    <row r="91" spans="1:26" x14ac:dyDescent="0.35">
      <c r="A91" s="66">
        <f>IFERROR(MATCH(A90,Field!A:A,0),"")</f>
        <v>145</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c r="T91" s="64" t="str">
        <f t="shared" ca="1" si="4"/>
        <v/>
      </c>
      <c r="U91" s="64" t="str">
        <f t="shared" ca="1" si="5"/>
        <v/>
      </c>
      <c r="V91" s="422" t="str">
        <f ca="1">IF(OR(D91=0,D91="",D91="Athlete"),"",COUNTIF($D$4:$D91,D91))</f>
        <v/>
      </c>
      <c r="W91" s="422" t="str">
        <f t="shared" ca="1" si="6"/>
        <v/>
      </c>
      <c r="Z91" s="422">
        <f t="shared" ca="1" si="7"/>
        <v>0</v>
      </c>
    </row>
    <row r="92" spans="1:26" x14ac:dyDescent="0.35">
      <c r="A92" s="66" t="str">
        <f>"_"&amp;A90</f>
        <v>_LFW02</v>
      </c>
      <c r="B92" s="66">
        <f ca="1">IFERROR(INDIRECT(CONCATENATE("Field!B",A91+2)),"")</f>
        <v>1</v>
      </c>
      <c r="C92" s="66">
        <f ca="1">IFERROR(INDIRECT(CONCATENATE("Field!C",A91+2)),"")</f>
        <v>2</v>
      </c>
      <c r="D92" s="89" t="str">
        <f ca="1">IFERROR(INDIRECT(CONCATENATE("Field!D",A91+2)),"")</f>
        <v>MYCROFT Tilly</v>
      </c>
      <c r="E92" s="89" t="str">
        <f ca="1">IFERROR(INDIRECT(CONCATENATE("Field!E",A91+2)),"")</f>
        <v>Sheff+D</v>
      </c>
      <c r="F92" s="149" t="str">
        <f ca="1">IFERROR(TEXT(INDIRECT(CONCATENATE("Field!F",A91+2)),"#.#0")&amp;" "&amp;VLOOKUP(C92,INDIRECT($A92),5,FALSE),"")</f>
        <v xml:space="preserve">5.05 </v>
      </c>
      <c r="G92" s="121">
        <f ca="1">IFERROR(INDIRECT(CONCATENATE("Field!G",A91+2)),"")</f>
        <v>1</v>
      </c>
      <c r="H92" s="66"/>
      <c r="I92" s="66">
        <f ca="1">IFERROR(INDIRECT(CONCATENATE("Field!I",A91+2)),"")</f>
        <v>1</v>
      </c>
      <c r="J92" s="66">
        <f ca="1">IFERROR(INDIRECT(CONCATENATE("Field!J",A91+2)),"")</f>
        <v>22</v>
      </c>
      <c r="K92" s="89" t="str">
        <f ca="1">IFERROR(INDIRECT(CONCATENATE("Field!K",A91+2)),"")</f>
        <v>ADEBAYO Daphney</v>
      </c>
      <c r="L92" s="89" t="str">
        <f ca="1">IFERROR(INDIRECT(CONCATENATE("Field!L",A91+2)),"")</f>
        <v>Sheff+D</v>
      </c>
      <c r="M92" s="149" t="str">
        <f ca="1">IFERROR(TEXT(INDIRECT(CONCATENATE("Field!m",A91+2)),"#.#0")&amp;" "&amp;VLOOKUP(J92,INDIRECT($A92),5,FALSE),"")</f>
        <v xml:space="preserve">4.81 </v>
      </c>
      <c r="N92" s="121">
        <f ca="1">IFERROR(INDIRECT(CONCATENATE("Field!N",A91+2)),"")</f>
        <v>3</v>
      </c>
      <c r="R92" s="219">
        <f ca="1">IFERROR(INDIRECT(CONCATENATE("Field!r",A91+2)),"")</f>
        <v>1</v>
      </c>
      <c r="T92" s="64">
        <f t="shared" ca="1" si="4"/>
        <v>3</v>
      </c>
      <c r="U92" s="64">
        <f t="shared" ca="1" si="5"/>
        <v>3</v>
      </c>
      <c r="V92" s="422">
        <f ca="1">IF(OR(D92=0,D92="",D92="Athlete"),"",COUNTIF($D$4:$D92,D92))</f>
        <v>2</v>
      </c>
      <c r="W92" s="422" t="str">
        <f t="shared" ca="1" si="6"/>
        <v>Sheff+D</v>
      </c>
      <c r="Z92" s="422">
        <f t="shared" ca="1" si="7"/>
        <v>0</v>
      </c>
    </row>
    <row r="93" spans="1:26" x14ac:dyDescent="0.35">
      <c r="B93" s="66">
        <f ca="1">IFERROR(INDIRECT(CONCATENATE("Field!B",A91+3)),"")</f>
        <v>2</v>
      </c>
      <c r="C93" s="66">
        <f ca="1">IFERROR(INDIRECT(CONCATENATE("Field!C",A91+3)),"")</f>
        <v>3</v>
      </c>
      <c r="D93" s="89" t="str">
        <f ca="1">IFERROR(INDIRECT(CONCATENATE("Field!D",A91+3)),"")</f>
        <v>HASTIE Eve</v>
      </c>
      <c r="E93" s="89" t="str">
        <f ca="1">IFERROR(INDIRECT(CONCATENATE("Field!E",A91+3)),"")</f>
        <v>York</v>
      </c>
      <c r="F93" s="149" t="str">
        <f ca="1">IFERROR(TEXT(INDIRECT(CONCATENATE("Field!F",A91+3)),"#.#0")&amp;" "&amp;VLOOKUP(C93,INDIRECT($A92),5,FALSE),"")</f>
        <v xml:space="preserve">4.70 </v>
      </c>
      <c r="G93" s="121">
        <f ca="1">IFERROR(INDIRECT(CONCATENATE("Field!G",A91+3)),"")</f>
        <v>3</v>
      </c>
      <c r="H93" s="66"/>
      <c r="I93" s="66">
        <f ca="1">IFERROR(INDIRECT(CONCATENATE("Field!I",A91+3)),"")</f>
        <v>2</v>
      </c>
      <c r="J93" s="66">
        <f ca="1">IFERROR(INDIRECT(CONCATENATE("Field!J",A91+3)),"")</f>
        <v>33</v>
      </c>
      <c r="K93" s="89" t="str">
        <f ca="1">IFERROR(INDIRECT(CONCATENATE("Field!K",A91+3)),"")</f>
        <v>MAUDE Charlotte</v>
      </c>
      <c r="L93" s="89" t="str">
        <f ca="1">IFERROR(INDIRECT(CONCATENATE("Field!L",A91+3)),"")</f>
        <v>York</v>
      </c>
      <c r="M93" s="149" t="str">
        <f ca="1">IFERROR(TEXT(INDIRECT(CONCATENATE("Field!m",A91+3)),"#.#0")&amp;" "&amp;VLOOKUP(J93,INDIRECT($A92),5,FALSE),"")</f>
        <v xml:space="preserve">4.24 </v>
      </c>
      <c r="N93" s="121" t="str">
        <f ca="1">IFERROR(INDIRECT(CONCATENATE("Field!N",A91+3)),"")</f>
        <v/>
      </c>
      <c r="T93" s="64">
        <f t="shared" ca="1" si="4"/>
        <v>2</v>
      </c>
      <c r="U93" s="64">
        <f t="shared" ca="1" si="5"/>
        <v>2</v>
      </c>
      <c r="V93" s="422">
        <f ca="1">IF(OR(D93=0,D93="",D93="Athlete"),"",COUNTIF($D$4:$D93,D93))</f>
        <v>1</v>
      </c>
      <c r="W93" s="422" t="str">
        <f t="shared" ca="1" si="6"/>
        <v>York</v>
      </c>
      <c r="Z93" s="422">
        <f t="shared" ca="1" si="7"/>
        <v>0</v>
      </c>
    </row>
    <row r="94" spans="1:26" x14ac:dyDescent="0.35">
      <c r="B94" s="66">
        <f ca="1">IFERROR(INDIRECT(CONCATENATE("Field!B",A91+4)),"")</f>
        <v>3</v>
      </c>
      <c r="C94" s="66">
        <f ca="1">IFERROR(INDIRECT(CONCATENATE("Field!C",A91+4)),"")</f>
        <v>44</v>
      </c>
      <c r="D94" s="89" t="str">
        <f ca="1">IFERROR(INDIRECT(CONCATENATE("Field!D",A91+4)),"")</f>
        <v>MANNION Grace</v>
      </c>
      <c r="E94" s="89" t="str">
        <f ca="1">IFERROR(INDIRECT(CONCATENATE("Field!E",A91+4)),"")</f>
        <v>M'bro</v>
      </c>
      <c r="F94" s="149" t="str">
        <f ca="1">IFERROR(TEXT(INDIRECT(CONCATENATE("Field!F",A91+4)),"#.#0")&amp;" "&amp;VLOOKUP(C94,INDIRECT($A92),5,FALSE),"")</f>
        <v xml:space="preserve">3.87 </v>
      </c>
      <c r="G94" s="121" t="str">
        <f ca="1">IFERROR(INDIRECT(CONCATENATE("Field!G",A91+4)),"")</f>
        <v/>
      </c>
      <c r="H94" s="66"/>
      <c r="I94" s="66">
        <f ca="1">IFERROR(INDIRECT(CONCATENATE("Field!I",A91+4)),"")</f>
        <v>3</v>
      </c>
      <c r="J94" s="66">
        <f ca="1">IFERROR(INDIRECT(CONCATENATE("Field!J",A91+4)),"")</f>
        <v>4</v>
      </c>
      <c r="K94" s="89" t="str">
        <f ca="1">IFERROR(INDIRECT(CONCATENATE("Field!K",A91+4)),"")</f>
        <v>PYE Naiomi</v>
      </c>
      <c r="L94" s="89" t="str">
        <f ca="1">IFERROR(INDIRECT(CONCATENATE("Field!L",A91+4)),"")</f>
        <v>M'bro</v>
      </c>
      <c r="M94" s="149" t="str">
        <f ca="1">IFERROR(TEXT(INDIRECT(CONCATENATE("Field!m",A91+4)),"#.#0")&amp;" "&amp;VLOOKUP(J94,INDIRECT($A92),5,FALSE),"")</f>
        <v xml:space="preserve">3.57 </v>
      </c>
      <c r="N94" s="121" t="str">
        <f ca="1">IFERROR(INDIRECT(CONCATENATE("Field!N",A91+4)),"")</f>
        <v/>
      </c>
      <c r="T94" s="64">
        <f t="shared" ca="1" si="4"/>
        <v>2</v>
      </c>
      <c r="U94" s="64">
        <f t="shared" ca="1" si="5"/>
        <v>2</v>
      </c>
      <c r="V94" s="422">
        <f ca="1">IF(OR(D94=0,D94="",D94="Athlete"),"",COUNTIF($D$4:$D94,D94))</f>
        <v>1</v>
      </c>
      <c r="W94" s="422" t="str">
        <f t="shared" ca="1" si="6"/>
        <v>M'bro</v>
      </c>
      <c r="Z94" s="422" t="str">
        <f t="shared" ca="1" si="7"/>
        <v/>
      </c>
    </row>
    <row r="95" spans="1:26" x14ac:dyDescent="0.35">
      <c r="B95" s="66">
        <f ca="1">IFERROR(INDIRECT(CONCATENATE("Field!B",A91+5)),"")</f>
        <v>4</v>
      </c>
      <c r="C95" s="66">
        <f ca="1">IFERROR(INDIRECT(CONCATENATE("Field!C",A91+5)),"")</f>
        <v>1</v>
      </c>
      <c r="D95" s="89" t="str">
        <f ca="1">IFERROR(INDIRECT(CONCATENATE("Field!D",A91+5)),"")</f>
        <v>BRIDDON Missy</v>
      </c>
      <c r="E95" s="89" t="str">
        <f ca="1">IFERROR(INDIRECT(CONCATENATE("Field!E",A91+5)),"")</f>
        <v>C'field</v>
      </c>
      <c r="F95" s="149" t="str">
        <f ca="1">IFERROR(TEXT(INDIRECT(CONCATENATE("Field!F",A91+5)),"#.#0")&amp;" "&amp;VLOOKUP(C95,INDIRECT($A92),5,FALSE),"")</f>
        <v xml:space="preserve">3.82 </v>
      </c>
      <c r="G95" s="121" t="str">
        <f ca="1">IFERROR(INDIRECT(CONCATENATE("Field!G",A91+5)),"")</f>
        <v/>
      </c>
      <c r="H95" s="66"/>
      <c r="I95" s="66">
        <f ca="1">IFERROR(INDIRECT(CONCATENATE("Field!I",A91+5)),"")</f>
        <v>4</v>
      </c>
      <c r="J95" s="66">
        <f ca="1">IFERROR(INDIRECT(CONCATENATE("Field!J",A91+5)),"")</f>
        <v>11</v>
      </c>
      <c r="K95" s="89" t="str">
        <f ca="1">IFERROR(INDIRECT(CONCATENATE("Field!K",A91+5)),"")</f>
        <v>ROGERS Emily</v>
      </c>
      <c r="L95" s="89" t="str">
        <f ca="1">IFERROR(INDIRECT(CONCATENATE("Field!L",A91+5)),"")</f>
        <v>C'field</v>
      </c>
      <c r="M95" s="149" t="str">
        <f ca="1">IFERROR(TEXT(INDIRECT(CONCATENATE("Field!m",A91+5)),"#.#0")&amp;" "&amp;VLOOKUP(J95,INDIRECT($A92),5,FALSE),"")</f>
        <v xml:space="preserve">3.49 </v>
      </c>
      <c r="N95" s="121" t="str">
        <f ca="1">IFERROR(INDIRECT(CONCATENATE("Field!N",A91+5)),"")</f>
        <v/>
      </c>
      <c r="T95" s="64">
        <f t="shared" ca="1" si="4"/>
        <v>3</v>
      </c>
      <c r="U95" s="64">
        <f t="shared" ca="1" si="5"/>
        <v>3</v>
      </c>
      <c r="V95" s="422">
        <f ca="1">IF(OR(D95=0,D95="",D95="Athlete"),"",COUNTIF($D$4:$D95,D95))</f>
        <v>3</v>
      </c>
      <c r="W95" s="422" t="str">
        <f t="shared" ca="1" si="6"/>
        <v>C'field</v>
      </c>
      <c r="Z95" s="422" t="str">
        <f t="shared" ca="1" si="7"/>
        <v/>
      </c>
    </row>
    <row r="96" spans="1:26" x14ac:dyDescent="0.35">
      <c r="B96" s="66">
        <f ca="1">IFERROR(INDIRECT(CONCATENATE("Field!B",A91+6)),"")</f>
        <v>5</v>
      </c>
      <c r="C96" s="66">
        <f ca="1">IFERROR(INDIRECT(CONCATENATE("Field!C",A91+6)),"")</f>
        <v>55</v>
      </c>
      <c r="D96" s="89" t="str">
        <f ca="1">IFERROR(INDIRECT(CONCATENATE("Field!D",A91+6)),"")</f>
        <v>WHITTAKER Millie</v>
      </c>
      <c r="E96" s="89" t="str">
        <f ca="1">IFERROR(INDIRECT(CONCATENATE("Field!E",A91+6)),"")</f>
        <v>Scun</v>
      </c>
      <c r="F96" s="149" t="str">
        <f ca="1">IFERROR(TEXT(INDIRECT(CONCATENATE("Field!F",A91+6)),"#.#0")&amp;" "&amp;VLOOKUP(C96,INDIRECT($A92),5,FALSE),"")</f>
        <v xml:space="preserve">3.24 </v>
      </c>
      <c r="G96" s="121" t="str">
        <f ca="1">IFERROR(INDIRECT(CONCATENATE("Field!G",A91+6)),"")</f>
        <v/>
      </c>
      <c r="H96" s="66"/>
      <c r="I96" s="66">
        <f ca="1">IFERROR(INDIRECT(CONCATENATE("Field!I",A91+6)),"")</f>
        <v>5</v>
      </c>
      <c r="J96" s="66">
        <f ca="1">IFERROR(INDIRECT(CONCATENATE("Field!J",A91+6)),"")</f>
        <v>5</v>
      </c>
      <c r="K96" s="89" t="str">
        <f ca="1">IFERROR(INDIRECT(CONCATENATE("Field!K",A91+6)),"")</f>
        <v>LINGARD Alice</v>
      </c>
      <c r="L96" s="89" t="str">
        <f ca="1">IFERROR(INDIRECT(CONCATENATE("Field!L",A91+6)),"")</f>
        <v>Scun</v>
      </c>
      <c r="M96" s="149" t="str">
        <f ca="1">IFERROR(TEXT(INDIRECT(CONCATENATE("Field!m",A91+6)),"#.#0")&amp;" "&amp;VLOOKUP(J96,INDIRECT($A92),5,FALSE),"")</f>
        <v xml:space="preserve">3.11 </v>
      </c>
      <c r="N96" s="121" t="str">
        <f ca="1">IFERROR(INDIRECT(CONCATENATE("Field!N",A91+6)),"")</f>
        <v/>
      </c>
      <c r="T96" s="64">
        <f t="shared" ca="1" si="4"/>
        <v>2</v>
      </c>
      <c r="U96" s="64">
        <f t="shared" ca="1" si="5"/>
        <v>2</v>
      </c>
      <c r="V96" s="422">
        <f ca="1">IF(OR(D96=0,D96="",D96="Athlete"),"",COUNTIF($D$4:$D96,D96))</f>
        <v>1</v>
      </c>
      <c r="W96" s="422" t="str">
        <f t="shared" ca="1" si="6"/>
        <v>Scun</v>
      </c>
      <c r="Z96" s="422" t="str">
        <f t="shared" ca="1" si="7"/>
        <v/>
      </c>
    </row>
    <row r="97" spans="1:26" x14ac:dyDescent="0.35">
      <c r="B97" s="66">
        <f ca="1">IFERROR(INDIRECT(CONCATENATE("Field!B",A91+7)),"")</f>
        <v>6</v>
      </c>
      <c r="C97" s="66" t="str">
        <f ca="1">IFERROR(INDIRECT(CONCATENATE("Field!C",A91+7)),"")</f>
        <v/>
      </c>
      <c r="D97" s="89" t="str">
        <f ca="1">IFERROR(INDIRECT(CONCATENATE("Field!D",A91+7)),"")</f>
        <v/>
      </c>
      <c r="E97" s="89" t="str">
        <f ca="1">IFERROR(INDIRECT(CONCATENATE("Field!E",A91+7)),"")</f>
        <v/>
      </c>
      <c r="F97" s="149" t="str">
        <f ca="1">IFERROR(TEXT(INDIRECT(CONCATENATE("Field!F",A91+7)),"#.#0")&amp;" "&amp;VLOOKUP(C97,INDIRECT($A92),5,FALSE),"")</f>
        <v/>
      </c>
      <c r="G97" s="121" t="str">
        <f ca="1">IFERROR(INDIRECT(CONCATENATE("Field!G",A91+7)),"")</f>
        <v/>
      </c>
      <c r="H97" s="66"/>
      <c r="I97" s="66">
        <f ca="1">IFERROR(INDIRECT(CONCATENATE("Field!I",A91+7)),"")</f>
        <v>6</v>
      </c>
      <c r="J97" s="66" t="str">
        <f ca="1">IFERROR(INDIRECT(CONCATENATE("Field!J",A91+7)),"")</f>
        <v/>
      </c>
      <c r="K97" s="89" t="str">
        <f ca="1">IFERROR(INDIRECT(CONCATENATE("Field!K",A91+7)),"")</f>
        <v/>
      </c>
      <c r="L97" s="89" t="str">
        <f ca="1">IFERROR(INDIRECT(CONCATENATE("Field!L",A91+7)),"")</f>
        <v/>
      </c>
      <c r="M97" s="149" t="str">
        <f ca="1">IFERROR(TEXT(INDIRECT(CONCATENATE("Field!m",A91+7)),"#.#0")&amp;" "&amp;VLOOKUP(J97,INDIRECT($A92),5,FALSE),"")</f>
        <v/>
      </c>
      <c r="N97" s="121" t="str">
        <f ca="1">IFERROR(INDIRECT(CONCATENATE("Field!N",A91+7)),"")</f>
        <v/>
      </c>
      <c r="T97" s="64" t="str">
        <f t="shared" ca="1" si="4"/>
        <v/>
      </c>
      <c r="U97" s="64" t="str">
        <f t="shared" ca="1" si="5"/>
        <v/>
      </c>
      <c r="V97" s="422" t="str">
        <f ca="1">IF(OR(D97=0,D97="",D97="Athlete"),"",COUNTIF($D$4:$D97,D97))</f>
        <v/>
      </c>
      <c r="W97" s="422" t="str">
        <f t="shared" ca="1" si="6"/>
        <v/>
      </c>
      <c r="Z97" s="422" t="str">
        <f t="shared" ca="1" si="7"/>
        <v/>
      </c>
    </row>
    <row r="98" spans="1:26" x14ac:dyDescent="0.35">
      <c r="B98" s="66">
        <f ca="1">IFERROR(INDIRECT(CONCATENATE("Field!B",A91+8)),"")</f>
        <v>7</v>
      </c>
      <c r="C98" s="66" t="str">
        <f ca="1">IFERROR(INDIRECT(CONCATENATE("Field!C",A91+8)),"")</f>
        <v/>
      </c>
      <c r="D98" s="89" t="str">
        <f ca="1">IFERROR(INDIRECT(CONCATENATE("Field!D",A91+8)),"")</f>
        <v/>
      </c>
      <c r="E98" s="89" t="str">
        <f ca="1">IFERROR(INDIRECT(CONCATENATE("Field!E",A91+8)),"")</f>
        <v/>
      </c>
      <c r="F98" s="149" t="str">
        <f ca="1">IFERROR(TEXT(INDIRECT(CONCATENATE("Field!F",A91+8)),"#.#0")&amp;" "&amp;VLOOKUP(C98,INDIRECT($A92),5,FALSE),"")</f>
        <v/>
      </c>
      <c r="G98" s="121" t="str">
        <f ca="1">IFERROR(INDIRECT(CONCATENATE("Field!G",A91+8)),"")</f>
        <v/>
      </c>
      <c r="H98" s="66"/>
      <c r="I98" s="66">
        <f ca="1">IFERROR(INDIRECT(CONCATENATE("Field!I",A91+8)),"")</f>
        <v>7</v>
      </c>
      <c r="J98" s="66" t="str">
        <f ca="1">IFERROR(INDIRECT(CONCATENATE("Field!J",A91+8)),"")</f>
        <v/>
      </c>
      <c r="K98" s="89" t="str">
        <f ca="1">IFERROR(INDIRECT(CONCATENATE("Field!K",A91+8)),"")</f>
        <v/>
      </c>
      <c r="L98" s="89" t="str">
        <f ca="1">IFERROR(INDIRECT(CONCATENATE("Field!L",A91+8)),"")</f>
        <v/>
      </c>
      <c r="M98" s="149" t="str">
        <f ca="1">IFERROR(TEXT(INDIRECT(CONCATENATE("Field!m",A91+8)),"#.00")&amp;" "&amp;VLOOKUP(J98,INDIRECT($A92),5,FALSE),"")</f>
        <v/>
      </c>
      <c r="N98" s="121" t="str">
        <f ca="1">IFERROR(INDIRECT(CONCATENATE("Field!N",A91+8)),"")</f>
        <v/>
      </c>
      <c r="T98" s="64" t="str">
        <f t="shared" ca="1" si="4"/>
        <v/>
      </c>
      <c r="U98" s="64" t="str">
        <f t="shared" ca="1" si="5"/>
        <v/>
      </c>
      <c r="V98" s="422" t="str">
        <f ca="1">IF(OR(D98=0,D98="",D98="Athlete"),"",COUNTIF($D$4:$D98,D98))</f>
        <v/>
      </c>
      <c r="W98" s="422" t="str">
        <f t="shared" ca="1" si="6"/>
        <v/>
      </c>
      <c r="Z98" s="422" t="str">
        <f t="shared" ca="1" si="7"/>
        <v/>
      </c>
    </row>
    <row r="99" spans="1:26" x14ac:dyDescent="0.35">
      <c r="B99" s="66">
        <f ca="1">IFERROR(INDIRECT(CONCATENATE("Field!B",A91+9)),"")</f>
        <v>8</v>
      </c>
      <c r="C99" s="66" t="str">
        <f ca="1">IFERROR(INDIRECT(CONCATENATE("Field!C",A91+9)),"")</f>
        <v/>
      </c>
      <c r="D99" s="89" t="str">
        <f ca="1">IFERROR(INDIRECT(CONCATENATE("Field!D",A91+9)),"")</f>
        <v/>
      </c>
      <c r="E99" s="89" t="str">
        <f ca="1">IFERROR(INDIRECT(CONCATENATE("Field!E",A91+9)),"")</f>
        <v/>
      </c>
      <c r="F99" s="149" t="str">
        <f ca="1">IFERROR(TEXT(INDIRECT(CONCATENATE("Field!F",A91+9)),"#.#0")&amp;" "&amp;VLOOKUP(C99,INDIRECT($A92),5,FALSE),"")</f>
        <v/>
      </c>
      <c r="G99" s="121" t="str">
        <f ca="1">IFERROR(INDIRECT(CONCATENATE("Field!G",A91+9)),"")</f>
        <v/>
      </c>
      <c r="H99" s="66"/>
      <c r="I99" s="66">
        <f ca="1">IFERROR(INDIRECT(CONCATENATE("Field!I",A91+9)),"")</f>
        <v>8</v>
      </c>
      <c r="J99" s="66" t="str">
        <f ca="1">IFERROR(INDIRECT(CONCATENATE("Field!J",A91+9)),"")</f>
        <v/>
      </c>
      <c r="K99" s="89" t="str">
        <f ca="1">IFERROR(INDIRECT(CONCATENATE("Field!K",A91+9)),"")</f>
        <v/>
      </c>
      <c r="L99" s="89" t="str">
        <f ca="1">IFERROR(INDIRECT(CONCATENATE("Field!L",A91+9)),"")</f>
        <v/>
      </c>
      <c r="M99" s="149" t="str">
        <f ca="1">IFERROR(TEXT(INDIRECT(CONCATENATE("Field!m",A91+9)),"#.#0")&amp;" "&amp;VLOOKUP(J99,INDIRECT($A92),5,FALSE),"")</f>
        <v/>
      </c>
      <c r="N99" s="121" t="str">
        <f ca="1">IFERROR(INDIRECT(CONCATENATE("Field!N",A91+9)),"")</f>
        <v/>
      </c>
      <c r="T99" s="64" t="str">
        <f t="shared" ca="1" si="4"/>
        <v/>
      </c>
      <c r="U99" s="64" t="str">
        <f t="shared" ca="1" si="5"/>
        <v/>
      </c>
      <c r="V99" s="422" t="str">
        <f ca="1">IF(OR(D99=0,D99="",D99="Athlete"),"",COUNTIF($D$4:$D99,D99))</f>
        <v/>
      </c>
      <c r="W99" s="422" t="str">
        <f t="shared" ca="1" si="6"/>
        <v/>
      </c>
      <c r="Z99" s="422" t="str">
        <f t="shared" ca="1" si="7"/>
        <v/>
      </c>
    </row>
    <row r="100" spans="1:26" x14ac:dyDescent="0.35">
      <c r="T100" s="64" t="str">
        <f t="shared" si="4"/>
        <v/>
      </c>
      <c r="U100" s="64" t="str">
        <f t="shared" si="5"/>
        <v/>
      </c>
      <c r="V100" s="422" t="str">
        <f>IF(OR(D100=0,D100="",D100="Athlete"),"",COUNTIF($D$4:$D100,D100))</f>
        <v/>
      </c>
      <c r="W100" s="422" t="str">
        <f t="shared" si="6"/>
        <v/>
      </c>
      <c r="Z100" s="422" t="str">
        <f t="shared" si="7"/>
        <v/>
      </c>
    </row>
    <row r="101" spans="1:26" x14ac:dyDescent="0.35">
      <c r="A101" s="66" t="s">
        <v>233</v>
      </c>
      <c r="B101" s="115" t="str">
        <f ca="1">IFERROR(INDIRECT(CONCATENATE("Field!B",A102)),"")</f>
        <v>High Jump U15 Girls A</v>
      </c>
      <c r="G101" s="121" t="str">
        <f ca="1">IFERROR(INDIRECT(CONCATENATE("Field!g",A102)),"")</f>
        <v/>
      </c>
      <c r="I101" s="115" t="str">
        <f ca="1">IFERROR(INDIRECT(CONCATENATE("Field!I",A102)),"")</f>
        <v>High Jump U15 Girls B</v>
      </c>
      <c r="T101" s="64" t="str">
        <f t="shared" si="4"/>
        <v/>
      </c>
      <c r="U101" s="64" t="str">
        <f t="shared" si="5"/>
        <v/>
      </c>
      <c r="V101" s="422" t="str">
        <f>IF(OR(D101=0,D101="",D101="Athlete"),"",COUNTIF($D$4:$D101,D101))</f>
        <v/>
      </c>
      <c r="W101" s="422" t="str">
        <f t="shared" si="6"/>
        <v/>
      </c>
      <c r="Z101" s="422" t="str">
        <f t="shared" ca="1" si="7"/>
        <v/>
      </c>
    </row>
    <row r="102" spans="1:26" x14ac:dyDescent="0.35">
      <c r="A102" s="66">
        <f>IFERROR(MATCH(A101,Field!A:A,0),"")</f>
        <v>178</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c r="T102" s="64" t="str">
        <f t="shared" ca="1" si="4"/>
        <v/>
      </c>
      <c r="U102" s="64" t="str">
        <f t="shared" ca="1" si="5"/>
        <v/>
      </c>
      <c r="V102" s="422" t="str">
        <f ca="1">IF(OR(D102=0,D102="",D102="Athlete"),"",COUNTIF($D$4:$D102,D102))</f>
        <v/>
      </c>
      <c r="W102" s="422" t="str">
        <f t="shared" ca="1" si="6"/>
        <v/>
      </c>
      <c r="Z102" s="422">
        <f t="shared" ca="1" si="7"/>
        <v>0</v>
      </c>
    </row>
    <row r="103" spans="1:26" x14ac:dyDescent="0.35">
      <c r="B103" s="66">
        <f ca="1">IFERROR(INDIRECT(CONCATENATE("Field!B",A102+2)),"")</f>
        <v>1</v>
      </c>
      <c r="C103" s="66">
        <f ca="1">IFERROR(INDIRECT(CONCATENATE("Field!C",A102+2)),"")</f>
        <v>1</v>
      </c>
      <c r="D103" s="89" t="str">
        <f ca="1">IFERROR(INDIRECT(CONCATENATE("Field!D",A102+2)),"")</f>
        <v>MOODY Hannah</v>
      </c>
      <c r="E103" s="89" t="str">
        <f ca="1">IFERROR(INDIRECT(CONCATENATE("Field!E",A102+2)),"")</f>
        <v>C'field</v>
      </c>
      <c r="F103" s="65">
        <f ca="1">IFERROR(INDIRECT(CONCATENATE("Field!F",A102+2)),"")</f>
        <v>1.55</v>
      </c>
      <c r="G103" s="121">
        <f ca="1">IFERROR(INDIRECT(CONCATENATE("Field!G",A102+2)),"")</f>
        <v>2</v>
      </c>
      <c r="H103" s="66"/>
      <c r="I103" s="66">
        <f ca="1">IFERROR(INDIRECT(CONCATENATE("Field!I",A102+2)),"")</f>
        <v>1</v>
      </c>
      <c r="J103" s="66">
        <f ca="1">IFERROR(INDIRECT(CONCATENATE("Field!J",A102+2)),"")</f>
        <v>22</v>
      </c>
      <c r="K103" s="89" t="str">
        <f ca="1">IFERROR(INDIRECT(CONCATENATE("Field!K",A102+2)),"")</f>
        <v>MYCROFT Tilly</v>
      </c>
      <c r="L103" s="89" t="str">
        <f ca="1">IFERROR(INDIRECT(CONCATENATE("Field!L",A102+2)),"")</f>
        <v>Sheff+D</v>
      </c>
      <c r="M103" s="65">
        <f ca="1">IFERROR(INDIRECT(CONCATENATE("Field!M",A102+2)),"")</f>
        <v>1.45</v>
      </c>
      <c r="N103" s="121">
        <f ca="1">IFERROR(INDIRECT(CONCATENATE("Field!N",A102+2)),"")</f>
        <v>4</v>
      </c>
      <c r="R103" s="219">
        <f ca="1">IFERROR(INDIRECT(CONCATENATE("Field!r",A102+2)),"")</f>
        <v>1</v>
      </c>
      <c r="T103" s="64">
        <f t="shared" ca="1" si="4"/>
        <v>3</v>
      </c>
      <c r="U103" s="64">
        <f t="shared" ca="1" si="5"/>
        <v>3</v>
      </c>
      <c r="V103" s="422">
        <f ca="1">IF(OR(D103=0,D103="",D103="Athlete"),"",COUNTIF($D$4:$D103,D103))</f>
        <v>2</v>
      </c>
      <c r="W103" s="422" t="str">
        <f t="shared" ca="1" si="6"/>
        <v>C'field</v>
      </c>
      <c r="Z103" s="422">
        <f t="shared" ca="1" si="7"/>
        <v>0</v>
      </c>
    </row>
    <row r="104" spans="1:26" x14ac:dyDescent="0.35">
      <c r="B104" s="66">
        <f ca="1">IFERROR(INDIRECT(CONCATENATE("Field!B",A102+3)),"")</f>
        <v>2</v>
      </c>
      <c r="C104" s="66">
        <f ca="1">IFERROR(INDIRECT(CONCATENATE("Field!C",A102+3)),"")</f>
        <v>3</v>
      </c>
      <c r="D104" s="89" t="str">
        <f ca="1">IFERROR(INDIRECT(CONCATENATE("Field!D",A102+3)),"")</f>
        <v>HOGG Frances</v>
      </c>
      <c r="E104" s="89" t="str">
        <f ca="1">IFERROR(INDIRECT(CONCATENATE("Field!E",A102+3)),"")</f>
        <v>York</v>
      </c>
      <c r="F104" s="65">
        <f ca="1">IFERROR(INDIRECT(CONCATENATE("Field!F",A102+3)),"")</f>
        <v>1.5</v>
      </c>
      <c r="G104" s="121">
        <f ca="1">IFERROR(INDIRECT(CONCATENATE("Field!G",A102+3)),"")</f>
        <v>3</v>
      </c>
      <c r="H104" s="66"/>
      <c r="I104" s="66">
        <f ca="1">IFERROR(INDIRECT(CONCATENATE("Field!I",A102+3)),"")</f>
        <v>2</v>
      </c>
      <c r="J104" s="66">
        <f ca="1">IFERROR(INDIRECT(CONCATENATE("Field!J",A102+3)),"")</f>
        <v>33</v>
      </c>
      <c r="K104" s="89" t="str">
        <f ca="1">IFERROR(INDIRECT(CONCATENATE("Field!K",A102+3)),"")</f>
        <v>TWEDDLE Bella</v>
      </c>
      <c r="L104" s="89" t="str">
        <f ca="1">IFERROR(INDIRECT(CONCATENATE("Field!L",A102+3)),"")</f>
        <v>York</v>
      </c>
      <c r="M104" s="65">
        <f ca="1">IFERROR(INDIRECT(CONCATENATE("Field!M",A102+3)),"")</f>
        <v>1.4</v>
      </c>
      <c r="N104" s="121" t="str">
        <f ca="1">IFERROR(INDIRECT(CONCATENATE("Field!N",A102+3)),"")</f>
        <v/>
      </c>
      <c r="T104" s="64">
        <f t="shared" ca="1" si="4"/>
        <v>3</v>
      </c>
      <c r="U104" s="64">
        <f t="shared" ca="1" si="5"/>
        <v>1</v>
      </c>
      <c r="V104" s="422">
        <f ca="1">IF(OR(D104=0,D104="",D104="Athlete"),"",COUNTIF($D$4:$D104,D104))</f>
        <v>2</v>
      </c>
      <c r="W104" s="422" t="str">
        <f t="shared" ca="1" si="6"/>
        <v>York</v>
      </c>
      <c r="Z104" s="422">
        <f t="shared" ca="1" si="7"/>
        <v>0</v>
      </c>
    </row>
    <row r="105" spans="1:26" x14ac:dyDescent="0.35">
      <c r="B105" s="66">
        <f ca="1">IFERROR(INDIRECT(CONCATENATE("Field!B",A102+4)),"")</f>
        <v>3</v>
      </c>
      <c r="C105" s="66">
        <f ca="1">IFERROR(INDIRECT(CONCATENATE("Field!C",A102+4)),"")</f>
        <v>2</v>
      </c>
      <c r="D105" s="89" t="str">
        <f ca="1">IFERROR(INDIRECT(CONCATENATE("Field!D",A102+4)),"")</f>
        <v>WOODHOUSE Polly</v>
      </c>
      <c r="E105" s="89" t="str">
        <f ca="1">IFERROR(INDIRECT(CONCATENATE("Field!E",A102+4)),"")</f>
        <v>Sheff+D</v>
      </c>
      <c r="F105" s="65">
        <f ca="1">IFERROR(INDIRECT(CONCATENATE("Field!F",A102+4)),"")</f>
        <v>1.5</v>
      </c>
      <c r="G105" s="121">
        <f ca="1">IFERROR(INDIRECT(CONCATENATE("Field!G",A102+4)),"")</f>
        <v>3</v>
      </c>
      <c r="H105" s="66"/>
      <c r="I105" s="66" t="str">
        <f ca="1">IFERROR(INDIRECT(CONCATENATE("Field!I",A102+4)),"")</f>
        <v/>
      </c>
      <c r="J105" s="66" t="str">
        <f ca="1">IFERROR(INDIRECT(CONCATENATE("Field!J",A102+4)),"")</f>
        <v/>
      </c>
      <c r="K105" s="89" t="str">
        <f ca="1">IFERROR(INDIRECT(CONCATENATE("Field!K",A102+4)),"")</f>
        <v/>
      </c>
      <c r="L105" s="89" t="str">
        <f ca="1">IFERROR(INDIRECT(CONCATENATE("Field!L",A102+4)),"")</f>
        <v/>
      </c>
      <c r="M105" s="65">
        <f ca="1">IFERROR(INDIRECT(CONCATENATE("Field!M",A102+4)),"")</f>
        <v>0</v>
      </c>
      <c r="N105" s="121" t="str">
        <f ca="1">IFERROR(INDIRECT(CONCATENATE("Field!N",A102+4)),"")</f>
        <v/>
      </c>
      <c r="T105" s="64">
        <f t="shared" ca="1" si="4"/>
        <v>1</v>
      </c>
      <c r="U105" s="64" t="str">
        <f t="shared" ca="1" si="5"/>
        <v/>
      </c>
      <c r="V105" s="422">
        <f ca="1">IF(OR(D105=0,D105="",D105="Athlete"),"",COUNTIF($D$4:$D105,D105))</f>
        <v>1</v>
      </c>
      <c r="W105" s="422" t="str">
        <f t="shared" ca="1" si="6"/>
        <v>Sheff+D</v>
      </c>
      <c r="Z105" s="422">
        <f t="shared" ca="1" si="7"/>
        <v>0</v>
      </c>
    </row>
    <row r="106" spans="1:26" x14ac:dyDescent="0.35">
      <c r="B106" s="66" t="str">
        <f ca="1">IFERROR(INDIRECT(CONCATENATE("Field!B",A102+5)),"")</f>
        <v/>
      </c>
      <c r="C106" s="66" t="str">
        <f ca="1">IFERROR(INDIRECT(CONCATENATE("Field!C",A102+5)),"")</f>
        <v/>
      </c>
      <c r="D106" s="89" t="str">
        <f ca="1">IFERROR(INDIRECT(CONCATENATE("Field!D",A102+5)),"")</f>
        <v/>
      </c>
      <c r="E106" s="89" t="str">
        <f ca="1">IFERROR(INDIRECT(CONCATENATE("Field!E",A102+5)),"")</f>
        <v/>
      </c>
      <c r="F106" s="65">
        <f ca="1">IFERROR(INDIRECT(CONCATENATE("Field!F",A102+5)),"")</f>
        <v>0</v>
      </c>
      <c r="G106" s="121" t="str">
        <f ca="1">IFERROR(INDIRECT(CONCATENATE("Field!G",A102+5)),"")</f>
        <v/>
      </c>
      <c r="H106" s="66"/>
      <c r="I106" s="66" t="str">
        <f ca="1">IFERROR(INDIRECT(CONCATENATE("Field!I",A102+5)),"")</f>
        <v/>
      </c>
      <c r="J106" s="66" t="str">
        <f ca="1">IFERROR(INDIRECT(CONCATENATE("Field!J",A102+5)),"")</f>
        <v/>
      </c>
      <c r="K106" s="89" t="str">
        <f ca="1">IFERROR(INDIRECT(CONCATENATE("Field!K",A102+5)),"")</f>
        <v/>
      </c>
      <c r="L106" s="89" t="str">
        <f ca="1">IFERROR(INDIRECT(CONCATENATE("Field!L",A102+5)),"")</f>
        <v/>
      </c>
      <c r="M106" s="65">
        <f ca="1">IFERROR(INDIRECT(CONCATENATE("Field!M",A102+5)),"")</f>
        <v>0</v>
      </c>
      <c r="N106" s="121" t="str">
        <f ca="1">IFERROR(INDIRECT(CONCATENATE("Field!N",A102+5)),"")</f>
        <v/>
      </c>
      <c r="T106" s="64" t="str">
        <f t="shared" ca="1" si="4"/>
        <v/>
      </c>
      <c r="U106" s="64" t="str">
        <f t="shared" ca="1" si="5"/>
        <v/>
      </c>
      <c r="V106" s="422" t="str">
        <f ca="1">IF(OR(D106=0,D106="",D106="Athlete"),"",COUNTIF($D$4:$D106,D106))</f>
        <v/>
      </c>
      <c r="W106" s="422" t="str">
        <f t="shared" ca="1" si="6"/>
        <v/>
      </c>
      <c r="Z106" s="422" t="str">
        <f t="shared" ca="1" si="7"/>
        <v/>
      </c>
    </row>
    <row r="107" spans="1:26" x14ac:dyDescent="0.35">
      <c r="B107" s="66" t="str">
        <f ca="1">IFERROR(INDIRECT(CONCATENATE("Field!B",A102+6)),"")</f>
        <v/>
      </c>
      <c r="C107" s="66" t="str">
        <f ca="1">IFERROR(INDIRECT(CONCATENATE("Field!C",A102+6)),"")</f>
        <v/>
      </c>
      <c r="D107" s="89" t="str">
        <f ca="1">IFERROR(INDIRECT(CONCATENATE("Field!D",A102+6)),"")</f>
        <v/>
      </c>
      <c r="E107" s="89" t="str">
        <f ca="1">IFERROR(INDIRECT(CONCATENATE("Field!E",A102+6)),"")</f>
        <v/>
      </c>
      <c r="F107" s="65">
        <f ca="1">IFERROR(INDIRECT(CONCATENATE("Field!F",A102+6)),"")</f>
        <v>0</v>
      </c>
      <c r="G107" s="121" t="str">
        <f ca="1">IFERROR(INDIRECT(CONCATENATE("Field!G",A102+6)),"")</f>
        <v/>
      </c>
      <c r="H107" s="66"/>
      <c r="I107" s="66" t="str">
        <f ca="1">IFERROR(INDIRECT(CONCATENATE("Field!I",A102+6)),"")</f>
        <v/>
      </c>
      <c r="J107" s="66" t="str">
        <f ca="1">IFERROR(INDIRECT(CONCATENATE("Field!J",A102+6)),"")</f>
        <v/>
      </c>
      <c r="K107" s="89" t="str">
        <f ca="1">IFERROR(INDIRECT(CONCATENATE("Field!K",A102+6)),"")</f>
        <v/>
      </c>
      <c r="L107" s="89" t="str">
        <f ca="1">IFERROR(INDIRECT(CONCATENATE("Field!L",A102+6)),"")</f>
        <v/>
      </c>
      <c r="M107" s="65">
        <f ca="1">IFERROR(INDIRECT(CONCATENATE("Field!M",A102+6)),"")</f>
        <v>0</v>
      </c>
      <c r="N107" s="121" t="str">
        <f ca="1">IFERROR(INDIRECT(CONCATENATE("Field!N",A102+6)),"")</f>
        <v/>
      </c>
      <c r="T107" s="64" t="str">
        <f t="shared" ca="1" si="4"/>
        <v/>
      </c>
      <c r="U107" s="64" t="str">
        <f t="shared" ca="1" si="5"/>
        <v/>
      </c>
      <c r="V107" s="422" t="str">
        <f ca="1">IF(OR(D107=0,D107="",D107="Athlete"),"",COUNTIF($D$4:$D107,D107))</f>
        <v/>
      </c>
      <c r="W107" s="422" t="str">
        <f t="shared" ca="1" si="6"/>
        <v/>
      </c>
      <c r="Z107" s="422" t="str">
        <f t="shared" ca="1" si="7"/>
        <v/>
      </c>
    </row>
    <row r="108" spans="1:26" x14ac:dyDescent="0.35">
      <c r="B108" s="66" t="str">
        <f ca="1">IFERROR(INDIRECT(CONCATENATE("Field!B",A102+7)),"")</f>
        <v/>
      </c>
      <c r="C108" s="66" t="str">
        <f ca="1">IFERROR(INDIRECT(CONCATENATE("Field!C",A102+7)),"")</f>
        <v/>
      </c>
      <c r="D108" s="89" t="str">
        <f ca="1">IFERROR(INDIRECT(CONCATENATE("Field!D",A102+7)),"")</f>
        <v/>
      </c>
      <c r="E108" s="89" t="str">
        <f ca="1">IFERROR(INDIRECT(CONCATENATE("Field!E",A102+7)),"")</f>
        <v/>
      </c>
      <c r="F108" s="65">
        <f ca="1">IFERROR(INDIRECT(CONCATENATE("Field!F",A102+7)),"")</f>
        <v>0</v>
      </c>
      <c r="G108" s="121" t="str">
        <f ca="1">IFERROR(INDIRECT(CONCATENATE("Field!G",A102+7)),"")</f>
        <v/>
      </c>
      <c r="H108" s="66"/>
      <c r="I108" s="66" t="str">
        <f ca="1">IFERROR(INDIRECT(CONCATENATE("Field!I",A102+7)),"")</f>
        <v/>
      </c>
      <c r="J108" s="66" t="str">
        <f ca="1">IFERROR(INDIRECT(CONCATENATE("Field!J",A102+7)),"")</f>
        <v/>
      </c>
      <c r="K108" s="89" t="str">
        <f ca="1">IFERROR(INDIRECT(CONCATENATE("Field!K",A102+7)),"")</f>
        <v/>
      </c>
      <c r="L108" s="89" t="str">
        <f ca="1">IFERROR(INDIRECT(CONCATENATE("Field!L",A102+7)),"")</f>
        <v/>
      </c>
      <c r="M108" s="65">
        <f ca="1">IFERROR(INDIRECT(CONCATENATE("Field!M",A102+7)),"")</f>
        <v>0</v>
      </c>
      <c r="N108" s="121" t="str">
        <f ca="1">IFERROR(INDIRECT(CONCATENATE("Field!N",A102+7)),"")</f>
        <v/>
      </c>
      <c r="T108" s="64" t="str">
        <f t="shared" ca="1" si="4"/>
        <v/>
      </c>
      <c r="U108" s="64" t="str">
        <f t="shared" ca="1" si="5"/>
        <v/>
      </c>
      <c r="V108" s="422" t="str">
        <f ca="1">IF(OR(D108=0,D108="",D108="Athlete"),"",COUNTIF($D$4:$D108,D108))</f>
        <v/>
      </c>
      <c r="W108" s="422" t="str">
        <f t="shared" ca="1" si="6"/>
        <v/>
      </c>
      <c r="Z108" s="422" t="str">
        <f t="shared" ca="1" si="7"/>
        <v/>
      </c>
    </row>
    <row r="109" spans="1:26" x14ac:dyDescent="0.35">
      <c r="B109" s="66" t="str">
        <f ca="1">IFERROR(INDIRECT(CONCATENATE("Field!B",A102+8)),"")</f>
        <v/>
      </c>
      <c r="C109" s="66" t="str">
        <f ca="1">IFERROR(INDIRECT(CONCATENATE("Field!C",A102+8)),"")</f>
        <v/>
      </c>
      <c r="D109" s="89" t="str">
        <f ca="1">IFERROR(INDIRECT(CONCATENATE("Field!D",A102+8)),"")</f>
        <v/>
      </c>
      <c r="E109" s="89" t="str">
        <f ca="1">IFERROR(INDIRECT(CONCATENATE("Field!E",A102+8)),"")</f>
        <v/>
      </c>
      <c r="F109" s="65">
        <f ca="1">IFERROR(INDIRECT(CONCATENATE("Field!F",A102+8)),"")</f>
        <v>0</v>
      </c>
      <c r="G109" s="121" t="str">
        <f ca="1">IFERROR(INDIRECT(CONCATENATE("Field!G",A102+8)),"")</f>
        <v/>
      </c>
      <c r="H109" s="66"/>
      <c r="I109" s="66" t="str">
        <f ca="1">IFERROR(INDIRECT(CONCATENATE("Field!I",A102+8)),"")</f>
        <v/>
      </c>
      <c r="J109" s="66" t="str">
        <f ca="1">IFERROR(INDIRECT(CONCATENATE("Field!J",A102+8)),"")</f>
        <v/>
      </c>
      <c r="K109" s="89" t="str">
        <f ca="1">IFERROR(INDIRECT(CONCATENATE("Field!K",A102+8)),"")</f>
        <v/>
      </c>
      <c r="L109" s="89" t="str">
        <f ca="1">IFERROR(INDIRECT(CONCATENATE("Field!L",A102+8)),"")</f>
        <v/>
      </c>
      <c r="M109" s="65">
        <f ca="1">IFERROR(INDIRECT(CONCATENATE("Field!M",A102+8)),"")</f>
        <v>0</v>
      </c>
      <c r="N109" s="121" t="str">
        <f ca="1">IFERROR(INDIRECT(CONCATENATE("Field!N",A102+8)),"")</f>
        <v/>
      </c>
      <c r="T109" s="64" t="str">
        <f t="shared" ca="1" si="4"/>
        <v/>
      </c>
      <c r="U109" s="64" t="str">
        <f t="shared" ca="1" si="5"/>
        <v/>
      </c>
      <c r="V109" s="422" t="str">
        <f ca="1">IF(OR(D109=0,D109="",D109="Athlete"),"",COUNTIF($D$4:$D109,D109))</f>
        <v/>
      </c>
      <c r="W109" s="422" t="str">
        <f t="shared" ca="1" si="6"/>
        <v/>
      </c>
      <c r="Z109" s="422" t="str">
        <f t="shared" ca="1" si="7"/>
        <v/>
      </c>
    </row>
    <row r="110" spans="1:26" x14ac:dyDescent="0.35">
      <c r="B110" s="66" t="str">
        <f ca="1">IFERROR(INDIRECT(CONCATENATE("Field!B",A102+9)),"")</f>
        <v/>
      </c>
      <c r="C110" s="66" t="str">
        <f ca="1">IFERROR(INDIRECT(CONCATENATE("Field!C",A102+9)),"")</f>
        <v/>
      </c>
      <c r="D110" s="89" t="str">
        <f ca="1">IFERROR(INDIRECT(CONCATENATE("Field!D",A102+9)),"")</f>
        <v/>
      </c>
      <c r="E110" s="89" t="str">
        <f ca="1">IFERROR(INDIRECT(CONCATENATE("Field!E",A102+9)),"")</f>
        <v/>
      </c>
      <c r="F110" s="65">
        <f ca="1">IFERROR(INDIRECT(CONCATENATE("Field!F",A102+9)),"")</f>
        <v>0</v>
      </c>
      <c r="G110" s="121" t="str">
        <f ca="1">IFERROR(INDIRECT(CONCATENATE("Field!G",A102+9)),"")</f>
        <v/>
      </c>
      <c r="H110" s="66"/>
      <c r="I110" s="66" t="str">
        <f ca="1">IFERROR(INDIRECT(CONCATENATE("Field!I",A102+9)),"")</f>
        <v/>
      </c>
      <c r="J110" s="66" t="str">
        <f ca="1">IFERROR(INDIRECT(CONCATENATE("Field!J",A102+9)),"")</f>
        <v/>
      </c>
      <c r="K110" s="89" t="str">
        <f ca="1">IFERROR(INDIRECT(CONCATENATE("Field!K",A102+9)),"")</f>
        <v/>
      </c>
      <c r="L110" s="89" t="str">
        <f ca="1">IFERROR(INDIRECT(CONCATENATE("Field!L",A102+9)),"")</f>
        <v/>
      </c>
      <c r="M110" s="65">
        <f ca="1">IFERROR(INDIRECT(CONCATENATE("Field!M",A102+9)),"")</f>
        <v>0</v>
      </c>
      <c r="N110" s="121" t="str">
        <f ca="1">IFERROR(INDIRECT(CONCATENATE("Field!N",A102+9)),"")</f>
        <v/>
      </c>
      <c r="T110" s="64" t="str">
        <f t="shared" ca="1" si="4"/>
        <v/>
      </c>
      <c r="U110" s="64" t="str">
        <f t="shared" ca="1" si="5"/>
        <v/>
      </c>
      <c r="V110" s="422" t="str">
        <f ca="1">IF(OR(D110=0,D110="",D110="Athlete"),"",COUNTIF($D$4:$D110,D110))</f>
        <v/>
      </c>
      <c r="W110" s="422" t="str">
        <f t="shared" ca="1" si="6"/>
        <v/>
      </c>
      <c r="Z110" s="422" t="str">
        <f t="shared" ca="1" si="7"/>
        <v/>
      </c>
    </row>
    <row r="111" spans="1:26" x14ac:dyDescent="0.35">
      <c r="T111" s="64" t="str">
        <f t="shared" si="4"/>
        <v/>
      </c>
      <c r="U111" s="64" t="str">
        <f t="shared" si="5"/>
        <v/>
      </c>
      <c r="V111" s="422" t="str">
        <f>IF(OR(D111=0,D111="",D111="Athlete"),"",COUNTIF($D$4:$D111,D111))</f>
        <v/>
      </c>
      <c r="W111" s="422" t="str">
        <f t="shared" si="6"/>
        <v/>
      </c>
      <c r="Z111" s="422" t="str">
        <f t="shared" si="7"/>
        <v/>
      </c>
    </row>
    <row r="112" spans="1:26" x14ac:dyDescent="0.35">
      <c r="A112" s="66" t="s">
        <v>240</v>
      </c>
      <c r="B112" s="115" t="str">
        <f ca="1">IFERROR(INDIRECT(CONCATENATE("Field!B",A113)),"")</f>
        <v>Pole Vault U15 Girls A</v>
      </c>
      <c r="G112" s="121" t="str">
        <f ca="1">IFERROR(INDIRECT(CONCATENATE("Field!g",A113)),"")</f>
        <v/>
      </c>
      <c r="I112" s="115" t="str">
        <f ca="1">IFERROR(INDIRECT(CONCATENATE("Field!I",A113)),"")</f>
        <v>Pole Vault U15 Girls B</v>
      </c>
      <c r="T112" s="64" t="str">
        <f t="shared" si="4"/>
        <v/>
      </c>
      <c r="U112" s="64" t="str">
        <f t="shared" si="5"/>
        <v/>
      </c>
      <c r="V112" s="422" t="str">
        <f>IF(OR(D112=0,D112="",D112="Athlete"),"",COUNTIF($D$4:$D112,D112))</f>
        <v/>
      </c>
      <c r="W112" s="422" t="str">
        <f t="shared" si="6"/>
        <v/>
      </c>
      <c r="Z112" s="422" t="str">
        <f t="shared" ca="1" si="7"/>
        <v/>
      </c>
    </row>
    <row r="113" spans="1:26" x14ac:dyDescent="0.35">
      <c r="A113" s="66">
        <f>IFERROR(MATCH(A112,Field!A:A,0),"")</f>
        <v>222</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c r="T113" s="64" t="str">
        <f t="shared" ca="1" si="4"/>
        <v/>
      </c>
      <c r="U113" s="64" t="str">
        <f t="shared" ca="1" si="5"/>
        <v/>
      </c>
      <c r="V113" s="422" t="str">
        <f ca="1">IF(OR(D113=0,D113="",D113="Athlete"),"",COUNTIF($D$4:$D113,D113))</f>
        <v/>
      </c>
      <c r="W113" s="422" t="str">
        <f t="shared" ca="1" si="6"/>
        <v/>
      </c>
      <c r="Z113" s="422">
        <f t="shared" ca="1" si="7"/>
        <v>0</v>
      </c>
    </row>
    <row r="114" spans="1:26" x14ac:dyDescent="0.35">
      <c r="B114" s="66">
        <f ca="1">IFERROR(INDIRECT(CONCATENATE("Field!B",A113+2)),"")</f>
        <v>1</v>
      </c>
      <c r="C114" s="66">
        <f ca="1">IFERROR(INDIRECT(CONCATENATE("Field!C",A113+2)),"")</f>
        <v>1</v>
      </c>
      <c r="D114" s="89" t="str">
        <f ca="1">IFERROR(INDIRECT(CONCATENATE("Field!D",A113+2)),"")</f>
        <v>MOODY Hannah</v>
      </c>
      <c r="E114" s="89" t="str">
        <f ca="1">IFERROR(INDIRECT(CONCATENATE("Field!E",A113+2)),"")</f>
        <v>C'field</v>
      </c>
      <c r="F114" s="65">
        <f ca="1">IFERROR(INDIRECT(CONCATENATE("Field!F",A113+2)),"")</f>
        <v>2.5</v>
      </c>
      <c r="G114" s="121">
        <f ca="1">IFERROR(INDIRECT(CONCATENATE("Field!G",A113+2)),"")</f>
        <v>3</v>
      </c>
      <c r="H114" s="66"/>
      <c r="I114" s="66">
        <f ca="1">IFERROR(INDIRECT(CONCATENATE("Field!I",A113+2)),"")</f>
        <v>1</v>
      </c>
      <c r="J114" s="66">
        <f ca="1">IFERROR(INDIRECT(CONCATENATE("Field!J",A113+2)),"")</f>
        <v>11</v>
      </c>
      <c r="K114" s="89" t="str">
        <f ca="1">IFERROR(INDIRECT(CONCATENATE("Field!K",A113+2)),"")</f>
        <v>PROCTOR Alicia</v>
      </c>
      <c r="L114" s="89" t="str">
        <f ca="1">IFERROR(INDIRECT(CONCATENATE("Field!L",A113+2)),"")</f>
        <v>C'field</v>
      </c>
      <c r="M114" s="65" t="str">
        <f ca="1">IFERROR(INDIRECT(CONCATENATE("Field!M",A113+2)),"")</f>
        <v>X</v>
      </c>
      <c r="N114" s="121" t="str">
        <f ca="1">IFERROR(INDIRECT(CONCATENATE("Field!N",A113+2)),"")</f>
        <v/>
      </c>
      <c r="R114" s="219">
        <f ca="1">IFERROR(INDIRECT(CONCATENATE("Field!r",A113+2)),"")</f>
        <v>1</v>
      </c>
      <c r="T114" s="64">
        <f t="shared" ca="1" si="4"/>
        <v>3</v>
      </c>
      <c r="U114" s="64">
        <f t="shared" ca="1" si="5"/>
        <v>3</v>
      </c>
      <c r="V114" s="422">
        <f ca="1">IF(OR(D114=0,D114="",D114="Athlete"),"",COUNTIF($D$4:$D114,D114))</f>
        <v>3</v>
      </c>
      <c r="W114" s="422" t="str">
        <f t="shared" ca="1" si="6"/>
        <v>C'field</v>
      </c>
      <c r="Z114" s="422">
        <f t="shared" ca="1" si="7"/>
        <v>0</v>
      </c>
    </row>
    <row r="115" spans="1:26" x14ac:dyDescent="0.35">
      <c r="B115" s="66">
        <f ca="1">IFERROR(INDIRECT(CONCATENATE("Field!B",A113+3)),"")</f>
        <v>2</v>
      </c>
      <c r="C115" s="66">
        <f ca="1">IFERROR(INDIRECT(CONCATENATE("Field!C",A113+3)),"")</f>
        <v>33</v>
      </c>
      <c r="D115" s="89" t="str">
        <f ca="1">IFERROR(INDIRECT(CONCATENATE("Field!D",A113+3)),"")</f>
        <v>LEE Isabel</v>
      </c>
      <c r="E115" s="89" t="str">
        <f ca="1">IFERROR(INDIRECT(CONCATENATE("Field!E",A113+3)),"")</f>
        <v>York</v>
      </c>
      <c r="F115" s="65" t="str">
        <f ca="1">IFERROR(INDIRECT(CONCATENATE("Field!F",A113+3)),"")</f>
        <v>X</v>
      </c>
      <c r="G115" s="121" t="str">
        <f ca="1">IFERROR(INDIRECT(CONCATENATE("Field!G",A113+3)),"")</f>
        <v/>
      </c>
      <c r="H115" s="66"/>
      <c r="I115" s="66" t="str">
        <f ca="1">IFERROR(INDIRECT(CONCATENATE("Field!I",A113+3)),"")</f>
        <v/>
      </c>
      <c r="J115" s="66" t="str">
        <f ca="1">IFERROR(INDIRECT(CONCATENATE("Field!J",A113+3)),"")</f>
        <v/>
      </c>
      <c r="K115" s="89" t="str">
        <f ca="1">IFERROR(INDIRECT(CONCATENATE("Field!K",A113+3)),"")</f>
        <v/>
      </c>
      <c r="L115" s="89" t="str">
        <f ca="1">IFERROR(INDIRECT(CONCATENATE("Field!L",A113+3)),"")</f>
        <v/>
      </c>
      <c r="M115" s="65">
        <f ca="1">IFERROR(INDIRECT(CONCATENATE("Field!M",A113+3)),"")</f>
        <v>0</v>
      </c>
      <c r="N115" s="121" t="str">
        <f ca="1">IFERROR(INDIRECT(CONCATENATE("Field!N",A113+3)),"")</f>
        <v/>
      </c>
      <c r="T115" s="64">
        <f t="shared" ca="1" si="4"/>
        <v>3</v>
      </c>
      <c r="U115" s="64" t="str">
        <f t="shared" ca="1" si="5"/>
        <v/>
      </c>
      <c r="V115" s="422">
        <f ca="1">IF(OR(D115=0,D115="",D115="Athlete"),"",COUNTIF($D$4:$D115,D115))</f>
        <v>1</v>
      </c>
      <c r="W115" s="422" t="str">
        <f t="shared" ca="1" si="6"/>
        <v>York</v>
      </c>
      <c r="Z115" s="422" t="str">
        <f t="shared" ca="1" si="7"/>
        <v/>
      </c>
    </row>
    <row r="116" spans="1:26" x14ac:dyDescent="0.35">
      <c r="B116" s="66" t="str">
        <f ca="1">IFERROR(INDIRECT(CONCATENATE("Field!B",A113+4)),"")</f>
        <v/>
      </c>
      <c r="C116" s="66" t="str">
        <f ca="1">IFERROR(INDIRECT(CONCATENATE("Field!C",A113+4)),"")</f>
        <v/>
      </c>
      <c r="D116" s="89" t="str">
        <f ca="1">IFERROR(INDIRECT(CONCATENATE("Field!D",A113+4)),"")</f>
        <v/>
      </c>
      <c r="E116" s="89" t="str">
        <f ca="1">IFERROR(INDIRECT(CONCATENATE("Field!E",A113+4)),"")</f>
        <v/>
      </c>
      <c r="F116" s="65">
        <f ca="1">IFERROR(INDIRECT(CONCATENATE("Field!F",A113+4)),"")</f>
        <v>0</v>
      </c>
      <c r="G116" s="121" t="str">
        <f ca="1">IFERROR(INDIRECT(CONCATENATE("Field!G",A113+4)),"")</f>
        <v/>
      </c>
      <c r="H116" s="66"/>
      <c r="I116" s="66" t="str">
        <f ca="1">IFERROR(INDIRECT(CONCATENATE("Field!I",A113+4)),"")</f>
        <v/>
      </c>
      <c r="J116" s="66" t="str">
        <f ca="1">IFERROR(INDIRECT(CONCATENATE("Field!J",A113+4)),"")</f>
        <v/>
      </c>
      <c r="K116" s="89" t="str">
        <f ca="1">IFERROR(INDIRECT(CONCATENATE("Field!K",A113+4)),"")</f>
        <v/>
      </c>
      <c r="L116" s="89" t="str">
        <f ca="1">IFERROR(INDIRECT(CONCATENATE("Field!L",A113+4)),"")</f>
        <v/>
      </c>
      <c r="M116" s="65">
        <f ca="1">IFERROR(INDIRECT(CONCATENATE("Field!M",A113+4)),"")</f>
        <v>0</v>
      </c>
      <c r="N116" s="121" t="str">
        <f ca="1">IFERROR(INDIRECT(CONCATENATE("Field!N",A113+4)),"")</f>
        <v/>
      </c>
      <c r="T116" s="64" t="str">
        <f t="shared" ca="1" si="4"/>
        <v/>
      </c>
      <c r="U116" s="64" t="str">
        <f t="shared" ca="1" si="5"/>
        <v/>
      </c>
      <c r="V116" s="422" t="str">
        <f ca="1">IF(OR(D116=0,D116="",D116="Athlete"),"",COUNTIF($D$4:$D116,D116))</f>
        <v/>
      </c>
      <c r="W116" s="422" t="str">
        <f t="shared" ca="1" si="6"/>
        <v/>
      </c>
      <c r="Z116" s="422" t="str">
        <f t="shared" ca="1" si="7"/>
        <v/>
      </c>
    </row>
    <row r="117" spans="1:26" x14ac:dyDescent="0.35">
      <c r="B117" s="66" t="str">
        <f ca="1">IFERROR(INDIRECT(CONCATENATE("Field!B",A113+5)),"")</f>
        <v/>
      </c>
      <c r="C117" s="66" t="str">
        <f ca="1">IFERROR(INDIRECT(CONCATENATE("Field!C",A113+5)),"")</f>
        <v/>
      </c>
      <c r="D117" s="89" t="str">
        <f ca="1">IFERROR(INDIRECT(CONCATENATE("Field!D",A113+5)),"")</f>
        <v/>
      </c>
      <c r="E117" s="89" t="str">
        <f ca="1">IFERROR(INDIRECT(CONCATENATE("Field!E",A113+5)),"")</f>
        <v/>
      </c>
      <c r="F117" s="65">
        <f ca="1">IFERROR(INDIRECT(CONCATENATE("Field!F",A113+5)),"")</f>
        <v>0</v>
      </c>
      <c r="G117" s="121" t="str">
        <f ca="1">IFERROR(INDIRECT(CONCATENATE("Field!G",A113+5)),"")</f>
        <v/>
      </c>
      <c r="H117" s="66"/>
      <c r="I117" s="66" t="str">
        <f ca="1">IFERROR(INDIRECT(CONCATENATE("Field!I",A113+5)),"")</f>
        <v/>
      </c>
      <c r="J117" s="66" t="str">
        <f ca="1">IFERROR(INDIRECT(CONCATENATE("Field!J",A113+5)),"")</f>
        <v/>
      </c>
      <c r="K117" s="89" t="str">
        <f ca="1">IFERROR(INDIRECT(CONCATENATE("Field!K",A113+5)),"")</f>
        <v/>
      </c>
      <c r="L117" s="89" t="str">
        <f ca="1">IFERROR(INDIRECT(CONCATENATE("Field!L",A113+5)),"")</f>
        <v/>
      </c>
      <c r="M117" s="65">
        <f ca="1">IFERROR(INDIRECT(CONCATENATE("Field!M",A113+5)),"")</f>
        <v>0</v>
      </c>
      <c r="N117" s="121" t="str">
        <f ca="1">IFERROR(INDIRECT(CONCATENATE("Field!N",A113+5)),"")</f>
        <v/>
      </c>
      <c r="T117" s="64" t="str">
        <f t="shared" ca="1" si="4"/>
        <v/>
      </c>
      <c r="U117" s="64" t="str">
        <f t="shared" ca="1" si="5"/>
        <v/>
      </c>
      <c r="V117" s="422" t="str">
        <f ca="1">IF(OR(D117=0,D117="",D117="Athlete"),"",COUNTIF($D$4:$D117,D117))</f>
        <v/>
      </c>
      <c r="W117" s="422" t="str">
        <f t="shared" ca="1" si="6"/>
        <v/>
      </c>
      <c r="Z117" s="422" t="str">
        <f t="shared" ca="1" si="7"/>
        <v/>
      </c>
    </row>
    <row r="118" spans="1:26" x14ac:dyDescent="0.35">
      <c r="B118" s="66" t="str">
        <f ca="1">IFERROR(INDIRECT(CONCATENATE("Field!B",A113+6)),"")</f>
        <v/>
      </c>
      <c r="C118" s="66" t="str">
        <f ca="1">IFERROR(INDIRECT(CONCATENATE("Field!C",A113+6)),"")</f>
        <v/>
      </c>
      <c r="D118" s="89" t="str">
        <f ca="1">IFERROR(INDIRECT(CONCATENATE("Field!D",A113+6)),"")</f>
        <v/>
      </c>
      <c r="E118" s="89" t="str">
        <f ca="1">IFERROR(INDIRECT(CONCATENATE("Field!E",A113+6)),"")</f>
        <v/>
      </c>
      <c r="F118" s="65">
        <f ca="1">IFERROR(INDIRECT(CONCATENATE("Field!F",A113+6)),"")</f>
        <v>0</v>
      </c>
      <c r="G118" s="121" t="str">
        <f ca="1">IFERROR(INDIRECT(CONCATENATE("Field!G",A113+6)),"")</f>
        <v/>
      </c>
      <c r="H118" s="66"/>
      <c r="I118" s="66" t="str">
        <f ca="1">IFERROR(INDIRECT(CONCATENATE("Field!I",A113+6)),"")</f>
        <v/>
      </c>
      <c r="J118" s="66" t="str">
        <f ca="1">IFERROR(INDIRECT(CONCATENATE("Field!J",A113+6)),"")</f>
        <v/>
      </c>
      <c r="K118" s="89" t="str">
        <f ca="1">IFERROR(INDIRECT(CONCATENATE("Field!K",A113+6)),"")</f>
        <v/>
      </c>
      <c r="L118" s="89" t="str">
        <f ca="1">IFERROR(INDIRECT(CONCATENATE("Field!L",A113+6)),"")</f>
        <v/>
      </c>
      <c r="M118" s="65">
        <f ca="1">IFERROR(INDIRECT(CONCATENATE("Field!M",A113+6)),"")</f>
        <v>0</v>
      </c>
      <c r="N118" s="121" t="str">
        <f ca="1">IFERROR(INDIRECT(CONCATENATE("Field!N",A113+6)),"")</f>
        <v/>
      </c>
      <c r="T118" s="64" t="str">
        <f t="shared" ca="1" si="4"/>
        <v/>
      </c>
      <c r="U118" s="64" t="str">
        <f t="shared" ca="1" si="5"/>
        <v/>
      </c>
      <c r="V118" s="422" t="str">
        <f ca="1">IF(OR(D118=0,D118="",D118="Athlete"),"",COUNTIF($D$4:$D118,D118))</f>
        <v/>
      </c>
      <c r="W118" s="422" t="str">
        <f t="shared" ca="1" si="6"/>
        <v/>
      </c>
      <c r="Z118" s="422" t="str">
        <f t="shared" ca="1" si="7"/>
        <v/>
      </c>
    </row>
    <row r="119" spans="1:26" x14ac:dyDescent="0.35">
      <c r="B119" s="66" t="str">
        <f ca="1">IFERROR(INDIRECT(CONCATENATE("Field!B",A113+7)),"")</f>
        <v/>
      </c>
      <c r="C119" s="66" t="str">
        <f ca="1">IFERROR(INDIRECT(CONCATENATE("Field!C",A113+7)),"")</f>
        <v/>
      </c>
      <c r="D119" s="89" t="str">
        <f ca="1">IFERROR(INDIRECT(CONCATENATE("Field!D",A113+7)),"")</f>
        <v/>
      </c>
      <c r="E119" s="89" t="str">
        <f ca="1">IFERROR(INDIRECT(CONCATENATE("Field!E",A113+7)),"")</f>
        <v/>
      </c>
      <c r="F119" s="65">
        <f ca="1">IFERROR(INDIRECT(CONCATENATE("Field!F",A113+7)),"")</f>
        <v>0</v>
      </c>
      <c r="G119" s="121" t="str">
        <f ca="1">IFERROR(INDIRECT(CONCATENATE("Field!G",A113+7)),"")</f>
        <v/>
      </c>
      <c r="H119" s="66"/>
      <c r="I119" s="66" t="str">
        <f ca="1">IFERROR(INDIRECT(CONCATENATE("Field!I",A113+7)),"")</f>
        <v/>
      </c>
      <c r="J119" s="66" t="str">
        <f ca="1">IFERROR(INDIRECT(CONCATENATE("Field!J",A113+7)),"")</f>
        <v/>
      </c>
      <c r="K119" s="89" t="str">
        <f ca="1">IFERROR(INDIRECT(CONCATENATE("Field!K",A113+7)),"")</f>
        <v/>
      </c>
      <c r="L119" s="89" t="str">
        <f ca="1">IFERROR(INDIRECT(CONCATENATE("Field!L",A113+7)),"")</f>
        <v/>
      </c>
      <c r="M119" s="65">
        <f ca="1">IFERROR(INDIRECT(CONCATENATE("Field!M",A113+7)),"")</f>
        <v>0</v>
      </c>
      <c r="N119" s="121" t="str">
        <f ca="1">IFERROR(INDIRECT(CONCATENATE("Field!N",A113+7)),"")</f>
        <v/>
      </c>
      <c r="T119" s="64" t="str">
        <f t="shared" ca="1" si="4"/>
        <v/>
      </c>
      <c r="U119" s="64" t="str">
        <f t="shared" ca="1" si="5"/>
        <v/>
      </c>
      <c r="V119" s="422" t="str">
        <f ca="1">IF(OR(D119=0,D119="",D119="Athlete"),"",COUNTIF($D$4:$D119,D119))</f>
        <v/>
      </c>
      <c r="W119" s="422" t="str">
        <f t="shared" ca="1" si="6"/>
        <v/>
      </c>
      <c r="Z119" s="422" t="str">
        <f t="shared" ca="1" si="7"/>
        <v/>
      </c>
    </row>
    <row r="120" spans="1:26" x14ac:dyDescent="0.35">
      <c r="B120" s="66" t="str">
        <f ca="1">IFERROR(INDIRECT(CONCATENATE("Field!B",A113+8)),"")</f>
        <v/>
      </c>
      <c r="C120" s="66" t="str">
        <f ca="1">IFERROR(INDIRECT(CONCATENATE("Field!C",A113+8)),"")</f>
        <v/>
      </c>
      <c r="D120" s="89" t="str">
        <f ca="1">IFERROR(INDIRECT(CONCATENATE("Field!D",A113+8)),"")</f>
        <v/>
      </c>
      <c r="E120" s="89" t="str">
        <f ca="1">IFERROR(INDIRECT(CONCATENATE("Field!E",A113+8)),"")</f>
        <v/>
      </c>
      <c r="F120" s="65">
        <f ca="1">IFERROR(INDIRECT(CONCATENATE("Field!F",A113+8)),"")</f>
        <v>0</v>
      </c>
      <c r="G120" s="121" t="str">
        <f ca="1">IFERROR(INDIRECT(CONCATENATE("Field!G",A113+8)),"")</f>
        <v/>
      </c>
      <c r="H120" s="66"/>
      <c r="I120" s="66" t="str">
        <f ca="1">IFERROR(INDIRECT(CONCATENATE("Field!I",A113+8)),"")</f>
        <v/>
      </c>
      <c r="J120" s="66" t="str">
        <f ca="1">IFERROR(INDIRECT(CONCATENATE("Field!J",A113+8)),"")</f>
        <v/>
      </c>
      <c r="K120" s="89" t="str">
        <f ca="1">IFERROR(INDIRECT(CONCATENATE("Field!K",A113+8)),"")</f>
        <v/>
      </c>
      <c r="L120" s="89" t="str">
        <f ca="1">IFERROR(INDIRECT(CONCATENATE("Field!L",A113+8)),"")</f>
        <v/>
      </c>
      <c r="M120" s="65">
        <f ca="1">IFERROR(INDIRECT(CONCATENATE("Field!M",A113+8)),"")</f>
        <v>0</v>
      </c>
      <c r="N120" s="121" t="str">
        <f ca="1">IFERROR(INDIRECT(CONCATENATE("Field!N",A113+8)),"")</f>
        <v/>
      </c>
      <c r="T120" s="64" t="str">
        <f t="shared" ca="1" si="4"/>
        <v/>
      </c>
      <c r="U120" s="64" t="str">
        <f t="shared" ca="1" si="5"/>
        <v/>
      </c>
      <c r="V120" s="422" t="str">
        <f ca="1">IF(OR(D120=0,D120="",D120="Athlete"),"",COUNTIF($D$4:$D120,D120))</f>
        <v/>
      </c>
      <c r="W120" s="422" t="str">
        <f t="shared" ca="1" si="6"/>
        <v/>
      </c>
      <c r="Z120" s="422" t="str">
        <f t="shared" ca="1" si="7"/>
        <v/>
      </c>
    </row>
    <row r="121" spans="1:26" x14ac:dyDescent="0.35">
      <c r="B121" s="66" t="str">
        <f ca="1">IFERROR(INDIRECT(CONCATENATE("Field!B",A113+9)),"")</f>
        <v/>
      </c>
      <c r="C121" s="66" t="str">
        <f ca="1">IFERROR(INDIRECT(CONCATENATE("Field!C",A113+9)),"")</f>
        <v/>
      </c>
      <c r="D121" s="89" t="str">
        <f ca="1">IFERROR(INDIRECT(CONCATENATE("Field!D",A113+9)),"")</f>
        <v/>
      </c>
      <c r="E121" s="89" t="str">
        <f ca="1">IFERROR(INDIRECT(CONCATENATE("Field!E",A113+9)),"")</f>
        <v/>
      </c>
      <c r="F121" s="65">
        <f ca="1">IFERROR(INDIRECT(CONCATENATE("Field!F",A113+9)),"")</f>
        <v>0</v>
      </c>
      <c r="G121" s="121" t="str">
        <f ca="1">IFERROR(INDIRECT(CONCATENATE("Field!G",A113+9)),"")</f>
        <v/>
      </c>
      <c r="H121" s="66"/>
      <c r="I121" s="66" t="str">
        <f ca="1">IFERROR(INDIRECT(CONCATENATE("Field!I",A113+9)),"")</f>
        <v/>
      </c>
      <c r="J121" s="66" t="str">
        <f ca="1">IFERROR(INDIRECT(CONCATENATE("Field!J",A113+9)),"")</f>
        <v/>
      </c>
      <c r="K121" s="89" t="str">
        <f ca="1">IFERROR(INDIRECT(CONCATENATE("Field!K",A113+9)),"")</f>
        <v/>
      </c>
      <c r="L121" s="89" t="str">
        <f ca="1">IFERROR(INDIRECT(CONCATENATE("Field!L",A113+9)),"")</f>
        <v/>
      </c>
      <c r="M121" s="65">
        <f ca="1">IFERROR(INDIRECT(CONCATENATE("Field!M",A113+9)),"")</f>
        <v>0</v>
      </c>
      <c r="N121" s="121" t="str">
        <f ca="1">IFERROR(INDIRECT(CONCATENATE("Field!N",A113+9)),"")</f>
        <v/>
      </c>
      <c r="T121" s="64" t="str">
        <f t="shared" ca="1" si="4"/>
        <v/>
      </c>
      <c r="U121" s="64" t="str">
        <f t="shared" ca="1" si="5"/>
        <v/>
      </c>
      <c r="V121" s="422" t="str">
        <f ca="1">IF(OR(D121=0,D121="",D121="Athlete"),"",COUNTIF($D$4:$D121,D121))</f>
        <v/>
      </c>
      <c r="W121" s="422" t="str">
        <f t="shared" ca="1" si="6"/>
        <v/>
      </c>
      <c r="Z121" s="422" t="str">
        <f t="shared" ca="1" si="7"/>
        <v/>
      </c>
    </row>
    <row r="122" spans="1:26" x14ac:dyDescent="0.35">
      <c r="T122" s="64" t="str">
        <f t="shared" si="4"/>
        <v/>
      </c>
      <c r="U122" s="64" t="str">
        <f t="shared" si="5"/>
        <v/>
      </c>
      <c r="V122" s="422" t="str">
        <f>IF(OR(D122=0,D122="",D122="Athlete"),"",COUNTIF($D$4:$D122,D122))</f>
        <v/>
      </c>
      <c r="W122" s="422" t="str">
        <f t="shared" si="6"/>
        <v/>
      </c>
      <c r="Z122" s="422" t="str">
        <f t="shared" si="7"/>
        <v/>
      </c>
    </row>
    <row r="123" spans="1:26" x14ac:dyDescent="0.35">
      <c r="A123" s="66" t="s">
        <v>247</v>
      </c>
      <c r="B123" s="115" t="str">
        <f ca="1">IFERROR(INDIRECT(CONCATENATE("Field!B",A124)),"")</f>
        <v>Shot U15 Girls A</v>
      </c>
      <c r="G123" s="121" t="str">
        <f ca="1">IFERROR(INDIRECT(CONCATENATE("Field!g",A124)),"")</f>
        <v/>
      </c>
      <c r="I123" s="115" t="str">
        <f ca="1">IFERROR(INDIRECT(CONCATENATE("Field!I",A124)),"")</f>
        <v>Shot U15 Girls B</v>
      </c>
      <c r="T123" s="64" t="str">
        <f t="shared" si="4"/>
        <v/>
      </c>
      <c r="U123" s="64" t="str">
        <f t="shared" si="5"/>
        <v/>
      </c>
      <c r="V123" s="422" t="str">
        <f>IF(OR(D123=0,D123="",D123="Athlete"),"",COUNTIF($D$4:$D123,D123))</f>
        <v/>
      </c>
      <c r="W123" s="422" t="str">
        <f t="shared" si="6"/>
        <v/>
      </c>
      <c r="Z123" s="422" t="str">
        <f t="shared" ca="1" si="7"/>
        <v/>
      </c>
    </row>
    <row r="124" spans="1:26" x14ac:dyDescent="0.35">
      <c r="A124" s="66">
        <f>IFERROR(MATCH(A123,Field!A:A,0),"")</f>
        <v>112</v>
      </c>
      <c r="B124" s="45" t="str">
        <f ca="1">IFERROR(INDIRECT(CONCATENATE("Field!B",A124+1)),"")</f>
        <v>Posn</v>
      </c>
      <c r="C124" s="45" t="str">
        <f ca="1">IFERROR(INDIRECT(CONCATENATE("Field!C",A124+1)),"")</f>
        <v>Bib</v>
      </c>
      <c r="D124" s="182" t="str">
        <f ca="1">IFERROR(INDIRECT(CONCATENATE("Field!D",A124+1)),"")</f>
        <v>Athlete</v>
      </c>
      <c r="E124" s="182" t="str">
        <f ca="1">IFERROR(INDIRECT(CONCATENATE("Field!E",A124+1)),"")</f>
        <v>Club</v>
      </c>
      <c r="F124" s="149" t="str">
        <f ca="1">IFERROR(INDIRECT(CONCATENATE("Field!F",A124+1)),"")</f>
        <v>Perf</v>
      </c>
      <c r="G124" s="218" t="str">
        <f ca="1">IFERROR(INDIRECT(CONCATENATE("Field!G",A124+1)),"")</f>
        <v>AAA</v>
      </c>
      <c r="H124" s="45"/>
      <c r="I124" s="45" t="str">
        <f ca="1">IFERROR(INDIRECT(CONCATENATE("Field!I",A124+1)),"")</f>
        <v>Posn</v>
      </c>
      <c r="J124" s="45" t="str">
        <f ca="1">IFERROR(INDIRECT(CONCATENATE("Field!J",A124+1)),"")</f>
        <v>Bib</v>
      </c>
      <c r="K124" s="182" t="str">
        <f ca="1">IFERROR(INDIRECT(CONCATENATE("Field!K",A124+1)),"")</f>
        <v>Athlete</v>
      </c>
      <c r="L124" s="182" t="str">
        <f ca="1">IFERROR(INDIRECT(CONCATENATE("Field!L",A124+1)),"")</f>
        <v>Club</v>
      </c>
      <c r="M124" s="149" t="str">
        <f ca="1">IFERROR(INDIRECT(CONCATENATE("Field!M",A124+1)),"")</f>
        <v>Perf</v>
      </c>
      <c r="N124" s="218" t="str">
        <f ca="1">IFERROR(INDIRECT(CONCATENATE("Field!N",A124+1)),"")</f>
        <v>AAA</v>
      </c>
      <c r="T124" s="64" t="str">
        <f t="shared" ca="1" si="4"/>
        <v/>
      </c>
      <c r="U124" s="64" t="str">
        <f t="shared" ca="1" si="5"/>
        <v/>
      </c>
      <c r="V124" s="422" t="str">
        <f ca="1">IF(OR(D124=0,D124="",D124="Athlete"),"",COUNTIF($D$4:$D124,D124))</f>
        <v/>
      </c>
      <c r="W124" s="422" t="str">
        <f t="shared" ca="1" si="6"/>
        <v/>
      </c>
      <c r="Z124" s="422">
        <f t="shared" ca="1" si="7"/>
        <v>0</v>
      </c>
    </row>
    <row r="125" spans="1:26" x14ac:dyDescent="0.35">
      <c r="B125" s="66">
        <f ca="1">IFERROR(INDIRECT(CONCATENATE("Field!B",A124+2)),"")</f>
        <v>1</v>
      </c>
      <c r="C125" s="66">
        <f ca="1">IFERROR(INDIRECT(CONCATENATE("Field!C",A124+2)),"")</f>
        <v>2</v>
      </c>
      <c r="D125" s="89" t="str">
        <f ca="1">IFERROR(INDIRECT(CONCATENATE("Field!D",A124+2)),"")</f>
        <v>ADEBAYO Daphney</v>
      </c>
      <c r="E125" s="89" t="str">
        <f ca="1">IFERROR(INDIRECT(CONCATENATE("Field!E",A124+2)),"")</f>
        <v>Sheff+D</v>
      </c>
      <c r="F125" s="65">
        <f ca="1">IFERROR(INDIRECT(CONCATENATE("Field!F",A124+2)),"")</f>
        <v>10.51</v>
      </c>
      <c r="G125" s="121">
        <f ca="1">IFERROR(INDIRECT(CONCATENATE("Field!G",A124+2)),"")</f>
        <v>1</v>
      </c>
      <c r="H125" s="66"/>
      <c r="I125" s="66">
        <f ca="1">IFERROR(INDIRECT(CONCATENATE("Field!I",A124+2)),"")</f>
        <v>1</v>
      </c>
      <c r="J125" s="66">
        <f ca="1">IFERROR(INDIRECT(CONCATENATE("Field!J",A124+2)),"")</f>
        <v>22</v>
      </c>
      <c r="K125" s="89" t="str">
        <f ca="1">IFERROR(INDIRECT(CONCATENATE("Field!K",A124+2)),"")</f>
        <v>KYNOCH Ella</v>
      </c>
      <c r="L125" s="89" t="str">
        <f ca="1">IFERROR(INDIRECT(CONCATENATE("Field!L",A124+2)),"")</f>
        <v>Sheff+D</v>
      </c>
      <c r="M125" s="65">
        <f ca="1">IFERROR(INDIRECT(CONCATENATE("Field!M",A124+2)),"")</f>
        <v>10.28</v>
      </c>
      <c r="N125" s="121">
        <f ca="1">IFERROR(INDIRECT(CONCATENATE("Field!N",A124+2)),"")</f>
        <v>1</v>
      </c>
      <c r="R125" s="219">
        <f ca="1">IFERROR(INDIRECT(CONCATENATE("Field!r",A124+2)),"")</f>
        <v>1</v>
      </c>
      <c r="T125" s="64">
        <f t="shared" ca="1" si="4"/>
        <v>3</v>
      </c>
      <c r="U125" s="64">
        <f t="shared" ca="1" si="5"/>
        <v>3</v>
      </c>
      <c r="V125" s="422">
        <f ca="1">IF(OR(D125=0,D125="",D125="Athlete"),"",COUNTIF($D$4:$D125,D125))</f>
        <v>2</v>
      </c>
      <c r="W125" s="422" t="str">
        <f t="shared" ca="1" si="6"/>
        <v>Sheff+D</v>
      </c>
      <c r="Z125" s="422">
        <f t="shared" ca="1" si="7"/>
        <v>0</v>
      </c>
    </row>
    <row r="126" spans="1:26" x14ac:dyDescent="0.35">
      <c r="B126" s="66">
        <f ca="1">IFERROR(INDIRECT(CONCATENATE("Field!B",A124+3)),"")</f>
        <v>2</v>
      </c>
      <c r="C126" s="66">
        <f ca="1">IFERROR(INDIRECT(CONCATENATE("Field!C",A124+3)),"")</f>
        <v>3</v>
      </c>
      <c r="D126" s="89" t="str">
        <f ca="1">IFERROR(INDIRECT(CONCATENATE("Field!D",A124+3)),"")</f>
        <v>BROOKS Carmen</v>
      </c>
      <c r="E126" s="89" t="str">
        <f ca="1">IFERROR(INDIRECT(CONCATENATE("Field!E",A124+3)),"")</f>
        <v>York</v>
      </c>
      <c r="F126" s="65">
        <f ca="1">IFERROR(INDIRECT(CONCATENATE("Field!F",A124+3)),"")</f>
        <v>10.01</v>
      </c>
      <c r="G126" s="121">
        <f ca="1">IFERROR(INDIRECT(CONCATENATE("Field!G",A124+3)),"")</f>
        <v>2</v>
      </c>
      <c r="H126" s="66"/>
      <c r="I126" s="66">
        <f ca="1">IFERROR(INDIRECT(CONCATENATE("Field!I",A124+3)),"")</f>
        <v>2</v>
      </c>
      <c r="J126" s="66">
        <f ca="1">IFERROR(INDIRECT(CONCATENATE("Field!J",A124+3)),"")</f>
        <v>33</v>
      </c>
      <c r="K126" s="89" t="str">
        <f ca="1">IFERROR(INDIRECT(CONCATENATE("Field!K",A124+3)),"")</f>
        <v>LEE Isabel</v>
      </c>
      <c r="L126" s="89" t="str">
        <f ca="1">IFERROR(INDIRECT(CONCATENATE("Field!L",A124+3)),"")</f>
        <v>York</v>
      </c>
      <c r="M126" s="65">
        <f ca="1">IFERROR(INDIRECT(CONCATENATE("Field!M",A124+3)),"")</f>
        <v>7.07</v>
      </c>
      <c r="N126" s="121" t="str">
        <f ca="1">IFERROR(INDIRECT(CONCATENATE("Field!N",A124+3)),"")</f>
        <v/>
      </c>
      <c r="T126" s="64">
        <f t="shared" ca="1" si="4"/>
        <v>3</v>
      </c>
      <c r="U126" s="64">
        <f t="shared" ca="1" si="5"/>
        <v>3</v>
      </c>
      <c r="V126" s="422">
        <f ca="1">IF(OR(D126=0,D126="",D126="Athlete"),"",COUNTIF($D$4:$D126,D126))</f>
        <v>1</v>
      </c>
      <c r="W126" s="422" t="str">
        <f t="shared" ca="1" si="6"/>
        <v>York</v>
      </c>
      <c r="Z126" s="422">
        <f t="shared" ca="1" si="7"/>
        <v>0</v>
      </c>
    </row>
    <row r="127" spans="1:26" x14ac:dyDescent="0.35">
      <c r="B127" s="66">
        <f ca="1">IFERROR(INDIRECT(CONCATENATE("Field!B",A124+4)),"")</f>
        <v>3</v>
      </c>
      <c r="C127" s="66">
        <f ca="1">IFERROR(INDIRECT(CONCATENATE("Field!C",A124+4)),"")</f>
        <v>4</v>
      </c>
      <c r="D127" s="89" t="str">
        <f ca="1">IFERROR(INDIRECT(CONCATENATE("Field!D",A124+4)),"")</f>
        <v>DORAN Bethany</v>
      </c>
      <c r="E127" s="89" t="str">
        <f ca="1">IFERROR(INDIRECT(CONCATENATE("Field!E",A124+4)),"")</f>
        <v>M'bro</v>
      </c>
      <c r="F127" s="65">
        <f ca="1">IFERROR(INDIRECT(CONCATENATE("Field!F",A124+4)),"")</f>
        <v>7.89</v>
      </c>
      <c r="G127" s="121" t="str">
        <f ca="1">IFERROR(INDIRECT(CONCATENATE("Field!G",A124+4)),"")</f>
        <v/>
      </c>
      <c r="H127" s="66"/>
      <c r="I127" s="66">
        <f ca="1">IFERROR(INDIRECT(CONCATENATE("Field!I",A124+4)),"")</f>
        <v>3</v>
      </c>
      <c r="J127" s="66">
        <f ca="1">IFERROR(INDIRECT(CONCATENATE("Field!J",A124+4)),"")</f>
        <v>11</v>
      </c>
      <c r="K127" s="89" t="str">
        <f ca="1">IFERROR(INDIRECT(CONCATENATE("Field!K",A124+4)),"")</f>
        <v>BAINES Lily</v>
      </c>
      <c r="L127" s="89" t="str">
        <f ca="1">IFERROR(INDIRECT(CONCATENATE("Field!L",A124+4)),"")</f>
        <v>C'field</v>
      </c>
      <c r="M127" s="65">
        <f ca="1">IFERROR(INDIRECT(CONCATENATE("Field!M",A124+4)),"")</f>
        <v>6.25</v>
      </c>
      <c r="N127" s="121" t="str">
        <f ca="1">IFERROR(INDIRECT(CONCATENATE("Field!N",A124+4)),"")</f>
        <v/>
      </c>
      <c r="T127" s="64">
        <f t="shared" ca="1" si="4"/>
        <v>3</v>
      </c>
      <c r="U127" s="64">
        <f t="shared" ca="1" si="5"/>
        <v>3</v>
      </c>
      <c r="V127" s="422">
        <f ca="1">IF(OR(D127=0,D127="",D127="Athlete"),"",COUNTIF($D$4:$D127,D127))</f>
        <v>1</v>
      </c>
      <c r="W127" s="422" t="str">
        <f t="shared" ca="1" si="6"/>
        <v>M'bro</v>
      </c>
      <c r="Z127" s="422" t="str">
        <f t="shared" ca="1" si="7"/>
        <v/>
      </c>
    </row>
    <row r="128" spans="1:26" x14ac:dyDescent="0.35">
      <c r="B128" s="66">
        <f ca="1">IFERROR(INDIRECT(CONCATENATE("Field!B",A124+5)),"")</f>
        <v>4</v>
      </c>
      <c r="C128" s="66">
        <f ca="1">IFERROR(INDIRECT(CONCATENATE("Field!C",A124+5)),"")</f>
        <v>5</v>
      </c>
      <c r="D128" s="89" t="str">
        <f ca="1">IFERROR(INDIRECT(CONCATENATE("Field!D",A124+5)),"")</f>
        <v>THIRKETTLE Charlotte</v>
      </c>
      <c r="E128" s="89" t="str">
        <f ca="1">IFERROR(INDIRECT(CONCATENATE("Field!E",A124+5)),"")</f>
        <v>Scun</v>
      </c>
      <c r="F128" s="65">
        <f ca="1">IFERROR(INDIRECT(CONCATENATE("Field!F",A124+5)),"")</f>
        <v>7.3</v>
      </c>
      <c r="G128" s="121" t="str">
        <f ca="1">IFERROR(INDIRECT(CONCATENATE("Field!G",A124+5)),"")</f>
        <v/>
      </c>
      <c r="H128" s="66"/>
      <c r="I128" s="66">
        <f ca="1">IFERROR(INDIRECT(CONCATENATE("Field!I",A124+5)),"")</f>
        <v>4</v>
      </c>
      <c r="J128" s="66">
        <f ca="1">IFERROR(INDIRECT(CONCATENATE("Field!J",A124+5)),"")</f>
        <v>55</v>
      </c>
      <c r="K128" s="89" t="str">
        <f ca="1">IFERROR(INDIRECT(CONCATENATE("Field!K",A124+5)),"")</f>
        <v>VICKERS Cerys</v>
      </c>
      <c r="L128" s="89" t="str">
        <f ca="1">IFERROR(INDIRECT(CONCATENATE("Field!L",A124+5)),"")</f>
        <v>Scun</v>
      </c>
      <c r="M128" s="65">
        <f ca="1">IFERROR(INDIRECT(CONCATENATE("Field!M",A124+5)),"")</f>
        <v>5.08</v>
      </c>
      <c r="N128" s="121" t="str">
        <f ca="1">IFERROR(INDIRECT(CONCATENATE("Field!N",A124+5)),"")</f>
        <v/>
      </c>
      <c r="T128" s="64">
        <f t="shared" ca="1" si="4"/>
        <v>2</v>
      </c>
      <c r="U128" s="64">
        <f t="shared" ca="1" si="5"/>
        <v>2</v>
      </c>
      <c r="V128" s="422">
        <f ca="1">IF(OR(D128=0,D128="",D128="Athlete"),"",COUNTIF($D$4:$D128,D128))</f>
        <v>1</v>
      </c>
      <c r="W128" s="422" t="str">
        <f t="shared" ca="1" si="6"/>
        <v>Scun</v>
      </c>
      <c r="Z128" s="422" t="str">
        <f t="shared" ca="1" si="7"/>
        <v/>
      </c>
    </row>
    <row r="129" spans="1:26" x14ac:dyDescent="0.35">
      <c r="B129" s="66">
        <f ca="1">IFERROR(INDIRECT(CONCATENATE("Field!B",A124+6)),"")</f>
        <v>5</v>
      </c>
      <c r="C129" s="66">
        <f ca="1">IFERROR(INDIRECT(CONCATENATE("Field!C",A124+6)),"")</f>
        <v>1</v>
      </c>
      <c r="D129" s="89" t="str">
        <f ca="1">IFERROR(INDIRECT(CONCATENATE("Field!D",A124+6)),"")</f>
        <v>HIGHAM Ruby</v>
      </c>
      <c r="E129" s="89" t="str">
        <f ca="1">IFERROR(INDIRECT(CONCATENATE("Field!E",A124+6)),"")</f>
        <v>C'field</v>
      </c>
      <c r="F129" s="65">
        <f ca="1">IFERROR(INDIRECT(CONCATENATE("Field!F",A124+6)),"")</f>
        <v>6.45</v>
      </c>
      <c r="G129" s="121" t="str">
        <f ca="1">IFERROR(INDIRECT(CONCATENATE("Field!G",A124+6)),"")</f>
        <v/>
      </c>
      <c r="H129" s="66"/>
      <c r="I129" s="66">
        <f ca="1">IFERROR(INDIRECT(CONCATENATE("Field!I",A124+6)),"")</f>
        <v>5</v>
      </c>
      <c r="J129" s="66" t="str">
        <f ca="1">IFERROR(INDIRECT(CONCATENATE("Field!J",A124+6)),"")</f>
        <v/>
      </c>
      <c r="K129" s="89" t="str">
        <f ca="1">IFERROR(INDIRECT(CONCATENATE("Field!K",A124+6)),"")</f>
        <v/>
      </c>
      <c r="L129" s="89" t="str">
        <f ca="1">IFERROR(INDIRECT(CONCATENATE("Field!L",A124+6)),"")</f>
        <v/>
      </c>
      <c r="M129" s="65" t="str">
        <f ca="1">IFERROR(INDIRECT(CONCATENATE("Field!M",A124+6)),"")</f>
        <v/>
      </c>
      <c r="N129" s="121" t="str">
        <f ca="1">IFERROR(INDIRECT(CONCATENATE("Field!N",A124+6)),"")</f>
        <v/>
      </c>
      <c r="T129" s="64">
        <f t="shared" ca="1" si="4"/>
        <v>3</v>
      </c>
      <c r="U129" s="64" t="str">
        <f t="shared" ca="1" si="5"/>
        <v/>
      </c>
      <c r="V129" s="422">
        <f ca="1">IF(OR(D129=0,D129="",D129="Athlete"),"",COUNTIF($D$4:$D129,D129))</f>
        <v>1</v>
      </c>
      <c r="W129" s="422" t="str">
        <f t="shared" ca="1" si="6"/>
        <v>C'field</v>
      </c>
      <c r="Z129" s="422" t="str">
        <f t="shared" ca="1" si="7"/>
        <v/>
      </c>
    </row>
    <row r="130" spans="1:26" x14ac:dyDescent="0.35">
      <c r="B130" s="66">
        <f ca="1">IFERROR(INDIRECT(CONCATENATE("Field!B",A124+7)),"")</f>
        <v>6</v>
      </c>
      <c r="C130" s="66" t="str">
        <f ca="1">IFERROR(INDIRECT(CONCATENATE("Field!C",A124+7)),"")</f>
        <v/>
      </c>
      <c r="D130" s="89" t="str">
        <f ca="1">IFERROR(INDIRECT(CONCATENATE("Field!D",A124+7)),"")</f>
        <v/>
      </c>
      <c r="E130" s="89" t="str">
        <f ca="1">IFERROR(INDIRECT(CONCATENATE("Field!E",A124+7)),"")</f>
        <v/>
      </c>
      <c r="F130" s="65" t="str">
        <f ca="1">IFERROR(INDIRECT(CONCATENATE("Field!F",A124+7)),"")</f>
        <v/>
      </c>
      <c r="G130" s="121" t="str">
        <f ca="1">IFERROR(INDIRECT(CONCATENATE("Field!G",A124+7)),"")</f>
        <v/>
      </c>
      <c r="H130" s="66"/>
      <c r="I130" s="66">
        <f ca="1">IFERROR(INDIRECT(CONCATENATE("Field!I",A124+7)),"")</f>
        <v>6</v>
      </c>
      <c r="J130" s="66" t="str">
        <f ca="1">IFERROR(INDIRECT(CONCATENATE("Field!J",A124+7)),"")</f>
        <v/>
      </c>
      <c r="K130" s="89" t="str">
        <f ca="1">IFERROR(INDIRECT(CONCATENATE("Field!K",A124+7)),"")</f>
        <v/>
      </c>
      <c r="L130" s="89" t="str">
        <f ca="1">IFERROR(INDIRECT(CONCATENATE("Field!L",A124+7)),"")</f>
        <v/>
      </c>
      <c r="M130" s="65" t="str">
        <f ca="1">IFERROR(INDIRECT(CONCATENATE("Field!M",A124+7)),"")</f>
        <v/>
      </c>
      <c r="N130" s="121" t="str">
        <f ca="1">IFERROR(INDIRECT(CONCATENATE("Field!N",A124+7)),"")</f>
        <v/>
      </c>
      <c r="T130" s="64" t="str">
        <f t="shared" ca="1" si="4"/>
        <v/>
      </c>
      <c r="U130" s="64" t="str">
        <f t="shared" ca="1" si="5"/>
        <v/>
      </c>
      <c r="V130" s="422" t="str">
        <f ca="1">IF(OR(D130=0,D130="",D130="Athlete"),"",COUNTIF($D$4:$D130,D130))</f>
        <v/>
      </c>
      <c r="W130" s="422" t="str">
        <f t="shared" ca="1" si="6"/>
        <v/>
      </c>
      <c r="Z130" s="422" t="str">
        <f t="shared" ca="1" si="7"/>
        <v/>
      </c>
    </row>
    <row r="131" spans="1:26" x14ac:dyDescent="0.35">
      <c r="B131" s="66">
        <f ca="1">IFERROR(INDIRECT(CONCATENATE("Field!B",A124+8)),"")</f>
        <v>7</v>
      </c>
      <c r="C131" s="66" t="str">
        <f ca="1">IFERROR(INDIRECT(CONCATENATE("Field!C",A124+8)),"")</f>
        <v/>
      </c>
      <c r="D131" s="89" t="str">
        <f ca="1">IFERROR(INDIRECT(CONCATENATE("Field!D",A124+8)),"")</f>
        <v/>
      </c>
      <c r="E131" s="89" t="str">
        <f ca="1">IFERROR(INDIRECT(CONCATENATE("Field!E",A124+8)),"")</f>
        <v/>
      </c>
      <c r="F131" s="65" t="str">
        <f ca="1">IFERROR(INDIRECT(CONCATENATE("Field!F",A124+8)),"")</f>
        <v/>
      </c>
      <c r="G131" s="121" t="str">
        <f ca="1">IFERROR(INDIRECT(CONCATENATE("Field!G",A124+8)),"")</f>
        <v/>
      </c>
      <c r="H131" s="66"/>
      <c r="I131" s="66">
        <f ca="1">IFERROR(INDIRECT(CONCATENATE("Field!I",A124+8)),"")</f>
        <v>7</v>
      </c>
      <c r="J131" s="66" t="str">
        <f ca="1">IFERROR(INDIRECT(CONCATENATE("Field!J",A124+8)),"")</f>
        <v/>
      </c>
      <c r="K131" s="89" t="str">
        <f ca="1">IFERROR(INDIRECT(CONCATENATE("Field!K",A124+8)),"")</f>
        <v/>
      </c>
      <c r="L131" s="89" t="str">
        <f ca="1">IFERROR(INDIRECT(CONCATENATE("Field!L",A124+8)),"")</f>
        <v/>
      </c>
      <c r="M131" s="65" t="str">
        <f ca="1">IFERROR(INDIRECT(CONCATENATE("Field!M",A124+8)),"")</f>
        <v/>
      </c>
      <c r="N131" s="121" t="str">
        <f ca="1">IFERROR(INDIRECT(CONCATENATE("Field!N",A124+8)),"")</f>
        <v/>
      </c>
      <c r="T131" s="64" t="str">
        <f t="shared" ca="1" si="4"/>
        <v/>
      </c>
      <c r="U131" s="64" t="str">
        <f t="shared" ca="1" si="5"/>
        <v/>
      </c>
      <c r="V131" s="422" t="str">
        <f ca="1">IF(OR(D131=0,D131="",D131="Athlete"),"",COUNTIF($D$4:$D131,D131))</f>
        <v/>
      </c>
      <c r="W131" s="422" t="str">
        <f t="shared" ca="1" si="6"/>
        <v/>
      </c>
      <c r="Z131" s="422" t="str">
        <f t="shared" ca="1" si="7"/>
        <v/>
      </c>
    </row>
    <row r="132" spans="1:26" x14ac:dyDescent="0.35">
      <c r="B132" s="66">
        <f ca="1">IFERROR(INDIRECT(CONCATENATE("Field!B",A124+9)),"")</f>
        <v>8</v>
      </c>
      <c r="C132" s="66" t="str">
        <f ca="1">IFERROR(INDIRECT(CONCATENATE("Field!C",A124+9)),"")</f>
        <v/>
      </c>
      <c r="D132" s="89" t="str">
        <f ca="1">IFERROR(INDIRECT(CONCATENATE("Field!D",A124+9)),"")</f>
        <v/>
      </c>
      <c r="E132" s="89" t="str">
        <f ca="1">IFERROR(INDIRECT(CONCATENATE("Field!E",A124+9)),"")</f>
        <v/>
      </c>
      <c r="F132" s="65" t="str">
        <f ca="1">IFERROR(INDIRECT(CONCATENATE("Field!F",A124+9)),"")</f>
        <v/>
      </c>
      <c r="G132" s="121" t="str">
        <f ca="1">IFERROR(INDIRECT(CONCATENATE("Field!G",A124+9)),"")</f>
        <v/>
      </c>
      <c r="H132" s="66"/>
      <c r="I132" s="66">
        <f ca="1">IFERROR(INDIRECT(CONCATENATE("Field!I",A124+9)),"")</f>
        <v>8</v>
      </c>
      <c r="J132" s="66" t="str">
        <f ca="1">IFERROR(INDIRECT(CONCATENATE("Field!J",A124+9)),"")</f>
        <v/>
      </c>
      <c r="K132" s="89" t="str">
        <f ca="1">IFERROR(INDIRECT(CONCATENATE("Field!K",A124+9)),"")</f>
        <v/>
      </c>
      <c r="L132" s="89" t="str">
        <f ca="1">IFERROR(INDIRECT(CONCATENATE("Field!L",A124+9)),"")</f>
        <v/>
      </c>
      <c r="M132" s="65" t="str">
        <f ca="1">IFERROR(INDIRECT(CONCATENATE("Field!M",A124+9)),"")</f>
        <v/>
      </c>
      <c r="N132" s="121" t="str">
        <f ca="1">IFERROR(INDIRECT(CONCATENATE("Field!N",A124+9)),"")</f>
        <v/>
      </c>
      <c r="T132" s="64" t="str">
        <f t="shared" ca="1" si="4"/>
        <v/>
      </c>
      <c r="U132" s="64" t="str">
        <f t="shared" ca="1" si="5"/>
        <v/>
      </c>
      <c r="V132" s="422" t="str">
        <f ca="1">IF(OR(D132=0,D132="",D132="Athlete"),"",COUNTIF($D$4:$D132,D132))</f>
        <v/>
      </c>
      <c r="W132" s="422" t="str">
        <f t="shared" ca="1" si="6"/>
        <v/>
      </c>
      <c r="Z132" s="422" t="str">
        <f t="shared" ca="1" si="7"/>
        <v/>
      </c>
    </row>
    <row r="133" spans="1:26" x14ac:dyDescent="0.35">
      <c r="T133" s="64" t="str">
        <f t="shared" ref="T133:T196" si="8">IF(OR(D133=0,D133="",D133="Athlete"),"",COUNTIF($D$4:$D$352,D133))</f>
        <v/>
      </c>
      <c r="U133" s="64" t="str">
        <f t="shared" ref="U133:U196" si="9">IF(OR(K133=0,K133="",K133="Athlete"),"",COUNTIF($D$4:$D$352,K133))</f>
        <v/>
      </c>
      <c r="V133" s="422" t="str">
        <f>IF(OR(D133=0,D133="",D133="Athlete"),"",COUNTIF($D$4:$D133,D133))</f>
        <v/>
      </c>
      <c r="W133" s="422" t="str">
        <f t="shared" ref="W133:W165" si="10">IF(OR(D133=0,D133="",D133="Athlete"),"",E133)</f>
        <v/>
      </c>
      <c r="Z133" s="422" t="str">
        <f t="shared" ref="Z133:Z165" si="11">IF(OR(G133=0,G133="",G133="Athlete"),"",H133)</f>
        <v/>
      </c>
    </row>
    <row r="134" spans="1:26" x14ac:dyDescent="0.35">
      <c r="A134" s="66" t="s">
        <v>235</v>
      </c>
      <c r="B134" s="115" t="str">
        <f ca="1">IFERROR(INDIRECT(CONCATENATE("Field!B",A135)),"")</f>
        <v>Discus U15 Girls A</v>
      </c>
      <c r="G134" s="121" t="str">
        <f ca="1">IFERROR(INDIRECT(CONCATENATE("Field!g",A135)),"")</f>
        <v/>
      </c>
      <c r="I134" s="115" t="str">
        <f ca="1">IFERROR(INDIRECT(CONCATENATE("Field!I",A135)),"")</f>
        <v>Discus U15 Girls B</v>
      </c>
      <c r="T134" s="64" t="str">
        <f t="shared" si="8"/>
        <v/>
      </c>
      <c r="U134" s="64" t="str">
        <f t="shared" si="9"/>
        <v/>
      </c>
      <c r="V134" s="422" t="str">
        <f>IF(OR(D134=0,D134="",D134="Athlete"),"",COUNTIF($D$4:$D134,D134))</f>
        <v/>
      </c>
      <c r="W134" s="422" t="str">
        <f t="shared" si="10"/>
        <v/>
      </c>
      <c r="Z134" s="422" t="str">
        <f t="shared" ca="1" si="11"/>
        <v/>
      </c>
    </row>
    <row r="135" spans="1:26" x14ac:dyDescent="0.35">
      <c r="A135" s="66">
        <f>IFERROR(MATCH(A134,Field!A:A,0),"")</f>
        <v>46</v>
      </c>
      <c r="B135" s="45" t="str">
        <f ca="1">IFERROR(INDIRECT(CONCATENATE("Field!B",A135+1)),"")</f>
        <v>Posn</v>
      </c>
      <c r="C135" s="45" t="str">
        <f ca="1">IFERROR(INDIRECT(CONCATENATE("Field!C",A135+1)),"")</f>
        <v>Bib</v>
      </c>
      <c r="D135" s="182" t="str">
        <f ca="1">IFERROR(INDIRECT(CONCATENATE("Field!D",A135+1)),"")</f>
        <v>Athlete</v>
      </c>
      <c r="E135" s="182" t="str">
        <f ca="1">IFERROR(INDIRECT(CONCATENATE("Field!E",A135+1)),"")</f>
        <v>Club</v>
      </c>
      <c r="F135" s="149" t="str">
        <f ca="1">IFERROR(INDIRECT(CONCATENATE("Field!F",A135+1)),"")</f>
        <v>Perf</v>
      </c>
      <c r="G135" s="218" t="str">
        <f ca="1">IFERROR(INDIRECT(CONCATENATE("Field!G",A135+1)),"")</f>
        <v>AAA</v>
      </c>
      <c r="H135" s="45"/>
      <c r="I135" s="45" t="str">
        <f ca="1">IFERROR(INDIRECT(CONCATENATE("Field!I",A135+1)),"")</f>
        <v>Posn</v>
      </c>
      <c r="J135" s="45" t="str">
        <f ca="1">IFERROR(INDIRECT(CONCATENATE("Field!J",A135+1)),"")</f>
        <v>Bib</v>
      </c>
      <c r="K135" s="182" t="str">
        <f ca="1">IFERROR(INDIRECT(CONCATENATE("Field!K",A135+1)),"")</f>
        <v>Athlete</v>
      </c>
      <c r="L135" s="182" t="str">
        <f ca="1">IFERROR(INDIRECT(CONCATENATE("Field!L",A135+1)),"")</f>
        <v>Club</v>
      </c>
      <c r="M135" s="149" t="str">
        <f ca="1">IFERROR(INDIRECT(CONCATENATE("Field!M",A135+1)),"")</f>
        <v>Perf</v>
      </c>
      <c r="N135" s="218" t="str">
        <f ca="1">IFERROR(INDIRECT(CONCATENATE("Field!N",A135+1)),"")</f>
        <v>AAA</v>
      </c>
      <c r="T135" s="64" t="str">
        <f t="shared" ca="1" si="8"/>
        <v/>
      </c>
      <c r="U135" s="64" t="str">
        <f t="shared" ca="1" si="9"/>
        <v/>
      </c>
      <c r="V135" s="422" t="str">
        <f ca="1">IF(OR(D135=0,D135="",D135="Athlete"),"",COUNTIF($D$4:$D135,D135))</f>
        <v/>
      </c>
      <c r="W135" s="422" t="str">
        <f t="shared" ca="1" si="10"/>
        <v/>
      </c>
      <c r="Z135" s="422">
        <f t="shared" ca="1" si="11"/>
        <v>0</v>
      </c>
    </row>
    <row r="136" spans="1:26" x14ac:dyDescent="0.35">
      <c r="B136" s="66">
        <f ca="1">IFERROR(INDIRECT(CONCATENATE("Field!B",A135+2)),"")</f>
        <v>1</v>
      </c>
      <c r="C136" s="66">
        <f ca="1">IFERROR(INDIRECT(CONCATENATE("Field!C",A135+2)),"")</f>
        <v>2</v>
      </c>
      <c r="D136" s="89" t="str">
        <f ca="1">IFERROR(INDIRECT(CONCATENATE("Field!D",A135+2)),"")</f>
        <v>KYNOCH Ella</v>
      </c>
      <c r="E136" s="89" t="str">
        <f ca="1">IFERROR(INDIRECT(CONCATENATE("Field!E",A135+2)),"")</f>
        <v>Sheff+D</v>
      </c>
      <c r="F136" s="65">
        <f ca="1">IFERROR(INDIRECT(CONCATENATE("Field!F",A135+2)),"")</f>
        <v>28.23</v>
      </c>
      <c r="G136" s="121" t="str">
        <f ca="1">IFERROR(INDIRECT(CONCATENATE("Field!G",A135+2)),"")</f>
        <v/>
      </c>
      <c r="H136" s="66"/>
      <c r="I136" s="66">
        <f ca="1">IFERROR(INDIRECT(CONCATENATE("Field!I",A135+2)),"")</f>
        <v>1</v>
      </c>
      <c r="J136" s="66">
        <f ca="1">IFERROR(INDIRECT(CONCATENATE("Field!J",A135+2)),"")</f>
        <v>22</v>
      </c>
      <c r="K136" s="89" t="str">
        <f ca="1">IFERROR(INDIRECT(CONCATENATE("Field!K",A135+2)),"")</f>
        <v>JELONKIEWICZ Viktoria</v>
      </c>
      <c r="L136" s="89" t="str">
        <f ca="1">IFERROR(INDIRECT(CONCATENATE("Field!L",A135+2)),"")</f>
        <v>Sheff+D</v>
      </c>
      <c r="M136" s="65">
        <f ca="1">IFERROR(INDIRECT(CONCATENATE("Field!M",A135+2)),"")</f>
        <v>17.149999999999999</v>
      </c>
      <c r="N136" s="121" t="str">
        <f ca="1">IFERROR(INDIRECT(CONCATENATE("Field!N",A135+2)),"")</f>
        <v/>
      </c>
      <c r="R136" s="219">
        <f ca="1">IFERROR(INDIRECT(CONCATENATE("Field!r",A135+2)),"")</f>
        <v>1</v>
      </c>
      <c r="T136" s="64">
        <f t="shared" ca="1" si="8"/>
        <v>3</v>
      </c>
      <c r="U136" s="64">
        <f t="shared" ca="1" si="9"/>
        <v>2</v>
      </c>
      <c r="V136" s="422">
        <f ca="1">IF(OR(D136=0,D136="",D136="Athlete"),"",COUNTIF($D$4:$D136,D136))</f>
        <v>1</v>
      </c>
      <c r="W136" s="422" t="str">
        <f t="shared" ca="1" si="10"/>
        <v>Sheff+D</v>
      </c>
      <c r="Z136" s="422" t="str">
        <f t="shared" ca="1" si="11"/>
        <v/>
      </c>
    </row>
    <row r="137" spans="1:26" x14ac:dyDescent="0.35">
      <c r="B137" s="66">
        <f ca="1">IFERROR(INDIRECT(CONCATENATE("Field!B",A135+3)),"")</f>
        <v>2</v>
      </c>
      <c r="C137" s="66">
        <f ca="1">IFERROR(INDIRECT(CONCATENATE("Field!C",A135+3)),"")</f>
        <v>3</v>
      </c>
      <c r="D137" s="89" t="str">
        <f ca="1">IFERROR(INDIRECT(CONCATENATE("Field!D",A135+3)),"")</f>
        <v>BROOKS Carmen</v>
      </c>
      <c r="E137" s="89" t="str">
        <f ca="1">IFERROR(INDIRECT(CONCATENATE("Field!E",A135+3)),"")</f>
        <v>York</v>
      </c>
      <c r="F137" s="65">
        <f ca="1">IFERROR(INDIRECT(CONCATENATE("Field!F",A135+3)),"")</f>
        <v>20.52</v>
      </c>
      <c r="G137" s="121" t="str">
        <f ca="1">IFERROR(INDIRECT(CONCATENATE("Field!G",A135+3)),"")</f>
        <v/>
      </c>
      <c r="H137" s="66"/>
      <c r="I137" s="66">
        <f ca="1">IFERROR(INDIRECT(CONCATENATE("Field!I",A135+3)),"")</f>
        <v>2</v>
      </c>
      <c r="J137" s="66">
        <f ca="1">IFERROR(INDIRECT(CONCATENATE("Field!J",A135+3)),"")</f>
        <v>33</v>
      </c>
      <c r="K137" s="89" t="str">
        <f ca="1">IFERROR(INDIRECT(CONCATENATE("Field!K",A135+3)),"")</f>
        <v>LEE Isabel</v>
      </c>
      <c r="L137" s="89" t="str">
        <f ca="1">IFERROR(INDIRECT(CONCATENATE("Field!L",A135+3)),"")</f>
        <v>York</v>
      </c>
      <c r="M137" s="65">
        <f ca="1">IFERROR(INDIRECT(CONCATENATE("Field!M",A135+3)),"")</f>
        <v>14.1</v>
      </c>
      <c r="N137" s="121" t="str">
        <f ca="1">IFERROR(INDIRECT(CONCATENATE("Field!N",A135+3)),"")</f>
        <v/>
      </c>
      <c r="T137" s="64">
        <f t="shared" ca="1" si="8"/>
        <v>3</v>
      </c>
      <c r="U137" s="64">
        <f t="shared" ca="1" si="9"/>
        <v>3</v>
      </c>
      <c r="V137" s="422">
        <f ca="1">IF(OR(D137=0,D137="",D137="Athlete"),"",COUNTIF($D$4:$D137,D137))</f>
        <v>2</v>
      </c>
      <c r="W137" s="422" t="str">
        <f t="shared" ca="1" si="10"/>
        <v>York</v>
      </c>
      <c r="Z137" s="422" t="str">
        <f t="shared" ca="1" si="11"/>
        <v/>
      </c>
    </row>
    <row r="138" spans="1:26" x14ac:dyDescent="0.35">
      <c r="B138" s="66">
        <f ca="1">IFERROR(INDIRECT(CONCATENATE("Field!B",A135+4)),"")</f>
        <v>3</v>
      </c>
      <c r="C138" s="66">
        <f ca="1">IFERROR(INDIRECT(CONCATENATE("Field!C",A135+4)),"")</f>
        <v>4</v>
      </c>
      <c r="D138" s="89" t="str">
        <f ca="1">IFERROR(INDIRECT(CONCATENATE("Field!D",A135+4)),"")</f>
        <v>DORAN Bethany</v>
      </c>
      <c r="E138" s="89" t="str">
        <f ca="1">IFERROR(INDIRECT(CONCATENATE("Field!E",A135+4)),"")</f>
        <v>M'bro</v>
      </c>
      <c r="F138" s="65">
        <f ca="1">IFERROR(INDIRECT(CONCATENATE("Field!F",A135+4)),"")</f>
        <v>16.43</v>
      </c>
      <c r="G138" s="121" t="str">
        <f ca="1">IFERROR(INDIRECT(CONCATENATE("Field!G",A135+4)),"")</f>
        <v/>
      </c>
      <c r="H138" s="66"/>
      <c r="I138" s="66">
        <f ca="1">IFERROR(INDIRECT(CONCATENATE("Field!I",A135+4)),"")</f>
        <v>3</v>
      </c>
      <c r="J138" s="66">
        <f ca="1">IFERROR(INDIRECT(CONCATENATE("Field!J",A135+4)),"")</f>
        <v>44</v>
      </c>
      <c r="K138" s="89" t="str">
        <f ca="1">IFERROR(INDIRECT(CONCATENATE("Field!K",A135+4)),"")</f>
        <v>MANNION Grace</v>
      </c>
      <c r="L138" s="89" t="str">
        <f ca="1">IFERROR(INDIRECT(CONCATENATE("Field!L",A135+4)),"")</f>
        <v>M'bro</v>
      </c>
      <c r="M138" s="65">
        <f ca="1">IFERROR(INDIRECT(CONCATENATE("Field!M",A135+4)),"")</f>
        <v>11.92</v>
      </c>
      <c r="N138" s="121" t="str">
        <f ca="1">IFERROR(INDIRECT(CONCATENATE("Field!N",A135+4)),"")</f>
        <v/>
      </c>
      <c r="T138" s="64">
        <f t="shared" ca="1" si="8"/>
        <v>3</v>
      </c>
      <c r="U138" s="64">
        <f t="shared" ca="1" si="9"/>
        <v>2</v>
      </c>
      <c r="V138" s="422">
        <f ca="1">IF(OR(D138=0,D138="",D138="Athlete"),"",COUNTIF($D$4:$D138,D138))</f>
        <v>2</v>
      </c>
      <c r="W138" s="422" t="str">
        <f t="shared" ca="1" si="10"/>
        <v>M'bro</v>
      </c>
      <c r="Z138" s="422" t="str">
        <f t="shared" ca="1" si="11"/>
        <v/>
      </c>
    </row>
    <row r="139" spans="1:26" x14ac:dyDescent="0.35">
      <c r="B139" s="66">
        <f ca="1">IFERROR(INDIRECT(CONCATENATE("Field!B",A135+5)),"")</f>
        <v>4</v>
      </c>
      <c r="C139" s="66">
        <f ca="1">IFERROR(INDIRECT(CONCATENATE("Field!C",A135+5)),"")</f>
        <v>5</v>
      </c>
      <c r="D139" s="89" t="str">
        <f ca="1">IFERROR(INDIRECT(CONCATENATE("Field!D",A135+5)),"")</f>
        <v>THIRKETTLE Charlotte</v>
      </c>
      <c r="E139" s="89" t="str">
        <f ca="1">IFERROR(INDIRECT(CONCATENATE("Field!E",A135+5)),"")</f>
        <v>Scun</v>
      </c>
      <c r="F139" s="65">
        <f ca="1">IFERROR(INDIRECT(CONCATENATE("Field!F",A135+5)),"")</f>
        <v>15.65</v>
      </c>
      <c r="G139" s="121" t="str">
        <f ca="1">IFERROR(INDIRECT(CONCATENATE("Field!G",A135+5)),"")</f>
        <v/>
      </c>
      <c r="H139" s="66"/>
      <c r="I139" s="66">
        <f ca="1">IFERROR(INDIRECT(CONCATENATE("Field!I",A135+5)),"")</f>
        <v>4</v>
      </c>
      <c r="J139" s="66">
        <f ca="1">IFERROR(INDIRECT(CONCATENATE("Field!J",A135+5)),"")</f>
        <v>11</v>
      </c>
      <c r="K139" s="89" t="str">
        <f ca="1">IFERROR(INDIRECT(CONCATENATE("Field!K",A135+5)),"")</f>
        <v>HIGHAM Ruby</v>
      </c>
      <c r="L139" s="89" t="str">
        <f ca="1">IFERROR(INDIRECT(CONCATENATE("Field!L",A135+5)),"")</f>
        <v>C'field</v>
      </c>
      <c r="M139" s="65">
        <f ca="1">IFERROR(INDIRECT(CONCATENATE("Field!M",A135+5)),"")</f>
        <v>10.61</v>
      </c>
      <c r="N139" s="121" t="str">
        <f ca="1">IFERROR(INDIRECT(CONCATENATE("Field!N",A135+5)),"")</f>
        <v/>
      </c>
      <c r="T139" s="64">
        <f t="shared" ca="1" si="8"/>
        <v>2</v>
      </c>
      <c r="U139" s="64">
        <f t="shared" ca="1" si="9"/>
        <v>3</v>
      </c>
      <c r="V139" s="422">
        <f ca="1">IF(OR(D139=0,D139="",D139="Athlete"),"",COUNTIF($D$4:$D139,D139))</f>
        <v>2</v>
      </c>
      <c r="W139" s="422" t="str">
        <f t="shared" ca="1" si="10"/>
        <v>Scun</v>
      </c>
      <c r="Z139" s="422" t="str">
        <f t="shared" ca="1" si="11"/>
        <v/>
      </c>
    </row>
    <row r="140" spans="1:26" x14ac:dyDescent="0.35">
      <c r="B140" s="66">
        <f ca="1">IFERROR(INDIRECT(CONCATENATE("Field!B",A135+6)),"")</f>
        <v>5</v>
      </c>
      <c r="C140" s="66">
        <f ca="1">IFERROR(INDIRECT(CONCATENATE("Field!C",A135+6)),"")</f>
        <v>1</v>
      </c>
      <c r="D140" s="89" t="str">
        <f ca="1">IFERROR(INDIRECT(CONCATENATE("Field!D",A135+6)),"")</f>
        <v>LABAN Ella</v>
      </c>
      <c r="E140" s="89" t="str">
        <f ca="1">IFERROR(INDIRECT(CONCATENATE("Field!E",A135+6)),"")</f>
        <v>C'field</v>
      </c>
      <c r="F140" s="65">
        <f ca="1">IFERROR(INDIRECT(CONCATENATE("Field!F",A135+6)),"")</f>
        <v>15.03</v>
      </c>
      <c r="G140" s="121" t="str">
        <f ca="1">IFERROR(INDIRECT(CONCATENATE("Field!G",A135+6)),"")</f>
        <v/>
      </c>
      <c r="H140" s="66"/>
      <c r="I140" s="66">
        <f ca="1">IFERROR(INDIRECT(CONCATENATE("Field!I",A135+6)),"")</f>
        <v>5</v>
      </c>
      <c r="J140" s="66" t="str">
        <f ca="1">IFERROR(INDIRECT(CONCATENATE("Field!J",A135+6)),"")</f>
        <v/>
      </c>
      <c r="K140" s="89" t="str">
        <f ca="1">IFERROR(INDIRECT(CONCATENATE("Field!K",A135+6)),"")</f>
        <v/>
      </c>
      <c r="L140" s="89" t="str">
        <f ca="1">IFERROR(INDIRECT(CONCATENATE("Field!L",A135+6)),"")</f>
        <v/>
      </c>
      <c r="M140" s="65" t="str">
        <f ca="1">IFERROR(INDIRECT(CONCATENATE("Field!M",A135+6)),"")</f>
        <v/>
      </c>
      <c r="N140" s="121" t="str">
        <f ca="1">IFERROR(INDIRECT(CONCATENATE("Field!N",A135+6)),"")</f>
        <v/>
      </c>
      <c r="T140" s="64">
        <f t="shared" ca="1" si="8"/>
        <v>3</v>
      </c>
      <c r="U140" s="64" t="str">
        <f t="shared" ca="1" si="9"/>
        <v/>
      </c>
      <c r="V140" s="422">
        <f ca="1">IF(OR(D140=0,D140="",D140="Athlete"),"",COUNTIF($D$4:$D140,D140))</f>
        <v>2</v>
      </c>
      <c r="W140" s="422" t="str">
        <f t="shared" ca="1" si="10"/>
        <v>C'field</v>
      </c>
      <c r="Z140" s="422" t="str">
        <f t="shared" ca="1" si="11"/>
        <v/>
      </c>
    </row>
    <row r="141" spans="1:26" x14ac:dyDescent="0.35">
      <c r="B141" s="66">
        <f ca="1">IFERROR(INDIRECT(CONCATENATE("Field!B",A135+7)),"")</f>
        <v>6</v>
      </c>
      <c r="C141" s="66" t="str">
        <f ca="1">IFERROR(INDIRECT(CONCATENATE("Field!C",A135+7)),"")</f>
        <v/>
      </c>
      <c r="D141" s="89" t="str">
        <f ca="1">IFERROR(INDIRECT(CONCATENATE("Field!D",A135+7)),"")</f>
        <v/>
      </c>
      <c r="E141" s="89" t="str">
        <f ca="1">IFERROR(INDIRECT(CONCATENATE("Field!E",A135+7)),"")</f>
        <v/>
      </c>
      <c r="F141" s="65" t="str">
        <f ca="1">IFERROR(INDIRECT(CONCATENATE("Field!F",A135+7)),"")</f>
        <v/>
      </c>
      <c r="G141" s="121" t="str">
        <f ca="1">IFERROR(INDIRECT(CONCATENATE("Field!G",A135+7)),"")</f>
        <v/>
      </c>
      <c r="H141" s="66"/>
      <c r="I141" s="66">
        <f ca="1">IFERROR(INDIRECT(CONCATENATE("Field!I",A135+7)),"")</f>
        <v>6</v>
      </c>
      <c r="J141" s="66" t="str">
        <f ca="1">IFERROR(INDIRECT(CONCATENATE("Field!J",A135+7)),"")</f>
        <v/>
      </c>
      <c r="K141" s="89" t="str">
        <f ca="1">IFERROR(INDIRECT(CONCATENATE("Field!K",A135+7)),"")</f>
        <v/>
      </c>
      <c r="L141" s="89" t="str">
        <f ca="1">IFERROR(INDIRECT(CONCATENATE("Field!L",A135+7)),"")</f>
        <v/>
      </c>
      <c r="M141" s="65" t="str">
        <f ca="1">IFERROR(INDIRECT(CONCATENATE("Field!M",A135+7)),"")</f>
        <v/>
      </c>
      <c r="N141" s="121" t="str">
        <f ca="1">IFERROR(INDIRECT(CONCATENATE("Field!N",A135+7)),"")</f>
        <v/>
      </c>
      <c r="T141" s="64" t="str">
        <f t="shared" ca="1" si="8"/>
        <v/>
      </c>
      <c r="U141" s="64" t="str">
        <f t="shared" ca="1" si="9"/>
        <v/>
      </c>
      <c r="V141" s="422" t="str">
        <f ca="1">IF(OR(D141=0,D141="",D141="Athlete"),"",COUNTIF($D$4:$D141,D141))</f>
        <v/>
      </c>
      <c r="W141" s="422" t="str">
        <f t="shared" ca="1" si="10"/>
        <v/>
      </c>
      <c r="Z141" s="422" t="str">
        <f t="shared" ca="1" si="11"/>
        <v/>
      </c>
    </row>
    <row r="142" spans="1:26" x14ac:dyDescent="0.35">
      <c r="B142" s="66">
        <f ca="1">IFERROR(INDIRECT(CONCATENATE("Field!B",A135+8)),"")</f>
        <v>7</v>
      </c>
      <c r="C142" s="66" t="str">
        <f ca="1">IFERROR(INDIRECT(CONCATENATE("Field!C",A135+8)),"")</f>
        <v/>
      </c>
      <c r="D142" s="89" t="str">
        <f ca="1">IFERROR(INDIRECT(CONCATENATE("Field!D",A135+8)),"")</f>
        <v/>
      </c>
      <c r="E142" s="89" t="str">
        <f ca="1">IFERROR(INDIRECT(CONCATENATE("Field!E",A135+8)),"")</f>
        <v/>
      </c>
      <c r="F142" s="65" t="str">
        <f ca="1">IFERROR(INDIRECT(CONCATENATE("Field!F",A135+8)),"")</f>
        <v/>
      </c>
      <c r="G142" s="121" t="str">
        <f ca="1">IFERROR(INDIRECT(CONCATENATE("Field!G",A135+8)),"")</f>
        <v/>
      </c>
      <c r="H142" s="66"/>
      <c r="I142" s="66">
        <f ca="1">IFERROR(INDIRECT(CONCATENATE("Field!I",A135+8)),"")</f>
        <v>7</v>
      </c>
      <c r="J142" s="66" t="str">
        <f ca="1">IFERROR(INDIRECT(CONCATENATE("Field!J",A135+8)),"")</f>
        <v/>
      </c>
      <c r="K142" s="89" t="str">
        <f ca="1">IFERROR(INDIRECT(CONCATENATE("Field!K",A135+8)),"")</f>
        <v/>
      </c>
      <c r="L142" s="89" t="str">
        <f ca="1">IFERROR(INDIRECT(CONCATENATE("Field!L",A135+8)),"")</f>
        <v/>
      </c>
      <c r="M142" s="65" t="str">
        <f ca="1">IFERROR(INDIRECT(CONCATENATE("Field!M",A135+8)),"")</f>
        <v/>
      </c>
      <c r="N142" s="121" t="str">
        <f ca="1">IFERROR(INDIRECT(CONCATENATE("Field!N",A135+8)),"")</f>
        <v/>
      </c>
      <c r="T142" s="64" t="str">
        <f t="shared" ca="1" si="8"/>
        <v/>
      </c>
      <c r="U142" s="64" t="str">
        <f t="shared" ca="1" si="9"/>
        <v/>
      </c>
      <c r="V142" s="422" t="str">
        <f ca="1">IF(OR(D142=0,D142="",D142="Athlete"),"",COUNTIF($D$4:$D142,D142))</f>
        <v/>
      </c>
      <c r="W142" s="422" t="str">
        <f t="shared" ca="1" si="10"/>
        <v/>
      </c>
      <c r="Z142" s="422" t="str">
        <f t="shared" ca="1" si="11"/>
        <v/>
      </c>
    </row>
    <row r="143" spans="1:26" x14ac:dyDescent="0.35">
      <c r="B143" s="66">
        <f ca="1">IFERROR(INDIRECT(CONCATENATE("Field!B",A135+9)),"")</f>
        <v>8</v>
      </c>
      <c r="C143" s="66" t="str">
        <f ca="1">IFERROR(INDIRECT(CONCATENATE("Field!C",A135+9)),"")</f>
        <v/>
      </c>
      <c r="D143" s="89" t="str">
        <f ca="1">IFERROR(INDIRECT(CONCATENATE("Field!D",A135+9)),"")</f>
        <v/>
      </c>
      <c r="E143" s="89" t="str">
        <f ca="1">IFERROR(INDIRECT(CONCATENATE("Field!E",A135+9)),"")</f>
        <v/>
      </c>
      <c r="F143" s="65" t="str">
        <f ca="1">IFERROR(INDIRECT(CONCATENATE("Field!F",A135+9)),"")</f>
        <v/>
      </c>
      <c r="G143" s="121" t="str">
        <f ca="1">IFERROR(INDIRECT(CONCATENATE("Field!G",A135+9)),"")</f>
        <v/>
      </c>
      <c r="H143" s="66"/>
      <c r="I143" s="66">
        <f ca="1">IFERROR(INDIRECT(CONCATENATE("Field!I",A135+9)),"")</f>
        <v>8</v>
      </c>
      <c r="J143" s="66" t="str">
        <f ca="1">IFERROR(INDIRECT(CONCATENATE("Field!J",A135+9)),"")</f>
        <v/>
      </c>
      <c r="K143" s="89" t="str">
        <f ca="1">IFERROR(INDIRECT(CONCATENATE("Field!K",A135+9)),"")</f>
        <v/>
      </c>
      <c r="L143" s="89" t="str">
        <f ca="1">IFERROR(INDIRECT(CONCATENATE("Field!L",A135+9)),"")</f>
        <v/>
      </c>
      <c r="M143" s="65" t="str">
        <f ca="1">IFERROR(INDIRECT(CONCATENATE("Field!M",A135+9)),"")</f>
        <v/>
      </c>
      <c r="N143" s="121" t="str">
        <f ca="1">IFERROR(INDIRECT(CONCATENATE("Field!N",A135+9)),"")</f>
        <v/>
      </c>
      <c r="T143" s="64" t="str">
        <f t="shared" ca="1" si="8"/>
        <v/>
      </c>
      <c r="U143" s="64" t="str">
        <f t="shared" ca="1" si="9"/>
        <v/>
      </c>
      <c r="V143" s="422" t="str">
        <f ca="1">IF(OR(D143=0,D143="",D143="Athlete"),"",COUNTIF($D$4:$D143,D143))</f>
        <v/>
      </c>
      <c r="W143" s="422" t="str">
        <f t="shared" ca="1" si="10"/>
        <v/>
      </c>
      <c r="Z143" s="422" t="str">
        <f t="shared" ca="1" si="11"/>
        <v/>
      </c>
    </row>
    <row r="144" spans="1:26" x14ac:dyDescent="0.35">
      <c r="T144" s="64" t="str">
        <f t="shared" si="8"/>
        <v/>
      </c>
      <c r="U144" s="64" t="str">
        <f t="shared" si="9"/>
        <v/>
      </c>
      <c r="V144" s="422" t="str">
        <f>IF(OR(D144=0,D144="",D144="Athlete"),"",COUNTIF($D$4:$D144,D144))</f>
        <v/>
      </c>
      <c r="W144" s="422" t="str">
        <f t="shared" si="10"/>
        <v/>
      </c>
      <c r="Z144" s="422" t="str">
        <f t="shared" si="11"/>
        <v/>
      </c>
    </row>
    <row r="145" spans="1:26" x14ac:dyDescent="0.35">
      <c r="A145" s="66" t="s">
        <v>232</v>
      </c>
      <c r="B145" s="115" t="str">
        <f ca="1">IFERROR(INDIRECT(CONCATENATE("Field!B",A146)),"")</f>
        <v>Hammer U15 Girls A</v>
      </c>
      <c r="G145" s="121" t="str">
        <f ca="1">IFERROR(INDIRECT(CONCATENATE("Field!g",A146)),"")</f>
        <v/>
      </c>
      <c r="I145" s="115" t="str">
        <f ca="1">IFERROR(INDIRECT(CONCATENATE("Field!I",A146)),"")</f>
        <v>Hammer U15 Girls B</v>
      </c>
      <c r="T145" s="64" t="str">
        <f t="shared" si="8"/>
        <v/>
      </c>
      <c r="U145" s="64" t="str">
        <f t="shared" si="9"/>
        <v/>
      </c>
      <c r="V145" s="422" t="str">
        <f>IF(OR(D145=0,D145="",D145="Athlete"),"",COUNTIF($D$4:$D145,D145))</f>
        <v/>
      </c>
      <c r="W145" s="422" t="str">
        <f t="shared" si="10"/>
        <v/>
      </c>
      <c r="Z145" s="422" t="str">
        <f t="shared" ca="1" si="11"/>
        <v/>
      </c>
    </row>
    <row r="146" spans="1:26" x14ac:dyDescent="0.35">
      <c r="A146" s="66">
        <f>IFERROR(MATCH(A145,Field!A:A,0),"")</f>
        <v>13</v>
      </c>
      <c r="B146" s="45" t="str">
        <f ca="1">IFERROR(INDIRECT(CONCATENATE("Field!B",A146+1)),"")</f>
        <v>Posn</v>
      </c>
      <c r="C146" s="45" t="str">
        <f ca="1">IFERROR(INDIRECT(CONCATENATE("Field!C",A146+1)),"")</f>
        <v>Bib</v>
      </c>
      <c r="D146" s="182" t="str">
        <f ca="1">IFERROR(INDIRECT(CONCATENATE("Field!D",A146+1)),"")</f>
        <v>Athlete</v>
      </c>
      <c r="E146" s="182" t="str">
        <f ca="1">IFERROR(INDIRECT(CONCATENATE("Field!E",A146+1)),"")</f>
        <v>Club</v>
      </c>
      <c r="F146" s="149" t="str">
        <f ca="1">IFERROR(INDIRECT(CONCATENATE("Field!F",A146+1)),"")</f>
        <v>Perf</v>
      </c>
      <c r="G146" s="218" t="str">
        <f ca="1">IFERROR(INDIRECT(CONCATENATE("Field!G",A146+1)),"")</f>
        <v>AAA</v>
      </c>
      <c r="H146" s="45"/>
      <c r="I146" s="45" t="str">
        <f ca="1">IFERROR(INDIRECT(CONCATENATE("Field!I",A146+1)),"")</f>
        <v>Posn</v>
      </c>
      <c r="J146" s="45" t="str">
        <f ca="1">IFERROR(INDIRECT(CONCATENATE("Field!J",A146+1)),"")</f>
        <v>Bib</v>
      </c>
      <c r="K146" s="182" t="str">
        <f ca="1">IFERROR(INDIRECT(CONCATENATE("Field!K",A146+1)),"")</f>
        <v>Athlete</v>
      </c>
      <c r="L146" s="182" t="str">
        <f ca="1">IFERROR(INDIRECT(CONCATENATE("Field!L",A146+1)),"")</f>
        <v>Club</v>
      </c>
      <c r="M146" s="149" t="str">
        <f ca="1">IFERROR(INDIRECT(CONCATENATE("Field!M",A146+1)),"")</f>
        <v>Perf</v>
      </c>
      <c r="N146" s="218" t="str">
        <f ca="1">IFERROR(INDIRECT(CONCATENATE("Field!N",A146+1)),"")</f>
        <v>AAA</v>
      </c>
      <c r="T146" s="64" t="str">
        <f t="shared" ca="1" si="8"/>
        <v/>
      </c>
      <c r="U146" s="64" t="str">
        <f t="shared" ca="1" si="9"/>
        <v/>
      </c>
      <c r="V146" s="422" t="str">
        <f ca="1">IF(OR(D146=0,D146="",D146="Athlete"),"",COUNTIF($D$4:$D146,D146))</f>
        <v/>
      </c>
      <c r="W146" s="422" t="str">
        <f t="shared" ca="1" si="10"/>
        <v/>
      </c>
      <c r="Z146" s="422">
        <f t="shared" ca="1" si="11"/>
        <v>0</v>
      </c>
    </row>
    <row r="147" spans="1:26" x14ac:dyDescent="0.35">
      <c r="B147" s="66">
        <f ca="1">IFERROR(INDIRECT(CONCATENATE("Field!B",A146+2)),"")</f>
        <v>1</v>
      </c>
      <c r="C147" s="66">
        <f ca="1">IFERROR(INDIRECT(CONCATENATE("Field!C",A146+2)),"")</f>
        <v>5</v>
      </c>
      <c r="D147" s="89" t="str">
        <f ca="1">IFERROR(INDIRECT(CONCATENATE("Field!D",A146+2)),"")</f>
        <v>LOVE Katie</v>
      </c>
      <c r="E147" s="89" t="str">
        <f ca="1">IFERROR(INDIRECT(CONCATENATE("Field!E",A146+2)),"")</f>
        <v>Scun</v>
      </c>
      <c r="F147" s="65">
        <f ca="1">IFERROR(INDIRECT(CONCATENATE("Field!F",A146+2)),"")</f>
        <v>30.77</v>
      </c>
      <c r="G147" s="121">
        <f ca="1">IFERROR(INDIRECT(CONCATENATE("Field!G",A146+2)),"")</f>
        <v>4</v>
      </c>
      <c r="H147" s="66"/>
      <c r="I147" s="66">
        <f ca="1">IFERROR(INDIRECT(CONCATENATE("Field!I",A146+2)),"")</f>
        <v>1</v>
      </c>
      <c r="J147" s="66">
        <f ca="1">IFERROR(INDIRECT(CONCATENATE("Field!J",A146+2)),"")</f>
        <v>1</v>
      </c>
      <c r="K147" s="89" t="str">
        <f ca="1">IFERROR(INDIRECT(CONCATENATE("Field!K",A146+2)),"")</f>
        <v>LABAN Ella</v>
      </c>
      <c r="L147" s="89" t="str">
        <f ca="1">IFERROR(INDIRECT(CONCATENATE("Field!L",A146+2)),"")</f>
        <v>C'field</v>
      </c>
      <c r="M147" s="65">
        <f ca="1">IFERROR(INDIRECT(CONCATENATE("Field!M",A146+2)),"")</f>
        <v>19.600000000000001</v>
      </c>
      <c r="N147" s="121" t="str">
        <f ca="1">IFERROR(INDIRECT(CONCATENATE("Field!N",A146+2)),"")</f>
        <v/>
      </c>
      <c r="R147" s="219">
        <f ca="1">IFERROR(INDIRECT(CONCATENATE("Field!r",A146+2)),"")</f>
        <v>1</v>
      </c>
      <c r="T147" s="64">
        <f t="shared" ca="1" si="8"/>
        <v>1</v>
      </c>
      <c r="U147" s="64">
        <f t="shared" ca="1" si="9"/>
        <v>3</v>
      </c>
      <c r="V147" s="422">
        <f ca="1">IF(OR(D147=0,D147="",D147="Athlete"),"",COUNTIF($D$4:$D147,D147))</f>
        <v>1</v>
      </c>
      <c r="W147" s="422" t="str">
        <f t="shared" ca="1" si="10"/>
        <v>Scun</v>
      </c>
      <c r="Z147" s="422">
        <f t="shared" ca="1" si="11"/>
        <v>0</v>
      </c>
    </row>
    <row r="148" spans="1:26" x14ac:dyDescent="0.35">
      <c r="B148" s="66">
        <f ca="1">IFERROR(INDIRECT(CONCATENATE("Field!B",A146+3)),"")</f>
        <v>2</v>
      </c>
      <c r="C148" s="66">
        <f ca="1">IFERROR(INDIRECT(CONCATENATE("Field!C",A146+3)),"")</f>
        <v>11</v>
      </c>
      <c r="D148" s="89" t="str">
        <f ca="1">IFERROR(INDIRECT(CONCATENATE("Field!D",A146+3)),"")</f>
        <v>HIGHAM Ruby</v>
      </c>
      <c r="E148" s="89" t="str">
        <f ca="1">IFERROR(INDIRECT(CONCATENATE("Field!E",A146+3)),"")</f>
        <v>C'field</v>
      </c>
      <c r="F148" s="65">
        <f ca="1">IFERROR(INDIRECT(CONCATENATE("Field!F",A146+3)),"")</f>
        <v>20.57</v>
      </c>
      <c r="G148" s="121" t="str">
        <f ca="1">IFERROR(INDIRECT(CONCATENATE("Field!G",A146+3)),"")</f>
        <v/>
      </c>
      <c r="H148" s="66"/>
      <c r="I148" s="66">
        <f ca="1">IFERROR(INDIRECT(CONCATENATE("Field!I",A146+3)),"")</f>
        <v>2</v>
      </c>
      <c r="J148" s="66">
        <f ca="1">IFERROR(INDIRECT(CONCATENATE("Field!J",A146+3)),"")</f>
        <v>55</v>
      </c>
      <c r="K148" s="89" t="str">
        <f ca="1">IFERROR(INDIRECT(CONCATENATE("Field!K",A146+3)),"")</f>
        <v>BETTS Demi</v>
      </c>
      <c r="L148" s="89" t="str">
        <f ca="1">IFERROR(INDIRECT(CONCATENATE("Field!L",A146+3)),"")</f>
        <v>Scun</v>
      </c>
      <c r="M148" s="65">
        <f ca="1">IFERROR(INDIRECT(CONCATENATE("Field!M",A146+3)),"")</f>
        <v>11.51</v>
      </c>
      <c r="N148" s="121" t="str">
        <f ca="1">IFERROR(INDIRECT(CONCATENATE("Field!N",A146+3)),"")</f>
        <v/>
      </c>
      <c r="T148" s="64">
        <f t="shared" ca="1" si="8"/>
        <v>3</v>
      </c>
      <c r="U148" s="64">
        <f t="shared" ca="1" si="9"/>
        <v>3</v>
      </c>
      <c r="V148" s="422">
        <f ca="1">IF(OR(D148=0,D148="",D148="Athlete"),"",COUNTIF($D$4:$D148,D148))</f>
        <v>2</v>
      </c>
      <c r="W148" s="422" t="str">
        <f t="shared" ca="1" si="10"/>
        <v>C'field</v>
      </c>
      <c r="Z148" s="422" t="str">
        <f t="shared" ca="1" si="11"/>
        <v/>
      </c>
    </row>
    <row r="149" spans="1:26" x14ac:dyDescent="0.35">
      <c r="B149" s="66">
        <f ca="1">IFERROR(INDIRECT(CONCATENATE("Field!B",A146+4)),"")</f>
        <v>3</v>
      </c>
      <c r="C149" s="66">
        <f ca="1">IFERROR(INDIRECT(CONCATENATE("Field!C",A146+4)),"")</f>
        <v>22</v>
      </c>
      <c r="D149" s="89" t="str">
        <f ca="1">IFERROR(INDIRECT(CONCATENATE("Field!D",A146+4)),"")</f>
        <v>PADDON Freya</v>
      </c>
      <c r="E149" s="89" t="str">
        <f ca="1">IFERROR(INDIRECT(CONCATENATE("Field!E",A146+4)),"")</f>
        <v>Sheff+D</v>
      </c>
      <c r="F149" s="65">
        <f ca="1">IFERROR(INDIRECT(CONCATENATE("Field!F",A146+4)),"")</f>
        <v>16.18</v>
      </c>
      <c r="G149" s="121" t="str">
        <f ca="1">IFERROR(INDIRECT(CONCATENATE("Field!G",A146+4)),"")</f>
        <v/>
      </c>
      <c r="H149" s="66"/>
      <c r="I149" s="66">
        <f ca="1">IFERROR(INDIRECT(CONCATENATE("Field!I",A146+4)),"")</f>
        <v>3</v>
      </c>
      <c r="J149" s="66">
        <f ca="1">IFERROR(INDIRECT(CONCATENATE("Field!J",A146+4)),"")</f>
        <v>2</v>
      </c>
      <c r="K149" s="89" t="str">
        <f ca="1">IFERROR(INDIRECT(CONCATENATE("Field!K",A146+4)),"")</f>
        <v>KYNOCH Ella</v>
      </c>
      <c r="L149" s="89" t="str">
        <f ca="1">IFERROR(INDIRECT(CONCATENATE("Field!L",A146+4)),"")</f>
        <v>Sheff+D</v>
      </c>
      <c r="M149" s="65">
        <f ca="1">IFERROR(INDIRECT(CONCATENATE("Field!M",A146+4)),"")</f>
        <v>7.09</v>
      </c>
      <c r="N149" s="121" t="str">
        <f ca="1">IFERROR(INDIRECT(CONCATENATE("Field!N",A146+4)),"")</f>
        <v/>
      </c>
      <c r="T149" s="64">
        <f t="shared" ca="1" si="8"/>
        <v>3</v>
      </c>
      <c r="U149" s="64">
        <f t="shared" ca="1" si="9"/>
        <v>3</v>
      </c>
      <c r="V149" s="422">
        <f ca="1">IF(OR(D149=0,D149="",D149="Athlete"),"",COUNTIF($D$4:$D149,D149))</f>
        <v>2</v>
      </c>
      <c r="W149" s="422" t="str">
        <f t="shared" ca="1" si="10"/>
        <v>Sheff+D</v>
      </c>
      <c r="Z149" s="422" t="str">
        <f t="shared" ca="1" si="11"/>
        <v/>
      </c>
    </row>
    <row r="150" spans="1:26" x14ac:dyDescent="0.35">
      <c r="B150" s="66">
        <f ca="1">IFERROR(INDIRECT(CONCATENATE("Field!B",A146+5)),"")</f>
        <v>4</v>
      </c>
      <c r="C150" s="66" t="str">
        <f ca="1">IFERROR(INDIRECT(CONCATENATE("Field!C",A146+5)),"")</f>
        <v/>
      </c>
      <c r="D150" s="89" t="str">
        <f ca="1">IFERROR(INDIRECT(CONCATENATE("Field!D",A146+5)),"")</f>
        <v/>
      </c>
      <c r="E150" s="89" t="str">
        <f ca="1">IFERROR(INDIRECT(CONCATENATE("Field!E",A146+5)),"")</f>
        <v/>
      </c>
      <c r="F150" s="65" t="str">
        <f ca="1">IFERROR(INDIRECT(CONCATENATE("Field!F",A146+5)),"")</f>
        <v/>
      </c>
      <c r="G150" s="121" t="str">
        <f ca="1">IFERROR(INDIRECT(CONCATENATE("Field!G",A146+5)),"")</f>
        <v/>
      </c>
      <c r="H150" s="66"/>
      <c r="I150" s="66">
        <f ca="1">IFERROR(INDIRECT(CONCATENATE("Field!I",A146+5)),"")</f>
        <v>4</v>
      </c>
      <c r="J150" s="66" t="str">
        <f ca="1">IFERROR(INDIRECT(CONCATENATE("Field!J",A146+5)),"")</f>
        <v/>
      </c>
      <c r="K150" s="89" t="str">
        <f ca="1">IFERROR(INDIRECT(CONCATENATE("Field!K",A146+5)),"")</f>
        <v/>
      </c>
      <c r="L150" s="89" t="str">
        <f ca="1">IFERROR(INDIRECT(CONCATENATE("Field!L",A146+5)),"")</f>
        <v/>
      </c>
      <c r="M150" s="65" t="str">
        <f ca="1">IFERROR(INDIRECT(CONCATENATE("Field!M",A146+5)),"")</f>
        <v/>
      </c>
      <c r="N150" s="121" t="str">
        <f ca="1">IFERROR(INDIRECT(CONCATENATE("Field!N",A146+5)),"")</f>
        <v/>
      </c>
      <c r="T150" s="64" t="str">
        <f t="shared" ca="1" si="8"/>
        <v/>
      </c>
      <c r="U150" s="64" t="str">
        <f t="shared" ca="1" si="9"/>
        <v/>
      </c>
      <c r="V150" s="422" t="str">
        <f ca="1">IF(OR(D150=0,D150="",D150="Athlete"),"",COUNTIF($D$4:$D150,D150))</f>
        <v/>
      </c>
      <c r="W150" s="422" t="str">
        <f t="shared" ca="1" si="10"/>
        <v/>
      </c>
      <c r="Z150" s="422" t="str">
        <f t="shared" ca="1" si="11"/>
        <v/>
      </c>
    </row>
    <row r="151" spans="1:26" x14ac:dyDescent="0.35">
      <c r="B151" s="66">
        <f ca="1">IFERROR(INDIRECT(CONCATENATE("Field!B",A146+6)),"")</f>
        <v>5</v>
      </c>
      <c r="C151" s="66" t="str">
        <f ca="1">IFERROR(INDIRECT(CONCATENATE("Field!C",A146+6)),"")</f>
        <v/>
      </c>
      <c r="D151" s="89" t="str">
        <f ca="1">IFERROR(INDIRECT(CONCATENATE("Field!D",A146+6)),"")</f>
        <v/>
      </c>
      <c r="E151" s="89" t="str">
        <f ca="1">IFERROR(INDIRECT(CONCATENATE("Field!E",A146+6)),"")</f>
        <v/>
      </c>
      <c r="F151" s="65" t="str">
        <f ca="1">IFERROR(INDIRECT(CONCATENATE("Field!F",A146+6)),"")</f>
        <v/>
      </c>
      <c r="G151" s="121" t="str">
        <f ca="1">IFERROR(INDIRECT(CONCATENATE("Field!G",A146+6)),"")</f>
        <v/>
      </c>
      <c r="H151" s="66"/>
      <c r="I151" s="66">
        <f ca="1">IFERROR(INDIRECT(CONCATENATE("Field!I",A146+6)),"")</f>
        <v>5</v>
      </c>
      <c r="J151" s="66" t="str">
        <f ca="1">IFERROR(INDIRECT(CONCATENATE("Field!J",A146+6)),"")</f>
        <v/>
      </c>
      <c r="K151" s="89" t="str">
        <f ca="1">IFERROR(INDIRECT(CONCATENATE("Field!K",A146+6)),"")</f>
        <v/>
      </c>
      <c r="L151" s="89" t="str">
        <f ca="1">IFERROR(INDIRECT(CONCATENATE("Field!L",A146+6)),"")</f>
        <v/>
      </c>
      <c r="M151" s="65" t="str">
        <f ca="1">IFERROR(INDIRECT(CONCATENATE("Field!M",A146+6)),"")</f>
        <v/>
      </c>
      <c r="N151" s="121" t="str">
        <f ca="1">IFERROR(INDIRECT(CONCATENATE("Field!N",A146+6)),"")</f>
        <v/>
      </c>
      <c r="T151" s="64" t="str">
        <f t="shared" ca="1" si="8"/>
        <v/>
      </c>
      <c r="U151" s="64" t="str">
        <f t="shared" ca="1" si="9"/>
        <v/>
      </c>
      <c r="V151" s="422" t="str">
        <f ca="1">IF(OR(D151=0,D151="",D151="Athlete"),"",COUNTIF($D$4:$D151,D151))</f>
        <v/>
      </c>
      <c r="W151" s="422" t="str">
        <f t="shared" ca="1" si="10"/>
        <v/>
      </c>
      <c r="Z151" s="422" t="str">
        <f t="shared" ca="1" si="11"/>
        <v/>
      </c>
    </row>
    <row r="152" spans="1:26" x14ac:dyDescent="0.35">
      <c r="B152" s="66">
        <f ca="1">IFERROR(INDIRECT(CONCATENATE("Field!B",A146+7)),"")</f>
        <v>6</v>
      </c>
      <c r="C152" s="66" t="str">
        <f ca="1">IFERROR(INDIRECT(CONCATENATE("Field!C",A146+7)),"")</f>
        <v/>
      </c>
      <c r="D152" s="89" t="str">
        <f ca="1">IFERROR(INDIRECT(CONCATENATE("Field!D",A146+7)),"")</f>
        <v/>
      </c>
      <c r="E152" s="89" t="str">
        <f ca="1">IFERROR(INDIRECT(CONCATENATE("Field!E",A146+7)),"")</f>
        <v/>
      </c>
      <c r="F152" s="65" t="str">
        <f ca="1">IFERROR(INDIRECT(CONCATENATE("Field!F",A146+7)),"")</f>
        <v/>
      </c>
      <c r="G152" s="121" t="str">
        <f ca="1">IFERROR(INDIRECT(CONCATENATE("Field!G",A146+7)),"")</f>
        <v/>
      </c>
      <c r="H152" s="66"/>
      <c r="I152" s="66">
        <f ca="1">IFERROR(INDIRECT(CONCATENATE("Field!I",A146+7)),"")</f>
        <v>6</v>
      </c>
      <c r="J152" s="66" t="str">
        <f ca="1">IFERROR(INDIRECT(CONCATENATE("Field!J",A146+7)),"")</f>
        <v/>
      </c>
      <c r="K152" s="89" t="str">
        <f ca="1">IFERROR(INDIRECT(CONCATENATE("Field!K",A146+7)),"")</f>
        <v/>
      </c>
      <c r="L152" s="89" t="str">
        <f ca="1">IFERROR(INDIRECT(CONCATENATE("Field!L",A146+7)),"")</f>
        <v/>
      </c>
      <c r="M152" s="65" t="str">
        <f ca="1">IFERROR(INDIRECT(CONCATENATE("Field!M",A146+7)),"")</f>
        <v/>
      </c>
      <c r="N152" s="121" t="str">
        <f ca="1">IFERROR(INDIRECT(CONCATENATE("Field!N",A146+7)),"")</f>
        <v/>
      </c>
      <c r="T152" s="64" t="str">
        <f t="shared" ca="1" si="8"/>
        <v/>
      </c>
      <c r="U152" s="64" t="str">
        <f t="shared" ca="1" si="9"/>
        <v/>
      </c>
      <c r="V152" s="422" t="str">
        <f ca="1">IF(OR(D152=0,D152="",D152="Athlete"),"",COUNTIF($D$4:$D152,D152))</f>
        <v/>
      </c>
      <c r="W152" s="422" t="str">
        <f t="shared" ca="1" si="10"/>
        <v/>
      </c>
      <c r="Z152" s="422" t="str">
        <f t="shared" ca="1" si="11"/>
        <v/>
      </c>
    </row>
    <row r="153" spans="1:26" x14ac:dyDescent="0.35">
      <c r="B153" s="66">
        <f ca="1">IFERROR(INDIRECT(CONCATENATE("Field!B",A146+8)),"")</f>
        <v>7</v>
      </c>
      <c r="C153" s="66" t="str">
        <f ca="1">IFERROR(INDIRECT(CONCATENATE("Field!C",A146+8)),"")</f>
        <v/>
      </c>
      <c r="D153" s="89" t="str">
        <f ca="1">IFERROR(INDIRECT(CONCATENATE("Field!D",A146+8)),"")</f>
        <v/>
      </c>
      <c r="E153" s="89" t="str">
        <f ca="1">IFERROR(INDIRECT(CONCATENATE("Field!E",A146+8)),"")</f>
        <v/>
      </c>
      <c r="F153" s="65" t="str">
        <f ca="1">IFERROR(INDIRECT(CONCATENATE("Field!F",A146+8)),"")</f>
        <v/>
      </c>
      <c r="G153" s="121" t="str">
        <f ca="1">IFERROR(INDIRECT(CONCATENATE("Field!G",A146+8)),"")</f>
        <v/>
      </c>
      <c r="H153" s="66"/>
      <c r="I153" s="66">
        <f ca="1">IFERROR(INDIRECT(CONCATENATE("Field!I",A146+8)),"")</f>
        <v>7</v>
      </c>
      <c r="J153" s="66" t="str">
        <f ca="1">IFERROR(INDIRECT(CONCATENATE("Field!J",A146+8)),"")</f>
        <v/>
      </c>
      <c r="K153" s="89" t="str">
        <f ca="1">IFERROR(INDIRECT(CONCATENATE("Field!K",A146+8)),"")</f>
        <v/>
      </c>
      <c r="L153" s="89" t="str">
        <f ca="1">IFERROR(INDIRECT(CONCATENATE("Field!L",A146+8)),"")</f>
        <v/>
      </c>
      <c r="M153" s="65" t="str">
        <f ca="1">IFERROR(INDIRECT(CONCATENATE("Field!M",A146+8)),"")</f>
        <v/>
      </c>
      <c r="N153" s="121" t="str">
        <f ca="1">IFERROR(INDIRECT(CONCATENATE("Field!N",A146+8)),"")</f>
        <v/>
      </c>
      <c r="T153" s="64" t="str">
        <f t="shared" ca="1" si="8"/>
        <v/>
      </c>
      <c r="U153" s="64" t="str">
        <f t="shared" ca="1" si="9"/>
        <v/>
      </c>
      <c r="V153" s="422" t="str">
        <f ca="1">IF(OR(D153=0,D153="",D153="Athlete"),"",COUNTIF($D$4:$D153,D153))</f>
        <v/>
      </c>
      <c r="W153" s="422" t="str">
        <f t="shared" ca="1" si="10"/>
        <v/>
      </c>
      <c r="Z153" s="422" t="str">
        <f t="shared" ca="1" si="11"/>
        <v/>
      </c>
    </row>
    <row r="154" spans="1:26" x14ac:dyDescent="0.35">
      <c r="B154" s="66">
        <f ca="1">IFERROR(INDIRECT(CONCATENATE("Field!B",A146+9)),"")</f>
        <v>8</v>
      </c>
      <c r="C154" s="66" t="str">
        <f ca="1">IFERROR(INDIRECT(CONCATENATE("Field!C",A146+9)),"")</f>
        <v/>
      </c>
      <c r="D154" s="89" t="str">
        <f ca="1">IFERROR(INDIRECT(CONCATENATE("Field!D",A146+9)),"")</f>
        <v/>
      </c>
      <c r="E154" s="89" t="str">
        <f ca="1">IFERROR(INDIRECT(CONCATENATE("Field!E",A146+9)),"")</f>
        <v/>
      </c>
      <c r="F154" s="65" t="str">
        <f ca="1">IFERROR(INDIRECT(CONCATENATE("Field!F",A146+9)),"")</f>
        <v/>
      </c>
      <c r="G154" s="121" t="str">
        <f ca="1">IFERROR(INDIRECT(CONCATENATE("Field!G",A146+9)),"")</f>
        <v/>
      </c>
      <c r="H154" s="66"/>
      <c r="I154" s="66">
        <f ca="1">IFERROR(INDIRECT(CONCATENATE("Field!I",A146+9)),"")</f>
        <v>8</v>
      </c>
      <c r="J154" s="66" t="str">
        <f ca="1">IFERROR(INDIRECT(CONCATENATE("Field!J",A146+9)),"")</f>
        <v/>
      </c>
      <c r="K154" s="89" t="str">
        <f ca="1">IFERROR(INDIRECT(CONCATENATE("Field!K",A146+9)),"")</f>
        <v/>
      </c>
      <c r="L154" s="89" t="str">
        <f ca="1">IFERROR(INDIRECT(CONCATENATE("Field!L",A146+9)),"")</f>
        <v/>
      </c>
      <c r="M154" s="65" t="str">
        <f ca="1">IFERROR(INDIRECT(CONCATENATE("Field!M",A146+9)),"")</f>
        <v/>
      </c>
      <c r="N154" s="121" t="str">
        <f ca="1">IFERROR(INDIRECT(CONCATENATE("Field!N",A146+9)),"")</f>
        <v/>
      </c>
      <c r="T154" s="64" t="str">
        <f t="shared" ca="1" si="8"/>
        <v/>
      </c>
      <c r="U154" s="64" t="str">
        <f t="shared" ca="1" si="9"/>
        <v/>
      </c>
      <c r="V154" s="422" t="str">
        <f ca="1">IF(OR(D154=0,D154="",D154="Athlete"),"",COUNTIF($D$4:$D154,D154))</f>
        <v/>
      </c>
      <c r="W154" s="422" t="str">
        <f t="shared" ca="1" si="10"/>
        <v/>
      </c>
      <c r="Z154" s="422" t="str">
        <f t="shared" ca="1" si="11"/>
        <v/>
      </c>
    </row>
    <row r="155" spans="1:26" x14ac:dyDescent="0.35">
      <c r="T155" s="64" t="str">
        <f t="shared" si="8"/>
        <v/>
      </c>
      <c r="U155" s="64" t="str">
        <f t="shared" si="9"/>
        <v/>
      </c>
      <c r="V155" s="422" t="str">
        <f>IF(OR(D155=0,D155="",D155="Athlete"),"",COUNTIF($D$4:$D155,D155))</f>
        <v/>
      </c>
      <c r="W155" s="422" t="str">
        <f t="shared" si="10"/>
        <v/>
      </c>
      <c r="Z155" s="422" t="str">
        <f t="shared" si="11"/>
        <v/>
      </c>
    </row>
    <row r="156" spans="1:26" x14ac:dyDescent="0.35">
      <c r="A156" s="66" t="s">
        <v>244</v>
      </c>
      <c r="B156" s="115" t="str">
        <f ca="1">IFERROR(INDIRECT(CONCATENATE("Field!B",A157)),"")</f>
        <v>Javelin U15 Girls A</v>
      </c>
      <c r="G156" s="121" t="str">
        <f ca="1">IFERROR(INDIRECT(CONCATENATE("Field!g",A157)),"")</f>
        <v/>
      </c>
      <c r="I156" s="115" t="str">
        <f ca="1">IFERROR(INDIRECT(CONCATENATE("Field!I",A157)),"")</f>
        <v>Javelin U15 Girls B</v>
      </c>
      <c r="T156" s="64" t="str">
        <f t="shared" si="8"/>
        <v/>
      </c>
      <c r="U156" s="64" t="str">
        <f t="shared" si="9"/>
        <v/>
      </c>
      <c r="V156" s="422" t="str">
        <f>IF(OR(D156=0,D156="",D156="Athlete"),"",COUNTIF($D$4:$D156,D156))</f>
        <v/>
      </c>
      <c r="W156" s="422" t="str">
        <f t="shared" si="10"/>
        <v/>
      </c>
      <c r="Z156" s="422" t="str">
        <f t="shared" ca="1" si="11"/>
        <v/>
      </c>
    </row>
    <row r="157" spans="1:26" x14ac:dyDescent="0.35">
      <c r="A157" s="66">
        <f>IFERROR(MATCH(A156,Field!A:A,0),"")</f>
        <v>79</v>
      </c>
      <c r="B157" s="45" t="str">
        <f ca="1">IFERROR(INDIRECT(CONCATENATE("Field!B",A157+1)),"")</f>
        <v>Posn</v>
      </c>
      <c r="C157" s="45" t="str">
        <f ca="1">IFERROR(INDIRECT(CONCATENATE("Field!C",A157+1)),"")</f>
        <v>Bib</v>
      </c>
      <c r="D157" s="182" t="str">
        <f ca="1">IFERROR(INDIRECT(CONCATENATE("Field!D",A157+1)),"")</f>
        <v>Athlete</v>
      </c>
      <c r="E157" s="182" t="str">
        <f ca="1">IFERROR(INDIRECT(CONCATENATE("Field!E",A157+1)),"")</f>
        <v>Club</v>
      </c>
      <c r="F157" s="149" t="str">
        <f ca="1">IFERROR(INDIRECT(CONCATENATE("Field!F",A157+1)),"")</f>
        <v>Perf</v>
      </c>
      <c r="G157" s="218" t="str">
        <f ca="1">IFERROR(INDIRECT(CONCATENATE("Field!G",A157+1)),"")</f>
        <v>AAA</v>
      </c>
      <c r="H157" s="45"/>
      <c r="I157" s="45" t="str">
        <f ca="1">IFERROR(INDIRECT(CONCATENATE("Field!I",A157+1)),"")</f>
        <v>Posn</v>
      </c>
      <c r="J157" s="45" t="str">
        <f ca="1">IFERROR(INDIRECT(CONCATENATE("Field!J",A157+1)),"")</f>
        <v>Bib</v>
      </c>
      <c r="K157" s="182" t="str">
        <f ca="1">IFERROR(INDIRECT(CONCATENATE("Field!K",A157+1)),"")</f>
        <v>Athlete</v>
      </c>
      <c r="L157" s="182" t="str">
        <f ca="1">IFERROR(INDIRECT(CONCATENATE("Field!L",A157+1)),"")</f>
        <v>Club</v>
      </c>
      <c r="M157" s="149" t="str">
        <f ca="1">IFERROR(INDIRECT(CONCATENATE("Field!M",A157+1)),"")</f>
        <v>Perf</v>
      </c>
      <c r="N157" s="218" t="str">
        <f ca="1">IFERROR(INDIRECT(CONCATENATE("Field!N",A157+1)),"")</f>
        <v>AAA</v>
      </c>
      <c r="T157" s="64" t="str">
        <f t="shared" ca="1" si="8"/>
        <v/>
      </c>
      <c r="U157" s="64" t="str">
        <f t="shared" ca="1" si="9"/>
        <v/>
      </c>
      <c r="V157" s="422" t="str">
        <f ca="1">IF(OR(D157=0,D157="",D157="Athlete"),"",COUNTIF($D$4:$D157,D157))</f>
        <v/>
      </c>
      <c r="W157" s="422" t="str">
        <f t="shared" ca="1" si="10"/>
        <v/>
      </c>
      <c r="Z157" s="422">
        <f t="shared" ca="1" si="11"/>
        <v>0</v>
      </c>
    </row>
    <row r="158" spans="1:26" x14ac:dyDescent="0.35">
      <c r="B158" s="66">
        <f ca="1">IFERROR(INDIRECT(CONCATENATE("Field!B",A157+2)),"")</f>
        <v>1</v>
      </c>
      <c r="C158" s="66">
        <f ca="1">IFERROR(INDIRECT(CONCATENATE("Field!C",A157+2)),"")</f>
        <v>2</v>
      </c>
      <c r="D158" s="89" t="str">
        <f ca="1">IFERROR(INDIRECT(CONCATENATE("Field!D",A157+2)),"")</f>
        <v>PADDON Freya</v>
      </c>
      <c r="E158" s="89" t="str">
        <f ca="1">IFERROR(INDIRECT(CONCATENATE("Field!E",A157+2)),"")</f>
        <v>Sheff+D</v>
      </c>
      <c r="F158" s="65">
        <f ca="1">IFERROR(INDIRECT(CONCATENATE("Field!F",A157+2)),"")</f>
        <v>24.29</v>
      </c>
      <c r="G158" s="121">
        <f ca="1">IFERROR(INDIRECT(CONCATENATE("Field!G",A157+2)),"")</f>
        <v>4</v>
      </c>
      <c r="H158" s="66"/>
      <c r="I158" s="66">
        <f ca="1">IFERROR(INDIRECT(CONCATENATE("Field!I",A157+2)),"")</f>
        <v>1</v>
      </c>
      <c r="J158" s="66">
        <f ca="1">IFERROR(INDIRECT(CONCATENATE("Field!J",A157+2)),"")</f>
        <v>22</v>
      </c>
      <c r="K158" s="89" t="str">
        <f ca="1">IFERROR(INDIRECT(CONCATENATE("Field!K",A157+2)),"")</f>
        <v>PADDON Olivia</v>
      </c>
      <c r="L158" s="89" t="str">
        <f ca="1">IFERROR(INDIRECT(CONCATENATE("Field!L",A157+2)),"")</f>
        <v>Sheff+D</v>
      </c>
      <c r="M158" s="65">
        <f ca="1">IFERROR(INDIRECT(CONCATENATE("Field!M",A157+2)),"")</f>
        <v>21.25</v>
      </c>
      <c r="N158" s="121" t="str">
        <f ca="1">IFERROR(INDIRECT(CONCATENATE("Field!N",A157+2)),"")</f>
        <v/>
      </c>
      <c r="R158" s="219">
        <f ca="1">IFERROR(INDIRECT(CONCATENATE("Field!r",A157+2)),"")</f>
        <v>1</v>
      </c>
      <c r="T158" s="64">
        <f t="shared" ca="1" si="8"/>
        <v>3</v>
      </c>
      <c r="U158" s="64">
        <f t="shared" ca="1" si="9"/>
        <v>3</v>
      </c>
      <c r="V158" s="422">
        <f ca="1">IF(OR(D158=0,D158="",D158="Athlete"),"",COUNTIF($D$4:$D158,D158))</f>
        <v>3</v>
      </c>
      <c r="W158" s="422" t="str">
        <f t="shared" ca="1" si="10"/>
        <v>Sheff+D</v>
      </c>
      <c r="Z158" s="422">
        <f t="shared" ca="1" si="11"/>
        <v>0</v>
      </c>
    </row>
    <row r="159" spans="1:26" x14ac:dyDescent="0.35">
      <c r="B159" s="66">
        <f ca="1">IFERROR(INDIRECT(CONCATENATE("Field!B",A157+3)),"")</f>
        <v>2</v>
      </c>
      <c r="C159" s="66">
        <f ca="1">IFERROR(INDIRECT(CONCATENATE("Field!C",A157+3)),"")</f>
        <v>1</v>
      </c>
      <c r="D159" s="89" t="str">
        <f ca="1">IFERROR(INDIRECT(CONCATENATE("Field!D",A157+3)),"")</f>
        <v>BAINES Lily</v>
      </c>
      <c r="E159" s="89" t="str">
        <f ca="1">IFERROR(INDIRECT(CONCATENATE("Field!E",A157+3)),"")</f>
        <v>C'field</v>
      </c>
      <c r="F159" s="65">
        <f ca="1">IFERROR(INDIRECT(CONCATENATE("Field!F",A157+3)),"")</f>
        <v>23.48</v>
      </c>
      <c r="G159" s="121">
        <f ca="1">IFERROR(INDIRECT(CONCATENATE("Field!G",A157+3)),"")</f>
        <v>4</v>
      </c>
      <c r="H159" s="66"/>
      <c r="I159" s="66">
        <f ca="1">IFERROR(INDIRECT(CONCATENATE("Field!I",A157+3)),"")</f>
        <v>2</v>
      </c>
      <c r="J159" s="66">
        <f ca="1">IFERROR(INDIRECT(CONCATENATE("Field!J",A157+3)),"")</f>
        <v>11</v>
      </c>
      <c r="K159" s="89" t="str">
        <f ca="1">IFERROR(INDIRECT(CONCATENATE("Field!K",A157+3)),"")</f>
        <v>KIRKWOOD Eva</v>
      </c>
      <c r="L159" s="89" t="str">
        <f ca="1">IFERROR(INDIRECT(CONCATENATE("Field!L",A157+3)),"")</f>
        <v>C'field</v>
      </c>
      <c r="M159" s="65">
        <f ca="1">IFERROR(INDIRECT(CONCATENATE("Field!M",A157+3)),"")</f>
        <v>18.78</v>
      </c>
      <c r="N159" s="121" t="str">
        <f ca="1">IFERROR(INDIRECT(CONCATENATE("Field!N",A157+3)),"")</f>
        <v/>
      </c>
      <c r="T159" s="64">
        <f t="shared" ca="1" si="8"/>
        <v>3</v>
      </c>
      <c r="U159" s="64">
        <f t="shared" ca="1" si="9"/>
        <v>2</v>
      </c>
      <c r="V159" s="422">
        <f ca="1">IF(OR(D159=0,D159="",D159="Athlete"),"",COUNTIF($D$4:$D159,D159))</f>
        <v>1</v>
      </c>
      <c r="W159" s="422" t="str">
        <f t="shared" ca="1" si="10"/>
        <v>C'field</v>
      </c>
      <c r="Z159" s="422">
        <f t="shared" ca="1" si="11"/>
        <v>0</v>
      </c>
    </row>
    <row r="160" spans="1:26" x14ac:dyDescent="0.35">
      <c r="B160" s="66">
        <f ca="1">IFERROR(INDIRECT(CONCATENATE("Field!B",A157+4)),"")</f>
        <v>3</v>
      </c>
      <c r="C160" s="66">
        <f ca="1">IFERROR(INDIRECT(CONCATENATE("Field!C",A157+4)),"")</f>
        <v>4</v>
      </c>
      <c r="D160" s="89" t="str">
        <f ca="1">IFERROR(INDIRECT(CONCATENATE("Field!D",A157+4)),"")</f>
        <v>DORAN Bethany</v>
      </c>
      <c r="E160" s="89" t="str">
        <f ca="1">IFERROR(INDIRECT(CONCATENATE("Field!E",A157+4)),"")</f>
        <v>M'bro</v>
      </c>
      <c r="F160" s="65">
        <f ca="1">IFERROR(INDIRECT(CONCATENATE("Field!F",A157+4)),"")</f>
        <v>17.09</v>
      </c>
      <c r="G160" s="121" t="str">
        <f ca="1">IFERROR(INDIRECT(CONCATENATE("Field!G",A157+4)),"")</f>
        <v/>
      </c>
      <c r="H160" s="66"/>
      <c r="I160" s="66">
        <f ca="1">IFERROR(INDIRECT(CONCATENATE("Field!I",A157+4)),"")</f>
        <v>3</v>
      </c>
      <c r="J160" s="66">
        <f ca="1">IFERROR(INDIRECT(CONCATENATE("Field!J",A157+4)),"")</f>
        <v>44</v>
      </c>
      <c r="K160" s="89" t="str">
        <f ca="1">IFERROR(INDIRECT(CONCATENATE("Field!K",A157+4)),"")</f>
        <v>SULLOCK Amy</v>
      </c>
      <c r="L160" s="89" t="str">
        <f ca="1">IFERROR(INDIRECT(CONCATENATE("Field!L",A157+4)),"")</f>
        <v>M'bro</v>
      </c>
      <c r="M160" s="65">
        <f ca="1">IFERROR(INDIRECT(CONCATENATE("Field!M",A157+4)),"")</f>
        <v>16.690000000000001</v>
      </c>
      <c r="N160" s="121" t="str">
        <f ca="1">IFERROR(INDIRECT(CONCATENATE("Field!N",A157+4)),"")</f>
        <v/>
      </c>
      <c r="T160" s="64">
        <f t="shared" ca="1" si="8"/>
        <v>3</v>
      </c>
      <c r="U160" s="64">
        <f t="shared" ca="1" si="9"/>
        <v>1</v>
      </c>
      <c r="V160" s="422">
        <f ca="1">IF(OR(D160=0,D160="",D160="Athlete"),"",COUNTIF($D$4:$D160,D160))</f>
        <v>3</v>
      </c>
      <c r="W160" s="422" t="str">
        <f t="shared" ca="1" si="10"/>
        <v>M'bro</v>
      </c>
      <c r="Z160" s="422" t="str">
        <f t="shared" ca="1" si="11"/>
        <v/>
      </c>
    </row>
    <row r="161" spans="1:26" x14ac:dyDescent="0.35">
      <c r="B161" s="66">
        <f ca="1">IFERROR(INDIRECT(CONCATENATE("Field!B",A157+5)),"")</f>
        <v>4</v>
      </c>
      <c r="C161" s="66">
        <f ca="1">IFERROR(INDIRECT(CONCATENATE("Field!C",A157+5)),"")</f>
        <v>33</v>
      </c>
      <c r="D161" s="89" t="str">
        <f ca="1">IFERROR(INDIRECT(CONCATENATE("Field!D",A157+5)),"")</f>
        <v>HICKLING Rosie</v>
      </c>
      <c r="E161" s="89" t="str">
        <f ca="1">IFERROR(INDIRECT(CONCATENATE("Field!E",A157+5)),"")</f>
        <v>York</v>
      </c>
      <c r="F161" s="65">
        <f ca="1">IFERROR(INDIRECT(CONCATENATE("Field!F",A157+5)),"")</f>
        <v>13.89</v>
      </c>
      <c r="G161" s="121" t="str">
        <f ca="1">IFERROR(INDIRECT(CONCATENATE("Field!G",A157+5)),"")</f>
        <v/>
      </c>
      <c r="H161" s="66"/>
      <c r="I161" s="66">
        <f ca="1">IFERROR(INDIRECT(CONCATENATE("Field!I",A157+5)),"")</f>
        <v>4</v>
      </c>
      <c r="J161" s="66">
        <f ca="1">IFERROR(INDIRECT(CONCATENATE("Field!J",A157+5)),"")</f>
        <v>3</v>
      </c>
      <c r="K161" s="89" t="str">
        <f ca="1">IFERROR(INDIRECT(CONCATENATE("Field!K",A157+5)),"")</f>
        <v>CROSBY Alice</v>
      </c>
      <c r="L161" s="89" t="str">
        <f ca="1">IFERROR(INDIRECT(CONCATENATE("Field!L",A157+5)),"")</f>
        <v>York</v>
      </c>
      <c r="M161" s="65">
        <f ca="1">IFERROR(INDIRECT(CONCATENATE("Field!M",A157+5)),"")</f>
        <v>13.19</v>
      </c>
      <c r="N161" s="121" t="str">
        <f ca="1">IFERROR(INDIRECT(CONCATENATE("Field!N",A157+5)),"")</f>
        <v/>
      </c>
      <c r="T161" s="64">
        <f t="shared" ca="1" si="8"/>
        <v>2</v>
      </c>
      <c r="U161" s="64">
        <f t="shared" ca="1" si="9"/>
        <v>1</v>
      </c>
      <c r="V161" s="422">
        <f ca="1">IF(OR(D161=0,D161="",D161="Athlete"),"",COUNTIF($D$4:$D161,D161))</f>
        <v>2</v>
      </c>
      <c r="W161" s="422" t="str">
        <f t="shared" ca="1" si="10"/>
        <v>York</v>
      </c>
      <c r="Z161" s="422" t="str">
        <f t="shared" ca="1" si="11"/>
        <v/>
      </c>
    </row>
    <row r="162" spans="1:26" x14ac:dyDescent="0.35">
      <c r="B162" s="66">
        <f ca="1">IFERROR(INDIRECT(CONCATENATE("Field!B",A157+6)),"")</f>
        <v>5</v>
      </c>
      <c r="C162" s="66">
        <f ca="1">IFERROR(INDIRECT(CONCATENATE("Field!C",A157+6)),"")</f>
        <v>5</v>
      </c>
      <c r="D162" s="89" t="str">
        <f ca="1">IFERROR(INDIRECT(CONCATENATE("Field!D",A157+6)),"")</f>
        <v>BETTS Demi</v>
      </c>
      <c r="E162" s="89" t="str">
        <f ca="1">IFERROR(INDIRECT(CONCATENATE("Field!E",A157+6)),"")</f>
        <v>Scun</v>
      </c>
      <c r="F162" s="65">
        <f ca="1">IFERROR(INDIRECT(CONCATENATE("Field!F",A157+6)),"")</f>
        <v>13.24</v>
      </c>
      <c r="G162" s="121" t="str">
        <f ca="1">IFERROR(INDIRECT(CONCATENATE("Field!G",A157+6)),"")</f>
        <v/>
      </c>
      <c r="H162" s="66"/>
      <c r="I162" s="66">
        <f ca="1">IFERROR(INDIRECT(CONCATENATE("Field!I",A157+6)),"")</f>
        <v>5</v>
      </c>
      <c r="J162" s="66" t="str">
        <f ca="1">IFERROR(INDIRECT(CONCATENATE("Field!J",A157+6)),"")</f>
        <v/>
      </c>
      <c r="K162" s="89" t="str">
        <f ca="1">IFERROR(INDIRECT(CONCATENATE("Field!K",A157+6)),"")</f>
        <v/>
      </c>
      <c r="L162" s="89" t="str">
        <f ca="1">IFERROR(INDIRECT(CONCATENATE("Field!L",A157+6)),"")</f>
        <v/>
      </c>
      <c r="M162" s="65" t="str">
        <f ca="1">IFERROR(INDIRECT(CONCATENATE("Field!M",A157+6)),"")</f>
        <v/>
      </c>
      <c r="N162" s="121" t="str">
        <f ca="1">IFERROR(INDIRECT(CONCATENATE("Field!N",A157+6)),"")</f>
        <v/>
      </c>
      <c r="T162" s="64">
        <f t="shared" ca="1" si="8"/>
        <v>3</v>
      </c>
      <c r="U162" s="64" t="str">
        <f t="shared" ca="1" si="9"/>
        <v/>
      </c>
      <c r="V162" s="422">
        <f ca="1">IF(OR(D162=0,D162="",D162="Athlete"),"",COUNTIF($D$4:$D162,D162))</f>
        <v>1</v>
      </c>
      <c r="W162" s="422" t="str">
        <f t="shared" ca="1" si="10"/>
        <v>Scun</v>
      </c>
      <c r="Z162" s="422" t="str">
        <f t="shared" ca="1" si="11"/>
        <v/>
      </c>
    </row>
    <row r="163" spans="1:26" x14ac:dyDescent="0.35">
      <c r="B163" s="66">
        <f ca="1">IFERROR(INDIRECT(CONCATENATE("Field!B",A157+7)),"")</f>
        <v>6</v>
      </c>
      <c r="C163" s="66" t="str">
        <f ca="1">IFERROR(INDIRECT(CONCATENATE("Field!C",A157+7)),"")</f>
        <v/>
      </c>
      <c r="D163" s="89" t="str">
        <f ca="1">IFERROR(INDIRECT(CONCATENATE("Field!D",A157+7)),"")</f>
        <v/>
      </c>
      <c r="E163" s="89" t="str">
        <f ca="1">IFERROR(INDIRECT(CONCATENATE("Field!E",A157+7)),"")</f>
        <v/>
      </c>
      <c r="F163" s="65" t="str">
        <f ca="1">IFERROR(INDIRECT(CONCATENATE("Field!F",A157+7)),"")</f>
        <v/>
      </c>
      <c r="G163" s="121" t="str">
        <f ca="1">IFERROR(INDIRECT(CONCATENATE("Field!G",A157+7)),"")</f>
        <v/>
      </c>
      <c r="H163" s="66"/>
      <c r="I163" s="66">
        <f ca="1">IFERROR(INDIRECT(CONCATENATE("Field!I",A157+7)),"")</f>
        <v>6</v>
      </c>
      <c r="J163" s="66" t="str">
        <f ca="1">IFERROR(INDIRECT(CONCATENATE("Field!J",A157+7)),"")</f>
        <v/>
      </c>
      <c r="K163" s="89" t="str">
        <f ca="1">IFERROR(INDIRECT(CONCATENATE("Field!K",A157+7)),"")</f>
        <v/>
      </c>
      <c r="L163" s="89" t="str">
        <f ca="1">IFERROR(INDIRECT(CONCATENATE("Field!L",A157+7)),"")</f>
        <v/>
      </c>
      <c r="M163" s="65" t="str">
        <f ca="1">IFERROR(INDIRECT(CONCATENATE("Field!M",A157+7)),"")</f>
        <v/>
      </c>
      <c r="N163" s="121" t="str">
        <f ca="1">IFERROR(INDIRECT(CONCATENATE("Field!N",A157+7)),"")</f>
        <v/>
      </c>
      <c r="T163" s="64" t="str">
        <f t="shared" ca="1" si="8"/>
        <v/>
      </c>
      <c r="U163" s="64" t="str">
        <f t="shared" ca="1" si="9"/>
        <v/>
      </c>
      <c r="V163" s="422" t="str">
        <f ca="1">IF(OR(D163=0,D163="",D163="Athlete"),"",COUNTIF($D$4:$D163,D163))</f>
        <v/>
      </c>
      <c r="W163" s="422" t="str">
        <f t="shared" ca="1" si="10"/>
        <v/>
      </c>
      <c r="Z163" s="422" t="str">
        <f t="shared" ca="1" si="11"/>
        <v/>
      </c>
    </row>
    <row r="164" spans="1:26" x14ac:dyDescent="0.35">
      <c r="B164" s="66">
        <f ca="1">IFERROR(INDIRECT(CONCATENATE("Field!B",A157+8)),"")</f>
        <v>7</v>
      </c>
      <c r="C164" s="66" t="str">
        <f ca="1">IFERROR(INDIRECT(CONCATENATE("Field!C",A157+8)),"")</f>
        <v/>
      </c>
      <c r="D164" s="89" t="str">
        <f ca="1">IFERROR(INDIRECT(CONCATENATE("Field!D",A157+8)),"")</f>
        <v/>
      </c>
      <c r="E164" s="89" t="str">
        <f ca="1">IFERROR(INDIRECT(CONCATENATE("Field!E",A157+8)),"")</f>
        <v/>
      </c>
      <c r="F164" s="65" t="str">
        <f ca="1">IFERROR(INDIRECT(CONCATENATE("Field!F",A157+8)),"")</f>
        <v/>
      </c>
      <c r="G164" s="121" t="str">
        <f ca="1">IFERROR(INDIRECT(CONCATENATE("Field!G",A157+8)),"")</f>
        <v/>
      </c>
      <c r="H164" s="66"/>
      <c r="I164" s="66">
        <f ca="1">IFERROR(INDIRECT(CONCATENATE("Field!I",A157+8)),"")</f>
        <v>7</v>
      </c>
      <c r="J164" s="66" t="str">
        <f ca="1">IFERROR(INDIRECT(CONCATENATE("Field!J",A157+8)),"")</f>
        <v/>
      </c>
      <c r="K164" s="89" t="str">
        <f ca="1">IFERROR(INDIRECT(CONCATENATE("Field!K",A157+8)),"")</f>
        <v/>
      </c>
      <c r="L164" s="89" t="str">
        <f ca="1">IFERROR(INDIRECT(CONCATENATE("Field!L",A157+8)),"")</f>
        <v/>
      </c>
      <c r="M164" s="65" t="str">
        <f ca="1">IFERROR(INDIRECT(CONCATENATE("Field!M",A157+8)),"")</f>
        <v/>
      </c>
      <c r="N164" s="121" t="str">
        <f ca="1">IFERROR(INDIRECT(CONCATENATE("Field!N",A157+8)),"")</f>
        <v/>
      </c>
      <c r="T164" s="64" t="str">
        <f t="shared" ca="1" si="8"/>
        <v/>
      </c>
      <c r="U164" s="64" t="str">
        <f t="shared" ca="1" si="9"/>
        <v/>
      </c>
      <c r="V164" s="422" t="str">
        <f ca="1">IF(OR(D164=0,D164="",D164="Athlete"),"",COUNTIF($D$4:$D164,D164))</f>
        <v/>
      </c>
      <c r="W164" s="422" t="str">
        <f t="shared" ca="1" si="10"/>
        <v/>
      </c>
      <c r="Z164" s="422" t="str">
        <f t="shared" ca="1" si="11"/>
        <v/>
      </c>
    </row>
    <row r="165" spans="1:26" x14ac:dyDescent="0.35">
      <c r="B165" s="66">
        <f ca="1">IFERROR(INDIRECT(CONCATENATE("Field!B",A157+9)),"")</f>
        <v>8</v>
      </c>
      <c r="C165" s="66" t="str">
        <f ca="1">IFERROR(INDIRECT(CONCATENATE("Field!C",A157+9)),"")</f>
        <v/>
      </c>
      <c r="D165" s="89" t="str">
        <f ca="1">IFERROR(INDIRECT(CONCATENATE("Field!D",A157+9)),"")</f>
        <v/>
      </c>
      <c r="E165" s="89" t="str">
        <f ca="1">IFERROR(INDIRECT(CONCATENATE("Field!E",A157+9)),"")</f>
        <v/>
      </c>
      <c r="F165" s="65" t="str">
        <f ca="1">IFERROR(INDIRECT(CONCATENATE("Field!F",A157+9)),"")</f>
        <v/>
      </c>
      <c r="G165" s="121" t="str">
        <f ca="1">IFERROR(INDIRECT(CONCATENATE("Field!G",A157+9)),"")</f>
        <v/>
      </c>
      <c r="H165" s="66"/>
      <c r="I165" s="66">
        <f ca="1">IFERROR(INDIRECT(CONCATENATE("Field!I",A157+9)),"")</f>
        <v>8</v>
      </c>
      <c r="J165" s="66" t="str">
        <f ca="1">IFERROR(INDIRECT(CONCATENATE("Field!J",A157+9)),"")</f>
        <v/>
      </c>
      <c r="K165" s="89" t="str">
        <f ca="1">IFERROR(INDIRECT(CONCATENATE("Field!K",A157+9)),"")</f>
        <v/>
      </c>
      <c r="L165" s="89" t="str">
        <f ca="1">IFERROR(INDIRECT(CONCATENATE("Field!L",A157+9)),"")</f>
        <v/>
      </c>
      <c r="M165" s="65" t="str">
        <f ca="1">IFERROR(INDIRECT(CONCATENATE("Field!M",A157+9)),"")</f>
        <v/>
      </c>
      <c r="N165" s="121" t="str">
        <f ca="1">IFERROR(INDIRECT(CONCATENATE("Field!N",A157+9)),"")</f>
        <v/>
      </c>
      <c r="T165" s="64" t="str">
        <f t="shared" ca="1" si="8"/>
        <v/>
      </c>
      <c r="U165" s="64" t="str">
        <f t="shared" ca="1" si="9"/>
        <v/>
      </c>
      <c r="V165" s="422" t="str">
        <f ca="1">IF(OR(D165=0,D165="",D165="Athlete"),"",COUNTIF($D$4:$D165,D165))</f>
        <v/>
      </c>
      <c r="W165" s="422" t="str">
        <f t="shared" ca="1" si="10"/>
        <v/>
      </c>
      <c r="Z165" s="422" t="str">
        <f t="shared" ca="1" si="11"/>
        <v/>
      </c>
    </row>
    <row r="166" spans="1:26" x14ac:dyDescent="0.35">
      <c r="T166" s="64" t="str">
        <f t="shared" si="8"/>
        <v/>
      </c>
      <c r="U166" s="64" t="str">
        <f t="shared" si="9"/>
        <v/>
      </c>
      <c r="V166" s="422" t="str">
        <f>IF(OR(D166=0,D166="",D166="Athlete"),"",COUNTIF($D$4:$D166,D166))</f>
        <v/>
      </c>
    </row>
    <row r="167" spans="1:26" x14ac:dyDescent="0.35">
      <c r="A167" s="66" t="s">
        <v>317</v>
      </c>
      <c r="B167" s="115" t="str">
        <f ca="1">IFERROR(INDIRECT(CONCATENATE("Relays!B",A168)),"")</f>
        <v xml:space="preserve"> 4 x 100m U15 Girls A</v>
      </c>
      <c r="M167" s="149" t="str">
        <f ca="1">IFERROR(INDIRECT(CONCATENATE("Relays!i",A168)),"")</f>
        <v/>
      </c>
      <c r="T167" s="64" t="str">
        <f t="shared" si="8"/>
        <v/>
      </c>
      <c r="U167" s="64" t="str">
        <f t="shared" si="9"/>
        <v/>
      </c>
      <c r="V167" s="422" t="str">
        <f>IF(OR(D167=0,D167="",D167="Athlete"),"",COUNTIF($D$4:$D167,D167))</f>
        <v/>
      </c>
    </row>
    <row r="168" spans="1:26" x14ac:dyDescent="0.35">
      <c r="A168" s="66">
        <f>IFERROR(MATCH(A167,Relays!A:A,0),"")</f>
        <v>24</v>
      </c>
      <c r="B168" s="45" t="str">
        <f ca="1">IFERROR(INDIRECT(CONCATENATE("Relays!B",A168+1)),"")</f>
        <v>Posn</v>
      </c>
      <c r="C168" s="45" t="str">
        <f ca="1">IFERROR(INDIRECT(CONCATENATE("Relays!C",A168+1)),"")</f>
        <v>No.</v>
      </c>
      <c r="D168" s="182" t="s">
        <v>783</v>
      </c>
      <c r="G168" s="45"/>
      <c r="K168" s="45"/>
      <c r="L168" s="182" t="str">
        <f ca="1">IFERROR(INDIRECT(CONCATENATE("Relays!D",A168+1)),"")</f>
        <v>Club</v>
      </c>
      <c r="M168" s="149" t="str">
        <f ca="1">IFERROR(INDIRECT(CONCATENATE("Relays!i",A168+1)),"")</f>
        <v>Perf</v>
      </c>
      <c r="T168" s="64">
        <f t="shared" ref="T168:T176" ca="1" si="12">IF(OR(L168=0,L168="",L168="Athlete"),"",COUNTIF($D$4:$D$352,L168))</f>
        <v>0</v>
      </c>
      <c r="U168" s="64" t="str">
        <f t="shared" si="9"/>
        <v/>
      </c>
    </row>
    <row r="169" spans="1:26" x14ac:dyDescent="0.35">
      <c r="B169" s="66">
        <f ca="1">IFERROR(INDIRECT(CONCATENATE("Relays!B",A168+2)),"")</f>
        <v>1</v>
      </c>
      <c r="C169" s="66">
        <f ca="1">IFERROR(INDIRECT(CONCATENATE("Relays!C",A168+2)),"")</f>
        <v>3</v>
      </c>
      <c r="D169" s="89" t="str">
        <f ca="1">IFERROR(IF(INDIRECT(CONCATENATE("Relays!e",A168+2))="","",INDIRECT(CONCATENATE("Relays!e",A168+2))&amp;", "&amp;INDIRECT(CONCATENATE("Relays!f",A168+2))&amp;", "&amp;INDIRECT(CONCATENATE("Relays!g",A168+2))&amp;", "&amp;INDIRECT(CONCATENATE("Relays!h",A168+2))),"")</f>
        <v>HOGG Frances, MAUDE Charlotte, HASTIE Eve, HICKLING Rosie</v>
      </c>
      <c r="G169" s="66"/>
      <c r="K169" s="66"/>
      <c r="L169" s="89" t="str">
        <f ca="1">IFERROR(INDIRECT(CONCATENATE("Relays!D",A168+2)),"")</f>
        <v>York</v>
      </c>
      <c r="M169" s="65">
        <f ca="1">IFERROR(INDIRECT(CONCATENATE("Relays!i",A168+2)),"")</f>
        <v>53.8</v>
      </c>
      <c r="R169" s="66">
        <f ca="1">IFERROR(INDIRECT(CONCATENATE("Relays!M",A168+2)),"")</f>
        <v>1</v>
      </c>
      <c r="T169" s="64">
        <f t="shared" ca="1" si="12"/>
        <v>0</v>
      </c>
      <c r="U169" s="64" t="str">
        <f t="shared" si="9"/>
        <v/>
      </c>
    </row>
    <row r="170" spans="1:26" x14ac:dyDescent="0.35">
      <c r="B170" s="66">
        <f ca="1">IFERROR(INDIRECT(CONCATENATE("Relays!B",A168+3)),"")</f>
        <v>2</v>
      </c>
      <c r="C170" s="66">
        <f ca="1">IFERROR(INDIRECT(CONCATENATE("Relays!C",A168+3)),"")</f>
        <v>4</v>
      </c>
      <c r="D170" s="89" t="str">
        <f ca="1">IFERROR(IF(INDIRECT(CONCATENATE("Relays!e",A168+3))="","",INDIRECT(CONCATENATE("Relays!e",A168+3))&amp;", "&amp;INDIRECT(CONCATENATE("Relays!f",A168+3))&amp;", "&amp;INDIRECT(CONCATENATE("Relays!g",A168+3))&amp;", "&amp;INDIRECT(CONCATENATE("Relays!h",A168+3))),"")</f>
        <v>OKEY Busonma, ROBSON Daisy, PYE Naiomi, WYATT Martha</v>
      </c>
      <c r="G170" s="66"/>
      <c r="K170" s="66"/>
      <c r="L170" s="89" t="str">
        <f ca="1">IFERROR(INDIRECT(CONCATENATE("Relays!D",A168+3)),"")</f>
        <v>M'bro</v>
      </c>
      <c r="M170" s="65">
        <f ca="1">IFERROR(INDIRECT(CONCATENATE("Relays!i",A168+3)),"")</f>
        <v>53.9</v>
      </c>
      <c r="T170" s="64">
        <f t="shared" ca="1" si="12"/>
        <v>0</v>
      </c>
      <c r="U170" s="64" t="str">
        <f t="shared" si="9"/>
        <v/>
      </c>
    </row>
    <row r="171" spans="1:26" x14ac:dyDescent="0.35">
      <c r="B171" s="66">
        <f ca="1">IFERROR(INDIRECT(CONCATENATE("Relays!B",A168+4)),"")</f>
        <v>3</v>
      </c>
      <c r="C171" s="66">
        <f ca="1">IFERROR(INDIRECT(CONCATENATE("Relays!C",A168+4)),"")</f>
        <v>2</v>
      </c>
      <c r="D171" s="89" t="str">
        <f ca="1">IFERROR(IF(INDIRECT(CONCATENATE("Relays!e",A168+4))="","",INDIRECT(CONCATENATE("Relays!e",A168+4))&amp;", "&amp;INDIRECT(CONCATENATE("Relays!f",A168+4))&amp;", "&amp;INDIRECT(CONCATENATE("Relays!g",A168+4))&amp;", "&amp;INDIRECT(CONCATENATE("Relays!h",A168+4))),"")</f>
        <v>PADDON Olivia, PADDON Freya, ADEBAYO Daphney, JELONKIEWICZ Viktoria</v>
      </c>
      <c r="G171" s="66"/>
      <c r="K171" s="66"/>
      <c r="L171" s="89" t="str">
        <f ca="1">IFERROR(INDIRECT(CONCATENATE("Relays!D",A168+4)),"")</f>
        <v>Sheff+D</v>
      </c>
      <c r="M171" s="65">
        <f ca="1">IFERROR(INDIRECT(CONCATENATE("Relays!i",A168+4)),"")</f>
        <v>55.5</v>
      </c>
      <c r="T171" s="64">
        <f t="shared" ca="1" si="12"/>
        <v>0</v>
      </c>
      <c r="U171" s="64" t="str">
        <f t="shared" si="9"/>
        <v/>
      </c>
    </row>
    <row r="172" spans="1:26" x14ac:dyDescent="0.35">
      <c r="B172" s="66">
        <f ca="1">IFERROR(INDIRECT(CONCATENATE("Relays!B",A168+5)),"")</f>
        <v>4</v>
      </c>
      <c r="C172" s="66">
        <f ca="1">IFERROR(INDIRECT(CONCATENATE("Relays!C",A168+5)),"")</f>
        <v>1</v>
      </c>
      <c r="D172" s="89" t="str">
        <f ca="1">IFERROR(IF(INDIRECT(CONCATENATE("Relays!e",A168+5))="","",INDIRECT(CONCATENATE("Relays!e",A168+5))&amp;", "&amp;INDIRECT(CONCATENATE("Relays!f",A168+5))&amp;", "&amp;INDIRECT(CONCATENATE("Relays!g",A168+5))&amp;", "&amp;INDIRECT(CONCATENATE("Relays!h",A168+5))),"")</f>
        <v>BAINES Lily, KIRKWOOD Eva, DUNKLEY Autum, BRIDDON Missy</v>
      </c>
      <c r="G172" s="66"/>
      <c r="K172" s="66"/>
      <c r="L172" s="89" t="str">
        <f ca="1">IFERROR(INDIRECT(CONCATENATE("Relays!D",A168+5)),"")</f>
        <v>C'field</v>
      </c>
      <c r="M172" s="65">
        <f ca="1">IFERROR(INDIRECT(CONCATENATE("Relays!i",A168+5)),"")</f>
        <v>60.8</v>
      </c>
      <c r="T172" s="64">
        <f t="shared" ca="1" si="12"/>
        <v>0</v>
      </c>
      <c r="U172" s="64" t="str">
        <f t="shared" si="9"/>
        <v/>
      </c>
    </row>
    <row r="173" spans="1:26" x14ac:dyDescent="0.35">
      <c r="B173" s="66">
        <f ca="1">IFERROR(INDIRECT(CONCATENATE("Relays!B",A168+6)),"")</f>
        <v>5</v>
      </c>
      <c r="C173" s="66">
        <f ca="1">IFERROR(INDIRECT(CONCATENATE("Relays!C",A168+6)),"")</f>
        <v>5</v>
      </c>
      <c r="D173" s="89" t="str">
        <f ca="1">IFERROR(IF(INDIRECT(CONCATENATE("Relays!e",A168+6))="","",INDIRECT(CONCATENATE("Relays!e",A168+6))&amp;", "&amp;INDIRECT(CONCATENATE("Relays!f",A168+6))&amp;", "&amp;INDIRECT(CONCATENATE("Relays!g",A168+6))&amp;", "&amp;INDIRECT(CONCATENATE("Relays!h",A168+6))),"")</f>
        <v>VICKERS Cerys, WRIGHT Lucy, WHITTAKER Millie, BETTS Demi</v>
      </c>
      <c r="G173" s="66"/>
      <c r="K173" s="66"/>
      <c r="L173" s="89" t="str">
        <f ca="1">IFERROR(INDIRECT(CONCATENATE("Relays!D",A168+6)),"")</f>
        <v>Scun</v>
      </c>
      <c r="M173" s="65">
        <f ca="1">IFERROR(INDIRECT(CONCATENATE("Relays!i",A168+6)),"")</f>
        <v>67.2</v>
      </c>
      <c r="T173" s="64">
        <f t="shared" ca="1" si="12"/>
        <v>0</v>
      </c>
      <c r="U173" s="64" t="str">
        <f t="shared" si="9"/>
        <v/>
      </c>
    </row>
    <row r="174" spans="1:26" x14ac:dyDescent="0.35">
      <c r="B174" s="66">
        <f ca="1">IFERROR(INDIRECT(CONCATENATE("Relays!B",A168+7)),"")</f>
        <v>6</v>
      </c>
      <c r="C174" s="66">
        <f ca="1">IFERROR(INDIRECT(CONCATENATE("Relays!C",A168+7)),"")</f>
        <v>0</v>
      </c>
      <c r="D174" s="89" t="str">
        <f ca="1">IFERROR(IF(INDIRECT(CONCATENATE("Relays!e",A168+7))="","",INDIRECT(CONCATENATE("Relays!e",A168+7))&amp;", "&amp;INDIRECT(CONCATENATE("Relays!f",A168+7))&amp;", "&amp;INDIRECT(CONCATENATE("Relays!g",A168+7))&amp;", "&amp;INDIRECT(CONCATENATE("Relays!h",A168+7))),"")</f>
        <v/>
      </c>
      <c r="G174" s="66"/>
      <c r="K174" s="66"/>
      <c r="L174" s="89" t="str">
        <f ca="1">IFERROR(INDIRECT(CONCATENATE("Relays!D",A168+7)),"")</f>
        <v/>
      </c>
      <c r="M174" s="65">
        <f ca="1">IFERROR(INDIRECT(CONCATENATE("Relays!i",A168+7)),"")</f>
        <v>0</v>
      </c>
      <c r="T174" s="64" t="str">
        <f t="shared" ca="1" si="12"/>
        <v/>
      </c>
      <c r="U174" s="64" t="str">
        <f t="shared" si="9"/>
        <v/>
      </c>
    </row>
    <row r="175" spans="1:26" x14ac:dyDescent="0.35">
      <c r="B175" s="66">
        <f ca="1">IFERROR(INDIRECT(CONCATENATE("Relays!B",A168+8)),"")</f>
        <v>7</v>
      </c>
      <c r="C175" s="66">
        <f ca="1">IFERROR(INDIRECT(CONCATENATE("Relays!C",A168+8)),"")</f>
        <v>0</v>
      </c>
      <c r="D175" s="89" t="str">
        <f ca="1">IFERROR(IF(INDIRECT(CONCATENATE("Relays!e",A168+8))="","",INDIRECT(CONCATENATE("Relays!e",A168+8))&amp;", "&amp;INDIRECT(CONCATENATE("Relays!f",A168+8))&amp;", "&amp;INDIRECT(CONCATENATE("Relays!g",A168+8))&amp;", "&amp;INDIRECT(CONCATENATE("Relays!h",A168+8))),"")</f>
        <v/>
      </c>
      <c r="G175" s="66"/>
      <c r="K175" s="66"/>
      <c r="L175" s="89" t="str">
        <f ca="1">IFERROR(INDIRECT(CONCATENATE("Relays!D",A168+8)),"")</f>
        <v/>
      </c>
      <c r="M175" s="65">
        <f ca="1">IFERROR(INDIRECT(CONCATENATE("Relays!i",A168+8)),"")</f>
        <v>0</v>
      </c>
      <c r="T175" s="64" t="str">
        <f t="shared" ca="1" si="12"/>
        <v/>
      </c>
      <c r="U175" s="64" t="str">
        <f t="shared" si="9"/>
        <v/>
      </c>
    </row>
    <row r="176" spans="1:26" x14ac:dyDescent="0.35">
      <c r="B176" s="66">
        <f ca="1">IFERROR(INDIRECT(CONCATENATE("Relays!B",A168+9)),"")</f>
        <v>8</v>
      </c>
      <c r="C176" s="66">
        <f ca="1">IFERROR(INDIRECT(CONCATENATE("Relays!C",A168+9)),"")</f>
        <v>0</v>
      </c>
      <c r="D176" s="89" t="str">
        <f ca="1">IFERROR(IF(INDIRECT(CONCATENATE("Relays!e",A168+9))="","",INDIRECT(CONCATENATE("Relays!e",A168+9))&amp;", "&amp;INDIRECT(CONCATENATE("Relays!f",A168+9))&amp;", "&amp;INDIRECT(CONCATENATE("Relays!g",A168+9))&amp;", "&amp;INDIRECT(CONCATENATE("Relays!h",A168+9))),"")</f>
        <v/>
      </c>
      <c r="G176" s="66"/>
      <c r="K176" s="66"/>
      <c r="L176" s="89" t="str">
        <f ca="1">IFERROR(INDIRECT(CONCATENATE("Relays!D",A168+9)),"")</f>
        <v/>
      </c>
      <c r="M176" s="65">
        <f ca="1">IFERROR(INDIRECT(CONCATENATE("Relays!i",A168+9)),"")</f>
        <v>0</v>
      </c>
      <c r="T176" s="64" t="str">
        <f t="shared" ca="1" si="12"/>
        <v/>
      </c>
      <c r="U176" s="64" t="str">
        <f t="shared" si="9"/>
        <v/>
      </c>
    </row>
    <row r="177" spans="1:22" x14ac:dyDescent="0.35">
      <c r="T177" s="64" t="str">
        <f t="shared" si="8"/>
        <v/>
      </c>
      <c r="U177" s="64" t="str">
        <f t="shared" si="9"/>
        <v/>
      </c>
    </row>
    <row r="178" spans="1:22" x14ac:dyDescent="0.35">
      <c r="A178" s="66" t="s">
        <v>313</v>
      </c>
      <c r="B178" s="115" t="str">
        <f ca="1">IFERROR(INDIRECT(CONCATENATE("Relays!B",A179)),"")</f>
        <v xml:space="preserve"> 4 x 300m U15 Girls A</v>
      </c>
      <c r="M178" s="149" t="str">
        <f ca="1">IFERROR(INDIRECT(CONCATENATE("Relays!i",A179)),"")</f>
        <v/>
      </c>
      <c r="T178" s="64" t="str">
        <f t="shared" si="8"/>
        <v/>
      </c>
      <c r="U178" s="64" t="str">
        <f t="shared" si="9"/>
        <v/>
      </c>
    </row>
    <row r="179" spans="1:22" x14ac:dyDescent="0.35">
      <c r="A179" s="66">
        <f>IFERROR(MATCH(A178,Relays!A:A,0),"")</f>
        <v>46</v>
      </c>
      <c r="B179" s="45" t="str">
        <f ca="1">IFERROR(INDIRECT(CONCATENATE("Relays!B",A179+1)),"")</f>
        <v>Posn</v>
      </c>
      <c r="C179" s="45" t="str">
        <f ca="1">IFERROR(INDIRECT(CONCATENATE("Relays!C",A179+1)),"")</f>
        <v>No.</v>
      </c>
      <c r="D179" s="182" t="s">
        <v>783</v>
      </c>
      <c r="G179" s="45"/>
      <c r="K179" s="45"/>
      <c r="L179" s="182" t="str">
        <f ca="1">IFERROR(INDIRECT(CONCATENATE("Relays!D",A179+1)),"")</f>
        <v>Club</v>
      </c>
      <c r="M179" s="149" t="str">
        <f ca="1">IFERROR(INDIRECT(CONCATENATE("Relays!i",A179+1)),"")</f>
        <v>Perf</v>
      </c>
      <c r="T179" s="64">
        <f t="shared" ref="T179:T187" ca="1" si="13">IF(OR(L179=0,L179="",L179="Athlete"),"",COUNTIF($D$4:$D$352,L179))</f>
        <v>0</v>
      </c>
      <c r="U179" s="64" t="str">
        <f t="shared" si="9"/>
        <v/>
      </c>
    </row>
    <row r="180" spans="1:22" x14ac:dyDescent="0.35">
      <c r="B180" s="66">
        <f ca="1">IFERROR(INDIRECT(CONCATENATE("Relays!B",A179+2)),"")</f>
        <v>1</v>
      </c>
      <c r="C180" s="66">
        <f ca="1">IFERROR(INDIRECT(CONCATENATE("Relays!C",A179+2)),"")</f>
        <v>4</v>
      </c>
      <c r="D180" s="89" t="str">
        <f ca="1">IFERROR(IF(INDIRECT(CONCATENATE("Relays!e",A179+2))="","",INDIRECT(CONCATENATE("Relays!e",A179+2))&amp;", "&amp;INDIRECT(CONCATENATE("Relays!f",A179+2))&amp;", "&amp;INDIRECT(CONCATENATE("Relays!g",A179+2))&amp;", "&amp;INDIRECT(CONCATENATE("Relays!h",A179+2))),"")</f>
        <v>MCNEILL Emma, LILLIE Imogen, PYE Leoni, GILLIS Madelaine</v>
      </c>
      <c r="G180" s="66"/>
      <c r="K180" s="66"/>
      <c r="L180" s="89" t="str">
        <f ca="1">IFERROR(INDIRECT(CONCATENATE("Relays!D",A179+2)),"")</f>
        <v>M'bro</v>
      </c>
      <c r="M180" s="109">
        <f ca="1">IFERROR(INDIRECT(CONCATENATE("Relays!K",A179+2)),"")</f>
        <v>2.2789351851851851E-3</v>
      </c>
      <c r="R180" s="66">
        <f ca="1">IFERROR(INDIRECT(CONCATENATE("Relays!M",A179+2)),"")</f>
        <v>1</v>
      </c>
      <c r="T180" s="64">
        <f t="shared" ca="1" si="13"/>
        <v>0</v>
      </c>
      <c r="U180" s="64" t="str">
        <f t="shared" si="9"/>
        <v/>
      </c>
    </row>
    <row r="181" spans="1:22" x14ac:dyDescent="0.35">
      <c r="B181" s="66">
        <f ca="1">IFERROR(INDIRECT(CONCATENATE("Relays!B",A179+3)),"")</f>
        <v>2</v>
      </c>
      <c r="C181" s="66">
        <f ca="1">IFERROR(INDIRECT(CONCATENATE("Relays!C",A179+3)),"")</f>
        <v>3</v>
      </c>
      <c r="D181" s="89" t="str">
        <f ca="1">IFERROR(IF(INDIRECT(CONCATENATE("Relays!e",A179+3))="","",INDIRECT(CONCATENATE("Relays!e",A179+3))&amp;", "&amp;INDIRECT(CONCATENATE("Relays!f",A179+3))&amp;", "&amp;INDIRECT(CONCATENATE("Relays!g",A179+3))&amp;", "&amp;INDIRECT(CONCATENATE("Relays!h",A179+3))),"")</f>
        <v>WALSH Tierney, BROOKS Carmen, LEE Isabel, TWEDDLE Bella</v>
      </c>
      <c r="G181" s="66"/>
      <c r="K181" s="66"/>
      <c r="L181" s="89" t="str">
        <f ca="1">IFERROR(INDIRECT(CONCATENATE("Relays!D",A179+3)),"")</f>
        <v>York</v>
      </c>
      <c r="M181" s="109">
        <f ca="1">IFERROR(INDIRECT(CONCATENATE("Relays!K",A179+3)),"")</f>
        <v>2.3437499999999999E-3</v>
      </c>
      <c r="T181" s="64">
        <f t="shared" ca="1" si="13"/>
        <v>0</v>
      </c>
      <c r="U181" s="64" t="str">
        <f t="shared" si="9"/>
        <v/>
      </c>
    </row>
    <row r="182" spans="1:22" x14ac:dyDescent="0.35">
      <c r="B182" s="66">
        <f ca="1">IFERROR(INDIRECT(CONCATENATE("Relays!B",A179+4)),"")</f>
        <v>3</v>
      </c>
      <c r="C182" s="66">
        <f ca="1">IFERROR(INDIRECT(CONCATENATE("Relays!C",A179+4)),"")</f>
        <v>1</v>
      </c>
      <c r="D182" s="89" t="str">
        <f ca="1">IFERROR(IF(INDIRECT(CONCATENATE("Relays!e",A179+4))="","",INDIRECT(CONCATENATE("Relays!e",A179+4))&amp;", "&amp;INDIRECT(CONCATENATE("Relays!f",A179+4))&amp;", "&amp;INDIRECT(CONCATENATE("Relays!g",A179+4))&amp;", "&amp;INDIRECT(CONCATENATE("Relays!h",A179+4))),"")</f>
        <v>LABAN Ella, DUNKLEY Autum, PROCTOR Alicia, MOODY Hannah</v>
      </c>
      <c r="G182" s="66"/>
      <c r="K182" s="66"/>
      <c r="L182" s="89" t="str">
        <f ca="1">IFERROR(INDIRECT(CONCATENATE("Relays!D",A179+4)),"")</f>
        <v>C'field</v>
      </c>
      <c r="M182" s="109">
        <f ca="1">IFERROR(INDIRECT(CONCATENATE("Relays!K",A179+4)),"")</f>
        <v>2.4421296296296296E-3</v>
      </c>
      <c r="T182" s="64">
        <f t="shared" ca="1" si="13"/>
        <v>0</v>
      </c>
      <c r="U182" s="64" t="str">
        <f t="shared" si="9"/>
        <v/>
      </c>
    </row>
    <row r="183" spans="1:22" x14ac:dyDescent="0.35">
      <c r="B183" s="66">
        <f ca="1">IFERROR(INDIRECT(CONCATENATE("Relays!B",A179+5)),"")</f>
        <v>4</v>
      </c>
      <c r="C183" s="66">
        <f ca="1">IFERROR(INDIRECT(CONCATENATE("Relays!C",A179+5)),"")</f>
        <v>0</v>
      </c>
      <c r="D183" s="89" t="str">
        <f ca="1">IFERROR(IF(INDIRECT(CONCATENATE("Relays!e",A179+5))="","",INDIRECT(CONCATENATE("Relays!e",A179+5))&amp;", "&amp;INDIRECT(CONCATENATE("Relays!f",A179+5))&amp;", "&amp;INDIRECT(CONCATENATE("Relays!g",A179+5))&amp;", "&amp;INDIRECT(CONCATENATE("Relays!h",A179+5))),"")</f>
        <v/>
      </c>
      <c r="G183" s="66"/>
      <c r="K183" s="66"/>
      <c r="L183" s="89" t="str">
        <f ca="1">IFERROR(INDIRECT(CONCATENATE("Relays!D",A179+5)),"")</f>
        <v/>
      </c>
      <c r="M183" s="109">
        <f ca="1">IFERROR(INDIRECT(CONCATENATE("Relays!K",A179+5)),"")</f>
        <v>0</v>
      </c>
      <c r="T183" s="64" t="str">
        <f t="shared" ca="1" si="13"/>
        <v/>
      </c>
      <c r="U183" s="64" t="str">
        <f t="shared" si="9"/>
        <v/>
      </c>
    </row>
    <row r="184" spans="1:22" x14ac:dyDescent="0.35">
      <c r="B184" s="66">
        <f ca="1">IFERROR(INDIRECT(CONCATENATE("Relays!B",A179+6)),"")</f>
        <v>5</v>
      </c>
      <c r="C184" s="66">
        <f ca="1">IFERROR(INDIRECT(CONCATENATE("Relays!C",A179+6)),"")</f>
        <v>0</v>
      </c>
      <c r="D184" s="89" t="str">
        <f ca="1">IFERROR(IF(INDIRECT(CONCATENATE("Relays!e",A179+6))="","",INDIRECT(CONCATENATE("Relays!e",A179+6))&amp;", "&amp;INDIRECT(CONCATENATE("Relays!f",A179+6))&amp;", "&amp;INDIRECT(CONCATENATE("Relays!g",A179+6))&amp;", "&amp;INDIRECT(CONCATENATE("Relays!h",A179+6))),"")</f>
        <v/>
      </c>
      <c r="G184" s="66"/>
      <c r="K184" s="66"/>
      <c r="L184" s="89" t="str">
        <f ca="1">IFERROR(INDIRECT(CONCATENATE("Relays!D",A179+6)),"")</f>
        <v/>
      </c>
      <c r="M184" s="109">
        <f ca="1">IFERROR(INDIRECT(CONCATENATE("Relays!K",A179+6)),"")</f>
        <v>0</v>
      </c>
      <c r="T184" s="64" t="str">
        <f t="shared" ca="1" si="13"/>
        <v/>
      </c>
      <c r="U184" s="64" t="str">
        <f t="shared" si="9"/>
        <v/>
      </c>
    </row>
    <row r="185" spans="1:22" x14ac:dyDescent="0.35">
      <c r="B185" s="66">
        <f ca="1">IFERROR(INDIRECT(CONCATENATE("Relays!B",A179+7)),"")</f>
        <v>6</v>
      </c>
      <c r="C185" s="66">
        <f ca="1">IFERROR(INDIRECT(CONCATENATE("Relays!C",A179+7)),"")</f>
        <v>0</v>
      </c>
      <c r="D185" s="89" t="str">
        <f ca="1">IFERROR(IF(INDIRECT(CONCATENATE("Relays!e",A179+7))="","",INDIRECT(CONCATENATE("Relays!e",A179+7))&amp;", "&amp;INDIRECT(CONCATENATE("Relays!f",A179+7))&amp;", "&amp;INDIRECT(CONCATENATE("Relays!g",A179+7))&amp;", "&amp;INDIRECT(CONCATENATE("Relays!h",A179+7))),"")</f>
        <v/>
      </c>
      <c r="G185" s="66"/>
      <c r="K185" s="66"/>
      <c r="L185" s="89" t="str">
        <f ca="1">IFERROR(INDIRECT(CONCATENATE("Relays!D",A179+7)),"")</f>
        <v/>
      </c>
      <c r="M185" s="109">
        <f ca="1">IFERROR(INDIRECT(CONCATENATE("Relays!K",A179+7)),"")</f>
        <v>0</v>
      </c>
      <c r="T185" s="64" t="str">
        <f t="shared" ca="1" si="13"/>
        <v/>
      </c>
      <c r="U185" s="64" t="str">
        <f t="shared" si="9"/>
        <v/>
      </c>
    </row>
    <row r="186" spans="1:22" x14ac:dyDescent="0.35">
      <c r="B186" s="66">
        <f ca="1">IFERROR(INDIRECT(CONCATENATE("Relays!B",A179+8)),"")</f>
        <v>7</v>
      </c>
      <c r="C186" s="66">
        <f ca="1">IFERROR(INDIRECT(CONCATENATE("Relays!C",A179+8)),"")</f>
        <v>0</v>
      </c>
      <c r="D186" s="89" t="str">
        <f ca="1">IFERROR(IF(INDIRECT(CONCATENATE("Relays!e",A179+8))="","",INDIRECT(CONCATENATE("Relays!e",A179+8))&amp;", "&amp;INDIRECT(CONCATENATE("Relays!f",A179+8))&amp;", "&amp;INDIRECT(CONCATENATE("Relays!g",A179+8))&amp;", "&amp;INDIRECT(CONCATENATE("Relays!h",A179+8))),"")</f>
        <v/>
      </c>
      <c r="G186" s="66"/>
      <c r="K186" s="66"/>
      <c r="L186" s="89" t="str">
        <f ca="1">IFERROR(INDIRECT(CONCATENATE("Relays!D",A179+8)),"")</f>
        <v/>
      </c>
      <c r="M186" s="109">
        <f ca="1">IFERROR(INDIRECT(CONCATENATE("Relays!K",A179+8)),"")</f>
        <v>0</v>
      </c>
      <c r="T186" s="64" t="str">
        <f t="shared" ca="1" si="13"/>
        <v/>
      </c>
      <c r="U186" s="64" t="str">
        <f t="shared" si="9"/>
        <v/>
      </c>
    </row>
    <row r="187" spans="1:22" x14ac:dyDescent="0.35">
      <c r="B187" s="66">
        <f ca="1">IFERROR(INDIRECT(CONCATENATE("Relays!B",A179+9)),"")</f>
        <v>8</v>
      </c>
      <c r="C187" s="66">
        <f ca="1">IFERROR(INDIRECT(CONCATENATE("Relays!C",A179+9)),"")</f>
        <v>0</v>
      </c>
      <c r="D187" s="89" t="str">
        <f ca="1">IFERROR(IF(INDIRECT(CONCATENATE("Relays!e",A179+9))="","",INDIRECT(CONCATENATE("Relays!e",A179+9))&amp;", "&amp;INDIRECT(CONCATENATE("Relays!f",A179+9))&amp;", "&amp;INDIRECT(CONCATENATE("Relays!g",A179+9))&amp;", "&amp;INDIRECT(CONCATENATE("Relays!h",A179+9))),"")</f>
        <v/>
      </c>
      <c r="G187" s="66"/>
      <c r="K187" s="66"/>
      <c r="L187" s="89" t="str">
        <f ca="1">IFERROR(INDIRECT(CONCATENATE("Relays!D",A179+9)),"")</f>
        <v/>
      </c>
      <c r="M187" s="109">
        <f ca="1">IFERROR(INDIRECT(CONCATENATE("Relays!K",A179+9)),"")</f>
        <v>0</v>
      </c>
      <c r="T187" s="64" t="str">
        <f t="shared" ca="1" si="13"/>
        <v/>
      </c>
      <c r="U187" s="64" t="str">
        <f t="shared" si="9"/>
        <v/>
      </c>
    </row>
    <row r="188" spans="1:22" x14ac:dyDescent="0.35">
      <c r="T188" s="64" t="str">
        <f t="shared" si="8"/>
        <v/>
      </c>
      <c r="U188" s="64" t="str">
        <f t="shared" si="9"/>
        <v/>
      </c>
      <c r="V188" s="422" t="str">
        <f>IF(OR(D188=0,D188="",D188="Athlete"),"",COUNTIF($D$4:$D188,D188))</f>
        <v/>
      </c>
    </row>
    <row r="189" spans="1:22" x14ac:dyDescent="0.35">
      <c r="T189" s="64" t="str">
        <f t="shared" si="8"/>
        <v/>
      </c>
      <c r="U189" s="64" t="str">
        <f t="shared" si="9"/>
        <v/>
      </c>
      <c r="V189" s="422" t="str">
        <f>IF(OR(D189=0,D189="",D189="Athlete"),"",COUNTIF($D$4:$D189,D189))</f>
        <v/>
      </c>
    </row>
    <row r="190" spans="1:22" x14ac:dyDescent="0.35">
      <c r="T190" s="64" t="str">
        <f t="shared" si="8"/>
        <v/>
      </c>
      <c r="U190" s="64" t="str">
        <f t="shared" si="9"/>
        <v/>
      </c>
      <c r="V190" s="422" t="str">
        <f>IF(OR(D190=0,D190="",D190="Athlete"),"",COUNTIF($D$4:$D190,D190))</f>
        <v/>
      </c>
    </row>
    <row r="191" spans="1:22" hidden="1" x14ac:dyDescent="0.35">
      <c r="D191" s="89" t="str">
        <f ca="1">K4</f>
        <v>BROOKS Carmen</v>
      </c>
      <c r="E191" s="89" t="str">
        <f ca="1">L4</f>
        <v>York</v>
      </c>
      <c r="T191" s="64">
        <f t="shared" ca="1" si="8"/>
        <v>3</v>
      </c>
      <c r="U191" s="64" t="str">
        <f t="shared" si="9"/>
        <v/>
      </c>
      <c r="V191" s="422">
        <f ca="1">IF(OR(D191=0,D191="",D191="Athlete"),"",COUNTIF($D$4:$D191,D191))</f>
        <v>3</v>
      </c>
    </row>
    <row r="192" spans="1:22" hidden="1" x14ac:dyDescent="0.35">
      <c r="D192" s="89" t="str">
        <f t="shared" ref="D192:E192" ca="1" si="14">K5</f>
        <v>GILLIS Madelaine</v>
      </c>
      <c r="E192" s="89" t="str">
        <f t="shared" ca="1" si="14"/>
        <v>M'bro</v>
      </c>
      <c r="T192" s="64">
        <f t="shared" ca="1" si="8"/>
        <v>2</v>
      </c>
      <c r="U192" s="64" t="str">
        <f t="shared" si="9"/>
        <v/>
      </c>
      <c r="V192" s="422">
        <f ca="1">IF(OR(D192=0,D192="",D192="Athlete"),"",COUNTIF($D$4:$D192,D192))</f>
        <v>2</v>
      </c>
    </row>
    <row r="193" spans="4:22" hidden="1" x14ac:dyDescent="0.35">
      <c r="D193" s="89" t="str">
        <f t="shared" ref="D193:E193" ca="1" si="15">K6</f>
        <v>JELONKIEWICZ Viktoria</v>
      </c>
      <c r="E193" s="89" t="str">
        <f t="shared" ca="1" si="15"/>
        <v>Sheff+D</v>
      </c>
      <c r="T193" s="64">
        <f t="shared" ca="1" si="8"/>
        <v>2</v>
      </c>
      <c r="U193" s="64" t="str">
        <f t="shared" si="9"/>
        <v/>
      </c>
      <c r="V193" s="422">
        <f ca="1">IF(OR(D193=0,D193="",D193="Athlete"),"",COUNTIF($D$4:$D193,D193))</f>
        <v>1</v>
      </c>
    </row>
    <row r="194" spans="4:22" hidden="1" x14ac:dyDescent="0.35">
      <c r="D194" s="89" t="str">
        <f t="shared" ref="D194:E194" ca="1" si="16">K7</f>
        <v>BAINES Lily</v>
      </c>
      <c r="E194" s="89" t="str">
        <f t="shared" ca="1" si="16"/>
        <v>C'field</v>
      </c>
      <c r="T194" s="64">
        <f t="shared" ca="1" si="8"/>
        <v>3</v>
      </c>
      <c r="U194" s="64" t="str">
        <f t="shared" si="9"/>
        <v/>
      </c>
      <c r="V194" s="422">
        <f ca="1">IF(OR(D194=0,D194="",D194="Athlete"),"",COUNTIF($D$4:$D194,D194))</f>
        <v>2</v>
      </c>
    </row>
    <row r="195" spans="4:22" hidden="1" x14ac:dyDescent="0.35">
      <c r="D195" s="89" t="str">
        <f t="shared" ref="D195:E195" ca="1" si="17">K8</f>
        <v/>
      </c>
      <c r="E195" s="89" t="str">
        <f t="shared" ca="1" si="17"/>
        <v/>
      </c>
      <c r="T195" s="64" t="str">
        <f t="shared" ca="1" si="8"/>
        <v/>
      </c>
      <c r="U195" s="64" t="str">
        <f t="shared" si="9"/>
        <v/>
      </c>
      <c r="V195" s="422" t="str">
        <f ca="1">IF(OR(D195=0,D195="",D195="Athlete"),"",COUNTIF($D$4:$D195,D195))</f>
        <v/>
      </c>
    </row>
    <row r="196" spans="4:22" hidden="1" x14ac:dyDescent="0.35">
      <c r="D196" s="89" t="str">
        <f t="shared" ref="D196:E196" ca="1" si="18">K9</f>
        <v/>
      </c>
      <c r="E196" s="89" t="str">
        <f t="shared" ca="1" si="18"/>
        <v/>
      </c>
      <c r="T196" s="64" t="str">
        <f t="shared" ca="1" si="8"/>
        <v/>
      </c>
      <c r="U196" s="64" t="str">
        <f t="shared" si="9"/>
        <v/>
      </c>
      <c r="V196" s="422" t="str">
        <f ca="1">IF(OR(D196=0,D196="",D196="Athlete"),"",COUNTIF($D$4:$D196,D196))</f>
        <v/>
      </c>
    </row>
    <row r="197" spans="4:22" hidden="1" x14ac:dyDescent="0.35">
      <c r="D197" s="89" t="str">
        <f t="shared" ref="D197:E197" ca="1" si="19">K10</f>
        <v/>
      </c>
      <c r="E197" s="89" t="str">
        <f t="shared" ca="1" si="19"/>
        <v/>
      </c>
      <c r="T197" s="64" t="str">
        <f t="shared" ref="T197:T260" ca="1" si="20">IF(OR(D197=0,D197="",D197="Athlete"),"",COUNTIF($D$4:$D$352,D197))</f>
        <v/>
      </c>
      <c r="U197" s="64" t="str">
        <f t="shared" ref="U197:U260" si="21">IF(OR(K197=0,K197="",K197="Athlete"),"",COUNTIF($D$4:$D$352,K197))</f>
        <v/>
      </c>
      <c r="V197" s="422" t="str">
        <f ca="1">IF(OR(D197=0,D197="",D197="Athlete"),"",COUNTIF($D$4:$D197,D197))</f>
        <v/>
      </c>
    </row>
    <row r="198" spans="4:22" hidden="1" x14ac:dyDescent="0.35">
      <c r="D198" s="89" t="str">
        <f t="shared" ref="D198:E198" ca="1" si="22">K11</f>
        <v/>
      </c>
      <c r="E198" s="89" t="str">
        <f t="shared" ca="1" si="22"/>
        <v/>
      </c>
      <c r="T198" s="64" t="str">
        <f t="shared" ca="1" si="20"/>
        <v/>
      </c>
      <c r="U198" s="64" t="str">
        <f t="shared" si="21"/>
        <v/>
      </c>
      <c r="V198" s="422" t="str">
        <f ca="1">IF(OR(D198=0,D198="",D198="Athlete"),"",COUNTIF($D$4:$D198,D198))</f>
        <v/>
      </c>
    </row>
    <row r="199" spans="4:22" hidden="1" x14ac:dyDescent="0.35">
      <c r="D199" s="89">
        <f t="shared" ref="D199:E199" si="23">K12</f>
        <v>0</v>
      </c>
      <c r="E199" s="89">
        <f t="shared" si="23"/>
        <v>0</v>
      </c>
      <c r="T199" s="64" t="str">
        <f t="shared" si="20"/>
        <v/>
      </c>
      <c r="U199" s="64" t="str">
        <f t="shared" si="21"/>
        <v/>
      </c>
      <c r="V199" s="422" t="str">
        <f>IF(OR(D199=0,D199="",D199="Athlete"),"",COUNTIF($D$4:$D199,D199))</f>
        <v/>
      </c>
    </row>
    <row r="200" spans="4:22" hidden="1" x14ac:dyDescent="0.35">
      <c r="D200" s="89">
        <f t="shared" ref="D200:E200" si="24">K13</f>
        <v>0</v>
      </c>
      <c r="E200" s="89" t="str">
        <f t="shared" si="24"/>
        <v>Wind</v>
      </c>
      <c r="T200" s="64" t="str">
        <f t="shared" si="20"/>
        <v/>
      </c>
      <c r="U200" s="64" t="str">
        <f t="shared" si="21"/>
        <v/>
      </c>
      <c r="V200" s="422" t="str">
        <f>IF(OR(D200=0,D200="",D200="Athlete"),"",COUNTIF($D$4:$D200,D200))</f>
        <v/>
      </c>
    </row>
    <row r="201" spans="4:22" hidden="1" x14ac:dyDescent="0.35">
      <c r="D201" s="89" t="str">
        <f t="shared" ref="D201:E201" ca="1" si="25">K14</f>
        <v>Athlete</v>
      </c>
      <c r="E201" s="89" t="str">
        <f t="shared" ca="1" si="25"/>
        <v>Club</v>
      </c>
      <c r="T201" s="64" t="str">
        <f t="shared" ca="1" si="20"/>
        <v/>
      </c>
      <c r="U201" s="64" t="str">
        <f t="shared" si="21"/>
        <v/>
      </c>
      <c r="V201" s="422" t="str">
        <f ca="1">IF(OR(D201=0,D201="",D201="Athlete"),"",COUNTIF($D$4:$D201,D201))</f>
        <v/>
      </c>
    </row>
    <row r="202" spans="4:22" hidden="1" x14ac:dyDescent="0.35">
      <c r="D202" s="89" t="str">
        <f t="shared" ref="D202:E202" ca="1" si="26">K15</f>
        <v/>
      </c>
      <c r="E202" s="89" t="str">
        <f t="shared" ca="1" si="26"/>
        <v/>
      </c>
      <c r="T202" s="64" t="str">
        <f t="shared" ca="1" si="20"/>
        <v/>
      </c>
      <c r="U202" s="64" t="str">
        <f t="shared" si="21"/>
        <v/>
      </c>
      <c r="V202" s="422" t="str">
        <f ca="1">IF(OR(D202=0,D202="",D202="Athlete"),"",COUNTIF($D$4:$D202,D202))</f>
        <v/>
      </c>
    </row>
    <row r="203" spans="4:22" hidden="1" x14ac:dyDescent="0.35">
      <c r="D203" s="89" t="str">
        <f t="shared" ref="D203:E203" ca="1" si="27">K16</f>
        <v/>
      </c>
      <c r="E203" s="89" t="str">
        <f t="shared" ca="1" si="27"/>
        <v/>
      </c>
      <c r="T203" s="64" t="str">
        <f t="shared" ca="1" si="20"/>
        <v/>
      </c>
      <c r="U203" s="64" t="str">
        <f t="shared" si="21"/>
        <v/>
      </c>
      <c r="V203" s="422" t="str">
        <f ca="1">IF(OR(D203=0,D203="",D203="Athlete"),"",COUNTIF($D$4:$D203,D203))</f>
        <v/>
      </c>
    </row>
    <row r="204" spans="4:22" hidden="1" x14ac:dyDescent="0.35">
      <c r="D204" s="89" t="str">
        <f t="shared" ref="D204:E204" ca="1" si="28">K17</f>
        <v/>
      </c>
      <c r="E204" s="89" t="str">
        <f t="shared" ca="1" si="28"/>
        <v/>
      </c>
      <c r="T204" s="64" t="str">
        <f t="shared" ca="1" si="20"/>
        <v/>
      </c>
      <c r="U204" s="64" t="str">
        <f t="shared" si="21"/>
        <v/>
      </c>
      <c r="V204" s="422" t="str">
        <f ca="1">IF(OR(D204=0,D204="",D204="Athlete"),"",COUNTIF($D$4:$D204,D204))</f>
        <v/>
      </c>
    </row>
    <row r="205" spans="4:22" hidden="1" x14ac:dyDescent="0.35">
      <c r="D205" s="89" t="str">
        <f t="shared" ref="D205:E205" ca="1" si="29">K18</f>
        <v/>
      </c>
      <c r="E205" s="89" t="str">
        <f t="shared" ca="1" si="29"/>
        <v/>
      </c>
      <c r="T205" s="64" t="str">
        <f t="shared" ca="1" si="20"/>
        <v/>
      </c>
      <c r="U205" s="64" t="str">
        <f t="shared" si="21"/>
        <v/>
      </c>
      <c r="V205" s="422" t="str">
        <f ca="1">IF(OR(D205=0,D205="",D205="Athlete"),"",COUNTIF($D$4:$D205,D205))</f>
        <v/>
      </c>
    </row>
    <row r="206" spans="4:22" hidden="1" x14ac:dyDescent="0.35">
      <c r="D206" s="89" t="str">
        <f t="shared" ref="D206:E206" ca="1" si="30">K19</f>
        <v/>
      </c>
      <c r="E206" s="89" t="str">
        <f t="shared" ca="1" si="30"/>
        <v/>
      </c>
      <c r="T206" s="64" t="str">
        <f t="shared" ca="1" si="20"/>
        <v/>
      </c>
      <c r="U206" s="64" t="str">
        <f t="shared" si="21"/>
        <v/>
      </c>
      <c r="V206" s="422" t="str">
        <f ca="1">IF(OR(D206=0,D206="",D206="Athlete"),"",COUNTIF($D$4:$D206,D206))</f>
        <v/>
      </c>
    </row>
    <row r="207" spans="4:22" hidden="1" x14ac:dyDescent="0.35">
      <c r="D207" s="89" t="str">
        <f t="shared" ref="D207:E207" ca="1" si="31">K20</f>
        <v/>
      </c>
      <c r="E207" s="89" t="str">
        <f t="shared" ca="1" si="31"/>
        <v/>
      </c>
      <c r="T207" s="64" t="str">
        <f t="shared" ca="1" si="20"/>
        <v/>
      </c>
      <c r="U207" s="64" t="str">
        <f t="shared" si="21"/>
        <v/>
      </c>
      <c r="V207" s="422" t="str">
        <f ca="1">IF(OR(D207=0,D207="",D207="Athlete"),"",COUNTIF($D$4:$D207,D207))</f>
        <v/>
      </c>
    </row>
    <row r="208" spans="4:22" hidden="1" x14ac:dyDescent="0.35">
      <c r="D208" s="89" t="str">
        <f t="shared" ref="D208:E208" ca="1" si="32">K21</f>
        <v/>
      </c>
      <c r="E208" s="89" t="str">
        <f t="shared" ca="1" si="32"/>
        <v/>
      </c>
      <c r="T208" s="64" t="str">
        <f t="shared" ca="1" si="20"/>
        <v/>
      </c>
      <c r="U208" s="64" t="str">
        <f t="shared" si="21"/>
        <v/>
      </c>
      <c r="V208" s="422" t="str">
        <f ca="1">IF(OR(D208=0,D208="",D208="Athlete"),"",COUNTIF($D$4:$D208,D208))</f>
        <v/>
      </c>
    </row>
    <row r="209" spans="4:22" hidden="1" x14ac:dyDescent="0.35">
      <c r="D209" s="89" t="str">
        <f t="shared" ref="D209:E209" ca="1" si="33">K22</f>
        <v/>
      </c>
      <c r="E209" s="89" t="str">
        <f t="shared" ca="1" si="33"/>
        <v/>
      </c>
      <c r="T209" s="64" t="str">
        <f t="shared" ca="1" si="20"/>
        <v/>
      </c>
      <c r="U209" s="64" t="str">
        <f t="shared" si="21"/>
        <v/>
      </c>
      <c r="V209" s="422" t="str">
        <f ca="1">IF(OR(D209=0,D209="",D209="Athlete"),"",COUNTIF($D$4:$D209,D209))</f>
        <v/>
      </c>
    </row>
    <row r="210" spans="4:22" hidden="1" x14ac:dyDescent="0.35">
      <c r="D210" s="89">
        <f t="shared" ref="D210:E210" si="34">K23</f>
        <v>0</v>
      </c>
      <c r="E210" s="89">
        <f t="shared" si="34"/>
        <v>0</v>
      </c>
      <c r="T210" s="64" t="str">
        <f t="shared" si="20"/>
        <v/>
      </c>
      <c r="U210" s="64" t="str">
        <f t="shared" si="21"/>
        <v/>
      </c>
      <c r="V210" s="422" t="str">
        <f>IF(OR(D210=0,D210="",D210="Athlete"),"",COUNTIF($D$4:$D210,D210))</f>
        <v/>
      </c>
    </row>
    <row r="211" spans="4:22" hidden="1" x14ac:dyDescent="0.35">
      <c r="D211" s="89">
        <f t="shared" ref="D211:E211" si="35">K24</f>
        <v>0</v>
      </c>
      <c r="E211" s="89" t="str">
        <f t="shared" si="35"/>
        <v>Wind</v>
      </c>
      <c r="T211" s="64" t="str">
        <f t="shared" si="20"/>
        <v/>
      </c>
      <c r="U211" s="64" t="str">
        <f t="shared" si="21"/>
        <v/>
      </c>
      <c r="V211" s="422" t="str">
        <f>IF(OR(D211=0,D211="",D211="Athlete"),"",COUNTIF($D$4:$D211,D211))</f>
        <v/>
      </c>
    </row>
    <row r="212" spans="4:22" hidden="1" x14ac:dyDescent="0.35">
      <c r="D212" s="89" t="str">
        <f t="shared" ref="D212:E212" ca="1" si="36">K25</f>
        <v>Athlete</v>
      </c>
      <c r="E212" s="89" t="str">
        <f t="shared" ca="1" si="36"/>
        <v>Club</v>
      </c>
      <c r="T212" s="64" t="str">
        <f t="shared" ca="1" si="20"/>
        <v/>
      </c>
      <c r="U212" s="64" t="str">
        <f t="shared" si="21"/>
        <v/>
      </c>
      <c r="V212" s="422" t="str">
        <f ca="1">IF(OR(D212=0,D212="",D212="Athlete"),"",COUNTIF($D$4:$D212,D212))</f>
        <v/>
      </c>
    </row>
    <row r="213" spans="4:22" hidden="1" x14ac:dyDescent="0.35">
      <c r="D213" s="89" t="str">
        <f t="shared" ref="D213:E213" ca="1" si="37">K26</f>
        <v>PYE Leoni</v>
      </c>
      <c r="E213" s="89" t="str">
        <f t="shared" ca="1" si="37"/>
        <v>M'bro</v>
      </c>
      <c r="T213" s="64">
        <f t="shared" ca="1" si="20"/>
        <v>2</v>
      </c>
      <c r="U213" s="64" t="str">
        <f t="shared" si="21"/>
        <v/>
      </c>
      <c r="V213" s="422">
        <f ca="1">IF(OR(D213=0,D213="",D213="Athlete"),"",COUNTIF($D$4:$D213,D213))</f>
        <v>1</v>
      </c>
    </row>
    <row r="214" spans="4:22" hidden="1" x14ac:dyDescent="0.35">
      <c r="D214" s="89" t="str">
        <f t="shared" ref="D214:E214" ca="1" si="38">K27</f>
        <v>HASTIE Eve</v>
      </c>
      <c r="E214" s="89" t="str">
        <f t="shared" ca="1" si="38"/>
        <v>York</v>
      </c>
      <c r="T214" s="64">
        <f t="shared" ca="1" si="20"/>
        <v>2</v>
      </c>
      <c r="U214" s="64" t="str">
        <f t="shared" si="21"/>
        <v/>
      </c>
      <c r="V214" s="422">
        <f ca="1">IF(OR(D214=0,D214="",D214="Athlete"),"",COUNTIF($D$4:$D214,D214))</f>
        <v>2</v>
      </c>
    </row>
    <row r="215" spans="4:22" hidden="1" x14ac:dyDescent="0.35">
      <c r="D215" s="89" t="str">
        <f t="shared" ref="D215:E215" ca="1" si="39">K28</f>
        <v>PADDON Olivia</v>
      </c>
      <c r="E215" s="89" t="str">
        <f t="shared" ca="1" si="39"/>
        <v>Sheff+D</v>
      </c>
      <c r="T215" s="64">
        <f t="shared" ca="1" si="20"/>
        <v>3</v>
      </c>
      <c r="U215" s="64" t="str">
        <f t="shared" si="21"/>
        <v/>
      </c>
      <c r="V215" s="422">
        <f ca="1">IF(OR(D215=0,D215="",D215="Athlete"),"",COUNTIF($D$4:$D215,D215))</f>
        <v>1</v>
      </c>
    </row>
    <row r="216" spans="4:22" hidden="1" x14ac:dyDescent="0.35">
      <c r="D216" s="89" t="str">
        <f t="shared" ref="D216:E216" ca="1" si="40">K29</f>
        <v>ROGERS Emily</v>
      </c>
      <c r="E216" s="89" t="str">
        <f t="shared" ca="1" si="40"/>
        <v>C'field</v>
      </c>
      <c r="T216" s="64">
        <f t="shared" ca="1" si="20"/>
        <v>3</v>
      </c>
      <c r="U216" s="64" t="str">
        <f t="shared" si="21"/>
        <v/>
      </c>
      <c r="V216" s="422">
        <f ca="1">IF(OR(D216=0,D216="",D216="Athlete"),"",COUNTIF($D$4:$D216,D216))</f>
        <v>1</v>
      </c>
    </row>
    <row r="217" spans="4:22" hidden="1" x14ac:dyDescent="0.35">
      <c r="D217" s="89" t="str">
        <f t="shared" ref="D217:E217" ca="1" si="41">K30</f>
        <v/>
      </c>
      <c r="E217" s="89" t="str">
        <f t="shared" ca="1" si="41"/>
        <v/>
      </c>
      <c r="T217" s="64" t="str">
        <f t="shared" ca="1" si="20"/>
        <v/>
      </c>
      <c r="U217" s="64" t="str">
        <f t="shared" si="21"/>
        <v/>
      </c>
      <c r="V217" s="422" t="str">
        <f ca="1">IF(OR(D217=0,D217="",D217="Athlete"),"",COUNTIF($D$4:$D217,D217))</f>
        <v/>
      </c>
    </row>
    <row r="218" spans="4:22" hidden="1" x14ac:dyDescent="0.35">
      <c r="D218" s="89" t="str">
        <f t="shared" ref="D218:E218" ca="1" si="42">K31</f>
        <v/>
      </c>
      <c r="E218" s="89" t="str">
        <f t="shared" ca="1" si="42"/>
        <v/>
      </c>
      <c r="T218" s="64" t="str">
        <f t="shared" ca="1" si="20"/>
        <v/>
      </c>
      <c r="U218" s="64" t="str">
        <f t="shared" si="21"/>
        <v/>
      </c>
      <c r="V218" s="422" t="str">
        <f ca="1">IF(OR(D218=0,D218="",D218="Athlete"),"",COUNTIF($D$4:$D218,D218))</f>
        <v/>
      </c>
    </row>
    <row r="219" spans="4:22" hidden="1" x14ac:dyDescent="0.35">
      <c r="D219" s="89" t="str">
        <f t="shared" ref="D219:E219" ca="1" si="43">K32</f>
        <v/>
      </c>
      <c r="E219" s="89" t="str">
        <f t="shared" ca="1" si="43"/>
        <v/>
      </c>
      <c r="T219" s="64" t="str">
        <f t="shared" ca="1" si="20"/>
        <v/>
      </c>
      <c r="U219" s="64" t="str">
        <f t="shared" si="21"/>
        <v/>
      </c>
      <c r="V219" s="422" t="str">
        <f ca="1">IF(OR(D219=0,D219="",D219="Athlete"),"",COUNTIF($D$4:$D219,D219))</f>
        <v/>
      </c>
    </row>
    <row r="220" spans="4:22" hidden="1" x14ac:dyDescent="0.35">
      <c r="D220" s="89" t="str">
        <f t="shared" ref="D220:E220" ca="1" si="44">K33</f>
        <v/>
      </c>
      <c r="E220" s="89" t="str">
        <f t="shared" ca="1" si="44"/>
        <v/>
      </c>
      <c r="T220" s="64" t="str">
        <f t="shared" ca="1" si="20"/>
        <v/>
      </c>
      <c r="U220" s="64" t="str">
        <f t="shared" si="21"/>
        <v/>
      </c>
      <c r="V220" s="422" t="str">
        <f ca="1">IF(OR(D220=0,D220="",D220="Athlete"),"",COUNTIF($D$4:$D220,D220))</f>
        <v/>
      </c>
    </row>
    <row r="221" spans="4:22" hidden="1" x14ac:dyDescent="0.35">
      <c r="D221" s="89">
        <f t="shared" ref="D221:E221" si="45">K34</f>
        <v>0</v>
      </c>
      <c r="E221" s="89">
        <f t="shared" si="45"/>
        <v>0</v>
      </c>
      <c r="T221" s="64" t="str">
        <f t="shared" si="20"/>
        <v/>
      </c>
      <c r="U221" s="64" t="str">
        <f t="shared" si="21"/>
        <v/>
      </c>
      <c r="V221" s="422" t="str">
        <f>IF(OR(D221=0,D221="",D221="Athlete"),"",COUNTIF($D$4:$D221,D221))</f>
        <v/>
      </c>
    </row>
    <row r="222" spans="4:22" hidden="1" x14ac:dyDescent="0.35">
      <c r="D222" s="89">
        <f t="shared" ref="D222:E222" si="46">K35</f>
        <v>0</v>
      </c>
      <c r="E222" s="89">
        <f t="shared" si="46"/>
        <v>0</v>
      </c>
      <c r="T222" s="64" t="str">
        <f t="shared" si="20"/>
        <v/>
      </c>
      <c r="U222" s="64" t="str">
        <f t="shared" si="21"/>
        <v/>
      </c>
      <c r="V222" s="422" t="str">
        <f>IF(OR(D222=0,D222="",D222="Athlete"),"",COUNTIF($D$4:$D222,D222))</f>
        <v/>
      </c>
    </row>
    <row r="223" spans="4:22" hidden="1" x14ac:dyDescent="0.35">
      <c r="D223" s="89" t="str">
        <f t="shared" ref="D223:E223" ca="1" si="47">K36</f>
        <v>Athlete</v>
      </c>
      <c r="E223" s="89" t="str">
        <f t="shared" ca="1" si="47"/>
        <v>Club</v>
      </c>
      <c r="T223" s="64" t="str">
        <f t="shared" ca="1" si="20"/>
        <v/>
      </c>
      <c r="U223" s="64" t="str">
        <f t="shared" si="21"/>
        <v/>
      </c>
      <c r="V223" s="422" t="str">
        <f ca="1">IF(OR(D223=0,D223="",D223="Athlete"),"",COUNTIF($D$4:$D223,D223))</f>
        <v/>
      </c>
    </row>
    <row r="224" spans="4:22" hidden="1" x14ac:dyDescent="0.35">
      <c r="D224" s="89" t="str">
        <f t="shared" ref="D224:E224" ca="1" si="48">K37</f>
        <v>PYE Leoni</v>
      </c>
      <c r="E224" s="89" t="str">
        <f t="shared" ca="1" si="48"/>
        <v>M'bro</v>
      </c>
      <c r="T224" s="64">
        <f t="shared" ca="1" si="20"/>
        <v>2</v>
      </c>
      <c r="U224" s="64" t="str">
        <f t="shared" si="21"/>
        <v/>
      </c>
      <c r="V224" s="422">
        <f ca="1">IF(OR(D224=0,D224="",D224="Athlete"),"",COUNTIF($D$4:$D224,D224))</f>
        <v>2</v>
      </c>
    </row>
    <row r="225" spans="4:22" hidden="1" x14ac:dyDescent="0.35">
      <c r="D225" s="89" t="str">
        <f t="shared" ref="D225:E225" ca="1" si="49">K38</f>
        <v>COURTNEY Libby</v>
      </c>
      <c r="E225" s="89" t="str">
        <f t="shared" ca="1" si="49"/>
        <v>York</v>
      </c>
      <c r="T225" s="64">
        <f t="shared" ca="1" si="20"/>
        <v>2</v>
      </c>
      <c r="U225" s="64" t="str">
        <f t="shared" si="21"/>
        <v/>
      </c>
      <c r="V225" s="422">
        <f ca="1">IF(OR(D225=0,D225="",D225="Athlete"),"",COUNTIF($D$4:$D225,D225))</f>
        <v>1</v>
      </c>
    </row>
    <row r="226" spans="4:22" hidden="1" x14ac:dyDescent="0.35">
      <c r="D226" s="89" t="str">
        <f t="shared" ref="D226:E226" ca="1" si="50">K39</f>
        <v>PROCTOR Alicia</v>
      </c>
      <c r="E226" s="89" t="str">
        <f t="shared" ca="1" si="50"/>
        <v>C'field</v>
      </c>
      <c r="T226" s="64">
        <f t="shared" ca="1" si="20"/>
        <v>3</v>
      </c>
      <c r="U226" s="64" t="str">
        <f t="shared" si="21"/>
        <v/>
      </c>
      <c r="V226" s="422">
        <f ca="1">IF(OR(D226=0,D226="",D226="Athlete"),"",COUNTIF($D$4:$D226,D226))</f>
        <v>2</v>
      </c>
    </row>
    <row r="227" spans="4:22" hidden="1" x14ac:dyDescent="0.35">
      <c r="D227" s="89" t="str">
        <f t="shared" ref="D227:E227" ca="1" si="51">K40</f>
        <v/>
      </c>
      <c r="E227" s="89" t="str">
        <f t="shared" ca="1" si="51"/>
        <v/>
      </c>
      <c r="T227" s="64" t="str">
        <f t="shared" ca="1" si="20"/>
        <v/>
      </c>
      <c r="U227" s="64" t="str">
        <f t="shared" si="21"/>
        <v/>
      </c>
      <c r="V227" s="422" t="str">
        <f ca="1">IF(OR(D227=0,D227="",D227="Athlete"),"",COUNTIF($D$4:$D227,D227))</f>
        <v/>
      </c>
    </row>
    <row r="228" spans="4:22" hidden="1" x14ac:dyDescent="0.35">
      <c r="D228" s="89" t="str">
        <f t="shared" ref="D228:E228" ca="1" si="52">K41</f>
        <v/>
      </c>
      <c r="E228" s="89" t="str">
        <f t="shared" ca="1" si="52"/>
        <v/>
      </c>
      <c r="T228" s="64" t="str">
        <f t="shared" ca="1" si="20"/>
        <v/>
      </c>
      <c r="U228" s="64" t="str">
        <f t="shared" si="21"/>
        <v/>
      </c>
      <c r="V228" s="422" t="str">
        <f ca="1">IF(OR(D228=0,D228="",D228="Athlete"),"",COUNTIF($D$4:$D228,D228))</f>
        <v/>
      </c>
    </row>
    <row r="229" spans="4:22" hidden="1" x14ac:dyDescent="0.35">
      <c r="D229" s="89" t="str">
        <f t="shared" ref="D229:E229" ca="1" si="53">K42</f>
        <v/>
      </c>
      <c r="E229" s="89" t="str">
        <f t="shared" ca="1" si="53"/>
        <v/>
      </c>
      <c r="T229" s="64" t="str">
        <f t="shared" ca="1" si="20"/>
        <v/>
      </c>
      <c r="U229" s="64" t="str">
        <f t="shared" si="21"/>
        <v/>
      </c>
      <c r="V229" s="422" t="str">
        <f ca="1">IF(OR(D229=0,D229="",D229="Athlete"),"",COUNTIF($D$4:$D229,D229))</f>
        <v/>
      </c>
    </row>
    <row r="230" spans="4:22" hidden="1" x14ac:dyDescent="0.35">
      <c r="D230" s="89" t="str">
        <f t="shared" ref="D230:E230" ca="1" si="54">K43</f>
        <v/>
      </c>
      <c r="E230" s="89" t="str">
        <f t="shared" ca="1" si="54"/>
        <v/>
      </c>
      <c r="T230" s="64" t="str">
        <f t="shared" ca="1" si="20"/>
        <v/>
      </c>
      <c r="U230" s="64" t="str">
        <f t="shared" si="21"/>
        <v/>
      </c>
      <c r="V230" s="422" t="str">
        <f ca="1">IF(OR(D230=0,D230="",D230="Athlete"),"",COUNTIF($D$4:$D230,D230))</f>
        <v/>
      </c>
    </row>
    <row r="231" spans="4:22" hidden="1" x14ac:dyDescent="0.35">
      <c r="D231" s="89" t="str">
        <f t="shared" ref="D231:E231" ca="1" si="55">K44</f>
        <v/>
      </c>
      <c r="E231" s="89" t="str">
        <f t="shared" ca="1" si="55"/>
        <v/>
      </c>
      <c r="T231" s="64" t="str">
        <f t="shared" ca="1" si="20"/>
        <v/>
      </c>
      <c r="U231" s="64" t="str">
        <f t="shared" si="21"/>
        <v/>
      </c>
      <c r="V231" s="422" t="str">
        <f ca="1">IF(OR(D231=0,D231="",D231="Athlete"),"",COUNTIF($D$4:$D231,D231))</f>
        <v/>
      </c>
    </row>
    <row r="232" spans="4:22" hidden="1" x14ac:dyDescent="0.35">
      <c r="D232" s="89">
        <f t="shared" ref="D232:E232" si="56">K45</f>
        <v>0</v>
      </c>
      <c r="E232" s="89">
        <f t="shared" si="56"/>
        <v>0</v>
      </c>
      <c r="T232" s="64" t="str">
        <f t="shared" si="20"/>
        <v/>
      </c>
      <c r="U232" s="64" t="str">
        <f t="shared" si="21"/>
        <v/>
      </c>
      <c r="V232" s="422" t="str">
        <f>IF(OR(D232=0,D232="",D232="Athlete"),"",COUNTIF($D$4:$D232,D232))</f>
        <v/>
      </c>
    </row>
    <row r="233" spans="4:22" hidden="1" x14ac:dyDescent="0.35">
      <c r="D233" s="89">
        <f t="shared" ref="D233:E233" si="57">K46</f>
        <v>0</v>
      </c>
      <c r="E233" s="89">
        <f t="shared" si="57"/>
        <v>0</v>
      </c>
      <c r="T233" s="64" t="str">
        <f t="shared" si="20"/>
        <v/>
      </c>
      <c r="U233" s="64" t="str">
        <f t="shared" si="21"/>
        <v/>
      </c>
      <c r="V233" s="422" t="str">
        <f>IF(OR(D233=0,D233="",D233="Athlete"),"",COUNTIF($D$4:$D233,D233))</f>
        <v/>
      </c>
    </row>
    <row r="234" spans="4:22" hidden="1" x14ac:dyDescent="0.35">
      <c r="D234" s="89" t="str">
        <f t="shared" ref="D234:E234" ca="1" si="58">K47</f>
        <v>Athlete</v>
      </c>
      <c r="E234" s="89" t="str">
        <f t="shared" ca="1" si="58"/>
        <v>Club</v>
      </c>
      <c r="T234" s="64" t="str">
        <f t="shared" ca="1" si="20"/>
        <v/>
      </c>
      <c r="U234" s="64" t="str">
        <f t="shared" si="21"/>
        <v/>
      </c>
      <c r="V234" s="422" t="str">
        <f ca="1">IF(OR(D234=0,D234="",D234="Athlete"),"",COUNTIF($D$4:$D234,D234))</f>
        <v/>
      </c>
    </row>
    <row r="235" spans="4:22" hidden="1" x14ac:dyDescent="0.35">
      <c r="D235" s="89" t="str">
        <f t="shared" ref="D235:E235" ca="1" si="59">K48</f>
        <v>LILLIE Imogen</v>
      </c>
      <c r="E235" s="89" t="str">
        <f t="shared" ca="1" si="59"/>
        <v>M'bro</v>
      </c>
      <c r="T235" s="64">
        <f t="shared" ca="1" si="20"/>
        <v>1</v>
      </c>
      <c r="U235" s="64" t="str">
        <f t="shared" si="21"/>
        <v/>
      </c>
      <c r="V235" s="422">
        <f ca="1">IF(OR(D235=0,D235="",D235="Athlete"),"",COUNTIF($D$4:$D235,D235))</f>
        <v>1</v>
      </c>
    </row>
    <row r="236" spans="4:22" hidden="1" x14ac:dyDescent="0.35">
      <c r="D236" s="89" t="str">
        <f t="shared" ref="D236:E236" ca="1" si="60">K49</f>
        <v>HOGG Frances</v>
      </c>
      <c r="E236" s="89" t="str">
        <f t="shared" ca="1" si="60"/>
        <v>York</v>
      </c>
      <c r="T236" s="64">
        <f t="shared" ca="1" si="20"/>
        <v>3</v>
      </c>
      <c r="U236" s="64" t="str">
        <f t="shared" si="21"/>
        <v/>
      </c>
      <c r="V236" s="422">
        <f ca="1">IF(OR(D236=0,D236="",D236="Athlete"),"",COUNTIF($D$4:$D236,D236))</f>
        <v>3</v>
      </c>
    </row>
    <row r="237" spans="4:22" hidden="1" x14ac:dyDescent="0.35">
      <c r="D237" s="89" t="str">
        <f t="shared" ref="D237:E237" ca="1" si="61">K50</f>
        <v>FLINDERS Agnes</v>
      </c>
      <c r="E237" s="89" t="str">
        <f t="shared" ca="1" si="61"/>
        <v>Sheff+D</v>
      </c>
      <c r="T237" s="64">
        <f t="shared" ca="1" si="20"/>
        <v>1</v>
      </c>
      <c r="U237" s="64" t="str">
        <f t="shared" si="21"/>
        <v/>
      </c>
      <c r="V237" s="422">
        <f ca="1">IF(OR(D237=0,D237="",D237="Athlete"),"",COUNTIF($D$4:$D237,D237))</f>
        <v>1</v>
      </c>
    </row>
    <row r="238" spans="4:22" hidden="1" x14ac:dyDescent="0.35">
      <c r="D238" s="89" t="str">
        <f t="shared" ref="D238:E238" ca="1" si="62">K51</f>
        <v>BETTS Demi</v>
      </c>
      <c r="E238" s="89" t="str">
        <f t="shared" ca="1" si="62"/>
        <v>Scun</v>
      </c>
      <c r="T238" s="64">
        <f t="shared" ca="1" si="20"/>
        <v>3</v>
      </c>
      <c r="U238" s="64" t="str">
        <f t="shared" si="21"/>
        <v/>
      </c>
      <c r="V238" s="422">
        <f ca="1">IF(OR(D238=0,D238="",D238="Athlete"),"",COUNTIF($D$4:$D238,D238))</f>
        <v>2</v>
      </c>
    </row>
    <row r="239" spans="4:22" hidden="1" x14ac:dyDescent="0.35">
      <c r="D239" s="89" t="str">
        <f t="shared" ref="D239:E239" ca="1" si="63">K52</f>
        <v/>
      </c>
      <c r="E239" s="89" t="str">
        <f t="shared" ca="1" si="63"/>
        <v/>
      </c>
      <c r="T239" s="64" t="str">
        <f t="shared" ca="1" si="20"/>
        <v/>
      </c>
      <c r="U239" s="64" t="str">
        <f t="shared" si="21"/>
        <v/>
      </c>
      <c r="V239" s="422" t="str">
        <f ca="1">IF(OR(D239=0,D239="",D239="Athlete"),"",COUNTIF($D$4:$D239,D239))</f>
        <v/>
      </c>
    </row>
    <row r="240" spans="4:22" hidden="1" x14ac:dyDescent="0.35">
      <c r="D240" s="89" t="str">
        <f t="shared" ref="D240:E240" ca="1" si="64">K53</f>
        <v/>
      </c>
      <c r="E240" s="89" t="str">
        <f t="shared" ca="1" si="64"/>
        <v/>
      </c>
      <c r="T240" s="64" t="str">
        <f t="shared" ca="1" si="20"/>
        <v/>
      </c>
      <c r="U240" s="64" t="str">
        <f t="shared" si="21"/>
        <v/>
      </c>
      <c r="V240" s="422" t="str">
        <f ca="1">IF(OR(D240=0,D240="",D240="Athlete"),"",COUNTIF($D$4:$D240,D240))</f>
        <v/>
      </c>
    </row>
    <row r="241" spans="4:22" hidden="1" x14ac:dyDescent="0.35">
      <c r="D241" s="89" t="str">
        <f t="shared" ref="D241:E241" ca="1" si="65">K54</f>
        <v/>
      </c>
      <c r="E241" s="89" t="str">
        <f t="shared" ca="1" si="65"/>
        <v/>
      </c>
      <c r="T241" s="64" t="str">
        <f t="shared" ca="1" si="20"/>
        <v/>
      </c>
      <c r="U241" s="64" t="str">
        <f t="shared" si="21"/>
        <v/>
      </c>
      <c r="V241" s="422" t="str">
        <f ca="1">IF(OR(D241=0,D241="",D241="Athlete"),"",COUNTIF($D$4:$D241,D241))</f>
        <v/>
      </c>
    </row>
    <row r="242" spans="4:22" hidden="1" x14ac:dyDescent="0.35">
      <c r="D242" s="89" t="str">
        <f t="shared" ref="D242:E242" ca="1" si="66">K55</f>
        <v/>
      </c>
      <c r="E242" s="89" t="str">
        <f t="shared" ca="1" si="66"/>
        <v/>
      </c>
      <c r="T242" s="64" t="str">
        <f t="shared" ca="1" si="20"/>
        <v/>
      </c>
      <c r="U242" s="64" t="str">
        <f t="shared" si="21"/>
        <v/>
      </c>
      <c r="V242" s="422" t="str">
        <f ca="1">IF(OR(D242=0,D242="",D242="Athlete"),"",COUNTIF($D$4:$D242,D242))</f>
        <v/>
      </c>
    </row>
    <row r="243" spans="4:22" hidden="1" x14ac:dyDescent="0.35">
      <c r="D243" s="89">
        <f t="shared" ref="D243:E243" si="67">K56</f>
        <v>0</v>
      </c>
      <c r="E243" s="89">
        <f t="shared" si="67"/>
        <v>0</v>
      </c>
      <c r="T243" s="64" t="str">
        <f t="shared" si="20"/>
        <v/>
      </c>
      <c r="U243" s="64" t="str">
        <f t="shared" si="21"/>
        <v/>
      </c>
      <c r="V243" s="422" t="str">
        <f>IF(OR(D243=0,D243="",D243="Athlete"),"",COUNTIF($D$4:$D243,D243))</f>
        <v/>
      </c>
    </row>
    <row r="244" spans="4:22" hidden="1" x14ac:dyDescent="0.35">
      <c r="D244" s="89">
        <f t="shared" ref="D244:E244" si="68">K57</f>
        <v>0</v>
      </c>
      <c r="E244" s="89">
        <f t="shared" si="68"/>
        <v>0</v>
      </c>
      <c r="T244" s="64" t="str">
        <f t="shared" si="20"/>
        <v/>
      </c>
      <c r="U244" s="64" t="str">
        <f t="shared" si="21"/>
        <v/>
      </c>
      <c r="V244" s="422" t="str">
        <f>IF(OR(D244=0,D244="",D244="Athlete"),"",COUNTIF($D$4:$D244,D244))</f>
        <v/>
      </c>
    </row>
    <row r="245" spans="4:22" hidden="1" x14ac:dyDescent="0.35">
      <c r="D245" s="89" t="str">
        <f t="shared" ref="D245:E245" ca="1" si="69">K58</f>
        <v>Athlete</v>
      </c>
      <c r="E245" s="89" t="str">
        <f t="shared" ca="1" si="69"/>
        <v>Club</v>
      </c>
      <c r="T245" s="64" t="str">
        <f t="shared" ca="1" si="20"/>
        <v/>
      </c>
      <c r="U245" s="64" t="str">
        <f t="shared" si="21"/>
        <v/>
      </c>
      <c r="V245" s="422" t="str">
        <f ca="1">IF(OR(D245=0,D245="",D245="Athlete"),"",COUNTIF($D$4:$D245,D245))</f>
        <v/>
      </c>
    </row>
    <row r="246" spans="4:22" hidden="1" x14ac:dyDescent="0.35">
      <c r="D246" s="89" t="str">
        <f t="shared" ref="D246:E246" ca="1" si="70">K59</f>
        <v/>
      </c>
      <c r="E246" s="89" t="str">
        <f t="shared" ca="1" si="70"/>
        <v/>
      </c>
      <c r="T246" s="64" t="str">
        <f t="shared" ca="1" si="20"/>
        <v/>
      </c>
      <c r="U246" s="64" t="str">
        <f t="shared" si="21"/>
        <v/>
      </c>
      <c r="V246" s="422" t="str">
        <f ca="1">IF(OR(D246=0,D246="",D246="Athlete"),"",COUNTIF($D$4:$D246,D246))</f>
        <v/>
      </c>
    </row>
    <row r="247" spans="4:22" hidden="1" x14ac:dyDescent="0.35">
      <c r="D247" s="89" t="str">
        <f t="shared" ref="D247:E247" ca="1" si="71">K60</f>
        <v/>
      </c>
      <c r="E247" s="89" t="str">
        <f t="shared" ca="1" si="71"/>
        <v/>
      </c>
      <c r="T247" s="64" t="str">
        <f t="shared" ca="1" si="20"/>
        <v/>
      </c>
      <c r="U247" s="64" t="str">
        <f t="shared" si="21"/>
        <v/>
      </c>
      <c r="V247" s="422" t="str">
        <f ca="1">IF(OR(D247=0,D247="",D247="Athlete"),"",COUNTIF($D$4:$D247,D247))</f>
        <v/>
      </c>
    </row>
    <row r="248" spans="4:22" hidden="1" x14ac:dyDescent="0.35">
      <c r="D248" s="89" t="str">
        <f t="shared" ref="D248:E248" ca="1" si="72">K61</f>
        <v/>
      </c>
      <c r="E248" s="89" t="str">
        <f t="shared" ca="1" si="72"/>
        <v/>
      </c>
      <c r="T248" s="64" t="str">
        <f t="shared" ca="1" si="20"/>
        <v/>
      </c>
      <c r="U248" s="64" t="str">
        <f t="shared" si="21"/>
        <v/>
      </c>
      <c r="V248" s="422" t="str">
        <f ca="1">IF(OR(D248=0,D248="",D248="Athlete"),"",COUNTIF($D$4:$D248,D248))</f>
        <v/>
      </c>
    </row>
    <row r="249" spans="4:22" hidden="1" x14ac:dyDescent="0.35">
      <c r="D249" s="89" t="str">
        <f t="shared" ref="D249:E249" ca="1" si="73">K62</f>
        <v/>
      </c>
      <c r="E249" s="89" t="str">
        <f t="shared" ca="1" si="73"/>
        <v/>
      </c>
      <c r="T249" s="64" t="str">
        <f t="shared" ca="1" si="20"/>
        <v/>
      </c>
      <c r="U249" s="64" t="str">
        <f t="shared" si="21"/>
        <v/>
      </c>
      <c r="V249" s="422" t="str">
        <f ca="1">IF(OR(D249=0,D249="",D249="Athlete"),"",COUNTIF($D$4:$D249,D249))</f>
        <v/>
      </c>
    </row>
    <row r="250" spans="4:22" hidden="1" x14ac:dyDescent="0.35">
      <c r="D250" s="89" t="str">
        <f t="shared" ref="D250:E250" ca="1" si="74">K63</f>
        <v/>
      </c>
      <c r="E250" s="89" t="str">
        <f t="shared" ca="1" si="74"/>
        <v/>
      </c>
      <c r="T250" s="64" t="str">
        <f t="shared" ca="1" si="20"/>
        <v/>
      </c>
      <c r="U250" s="64" t="str">
        <f t="shared" si="21"/>
        <v/>
      </c>
      <c r="V250" s="422" t="str">
        <f ca="1">IF(OR(D250=0,D250="",D250="Athlete"),"",COUNTIF($D$4:$D250,D250))</f>
        <v/>
      </c>
    </row>
    <row r="251" spans="4:22" hidden="1" x14ac:dyDescent="0.35">
      <c r="D251" s="89" t="str">
        <f t="shared" ref="D251:E251" ca="1" si="75">K64</f>
        <v/>
      </c>
      <c r="E251" s="89" t="str">
        <f t="shared" ca="1" si="75"/>
        <v/>
      </c>
      <c r="T251" s="64" t="str">
        <f t="shared" ca="1" si="20"/>
        <v/>
      </c>
      <c r="U251" s="64" t="str">
        <f t="shared" si="21"/>
        <v/>
      </c>
      <c r="V251" s="422" t="str">
        <f ca="1">IF(OR(D251=0,D251="",D251="Athlete"),"",COUNTIF($D$4:$D251,D251))</f>
        <v/>
      </c>
    </row>
    <row r="252" spans="4:22" hidden="1" x14ac:dyDescent="0.35">
      <c r="D252" s="89" t="str">
        <f t="shared" ref="D252:E252" ca="1" si="76">K65</f>
        <v/>
      </c>
      <c r="E252" s="89" t="str">
        <f t="shared" ca="1" si="76"/>
        <v/>
      </c>
      <c r="T252" s="64" t="str">
        <f t="shared" ca="1" si="20"/>
        <v/>
      </c>
      <c r="U252" s="64" t="str">
        <f t="shared" si="21"/>
        <v/>
      </c>
      <c r="V252" s="422" t="str">
        <f ca="1">IF(OR(D252=0,D252="",D252="Athlete"),"",COUNTIF($D$4:$D252,D252))</f>
        <v/>
      </c>
    </row>
    <row r="253" spans="4:22" hidden="1" x14ac:dyDescent="0.35">
      <c r="D253" s="89" t="str">
        <f t="shared" ref="D253:E253" ca="1" si="77">K66</f>
        <v/>
      </c>
      <c r="E253" s="89" t="str">
        <f t="shared" ca="1" si="77"/>
        <v/>
      </c>
      <c r="T253" s="64" t="str">
        <f t="shared" ca="1" si="20"/>
        <v/>
      </c>
      <c r="U253" s="64" t="str">
        <f t="shared" si="21"/>
        <v/>
      </c>
      <c r="V253" s="422" t="str">
        <f ca="1">IF(OR(D253=0,D253="",D253="Athlete"),"",COUNTIF($D$4:$D253,D253))</f>
        <v/>
      </c>
    </row>
    <row r="254" spans="4:22" hidden="1" x14ac:dyDescent="0.35">
      <c r="D254" s="89">
        <f t="shared" ref="D254:E254" si="78">K67</f>
        <v>0</v>
      </c>
      <c r="E254" s="89">
        <f t="shared" si="78"/>
        <v>0</v>
      </c>
      <c r="T254" s="64" t="str">
        <f t="shared" si="20"/>
        <v/>
      </c>
      <c r="U254" s="64" t="str">
        <f t="shared" si="21"/>
        <v/>
      </c>
      <c r="V254" s="422" t="str">
        <f>IF(OR(D254=0,D254="",D254="Athlete"),"",COUNTIF($D$4:$D254,D254))</f>
        <v/>
      </c>
    </row>
    <row r="255" spans="4:22" hidden="1" x14ac:dyDescent="0.35">
      <c r="D255" s="89">
        <f t="shared" ref="D255:E255" si="79">K68</f>
        <v>0</v>
      </c>
      <c r="E255" s="89">
        <f t="shared" si="79"/>
        <v>0</v>
      </c>
      <c r="T255" s="64" t="str">
        <f t="shared" si="20"/>
        <v/>
      </c>
      <c r="U255" s="64" t="str">
        <f t="shared" si="21"/>
        <v/>
      </c>
      <c r="V255" s="422" t="str">
        <f>IF(OR(D255=0,D255="",D255="Athlete"),"",COUNTIF($D$4:$D255,D255))</f>
        <v/>
      </c>
    </row>
    <row r="256" spans="4:22" hidden="1" x14ac:dyDescent="0.35">
      <c r="D256" s="89" t="str">
        <f t="shared" ref="D256:E256" ca="1" si="80">K69</f>
        <v>Athlete</v>
      </c>
      <c r="E256" s="89" t="str">
        <f t="shared" ca="1" si="80"/>
        <v>Club</v>
      </c>
      <c r="T256" s="64" t="str">
        <f t="shared" ca="1" si="20"/>
        <v/>
      </c>
      <c r="U256" s="64" t="str">
        <f t="shared" si="21"/>
        <v/>
      </c>
      <c r="V256" s="422" t="str">
        <f ca="1">IF(OR(D256=0,D256="",D256="Athlete"),"",COUNTIF($D$4:$D256,D256))</f>
        <v/>
      </c>
    </row>
    <row r="257" spans="4:22" hidden="1" x14ac:dyDescent="0.35">
      <c r="D257" s="89" t="str">
        <f t="shared" ref="D257:E257" ca="1" si="81">K70</f>
        <v>MCNEILL Emma</v>
      </c>
      <c r="E257" s="89" t="str">
        <f t="shared" ca="1" si="81"/>
        <v>M'bro</v>
      </c>
      <c r="T257" s="64">
        <f t="shared" ca="1" si="20"/>
        <v>1</v>
      </c>
      <c r="U257" s="64" t="str">
        <f t="shared" si="21"/>
        <v/>
      </c>
      <c r="V257" s="422">
        <f ca="1">IF(OR(D257=0,D257="",D257="Athlete"),"",COUNTIF($D$4:$D257,D257))</f>
        <v>1</v>
      </c>
    </row>
    <row r="258" spans="4:22" hidden="1" x14ac:dyDescent="0.35">
      <c r="D258" s="89" t="str">
        <f t="shared" ref="D258:E258" ca="1" si="82">K71</f>
        <v>WHITTAKER Millie</v>
      </c>
      <c r="E258" s="89" t="str">
        <f t="shared" ca="1" si="82"/>
        <v>Scun</v>
      </c>
      <c r="T258" s="64">
        <f t="shared" ca="1" si="20"/>
        <v>2</v>
      </c>
      <c r="U258" s="64" t="str">
        <f t="shared" si="21"/>
        <v/>
      </c>
      <c r="V258" s="422">
        <f ca="1">IF(OR(D258=0,D258="",D258="Athlete"),"",COUNTIF($D$4:$D258,D258))</f>
        <v>2</v>
      </c>
    </row>
    <row r="259" spans="4:22" hidden="1" x14ac:dyDescent="0.35">
      <c r="D259" s="89" t="str">
        <f t="shared" ref="D259:E259" ca="1" si="83">K72</f>
        <v>COURTNEY Libby</v>
      </c>
      <c r="E259" s="89" t="str">
        <f t="shared" ca="1" si="83"/>
        <v>York</v>
      </c>
      <c r="T259" s="64">
        <f t="shared" ca="1" si="20"/>
        <v>2</v>
      </c>
      <c r="U259" s="64" t="str">
        <f t="shared" si="21"/>
        <v/>
      </c>
      <c r="V259" s="422">
        <f ca="1">IF(OR(D259=0,D259="",D259="Athlete"),"",COUNTIF($D$4:$D259,D259))</f>
        <v>2</v>
      </c>
    </row>
    <row r="260" spans="4:22" hidden="1" x14ac:dyDescent="0.35">
      <c r="D260" s="89" t="str">
        <f t="shared" ref="D260:E260" ca="1" si="84">K73</f>
        <v/>
      </c>
      <c r="E260" s="89" t="str">
        <f t="shared" ca="1" si="84"/>
        <v/>
      </c>
      <c r="T260" s="64" t="str">
        <f t="shared" ca="1" si="20"/>
        <v/>
      </c>
      <c r="U260" s="64" t="str">
        <f t="shared" si="21"/>
        <v/>
      </c>
      <c r="V260" s="422" t="str">
        <f ca="1">IF(OR(D260=0,D260="",D260="Athlete"),"",COUNTIF($D$4:$D260,D260))</f>
        <v/>
      </c>
    </row>
    <row r="261" spans="4:22" hidden="1" x14ac:dyDescent="0.35">
      <c r="D261" s="89" t="str">
        <f t="shared" ref="D261:E261" ca="1" si="85">K74</f>
        <v/>
      </c>
      <c r="E261" s="89" t="str">
        <f t="shared" ca="1" si="85"/>
        <v/>
      </c>
      <c r="T261" s="64" t="str">
        <f t="shared" ref="T261:T324" ca="1" si="86">IF(OR(D261=0,D261="",D261="Athlete"),"",COUNTIF($D$4:$D$352,D261))</f>
        <v/>
      </c>
      <c r="U261" s="64" t="str">
        <f t="shared" ref="U261:U324" si="87">IF(OR(K261=0,K261="",K261="Athlete"),"",COUNTIF($D$4:$D$352,K261))</f>
        <v/>
      </c>
      <c r="V261" s="422" t="str">
        <f ca="1">IF(OR(D261=0,D261="",D261="Athlete"),"",COUNTIF($D$4:$D261,D261))</f>
        <v/>
      </c>
    </row>
    <row r="262" spans="4:22" hidden="1" x14ac:dyDescent="0.35">
      <c r="D262" s="89" t="str">
        <f t="shared" ref="D262:E262" ca="1" si="88">K75</f>
        <v/>
      </c>
      <c r="E262" s="89" t="str">
        <f t="shared" ca="1" si="88"/>
        <v/>
      </c>
      <c r="T262" s="64" t="str">
        <f t="shared" ca="1" si="86"/>
        <v/>
      </c>
      <c r="U262" s="64" t="str">
        <f t="shared" si="87"/>
        <v/>
      </c>
      <c r="V262" s="422" t="str">
        <f ca="1">IF(OR(D262=0,D262="",D262="Athlete"),"",COUNTIF($D$4:$D262,D262))</f>
        <v/>
      </c>
    </row>
    <row r="263" spans="4:22" hidden="1" x14ac:dyDescent="0.35">
      <c r="D263" s="89" t="str">
        <f t="shared" ref="D263:E263" ca="1" si="89">K76</f>
        <v/>
      </c>
      <c r="E263" s="89" t="str">
        <f t="shared" ca="1" si="89"/>
        <v/>
      </c>
      <c r="T263" s="64" t="str">
        <f t="shared" ca="1" si="86"/>
        <v/>
      </c>
      <c r="U263" s="64" t="str">
        <f t="shared" si="87"/>
        <v/>
      </c>
      <c r="V263" s="422" t="str">
        <f ca="1">IF(OR(D263=0,D263="",D263="Athlete"),"",COUNTIF($D$4:$D263,D263))</f>
        <v/>
      </c>
    </row>
    <row r="264" spans="4:22" hidden="1" x14ac:dyDescent="0.35">
      <c r="D264" s="89" t="str">
        <f t="shared" ref="D264:E264" ca="1" si="90">K77</f>
        <v/>
      </c>
      <c r="E264" s="89" t="str">
        <f t="shared" ca="1" si="90"/>
        <v/>
      </c>
      <c r="T264" s="64" t="str">
        <f t="shared" ca="1" si="86"/>
        <v/>
      </c>
      <c r="U264" s="64" t="str">
        <f t="shared" si="87"/>
        <v/>
      </c>
      <c r="V264" s="422" t="str">
        <f ca="1">IF(OR(D264=0,D264="",D264="Athlete"),"",COUNTIF($D$4:$D264,D264))</f>
        <v/>
      </c>
    </row>
    <row r="265" spans="4:22" hidden="1" x14ac:dyDescent="0.35">
      <c r="D265" s="89">
        <f t="shared" ref="D265:E265" si="91">K78</f>
        <v>0</v>
      </c>
      <c r="E265" s="89">
        <f t="shared" si="91"/>
        <v>0</v>
      </c>
      <c r="T265" s="64" t="str">
        <f t="shared" si="86"/>
        <v/>
      </c>
      <c r="U265" s="64" t="str">
        <f t="shared" si="87"/>
        <v/>
      </c>
      <c r="V265" s="422" t="str">
        <f>IF(OR(D265=0,D265="",D265="Athlete"),"",COUNTIF($D$4:$D265,D265))</f>
        <v/>
      </c>
    </row>
    <row r="266" spans="4:22" hidden="1" x14ac:dyDescent="0.35">
      <c r="D266" s="89">
        <f t="shared" ref="D266:E266" si="92">K79</f>
        <v>0</v>
      </c>
      <c r="E266" s="89" t="str">
        <f t="shared" si="92"/>
        <v>Wind</v>
      </c>
      <c r="T266" s="64" t="str">
        <f t="shared" si="86"/>
        <v/>
      </c>
      <c r="U266" s="64" t="str">
        <f t="shared" si="87"/>
        <v/>
      </c>
      <c r="V266" s="422" t="str">
        <f>IF(OR(D266=0,D266="",D266="Athlete"),"",COUNTIF($D$4:$D266,D266))</f>
        <v/>
      </c>
    </row>
    <row r="267" spans="4:22" hidden="1" x14ac:dyDescent="0.35">
      <c r="D267" s="89" t="str">
        <f t="shared" ref="D267:E267" ca="1" si="93">K80</f>
        <v>Athlete</v>
      </c>
      <c r="E267" s="89" t="str">
        <f t="shared" ca="1" si="93"/>
        <v>Club</v>
      </c>
      <c r="T267" s="64" t="str">
        <f t="shared" ca="1" si="86"/>
        <v/>
      </c>
      <c r="U267" s="64" t="str">
        <f t="shared" si="87"/>
        <v/>
      </c>
      <c r="V267" s="422" t="str">
        <f ca="1">IF(OR(D267=0,D267="",D267="Athlete"),"",COUNTIF($D$4:$D267,D267))</f>
        <v/>
      </c>
    </row>
    <row r="268" spans="4:22" hidden="1" x14ac:dyDescent="0.35">
      <c r="D268" s="89" t="str">
        <f t="shared" ref="D268:E268" ca="1" si="94">K81</f>
        <v>PADDON Olivia</v>
      </c>
      <c r="E268" s="89" t="str">
        <f t="shared" ca="1" si="94"/>
        <v>Sheff+D</v>
      </c>
      <c r="T268" s="64">
        <f t="shared" ca="1" si="86"/>
        <v>3</v>
      </c>
      <c r="U268" s="64" t="str">
        <f t="shared" si="87"/>
        <v/>
      </c>
      <c r="V268" s="422">
        <f ca="1">IF(OR(D268=0,D268="",D268="Athlete"),"",COUNTIF($D$4:$D268,D268))</f>
        <v>2</v>
      </c>
    </row>
    <row r="269" spans="4:22" hidden="1" x14ac:dyDescent="0.35">
      <c r="D269" s="89" t="str">
        <f t="shared" ref="D269:E269" ca="1" si="95">K82</f>
        <v>CROSSAN Lily</v>
      </c>
      <c r="E269" s="89" t="str">
        <f t="shared" ca="1" si="95"/>
        <v>York</v>
      </c>
      <c r="T269" s="64">
        <f t="shared" ca="1" si="86"/>
        <v>1</v>
      </c>
      <c r="U269" s="64" t="str">
        <f t="shared" si="87"/>
        <v/>
      </c>
      <c r="V269" s="422">
        <f ca="1">IF(OR(D269=0,D269="",D269="Athlete"),"",COUNTIF($D$4:$D269,D269))</f>
        <v>1</v>
      </c>
    </row>
    <row r="270" spans="4:22" hidden="1" x14ac:dyDescent="0.35">
      <c r="D270" s="89" t="str">
        <f t="shared" ref="D270:E270" ca="1" si="96">K83</f>
        <v>ROGERS Emily</v>
      </c>
      <c r="E270" s="89" t="str">
        <f t="shared" ca="1" si="96"/>
        <v>C'field</v>
      </c>
      <c r="T270" s="64">
        <f t="shared" ca="1" si="86"/>
        <v>3</v>
      </c>
      <c r="U270" s="64" t="str">
        <f t="shared" si="87"/>
        <v/>
      </c>
      <c r="V270" s="422">
        <f ca="1">IF(OR(D270=0,D270="",D270="Athlete"),"",COUNTIF($D$4:$D270,D270))</f>
        <v>2</v>
      </c>
    </row>
    <row r="271" spans="4:22" hidden="1" x14ac:dyDescent="0.35">
      <c r="D271" s="89" t="str">
        <f t="shared" ref="D271:E271" ca="1" si="97">K84</f>
        <v/>
      </c>
      <c r="E271" s="89" t="str">
        <f t="shared" ca="1" si="97"/>
        <v/>
      </c>
      <c r="T271" s="64" t="str">
        <f t="shared" ca="1" si="86"/>
        <v/>
      </c>
      <c r="U271" s="64" t="str">
        <f t="shared" si="87"/>
        <v/>
      </c>
      <c r="V271" s="422" t="str">
        <f ca="1">IF(OR(D271=0,D271="",D271="Athlete"),"",COUNTIF($D$4:$D271,D271))</f>
        <v/>
      </c>
    </row>
    <row r="272" spans="4:22" hidden="1" x14ac:dyDescent="0.35">
      <c r="D272" s="89" t="str">
        <f t="shared" ref="D272:E272" ca="1" si="98">K85</f>
        <v/>
      </c>
      <c r="E272" s="89" t="str">
        <f t="shared" ca="1" si="98"/>
        <v/>
      </c>
      <c r="T272" s="64" t="str">
        <f t="shared" ca="1" si="86"/>
        <v/>
      </c>
      <c r="U272" s="64" t="str">
        <f t="shared" si="87"/>
        <v/>
      </c>
      <c r="V272" s="422" t="str">
        <f ca="1">IF(OR(D272=0,D272="",D272="Athlete"),"",COUNTIF($D$4:$D272,D272))</f>
        <v/>
      </c>
    </row>
    <row r="273" spans="4:22" hidden="1" x14ac:dyDescent="0.35">
      <c r="D273" s="89" t="str">
        <f t="shared" ref="D273:E273" ca="1" si="99">K86</f>
        <v/>
      </c>
      <c r="E273" s="89" t="str">
        <f t="shared" ca="1" si="99"/>
        <v/>
      </c>
      <c r="T273" s="64" t="str">
        <f t="shared" ca="1" si="86"/>
        <v/>
      </c>
      <c r="U273" s="64" t="str">
        <f t="shared" si="87"/>
        <v/>
      </c>
      <c r="V273" s="422" t="str">
        <f ca="1">IF(OR(D273=0,D273="",D273="Athlete"),"",COUNTIF($D$4:$D273,D273))</f>
        <v/>
      </c>
    </row>
    <row r="274" spans="4:22" hidden="1" x14ac:dyDescent="0.35">
      <c r="D274" s="89" t="str">
        <f t="shared" ref="D274:E274" ca="1" si="100">K87</f>
        <v/>
      </c>
      <c r="E274" s="89" t="str">
        <f t="shared" ca="1" si="100"/>
        <v/>
      </c>
      <c r="T274" s="64" t="str">
        <f t="shared" ca="1" si="86"/>
        <v/>
      </c>
      <c r="U274" s="64" t="str">
        <f t="shared" si="87"/>
        <v/>
      </c>
      <c r="V274" s="422" t="str">
        <f ca="1">IF(OR(D274=0,D274="",D274="Athlete"),"",COUNTIF($D$4:$D274,D274))</f>
        <v/>
      </c>
    </row>
    <row r="275" spans="4:22" hidden="1" x14ac:dyDescent="0.35">
      <c r="D275" s="89" t="str">
        <f t="shared" ref="D275:E275" ca="1" si="101">K88</f>
        <v/>
      </c>
      <c r="E275" s="89" t="str">
        <f t="shared" ca="1" si="101"/>
        <v/>
      </c>
      <c r="T275" s="64" t="str">
        <f t="shared" ca="1" si="86"/>
        <v/>
      </c>
      <c r="U275" s="64" t="str">
        <f t="shared" si="87"/>
        <v/>
      </c>
      <c r="V275" s="422" t="str">
        <f ca="1">IF(OR(D275=0,D275="",D275="Athlete"),"",COUNTIF($D$4:$D275,D275))</f>
        <v/>
      </c>
    </row>
    <row r="276" spans="4:22" hidden="1" x14ac:dyDescent="0.35">
      <c r="D276" s="89">
        <f t="shared" ref="D276:E276" si="102">K89</f>
        <v>0</v>
      </c>
      <c r="E276" s="89">
        <f t="shared" si="102"/>
        <v>0</v>
      </c>
      <c r="T276" s="64" t="str">
        <f t="shared" si="86"/>
        <v/>
      </c>
      <c r="U276" s="64" t="str">
        <f t="shared" si="87"/>
        <v/>
      </c>
      <c r="V276" s="422" t="str">
        <f>IF(OR(D276=0,D276="",D276="Athlete"),"",COUNTIF($D$4:$D276,D276))</f>
        <v/>
      </c>
    </row>
    <row r="277" spans="4:22" hidden="1" x14ac:dyDescent="0.35">
      <c r="D277" s="89">
        <f t="shared" ref="D277:E277" si="103">K90</f>
        <v>0</v>
      </c>
      <c r="E277" s="89">
        <f t="shared" si="103"/>
        <v>0</v>
      </c>
      <c r="T277" s="64" t="str">
        <f t="shared" si="86"/>
        <v/>
      </c>
      <c r="U277" s="64" t="str">
        <f t="shared" si="87"/>
        <v/>
      </c>
      <c r="V277" s="422" t="str">
        <f>IF(OR(D277=0,D277="",D277="Athlete"),"",COUNTIF($D$4:$D277,D277))</f>
        <v/>
      </c>
    </row>
    <row r="278" spans="4:22" hidden="1" x14ac:dyDescent="0.35">
      <c r="D278" s="89" t="str">
        <f t="shared" ref="D278:E278" ca="1" si="104">K91</f>
        <v>Athlete</v>
      </c>
      <c r="E278" s="89" t="str">
        <f t="shared" ca="1" si="104"/>
        <v>Club</v>
      </c>
      <c r="T278" s="64" t="str">
        <f t="shared" ca="1" si="86"/>
        <v/>
      </c>
      <c r="U278" s="64" t="str">
        <f t="shared" si="87"/>
        <v/>
      </c>
      <c r="V278" s="422" t="str">
        <f ca="1">IF(OR(D278=0,D278="",D278="Athlete"),"",COUNTIF($D$4:$D278,D278))</f>
        <v/>
      </c>
    </row>
    <row r="279" spans="4:22" hidden="1" x14ac:dyDescent="0.35">
      <c r="D279" s="89" t="str">
        <f t="shared" ref="D279:E279" ca="1" si="105">K92</f>
        <v>ADEBAYO Daphney</v>
      </c>
      <c r="E279" s="89" t="str">
        <f t="shared" ca="1" si="105"/>
        <v>Sheff+D</v>
      </c>
      <c r="T279" s="64">
        <f t="shared" ca="1" si="86"/>
        <v>3</v>
      </c>
      <c r="U279" s="64" t="str">
        <f t="shared" si="87"/>
        <v/>
      </c>
      <c r="V279" s="422">
        <f ca="1">IF(OR(D279=0,D279="",D279="Athlete"),"",COUNTIF($D$4:$D279,D279))</f>
        <v>3</v>
      </c>
    </row>
    <row r="280" spans="4:22" hidden="1" x14ac:dyDescent="0.35">
      <c r="D280" s="89" t="str">
        <f t="shared" ref="D280:E280" ca="1" si="106">K93</f>
        <v>MAUDE Charlotte</v>
      </c>
      <c r="E280" s="89" t="str">
        <f t="shared" ca="1" si="106"/>
        <v>York</v>
      </c>
      <c r="T280" s="64">
        <f t="shared" ca="1" si="86"/>
        <v>2</v>
      </c>
      <c r="U280" s="64" t="str">
        <f t="shared" si="87"/>
        <v/>
      </c>
      <c r="V280" s="422">
        <f ca="1">IF(OR(D280=0,D280="",D280="Athlete"),"",COUNTIF($D$4:$D280,D280))</f>
        <v>2</v>
      </c>
    </row>
    <row r="281" spans="4:22" hidden="1" x14ac:dyDescent="0.35">
      <c r="D281" s="89" t="str">
        <f t="shared" ref="D281:E281" ca="1" si="107">K94</f>
        <v>PYE Naiomi</v>
      </c>
      <c r="E281" s="89" t="str">
        <f t="shared" ca="1" si="107"/>
        <v>M'bro</v>
      </c>
      <c r="T281" s="64">
        <f t="shared" ca="1" si="86"/>
        <v>2</v>
      </c>
      <c r="U281" s="64" t="str">
        <f t="shared" si="87"/>
        <v/>
      </c>
      <c r="V281" s="422">
        <f ca="1">IF(OR(D281=0,D281="",D281="Athlete"),"",COUNTIF($D$4:$D281,D281))</f>
        <v>2</v>
      </c>
    </row>
    <row r="282" spans="4:22" hidden="1" x14ac:dyDescent="0.35">
      <c r="D282" s="89" t="str">
        <f t="shared" ref="D282:E282" ca="1" si="108">K95</f>
        <v>ROGERS Emily</v>
      </c>
      <c r="E282" s="89" t="str">
        <f t="shared" ca="1" si="108"/>
        <v>C'field</v>
      </c>
      <c r="T282" s="64">
        <f t="shared" ca="1" si="86"/>
        <v>3</v>
      </c>
      <c r="U282" s="64" t="str">
        <f t="shared" si="87"/>
        <v/>
      </c>
      <c r="V282" s="422">
        <f ca="1">IF(OR(D282=0,D282="",D282="Athlete"),"",COUNTIF($D$4:$D282,D282))</f>
        <v>3</v>
      </c>
    </row>
    <row r="283" spans="4:22" hidden="1" x14ac:dyDescent="0.35">
      <c r="D283" s="89" t="str">
        <f t="shared" ref="D283:E283" ca="1" si="109">K96</f>
        <v>LINGARD Alice</v>
      </c>
      <c r="E283" s="89" t="str">
        <f t="shared" ca="1" si="109"/>
        <v>Scun</v>
      </c>
      <c r="T283" s="64">
        <f t="shared" ca="1" si="86"/>
        <v>2</v>
      </c>
      <c r="U283" s="64" t="str">
        <f t="shared" si="87"/>
        <v/>
      </c>
      <c r="V283" s="422">
        <f ca="1">IF(OR(D283=0,D283="",D283="Athlete"),"",COUNTIF($D$4:$D283,D283))</f>
        <v>2</v>
      </c>
    </row>
    <row r="284" spans="4:22" hidden="1" x14ac:dyDescent="0.35">
      <c r="D284" s="89" t="str">
        <f t="shared" ref="D284:E284" ca="1" si="110">K97</f>
        <v/>
      </c>
      <c r="E284" s="89" t="str">
        <f t="shared" ca="1" si="110"/>
        <v/>
      </c>
      <c r="T284" s="64" t="str">
        <f t="shared" ca="1" si="86"/>
        <v/>
      </c>
      <c r="U284" s="64" t="str">
        <f t="shared" si="87"/>
        <v/>
      </c>
      <c r="V284" s="422" t="str">
        <f ca="1">IF(OR(D284=0,D284="",D284="Athlete"),"",COUNTIF($D$4:$D284,D284))</f>
        <v/>
      </c>
    </row>
    <row r="285" spans="4:22" hidden="1" x14ac:dyDescent="0.35">
      <c r="D285" s="89" t="str">
        <f t="shared" ref="D285:E285" ca="1" si="111">K98</f>
        <v/>
      </c>
      <c r="E285" s="89" t="str">
        <f t="shared" ca="1" si="111"/>
        <v/>
      </c>
      <c r="T285" s="64" t="str">
        <f t="shared" ca="1" si="86"/>
        <v/>
      </c>
      <c r="U285" s="64" t="str">
        <f t="shared" si="87"/>
        <v/>
      </c>
      <c r="V285" s="422" t="str">
        <f ca="1">IF(OR(D285=0,D285="",D285="Athlete"),"",COUNTIF($D$4:$D285,D285))</f>
        <v/>
      </c>
    </row>
    <row r="286" spans="4:22" hidden="1" x14ac:dyDescent="0.35">
      <c r="D286" s="89" t="str">
        <f t="shared" ref="D286:E286" ca="1" si="112">K99</f>
        <v/>
      </c>
      <c r="E286" s="89" t="str">
        <f t="shared" ca="1" si="112"/>
        <v/>
      </c>
      <c r="T286" s="64" t="str">
        <f t="shared" ca="1" si="86"/>
        <v/>
      </c>
      <c r="U286" s="64" t="str">
        <f t="shared" si="87"/>
        <v/>
      </c>
      <c r="V286" s="422" t="str">
        <f ca="1">IF(OR(D286=0,D286="",D286="Athlete"),"",COUNTIF($D$4:$D286,D286))</f>
        <v/>
      </c>
    </row>
    <row r="287" spans="4:22" hidden="1" x14ac:dyDescent="0.35">
      <c r="D287" s="89">
        <f t="shared" ref="D287:E287" si="113">K100</f>
        <v>0</v>
      </c>
      <c r="E287" s="89">
        <f t="shared" si="113"/>
        <v>0</v>
      </c>
      <c r="T287" s="64" t="str">
        <f t="shared" si="86"/>
        <v/>
      </c>
      <c r="U287" s="64" t="str">
        <f t="shared" si="87"/>
        <v/>
      </c>
      <c r="V287" s="422" t="str">
        <f>IF(OR(D287=0,D287="",D287="Athlete"),"",COUNTIF($D$4:$D287,D287))</f>
        <v/>
      </c>
    </row>
    <row r="288" spans="4:22" hidden="1" x14ac:dyDescent="0.35">
      <c r="D288" s="89">
        <f t="shared" ref="D288:E288" si="114">K101</f>
        <v>0</v>
      </c>
      <c r="E288" s="89">
        <f t="shared" si="114"/>
        <v>0</v>
      </c>
      <c r="T288" s="64" t="str">
        <f t="shared" si="86"/>
        <v/>
      </c>
      <c r="U288" s="64" t="str">
        <f t="shared" si="87"/>
        <v/>
      </c>
      <c r="V288" s="422" t="str">
        <f>IF(OR(D288=0,D288="",D288="Athlete"),"",COUNTIF($D$4:$D288,D288))</f>
        <v/>
      </c>
    </row>
    <row r="289" spans="4:22" hidden="1" x14ac:dyDescent="0.35">
      <c r="D289" s="89" t="str">
        <f t="shared" ref="D289:E289" ca="1" si="115">K102</f>
        <v>Athlete</v>
      </c>
      <c r="E289" s="89" t="str">
        <f t="shared" ca="1" si="115"/>
        <v>Club</v>
      </c>
      <c r="T289" s="64" t="str">
        <f t="shared" ca="1" si="86"/>
        <v/>
      </c>
      <c r="U289" s="64" t="str">
        <f t="shared" si="87"/>
        <v/>
      </c>
      <c r="V289" s="422" t="str">
        <f ca="1">IF(OR(D289=0,D289="",D289="Athlete"),"",COUNTIF($D$4:$D289,D289))</f>
        <v/>
      </c>
    </row>
    <row r="290" spans="4:22" hidden="1" x14ac:dyDescent="0.35">
      <c r="D290" s="89" t="str">
        <f t="shared" ref="D290:E290" ca="1" si="116">K103</f>
        <v>MYCROFT Tilly</v>
      </c>
      <c r="E290" s="89" t="str">
        <f t="shared" ca="1" si="116"/>
        <v>Sheff+D</v>
      </c>
      <c r="T290" s="64">
        <f t="shared" ca="1" si="86"/>
        <v>3</v>
      </c>
      <c r="U290" s="64" t="str">
        <f t="shared" si="87"/>
        <v/>
      </c>
      <c r="V290" s="422">
        <f ca="1">IF(OR(D290=0,D290="",D290="Athlete"),"",COUNTIF($D$4:$D290,D290))</f>
        <v>3</v>
      </c>
    </row>
    <row r="291" spans="4:22" hidden="1" x14ac:dyDescent="0.35">
      <c r="D291" s="89" t="str">
        <f t="shared" ref="D291:E291" ca="1" si="117">K104</f>
        <v>TWEDDLE Bella</v>
      </c>
      <c r="E291" s="89" t="str">
        <f t="shared" ca="1" si="117"/>
        <v>York</v>
      </c>
      <c r="T291" s="64">
        <f t="shared" ca="1" si="86"/>
        <v>1</v>
      </c>
      <c r="U291" s="64" t="str">
        <f t="shared" si="87"/>
        <v/>
      </c>
      <c r="V291" s="422">
        <f ca="1">IF(OR(D291=0,D291="",D291="Athlete"),"",COUNTIF($D$4:$D291,D291))</f>
        <v>1</v>
      </c>
    </row>
    <row r="292" spans="4:22" hidden="1" x14ac:dyDescent="0.35">
      <c r="D292" s="89" t="str">
        <f t="shared" ref="D292:E292" ca="1" si="118">K105</f>
        <v/>
      </c>
      <c r="E292" s="89" t="str">
        <f t="shared" ca="1" si="118"/>
        <v/>
      </c>
      <c r="T292" s="64" t="str">
        <f t="shared" ca="1" si="86"/>
        <v/>
      </c>
      <c r="U292" s="64" t="str">
        <f t="shared" si="87"/>
        <v/>
      </c>
      <c r="V292" s="422" t="str">
        <f ca="1">IF(OR(D292=0,D292="",D292="Athlete"),"",COUNTIF($D$4:$D292,D292))</f>
        <v/>
      </c>
    </row>
    <row r="293" spans="4:22" hidden="1" x14ac:dyDescent="0.35">
      <c r="D293" s="89" t="str">
        <f t="shared" ref="D293:E293" ca="1" si="119">K106</f>
        <v/>
      </c>
      <c r="E293" s="89" t="str">
        <f t="shared" ca="1" si="119"/>
        <v/>
      </c>
      <c r="T293" s="64" t="str">
        <f t="shared" ca="1" si="86"/>
        <v/>
      </c>
      <c r="U293" s="64" t="str">
        <f t="shared" si="87"/>
        <v/>
      </c>
      <c r="V293" s="422" t="str">
        <f ca="1">IF(OR(D293=0,D293="",D293="Athlete"),"",COUNTIF($D$4:$D293,D293))</f>
        <v/>
      </c>
    </row>
    <row r="294" spans="4:22" hidden="1" x14ac:dyDescent="0.35">
      <c r="D294" s="89" t="str">
        <f t="shared" ref="D294:E294" ca="1" si="120">K107</f>
        <v/>
      </c>
      <c r="E294" s="89" t="str">
        <f t="shared" ca="1" si="120"/>
        <v/>
      </c>
      <c r="T294" s="64" t="str">
        <f t="shared" ca="1" si="86"/>
        <v/>
      </c>
      <c r="U294" s="64" t="str">
        <f t="shared" si="87"/>
        <v/>
      </c>
      <c r="V294" s="422" t="str">
        <f ca="1">IF(OR(D294=0,D294="",D294="Athlete"),"",COUNTIF($D$4:$D294,D294))</f>
        <v/>
      </c>
    </row>
    <row r="295" spans="4:22" hidden="1" x14ac:dyDescent="0.35">
      <c r="D295" s="89" t="str">
        <f t="shared" ref="D295:E295" ca="1" si="121">K108</f>
        <v/>
      </c>
      <c r="E295" s="89" t="str">
        <f t="shared" ca="1" si="121"/>
        <v/>
      </c>
      <c r="T295" s="64" t="str">
        <f t="shared" ca="1" si="86"/>
        <v/>
      </c>
      <c r="U295" s="64" t="str">
        <f t="shared" si="87"/>
        <v/>
      </c>
      <c r="V295" s="422" t="str">
        <f ca="1">IF(OR(D295=0,D295="",D295="Athlete"),"",COUNTIF($D$4:$D295,D295))</f>
        <v/>
      </c>
    </row>
    <row r="296" spans="4:22" hidden="1" x14ac:dyDescent="0.35">
      <c r="D296" s="89" t="str">
        <f t="shared" ref="D296:E296" ca="1" si="122">K109</f>
        <v/>
      </c>
      <c r="E296" s="89" t="str">
        <f t="shared" ca="1" si="122"/>
        <v/>
      </c>
      <c r="T296" s="64" t="str">
        <f t="shared" ca="1" si="86"/>
        <v/>
      </c>
      <c r="U296" s="64" t="str">
        <f t="shared" si="87"/>
        <v/>
      </c>
      <c r="V296" s="422" t="str">
        <f ca="1">IF(OR(D296=0,D296="",D296="Athlete"),"",COUNTIF($D$4:$D296,D296))</f>
        <v/>
      </c>
    </row>
    <row r="297" spans="4:22" hidden="1" x14ac:dyDescent="0.35">
      <c r="D297" s="89" t="str">
        <f t="shared" ref="D297:E297" ca="1" si="123">K110</f>
        <v/>
      </c>
      <c r="E297" s="89" t="str">
        <f t="shared" ca="1" si="123"/>
        <v/>
      </c>
      <c r="T297" s="64" t="str">
        <f t="shared" ca="1" si="86"/>
        <v/>
      </c>
      <c r="U297" s="64" t="str">
        <f t="shared" si="87"/>
        <v/>
      </c>
      <c r="V297" s="422" t="str">
        <f ca="1">IF(OR(D297=0,D297="",D297="Athlete"),"",COUNTIF($D$4:$D297,D297))</f>
        <v/>
      </c>
    </row>
    <row r="298" spans="4:22" hidden="1" x14ac:dyDescent="0.35">
      <c r="D298" s="89">
        <f t="shared" ref="D298:E298" si="124">K111</f>
        <v>0</v>
      </c>
      <c r="E298" s="89">
        <f t="shared" si="124"/>
        <v>0</v>
      </c>
      <c r="T298" s="64" t="str">
        <f t="shared" si="86"/>
        <v/>
      </c>
      <c r="U298" s="64" t="str">
        <f t="shared" si="87"/>
        <v/>
      </c>
      <c r="V298" s="422" t="str">
        <f>IF(OR(D298=0,D298="",D298="Athlete"),"",COUNTIF($D$4:$D298,D298))</f>
        <v/>
      </c>
    </row>
    <row r="299" spans="4:22" hidden="1" x14ac:dyDescent="0.35">
      <c r="D299" s="89">
        <f t="shared" ref="D299:E299" si="125">K112</f>
        <v>0</v>
      </c>
      <c r="E299" s="89">
        <f t="shared" si="125"/>
        <v>0</v>
      </c>
      <c r="T299" s="64" t="str">
        <f t="shared" si="86"/>
        <v/>
      </c>
      <c r="U299" s="64" t="str">
        <f t="shared" si="87"/>
        <v/>
      </c>
      <c r="V299" s="422" t="str">
        <f>IF(OR(D299=0,D299="",D299="Athlete"),"",COUNTIF($D$4:$D299,D299))</f>
        <v/>
      </c>
    </row>
    <row r="300" spans="4:22" hidden="1" x14ac:dyDescent="0.35">
      <c r="D300" s="89" t="str">
        <f t="shared" ref="D300:E300" ca="1" si="126">K113</f>
        <v>Athlete</v>
      </c>
      <c r="E300" s="89" t="str">
        <f t="shared" ca="1" si="126"/>
        <v>Club</v>
      </c>
      <c r="T300" s="64" t="str">
        <f t="shared" ca="1" si="86"/>
        <v/>
      </c>
      <c r="U300" s="64" t="str">
        <f t="shared" si="87"/>
        <v/>
      </c>
      <c r="V300" s="422" t="str">
        <f ca="1">IF(OR(D300=0,D300="",D300="Athlete"),"",COUNTIF($D$4:$D300,D300))</f>
        <v/>
      </c>
    </row>
    <row r="301" spans="4:22" hidden="1" x14ac:dyDescent="0.35">
      <c r="D301" s="89" t="str">
        <f t="shared" ref="D301:E301" ca="1" si="127">K114</f>
        <v>PROCTOR Alicia</v>
      </c>
      <c r="E301" s="89" t="str">
        <f t="shared" ca="1" si="127"/>
        <v>C'field</v>
      </c>
      <c r="T301" s="64">
        <f t="shared" ca="1" si="86"/>
        <v>3</v>
      </c>
      <c r="U301" s="64" t="str">
        <f t="shared" si="87"/>
        <v/>
      </c>
      <c r="V301" s="422">
        <f ca="1">IF(OR(D301=0,D301="",D301="Athlete"),"",COUNTIF($D$4:$D301,D301))</f>
        <v>3</v>
      </c>
    </row>
    <row r="302" spans="4:22" hidden="1" x14ac:dyDescent="0.35">
      <c r="D302" s="89" t="str">
        <f t="shared" ref="D302:E302" ca="1" si="128">K115</f>
        <v/>
      </c>
      <c r="E302" s="89" t="str">
        <f t="shared" ca="1" si="128"/>
        <v/>
      </c>
      <c r="T302" s="64" t="str">
        <f t="shared" ca="1" si="86"/>
        <v/>
      </c>
      <c r="U302" s="64" t="str">
        <f t="shared" si="87"/>
        <v/>
      </c>
      <c r="V302" s="422" t="str">
        <f ca="1">IF(OR(D302=0,D302="",D302="Athlete"),"",COUNTIF($D$4:$D302,D302))</f>
        <v/>
      </c>
    </row>
    <row r="303" spans="4:22" hidden="1" x14ac:dyDescent="0.35">
      <c r="D303" s="89" t="str">
        <f t="shared" ref="D303:E303" ca="1" si="129">K116</f>
        <v/>
      </c>
      <c r="E303" s="89" t="str">
        <f t="shared" ca="1" si="129"/>
        <v/>
      </c>
      <c r="T303" s="64" t="str">
        <f t="shared" ca="1" si="86"/>
        <v/>
      </c>
      <c r="U303" s="64" t="str">
        <f t="shared" si="87"/>
        <v/>
      </c>
      <c r="V303" s="422" t="str">
        <f ca="1">IF(OR(D303=0,D303="",D303="Athlete"),"",COUNTIF($D$4:$D303,D303))</f>
        <v/>
      </c>
    </row>
    <row r="304" spans="4:22" hidden="1" x14ac:dyDescent="0.35">
      <c r="D304" s="89" t="str">
        <f t="shared" ref="D304:E304" ca="1" si="130">K117</f>
        <v/>
      </c>
      <c r="E304" s="89" t="str">
        <f t="shared" ca="1" si="130"/>
        <v/>
      </c>
      <c r="T304" s="64" t="str">
        <f t="shared" ca="1" si="86"/>
        <v/>
      </c>
      <c r="U304" s="64" t="str">
        <f t="shared" si="87"/>
        <v/>
      </c>
      <c r="V304" s="422" t="str">
        <f ca="1">IF(OR(D304=0,D304="",D304="Athlete"),"",COUNTIF($D$4:$D304,D304))</f>
        <v/>
      </c>
    </row>
    <row r="305" spans="4:22" hidden="1" x14ac:dyDescent="0.35">
      <c r="D305" s="89" t="str">
        <f t="shared" ref="D305:E305" ca="1" si="131">K118</f>
        <v/>
      </c>
      <c r="E305" s="89" t="str">
        <f t="shared" ca="1" si="131"/>
        <v/>
      </c>
      <c r="T305" s="64" t="str">
        <f t="shared" ca="1" si="86"/>
        <v/>
      </c>
      <c r="U305" s="64" t="str">
        <f t="shared" si="87"/>
        <v/>
      </c>
      <c r="V305" s="422" t="str">
        <f ca="1">IF(OR(D305=0,D305="",D305="Athlete"),"",COUNTIF($D$4:$D305,D305))</f>
        <v/>
      </c>
    </row>
    <row r="306" spans="4:22" hidden="1" x14ac:dyDescent="0.35">
      <c r="D306" s="89" t="str">
        <f t="shared" ref="D306:E306" ca="1" si="132">K119</f>
        <v/>
      </c>
      <c r="E306" s="89" t="str">
        <f t="shared" ca="1" si="132"/>
        <v/>
      </c>
      <c r="T306" s="64" t="str">
        <f t="shared" ca="1" si="86"/>
        <v/>
      </c>
      <c r="U306" s="64" t="str">
        <f t="shared" si="87"/>
        <v/>
      </c>
      <c r="V306" s="422" t="str">
        <f ca="1">IF(OR(D306=0,D306="",D306="Athlete"),"",COUNTIF($D$4:$D306,D306))</f>
        <v/>
      </c>
    </row>
    <row r="307" spans="4:22" hidden="1" x14ac:dyDescent="0.35">
      <c r="D307" s="89" t="str">
        <f t="shared" ref="D307:E307" ca="1" si="133">K120</f>
        <v/>
      </c>
      <c r="E307" s="89" t="str">
        <f t="shared" ca="1" si="133"/>
        <v/>
      </c>
      <c r="T307" s="64" t="str">
        <f t="shared" ca="1" si="86"/>
        <v/>
      </c>
      <c r="U307" s="64" t="str">
        <f t="shared" si="87"/>
        <v/>
      </c>
      <c r="V307" s="422" t="str">
        <f ca="1">IF(OR(D307=0,D307="",D307="Athlete"),"",COUNTIF($D$4:$D307,D307))</f>
        <v/>
      </c>
    </row>
    <row r="308" spans="4:22" hidden="1" x14ac:dyDescent="0.35">
      <c r="D308" s="89" t="str">
        <f t="shared" ref="D308:E308" ca="1" si="134">K121</f>
        <v/>
      </c>
      <c r="E308" s="89" t="str">
        <f t="shared" ca="1" si="134"/>
        <v/>
      </c>
      <c r="T308" s="64" t="str">
        <f t="shared" ca="1" si="86"/>
        <v/>
      </c>
      <c r="U308" s="64" t="str">
        <f t="shared" si="87"/>
        <v/>
      </c>
      <c r="V308" s="422" t="str">
        <f ca="1">IF(OR(D308=0,D308="",D308="Athlete"),"",COUNTIF($D$4:$D308,D308))</f>
        <v/>
      </c>
    </row>
    <row r="309" spans="4:22" hidden="1" x14ac:dyDescent="0.35">
      <c r="D309" s="89">
        <f t="shared" ref="D309:E309" si="135">K122</f>
        <v>0</v>
      </c>
      <c r="E309" s="89">
        <f t="shared" si="135"/>
        <v>0</v>
      </c>
      <c r="T309" s="64" t="str">
        <f t="shared" si="86"/>
        <v/>
      </c>
      <c r="U309" s="64" t="str">
        <f t="shared" si="87"/>
        <v/>
      </c>
      <c r="V309" s="422" t="str">
        <f>IF(OR(D309=0,D309="",D309="Athlete"),"",COUNTIF($D$4:$D309,D309))</f>
        <v/>
      </c>
    </row>
    <row r="310" spans="4:22" hidden="1" x14ac:dyDescent="0.35">
      <c r="D310" s="89">
        <f t="shared" ref="D310:E310" si="136">K123</f>
        <v>0</v>
      </c>
      <c r="E310" s="89">
        <f t="shared" si="136"/>
        <v>0</v>
      </c>
      <c r="T310" s="64" t="str">
        <f t="shared" si="86"/>
        <v/>
      </c>
      <c r="U310" s="64" t="str">
        <f t="shared" si="87"/>
        <v/>
      </c>
      <c r="V310" s="422" t="str">
        <f>IF(OR(D310=0,D310="",D310="Athlete"),"",COUNTIF($D$4:$D310,D310))</f>
        <v/>
      </c>
    </row>
    <row r="311" spans="4:22" hidden="1" x14ac:dyDescent="0.35">
      <c r="D311" s="89" t="str">
        <f t="shared" ref="D311:E311" ca="1" si="137">K124</f>
        <v>Athlete</v>
      </c>
      <c r="E311" s="89" t="str">
        <f t="shared" ca="1" si="137"/>
        <v>Club</v>
      </c>
      <c r="T311" s="64" t="str">
        <f t="shared" ca="1" si="86"/>
        <v/>
      </c>
      <c r="U311" s="64" t="str">
        <f t="shared" si="87"/>
        <v/>
      </c>
      <c r="V311" s="422" t="str">
        <f ca="1">IF(OR(D311=0,D311="",D311="Athlete"),"",COUNTIF($D$4:$D311,D311))</f>
        <v/>
      </c>
    </row>
    <row r="312" spans="4:22" hidden="1" x14ac:dyDescent="0.35">
      <c r="D312" s="89" t="str">
        <f t="shared" ref="D312:E312" ca="1" si="138">K125</f>
        <v>KYNOCH Ella</v>
      </c>
      <c r="E312" s="89" t="str">
        <f t="shared" ca="1" si="138"/>
        <v>Sheff+D</v>
      </c>
      <c r="T312" s="64">
        <f t="shared" ca="1" si="86"/>
        <v>3</v>
      </c>
      <c r="U312" s="64" t="str">
        <f t="shared" si="87"/>
        <v/>
      </c>
      <c r="V312" s="422">
        <f ca="1">IF(OR(D312=0,D312="",D312="Athlete"),"",COUNTIF($D$4:$D312,D312))</f>
        <v>2</v>
      </c>
    </row>
    <row r="313" spans="4:22" hidden="1" x14ac:dyDescent="0.35">
      <c r="D313" s="89" t="str">
        <f t="shared" ref="D313:E313" ca="1" si="139">K126</f>
        <v>LEE Isabel</v>
      </c>
      <c r="E313" s="89" t="str">
        <f t="shared" ca="1" si="139"/>
        <v>York</v>
      </c>
      <c r="T313" s="64">
        <f t="shared" ca="1" si="86"/>
        <v>3</v>
      </c>
      <c r="U313" s="64" t="str">
        <f t="shared" si="87"/>
        <v/>
      </c>
      <c r="V313" s="422">
        <f ca="1">IF(OR(D313=0,D313="",D313="Athlete"),"",COUNTIF($D$4:$D313,D313))</f>
        <v>2</v>
      </c>
    </row>
    <row r="314" spans="4:22" hidden="1" x14ac:dyDescent="0.35">
      <c r="D314" s="89" t="str">
        <f t="shared" ref="D314:E314" ca="1" si="140">K127</f>
        <v>BAINES Lily</v>
      </c>
      <c r="E314" s="89" t="str">
        <f t="shared" ca="1" si="140"/>
        <v>C'field</v>
      </c>
      <c r="T314" s="64">
        <f t="shared" ca="1" si="86"/>
        <v>3</v>
      </c>
      <c r="U314" s="64" t="str">
        <f t="shared" si="87"/>
        <v/>
      </c>
      <c r="V314" s="422">
        <f ca="1">IF(OR(D314=0,D314="",D314="Athlete"),"",COUNTIF($D$4:$D314,D314))</f>
        <v>3</v>
      </c>
    </row>
    <row r="315" spans="4:22" hidden="1" x14ac:dyDescent="0.35">
      <c r="D315" s="89" t="str">
        <f t="shared" ref="D315:E315" ca="1" si="141">K128</f>
        <v>VICKERS Cerys</v>
      </c>
      <c r="E315" s="89" t="str">
        <f t="shared" ca="1" si="141"/>
        <v>Scun</v>
      </c>
      <c r="T315" s="64">
        <f t="shared" ca="1" si="86"/>
        <v>2</v>
      </c>
      <c r="U315" s="64" t="str">
        <f t="shared" si="87"/>
        <v/>
      </c>
      <c r="V315" s="422">
        <f ca="1">IF(OR(D315=0,D315="",D315="Athlete"),"",COUNTIF($D$4:$D315,D315))</f>
        <v>2</v>
      </c>
    </row>
    <row r="316" spans="4:22" hidden="1" x14ac:dyDescent="0.35">
      <c r="D316" s="89" t="str">
        <f t="shared" ref="D316:E316" ca="1" si="142">K129</f>
        <v/>
      </c>
      <c r="E316" s="89" t="str">
        <f t="shared" ca="1" si="142"/>
        <v/>
      </c>
      <c r="T316" s="64" t="str">
        <f t="shared" ca="1" si="86"/>
        <v/>
      </c>
      <c r="U316" s="64" t="str">
        <f t="shared" si="87"/>
        <v/>
      </c>
      <c r="V316" s="422" t="str">
        <f ca="1">IF(OR(D316=0,D316="",D316="Athlete"),"",COUNTIF($D$4:$D316,D316))</f>
        <v/>
      </c>
    </row>
    <row r="317" spans="4:22" hidden="1" x14ac:dyDescent="0.35">
      <c r="D317" s="89" t="str">
        <f t="shared" ref="D317:E317" ca="1" si="143">K130</f>
        <v/>
      </c>
      <c r="E317" s="89" t="str">
        <f t="shared" ca="1" si="143"/>
        <v/>
      </c>
      <c r="T317" s="64" t="str">
        <f t="shared" ca="1" si="86"/>
        <v/>
      </c>
      <c r="U317" s="64" t="str">
        <f t="shared" si="87"/>
        <v/>
      </c>
      <c r="V317" s="422" t="str">
        <f ca="1">IF(OR(D317=0,D317="",D317="Athlete"),"",COUNTIF($D$4:$D317,D317))</f>
        <v/>
      </c>
    </row>
    <row r="318" spans="4:22" hidden="1" x14ac:dyDescent="0.35">
      <c r="D318" s="89" t="str">
        <f t="shared" ref="D318:E318" ca="1" si="144">K131</f>
        <v/>
      </c>
      <c r="E318" s="89" t="str">
        <f t="shared" ca="1" si="144"/>
        <v/>
      </c>
      <c r="T318" s="64" t="str">
        <f t="shared" ca="1" si="86"/>
        <v/>
      </c>
      <c r="U318" s="64" t="str">
        <f t="shared" si="87"/>
        <v/>
      </c>
      <c r="V318" s="422" t="str">
        <f ca="1">IF(OR(D318=0,D318="",D318="Athlete"),"",COUNTIF($D$4:$D318,D318))</f>
        <v/>
      </c>
    </row>
    <row r="319" spans="4:22" hidden="1" x14ac:dyDescent="0.35">
      <c r="D319" s="89" t="str">
        <f t="shared" ref="D319:E319" ca="1" si="145">K132</f>
        <v/>
      </c>
      <c r="E319" s="89" t="str">
        <f t="shared" ca="1" si="145"/>
        <v/>
      </c>
      <c r="T319" s="64" t="str">
        <f t="shared" ca="1" si="86"/>
        <v/>
      </c>
      <c r="U319" s="64" t="str">
        <f t="shared" si="87"/>
        <v/>
      </c>
      <c r="V319" s="422" t="str">
        <f ca="1">IF(OR(D319=0,D319="",D319="Athlete"),"",COUNTIF($D$4:$D319,D319))</f>
        <v/>
      </c>
    </row>
    <row r="320" spans="4:22" hidden="1" x14ac:dyDescent="0.35">
      <c r="D320" s="89">
        <f t="shared" ref="D320:E320" si="146">K133</f>
        <v>0</v>
      </c>
      <c r="E320" s="89">
        <f t="shared" si="146"/>
        <v>0</v>
      </c>
      <c r="T320" s="64" t="str">
        <f t="shared" si="86"/>
        <v/>
      </c>
      <c r="U320" s="64" t="str">
        <f t="shared" si="87"/>
        <v/>
      </c>
      <c r="V320" s="422" t="str">
        <f>IF(OR(D320=0,D320="",D320="Athlete"),"",COUNTIF($D$4:$D320,D320))</f>
        <v/>
      </c>
    </row>
    <row r="321" spans="4:22" hidden="1" x14ac:dyDescent="0.35">
      <c r="D321" s="89">
        <f t="shared" ref="D321:E321" si="147">K134</f>
        <v>0</v>
      </c>
      <c r="E321" s="89">
        <f t="shared" si="147"/>
        <v>0</v>
      </c>
      <c r="T321" s="64" t="str">
        <f t="shared" si="86"/>
        <v/>
      </c>
      <c r="U321" s="64" t="str">
        <f t="shared" si="87"/>
        <v/>
      </c>
      <c r="V321" s="422" t="str">
        <f>IF(OR(D321=0,D321="",D321="Athlete"),"",COUNTIF($D$4:$D321,D321))</f>
        <v/>
      </c>
    </row>
    <row r="322" spans="4:22" hidden="1" x14ac:dyDescent="0.35">
      <c r="D322" s="89" t="str">
        <f t="shared" ref="D322:E322" ca="1" si="148">K135</f>
        <v>Athlete</v>
      </c>
      <c r="E322" s="89" t="str">
        <f t="shared" ca="1" si="148"/>
        <v>Club</v>
      </c>
      <c r="T322" s="64" t="str">
        <f t="shared" ca="1" si="86"/>
        <v/>
      </c>
      <c r="U322" s="64" t="str">
        <f t="shared" si="87"/>
        <v/>
      </c>
      <c r="V322" s="422" t="str">
        <f ca="1">IF(OR(D322=0,D322="",D322="Athlete"),"",COUNTIF($D$4:$D322,D322))</f>
        <v/>
      </c>
    </row>
    <row r="323" spans="4:22" hidden="1" x14ac:dyDescent="0.35">
      <c r="D323" s="89" t="str">
        <f t="shared" ref="D323:E323" ca="1" si="149">K136</f>
        <v>JELONKIEWICZ Viktoria</v>
      </c>
      <c r="E323" s="89" t="str">
        <f t="shared" ca="1" si="149"/>
        <v>Sheff+D</v>
      </c>
      <c r="T323" s="64">
        <f t="shared" ca="1" si="86"/>
        <v>2</v>
      </c>
      <c r="U323" s="64" t="str">
        <f t="shared" si="87"/>
        <v/>
      </c>
      <c r="V323" s="422">
        <f ca="1">IF(OR(D323=0,D323="",D323="Athlete"),"",COUNTIF($D$4:$D323,D323))</f>
        <v>2</v>
      </c>
    </row>
    <row r="324" spans="4:22" hidden="1" x14ac:dyDescent="0.35">
      <c r="D324" s="89" t="str">
        <f t="shared" ref="D324:E324" ca="1" si="150">K137</f>
        <v>LEE Isabel</v>
      </c>
      <c r="E324" s="89" t="str">
        <f t="shared" ca="1" si="150"/>
        <v>York</v>
      </c>
      <c r="T324" s="64">
        <f t="shared" ca="1" si="86"/>
        <v>3</v>
      </c>
      <c r="U324" s="64" t="str">
        <f t="shared" si="87"/>
        <v/>
      </c>
      <c r="V324" s="422">
        <f ca="1">IF(OR(D324=0,D324="",D324="Athlete"),"",COUNTIF($D$4:$D324,D324))</f>
        <v>3</v>
      </c>
    </row>
    <row r="325" spans="4:22" hidden="1" x14ac:dyDescent="0.35">
      <c r="D325" s="89" t="str">
        <f t="shared" ref="D325:E325" ca="1" si="151">K138</f>
        <v>MANNION Grace</v>
      </c>
      <c r="E325" s="89" t="str">
        <f t="shared" ca="1" si="151"/>
        <v>M'bro</v>
      </c>
      <c r="T325" s="64">
        <f t="shared" ref="T325:T352" ca="1" si="152">IF(OR(D325=0,D325="",D325="Athlete"),"",COUNTIF($D$4:$D$352,D325))</f>
        <v>2</v>
      </c>
      <c r="U325" s="64" t="str">
        <f t="shared" ref="U325:U352" si="153">IF(OR(K325=0,K325="",K325="Athlete"),"",COUNTIF($D$4:$D$352,K325))</f>
        <v/>
      </c>
      <c r="V325" s="422">
        <f ca="1">IF(OR(D325=0,D325="",D325="Athlete"),"",COUNTIF($D$4:$D325,D325))</f>
        <v>2</v>
      </c>
    </row>
    <row r="326" spans="4:22" hidden="1" x14ac:dyDescent="0.35">
      <c r="D326" s="89" t="str">
        <f t="shared" ref="D326:E326" ca="1" si="154">K139</f>
        <v>HIGHAM Ruby</v>
      </c>
      <c r="E326" s="89" t="str">
        <f t="shared" ca="1" si="154"/>
        <v>C'field</v>
      </c>
      <c r="T326" s="64">
        <f t="shared" ca="1" si="152"/>
        <v>3</v>
      </c>
      <c r="U326" s="64" t="str">
        <f t="shared" si="153"/>
        <v/>
      </c>
      <c r="V326" s="422">
        <f ca="1">IF(OR(D326=0,D326="",D326="Athlete"),"",COUNTIF($D$4:$D326,D326))</f>
        <v>3</v>
      </c>
    </row>
    <row r="327" spans="4:22" hidden="1" x14ac:dyDescent="0.35">
      <c r="D327" s="89" t="str">
        <f t="shared" ref="D327:E327" ca="1" si="155">K140</f>
        <v/>
      </c>
      <c r="E327" s="89" t="str">
        <f t="shared" ca="1" si="155"/>
        <v/>
      </c>
      <c r="T327" s="64" t="str">
        <f t="shared" ca="1" si="152"/>
        <v/>
      </c>
      <c r="U327" s="64" t="str">
        <f t="shared" si="153"/>
        <v/>
      </c>
      <c r="V327" s="422" t="str">
        <f ca="1">IF(OR(D327=0,D327="",D327="Athlete"),"",COUNTIF($D$4:$D327,D327))</f>
        <v/>
      </c>
    </row>
    <row r="328" spans="4:22" hidden="1" x14ac:dyDescent="0.35">
      <c r="D328" s="89" t="str">
        <f t="shared" ref="D328:E328" ca="1" si="156">K141</f>
        <v/>
      </c>
      <c r="E328" s="89" t="str">
        <f t="shared" ca="1" si="156"/>
        <v/>
      </c>
      <c r="T328" s="64" t="str">
        <f t="shared" ca="1" si="152"/>
        <v/>
      </c>
      <c r="U328" s="64" t="str">
        <f t="shared" si="153"/>
        <v/>
      </c>
      <c r="V328" s="422" t="str">
        <f ca="1">IF(OR(D328=0,D328="",D328="Athlete"),"",COUNTIF($D$4:$D328,D328))</f>
        <v/>
      </c>
    </row>
    <row r="329" spans="4:22" hidden="1" x14ac:dyDescent="0.35">
      <c r="D329" s="89" t="str">
        <f t="shared" ref="D329:E329" ca="1" si="157">K142</f>
        <v/>
      </c>
      <c r="E329" s="89" t="str">
        <f t="shared" ca="1" si="157"/>
        <v/>
      </c>
      <c r="T329" s="64" t="str">
        <f t="shared" ca="1" si="152"/>
        <v/>
      </c>
      <c r="U329" s="64" t="str">
        <f t="shared" si="153"/>
        <v/>
      </c>
      <c r="V329" s="422" t="str">
        <f ca="1">IF(OR(D329=0,D329="",D329="Athlete"),"",COUNTIF($D$4:$D329,D329))</f>
        <v/>
      </c>
    </row>
    <row r="330" spans="4:22" hidden="1" x14ac:dyDescent="0.35">
      <c r="D330" s="89" t="str">
        <f t="shared" ref="D330:E330" ca="1" si="158">K143</f>
        <v/>
      </c>
      <c r="E330" s="89" t="str">
        <f t="shared" ca="1" si="158"/>
        <v/>
      </c>
      <c r="T330" s="64" t="str">
        <f t="shared" ca="1" si="152"/>
        <v/>
      </c>
      <c r="U330" s="64" t="str">
        <f t="shared" si="153"/>
        <v/>
      </c>
      <c r="V330" s="422" t="str">
        <f ca="1">IF(OR(D330=0,D330="",D330="Athlete"),"",COUNTIF($D$4:$D330,D330))</f>
        <v/>
      </c>
    </row>
    <row r="331" spans="4:22" hidden="1" x14ac:dyDescent="0.35">
      <c r="D331" s="89">
        <f t="shared" ref="D331:E331" si="159">K144</f>
        <v>0</v>
      </c>
      <c r="E331" s="89">
        <f t="shared" si="159"/>
        <v>0</v>
      </c>
      <c r="T331" s="64" t="str">
        <f t="shared" si="152"/>
        <v/>
      </c>
      <c r="U331" s="64" t="str">
        <f t="shared" si="153"/>
        <v/>
      </c>
      <c r="V331" s="422" t="str">
        <f>IF(OR(D331=0,D331="",D331="Athlete"),"",COUNTIF($D$4:$D331,D331))</f>
        <v/>
      </c>
    </row>
    <row r="332" spans="4:22" hidden="1" x14ac:dyDescent="0.35">
      <c r="D332" s="89">
        <f t="shared" ref="D332:E332" si="160">K145</f>
        <v>0</v>
      </c>
      <c r="E332" s="89">
        <f t="shared" si="160"/>
        <v>0</v>
      </c>
      <c r="T332" s="64" t="str">
        <f t="shared" si="152"/>
        <v/>
      </c>
      <c r="U332" s="64" t="str">
        <f t="shared" si="153"/>
        <v/>
      </c>
      <c r="V332" s="422" t="str">
        <f>IF(OR(D332=0,D332="",D332="Athlete"),"",COUNTIF($D$4:$D332,D332))</f>
        <v/>
      </c>
    </row>
    <row r="333" spans="4:22" hidden="1" x14ac:dyDescent="0.35">
      <c r="D333" s="89" t="str">
        <f t="shared" ref="D333:E333" ca="1" si="161">K146</f>
        <v>Athlete</v>
      </c>
      <c r="E333" s="89" t="str">
        <f t="shared" ca="1" si="161"/>
        <v>Club</v>
      </c>
      <c r="T333" s="64" t="str">
        <f t="shared" ca="1" si="152"/>
        <v/>
      </c>
      <c r="U333" s="64" t="str">
        <f t="shared" si="153"/>
        <v/>
      </c>
      <c r="V333" s="422" t="str">
        <f ca="1">IF(OR(D333=0,D333="",D333="Athlete"),"",COUNTIF($D$4:$D333,D333))</f>
        <v/>
      </c>
    </row>
    <row r="334" spans="4:22" hidden="1" x14ac:dyDescent="0.35">
      <c r="D334" s="89" t="str">
        <f t="shared" ref="D334:E334" ca="1" si="162">K147</f>
        <v>LABAN Ella</v>
      </c>
      <c r="E334" s="89" t="str">
        <f t="shared" ca="1" si="162"/>
        <v>C'field</v>
      </c>
      <c r="T334" s="64">
        <f t="shared" ca="1" si="152"/>
        <v>3</v>
      </c>
      <c r="U334" s="64" t="str">
        <f t="shared" si="153"/>
        <v/>
      </c>
      <c r="V334" s="422">
        <f ca="1">IF(OR(D334=0,D334="",D334="Athlete"),"",COUNTIF($D$4:$D334,D334))</f>
        <v>3</v>
      </c>
    </row>
    <row r="335" spans="4:22" hidden="1" x14ac:dyDescent="0.35">
      <c r="D335" s="89" t="str">
        <f t="shared" ref="D335:E335" ca="1" si="163">K148</f>
        <v>BETTS Demi</v>
      </c>
      <c r="E335" s="89" t="str">
        <f t="shared" ca="1" si="163"/>
        <v>Scun</v>
      </c>
      <c r="T335" s="64">
        <f t="shared" ca="1" si="152"/>
        <v>3</v>
      </c>
      <c r="U335" s="64" t="str">
        <f t="shared" si="153"/>
        <v/>
      </c>
      <c r="V335" s="422">
        <f ca="1">IF(OR(D335=0,D335="",D335="Athlete"),"",COUNTIF($D$4:$D335,D335))</f>
        <v>3</v>
      </c>
    </row>
    <row r="336" spans="4:22" hidden="1" x14ac:dyDescent="0.35">
      <c r="D336" s="89" t="str">
        <f t="shared" ref="D336:E336" ca="1" si="164">K149</f>
        <v>KYNOCH Ella</v>
      </c>
      <c r="E336" s="89" t="str">
        <f t="shared" ca="1" si="164"/>
        <v>Sheff+D</v>
      </c>
      <c r="T336" s="64">
        <f t="shared" ca="1" si="152"/>
        <v>3</v>
      </c>
      <c r="U336" s="64" t="str">
        <f t="shared" si="153"/>
        <v/>
      </c>
      <c r="V336" s="422">
        <f ca="1">IF(OR(D336=0,D336="",D336="Athlete"),"",COUNTIF($D$4:$D336,D336))</f>
        <v>3</v>
      </c>
    </row>
    <row r="337" spans="4:22" hidden="1" x14ac:dyDescent="0.35">
      <c r="D337" s="89" t="str">
        <f t="shared" ref="D337:E337" ca="1" si="165">K150</f>
        <v/>
      </c>
      <c r="E337" s="89" t="str">
        <f t="shared" ca="1" si="165"/>
        <v/>
      </c>
      <c r="T337" s="64" t="str">
        <f t="shared" ca="1" si="152"/>
        <v/>
      </c>
      <c r="U337" s="64" t="str">
        <f t="shared" si="153"/>
        <v/>
      </c>
      <c r="V337" s="422" t="str">
        <f ca="1">IF(OR(D337=0,D337="",D337="Athlete"),"",COUNTIF($D$4:$D337,D337))</f>
        <v/>
      </c>
    </row>
    <row r="338" spans="4:22" hidden="1" x14ac:dyDescent="0.35">
      <c r="D338" s="89" t="str">
        <f t="shared" ref="D338:E338" ca="1" si="166">K151</f>
        <v/>
      </c>
      <c r="E338" s="89" t="str">
        <f t="shared" ca="1" si="166"/>
        <v/>
      </c>
      <c r="T338" s="64" t="str">
        <f t="shared" ca="1" si="152"/>
        <v/>
      </c>
      <c r="U338" s="64" t="str">
        <f t="shared" si="153"/>
        <v/>
      </c>
      <c r="V338" s="422" t="str">
        <f ca="1">IF(OR(D338=0,D338="",D338="Athlete"),"",COUNTIF($D$4:$D338,D338))</f>
        <v/>
      </c>
    </row>
    <row r="339" spans="4:22" hidden="1" x14ac:dyDescent="0.35">
      <c r="D339" s="89" t="str">
        <f t="shared" ref="D339:E339" ca="1" si="167">K152</f>
        <v/>
      </c>
      <c r="E339" s="89" t="str">
        <f t="shared" ca="1" si="167"/>
        <v/>
      </c>
      <c r="T339" s="64" t="str">
        <f t="shared" ca="1" si="152"/>
        <v/>
      </c>
      <c r="U339" s="64" t="str">
        <f t="shared" si="153"/>
        <v/>
      </c>
      <c r="V339" s="422" t="str">
        <f ca="1">IF(OR(D339=0,D339="",D339="Athlete"),"",COUNTIF($D$4:$D339,D339))</f>
        <v/>
      </c>
    </row>
    <row r="340" spans="4:22" hidden="1" x14ac:dyDescent="0.35">
      <c r="D340" s="89" t="str">
        <f t="shared" ref="D340:E340" ca="1" si="168">K153</f>
        <v/>
      </c>
      <c r="E340" s="89" t="str">
        <f t="shared" ca="1" si="168"/>
        <v/>
      </c>
      <c r="T340" s="64" t="str">
        <f t="shared" ca="1" si="152"/>
        <v/>
      </c>
      <c r="U340" s="64" t="str">
        <f t="shared" si="153"/>
        <v/>
      </c>
      <c r="V340" s="422" t="str">
        <f ca="1">IF(OR(D340=0,D340="",D340="Athlete"),"",COUNTIF($D$4:$D340,D340))</f>
        <v/>
      </c>
    </row>
    <row r="341" spans="4:22" hidden="1" x14ac:dyDescent="0.35">
      <c r="D341" s="89" t="str">
        <f t="shared" ref="D341:E341" ca="1" si="169">K154</f>
        <v/>
      </c>
      <c r="E341" s="89" t="str">
        <f t="shared" ca="1" si="169"/>
        <v/>
      </c>
      <c r="T341" s="64" t="str">
        <f t="shared" ca="1" si="152"/>
        <v/>
      </c>
      <c r="U341" s="64" t="str">
        <f t="shared" si="153"/>
        <v/>
      </c>
      <c r="V341" s="422" t="str">
        <f ca="1">IF(OR(D341=0,D341="",D341="Athlete"),"",COUNTIF($D$4:$D341,D341))</f>
        <v/>
      </c>
    </row>
    <row r="342" spans="4:22" hidden="1" x14ac:dyDescent="0.35">
      <c r="D342" s="89">
        <f t="shared" ref="D342:E342" si="170">K155</f>
        <v>0</v>
      </c>
      <c r="E342" s="89">
        <f t="shared" si="170"/>
        <v>0</v>
      </c>
      <c r="T342" s="64" t="str">
        <f t="shared" si="152"/>
        <v/>
      </c>
      <c r="U342" s="64" t="str">
        <f t="shared" si="153"/>
        <v/>
      </c>
      <c r="V342" s="422" t="str">
        <f>IF(OR(D342=0,D342="",D342="Athlete"),"",COUNTIF($D$4:$D342,D342))</f>
        <v/>
      </c>
    </row>
    <row r="343" spans="4:22" hidden="1" x14ac:dyDescent="0.35">
      <c r="D343" s="89">
        <f t="shared" ref="D343:E343" si="171">K156</f>
        <v>0</v>
      </c>
      <c r="E343" s="89">
        <f t="shared" si="171"/>
        <v>0</v>
      </c>
      <c r="T343" s="64" t="str">
        <f t="shared" si="152"/>
        <v/>
      </c>
      <c r="U343" s="64" t="str">
        <f t="shared" si="153"/>
        <v/>
      </c>
      <c r="V343" s="422" t="str">
        <f>IF(OR(D343=0,D343="",D343="Athlete"),"",COUNTIF($D$4:$D343,D343))</f>
        <v/>
      </c>
    </row>
    <row r="344" spans="4:22" hidden="1" x14ac:dyDescent="0.35">
      <c r="D344" s="89" t="str">
        <f t="shared" ref="D344:E344" ca="1" si="172">K157</f>
        <v>Athlete</v>
      </c>
      <c r="E344" s="89" t="str">
        <f t="shared" ca="1" si="172"/>
        <v>Club</v>
      </c>
      <c r="T344" s="64" t="str">
        <f t="shared" ca="1" si="152"/>
        <v/>
      </c>
      <c r="U344" s="64" t="str">
        <f t="shared" si="153"/>
        <v/>
      </c>
      <c r="V344" s="422" t="str">
        <f ca="1">IF(OR(D344=0,D344="",D344="Athlete"),"",COUNTIF($D$4:$D344,D344))</f>
        <v/>
      </c>
    </row>
    <row r="345" spans="4:22" hidden="1" x14ac:dyDescent="0.35">
      <c r="D345" s="89" t="str">
        <f t="shared" ref="D345:E345" ca="1" si="173">K158</f>
        <v>PADDON Olivia</v>
      </c>
      <c r="E345" s="89" t="str">
        <f t="shared" ca="1" si="173"/>
        <v>Sheff+D</v>
      </c>
      <c r="T345" s="64">
        <f t="shared" ca="1" si="152"/>
        <v>3</v>
      </c>
      <c r="U345" s="64" t="str">
        <f t="shared" si="153"/>
        <v/>
      </c>
      <c r="V345" s="422">
        <f ca="1">IF(OR(D345=0,D345="",D345="Athlete"),"",COUNTIF($D$4:$D345,D345))</f>
        <v>3</v>
      </c>
    </row>
    <row r="346" spans="4:22" hidden="1" x14ac:dyDescent="0.35">
      <c r="D346" s="89" t="str">
        <f t="shared" ref="D346:E346" ca="1" si="174">K159</f>
        <v>KIRKWOOD Eva</v>
      </c>
      <c r="E346" s="89" t="str">
        <f t="shared" ca="1" si="174"/>
        <v>C'field</v>
      </c>
      <c r="T346" s="64">
        <f t="shared" ca="1" si="152"/>
        <v>2</v>
      </c>
      <c r="U346" s="64" t="str">
        <f t="shared" si="153"/>
        <v/>
      </c>
      <c r="V346" s="422">
        <f ca="1">IF(OR(D346=0,D346="",D346="Athlete"),"",COUNTIF($D$4:$D346,D346))</f>
        <v>2</v>
      </c>
    </row>
    <row r="347" spans="4:22" hidden="1" x14ac:dyDescent="0.35">
      <c r="D347" s="89" t="str">
        <f t="shared" ref="D347:E347" ca="1" si="175">K160</f>
        <v>SULLOCK Amy</v>
      </c>
      <c r="E347" s="89" t="str">
        <f t="shared" ca="1" si="175"/>
        <v>M'bro</v>
      </c>
      <c r="T347" s="64">
        <f t="shared" ca="1" si="152"/>
        <v>1</v>
      </c>
      <c r="U347" s="64" t="str">
        <f t="shared" si="153"/>
        <v/>
      </c>
      <c r="V347" s="422">
        <f ca="1">IF(OR(D347=0,D347="",D347="Athlete"),"",COUNTIF($D$4:$D347,D347))</f>
        <v>1</v>
      </c>
    </row>
    <row r="348" spans="4:22" hidden="1" x14ac:dyDescent="0.35">
      <c r="D348" s="89" t="str">
        <f t="shared" ref="D348:E348" ca="1" si="176">K161</f>
        <v>CROSBY Alice</v>
      </c>
      <c r="E348" s="89" t="str">
        <f t="shared" ca="1" si="176"/>
        <v>York</v>
      </c>
      <c r="T348" s="64">
        <f t="shared" ca="1" si="152"/>
        <v>1</v>
      </c>
      <c r="U348" s="64" t="str">
        <f t="shared" si="153"/>
        <v/>
      </c>
      <c r="V348" s="422">
        <f ca="1">IF(OR(D348=0,D348="",D348="Athlete"),"",COUNTIF($D$4:$D348,D348))</f>
        <v>1</v>
      </c>
    </row>
    <row r="349" spans="4:22" hidden="1" x14ac:dyDescent="0.35">
      <c r="D349" s="89" t="str">
        <f t="shared" ref="D349:E349" ca="1" si="177">K162</f>
        <v/>
      </c>
      <c r="E349" s="89" t="str">
        <f t="shared" ca="1" si="177"/>
        <v/>
      </c>
      <c r="T349" s="64" t="str">
        <f t="shared" ca="1" si="152"/>
        <v/>
      </c>
      <c r="U349" s="64" t="str">
        <f t="shared" si="153"/>
        <v/>
      </c>
      <c r="V349" s="422" t="str">
        <f ca="1">IF(OR(D349=0,D349="",D349="Athlete"),"",COUNTIF($D$4:$D349,D349))</f>
        <v/>
      </c>
    </row>
    <row r="350" spans="4:22" hidden="1" x14ac:dyDescent="0.35">
      <c r="D350" s="89" t="str">
        <f t="shared" ref="D350:E350" ca="1" si="178">K163</f>
        <v/>
      </c>
      <c r="E350" s="89" t="str">
        <f t="shared" ca="1" si="178"/>
        <v/>
      </c>
      <c r="T350" s="64" t="str">
        <f t="shared" ca="1" si="152"/>
        <v/>
      </c>
      <c r="U350" s="64" t="str">
        <f t="shared" si="153"/>
        <v/>
      </c>
      <c r="V350" s="422" t="str">
        <f ca="1">IF(OR(D350=0,D350="",D350="Athlete"),"",COUNTIF($D$4:$D350,D350))</f>
        <v/>
      </c>
    </row>
    <row r="351" spans="4:22" hidden="1" x14ac:dyDescent="0.35">
      <c r="D351" s="89" t="str">
        <f t="shared" ref="D351:E351" ca="1" si="179">K164</f>
        <v/>
      </c>
      <c r="E351" s="89" t="str">
        <f t="shared" ca="1" si="179"/>
        <v/>
      </c>
      <c r="T351" s="64" t="str">
        <f t="shared" ca="1" si="152"/>
        <v/>
      </c>
      <c r="U351" s="64" t="str">
        <f t="shared" si="153"/>
        <v/>
      </c>
      <c r="V351" s="422" t="str">
        <f ca="1">IF(OR(D351=0,D351="",D351="Athlete"),"",COUNTIF($D$4:$D351,D351))</f>
        <v/>
      </c>
    </row>
    <row r="352" spans="4:22" hidden="1" x14ac:dyDescent="0.35">
      <c r="D352" s="89" t="str">
        <f t="shared" ref="D352:E352" ca="1" si="180">K165</f>
        <v/>
      </c>
      <c r="E352" s="89" t="str">
        <f t="shared" ca="1" si="180"/>
        <v/>
      </c>
      <c r="T352" s="64" t="str">
        <f t="shared" ca="1" si="152"/>
        <v/>
      </c>
      <c r="U352" s="64" t="str">
        <f t="shared" si="153"/>
        <v/>
      </c>
      <c r="V352" s="422" t="str">
        <f ca="1">IF(OR(D352=0,D352="",D352="Athlete"),"",COUNTIF($D$4:$D352,D352))</f>
        <v/>
      </c>
    </row>
  </sheetData>
  <sheetProtection algorithmName="SHA-512" hashValue="0uTtzSRy2CKU1QchXXt+RXOhU3yQpwj0Vn2rP8IpA1OZ6b6wvjuHdlsvOVIC4/gfxF65wjkdH9PvE5h3dpiizQ==" saltValue="MwecfhcWM4Qxkt+F0N7/YQ=="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4" manualBreakCount="4">
    <brk id="45" min="1" max="13" man="1"/>
    <brk id="89" min="1" max="13" man="1"/>
    <brk id="133" min="1" max="13" man="1"/>
    <brk id="166" min="1" max="1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tabColor rgb="FFFFFF00"/>
  </sheetPr>
  <dimension ref="A1:R132"/>
  <sheetViews>
    <sheetView showZeros="0" topLeftCell="B1" zoomScaleNormal="100" workbookViewId="0">
      <pane ySplit="1" topLeftCell="A2" activePane="bottomLeft" state="frozen"/>
      <selection activeCell="Q36" sqref="Q36"/>
      <selection pane="bottomLeft" activeCell="M128" sqref="M128"/>
    </sheetView>
  </sheetViews>
  <sheetFormatPr defaultColWidth="8.86328125" defaultRowHeight="11.65" x14ac:dyDescent="0.35"/>
  <cols>
    <col min="1" max="1" width="8.86328125" style="66" hidden="1" customWidth="1"/>
    <col min="2" max="3" width="3.86328125" style="66" customWidth="1"/>
    <col min="4" max="4" width="20.86328125" style="89" customWidth="1"/>
    <col min="5" max="5" width="7.86328125" style="89" customWidth="1"/>
    <col min="6" max="6" width="7.1328125" style="300" customWidth="1"/>
    <col min="7" max="7" width="4" style="121" customWidth="1"/>
    <col min="8" max="8" width="1.73046875" style="64" customWidth="1"/>
    <col min="9" max="10" width="3.86328125" style="66" customWidth="1"/>
    <col min="11" max="11" width="20.86328125" style="64" customWidth="1"/>
    <col min="12" max="12" width="7.86328125" style="89" customWidth="1"/>
    <col min="13" max="13" width="7.1328125" style="300" customWidth="1"/>
    <col min="14" max="14" width="4" style="121" customWidth="1"/>
    <col min="15" max="17" width="8.86328125" style="64"/>
    <col min="18" max="18" width="0" style="64" hidden="1" customWidth="1"/>
    <col min="19" max="16384" width="8.86328125" style="64"/>
  </cols>
  <sheetData>
    <row r="1" spans="1:18" ht="45" customHeight="1" x14ac:dyDescent="0.35">
      <c r="A1" s="201" t="s">
        <v>784</v>
      </c>
      <c r="B1" s="288" t="str">
        <f>Dashboard!E1</f>
        <v>LOWER NORTH East 1 @ Doncaster</v>
      </c>
      <c r="G1" s="198"/>
      <c r="I1" s="64"/>
      <c r="J1" s="64"/>
      <c r="K1" s="202"/>
      <c r="L1" s="497">
        <f>Dashboard!E2</f>
        <v>43582</v>
      </c>
      <c r="M1" s="498"/>
      <c r="N1" s="200"/>
      <c r="P1" s="82"/>
      <c r="Q1" s="70"/>
      <c r="R1" s="82">
        <f ca="1">SUM(R2:R300)</f>
        <v>10</v>
      </c>
    </row>
    <row r="2" spans="1:18" x14ac:dyDescent="0.35">
      <c r="A2" s="66" t="s">
        <v>42</v>
      </c>
      <c r="B2" s="115" t="str">
        <f ca="1">IFERROR(INDIRECT(CONCATENATE("Track1!B",A3)),"")</f>
        <v>100m U13 Boys A</v>
      </c>
      <c r="E2" s="89" t="s">
        <v>259</v>
      </c>
      <c r="F2" s="299">
        <f ca="1">IFERROR(INDIRECT(CONCATENATE("Track1!f",A3)),"")</f>
        <v>0</v>
      </c>
      <c r="G2" s="121" t="str">
        <f ca="1">IFERROR(INDIRECT(CONCATENATE("Track1!g",A3)),"")</f>
        <v/>
      </c>
      <c r="I2" s="115" t="str">
        <f ca="1">IFERROR(INDIRECT(CONCATENATE("Track1!I",A3)),"")</f>
        <v>100m U13 Boys B</v>
      </c>
      <c r="L2" s="89" t="s">
        <v>259</v>
      </c>
      <c r="M2" s="299">
        <f ca="1">IFERROR(INDIRECT(CONCATENATE("Track1!M",A3)),"")</f>
        <v>0</v>
      </c>
    </row>
    <row r="3" spans="1:18" x14ac:dyDescent="0.35">
      <c r="A3" s="66">
        <f>IFERROR(MATCH(A2,Track1!A:A,0),"")</f>
        <v>101</v>
      </c>
      <c r="B3" s="45" t="str">
        <f ca="1">IFERROR(INDIRECT(CONCATENATE("Track1!B",A3+1)),"")</f>
        <v>Posn</v>
      </c>
      <c r="C3" s="45" t="str">
        <f ca="1">IFERROR(INDIRECT(CONCATENATE("Track1!C",A3+1)),"")</f>
        <v>No.</v>
      </c>
      <c r="D3" s="182" t="str">
        <f ca="1">IFERROR(INDIRECT(CONCATENATE("Track1!D",A3+1)),"")</f>
        <v>Athlete</v>
      </c>
      <c r="E3" s="182" t="str">
        <f ca="1">IFERROR(INDIRECT(CONCATENATE("Track1!E",A3+1)),"")</f>
        <v>Club</v>
      </c>
      <c r="F3" s="301" t="str">
        <f ca="1">IFERROR(INDIRECT(CONCATENATE("Track1!F",A3+1)),"")</f>
        <v>Perf</v>
      </c>
      <c r="G3" s="218" t="str">
        <f ca="1">IFERROR(INDIRECT(CONCATENATE("Track1!G",A3+1)),"")</f>
        <v>AAA</v>
      </c>
      <c r="H3" s="45"/>
      <c r="I3" s="45" t="str">
        <f ca="1">IFERROR(INDIRECT(CONCATENATE("Track1!I",A3+1)),"")</f>
        <v>Posn</v>
      </c>
      <c r="J3" s="45" t="str">
        <f ca="1">IFERROR(INDIRECT(CONCATENATE("Track1!J",A3+1)),"")</f>
        <v>No.</v>
      </c>
      <c r="K3" s="182" t="str">
        <f ca="1">IFERROR(INDIRECT(CONCATENATE("Track1!K",A3+1)),"")</f>
        <v>Athlete</v>
      </c>
      <c r="L3" s="182" t="str">
        <f ca="1">IFERROR(INDIRECT(CONCATENATE("Track1!L",A3+1)),"")</f>
        <v>Club</v>
      </c>
      <c r="M3" s="301" t="str">
        <f ca="1">IFERROR(INDIRECT(CONCATENATE("Track1!M",A3+1)),"")</f>
        <v>Perf</v>
      </c>
      <c r="N3" s="218" t="str">
        <f ca="1">IFERROR(INDIRECT(CONCATENATE("Track1!N",A3+1)),"")</f>
        <v>AAA</v>
      </c>
      <c r="O3" s="67"/>
    </row>
    <row r="4" spans="1:18" x14ac:dyDescent="0.35">
      <c r="B4" s="66">
        <f ca="1">IFERROR(INDIRECT(CONCATENATE("Track1!B",A3+2)),"")</f>
        <v>1</v>
      </c>
      <c r="C4" s="66">
        <f ca="1">IFERROR(INDIRECT(CONCATENATE("Track1!C",A3+2)),"")</f>
        <v>3</v>
      </c>
      <c r="D4" s="89" t="str">
        <f ca="1">IFERROR(INDIRECT(CONCATENATE("Track1!D",A3+2)),"")</f>
        <v>PEARSON Adam</v>
      </c>
      <c r="E4" s="89" t="str">
        <f ca="1">IFERROR(INDIRECT(CONCATENATE("Track1!E",A3+2)),"")</f>
        <v>York</v>
      </c>
      <c r="F4" s="299">
        <f ca="1">IFERROR(INDIRECT(CONCATENATE("Track1!F",A3+2)),"")</f>
        <v>14</v>
      </c>
      <c r="G4" s="121" t="str">
        <f ca="1">IFERROR(INDIRECT(CONCATENATE("Track1!G",A3+2)),"")</f>
        <v/>
      </c>
      <c r="H4" s="66"/>
      <c r="I4" s="66">
        <f ca="1">IFERROR(INDIRECT(CONCATENATE("Track1!I",A3+2)),"")</f>
        <v>1</v>
      </c>
      <c r="J4" s="66">
        <f ca="1">IFERROR(INDIRECT(CONCATENATE("Track1!J",A3+2)),"")</f>
        <v>22</v>
      </c>
      <c r="K4" s="89" t="str">
        <f ca="1">IFERROR(INDIRECT(CONCATENATE("Track1!K",A3+2)),"")</f>
        <v>CONNELLY George</v>
      </c>
      <c r="L4" s="89" t="str">
        <f ca="1">IFERROR(INDIRECT(CONCATENATE("Track1!L",A3+2)),"")</f>
        <v>Sheff+D</v>
      </c>
      <c r="M4" s="299">
        <f ca="1">IFERROR(INDIRECT(CONCATENATE("Track1!M",A3+2)),"")</f>
        <v>14.3</v>
      </c>
      <c r="N4" s="121" t="str">
        <f ca="1">IFERROR(INDIRECT(CONCATENATE("Track1!N",A3+2)),"")</f>
        <v/>
      </c>
      <c r="R4" s="219">
        <f ca="1">IFERROR(INDIRECT(CONCATENATE("Track1!r",A3+2)),"")</f>
        <v>1</v>
      </c>
    </row>
    <row r="5" spans="1:18" x14ac:dyDescent="0.35">
      <c r="B5" s="66">
        <f ca="1">IFERROR(INDIRECT(CONCATENATE("Track1!B",A3+3)),"")</f>
        <v>2</v>
      </c>
      <c r="C5" s="66">
        <f ca="1">IFERROR(INDIRECT(CONCATENATE("Track1!C",A3+3)),"")</f>
        <v>4</v>
      </c>
      <c r="D5" s="89" t="str">
        <f ca="1">IFERROR(INDIRECT(CONCATENATE("Track1!D",A3+3)),"")</f>
        <v>MAYNARD Finley</v>
      </c>
      <c r="E5" s="89" t="str">
        <f ca="1">IFERROR(INDIRECT(CONCATENATE("Track1!E",A3+3)),"")</f>
        <v>M'bro</v>
      </c>
      <c r="F5" s="299">
        <f ca="1">IFERROR(INDIRECT(CONCATENATE("Track1!F",A3+3)),"")</f>
        <v>14</v>
      </c>
      <c r="G5" s="121" t="str">
        <f ca="1">IFERROR(INDIRECT(CONCATENATE("Track1!G",A3+3)),"")</f>
        <v/>
      </c>
      <c r="H5" s="66"/>
      <c r="I5" s="66">
        <f ca="1">IFERROR(INDIRECT(CONCATENATE("Track1!I",A3+3)),"")</f>
        <v>2</v>
      </c>
      <c r="J5" s="66">
        <f ca="1">IFERROR(INDIRECT(CONCATENATE("Track1!J",A3+3)),"")</f>
        <v>33</v>
      </c>
      <c r="K5" s="89" t="str">
        <f ca="1">IFERROR(INDIRECT(CONCATENATE("Track1!K",A3+3)),"")</f>
        <v>HICKLING William</v>
      </c>
      <c r="L5" s="89" t="str">
        <f ca="1">IFERROR(INDIRECT(CONCATENATE("Track1!L",A3+3)),"")</f>
        <v>York</v>
      </c>
      <c r="M5" s="299">
        <f ca="1">IFERROR(INDIRECT(CONCATENATE("Track1!M",A3+3)),"")</f>
        <v>14.6</v>
      </c>
      <c r="N5" s="121" t="str">
        <f ca="1">IFERROR(INDIRECT(CONCATENATE("Track1!N",A3+3)),"")</f>
        <v/>
      </c>
    </row>
    <row r="6" spans="1:18" x14ac:dyDescent="0.35">
      <c r="B6" s="66">
        <f ca="1">IFERROR(INDIRECT(CONCATENATE("Track1!B",A3+4)),"")</f>
        <v>3</v>
      </c>
      <c r="C6" s="66">
        <f ca="1">IFERROR(INDIRECT(CONCATENATE("Track1!C",A3+4)),"")</f>
        <v>2</v>
      </c>
      <c r="D6" s="89" t="str">
        <f ca="1">IFERROR(INDIRECT(CONCATENATE("Track1!D",A3+4)),"")</f>
        <v>REILLY Arthur</v>
      </c>
      <c r="E6" s="89" t="str">
        <f ca="1">IFERROR(INDIRECT(CONCATENATE("Track1!E",A3+4)),"")</f>
        <v>Sheff+D</v>
      </c>
      <c r="F6" s="299">
        <f ca="1">IFERROR(INDIRECT(CONCATENATE("Track1!F",A3+4)),"")</f>
        <v>14.4</v>
      </c>
      <c r="G6" s="121" t="str">
        <f ca="1">IFERROR(INDIRECT(CONCATENATE("Track1!G",A3+4)),"")</f>
        <v/>
      </c>
      <c r="H6" s="66"/>
      <c r="I6" s="66">
        <f ca="1">IFERROR(INDIRECT(CONCATENATE("Track1!I",A3+4)),"")</f>
        <v>3</v>
      </c>
      <c r="J6" s="66">
        <f ca="1">IFERROR(INDIRECT(CONCATENATE("Track1!J",A3+4)),"")</f>
        <v>44</v>
      </c>
      <c r="K6" s="89" t="str">
        <f ca="1">IFERROR(INDIRECT(CONCATENATE("Track1!K",A3+4)),"")</f>
        <v>HONEYMAN Leo</v>
      </c>
      <c r="L6" s="89" t="str">
        <f ca="1">IFERROR(INDIRECT(CONCATENATE("Track1!L",A3+4)),"")</f>
        <v>M'bro</v>
      </c>
      <c r="M6" s="299">
        <f ca="1">IFERROR(INDIRECT(CONCATENATE("Track1!M",A3+4)),"")</f>
        <v>15.2</v>
      </c>
      <c r="N6" s="121" t="str">
        <f ca="1">IFERROR(INDIRECT(CONCATENATE("Track1!N",A3+4)),"")</f>
        <v/>
      </c>
    </row>
    <row r="7" spans="1:18" x14ac:dyDescent="0.35">
      <c r="B7" s="66">
        <f ca="1">IFERROR(INDIRECT(CONCATENATE("Track1!B",A3+5)),"")</f>
        <v>4</v>
      </c>
      <c r="C7" s="66">
        <f ca="1">IFERROR(INDIRECT(CONCATENATE("Track1!C",A3+5)),"")</f>
        <v>1</v>
      </c>
      <c r="D7" s="89" t="str">
        <f ca="1">IFERROR(INDIRECT(CONCATENATE("Track1!D",A3+5)),"")</f>
        <v>GASKIN Nathanael</v>
      </c>
      <c r="E7" s="89" t="str">
        <f ca="1">IFERROR(INDIRECT(CONCATENATE("Track1!E",A3+5)),"")</f>
        <v>C'field</v>
      </c>
      <c r="F7" s="299">
        <f ca="1">IFERROR(INDIRECT(CONCATENATE("Track1!F",A3+5)),"")</f>
        <v>15.2</v>
      </c>
      <c r="G7" s="121" t="str">
        <f ca="1">IFERROR(INDIRECT(CONCATENATE("Track1!G",A3+5)),"")</f>
        <v/>
      </c>
      <c r="H7" s="66"/>
      <c r="I7" s="66">
        <f ca="1">IFERROR(INDIRECT(CONCATENATE("Track1!I",A3+5)),"")</f>
        <v>4</v>
      </c>
      <c r="J7" s="66">
        <f ca="1">IFERROR(INDIRECT(CONCATENATE("Track1!J",A3+5)),"")</f>
        <v>11</v>
      </c>
      <c r="K7" s="89" t="str">
        <f ca="1">IFERROR(INDIRECT(CONCATENATE("Track1!K",A3+5)),"")</f>
        <v>DREW Matthew</v>
      </c>
      <c r="L7" s="89" t="str">
        <f ca="1">IFERROR(INDIRECT(CONCATENATE("Track1!L",A3+5)),"")</f>
        <v>C'field</v>
      </c>
      <c r="M7" s="299">
        <f ca="1">IFERROR(INDIRECT(CONCATENATE("Track1!M",A3+5)),"")</f>
        <v>16.399999999999999</v>
      </c>
      <c r="N7" s="121" t="str">
        <f ca="1">IFERROR(INDIRECT(CONCATENATE("Track1!N",A3+5)),"")</f>
        <v/>
      </c>
    </row>
    <row r="8" spans="1:18" x14ac:dyDescent="0.35">
      <c r="B8" s="66">
        <f ca="1">IFERROR(INDIRECT(CONCATENATE("Track1!B",A3+6)),"")</f>
        <v>5</v>
      </c>
      <c r="C8" s="66">
        <f ca="1">IFERROR(INDIRECT(CONCATENATE("Track1!C",A3+6)),"")</f>
        <v>5</v>
      </c>
      <c r="D8" s="89" t="str">
        <f ca="1">IFERROR(INDIRECT(CONCATENATE("Track1!D",A3+6)),"")</f>
        <v>LANGTON Cody</v>
      </c>
      <c r="E8" s="89" t="str">
        <f ca="1">IFERROR(INDIRECT(CONCATENATE("Track1!E",A3+6)),"")</f>
        <v>Scun</v>
      </c>
      <c r="F8" s="299">
        <f ca="1">IFERROR(INDIRECT(CONCATENATE("Track1!F",A3+6)),"")</f>
        <v>15.7</v>
      </c>
      <c r="G8" s="121" t="str">
        <f ca="1">IFERROR(INDIRECT(CONCATENATE("Track1!G",A3+6)),"")</f>
        <v/>
      </c>
      <c r="H8" s="66"/>
      <c r="I8" s="66">
        <f ca="1">IFERROR(INDIRECT(CONCATENATE("Track1!I",A3+6)),"")</f>
        <v>5</v>
      </c>
      <c r="J8" s="66">
        <f ca="1">IFERROR(INDIRECT(CONCATENATE("Track1!J",A3+6)),"")</f>
        <v>0</v>
      </c>
      <c r="K8" s="89" t="str">
        <f ca="1">IFERROR(INDIRECT(CONCATENATE("Track1!K",A3+6)),"")</f>
        <v/>
      </c>
      <c r="L8" s="89" t="str">
        <f ca="1">IFERROR(INDIRECT(CONCATENATE("Track1!L",A3+6)),"")</f>
        <v/>
      </c>
      <c r="M8" s="299" t="str">
        <f ca="1">IFERROR(INDIRECT(CONCATENATE("Track1!M",A3+6)),"")</f>
        <v xml:space="preserve"> </v>
      </c>
      <c r="N8" s="121" t="str">
        <f ca="1">IFERROR(INDIRECT(CONCATENATE("Track1!N",A3+6)),"")</f>
        <v/>
      </c>
    </row>
    <row r="9" spans="1:18" x14ac:dyDescent="0.35">
      <c r="B9" s="66">
        <f ca="1">IFERROR(INDIRECT(CONCATENATE("Track1!B",A3+7)),"")</f>
        <v>6</v>
      </c>
      <c r="C9" s="66">
        <f ca="1">IFERROR(INDIRECT(CONCATENATE("Track1!C",A3+7)),"")</f>
        <v>0</v>
      </c>
      <c r="D9" s="89" t="str">
        <f ca="1">IFERROR(INDIRECT(CONCATENATE("Track1!D",A3+7)),"")</f>
        <v/>
      </c>
      <c r="E9" s="89" t="str">
        <f ca="1">IFERROR(INDIRECT(CONCATENATE("Track1!E",A3+7)),"")</f>
        <v/>
      </c>
      <c r="F9" s="299">
        <f ca="1">IFERROR(INDIRECT(CONCATENATE("Track1!F",A3+7)),"")</f>
        <v>0</v>
      </c>
      <c r="G9" s="121" t="str">
        <f ca="1">IFERROR(INDIRECT(CONCATENATE("Track1!G",A3+7)),"")</f>
        <v/>
      </c>
      <c r="H9" s="66"/>
      <c r="I9" s="66">
        <f ca="1">IFERROR(INDIRECT(CONCATENATE("Track1!I",A3+7)),"")</f>
        <v>6</v>
      </c>
      <c r="J9" s="66">
        <f ca="1">IFERROR(INDIRECT(CONCATENATE("Track1!J",A3+7)),"")</f>
        <v>0</v>
      </c>
      <c r="K9" s="89" t="str">
        <f ca="1">IFERROR(INDIRECT(CONCATENATE("Track1!K",A3+7)),"")</f>
        <v/>
      </c>
      <c r="L9" s="89" t="str">
        <f ca="1">IFERROR(INDIRECT(CONCATENATE("Track1!L",A3+7)),"")</f>
        <v/>
      </c>
      <c r="M9" s="299">
        <f ca="1">IFERROR(INDIRECT(CONCATENATE("Track1!M",A3+7)),"")</f>
        <v>0</v>
      </c>
      <c r="N9" s="121" t="str">
        <f ca="1">IFERROR(INDIRECT(CONCATENATE("Track1!N",A3+7)),"")</f>
        <v/>
      </c>
    </row>
    <row r="10" spans="1:18" x14ac:dyDescent="0.35">
      <c r="B10" s="66">
        <f ca="1">IFERROR(INDIRECT(CONCATENATE("Track1!B",A3+8)),"")</f>
        <v>7</v>
      </c>
      <c r="C10" s="66">
        <f ca="1">IFERROR(INDIRECT(CONCATENATE("Track1!C",A3+8)),"")</f>
        <v>0</v>
      </c>
      <c r="D10" s="89" t="str">
        <f ca="1">IFERROR(INDIRECT(CONCATENATE("Track1!D",A3+8)),"")</f>
        <v/>
      </c>
      <c r="E10" s="89" t="str">
        <f ca="1">IFERROR(INDIRECT(CONCATENATE("Track1!E",A3+8)),"")</f>
        <v/>
      </c>
      <c r="F10" s="299">
        <f ca="1">IFERROR(INDIRECT(CONCATENATE("Track1!F",A3+8)),"")</f>
        <v>0</v>
      </c>
      <c r="G10" s="121" t="str">
        <f ca="1">IFERROR(INDIRECT(CONCATENATE("Track1!G",A3+8)),"")</f>
        <v/>
      </c>
      <c r="H10" s="66"/>
      <c r="I10" s="66">
        <f ca="1">IFERROR(INDIRECT(CONCATENATE("Track1!I",A3+8)),"")</f>
        <v>7</v>
      </c>
      <c r="J10" s="66">
        <f ca="1">IFERROR(INDIRECT(CONCATENATE("Track1!J",A3+8)),"")</f>
        <v>0</v>
      </c>
      <c r="K10" s="89" t="str">
        <f ca="1">IFERROR(INDIRECT(CONCATENATE("Track1!K",A3+8)),"")</f>
        <v/>
      </c>
      <c r="L10" s="89" t="str">
        <f ca="1">IFERROR(INDIRECT(CONCATENATE("Track1!L",A3+8)),"")</f>
        <v/>
      </c>
      <c r="M10" s="299">
        <f ca="1">IFERROR(INDIRECT(CONCATENATE("Track1!M",A3+8)),"")</f>
        <v>0</v>
      </c>
      <c r="N10" s="121" t="str">
        <f ca="1">IFERROR(INDIRECT(CONCATENATE("Track1!N",A3+8)),"")</f>
        <v/>
      </c>
    </row>
    <row r="11" spans="1:18" x14ac:dyDescent="0.35">
      <c r="B11" s="66">
        <f ca="1">IFERROR(INDIRECT(CONCATENATE("Track1!B",A3+9)),"")</f>
        <v>8</v>
      </c>
      <c r="C11" s="66">
        <f ca="1">IFERROR(INDIRECT(CONCATENATE("Track1!C",A3+9)),"")</f>
        <v>0</v>
      </c>
      <c r="D11" s="89" t="str">
        <f ca="1">IFERROR(INDIRECT(CONCATENATE("Track1!D",A3+9)),"")</f>
        <v/>
      </c>
      <c r="E11" s="89" t="str">
        <f ca="1">IFERROR(INDIRECT(CONCATENATE("Track1!E",A3+9)),"")</f>
        <v/>
      </c>
      <c r="F11" s="299">
        <f ca="1">IFERROR(INDIRECT(CONCATENATE("Track1!F",A3+9)),"")</f>
        <v>0</v>
      </c>
      <c r="G11" s="121" t="str">
        <f ca="1">IFERROR(INDIRECT(CONCATENATE("Track1!G",A3+9)),"")</f>
        <v/>
      </c>
      <c r="H11" s="66"/>
      <c r="I11" s="66">
        <f ca="1">IFERROR(INDIRECT(CONCATENATE("Track1!I",A3+9)),"")</f>
        <v>8</v>
      </c>
      <c r="J11" s="66">
        <f ca="1">IFERROR(INDIRECT(CONCATENATE("Track1!J",A3+9)),"")</f>
        <v>0</v>
      </c>
      <c r="K11" s="89" t="str">
        <f ca="1">IFERROR(INDIRECT(CONCATENATE("Track1!K",A3+9)),"")</f>
        <v/>
      </c>
      <c r="L11" s="89" t="str">
        <f ca="1">IFERROR(INDIRECT(CONCATENATE("Track1!L",A3+9)),"")</f>
        <v/>
      </c>
      <c r="M11" s="299">
        <f ca="1">IFERROR(INDIRECT(CONCATENATE("Track1!M",A3+9)),"")</f>
        <v>0</v>
      </c>
      <c r="N11" s="121" t="str">
        <f ca="1">IFERROR(INDIRECT(CONCATENATE("Track1!N",A3+9)),"")</f>
        <v/>
      </c>
    </row>
    <row r="13" spans="1:18" x14ac:dyDescent="0.35">
      <c r="A13" s="66" t="s">
        <v>45</v>
      </c>
      <c r="B13" s="115" t="str">
        <f ca="1">IFERROR(INDIRECT(CONCATENATE("Track1!B",A14)),"")</f>
        <v>100m NS U13 Boys A</v>
      </c>
      <c r="E13" s="89" t="s">
        <v>259</v>
      </c>
      <c r="F13" s="299">
        <f ca="1">IFERROR(INDIRECT(CONCATENATE("Track1!f",A14)),"")</f>
        <v>0</v>
      </c>
      <c r="G13" s="121" t="str">
        <f ca="1">IFERROR(INDIRECT(CONCATENATE("Track1!g",A14)),"")</f>
        <v/>
      </c>
      <c r="I13" s="115" t="str">
        <f ca="1">IFERROR(INDIRECT(CONCATENATE("Track1!I",A14)),"")</f>
        <v>100m NS U13 Boys B</v>
      </c>
      <c r="L13" s="89" t="s">
        <v>259</v>
      </c>
      <c r="M13" s="299" t="str">
        <f ca="1">IFERROR(INDIRECT(CONCATENATE("Track1!M",A14)),"")</f>
        <v>NT</v>
      </c>
    </row>
    <row r="14" spans="1:18" x14ac:dyDescent="0.35">
      <c r="A14" s="66">
        <f>IFERROR(MATCH(A13,Track1!A:A,0),"")</f>
        <v>145</v>
      </c>
      <c r="B14" s="45" t="str">
        <f ca="1">IFERROR(INDIRECT(CONCATENATE("Track1!B",A14+1)),"")</f>
        <v>Posn</v>
      </c>
      <c r="C14" s="45" t="str">
        <f ca="1">IFERROR(INDIRECT(CONCATENATE("Track1!C",A14+1)),"")</f>
        <v>No.</v>
      </c>
      <c r="D14" s="182" t="str">
        <f ca="1">IFERROR(INDIRECT(CONCATENATE("Track1!D",A14+1)),"")</f>
        <v>Athlete</v>
      </c>
      <c r="E14" s="182" t="str">
        <f ca="1">IFERROR(INDIRECT(CONCATENATE("Track1!E",A14+1)),"")</f>
        <v>Club</v>
      </c>
      <c r="F14" s="301" t="str">
        <f ca="1">IFERROR(INDIRECT(CONCATENATE("Track1!F",A14+1)),"")</f>
        <v>Perf</v>
      </c>
      <c r="G14" s="218" t="str">
        <f ca="1">IFERROR(INDIRECT(CONCATENATE("Track1!G",A14+1)),"")</f>
        <v>AAA</v>
      </c>
      <c r="H14" s="45"/>
      <c r="I14" s="45" t="str">
        <f ca="1">IFERROR(INDIRECT(CONCATENATE("Track1!I",A14+1)),"")</f>
        <v>Posn</v>
      </c>
      <c r="J14" s="45" t="str">
        <f ca="1">IFERROR(INDIRECT(CONCATENATE("Track1!J",A14+1)),"")</f>
        <v>No.</v>
      </c>
      <c r="K14" s="182" t="str">
        <f ca="1">IFERROR(INDIRECT(CONCATENATE("Track1!K",A14+1)),"")</f>
        <v>Athlete</v>
      </c>
      <c r="L14" s="182" t="str">
        <f ca="1">IFERROR(INDIRECT(CONCATENATE("Track1!L",A14+1)),"")</f>
        <v>Club</v>
      </c>
      <c r="M14" s="301" t="str">
        <f ca="1">IFERROR(INDIRECT(CONCATENATE("Track1!M",A14+1)),"")</f>
        <v>Perf</v>
      </c>
      <c r="N14" s="218" t="str">
        <f ca="1">IFERROR(INDIRECT(CONCATENATE("Track1!N",A14+1)),"")</f>
        <v>AAA</v>
      </c>
    </row>
    <row r="15" spans="1:18" x14ac:dyDescent="0.35">
      <c r="B15" s="66">
        <f ca="1">IFERROR(INDIRECT(CONCATENATE("Track1!B",A14+2)),"")</f>
        <v>1</v>
      </c>
      <c r="C15" s="66">
        <f ca="1">IFERROR(INDIRECT(CONCATENATE("Track1!C",A14+2)),"")</f>
        <v>0</v>
      </c>
      <c r="D15" s="89" t="str">
        <f ca="1">IFERROR(INDIRECT(CONCATENATE("Track1!D",A14+2)),"")</f>
        <v/>
      </c>
      <c r="E15" s="89" t="str">
        <f ca="1">IFERROR(INDIRECT(CONCATENATE("Track1!E",A14+2)),"")</f>
        <v/>
      </c>
      <c r="F15" s="299">
        <f ca="1">IFERROR(INDIRECT(CONCATENATE("Track1!F",A14+2)),"")</f>
        <v>0</v>
      </c>
      <c r="G15" s="121" t="str">
        <f ca="1">IFERROR(INDIRECT(CONCATENATE("Track1!G",A14+2)),"")</f>
        <v/>
      </c>
      <c r="H15" s="66"/>
      <c r="I15" s="66">
        <f ca="1">IFERROR(INDIRECT(CONCATENATE("Track1!I",A14+2)),"")</f>
        <v>1</v>
      </c>
      <c r="J15" s="66">
        <f ca="1">IFERROR(INDIRECT(CONCATENATE("Track1!J",A14+2)),"")</f>
        <v>0</v>
      </c>
      <c r="K15" s="89" t="str">
        <f ca="1">IFERROR(INDIRECT(CONCATENATE("Track1!K",A14+2)),"")</f>
        <v/>
      </c>
      <c r="L15" s="89" t="str">
        <f ca="1">IFERROR(INDIRECT(CONCATENATE("Track1!L",A14+2)),"")</f>
        <v/>
      </c>
      <c r="M15" s="299">
        <f ca="1">IFERROR(INDIRECT(CONCATENATE("Track1!M",A14+2)),"")</f>
        <v>0</v>
      </c>
      <c r="N15" s="121" t="str">
        <f ca="1">IFERROR(INDIRECT(CONCATENATE("Track1!N",A14+2)),"")</f>
        <v/>
      </c>
      <c r="R15" s="219">
        <f ca="1">IFERROR(INDIRECT(CONCATENATE("Track1!r",A14+2)),"")</f>
        <v>0</v>
      </c>
    </row>
    <row r="16" spans="1:18" x14ac:dyDescent="0.35">
      <c r="B16" s="66">
        <f ca="1">IFERROR(INDIRECT(CONCATENATE("Track1!B",A14+3)),"")</f>
        <v>2</v>
      </c>
      <c r="C16" s="66">
        <f ca="1">IFERROR(INDIRECT(CONCATENATE("Track1!C",A14+3)),"")</f>
        <v>0</v>
      </c>
      <c r="D16" s="89" t="str">
        <f ca="1">IFERROR(INDIRECT(CONCATENATE("Track1!D",A14+3)),"")</f>
        <v/>
      </c>
      <c r="E16" s="89" t="str">
        <f ca="1">IFERROR(INDIRECT(CONCATENATE("Track1!E",A14+3)),"")</f>
        <v/>
      </c>
      <c r="F16" s="299">
        <f ca="1">IFERROR(INDIRECT(CONCATENATE("Track1!F",A14+3)),"")</f>
        <v>0</v>
      </c>
      <c r="G16" s="121" t="str">
        <f ca="1">IFERROR(INDIRECT(CONCATENATE("Track1!G",A14+3)),"")</f>
        <v/>
      </c>
      <c r="H16" s="66"/>
      <c r="I16" s="66">
        <f ca="1">IFERROR(INDIRECT(CONCATENATE("Track1!I",A14+3)),"")</f>
        <v>2</v>
      </c>
      <c r="J16" s="66">
        <f ca="1">IFERROR(INDIRECT(CONCATENATE("Track1!J",A14+3)),"")</f>
        <v>0</v>
      </c>
      <c r="K16" s="89" t="str">
        <f ca="1">IFERROR(INDIRECT(CONCATENATE("Track1!K",A14+3)),"")</f>
        <v/>
      </c>
      <c r="L16" s="89" t="str">
        <f ca="1">IFERROR(INDIRECT(CONCATENATE("Track1!L",A14+3)),"")</f>
        <v/>
      </c>
      <c r="M16" s="299">
        <f ca="1">IFERROR(INDIRECT(CONCATENATE("Track1!M",A14+3)),"")</f>
        <v>0</v>
      </c>
      <c r="N16" s="121" t="str">
        <f ca="1">IFERROR(INDIRECT(CONCATENATE("Track1!N",A14+3)),"")</f>
        <v/>
      </c>
    </row>
    <row r="17" spans="1:18" x14ac:dyDescent="0.35">
      <c r="B17" s="66">
        <f ca="1">IFERROR(INDIRECT(CONCATENATE("Track1!B",A14+4)),"")</f>
        <v>3</v>
      </c>
      <c r="C17" s="66">
        <f ca="1">IFERROR(INDIRECT(CONCATENATE("Track1!C",A14+4)),"")</f>
        <v>0</v>
      </c>
      <c r="D17" s="89" t="str">
        <f ca="1">IFERROR(INDIRECT(CONCATENATE("Track1!D",A14+4)),"")</f>
        <v/>
      </c>
      <c r="E17" s="89" t="str">
        <f ca="1">IFERROR(INDIRECT(CONCATENATE("Track1!E",A14+4)),"")</f>
        <v/>
      </c>
      <c r="F17" s="299">
        <f ca="1">IFERROR(INDIRECT(CONCATENATE("Track1!F",A14+4)),"")</f>
        <v>0</v>
      </c>
      <c r="G17" s="121" t="str">
        <f ca="1">IFERROR(INDIRECT(CONCATENATE("Track1!G",A14+4)),"")</f>
        <v/>
      </c>
      <c r="H17" s="66"/>
      <c r="I17" s="66">
        <f ca="1">IFERROR(INDIRECT(CONCATENATE("Track1!I",A14+4)),"")</f>
        <v>3</v>
      </c>
      <c r="J17" s="66">
        <f ca="1">IFERROR(INDIRECT(CONCATENATE("Track1!J",A14+4)),"")</f>
        <v>0</v>
      </c>
      <c r="K17" s="89" t="str">
        <f ca="1">IFERROR(INDIRECT(CONCATENATE("Track1!K",A14+4)),"")</f>
        <v/>
      </c>
      <c r="L17" s="89" t="str">
        <f ca="1">IFERROR(INDIRECT(CONCATENATE("Track1!L",A14+4)),"")</f>
        <v/>
      </c>
      <c r="M17" s="299">
        <f ca="1">IFERROR(INDIRECT(CONCATENATE("Track1!M",A14+4)),"")</f>
        <v>0</v>
      </c>
      <c r="N17" s="121" t="str">
        <f ca="1">IFERROR(INDIRECT(CONCATENATE("Track1!N",A14+4)),"")</f>
        <v/>
      </c>
    </row>
    <row r="18" spans="1:18" x14ac:dyDescent="0.35">
      <c r="B18" s="66">
        <f ca="1">IFERROR(INDIRECT(CONCATENATE("Track1!B",A14+5)),"")</f>
        <v>4</v>
      </c>
      <c r="C18" s="66">
        <f ca="1">IFERROR(INDIRECT(CONCATENATE("Track1!C",A14+5)),"")</f>
        <v>0</v>
      </c>
      <c r="D18" s="89" t="str">
        <f ca="1">IFERROR(INDIRECT(CONCATENATE("Track1!D",A14+5)),"")</f>
        <v/>
      </c>
      <c r="E18" s="89" t="str">
        <f ca="1">IFERROR(INDIRECT(CONCATENATE("Track1!E",A14+5)),"")</f>
        <v/>
      </c>
      <c r="F18" s="299">
        <f ca="1">IFERROR(INDIRECT(CONCATENATE("Track1!F",A14+5)),"")</f>
        <v>0</v>
      </c>
      <c r="G18" s="121" t="str">
        <f ca="1">IFERROR(INDIRECT(CONCATENATE("Track1!G",A14+5)),"")</f>
        <v/>
      </c>
      <c r="H18" s="66"/>
      <c r="I18" s="66">
        <f ca="1">IFERROR(INDIRECT(CONCATENATE("Track1!I",A14+5)),"")</f>
        <v>4</v>
      </c>
      <c r="J18" s="66">
        <f ca="1">IFERROR(INDIRECT(CONCATENATE("Track1!J",A14+5)),"")</f>
        <v>0</v>
      </c>
      <c r="K18" s="89" t="str">
        <f ca="1">IFERROR(INDIRECT(CONCATENATE("Track1!K",A14+5)),"")</f>
        <v/>
      </c>
      <c r="L18" s="89" t="str">
        <f ca="1">IFERROR(INDIRECT(CONCATENATE("Track1!L",A14+5)),"")</f>
        <v/>
      </c>
      <c r="M18" s="299">
        <f ca="1">IFERROR(INDIRECT(CONCATENATE("Track1!M",A14+5)),"")</f>
        <v>0</v>
      </c>
      <c r="N18" s="121" t="str">
        <f ca="1">IFERROR(INDIRECT(CONCATENATE("Track1!N",A14+5)),"")</f>
        <v/>
      </c>
    </row>
    <row r="19" spans="1:18" x14ac:dyDescent="0.35">
      <c r="B19" s="66">
        <f ca="1">IFERROR(INDIRECT(CONCATENATE("Track1!B",A14+6)),"")</f>
        <v>5</v>
      </c>
      <c r="C19" s="66">
        <f ca="1">IFERROR(INDIRECT(CONCATENATE("Track1!C",A14+6)),"")</f>
        <v>0</v>
      </c>
      <c r="D19" s="89" t="str">
        <f ca="1">IFERROR(INDIRECT(CONCATENATE("Track1!D",A14+6)),"")</f>
        <v/>
      </c>
      <c r="E19" s="89" t="str">
        <f ca="1">IFERROR(INDIRECT(CONCATENATE("Track1!E",A14+6)),"")</f>
        <v/>
      </c>
      <c r="F19" s="299">
        <f ca="1">IFERROR(INDIRECT(CONCATENATE("Track1!F",A14+6)),"")</f>
        <v>0</v>
      </c>
      <c r="G19" s="121" t="str">
        <f ca="1">IFERROR(INDIRECT(CONCATENATE("Track1!G",A14+6)),"")</f>
        <v/>
      </c>
      <c r="H19" s="66"/>
      <c r="I19" s="66">
        <f ca="1">IFERROR(INDIRECT(CONCATENATE("Track1!I",A14+6)),"")</f>
        <v>5</v>
      </c>
      <c r="J19" s="66">
        <f ca="1">IFERROR(INDIRECT(CONCATENATE("Track1!J",A14+6)),"")</f>
        <v>0</v>
      </c>
      <c r="K19" s="89" t="str">
        <f ca="1">IFERROR(INDIRECT(CONCATENATE("Track1!K",A14+6)),"")</f>
        <v/>
      </c>
      <c r="L19" s="89" t="str">
        <f ca="1">IFERROR(INDIRECT(CONCATENATE("Track1!L",A14+6)),"")</f>
        <v/>
      </c>
      <c r="M19" s="299">
        <f ca="1">IFERROR(INDIRECT(CONCATENATE("Track1!M",A14+6)),"")</f>
        <v>0</v>
      </c>
      <c r="N19" s="121" t="str">
        <f ca="1">IFERROR(INDIRECT(CONCATENATE("Track1!N",A14+6)),"")</f>
        <v/>
      </c>
    </row>
    <row r="20" spans="1:18" x14ac:dyDescent="0.35">
      <c r="B20" s="66">
        <f ca="1">IFERROR(INDIRECT(CONCATENATE("Track1!B",A14+7)),"")</f>
        <v>6</v>
      </c>
      <c r="C20" s="66">
        <f ca="1">IFERROR(INDIRECT(CONCATENATE("Track1!C",A14+7)),"")</f>
        <v>0</v>
      </c>
      <c r="D20" s="89" t="str">
        <f ca="1">IFERROR(INDIRECT(CONCATENATE("Track1!D",A14+7)),"")</f>
        <v/>
      </c>
      <c r="E20" s="89" t="str">
        <f ca="1">IFERROR(INDIRECT(CONCATENATE("Track1!E",A14+7)),"")</f>
        <v/>
      </c>
      <c r="F20" s="299">
        <f ca="1">IFERROR(INDIRECT(CONCATENATE("Track1!F",A14+7)),"")</f>
        <v>0</v>
      </c>
      <c r="G20" s="121" t="str">
        <f ca="1">IFERROR(INDIRECT(CONCATENATE("Track1!G",A14+7)),"")</f>
        <v/>
      </c>
      <c r="H20" s="66"/>
      <c r="I20" s="66">
        <f ca="1">IFERROR(INDIRECT(CONCATENATE("Track1!I",A14+7)),"")</f>
        <v>6</v>
      </c>
      <c r="J20" s="66">
        <f ca="1">IFERROR(INDIRECT(CONCATENATE("Track1!J",A14+7)),"")</f>
        <v>0</v>
      </c>
      <c r="K20" s="89" t="str">
        <f ca="1">IFERROR(INDIRECT(CONCATENATE("Track1!K",A14+7)),"")</f>
        <v/>
      </c>
      <c r="L20" s="89" t="str">
        <f ca="1">IFERROR(INDIRECT(CONCATENATE("Track1!L",A14+7)),"")</f>
        <v/>
      </c>
      <c r="M20" s="299">
        <f ca="1">IFERROR(INDIRECT(CONCATENATE("Track1!M",A14+7)),"")</f>
        <v>0</v>
      </c>
      <c r="N20" s="121" t="str">
        <f ca="1">IFERROR(INDIRECT(CONCATENATE("Track1!N",A14+7)),"")</f>
        <v/>
      </c>
    </row>
    <row r="21" spans="1:18" x14ac:dyDescent="0.35">
      <c r="B21" s="66">
        <f ca="1">IFERROR(INDIRECT(CONCATENATE("Track1!B",A14+8)),"")</f>
        <v>7</v>
      </c>
      <c r="C21" s="66">
        <f ca="1">IFERROR(INDIRECT(CONCATENATE("Track1!C",A14+8)),"")</f>
        <v>0</v>
      </c>
      <c r="D21" s="89" t="str">
        <f ca="1">IFERROR(INDIRECT(CONCATENATE("Track1!D",A14+8)),"")</f>
        <v/>
      </c>
      <c r="E21" s="89" t="str">
        <f ca="1">IFERROR(INDIRECT(CONCATENATE("Track1!E",A14+8)),"")</f>
        <v/>
      </c>
      <c r="F21" s="299">
        <f ca="1">IFERROR(INDIRECT(CONCATENATE("Track1!F",A14+8)),"")</f>
        <v>0</v>
      </c>
      <c r="G21" s="121" t="str">
        <f ca="1">IFERROR(INDIRECT(CONCATENATE("Track1!G",A14+8)),"")</f>
        <v/>
      </c>
      <c r="H21" s="66"/>
      <c r="I21" s="66">
        <f ca="1">IFERROR(INDIRECT(CONCATENATE("Track1!I",A14+8)),"")</f>
        <v>7</v>
      </c>
      <c r="J21" s="66">
        <f ca="1">IFERROR(INDIRECT(CONCATENATE("Track1!J",A14+8)),"")</f>
        <v>0</v>
      </c>
      <c r="K21" s="89" t="str">
        <f ca="1">IFERROR(INDIRECT(CONCATENATE("Track1!K",A14+8)),"")</f>
        <v/>
      </c>
      <c r="L21" s="89" t="str">
        <f ca="1">IFERROR(INDIRECT(CONCATENATE("Track1!L",A14+8)),"")</f>
        <v/>
      </c>
      <c r="M21" s="299">
        <f ca="1">IFERROR(INDIRECT(CONCATENATE("Track1!M",A14+8)),"")</f>
        <v>0</v>
      </c>
      <c r="N21" s="121" t="str">
        <f ca="1">IFERROR(INDIRECT(CONCATENATE("Track1!N",A14+8)),"")</f>
        <v/>
      </c>
    </row>
    <row r="22" spans="1:18" x14ac:dyDescent="0.35">
      <c r="B22" s="66">
        <f ca="1">IFERROR(INDIRECT(CONCATENATE("Track1!B",A14+9)),"")</f>
        <v>8</v>
      </c>
      <c r="C22" s="66">
        <f ca="1">IFERROR(INDIRECT(CONCATENATE("Track1!C",A14+9)),"")</f>
        <v>0</v>
      </c>
      <c r="D22" s="89" t="str">
        <f ca="1">IFERROR(INDIRECT(CONCATENATE("Track1!D",A14+9)),"")</f>
        <v/>
      </c>
      <c r="E22" s="89" t="str">
        <f ca="1">IFERROR(INDIRECT(CONCATENATE("Track1!E",A14+9)),"")</f>
        <v/>
      </c>
      <c r="F22" s="299">
        <f ca="1">IFERROR(INDIRECT(CONCATENATE("Track1!F",A14+9)),"")</f>
        <v>0</v>
      </c>
      <c r="G22" s="121" t="str">
        <f ca="1">IFERROR(INDIRECT(CONCATENATE("Track1!G",A14+9)),"")</f>
        <v/>
      </c>
      <c r="H22" s="66"/>
      <c r="I22" s="66">
        <f ca="1">IFERROR(INDIRECT(CONCATENATE("Track1!I",A14+9)),"")</f>
        <v>8</v>
      </c>
      <c r="J22" s="66">
        <f ca="1">IFERROR(INDIRECT(CONCATENATE("Track1!J",A14+9)),"")</f>
        <v>0</v>
      </c>
      <c r="K22" s="89" t="str">
        <f ca="1">IFERROR(INDIRECT(CONCATENATE("Track1!K",A14+9)),"")</f>
        <v/>
      </c>
      <c r="L22" s="89" t="str">
        <f ca="1">IFERROR(INDIRECT(CONCATENATE("Track1!L",A14+9)),"")</f>
        <v/>
      </c>
      <c r="M22" s="299">
        <f ca="1">IFERROR(INDIRECT(CONCATENATE("Track1!M",A14+9)),"")</f>
        <v>0</v>
      </c>
      <c r="N22" s="121" t="str">
        <f ca="1">IFERROR(INDIRECT(CONCATENATE("Track1!N",A14+9)),"")</f>
        <v/>
      </c>
    </row>
    <row r="24" spans="1:18" x14ac:dyDescent="0.35">
      <c r="A24" s="66" t="s">
        <v>37</v>
      </c>
      <c r="B24" s="115" t="str">
        <f ca="1">IFERROR(INDIRECT(CONCATENATE("Track1!B",A25)),"")</f>
        <v>200m U13 Boys A</v>
      </c>
      <c r="E24" s="89" t="s">
        <v>259</v>
      </c>
      <c r="F24" s="299">
        <f ca="1">IFERROR(INDIRECT(CONCATENATE("Track1!f",A25)),"")</f>
        <v>0</v>
      </c>
      <c r="G24" s="121" t="str">
        <f ca="1">IFERROR(INDIRECT(CONCATENATE("Track1!g",A25)),"")</f>
        <v/>
      </c>
      <c r="I24" s="115" t="str">
        <f ca="1">IFERROR(INDIRECT(CONCATENATE("Track1!I",A25)),"")</f>
        <v>200m U13 Boys B</v>
      </c>
      <c r="L24" s="89" t="s">
        <v>259</v>
      </c>
      <c r="M24" s="299">
        <f ca="1">IFERROR(INDIRECT(CONCATENATE("Track1!M",A25)),"")</f>
        <v>0</v>
      </c>
    </row>
    <row r="25" spans="1:18" x14ac:dyDescent="0.35">
      <c r="A25" s="66">
        <f>IFERROR(MATCH(A24,Track1!A:A,0),"")</f>
        <v>57</v>
      </c>
      <c r="B25" s="45" t="str">
        <f ca="1">IFERROR(INDIRECT(CONCATENATE("Track1!B",A25+1)),"")</f>
        <v>Posn</v>
      </c>
      <c r="C25" s="45" t="str">
        <f ca="1">IFERROR(INDIRECT(CONCATENATE("Track1!C",A25+1)),"")</f>
        <v>No.</v>
      </c>
      <c r="D25" s="182" t="str">
        <f ca="1">IFERROR(INDIRECT(CONCATENATE("Track1!D",A25+1)),"")</f>
        <v>Athlete</v>
      </c>
      <c r="E25" s="182" t="str">
        <f ca="1">IFERROR(INDIRECT(CONCATENATE("Track1!E",A25+1)),"")</f>
        <v>Club</v>
      </c>
      <c r="F25" s="301" t="str">
        <f ca="1">IFERROR(INDIRECT(CONCATENATE("Track1!F",A25+1)),"")</f>
        <v>Perf</v>
      </c>
      <c r="G25" s="218" t="str">
        <f ca="1">IFERROR(INDIRECT(CONCATENATE("Track1!G",A25+1)),"")</f>
        <v>AAA</v>
      </c>
      <c r="H25" s="45"/>
      <c r="I25" s="45" t="str">
        <f ca="1">IFERROR(INDIRECT(CONCATENATE("Track1!I",A25+1)),"")</f>
        <v>Posn</v>
      </c>
      <c r="J25" s="45" t="str">
        <f ca="1">IFERROR(INDIRECT(CONCATENATE("Track1!J",A25+1)),"")</f>
        <v>No.</v>
      </c>
      <c r="K25" s="182" t="str">
        <f ca="1">IFERROR(INDIRECT(CONCATENATE("Track1!K",A25+1)),"")</f>
        <v>Athlete</v>
      </c>
      <c r="L25" s="182" t="str">
        <f ca="1">IFERROR(INDIRECT(CONCATENATE("Track1!L",A25+1)),"")</f>
        <v>Club</v>
      </c>
      <c r="M25" s="301" t="str">
        <f ca="1">IFERROR(INDIRECT(CONCATENATE("Track1!M",A25+1)),"")</f>
        <v>Perf</v>
      </c>
      <c r="N25" s="218" t="str">
        <f ca="1">IFERROR(INDIRECT(CONCATENATE("Track1!N",A25+1)),"")</f>
        <v>AAA</v>
      </c>
    </row>
    <row r="26" spans="1:18" x14ac:dyDescent="0.35">
      <c r="B26" s="66">
        <f ca="1">IFERROR(INDIRECT(CONCATENATE("Track1!B",A25+2)),"")</f>
        <v>1</v>
      </c>
      <c r="C26" s="66">
        <f ca="1">IFERROR(INDIRECT(CONCATENATE("Track1!C",A25+2)),"")</f>
        <v>4</v>
      </c>
      <c r="D26" s="89" t="str">
        <f ca="1">IFERROR(INDIRECT(CONCATENATE("Track1!D",A25+2)),"")</f>
        <v>MAYNARD Finley</v>
      </c>
      <c r="E26" s="89" t="str">
        <f ca="1">IFERROR(INDIRECT(CONCATENATE("Track1!E",A25+2)),"")</f>
        <v>M'bro</v>
      </c>
      <c r="F26" s="299">
        <f ca="1">IFERROR(INDIRECT(CONCATENATE("Track1!F",A25+2)),"")</f>
        <v>28.4</v>
      </c>
      <c r="G26" s="121">
        <f ca="1">IFERROR(INDIRECT(CONCATENATE("Track1!G",A25+2)),"")</f>
        <v>4</v>
      </c>
      <c r="H26" s="66"/>
      <c r="I26" s="66">
        <f ca="1">IFERROR(INDIRECT(CONCATENATE("Track1!I",A25+2)),"")</f>
        <v>1</v>
      </c>
      <c r="J26" s="66">
        <f ca="1">IFERROR(INDIRECT(CONCATENATE("Track1!J",A25+2)),"")</f>
        <v>33</v>
      </c>
      <c r="K26" s="89" t="str">
        <f ca="1">IFERROR(INDIRECT(CONCATENATE("Track1!K",A25+2)),"")</f>
        <v>BASTOW Isaac</v>
      </c>
      <c r="L26" s="89" t="str">
        <f ca="1">IFERROR(INDIRECT(CONCATENATE("Track1!L",A25+2)),"")</f>
        <v>York</v>
      </c>
      <c r="M26" s="299">
        <f ca="1">IFERROR(INDIRECT(CONCATENATE("Track1!M",A25+2)),"")</f>
        <v>29.6</v>
      </c>
      <c r="N26" s="121" t="str">
        <f ca="1">IFERROR(INDIRECT(CONCATENATE("Track1!N",A25+2)),"")</f>
        <v/>
      </c>
      <c r="R26" s="219">
        <f ca="1">IFERROR(INDIRECT(CONCATENATE("Track1!r",A25+2)),"")</f>
        <v>1</v>
      </c>
    </row>
    <row r="27" spans="1:18" x14ac:dyDescent="0.35">
      <c r="B27" s="66">
        <f ca="1">IFERROR(INDIRECT(CONCATENATE("Track1!B",A25+3)),"")</f>
        <v>2</v>
      </c>
      <c r="C27" s="66">
        <f ca="1">IFERROR(INDIRECT(CONCATENATE("Track1!C",A25+3)),"")</f>
        <v>3</v>
      </c>
      <c r="D27" s="89" t="str">
        <f ca="1">IFERROR(INDIRECT(CONCATENATE("Track1!D",A25+3)),"")</f>
        <v>MARSHALL Syd</v>
      </c>
      <c r="E27" s="89" t="str">
        <f ca="1">IFERROR(INDIRECT(CONCATENATE("Track1!E",A25+3)),"")</f>
        <v>York</v>
      </c>
      <c r="F27" s="299">
        <f ca="1">IFERROR(INDIRECT(CONCATENATE("Track1!F",A25+3)),"")</f>
        <v>29</v>
      </c>
      <c r="G27" s="121">
        <f ca="1">IFERROR(INDIRECT(CONCATENATE("Track1!G",A25+3)),"")</f>
        <v>4</v>
      </c>
      <c r="H27" s="66"/>
      <c r="I27" s="66">
        <f ca="1">IFERROR(INDIRECT(CONCATENATE("Track1!I",A25+3)),"")</f>
        <v>2</v>
      </c>
      <c r="J27" s="66">
        <f ca="1">IFERROR(INDIRECT(CONCATENATE("Track1!J",A25+3)),"")</f>
        <v>11</v>
      </c>
      <c r="K27" s="89" t="str">
        <f ca="1">IFERROR(INDIRECT(CONCATENATE("Track1!K",A25+3)),"")</f>
        <v>LOWE Seth</v>
      </c>
      <c r="L27" s="89" t="str">
        <f ca="1">IFERROR(INDIRECT(CONCATENATE("Track1!L",A25+3)),"")</f>
        <v>C'field</v>
      </c>
      <c r="M27" s="299">
        <f ca="1">IFERROR(INDIRECT(CONCATENATE("Track1!M",A25+3)),"")</f>
        <v>29.9</v>
      </c>
      <c r="N27" s="121" t="str">
        <f ca="1">IFERROR(INDIRECT(CONCATENATE("Track1!N",A25+3)),"")</f>
        <v/>
      </c>
    </row>
    <row r="28" spans="1:18" x14ac:dyDescent="0.35">
      <c r="B28" s="66">
        <f ca="1">IFERROR(INDIRECT(CONCATENATE("Track1!B",A25+4)),"")</f>
        <v>3</v>
      </c>
      <c r="C28" s="66">
        <f ca="1">IFERROR(INDIRECT(CONCATENATE("Track1!C",A25+4)),"")</f>
        <v>1</v>
      </c>
      <c r="D28" s="89" t="str">
        <f ca="1">IFERROR(INDIRECT(CONCATENATE("Track1!D",A25+4)),"")</f>
        <v>GASKIN Nathanael</v>
      </c>
      <c r="E28" s="89" t="str">
        <f ca="1">IFERROR(INDIRECT(CONCATENATE("Track1!E",A25+4)),"")</f>
        <v>C'field</v>
      </c>
      <c r="F28" s="299">
        <f ca="1">IFERROR(INDIRECT(CONCATENATE("Track1!F",A25+4)),"")</f>
        <v>30</v>
      </c>
      <c r="G28" s="121" t="str">
        <f ca="1">IFERROR(INDIRECT(CONCATENATE("Track1!G",A25+4)),"")</f>
        <v/>
      </c>
      <c r="H28" s="66"/>
      <c r="I28" s="66">
        <f ca="1">IFERROR(INDIRECT(CONCATENATE("Track1!I",A25+4)),"")</f>
        <v>3</v>
      </c>
      <c r="J28" s="66">
        <f ca="1">IFERROR(INDIRECT(CONCATENATE("Track1!J",A25+4)),"")</f>
        <v>22</v>
      </c>
      <c r="K28" s="89" t="str">
        <f ca="1">IFERROR(INDIRECT(CONCATENATE("Track1!K",A25+4)),"")</f>
        <v>MAY Rudi</v>
      </c>
      <c r="L28" s="89" t="str">
        <f ca="1">IFERROR(INDIRECT(CONCATENATE("Track1!L",A25+4)),"")</f>
        <v>Sheff+D</v>
      </c>
      <c r="M28" s="299">
        <f ca="1">IFERROR(INDIRECT(CONCATENATE("Track1!M",A25+4)),"")</f>
        <v>30.6</v>
      </c>
      <c r="N28" s="121" t="str">
        <f ca="1">IFERROR(INDIRECT(CONCATENATE("Track1!N",A25+4)),"")</f>
        <v/>
      </c>
    </row>
    <row r="29" spans="1:18" x14ac:dyDescent="0.35">
      <c r="B29" s="66">
        <f ca="1">IFERROR(INDIRECT(CONCATENATE("Track1!B",A25+5)),"")</f>
        <v>4</v>
      </c>
      <c r="C29" s="66">
        <f ca="1">IFERROR(INDIRECT(CONCATENATE("Track1!C",A25+5)),"")</f>
        <v>2</v>
      </c>
      <c r="D29" s="89" t="str">
        <f ca="1">IFERROR(INDIRECT(CONCATENATE("Track1!D",A25+5)),"")</f>
        <v>WINGFIELD Tyler</v>
      </c>
      <c r="E29" s="89" t="str">
        <f ca="1">IFERROR(INDIRECT(CONCATENATE("Track1!E",A25+5)),"")</f>
        <v>Sheff+D</v>
      </c>
      <c r="F29" s="299">
        <f ca="1">IFERROR(INDIRECT(CONCATENATE("Track1!F",A25+5)),"")</f>
        <v>30.1</v>
      </c>
      <c r="G29" s="121" t="str">
        <f ca="1">IFERROR(INDIRECT(CONCATENATE("Track1!G",A25+5)),"")</f>
        <v/>
      </c>
      <c r="H29" s="66"/>
      <c r="I29" s="66">
        <f ca="1">IFERROR(INDIRECT(CONCATENATE("Track1!I",A25+5)),"")</f>
        <v>4</v>
      </c>
      <c r="J29" s="66">
        <f ca="1">IFERROR(INDIRECT(CONCATENATE("Track1!J",A25+5)),"")</f>
        <v>44</v>
      </c>
      <c r="K29" s="89" t="str">
        <f ca="1">IFERROR(INDIRECT(CONCATENATE("Track1!K",A25+5)),"")</f>
        <v>HONEYMAN Leo</v>
      </c>
      <c r="L29" s="89" t="str">
        <f ca="1">IFERROR(INDIRECT(CONCATENATE("Track1!L",A25+5)),"")</f>
        <v>M'bro</v>
      </c>
      <c r="M29" s="299">
        <f ca="1">IFERROR(INDIRECT(CONCATENATE("Track1!M",A25+5)),"")</f>
        <v>31.6</v>
      </c>
      <c r="N29" s="121" t="str">
        <f ca="1">IFERROR(INDIRECT(CONCATENATE("Track1!N",A25+5)),"")</f>
        <v/>
      </c>
    </row>
    <row r="30" spans="1:18" x14ac:dyDescent="0.35">
      <c r="B30" s="66">
        <f ca="1">IFERROR(INDIRECT(CONCATENATE("Track1!B",A25+6)),"")</f>
        <v>5</v>
      </c>
      <c r="C30" s="66">
        <f ca="1">IFERROR(INDIRECT(CONCATENATE("Track1!C",A25+6)),"")</f>
        <v>5</v>
      </c>
      <c r="D30" s="89" t="str">
        <f ca="1">IFERROR(INDIRECT(CONCATENATE("Track1!D",A25+6)),"")</f>
        <v>LANGTON Cody</v>
      </c>
      <c r="E30" s="89" t="str">
        <f ca="1">IFERROR(INDIRECT(CONCATENATE("Track1!E",A25+6)),"")</f>
        <v>Scun</v>
      </c>
      <c r="F30" s="299">
        <f ca="1">IFERROR(INDIRECT(CONCATENATE("Track1!F",A25+6)),"")</f>
        <v>30.4</v>
      </c>
      <c r="G30" s="121" t="str">
        <f ca="1">IFERROR(INDIRECT(CONCATENATE("Track1!G",A25+6)),"")</f>
        <v/>
      </c>
      <c r="H30" s="66"/>
      <c r="I30" s="66">
        <f ca="1">IFERROR(INDIRECT(CONCATENATE("Track1!I",A25+6)),"")</f>
        <v>5</v>
      </c>
      <c r="J30" s="66">
        <f ca="1">IFERROR(INDIRECT(CONCATENATE("Track1!J",A25+6)),"")</f>
        <v>0</v>
      </c>
      <c r="K30" s="89" t="str">
        <f ca="1">IFERROR(INDIRECT(CONCATENATE("Track1!K",A25+6)),"")</f>
        <v/>
      </c>
      <c r="L30" s="89" t="str">
        <f ca="1">IFERROR(INDIRECT(CONCATENATE("Track1!L",A25+6)),"")</f>
        <v/>
      </c>
      <c r="M30" s="299">
        <f ca="1">IFERROR(INDIRECT(CONCATENATE("Track1!M",A25+6)),"")</f>
        <v>0</v>
      </c>
      <c r="N30" s="121" t="str">
        <f ca="1">IFERROR(INDIRECT(CONCATENATE("Track1!N",A25+6)),"")</f>
        <v/>
      </c>
    </row>
    <row r="31" spans="1:18" x14ac:dyDescent="0.35">
      <c r="B31" s="66">
        <f ca="1">IFERROR(INDIRECT(CONCATENATE("Track1!B",A25+7)),"")</f>
        <v>6</v>
      </c>
      <c r="C31" s="66">
        <f ca="1">IFERROR(INDIRECT(CONCATENATE("Track1!C",A25+7)),"")</f>
        <v>0</v>
      </c>
      <c r="D31" s="89" t="str">
        <f ca="1">IFERROR(INDIRECT(CONCATENATE("Track1!D",A25+7)),"")</f>
        <v/>
      </c>
      <c r="E31" s="89" t="str">
        <f ca="1">IFERROR(INDIRECT(CONCATENATE("Track1!E",A25+7)),"")</f>
        <v/>
      </c>
      <c r="F31" s="299">
        <f ca="1">IFERROR(INDIRECT(CONCATENATE("Track1!F",A25+7)),"")</f>
        <v>0</v>
      </c>
      <c r="G31" s="121" t="str">
        <f ca="1">IFERROR(INDIRECT(CONCATENATE("Track1!G",A25+7)),"")</f>
        <v/>
      </c>
      <c r="H31" s="66"/>
      <c r="I31" s="66">
        <f ca="1">IFERROR(INDIRECT(CONCATENATE("Track1!I",A25+7)),"")</f>
        <v>6</v>
      </c>
      <c r="J31" s="66">
        <f ca="1">IFERROR(INDIRECT(CONCATENATE("Track1!J",A25+7)),"")</f>
        <v>0</v>
      </c>
      <c r="K31" s="89" t="str">
        <f ca="1">IFERROR(INDIRECT(CONCATENATE("Track1!K",A25+7)),"")</f>
        <v/>
      </c>
      <c r="L31" s="89" t="str">
        <f ca="1">IFERROR(INDIRECT(CONCATENATE("Track1!L",A25+7)),"")</f>
        <v/>
      </c>
      <c r="M31" s="299">
        <f ca="1">IFERROR(INDIRECT(CONCATENATE("Track1!M",A25+7)),"")</f>
        <v>0</v>
      </c>
      <c r="N31" s="121" t="str">
        <f ca="1">IFERROR(INDIRECT(CONCATENATE("Track1!N",A25+7)),"")</f>
        <v/>
      </c>
    </row>
    <row r="32" spans="1:18" x14ac:dyDescent="0.35">
      <c r="B32" s="66">
        <f ca="1">IFERROR(INDIRECT(CONCATENATE("Track1!B",A25+8)),"")</f>
        <v>7</v>
      </c>
      <c r="C32" s="66">
        <f ca="1">IFERROR(INDIRECT(CONCATENATE("Track1!C",A25+8)),"")</f>
        <v>0</v>
      </c>
      <c r="D32" s="89" t="str">
        <f ca="1">IFERROR(INDIRECT(CONCATENATE("Track1!D",A25+8)),"")</f>
        <v/>
      </c>
      <c r="E32" s="89" t="str">
        <f ca="1">IFERROR(INDIRECT(CONCATENATE("Track1!E",A25+8)),"")</f>
        <v/>
      </c>
      <c r="F32" s="299">
        <f ca="1">IFERROR(INDIRECT(CONCATENATE("Track1!F",A25+8)),"")</f>
        <v>0</v>
      </c>
      <c r="G32" s="121" t="str">
        <f ca="1">IFERROR(INDIRECT(CONCATENATE("Track1!G",A25+8)),"")</f>
        <v/>
      </c>
      <c r="H32" s="66"/>
      <c r="I32" s="66">
        <f ca="1">IFERROR(INDIRECT(CONCATENATE("Track1!I",A25+8)),"")</f>
        <v>7</v>
      </c>
      <c r="J32" s="66">
        <f ca="1">IFERROR(INDIRECT(CONCATENATE("Track1!J",A25+8)),"")</f>
        <v>0</v>
      </c>
      <c r="K32" s="89" t="str">
        <f ca="1">IFERROR(INDIRECT(CONCATENATE("Track1!K",A25+8)),"")</f>
        <v/>
      </c>
      <c r="L32" s="89" t="str">
        <f ca="1">IFERROR(INDIRECT(CONCATENATE("Track1!L",A25+8)),"")</f>
        <v/>
      </c>
      <c r="M32" s="299">
        <f ca="1">IFERROR(INDIRECT(CONCATENATE("Track1!M",A25+8)),"")</f>
        <v>0</v>
      </c>
      <c r="N32" s="121" t="str">
        <f ca="1">IFERROR(INDIRECT(CONCATENATE("Track1!N",A25+8)),"")</f>
        <v/>
      </c>
    </row>
    <row r="33" spans="1:18" x14ac:dyDescent="0.35">
      <c r="B33" s="66">
        <f ca="1">IFERROR(INDIRECT(CONCATENATE("Track1!B",A25+9)),"")</f>
        <v>8</v>
      </c>
      <c r="C33" s="66">
        <f ca="1">IFERROR(INDIRECT(CONCATENATE("Track1!C",A25+9)),"")</f>
        <v>0</v>
      </c>
      <c r="D33" s="89" t="str">
        <f ca="1">IFERROR(INDIRECT(CONCATENATE("Track1!D",A25+9)),"")</f>
        <v/>
      </c>
      <c r="E33" s="89" t="str">
        <f ca="1">IFERROR(INDIRECT(CONCATENATE("Track1!E",A25+9)),"")</f>
        <v/>
      </c>
      <c r="F33" s="299">
        <f ca="1">IFERROR(INDIRECT(CONCATENATE("Track1!F",A25+9)),"")</f>
        <v>0</v>
      </c>
      <c r="G33" s="121" t="str">
        <f ca="1">IFERROR(INDIRECT(CONCATENATE("Track1!G",A25+9)),"")</f>
        <v/>
      </c>
      <c r="H33" s="66"/>
      <c r="I33" s="66">
        <f ca="1">IFERROR(INDIRECT(CONCATENATE("Track1!I",A25+9)),"")</f>
        <v>8</v>
      </c>
      <c r="J33" s="66">
        <f ca="1">IFERROR(INDIRECT(CONCATENATE("Track1!J",A25+9)),"")</f>
        <v>0</v>
      </c>
      <c r="K33" s="89" t="str">
        <f ca="1">IFERROR(INDIRECT(CONCATENATE("Track1!K",A25+9)),"")</f>
        <v/>
      </c>
      <c r="L33" s="89" t="str">
        <f ca="1">IFERROR(INDIRECT(CONCATENATE("Track1!L",A25+9)),"")</f>
        <v/>
      </c>
      <c r="M33" s="299">
        <f ca="1">IFERROR(INDIRECT(CONCATENATE("Track1!M",A25+9)),"")</f>
        <v>0</v>
      </c>
      <c r="N33" s="121" t="str">
        <f ca="1">IFERROR(INDIRECT(CONCATENATE("Track1!N",A25+9)),"")</f>
        <v/>
      </c>
    </row>
    <row r="35" spans="1:18" x14ac:dyDescent="0.35">
      <c r="A35" s="66" t="s">
        <v>507</v>
      </c>
      <c r="B35" s="115" t="str">
        <f ca="1">IFERROR(INDIRECT(CONCATENATE("Track1!B",A36)),"")</f>
        <v>800m U13 Boys A</v>
      </c>
      <c r="F35" s="299">
        <f ca="1">IFERROR(INDIRECT(CONCATENATE("Track1!f",A36)),"")</f>
        <v>0</v>
      </c>
      <c r="G35" s="121" t="str">
        <f ca="1">IFERROR(INDIRECT(CONCATENATE("Track1!g",A36)),"")</f>
        <v/>
      </c>
      <c r="I35" s="115" t="str">
        <f ca="1">IFERROR(INDIRECT(CONCATENATE("Track1!I",A36)),"")</f>
        <v>800m U13 Boys B</v>
      </c>
    </row>
    <row r="36" spans="1:18" x14ac:dyDescent="0.35">
      <c r="A36" s="66">
        <f>IFERROR(MATCH(A35,Track1!A:A,0),"")</f>
        <v>211</v>
      </c>
      <c r="B36" s="45" t="str">
        <f ca="1">IFERROR(INDIRECT(CONCATENATE("Track1!B",A36+1)),"")</f>
        <v>Posn</v>
      </c>
      <c r="C36" s="45" t="str">
        <f ca="1">IFERROR(INDIRECT(CONCATENATE("Track1!C",A36+1)),"")</f>
        <v>No.</v>
      </c>
      <c r="D36" s="182" t="str">
        <f ca="1">IFERROR(INDIRECT(CONCATENATE("Track1!D",A36+1)),"")</f>
        <v>Athlete</v>
      </c>
      <c r="E36" s="182" t="str">
        <f ca="1">IFERROR(INDIRECT(CONCATENATE("Track1!E",A36+1)),"")</f>
        <v>Club</v>
      </c>
      <c r="F36" s="301" t="str">
        <f ca="1">IFERROR(INDIRECT(CONCATENATE("Track1!F",A36+1)),"")</f>
        <v>Perf</v>
      </c>
      <c r="G36" s="218" t="str">
        <f ca="1">IFERROR(INDIRECT(CONCATENATE("Track1!G",A36+1)),"")</f>
        <v>AAA</v>
      </c>
      <c r="H36" s="45"/>
      <c r="I36" s="45" t="str">
        <f ca="1">IFERROR(INDIRECT(CONCATENATE("Track1!I",A36+1)),"")</f>
        <v>Posn</v>
      </c>
      <c r="J36" s="45" t="str">
        <f ca="1">IFERROR(INDIRECT(CONCATENATE("Track1!J",A36+1)),"")</f>
        <v>No.</v>
      </c>
      <c r="K36" s="182" t="str">
        <f ca="1">IFERROR(INDIRECT(CONCATENATE("Track1!K",A36+1)),"")</f>
        <v>Athlete</v>
      </c>
      <c r="L36" s="182" t="str">
        <f ca="1">IFERROR(INDIRECT(CONCATENATE("Track1!L",A36+1)),"")</f>
        <v>Club</v>
      </c>
      <c r="M36" s="301" t="str">
        <f ca="1">IFERROR(INDIRECT(CONCATENATE("Track1!M",A36+1)),"")</f>
        <v>Perf</v>
      </c>
      <c r="N36" s="218" t="str">
        <f ca="1">IFERROR(INDIRECT(CONCATENATE("Track1!N",A36+1)),"")</f>
        <v>AAA</v>
      </c>
    </row>
    <row r="37" spans="1:18" x14ac:dyDescent="0.35">
      <c r="B37" s="66">
        <f ca="1">IFERROR(INDIRECT(CONCATENATE("Track1!B",A36+2)),"")</f>
        <v>1</v>
      </c>
      <c r="C37" s="66">
        <f ca="1">IFERROR(INDIRECT(CONCATENATE("Track1!C",A36+2)),"")</f>
        <v>2</v>
      </c>
      <c r="D37" s="89" t="str">
        <f ca="1">IFERROR(INDIRECT(CONCATENATE("Track1!D",A36+2)),"")</f>
        <v>PLATTS Will</v>
      </c>
      <c r="E37" s="89" t="str">
        <f ca="1">IFERROR(INDIRECT(CONCATENATE("Track1!E",A36+2)),"")</f>
        <v>Sheff+D</v>
      </c>
      <c r="F37" s="302">
        <f ca="1">IFERROR(INDIRECT(CONCATENATE("Track1!T",A36+2)),"")</f>
        <v>1.7685185185185182E-3</v>
      </c>
      <c r="G37" s="121">
        <f ca="1">IFERROR(INDIRECT(CONCATENATE("Track1!G",A36+2)),"")</f>
        <v>4</v>
      </c>
      <c r="H37" s="66"/>
      <c r="I37" s="66">
        <f ca="1">IFERROR(INDIRECT(CONCATENATE("Track1!I",A36+2)),"")</f>
        <v>1</v>
      </c>
      <c r="J37" s="66">
        <f ca="1">IFERROR(INDIRECT(CONCATENATE("Track1!J",A36+2)),"")</f>
        <v>22</v>
      </c>
      <c r="K37" s="89" t="str">
        <f ca="1">IFERROR(INDIRECT(CONCATENATE("Track1!K",A36+2)),"")</f>
        <v>REED Elliot</v>
      </c>
      <c r="L37" s="89" t="str">
        <f ca="1">IFERROR(INDIRECT(CONCATENATE("Track1!L",A36+2)),"")</f>
        <v>Sheff+D</v>
      </c>
      <c r="M37" s="302">
        <f ca="1">IFERROR(INDIRECT(CONCATENATE("Track1!U",A36+2)),"")</f>
        <v>1.9039351851851852E-3</v>
      </c>
      <c r="N37" s="121" t="str">
        <f ca="1">IFERROR(INDIRECT(CONCATENATE("Track1!N",A36+2)),"")</f>
        <v/>
      </c>
      <c r="R37" s="219">
        <f ca="1">IFERROR(INDIRECT(CONCATENATE("Track1!r",A36+2)),"")</f>
        <v>1</v>
      </c>
    </row>
    <row r="38" spans="1:18" x14ac:dyDescent="0.35">
      <c r="B38" s="66">
        <f ca="1">IFERROR(INDIRECT(CONCATENATE("Track1!B",A36+3)),"")</f>
        <v>2</v>
      </c>
      <c r="C38" s="66">
        <f ca="1">IFERROR(INDIRECT(CONCATENATE("Track1!C",A36+3)),"")</f>
        <v>44</v>
      </c>
      <c r="D38" s="89" t="str">
        <f ca="1">IFERROR(INDIRECT(CONCATENATE("Track1!D",A36+3)),"")</f>
        <v>CRAGGS George</v>
      </c>
      <c r="E38" s="89" t="str">
        <f ca="1">IFERROR(INDIRECT(CONCATENATE("Track1!E",A36+3)),"")</f>
        <v>M'bro</v>
      </c>
      <c r="F38" s="302">
        <f ca="1">IFERROR(INDIRECT(CONCATENATE("Track1!T",A36+3)),"")</f>
        <v>1.8229166666666667E-3</v>
      </c>
      <c r="G38" s="121" t="str">
        <f ca="1">IFERROR(INDIRECT(CONCATENATE("Track1!G",A36+3)),"")</f>
        <v/>
      </c>
      <c r="H38" s="66"/>
      <c r="I38" s="66">
        <f ca="1">IFERROR(INDIRECT(CONCATENATE("Track1!I",A36+3)),"")</f>
        <v>2</v>
      </c>
      <c r="J38" s="66">
        <f ca="1">IFERROR(INDIRECT(CONCATENATE("Track1!J",A36+3)),"")</f>
        <v>33</v>
      </c>
      <c r="K38" s="89" t="str">
        <f ca="1">IFERROR(INDIRECT(CONCATENATE("Track1!K",A36+3)),"")</f>
        <v>JONES Alex</v>
      </c>
      <c r="L38" s="89" t="str">
        <f ca="1">IFERROR(INDIRECT(CONCATENATE("Track1!L",A36+3)),"")</f>
        <v>York</v>
      </c>
      <c r="M38" s="302">
        <f ca="1">IFERROR(INDIRECT(CONCATENATE("Track1!U",A36+3)),"")</f>
        <v>1.953703703703704E-3</v>
      </c>
      <c r="N38" s="121" t="str">
        <f ca="1">IFERROR(INDIRECT(CONCATENATE("Track1!N",A36+3)),"")</f>
        <v/>
      </c>
    </row>
    <row r="39" spans="1:18" x14ac:dyDescent="0.35">
      <c r="B39" s="66">
        <f ca="1">IFERROR(INDIRECT(CONCATENATE("Track1!B",A36+4)),"")</f>
        <v>3</v>
      </c>
      <c r="C39" s="66">
        <f ca="1">IFERROR(INDIRECT(CONCATENATE("Track1!C",A36+4)),"")</f>
        <v>3</v>
      </c>
      <c r="D39" s="89" t="str">
        <f ca="1">IFERROR(INDIRECT(CONCATENATE("Track1!D",A36+4)),"")</f>
        <v>SANDWELL Joshua</v>
      </c>
      <c r="E39" s="89" t="str">
        <f ca="1">IFERROR(INDIRECT(CONCATENATE("Track1!E",A36+4)),"")</f>
        <v>York</v>
      </c>
      <c r="F39" s="302">
        <f ca="1">IFERROR(INDIRECT(CONCATENATE("Track1!T",A36+4)),"")</f>
        <v>1.8749999999999999E-3</v>
      </c>
      <c r="G39" s="121" t="str">
        <f ca="1">IFERROR(INDIRECT(CONCATENATE("Track1!G",A36+4)),"")</f>
        <v/>
      </c>
      <c r="H39" s="66"/>
      <c r="I39" s="66">
        <f ca="1">IFERROR(INDIRECT(CONCATENATE("Track1!I",A36+4)),"")</f>
        <v>3</v>
      </c>
      <c r="J39" s="66">
        <f ca="1">IFERROR(INDIRECT(CONCATENATE("Track1!J",A36+4)),"")</f>
        <v>4</v>
      </c>
      <c r="K39" s="89" t="str">
        <f ca="1">IFERROR(INDIRECT(CONCATENATE("Track1!K",A36+4)),"")</f>
        <v>FRANCIS Stan</v>
      </c>
      <c r="L39" s="89" t="str">
        <f ca="1">IFERROR(INDIRECT(CONCATENATE("Track1!L",A36+4)),"")</f>
        <v>M'bro</v>
      </c>
      <c r="M39" s="302">
        <f ca="1">IFERROR(INDIRECT(CONCATENATE("Track1!U",A36+4)),"")</f>
        <v>1.9965277777777776E-3</v>
      </c>
      <c r="N39" s="121" t="str">
        <f ca="1">IFERROR(INDIRECT(CONCATENATE("Track1!N",A36+4)),"")</f>
        <v/>
      </c>
    </row>
    <row r="40" spans="1:18" x14ac:dyDescent="0.35">
      <c r="B40" s="66">
        <f ca="1">IFERROR(INDIRECT(CONCATENATE("Track1!B",A36+5)),"")</f>
        <v>4</v>
      </c>
      <c r="C40" s="66">
        <f ca="1">IFERROR(INDIRECT(CONCATENATE("Track1!C",A36+5)),"")</f>
        <v>1</v>
      </c>
      <c r="D40" s="89" t="str">
        <f ca="1">IFERROR(INDIRECT(CONCATENATE("Track1!D",A36+5)),"")</f>
        <v>LOWE Seth</v>
      </c>
      <c r="E40" s="89" t="str">
        <f ca="1">IFERROR(INDIRECT(CONCATENATE("Track1!E",A36+5)),"")</f>
        <v>C'field</v>
      </c>
      <c r="F40" s="302">
        <f ca="1">IFERROR(INDIRECT(CONCATENATE("Track1!T",A36+5)),"")</f>
        <v>1.8888888888888887E-3</v>
      </c>
      <c r="G40" s="121" t="str">
        <f ca="1">IFERROR(INDIRECT(CONCATENATE("Track1!G",A36+5)),"")</f>
        <v/>
      </c>
      <c r="H40" s="66"/>
      <c r="I40" s="66">
        <f ca="1">IFERROR(INDIRECT(CONCATENATE("Track1!I",A36+5)),"")</f>
        <v>4</v>
      </c>
      <c r="J40" s="66">
        <f ca="1">IFERROR(INDIRECT(CONCATENATE("Track1!J",A36+5)),"")</f>
        <v>11</v>
      </c>
      <c r="K40" s="89" t="str">
        <f ca="1">IFERROR(INDIRECT(CONCATENATE("Track1!K",A36+5)),"")</f>
        <v>STOWELL Callum</v>
      </c>
      <c r="L40" s="89" t="str">
        <f ca="1">IFERROR(INDIRECT(CONCATENATE("Track1!L",A36+5)),"")</f>
        <v>C'field</v>
      </c>
      <c r="M40" s="302">
        <f ca="1">IFERROR(INDIRECT(CONCATENATE("Track1!U",A36+5)),"")</f>
        <v>2.138888888888889E-3</v>
      </c>
      <c r="N40" s="121" t="str">
        <f ca="1">IFERROR(INDIRECT(CONCATENATE("Track1!N",A36+5)),"")</f>
        <v/>
      </c>
    </row>
    <row r="41" spans="1:18" x14ac:dyDescent="0.35">
      <c r="B41" s="66">
        <f ca="1">IFERROR(INDIRECT(CONCATENATE("Track1!B",A36+6)),"")</f>
        <v>5</v>
      </c>
      <c r="C41" s="66">
        <f ca="1">IFERROR(INDIRECT(CONCATENATE("Track1!C",A36+6)),"")</f>
        <v>0</v>
      </c>
      <c r="D41" s="89" t="str">
        <f ca="1">IFERROR(INDIRECT(CONCATENATE("Track1!D",A36+6)),"")</f>
        <v/>
      </c>
      <c r="E41" s="89" t="str">
        <f ca="1">IFERROR(INDIRECT(CONCATENATE("Track1!E",A36+6)),"")</f>
        <v/>
      </c>
      <c r="F41" s="302">
        <f ca="1">IFERROR(INDIRECT(CONCATENATE("Track1!T",A36+6)),"")</f>
        <v>0</v>
      </c>
      <c r="G41" s="121" t="str">
        <f ca="1">IFERROR(INDIRECT(CONCATENATE("Track1!G",A36+6)),"")</f>
        <v/>
      </c>
      <c r="H41" s="66"/>
      <c r="I41" s="66">
        <f ca="1">IFERROR(INDIRECT(CONCATENATE("Track1!I",A36+6)),"")</f>
        <v>5</v>
      </c>
      <c r="J41" s="66">
        <f ca="1">IFERROR(INDIRECT(CONCATENATE("Track1!J",A36+6)),"")</f>
        <v>0</v>
      </c>
      <c r="K41" s="89" t="str">
        <f ca="1">IFERROR(INDIRECT(CONCATENATE("Track1!K",A36+6)),"")</f>
        <v/>
      </c>
      <c r="L41" s="89" t="str">
        <f ca="1">IFERROR(INDIRECT(CONCATENATE("Track1!L",A36+6)),"")</f>
        <v/>
      </c>
      <c r="M41" s="302">
        <f ca="1">IFERROR(INDIRECT(CONCATENATE("Track1!U",A36+6)),"")</f>
        <v>0</v>
      </c>
      <c r="N41" s="121" t="str">
        <f ca="1">IFERROR(INDIRECT(CONCATENATE("Track1!N",A36+6)),"")</f>
        <v/>
      </c>
    </row>
    <row r="42" spans="1:18" x14ac:dyDescent="0.35">
      <c r="B42" s="66">
        <f ca="1">IFERROR(INDIRECT(CONCATENATE("Track1!B",A36+7)),"")</f>
        <v>6</v>
      </c>
      <c r="C42" s="66">
        <f ca="1">IFERROR(INDIRECT(CONCATENATE("Track1!C",A36+7)),"")</f>
        <v>0</v>
      </c>
      <c r="D42" s="89" t="str">
        <f ca="1">IFERROR(INDIRECT(CONCATENATE("Track1!D",A36+7)),"")</f>
        <v/>
      </c>
      <c r="E42" s="89" t="str">
        <f ca="1">IFERROR(INDIRECT(CONCATENATE("Track1!E",A36+7)),"")</f>
        <v/>
      </c>
      <c r="F42" s="302">
        <f ca="1">IFERROR(INDIRECT(CONCATENATE("Track1!T",A36+7)),"")</f>
        <v>0</v>
      </c>
      <c r="G42" s="121" t="str">
        <f ca="1">IFERROR(INDIRECT(CONCATENATE("Track1!G",A36+7)),"")</f>
        <v/>
      </c>
      <c r="H42" s="66"/>
      <c r="I42" s="66">
        <f ca="1">IFERROR(INDIRECT(CONCATENATE("Track1!I",A36+7)),"")</f>
        <v>6</v>
      </c>
      <c r="J42" s="66">
        <f ca="1">IFERROR(INDIRECT(CONCATENATE("Track1!J",A36+7)),"")</f>
        <v>0</v>
      </c>
      <c r="K42" s="89" t="str">
        <f ca="1">IFERROR(INDIRECT(CONCATENATE("Track1!K",A36+7)),"")</f>
        <v/>
      </c>
      <c r="L42" s="89" t="str">
        <f ca="1">IFERROR(INDIRECT(CONCATENATE("Track1!L",A36+7)),"")</f>
        <v/>
      </c>
      <c r="M42" s="302">
        <f ca="1">IFERROR(INDIRECT(CONCATENATE("Track1!U",A36+7)),"")</f>
        <v>0</v>
      </c>
      <c r="N42" s="121" t="str">
        <f ca="1">IFERROR(INDIRECT(CONCATENATE("Track1!N",A36+7)),"")</f>
        <v/>
      </c>
    </row>
    <row r="43" spans="1:18" x14ac:dyDescent="0.35">
      <c r="B43" s="66">
        <f ca="1">IFERROR(INDIRECT(CONCATENATE("Track1!B",A36+8)),"")</f>
        <v>7</v>
      </c>
      <c r="C43" s="66">
        <f ca="1">IFERROR(INDIRECT(CONCATENATE("Track1!C",A36+8)),"")</f>
        <v>0</v>
      </c>
      <c r="D43" s="89" t="str">
        <f ca="1">IFERROR(INDIRECT(CONCATENATE("Track1!D",A36+8)),"")</f>
        <v/>
      </c>
      <c r="E43" s="89" t="str">
        <f ca="1">IFERROR(INDIRECT(CONCATENATE("Track1!E",A36+8)),"")</f>
        <v/>
      </c>
      <c r="F43" s="302">
        <f ca="1">IFERROR(INDIRECT(CONCATENATE("Track1!T",A36+8)),"")</f>
        <v>0</v>
      </c>
      <c r="G43" s="121" t="str">
        <f ca="1">IFERROR(INDIRECT(CONCATENATE("Track1!G",A36+8)),"")</f>
        <v/>
      </c>
      <c r="H43" s="66"/>
      <c r="I43" s="66">
        <f ca="1">IFERROR(INDIRECT(CONCATENATE("Track1!I",A36+8)),"")</f>
        <v>7</v>
      </c>
      <c r="J43" s="66">
        <f ca="1">IFERROR(INDIRECT(CONCATENATE("Track1!J",A36+8)),"")</f>
        <v>0</v>
      </c>
      <c r="K43" s="89" t="str">
        <f ca="1">IFERROR(INDIRECT(CONCATENATE("Track1!K",A36+8)),"")</f>
        <v/>
      </c>
      <c r="L43" s="89" t="str">
        <f ca="1">IFERROR(INDIRECT(CONCATENATE("Track1!L",A36+8)),"")</f>
        <v/>
      </c>
      <c r="M43" s="302">
        <f ca="1">IFERROR(INDIRECT(CONCATENATE("Track1!U",A36+8)),"")</f>
        <v>0</v>
      </c>
      <c r="N43" s="121" t="str">
        <f ca="1">IFERROR(INDIRECT(CONCATENATE("Track1!N",A36+8)),"")</f>
        <v/>
      </c>
    </row>
    <row r="44" spans="1:18" x14ac:dyDescent="0.35">
      <c r="B44" s="66">
        <f ca="1">IFERROR(INDIRECT(CONCATENATE("Track1!B",A36+9)),"")</f>
        <v>8</v>
      </c>
      <c r="C44" s="66">
        <f ca="1">IFERROR(INDIRECT(CONCATENATE("Track1!C",A36+9)),"")</f>
        <v>0</v>
      </c>
      <c r="D44" s="89" t="str">
        <f ca="1">IFERROR(INDIRECT(CONCATENATE("Track1!D",A36+9)),"")</f>
        <v/>
      </c>
      <c r="E44" s="89" t="str">
        <f ca="1">IFERROR(INDIRECT(CONCATENATE("Track1!E",A36+9)),"")</f>
        <v/>
      </c>
      <c r="F44" s="302">
        <f ca="1">IFERROR(INDIRECT(CONCATENATE("Track1!T",A36+9)),"")</f>
        <v>0</v>
      </c>
      <c r="G44" s="121" t="str">
        <f ca="1">IFERROR(INDIRECT(CONCATENATE("Track1!G",A36+9)),"")</f>
        <v/>
      </c>
      <c r="H44" s="66"/>
      <c r="I44" s="66">
        <f ca="1">IFERROR(INDIRECT(CONCATENATE("Track1!I",A36+9)),"")</f>
        <v>8</v>
      </c>
      <c r="J44" s="66">
        <f ca="1">IFERROR(INDIRECT(CONCATENATE("Track1!J",A36+9)),"")</f>
        <v>0</v>
      </c>
      <c r="K44" s="89" t="str">
        <f ca="1">IFERROR(INDIRECT(CONCATENATE("Track1!K",A36+9)),"")</f>
        <v/>
      </c>
      <c r="L44" s="89" t="str">
        <f ca="1">IFERROR(INDIRECT(CONCATENATE("Track1!L",A36+9)),"")</f>
        <v/>
      </c>
      <c r="M44" s="302">
        <f ca="1">IFERROR(INDIRECT(CONCATENATE("Track1!U",A36+9)),"")</f>
        <v>0</v>
      </c>
      <c r="N44" s="121" t="str">
        <f ca="1">IFERROR(INDIRECT(CONCATENATE("Track1!N",A36+9)),"")</f>
        <v/>
      </c>
    </row>
    <row r="46" spans="1:18" x14ac:dyDescent="0.35">
      <c r="A46" s="66" t="s">
        <v>511</v>
      </c>
      <c r="B46" s="115" t="str">
        <f ca="1">IFERROR(INDIRECT(CONCATENATE("Track1!B",A47)),"")</f>
        <v>800m NS U13 Boys A</v>
      </c>
      <c r="F46" s="299">
        <f ca="1">IFERROR(INDIRECT(CONCATENATE("Track1!f",A47)),"")</f>
        <v>0</v>
      </c>
      <c r="G46" s="121" t="str">
        <f ca="1">IFERROR(INDIRECT(CONCATENATE("Track1!g",A47)),"")</f>
        <v/>
      </c>
      <c r="I46" s="115" t="str">
        <f ca="1">IFERROR(INDIRECT(CONCATENATE("Track1!I",A47)),"")</f>
        <v>800m NS U13 Boys B</v>
      </c>
    </row>
    <row r="47" spans="1:18" x14ac:dyDescent="0.35">
      <c r="A47" s="66">
        <f>IFERROR(MATCH(A46,Track1!A:A,0),"")</f>
        <v>255</v>
      </c>
      <c r="B47" s="45" t="str">
        <f ca="1">IFERROR(INDIRECT(CONCATENATE("Track1!B",A47+1)),"")</f>
        <v>Posn</v>
      </c>
      <c r="C47" s="45" t="str">
        <f ca="1">IFERROR(INDIRECT(CONCATENATE("Track1!C",A47+1)),"")</f>
        <v>No.</v>
      </c>
      <c r="D47" s="182" t="str">
        <f ca="1">IFERROR(INDIRECT(CONCATENATE("Track1!D",A47+1)),"")</f>
        <v>Athlete</v>
      </c>
      <c r="E47" s="182" t="str">
        <f ca="1">IFERROR(INDIRECT(CONCATENATE("Track1!E",A47+1)),"")</f>
        <v>Club</v>
      </c>
      <c r="F47" s="301" t="str">
        <f ca="1">IFERROR(INDIRECT(CONCATENATE("Track1!F",A47+1)),"")</f>
        <v>Perf</v>
      </c>
      <c r="G47" s="218" t="str">
        <f ca="1">IFERROR(INDIRECT(CONCATENATE("Track1!G",A47+1)),"")</f>
        <v>AAA</v>
      </c>
      <c r="H47" s="45"/>
      <c r="I47" s="45" t="str">
        <f ca="1">IFERROR(INDIRECT(CONCATENATE("Track1!I",A47+1)),"")</f>
        <v>Posn</v>
      </c>
      <c r="J47" s="45" t="str">
        <f ca="1">IFERROR(INDIRECT(CONCATENATE("Track1!J",A47+1)),"")</f>
        <v>No.</v>
      </c>
      <c r="K47" s="182" t="str">
        <f ca="1">IFERROR(INDIRECT(CONCATENATE("Track1!K",A47+1)),"")</f>
        <v>Athlete</v>
      </c>
      <c r="L47" s="182" t="str">
        <f ca="1">IFERROR(INDIRECT(CONCATENATE("Track1!L",A47+1)),"")</f>
        <v>Club</v>
      </c>
      <c r="M47" s="301" t="str">
        <f ca="1">IFERROR(INDIRECT(CONCATENATE("Track1!M",A47+1)),"")</f>
        <v>Perf</v>
      </c>
      <c r="N47" s="218" t="str">
        <f ca="1">IFERROR(INDIRECT(CONCATENATE("Track1!N",A47+1)),"")</f>
        <v>AAA</v>
      </c>
    </row>
    <row r="48" spans="1:18" x14ac:dyDescent="0.35">
      <c r="B48" s="66">
        <f ca="1">IFERROR(INDIRECT(CONCATENATE("Track1!B",A47+2)),"")</f>
        <v>1</v>
      </c>
      <c r="C48" s="66">
        <f ca="1">IFERROR(INDIRECT(CONCATENATE("Track1!C",A47+2)),"")</f>
        <v>0</v>
      </c>
      <c r="D48" s="89" t="str">
        <f ca="1">IFERROR(INDIRECT(CONCATENATE("Track1!D",A47+2)),"")</f>
        <v/>
      </c>
      <c r="E48" s="89" t="str">
        <f ca="1">IFERROR(INDIRECT(CONCATENATE("Track1!E",A47+2)),"")</f>
        <v/>
      </c>
      <c r="F48" s="302">
        <f ca="1">IFERROR(INDIRECT(CONCATENATE("Track1!T",A47+2)),"")</f>
        <v>0</v>
      </c>
      <c r="G48" s="121" t="str">
        <f ca="1">IFERROR(INDIRECT(CONCATENATE("Track1!G",A47+2)),"")</f>
        <v/>
      </c>
      <c r="H48" s="66"/>
      <c r="I48" s="66">
        <f ca="1">IFERROR(INDIRECT(CONCATENATE("Track1!I",A47+2)),"")</f>
        <v>1</v>
      </c>
      <c r="J48" s="66">
        <f ca="1">IFERROR(INDIRECT(CONCATENATE("Track1!J",A47+2)),"")</f>
        <v>0</v>
      </c>
      <c r="K48" s="89" t="str">
        <f ca="1">IFERROR(INDIRECT(CONCATENATE("Track1!K",A47+2)),"")</f>
        <v/>
      </c>
      <c r="L48" s="89" t="str">
        <f ca="1">IFERROR(INDIRECT(CONCATENATE("Track1!L",A47+2)),"")</f>
        <v/>
      </c>
      <c r="M48" s="302">
        <f ca="1">IFERROR(INDIRECT(CONCATENATE("Track1!U",A47+2)),"")</f>
        <v>0</v>
      </c>
      <c r="N48" s="121" t="str">
        <f ca="1">IFERROR(INDIRECT(CONCATENATE("Track1!N",A47+2)),"")</f>
        <v/>
      </c>
      <c r="R48" s="219">
        <f ca="1">IFERROR(INDIRECT(CONCATENATE("Track1!r",A47+2)),"")</f>
        <v>0</v>
      </c>
    </row>
    <row r="49" spans="1:18" x14ac:dyDescent="0.35">
      <c r="B49" s="66">
        <f ca="1">IFERROR(INDIRECT(CONCATENATE("Track1!B",A47+3)),"")</f>
        <v>2</v>
      </c>
      <c r="C49" s="66">
        <f ca="1">IFERROR(INDIRECT(CONCATENATE("Track1!C",A47+3)),"")</f>
        <v>0</v>
      </c>
      <c r="D49" s="89" t="str">
        <f ca="1">IFERROR(INDIRECT(CONCATENATE("Track1!D",A47+3)),"")</f>
        <v/>
      </c>
      <c r="E49" s="89" t="str">
        <f ca="1">IFERROR(INDIRECT(CONCATENATE("Track1!E",A47+3)),"")</f>
        <v/>
      </c>
      <c r="F49" s="302">
        <f ca="1">IFERROR(INDIRECT(CONCATENATE("Track1!T",A47+3)),"")</f>
        <v>0</v>
      </c>
      <c r="G49" s="121" t="str">
        <f ca="1">IFERROR(INDIRECT(CONCATENATE("Track1!G",A47+3)),"")</f>
        <v/>
      </c>
      <c r="H49" s="66"/>
      <c r="I49" s="66">
        <f ca="1">IFERROR(INDIRECT(CONCATENATE("Track1!I",A47+3)),"")</f>
        <v>2</v>
      </c>
      <c r="J49" s="66">
        <f ca="1">IFERROR(INDIRECT(CONCATENATE("Track1!J",A47+3)),"")</f>
        <v>0</v>
      </c>
      <c r="K49" s="89" t="str">
        <f ca="1">IFERROR(INDIRECT(CONCATENATE("Track1!K",A47+3)),"")</f>
        <v/>
      </c>
      <c r="L49" s="89" t="str">
        <f ca="1">IFERROR(INDIRECT(CONCATENATE("Track1!L",A47+3)),"")</f>
        <v/>
      </c>
      <c r="M49" s="302">
        <f ca="1">IFERROR(INDIRECT(CONCATENATE("Track1!U",A47+3)),"")</f>
        <v>0</v>
      </c>
      <c r="N49" s="121" t="str">
        <f ca="1">IFERROR(INDIRECT(CONCATENATE("Track1!N",A47+3)),"")</f>
        <v/>
      </c>
    </row>
    <row r="50" spans="1:18" x14ac:dyDescent="0.35">
      <c r="B50" s="66">
        <f ca="1">IFERROR(INDIRECT(CONCATENATE("Track1!B",A47+4)),"")</f>
        <v>3</v>
      </c>
      <c r="C50" s="66">
        <f ca="1">IFERROR(INDIRECT(CONCATENATE("Track1!C",A47+4)),"")</f>
        <v>0</v>
      </c>
      <c r="D50" s="89" t="str">
        <f ca="1">IFERROR(INDIRECT(CONCATENATE("Track1!D",A47+4)),"")</f>
        <v/>
      </c>
      <c r="E50" s="89" t="str">
        <f ca="1">IFERROR(INDIRECT(CONCATENATE("Track1!E",A47+4)),"")</f>
        <v/>
      </c>
      <c r="F50" s="302">
        <f ca="1">IFERROR(INDIRECT(CONCATENATE("Track1!T",A47+4)),"")</f>
        <v>0</v>
      </c>
      <c r="G50" s="121" t="str">
        <f ca="1">IFERROR(INDIRECT(CONCATENATE("Track1!G",A47+4)),"")</f>
        <v/>
      </c>
      <c r="H50" s="66"/>
      <c r="I50" s="66">
        <f ca="1">IFERROR(INDIRECT(CONCATENATE("Track1!I",A47+4)),"")</f>
        <v>3</v>
      </c>
      <c r="J50" s="66">
        <f ca="1">IFERROR(INDIRECT(CONCATENATE("Track1!J",A47+4)),"")</f>
        <v>0</v>
      </c>
      <c r="K50" s="89" t="str">
        <f ca="1">IFERROR(INDIRECT(CONCATENATE("Track1!K",A47+4)),"")</f>
        <v/>
      </c>
      <c r="L50" s="89" t="str">
        <f ca="1">IFERROR(INDIRECT(CONCATENATE("Track1!L",A47+4)),"")</f>
        <v/>
      </c>
      <c r="M50" s="302">
        <f ca="1">IFERROR(INDIRECT(CONCATENATE("Track1!U",A47+4)),"")</f>
        <v>0</v>
      </c>
      <c r="N50" s="121" t="str">
        <f ca="1">IFERROR(INDIRECT(CONCATENATE("Track1!N",A47+4)),"")</f>
        <v/>
      </c>
    </row>
    <row r="51" spans="1:18" x14ac:dyDescent="0.35">
      <c r="B51" s="66">
        <f ca="1">IFERROR(INDIRECT(CONCATENATE("Track1!B",A47+5)),"")</f>
        <v>4</v>
      </c>
      <c r="C51" s="66">
        <f ca="1">IFERROR(INDIRECT(CONCATENATE("Track1!C",A47+5)),"")</f>
        <v>0</v>
      </c>
      <c r="D51" s="89" t="str">
        <f ca="1">IFERROR(INDIRECT(CONCATENATE("Track1!D",A47+5)),"")</f>
        <v/>
      </c>
      <c r="E51" s="89" t="str">
        <f ca="1">IFERROR(INDIRECT(CONCATENATE("Track1!E",A47+5)),"")</f>
        <v/>
      </c>
      <c r="F51" s="302">
        <f ca="1">IFERROR(INDIRECT(CONCATENATE("Track1!T",A47+5)),"")</f>
        <v>0</v>
      </c>
      <c r="G51" s="121" t="str">
        <f ca="1">IFERROR(INDIRECT(CONCATENATE("Track1!G",A47+5)),"")</f>
        <v/>
      </c>
      <c r="H51" s="66"/>
      <c r="I51" s="66">
        <f ca="1">IFERROR(INDIRECT(CONCATENATE("Track1!I",A47+5)),"")</f>
        <v>4</v>
      </c>
      <c r="J51" s="66">
        <f ca="1">IFERROR(INDIRECT(CONCATENATE("Track1!J",A47+5)),"")</f>
        <v>0</v>
      </c>
      <c r="K51" s="89" t="str">
        <f ca="1">IFERROR(INDIRECT(CONCATENATE("Track1!K",A47+5)),"")</f>
        <v/>
      </c>
      <c r="L51" s="89" t="str">
        <f ca="1">IFERROR(INDIRECT(CONCATENATE("Track1!L",A47+5)),"")</f>
        <v/>
      </c>
      <c r="M51" s="302">
        <f ca="1">IFERROR(INDIRECT(CONCATENATE("Track1!U",A47+5)),"")</f>
        <v>0</v>
      </c>
      <c r="N51" s="121" t="str">
        <f ca="1">IFERROR(INDIRECT(CONCATENATE("Track1!N",A47+5)),"")</f>
        <v/>
      </c>
    </row>
    <row r="52" spans="1:18" x14ac:dyDescent="0.35">
      <c r="B52" s="66">
        <f ca="1">IFERROR(INDIRECT(CONCATENATE("Track1!B",A47+6)),"")</f>
        <v>5</v>
      </c>
      <c r="C52" s="66">
        <f ca="1">IFERROR(INDIRECT(CONCATENATE("Track1!C",A47+6)),"")</f>
        <v>0</v>
      </c>
      <c r="D52" s="89" t="str">
        <f ca="1">IFERROR(INDIRECT(CONCATENATE("Track1!D",A47+6)),"")</f>
        <v/>
      </c>
      <c r="E52" s="89" t="str">
        <f ca="1">IFERROR(INDIRECT(CONCATENATE("Track1!E",A47+6)),"")</f>
        <v/>
      </c>
      <c r="F52" s="302">
        <f ca="1">IFERROR(INDIRECT(CONCATENATE("Track1!T",A47+6)),"")</f>
        <v>0</v>
      </c>
      <c r="G52" s="121" t="str">
        <f ca="1">IFERROR(INDIRECT(CONCATENATE("Track1!G",A47+6)),"")</f>
        <v/>
      </c>
      <c r="H52" s="66"/>
      <c r="I52" s="66">
        <f ca="1">IFERROR(INDIRECT(CONCATENATE("Track1!I",A47+6)),"")</f>
        <v>5</v>
      </c>
      <c r="J52" s="66">
        <f ca="1">IFERROR(INDIRECT(CONCATENATE("Track1!J",A47+6)),"")</f>
        <v>0</v>
      </c>
      <c r="K52" s="89" t="str">
        <f ca="1">IFERROR(INDIRECT(CONCATENATE("Track1!K",A47+6)),"")</f>
        <v/>
      </c>
      <c r="L52" s="89" t="str">
        <f ca="1">IFERROR(INDIRECT(CONCATENATE("Track1!L",A47+6)),"")</f>
        <v/>
      </c>
      <c r="M52" s="302">
        <f ca="1">IFERROR(INDIRECT(CONCATENATE("Track1!U",A47+6)),"")</f>
        <v>0</v>
      </c>
      <c r="N52" s="121" t="str">
        <f ca="1">IFERROR(INDIRECT(CONCATENATE("Track1!N",A47+6)),"")</f>
        <v/>
      </c>
    </row>
    <row r="53" spans="1:18" x14ac:dyDescent="0.35">
      <c r="B53" s="66">
        <f ca="1">IFERROR(INDIRECT(CONCATENATE("Track1!B",A47+7)),"")</f>
        <v>6</v>
      </c>
      <c r="C53" s="66">
        <f ca="1">IFERROR(INDIRECT(CONCATENATE("Track1!C",A47+7)),"")</f>
        <v>0</v>
      </c>
      <c r="D53" s="89" t="str">
        <f ca="1">IFERROR(INDIRECT(CONCATENATE("Track1!D",A47+7)),"")</f>
        <v/>
      </c>
      <c r="E53" s="89" t="str">
        <f ca="1">IFERROR(INDIRECT(CONCATENATE("Track1!E",A47+7)),"")</f>
        <v/>
      </c>
      <c r="F53" s="302">
        <f ca="1">IFERROR(INDIRECT(CONCATENATE("Track1!T",A47+7)),"")</f>
        <v>0</v>
      </c>
      <c r="G53" s="121" t="str">
        <f ca="1">IFERROR(INDIRECT(CONCATENATE("Track1!G",A47+7)),"")</f>
        <v/>
      </c>
      <c r="H53" s="66"/>
      <c r="I53" s="66">
        <f ca="1">IFERROR(INDIRECT(CONCATENATE("Track1!I",A47+7)),"")</f>
        <v>6</v>
      </c>
      <c r="J53" s="66">
        <f ca="1">IFERROR(INDIRECT(CONCATENATE("Track1!J",A47+7)),"")</f>
        <v>0</v>
      </c>
      <c r="K53" s="89" t="str">
        <f ca="1">IFERROR(INDIRECT(CONCATENATE("Track1!K",A47+7)),"")</f>
        <v/>
      </c>
      <c r="L53" s="89" t="str">
        <f ca="1">IFERROR(INDIRECT(CONCATENATE("Track1!L",A47+7)),"")</f>
        <v/>
      </c>
      <c r="M53" s="302">
        <f ca="1">IFERROR(INDIRECT(CONCATENATE("Track1!U",A47+7)),"")</f>
        <v>0</v>
      </c>
      <c r="N53" s="121" t="str">
        <f ca="1">IFERROR(INDIRECT(CONCATENATE("Track1!N",A47+7)),"")</f>
        <v/>
      </c>
    </row>
    <row r="54" spans="1:18" x14ac:dyDescent="0.35">
      <c r="B54" s="66">
        <f ca="1">IFERROR(INDIRECT(CONCATENATE("Track1!B",A47+8)),"")</f>
        <v>7</v>
      </c>
      <c r="C54" s="66">
        <f ca="1">IFERROR(INDIRECT(CONCATENATE("Track1!C",A47+8)),"")</f>
        <v>0</v>
      </c>
      <c r="D54" s="89" t="str">
        <f ca="1">IFERROR(INDIRECT(CONCATENATE("Track1!D",A47+8)),"")</f>
        <v/>
      </c>
      <c r="E54" s="89" t="str">
        <f ca="1">IFERROR(INDIRECT(CONCATENATE("Track1!E",A47+8)),"")</f>
        <v/>
      </c>
      <c r="F54" s="302">
        <f ca="1">IFERROR(INDIRECT(CONCATENATE("Track1!T",A47+8)),"")</f>
        <v>0</v>
      </c>
      <c r="G54" s="121" t="str">
        <f ca="1">IFERROR(INDIRECT(CONCATENATE("Track1!G",A47+8)),"")</f>
        <v/>
      </c>
      <c r="H54" s="66"/>
      <c r="I54" s="66">
        <f ca="1">IFERROR(INDIRECT(CONCATENATE("Track1!I",A47+8)),"")</f>
        <v>7</v>
      </c>
      <c r="J54" s="66">
        <f ca="1">IFERROR(INDIRECT(CONCATENATE("Track1!J",A47+8)),"")</f>
        <v>0</v>
      </c>
      <c r="K54" s="89" t="str">
        <f ca="1">IFERROR(INDIRECT(CONCATENATE("Track1!K",A47+8)),"")</f>
        <v/>
      </c>
      <c r="L54" s="89" t="str">
        <f ca="1">IFERROR(INDIRECT(CONCATENATE("Track1!L",A47+8)),"")</f>
        <v/>
      </c>
      <c r="M54" s="302">
        <f ca="1">IFERROR(INDIRECT(CONCATENATE("Track1!U",A47+8)),"")</f>
        <v>0</v>
      </c>
      <c r="N54" s="121" t="str">
        <f ca="1">IFERROR(INDIRECT(CONCATENATE("Track1!N",A47+8)),"")</f>
        <v/>
      </c>
    </row>
    <row r="55" spans="1:18" x14ac:dyDescent="0.35">
      <c r="B55" s="66">
        <f ca="1">IFERROR(INDIRECT(CONCATENATE("Track1!B",A47+9)),"")</f>
        <v>8</v>
      </c>
      <c r="C55" s="66">
        <f ca="1">IFERROR(INDIRECT(CONCATENATE("Track1!C",A47+9)),"")</f>
        <v>0</v>
      </c>
      <c r="D55" s="89" t="str">
        <f ca="1">IFERROR(INDIRECT(CONCATENATE("Track1!D",A47+9)),"")</f>
        <v/>
      </c>
      <c r="E55" s="89" t="str">
        <f ca="1">IFERROR(INDIRECT(CONCATENATE("Track1!E",A47+9)),"")</f>
        <v/>
      </c>
      <c r="F55" s="302">
        <f ca="1">IFERROR(INDIRECT(CONCATENATE("Track1!T",A47+9)),"")</f>
        <v>0</v>
      </c>
      <c r="G55" s="121" t="str">
        <f ca="1">IFERROR(INDIRECT(CONCATENATE("Track1!G",A47+9)),"")</f>
        <v/>
      </c>
      <c r="H55" s="66"/>
      <c r="I55" s="66">
        <f ca="1">IFERROR(INDIRECT(CONCATENATE("Track1!I",A47+9)),"")</f>
        <v>8</v>
      </c>
      <c r="J55" s="66">
        <f ca="1">IFERROR(INDIRECT(CONCATENATE("Track1!J",A47+9)),"")</f>
        <v>0</v>
      </c>
      <c r="K55" s="89" t="str">
        <f ca="1">IFERROR(INDIRECT(CONCATENATE("Track1!K",A47+9)),"")</f>
        <v/>
      </c>
      <c r="L55" s="89" t="str">
        <f ca="1">IFERROR(INDIRECT(CONCATENATE("Track1!L",A47+9)),"")</f>
        <v/>
      </c>
      <c r="M55" s="302">
        <f ca="1">IFERROR(INDIRECT(CONCATENATE("Track1!U",A47+9)),"")</f>
        <v>0</v>
      </c>
      <c r="N55" s="121" t="str">
        <f ca="1">IFERROR(INDIRECT(CONCATENATE("Track1!N",A47+9)),"")</f>
        <v/>
      </c>
    </row>
    <row r="57" spans="1:18" x14ac:dyDescent="0.35">
      <c r="A57" s="66" t="s">
        <v>310</v>
      </c>
      <c r="B57" s="115" t="str">
        <f ca="1">IFERROR(INDIRECT(CONCATENATE("Track2!B",A58)),"")</f>
        <v>1500m U13 Boys A</v>
      </c>
      <c r="G57" s="121">
        <f ca="1">IFERROR(INDIRECT(CONCATENATE("Track2!g",A58)),"")</f>
        <v>0</v>
      </c>
      <c r="I57" s="115" t="str">
        <f ca="1">IFERROR(INDIRECT(CONCATENATE("Track2!I",A58)),"")</f>
        <v>1500m U13 Boys B</v>
      </c>
    </row>
    <row r="58" spans="1:18" x14ac:dyDescent="0.35">
      <c r="A58" s="66">
        <f>IFERROR(MATCH(A57,Track2!A:A,0),"")</f>
        <v>13</v>
      </c>
      <c r="B58" s="45" t="str">
        <f ca="1">IFERROR(INDIRECT(CONCATENATE("Track2!B",A58+1)),"")</f>
        <v>Posn</v>
      </c>
      <c r="C58" s="45" t="str">
        <f ca="1">IFERROR(INDIRECT(CONCATENATE("Track2!C",A58+1)),"")</f>
        <v>No.</v>
      </c>
      <c r="D58" s="182" t="str">
        <f ca="1">IFERROR(INDIRECT(CONCATENATE("Track2!D",A58+1)),"")</f>
        <v>Athlete</v>
      </c>
      <c r="E58" s="182" t="str">
        <f ca="1">IFERROR(INDIRECT(CONCATENATE("Track2!E",A58+1)),"")</f>
        <v>Club</v>
      </c>
      <c r="F58" s="301" t="str">
        <f ca="1">IFERROR(INDIRECT(CONCATENATE("Track2!F",A58+1)),"")</f>
        <v>Perf</v>
      </c>
      <c r="G58" s="218" t="str">
        <f ca="1">IFERROR(INDIRECT(CONCATENATE("Track2!G",A58+1)),"")</f>
        <v>AAA</v>
      </c>
      <c r="H58" s="45"/>
      <c r="I58" s="45" t="str">
        <f ca="1">IFERROR(INDIRECT(CONCATENATE("Track2!I",A58+1)),"")</f>
        <v>Posn</v>
      </c>
      <c r="J58" s="45" t="str">
        <f ca="1">IFERROR(INDIRECT(CONCATENATE("Track2!J",A58+1)),"")</f>
        <v>No.</v>
      </c>
      <c r="K58" s="182" t="str">
        <f ca="1">IFERROR(INDIRECT(CONCATENATE("Track2!K",A58+1)),"")</f>
        <v>Athlete</v>
      </c>
      <c r="L58" s="182" t="str">
        <f ca="1">IFERROR(INDIRECT(CONCATENATE("Track2!L",A58+1)),"")</f>
        <v>Club</v>
      </c>
      <c r="M58" s="301" t="str">
        <f ca="1">IFERROR(INDIRECT(CONCATENATE("Track2!M",A58+1)),"")</f>
        <v>Perf</v>
      </c>
      <c r="N58" s="218" t="str">
        <f ca="1">IFERROR(INDIRECT(CONCATENATE("Track2!N",A58+1)),"")</f>
        <v>AAA</v>
      </c>
    </row>
    <row r="59" spans="1:18" x14ac:dyDescent="0.35">
      <c r="B59" s="66">
        <f ca="1">IFERROR(INDIRECT(CONCATENATE("Track2!B",A58+2)),"")</f>
        <v>1</v>
      </c>
      <c r="C59" s="66">
        <f ca="1">IFERROR(INDIRECT(CONCATENATE("Track2!C",A58+2)),"")</f>
        <v>4</v>
      </c>
      <c r="D59" s="89" t="str">
        <f ca="1">IFERROR(INDIRECT(CONCATENATE("Track2!D",A58+2)),"")</f>
        <v>O'HARE Christy</v>
      </c>
      <c r="E59" s="89" t="str">
        <f ca="1">IFERROR(INDIRECT(CONCATENATE("Track2!E",A58+2)),"")</f>
        <v>M'bro</v>
      </c>
      <c r="F59" s="302">
        <f ca="1">IFERROR(INDIRECT(CONCATENATE("Track2!F",A58+2)),"")</f>
        <v>3.4664351851851852E-3</v>
      </c>
      <c r="G59" s="121" t="str">
        <f ca="1">IFERROR(INDIRECT(CONCATENATE("Track2!G",A58+2)),"")</f>
        <v/>
      </c>
      <c r="H59" s="66"/>
      <c r="I59" s="66">
        <f ca="1">IFERROR(INDIRECT(CONCATENATE("Track2!I",A58+2)),"")</f>
        <v>1</v>
      </c>
      <c r="J59" s="66">
        <f ca="1">IFERROR(INDIRECT(CONCATENATE("Track2!J",A58+2)),"")</f>
        <v>44</v>
      </c>
      <c r="K59" s="89" t="str">
        <f ca="1">IFERROR(INDIRECT(CONCATENATE("Track2!K",A58+2)),"")</f>
        <v>MARRON Ethan</v>
      </c>
      <c r="L59" s="89" t="str">
        <f ca="1">IFERROR(INDIRECT(CONCATENATE("Track2!L",A58+2)),"")</f>
        <v>M'bro</v>
      </c>
      <c r="M59" s="302">
        <f ca="1">IFERROR(INDIRECT(CONCATENATE("Track2!M",A58+2)),"")</f>
        <v>3.7465277777777774E-3</v>
      </c>
      <c r="N59" s="121" t="str">
        <f ca="1">IFERROR(INDIRECT(CONCATENATE("Track2!N",A58+2)),"")</f>
        <v/>
      </c>
      <c r="R59" s="219">
        <f ca="1">IFERROR(INDIRECT(CONCATENATE("Track2!r",A58+2)),"")</f>
        <v>1</v>
      </c>
    </row>
    <row r="60" spans="1:18" x14ac:dyDescent="0.35">
      <c r="B60" s="66">
        <f ca="1">IFERROR(INDIRECT(CONCATENATE("Track2!B",A58+3)),"")</f>
        <v>2</v>
      </c>
      <c r="C60" s="66">
        <f ca="1">IFERROR(INDIRECT(CONCATENATE("Track2!C",A58+3)),"")</f>
        <v>2</v>
      </c>
      <c r="D60" s="89" t="str">
        <f ca="1">IFERROR(INDIRECT(CONCATENATE("Track2!D",A58+3)),"")</f>
        <v>TAYLOR George</v>
      </c>
      <c r="E60" s="89" t="str">
        <f ca="1">IFERROR(INDIRECT(CONCATENATE("Track2!E",A58+3)),"")</f>
        <v>Sheff+D</v>
      </c>
      <c r="F60" s="302">
        <f ca="1">IFERROR(INDIRECT(CONCATENATE("Track2!F",A58+3)),"")</f>
        <v>3.8229166666666667E-3</v>
      </c>
      <c r="G60" s="121" t="str">
        <f ca="1">IFERROR(INDIRECT(CONCATENATE("Track2!G",A58+3)),"")</f>
        <v/>
      </c>
      <c r="H60" s="66"/>
      <c r="I60" s="66">
        <f ca="1">IFERROR(INDIRECT(CONCATENATE("Track2!I",A58+3)),"")</f>
        <v>2</v>
      </c>
      <c r="J60" s="66">
        <f ca="1">IFERROR(INDIRECT(CONCATENATE("Track2!J",A58+3)),"")</f>
        <v>33</v>
      </c>
      <c r="K60" s="89" t="str">
        <f ca="1">IFERROR(INDIRECT(CONCATENATE("Track2!K",A58+3)),"")</f>
        <v>WATSON Miles</v>
      </c>
      <c r="L60" s="89" t="str">
        <f ca="1">IFERROR(INDIRECT(CONCATENATE("Track2!L",A58+3)),"")</f>
        <v>York</v>
      </c>
      <c r="M60" s="302">
        <f ca="1">IFERROR(INDIRECT(CONCATENATE("Track2!M",A58+3)),"")</f>
        <v>4.0185185185185194E-3</v>
      </c>
      <c r="N60" s="121" t="str">
        <f ca="1">IFERROR(INDIRECT(CONCATENATE("Track2!N",A58+3)),"")</f>
        <v/>
      </c>
    </row>
    <row r="61" spans="1:18" x14ac:dyDescent="0.35">
      <c r="B61" s="66">
        <f ca="1">IFERROR(INDIRECT(CONCATENATE("Track2!B",A58+4)),"")</f>
        <v>3</v>
      </c>
      <c r="C61" s="66">
        <f ca="1">IFERROR(INDIRECT(CONCATENATE("Track2!C",A58+4)),"")</f>
        <v>3</v>
      </c>
      <c r="D61" s="89" t="str">
        <f ca="1">IFERROR(INDIRECT(CONCATENATE("Track2!D",A58+4)),"")</f>
        <v>CHALK William</v>
      </c>
      <c r="E61" s="89" t="str">
        <f ca="1">IFERROR(INDIRECT(CONCATENATE("Track2!E",A58+4)),"")</f>
        <v>York</v>
      </c>
      <c r="F61" s="302">
        <f ca="1">IFERROR(INDIRECT(CONCATENATE("Track2!F",A58+4)),"")</f>
        <v>3.9027777777777776E-3</v>
      </c>
      <c r="G61" s="121" t="str">
        <f ca="1">IFERROR(INDIRECT(CONCATENATE("Track2!G",A58+4)),"")</f>
        <v/>
      </c>
      <c r="H61" s="66"/>
      <c r="I61" s="66">
        <f ca="1">IFERROR(INDIRECT(CONCATENATE("Track2!I",A58+4)),"")</f>
        <v>3</v>
      </c>
      <c r="J61" s="66">
        <f ca="1">IFERROR(INDIRECT(CONCATENATE("Track2!J",A58+4)),"")</f>
        <v>22</v>
      </c>
      <c r="K61" s="89" t="str">
        <f ca="1">IFERROR(INDIRECT(CONCATENATE("Track2!K",A58+4)),"")</f>
        <v>ENGLISH Elliott</v>
      </c>
      <c r="L61" s="89" t="str">
        <f ca="1">IFERROR(INDIRECT(CONCATENATE("Track2!L",A58+4)),"")</f>
        <v>Sheff+D</v>
      </c>
      <c r="M61" s="302">
        <f ca="1">IFERROR(INDIRECT(CONCATENATE("Track2!M",A58+4)),"")</f>
        <v>4.1481481481481482E-3</v>
      </c>
      <c r="N61" s="121" t="str">
        <f ca="1">IFERROR(INDIRECT(CONCATENATE("Track2!N",A58+4)),"")</f>
        <v/>
      </c>
    </row>
    <row r="62" spans="1:18" x14ac:dyDescent="0.35">
      <c r="B62" s="66" t="str">
        <f ca="1">IFERROR(INDIRECT(CONCATENATE("Track2!B",A58+5)),"")</f>
        <v>4=</v>
      </c>
      <c r="C62" s="66">
        <f ca="1">IFERROR(INDIRECT(CONCATENATE("Track2!C",A58+5)),"")</f>
        <v>5</v>
      </c>
      <c r="D62" s="89" t="str">
        <f ca="1">IFERROR(INDIRECT(CONCATENATE("Track2!D",A58+5)),"")</f>
        <v>OADES James</v>
      </c>
      <c r="E62" s="89" t="str">
        <f ca="1">IFERROR(INDIRECT(CONCATENATE("Track2!E",A58+5)),"")</f>
        <v>Scun</v>
      </c>
      <c r="F62" s="302">
        <f ca="1">IFERROR(INDIRECT(CONCATENATE("Track2!F",A58+5)),"")</f>
        <v>4.0381944444444441E-3</v>
      </c>
      <c r="G62" s="121" t="str">
        <f ca="1">IFERROR(INDIRECT(CONCATENATE("Track2!G",A58+5)),"")</f>
        <v/>
      </c>
      <c r="H62" s="66"/>
      <c r="I62" s="66">
        <f ca="1">IFERROR(INDIRECT(CONCATENATE("Track2!I",A58+5)),"")</f>
        <v>4</v>
      </c>
      <c r="J62" s="66" t="str">
        <f ca="1">IFERROR(INDIRECT(CONCATENATE("Track2!J",A58+5)),"")</f>
        <v/>
      </c>
      <c r="K62" s="89" t="str">
        <f ca="1">IFERROR(INDIRECT(CONCATENATE("Track2!K",A58+5)),"")</f>
        <v/>
      </c>
      <c r="L62" s="89" t="str">
        <f ca="1">IFERROR(INDIRECT(CONCATENATE("Track2!L",A58+5)),"")</f>
        <v/>
      </c>
      <c r="M62" s="302" t="str">
        <f ca="1">IFERROR(INDIRECT(CONCATENATE("Track2!M",A58+5)),"")</f>
        <v/>
      </c>
      <c r="N62" s="121" t="str">
        <f ca="1">IFERROR(INDIRECT(CONCATENATE("Track2!N",A58+5)),"")</f>
        <v/>
      </c>
    </row>
    <row r="63" spans="1:18" x14ac:dyDescent="0.35">
      <c r="B63" s="66" t="str">
        <f ca="1">IFERROR(INDIRECT(CONCATENATE("Track2!B",A58+6)),"")</f>
        <v>4=</v>
      </c>
      <c r="C63" s="66" t="str">
        <f ca="1">IFERROR(INDIRECT(CONCATENATE("Track2!C",A58+6)),"")</f>
        <v/>
      </c>
      <c r="D63" s="89" t="str">
        <f ca="1">IFERROR(INDIRECT(CONCATENATE("Track2!D",A58+6)),"")</f>
        <v/>
      </c>
      <c r="E63" s="89" t="str">
        <f ca="1">IFERROR(INDIRECT(CONCATENATE("Track2!E",A58+6)),"")</f>
        <v/>
      </c>
      <c r="F63" s="302" t="str">
        <f ca="1">IFERROR(INDIRECT(CONCATENATE("Track2!F",A58+6)),"")</f>
        <v/>
      </c>
      <c r="G63" s="121" t="str">
        <f ca="1">IFERROR(INDIRECT(CONCATENATE("Track2!G",A58+6)),"")</f>
        <v/>
      </c>
      <c r="H63" s="66"/>
      <c r="I63" s="66">
        <f ca="1">IFERROR(INDIRECT(CONCATENATE("Track2!I",A58+6)),"")</f>
        <v>5</v>
      </c>
      <c r="J63" s="66" t="str">
        <f ca="1">IFERROR(INDIRECT(CONCATENATE("Track2!J",A58+6)),"")</f>
        <v/>
      </c>
      <c r="K63" s="89" t="str">
        <f ca="1">IFERROR(INDIRECT(CONCATENATE("Track2!K",A58+6)),"")</f>
        <v/>
      </c>
      <c r="L63" s="89" t="str">
        <f ca="1">IFERROR(INDIRECT(CONCATENATE("Track2!L",A58+6)),"")</f>
        <v/>
      </c>
      <c r="M63" s="302" t="str">
        <f ca="1">IFERROR(INDIRECT(CONCATENATE("Track2!M",A58+6)),"")</f>
        <v/>
      </c>
      <c r="N63" s="121" t="str">
        <f ca="1">IFERROR(INDIRECT(CONCATENATE("Track2!N",A58+6)),"")</f>
        <v/>
      </c>
    </row>
    <row r="64" spans="1:18" x14ac:dyDescent="0.35">
      <c r="B64" s="66">
        <f ca="1">IFERROR(INDIRECT(CONCATENATE("Track2!B",A58+7)),"")</f>
        <v>6</v>
      </c>
      <c r="C64" s="66" t="str">
        <f ca="1">IFERROR(INDIRECT(CONCATENATE("Track2!C",A58+7)),"")</f>
        <v/>
      </c>
      <c r="D64" s="89" t="str">
        <f ca="1">IFERROR(INDIRECT(CONCATENATE("Track2!D",A58+7)),"")</f>
        <v/>
      </c>
      <c r="E64" s="89" t="str">
        <f ca="1">IFERROR(INDIRECT(CONCATENATE("Track2!E",A58+7)),"")</f>
        <v/>
      </c>
      <c r="F64" s="302" t="str">
        <f ca="1">IFERROR(INDIRECT(CONCATENATE("Track2!F",A58+7)),"")</f>
        <v/>
      </c>
      <c r="G64" s="121" t="str">
        <f ca="1">IFERROR(INDIRECT(CONCATENATE("Track2!G",A58+7)),"")</f>
        <v/>
      </c>
      <c r="H64" s="66"/>
      <c r="I64" s="66">
        <f ca="1">IFERROR(INDIRECT(CONCATENATE("Track2!I",A58+7)),"")</f>
        <v>6</v>
      </c>
      <c r="J64" s="66" t="str">
        <f ca="1">IFERROR(INDIRECT(CONCATENATE("Track2!J",A58+7)),"")</f>
        <v/>
      </c>
      <c r="K64" s="89" t="str">
        <f ca="1">IFERROR(INDIRECT(CONCATENATE("Track2!K",A58+7)),"")</f>
        <v/>
      </c>
      <c r="L64" s="89" t="str">
        <f ca="1">IFERROR(INDIRECT(CONCATENATE("Track2!L",A58+7)),"")</f>
        <v/>
      </c>
      <c r="M64" s="302" t="str">
        <f ca="1">IFERROR(INDIRECT(CONCATENATE("Track2!M",A58+7)),"")</f>
        <v/>
      </c>
      <c r="N64" s="121" t="str">
        <f ca="1">IFERROR(INDIRECT(CONCATENATE("Track2!N",A58+7)),"")</f>
        <v/>
      </c>
    </row>
    <row r="65" spans="1:18" x14ac:dyDescent="0.35">
      <c r="B65" s="66">
        <f ca="1">IFERROR(INDIRECT(CONCATENATE("Track2!B",A58+8)),"")</f>
        <v>7</v>
      </c>
      <c r="C65" s="66" t="str">
        <f ca="1">IFERROR(INDIRECT(CONCATENATE("Track2!C",A58+8)),"")</f>
        <v/>
      </c>
      <c r="D65" s="89" t="str">
        <f ca="1">IFERROR(INDIRECT(CONCATENATE("Track2!D",A58+8)),"")</f>
        <v/>
      </c>
      <c r="E65" s="89" t="str">
        <f ca="1">IFERROR(INDIRECT(CONCATENATE("Track2!E",A58+8)),"")</f>
        <v/>
      </c>
      <c r="F65" s="302" t="str">
        <f ca="1">IFERROR(INDIRECT(CONCATENATE("Track2!F",A58+8)),"")</f>
        <v/>
      </c>
      <c r="G65" s="121" t="str">
        <f ca="1">IFERROR(INDIRECT(CONCATENATE("Track2!G",A58+8)),"")</f>
        <v/>
      </c>
      <c r="H65" s="66"/>
      <c r="I65" s="66">
        <f ca="1">IFERROR(INDIRECT(CONCATENATE("Track2!I",A58+8)),"")</f>
        <v>7</v>
      </c>
      <c r="J65" s="66" t="str">
        <f ca="1">IFERROR(INDIRECT(CONCATENATE("Track2!J",A58+8)),"")</f>
        <v/>
      </c>
      <c r="K65" s="89" t="str">
        <f ca="1">IFERROR(INDIRECT(CONCATENATE("Track2!K",A58+8)),"")</f>
        <v/>
      </c>
      <c r="L65" s="89" t="str">
        <f ca="1">IFERROR(INDIRECT(CONCATENATE("Track2!L",A58+8)),"")</f>
        <v/>
      </c>
      <c r="M65" s="302" t="str">
        <f ca="1">IFERROR(INDIRECT(CONCATENATE("Track2!M",A58+8)),"")</f>
        <v/>
      </c>
      <c r="N65" s="121" t="str">
        <f ca="1">IFERROR(INDIRECT(CONCATENATE("Track2!N",A58+8)),"")</f>
        <v/>
      </c>
    </row>
    <row r="66" spans="1:18" x14ac:dyDescent="0.35">
      <c r="B66" s="66">
        <f ca="1">IFERROR(INDIRECT(CONCATENATE("Track2!B",A58+9)),"")</f>
        <v>8</v>
      </c>
      <c r="C66" s="66" t="str">
        <f ca="1">IFERROR(INDIRECT(CONCATENATE("Track2!C",A58+9)),"")</f>
        <v/>
      </c>
      <c r="D66" s="89" t="str">
        <f ca="1">IFERROR(INDIRECT(CONCATENATE("Track2!D",A58+9)),"")</f>
        <v/>
      </c>
      <c r="E66" s="89" t="str">
        <f ca="1">IFERROR(INDIRECT(CONCATENATE("Track2!E",A58+9)),"")</f>
        <v/>
      </c>
      <c r="F66" s="302" t="str">
        <f ca="1">IFERROR(INDIRECT(CONCATENATE("Track2!F",A58+9)),"")</f>
        <v/>
      </c>
      <c r="G66" s="121" t="str">
        <f ca="1">IFERROR(INDIRECT(CONCATENATE("Track2!G",A58+9)),"")</f>
        <v/>
      </c>
      <c r="H66" s="66"/>
      <c r="I66" s="66">
        <f ca="1">IFERROR(INDIRECT(CONCATENATE("Track2!I",A58+9)),"")</f>
        <v>8</v>
      </c>
      <c r="J66" s="66" t="str">
        <f ca="1">IFERROR(INDIRECT(CONCATENATE("Track2!J",A58+9)),"")</f>
        <v/>
      </c>
      <c r="K66" s="89" t="str">
        <f ca="1">IFERROR(INDIRECT(CONCATENATE("Track2!K",A58+9)),"")</f>
        <v/>
      </c>
      <c r="L66" s="89" t="str">
        <f ca="1">IFERROR(INDIRECT(CONCATENATE("Track2!L",A58+9)),"")</f>
        <v/>
      </c>
      <c r="M66" s="302" t="str">
        <f ca="1">IFERROR(INDIRECT(CONCATENATE("Track2!M",A58+9)),"")</f>
        <v/>
      </c>
      <c r="N66" s="121" t="str">
        <f ca="1">IFERROR(INDIRECT(CONCATENATE("Track2!N",A58+9)),"")</f>
        <v/>
      </c>
    </row>
    <row r="68" spans="1:18" x14ac:dyDescent="0.35">
      <c r="A68" s="66" t="s">
        <v>33</v>
      </c>
      <c r="B68" s="115" t="str">
        <f ca="1">IFERROR(INDIRECT(CONCATENATE("Track1!B",A69)),"")</f>
        <v>75m Hurdles U13 Boys A</v>
      </c>
      <c r="E68" s="89" t="s">
        <v>259</v>
      </c>
      <c r="F68" s="299">
        <f ca="1">IFERROR(INDIRECT(CONCATENATE("Track1!f",A69)),"")</f>
        <v>0</v>
      </c>
      <c r="G68" s="121" t="str">
        <f ca="1">IFERROR(INDIRECT(CONCATENATE("Track1!g",A69)),"")</f>
        <v/>
      </c>
      <c r="I68" s="115" t="str">
        <f ca="1">IFERROR(INDIRECT(CONCATENATE("Track1!I",A69)),"")</f>
        <v>75m Hurdles U13 Boys B</v>
      </c>
      <c r="L68" s="89" t="s">
        <v>259</v>
      </c>
      <c r="M68" s="299">
        <f ca="1">IFERROR(INDIRECT(CONCATENATE("Track1!M",A69)),"")</f>
        <v>0</v>
      </c>
    </row>
    <row r="69" spans="1:18" x14ac:dyDescent="0.35">
      <c r="A69" s="66">
        <f>IFERROR(MATCH(A68,Track1!A:A,0),"")</f>
        <v>13</v>
      </c>
      <c r="B69" s="45" t="str">
        <f ca="1">IFERROR(INDIRECT(CONCATENATE("Track1!B",A69+1)),"")</f>
        <v>Posn</v>
      </c>
      <c r="C69" s="45" t="str">
        <f ca="1">IFERROR(INDIRECT(CONCATENATE("Track1!C",A69+1)),"")</f>
        <v>No.</v>
      </c>
      <c r="D69" s="182" t="str">
        <f ca="1">IFERROR(INDIRECT(CONCATENATE("Track1!D",A69+1)),"")</f>
        <v>Athlete</v>
      </c>
      <c r="E69" s="182" t="str">
        <f ca="1">IFERROR(INDIRECT(CONCATENATE("Track1!E",A69+1)),"")</f>
        <v>Club</v>
      </c>
      <c r="F69" s="301" t="str">
        <f ca="1">IFERROR(INDIRECT(CONCATENATE("Track1!F",A69+1)),"")</f>
        <v>Perf</v>
      </c>
      <c r="G69" s="218" t="str">
        <f ca="1">IFERROR(INDIRECT(CONCATENATE("Track1!G",A69+1)),"")</f>
        <v>AAA</v>
      </c>
      <c r="H69" s="45"/>
      <c r="I69" s="45" t="str">
        <f ca="1">IFERROR(INDIRECT(CONCATENATE("Track1!I",A69+1)),"")</f>
        <v>Posn</v>
      </c>
      <c r="J69" s="45" t="str">
        <f ca="1">IFERROR(INDIRECT(CONCATENATE("Track1!J",A69+1)),"")</f>
        <v>No.</v>
      </c>
      <c r="K69" s="182" t="str">
        <f ca="1">IFERROR(INDIRECT(CONCATENATE("Track1!K",A69+1)),"")</f>
        <v>Athlete</v>
      </c>
      <c r="L69" s="182" t="str">
        <f ca="1">IFERROR(INDIRECT(CONCATENATE("Track1!L",A69+1)),"")</f>
        <v>Club</v>
      </c>
      <c r="M69" s="301" t="str">
        <f ca="1">IFERROR(INDIRECT(CONCATENATE("Track1!M",A69+1)),"")</f>
        <v>Perf</v>
      </c>
      <c r="N69" s="218" t="str">
        <f ca="1">IFERROR(INDIRECT(CONCATENATE("Track1!N",A69+1)),"")</f>
        <v>AAA</v>
      </c>
    </row>
    <row r="70" spans="1:18" x14ac:dyDescent="0.35">
      <c r="B70" s="66">
        <f ca="1">IFERROR(INDIRECT(CONCATENATE("Track1!B",A69+2)),"")</f>
        <v>1</v>
      </c>
      <c r="C70" s="66">
        <f ca="1">IFERROR(INDIRECT(CONCATENATE("Track1!C",A69+2)),"")</f>
        <v>2</v>
      </c>
      <c r="D70" s="89" t="str">
        <f ca="1">IFERROR(INDIRECT(CONCATENATE("Track1!D",A69+2)),"")</f>
        <v>MAY Rudi</v>
      </c>
      <c r="E70" s="89" t="str">
        <f ca="1">IFERROR(INDIRECT(CONCATENATE("Track1!E",A69+2)),"")</f>
        <v>Sheff+D</v>
      </c>
      <c r="F70" s="299">
        <f ca="1">IFERROR(INDIRECT(CONCATENATE("Track1!F",A69+2)),"")</f>
        <v>13.5</v>
      </c>
      <c r="G70" s="121" t="str">
        <f ca="1">IFERROR(INDIRECT(CONCATENATE("Track1!G",A69+2)),"")</f>
        <v/>
      </c>
      <c r="H70" s="66"/>
      <c r="I70" s="66">
        <f ca="1">IFERROR(INDIRECT(CONCATENATE("Track1!I",A69+2)),"")</f>
        <v>1</v>
      </c>
      <c r="J70" s="66">
        <f ca="1">IFERROR(INDIRECT(CONCATENATE("Track1!J",A69+2)),"")</f>
        <v>22</v>
      </c>
      <c r="K70" s="89" t="str">
        <f ca="1">IFERROR(INDIRECT(CONCATENATE("Track1!K",A69+2)),"")</f>
        <v>REILLY Arthur</v>
      </c>
      <c r="L70" s="89" t="str">
        <f ca="1">IFERROR(INDIRECT(CONCATENATE("Track1!L",A69+2)),"")</f>
        <v>Sheff+D</v>
      </c>
      <c r="M70" s="299">
        <f ca="1">IFERROR(INDIRECT(CONCATENATE("Track1!M",A69+2)),"")</f>
        <v>13.6</v>
      </c>
      <c r="N70" s="121">
        <f ca="1">IFERROR(INDIRECT(CONCATENATE("Track1!N",A69+2)),"")</f>
        <v>3</v>
      </c>
      <c r="R70" s="219">
        <f ca="1">IFERROR(INDIRECT(CONCATENATE("Track1!r",A69+2)),"")</f>
        <v>1</v>
      </c>
    </row>
    <row r="71" spans="1:18" x14ac:dyDescent="0.35">
      <c r="B71" s="66">
        <f ca="1">IFERROR(INDIRECT(CONCATENATE("Track1!B",A69+3)),"")</f>
        <v>2</v>
      </c>
      <c r="C71" s="66">
        <f ca="1">IFERROR(INDIRECT(CONCATENATE("Track1!C",A69+3)),"")</f>
        <v>3</v>
      </c>
      <c r="D71" s="89" t="str">
        <f ca="1">IFERROR(INDIRECT(CONCATENATE("Track1!D",A69+3)),"")</f>
        <v>HICKLING William</v>
      </c>
      <c r="E71" s="89" t="str">
        <f ca="1">IFERROR(INDIRECT(CONCATENATE("Track1!E",A69+3)),"")</f>
        <v>York</v>
      </c>
      <c r="F71" s="299">
        <f ca="1">IFERROR(INDIRECT(CONCATENATE("Track1!F",A69+3)),"")</f>
        <v>15.2</v>
      </c>
      <c r="G71" s="121" t="str">
        <f ca="1">IFERROR(INDIRECT(CONCATENATE("Track1!G",A69+3)),"")</f>
        <v/>
      </c>
      <c r="H71" s="66"/>
      <c r="I71" s="66">
        <f ca="1">IFERROR(INDIRECT(CONCATENATE("Track1!I",A69+3)),"")</f>
        <v>2</v>
      </c>
      <c r="J71" s="66">
        <f ca="1">IFERROR(INDIRECT(CONCATENATE("Track1!J",A69+3)),"")</f>
        <v>33</v>
      </c>
      <c r="K71" s="89" t="str">
        <f ca="1">IFERROR(INDIRECT(CONCATENATE("Track1!K",A69+3)),"")</f>
        <v>JONES Alex</v>
      </c>
      <c r="L71" s="89" t="str">
        <f ca="1">IFERROR(INDIRECT(CONCATENATE("Track1!L",A69+3)),"")</f>
        <v>York</v>
      </c>
      <c r="M71" s="299">
        <f ca="1">IFERROR(INDIRECT(CONCATENATE("Track1!M",A69+3)),"")</f>
        <v>17.2</v>
      </c>
      <c r="N71" s="121" t="str">
        <f ca="1">IFERROR(INDIRECT(CONCATENATE("Track1!N",A69+3)),"")</f>
        <v/>
      </c>
    </row>
    <row r="72" spans="1:18" x14ac:dyDescent="0.35">
      <c r="B72" s="66">
        <f ca="1">IFERROR(INDIRECT(CONCATENATE("Track1!B",A69+4)),"")</f>
        <v>3</v>
      </c>
      <c r="C72" s="66">
        <f ca="1">IFERROR(INDIRECT(CONCATENATE("Track1!C",A69+4)),"")</f>
        <v>4</v>
      </c>
      <c r="D72" s="89" t="str">
        <f ca="1">IFERROR(INDIRECT(CONCATENATE("Track1!D",A69+4)),"")</f>
        <v>BAKER Edward</v>
      </c>
      <c r="E72" s="89" t="str">
        <f ca="1">IFERROR(INDIRECT(CONCATENATE("Track1!E",A69+4)),"")</f>
        <v>M'bro</v>
      </c>
      <c r="F72" s="299">
        <f ca="1">IFERROR(INDIRECT(CONCATENATE("Track1!F",A69+4)),"")</f>
        <v>16.2</v>
      </c>
      <c r="G72" s="121" t="str">
        <f ca="1">IFERROR(INDIRECT(CONCATENATE("Track1!G",A69+4)),"")</f>
        <v/>
      </c>
      <c r="H72" s="66"/>
      <c r="I72" s="66">
        <f ca="1">IFERROR(INDIRECT(CONCATENATE("Track1!I",A69+4)),"")</f>
        <v>3</v>
      </c>
      <c r="J72" s="66">
        <f ca="1">IFERROR(INDIRECT(CONCATENATE("Track1!J",A69+4)),"")</f>
        <v>0</v>
      </c>
      <c r="K72" s="89" t="str">
        <f ca="1">IFERROR(INDIRECT(CONCATENATE("Track1!K",A69+4)),"")</f>
        <v/>
      </c>
      <c r="L72" s="89" t="str">
        <f ca="1">IFERROR(INDIRECT(CONCATENATE("Track1!L",A69+4)),"")</f>
        <v/>
      </c>
      <c r="M72" s="299">
        <f ca="1">IFERROR(INDIRECT(CONCATENATE("Track1!M",A69+4)),"")</f>
        <v>0</v>
      </c>
      <c r="N72" s="121" t="str">
        <f ca="1">IFERROR(INDIRECT(CONCATENATE("Track1!N",A69+4)),"")</f>
        <v/>
      </c>
    </row>
    <row r="73" spans="1:18" x14ac:dyDescent="0.35">
      <c r="B73" s="66">
        <f ca="1">IFERROR(INDIRECT(CONCATENATE("Track1!B",A69+5)),"")</f>
        <v>4</v>
      </c>
      <c r="C73" s="66">
        <f ca="1">IFERROR(INDIRECT(CONCATENATE("Track1!C",A69+5)),"")</f>
        <v>0</v>
      </c>
      <c r="D73" s="89" t="str">
        <f ca="1">IFERROR(INDIRECT(CONCATENATE("Track1!D",A69+5)),"")</f>
        <v/>
      </c>
      <c r="E73" s="89" t="str">
        <f ca="1">IFERROR(INDIRECT(CONCATENATE("Track1!E",A69+5)),"")</f>
        <v/>
      </c>
      <c r="F73" s="299">
        <f ca="1">IFERROR(INDIRECT(CONCATENATE("Track1!F",A69+5)),"")</f>
        <v>0</v>
      </c>
      <c r="G73" s="121" t="str">
        <f ca="1">IFERROR(INDIRECT(CONCATENATE("Track1!G",A69+5)),"")</f>
        <v/>
      </c>
      <c r="H73" s="66"/>
      <c r="I73" s="66">
        <f ca="1">IFERROR(INDIRECT(CONCATENATE("Track1!I",A69+5)),"")</f>
        <v>4</v>
      </c>
      <c r="J73" s="66">
        <f ca="1">IFERROR(INDIRECT(CONCATENATE("Track1!J",A69+5)),"")</f>
        <v>0</v>
      </c>
      <c r="K73" s="89" t="str">
        <f ca="1">IFERROR(INDIRECT(CONCATENATE("Track1!K",A69+5)),"")</f>
        <v/>
      </c>
      <c r="L73" s="89" t="str">
        <f ca="1">IFERROR(INDIRECT(CONCATENATE("Track1!L",A69+5)),"")</f>
        <v/>
      </c>
      <c r="M73" s="299">
        <f ca="1">IFERROR(INDIRECT(CONCATENATE("Track1!M",A69+5)),"")</f>
        <v>0</v>
      </c>
      <c r="N73" s="121" t="str">
        <f ca="1">IFERROR(INDIRECT(CONCATENATE("Track1!N",A69+5)),"")</f>
        <v/>
      </c>
    </row>
    <row r="74" spans="1:18" x14ac:dyDescent="0.35">
      <c r="B74" s="66">
        <f ca="1">IFERROR(INDIRECT(CONCATENATE("Track1!B",A69+6)),"")</f>
        <v>5</v>
      </c>
      <c r="C74" s="66">
        <f ca="1">IFERROR(INDIRECT(CONCATENATE("Track1!C",A69+6)),"")</f>
        <v>0</v>
      </c>
      <c r="D74" s="89" t="str">
        <f ca="1">IFERROR(INDIRECT(CONCATENATE("Track1!D",A69+6)),"")</f>
        <v/>
      </c>
      <c r="E74" s="89" t="str">
        <f ca="1">IFERROR(INDIRECT(CONCATENATE("Track1!E",A69+6)),"")</f>
        <v/>
      </c>
      <c r="F74" s="299">
        <f ca="1">IFERROR(INDIRECT(CONCATENATE("Track1!F",A69+6)),"")</f>
        <v>0</v>
      </c>
      <c r="G74" s="121" t="str">
        <f ca="1">IFERROR(INDIRECT(CONCATENATE("Track1!G",A69+6)),"")</f>
        <v/>
      </c>
      <c r="H74" s="66"/>
      <c r="I74" s="66">
        <f ca="1">IFERROR(INDIRECT(CONCATENATE("Track1!I",A69+6)),"")</f>
        <v>5</v>
      </c>
      <c r="J74" s="66">
        <f ca="1">IFERROR(INDIRECT(CONCATENATE("Track1!J",A69+6)),"")</f>
        <v>0</v>
      </c>
      <c r="K74" s="89" t="str">
        <f ca="1">IFERROR(INDIRECT(CONCATENATE("Track1!K",A69+6)),"")</f>
        <v/>
      </c>
      <c r="L74" s="89" t="str">
        <f ca="1">IFERROR(INDIRECT(CONCATENATE("Track1!L",A69+6)),"")</f>
        <v/>
      </c>
      <c r="M74" s="299">
        <f ca="1">IFERROR(INDIRECT(CONCATENATE("Track1!M",A69+6)),"")</f>
        <v>0</v>
      </c>
      <c r="N74" s="121" t="str">
        <f ca="1">IFERROR(INDIRECT(CONCATENATE("Track1!N",A69+6)),"")</f>
        <v/>
      </c>
    </row>
    <row r="75" spans="1:18" x14ac:dyDescent="0.35">
      <c r="B75" s="66">
        <f ca="1">IFERROR(INDIRECT(CONCATENATE("Track1!B",A69+7)),"")</f>
        <v>6</v>
      </c>
      <c r="C75" s="66">
        <f ca="1">IFERROR(INDIRECT(CONCATENATE("Track1!C",A69+7)),"")</f>
        <v>0</v>
      </c>
      <c r="D75" s="89" t="str">
        <f ca="1">IFERROR(INDIRECT(CONCATENATE("Track1!D",A69+7)),"")</f>
        <v/>
      </c>
      <c r="E75" s="89" t="str">
        <f ca="1">IFERROR(INDIRECT(CONCATENATE("Track1!E",A69+7)),"")</f>
        <v/>
      </c>
      <c r="F75" s="299">
        <f ca="1">IFERROR(INDIRECT(CONCATENATE("Track1!F",A69+7)),"")</f>
        <v>0</v>
      </c>
      <c r="G75" s="121" t="str">
        <f ca="1">IFERROR(INDIRECT(CONCATENATE("Track1!G",A69+7)),"")</f>
        <v/>
      </c>
      <c r="H75" s="66"/>
      <c r="I75" s="66">
        <f ca="1">IFERROR(INDIRECT(CONCATENATE("Track1!I",A69+7)),"")</f>
        <v>6</v>
      </c>
      <c r="J75" s="66">
        <f ca="1">IFERROR(INDIRECT(CONCATENATE("Track1!J",A69+7)),"")</f>
        <v>0</v>
      </c>
      <c r="K75" s="89" t="str">
        <f ca="1">IFERROR(INDIRECT(CONCATENATE("Track1!K",A69+7)),"")</f>
        <v/>
      </c>
      <c r="L75" s="89" t="str">
        <f ca="1">IFERROR(INDIRECT(CONCATENATE("Track1!L",A69+7)),"")</f>
        <v/>
      </c>
      <c r="M75" s="299">
        <f ca="1">IFERROR(INDIRECT(CONCATENATE("Track1!M",A69+7)),"")</f>
        <v>0</v>
      </c>
      <c r="N75" s="121" t="str">
        <f ca="1">IFERROR(INDIRECT(CONCATENATE("Track1!N",A69+7)),"")</f>
        <v/>
      </c>
    </row>
    <row r="76" spans="1:18" x14ac:dyDescent="0.35">
      <c r="B76" s="66">
        <f ca="1">IFERROR(INDIRECT(CONCATENATE("Track1!B",A69+8)),"")</f>
        <v>7</v>
      </c>
      <c r="C76" s="66">
        <f ca="1">IFERROR(INDIRECT(CONCATENATE("Track1!C",A69+8)),"")</f>
        <v>0</v>
      </c>
      <c r="D76" s="89" t="str">
        <f ca="1">IFERROR(INDIRECT(CONCATENATE("Track1!D",A69+8)),"")</f>
        <v/>
      </c>
      <c r="E76" s="89" t="str">
        <f ca="1">IFERROR(INDIRECT(CONCATENATE("Track1!E",A69+8)),"")</f>
        <v/>
      </c>
      <c r="F76" s="299">
        <f ca="1">IFERROR(INDIRECT(CONCATENATE("Track1!F",A69+8)),"")</f>
        <v>0</v>
      </c>
      <c r="G76" s="121" t="str">
        <f ca="1">IFERROR(INDIRECT(CONCATENATE("Track1!G",A69+8)),"")</f>
        <v/>
      </c>
      <c r="H76" s="66"/>
      <c r="I76" s="66">
        <f ca="1">IFERROR(INDIRECT(CONCATENATE("Track1!I",A69+8)),"")</f>
        <v>7</v>
      </c>
      <c r="J76" s="66">
        <f ca="1">IFERROR(INDIRECT(CONCATENATE("Track1!J",A69+8)),"")</f>
        <v>0</v>
      </c>
      <c r="K76" s="89" t="str">
        <f ca="1">IFERROR(INDIRECT(CONCATENATE("Track1!K",A69+8)),"")</f>
        <v/>
      </c>
      <c r="L76" s="89" t="str">
        <f ca="1">IFERROR(INDIRECT(CONCATENATE("Track1!L",A69+8)),"")</f>
        <v/>
      </c>
      <c r="M76" s="299">
        <f ca="1">IFERROR(INDIRECT(CONCATENATE("Track1!M",A69+8)),"")</f>
        <v>0</v>
      </c>
      <c r="N76" s="121" t="str">
        <f ca="1">IFERROR(INDIRECT(CONCATENATE("Track1!N",A69+8)),"")</f>
        <v/>
      </c>
    </row>
    <row r="77" spans="1:18" x14ac:dyDescent="0.35">
      <c r="B77" s="66">
        <f ca="1">IFERROR(INDIRECT(CONCATENATE("Track1!B",A69+9)),"")</f>
        <v>8</v>
      </c>
      <c r="C77" s="66">
        <f ca="1">IFERROR(INDIRECT(CONCATENATE("Track1!C",A69+9)),"")</f>
        <v>0</v>
      </c>
      <c r="D77" s="89" t="str">
        <f ca="1">IFERROR(INDIRECT(CONCATENATE("Track1!D",A69+9)),"")</f>
        <v/>
      </c>
      <c r="E77" s="89" t="str">
        <f ca="1">IFERROR(INDIRECT(CONCATENATE("Track1!E",A69+9)),"")</f>
        <v/>
      </c>
      <c r="F77" s="299">
        <f ca="1">IFERROR(INDIRECT(CONCATENATE("Track1!F",A69+9)),"")</f>
        <v>0</v>
      </c>
      <c r="G77" s="121" t="str">
        <f ca="1">IFERROR(INDIRECT(CONCATENATE("Track1!G",A69+9)),"")</f>
        <v/>
      </c>
      <c r="H77" s="66"/>
      <c r="I77" s="66">
        <f ca="1">IFERROR(INDIRECT(CONCATENATE("Track1!I",A69+9)),"")</f>
        <v>8</v>
      </c>
      <c r="J77" s="66">
        <f ca="1">IFERROR(INDIRECT(CONCATENATE("Track1!J",A69+9)),"")</f>
        <v>0</v>
      </c>
      <c r="K77" s="89" t="str">
        <f ca="1">IFERROR(INDIRECT(CONCATENATE("Track1!K",A69+9)),"")</f>
        <v/>
      </c>
      <c r="L77" s="89" t="str">
        <f ca="1">IFERROR(INDIRECT(CONCATENATE("Track1!L",A69+9)),"")</f>
        <v/>
      </c>
      <c r="M77" s="299">
        <f ca="1">IFERROR(INDIRECT(CONCATENATE("Track1!M",A69+9)),"")</f>
        <v>0</v>
      </c>
      <c r="N77" s="121" t="str">
        <f ca="1">IFERROR(INDIRECT(CONCATENATE("Track1!N",A69+9)),"")</f>
        <v/>
      </c>
    </row>
    <row r="79" spans="1:18" x14ac:dyDescent="0.35">
      <c r="A79" s="402" t="s">
        <v>297</v>
      </c>
      <c r="B79" s="115" t="str">
        <f ca="1">IFERROR(INDIRECT(CONCATENATE("Field!B",A80)),"")</f>
        <v>Long Jump U13 Boys A</v>
      </c>
      <c r="F79" s="65"/>
      <c r="G79" s="403" t="str">
        <f ca="1">IFERROR(INDIRECT(CONCATENATE("Field!g",A80)),"")</f>
        <v/>
      </c>
      <c r="I79" s="115" t="str">
        <f ca="1">IFERROR(INDIRECT(CONCATENATE("Field!I",A80)),"")</f>
        <v>Long Jump U13 Boys B</v>
      </c>
      <c r="M79" s="67"/>
    </row>
    <row r="80" spans="1:18" x14ac:dyDescent="0.35">
      <c r="A80" s="66">
        <f>IFERROR(MATCH(A79,Field!A:A,0),"")</f>
        <v>134</v>
      </c>
      <c r="B80" s="45" t="str">
        <f ca="1">IFERROR(INDIRECT(CONCATENATE("Field!B",A80+1)),"")</f>
        <v>Posn</v>
      </c>
      <c r="C80" s="45" t="str">
        <f ca="1">IFERROR(INDIRECT(CONCATENATE("Field!C",A80+1)),"")</f>
        <v>Bib</v>
      </c>
      <c r="D80" s="182" t="str">
        <f ca="1">IFERROR(INDIRECT(CONCATENATE("Field!D",A80+1)),"")</f>
        <v>Athlete</v>
      </c>
      <c r="E80" s="182" t="str">
        <f ca="1">IFERROR(INDIRECT(CONCATENATE("Field!E",A80+1)),"")</f>
        <v>Club</v>
      </c>
      <c r="F80" s="149" t="str">
        <f ca="1">IFERROR(INDIRECT(CONCATENATE("Field!F",A80+1)),"")</f>
        <v>Perf</v>
      </c>
      <c r="G80" s="218" t="str">
        <f ca="1">IFERROR(INDIRECT(CONCATENATE("Field!G",A80+1)),"")</f>
        <v>AAA</v>
      </c>
      <c r="H80" s="45"/>
      <c r="I80" s="45" t="str">
        <f ca="1">IFERROR(INDIRECT(CONCATENATE("Field!I",A80+1)),"")</f>
        <v>Posn</v>
      </c>
      <c r="J80" s="45" t="str">
        <f ca="1">IFERROR(INDIRECT(CONCATENATE("Field!J",A80+1)),"")</f>
        <v>Bib</v>
      </c>
      <c r="K80" s="182" t="str">
        <f ca="1">IFERROR(INDIRECT(CONCATENATE("Field!K",A80+1)),"")</f>
        <v>Athlete</v>
      </c>
      <c r="L80" s="182" t="str">
        <f ca="1">IFERROR(INDIRECT(CONCATENATE("Field!L",A80+1)),"")</f>
        <v>Club</v>
      </c>
      <c r="M80" s="149" t="str">
        <f ca="1">IFERROR(INDIRECT(CONCATENATE("Field!M",A80+1)),"")</f>
        <v>Perf</v>
      </c>
      <c r="N80" s="218" t="str">
        <f ca="1">IFERROR(INDIRECT(CONCATENATE("Field!N",A80+1)),"")</f>
        <v>AAA</v>
      </c>
    </row>
    <row r="81" spans="1:18" x14ac:dyDescent="0.35">
      <c r="A81" s="66" t="str">
        <f>"_"&amp;A79</f>
        <v>_LFW01</v>
      </c>
      <c r="B81" s="66">
        <f ca="1">IFERROR(INDIRECT(CONCATENATE("Field!B",A80+2)),"")</f>
        <v>1</v>
      </c>
      <c r="C81" s="66">
        <f ca="1">IFERROR(INDIRECT(CONCATENATE("Field!C",A80+2)),"")</f>
        <v>33</v>
      </c>
      <c r="D81" s="89" t="str">
        <f ca="1">IFERROR(INDIRECT(CONCATENATE("Field!D",A80+2)),"")</f>
        <v>PEARSON Adam</v>
      </c>
      <c r="E81" s="89" t="str">
        <f ca="1">IFERROR(INDIRECT(CONCATENATE("Field!E",A80+2)),"")</f>
        <v>York</v>
      </c>
      <c r="F81" s="149" t="str">
        <f ca="1">IFERROR(TEXT(INDIRECT(CONCATENATE("Field!F",A80+2)),"#.#0")&amp;" "&amp;VLOOKUP(C81,INDIRECT($A81),5,FALSE),"")</f>
        <v xml:space="preserve">4.68 </v>
      </c>
      <c r="G81" s="121">
        <f ca="1">IFERROR(INDIRECT(CONCATENATE("Field!G",A80+2)),"")</f>
        <v>2</v>
      </c>
      <c r="H81" s="66"/>
      <c r="I81" s="66">
        <f ca="1">IFERROR(INDIRECT(CONCATENATE("Field!I",A80+2)),"")</f>
        <v>1</v>
      </c>
      <c r="J81" s="66">
        <f ca="1">IFERROR(INDIRECT(CONCATENATE("Field!J",A80+2)),"")</f>
        <v>2</v>
      </c>
      <c r="K81" s="89" t="str">
        <f ca="1">IFERROR(INDIRECT(CONCATENATE("Field!K",A80+2)),"")</f>
        <v>CONNELLY George</v>
      </c>
      <c r="L81" s="89" t="str">
        <f ca="1">IFERROR(INDIRECT(CONCATENATE("Field!L",A80+2)),"")</f>
        <v>Sheff+D</v>
      </c>
      <c r="M81" s="149" t="str">
        <f ca="1">IFERROR(TEXT(INDIRECT(CONCATENATE("Field!m",A80+2)),"#.#0")&amp;" "&amp;VLOOKUP(J81,INDIRECT($A81),5,FALSE),"")</f>
        <v xml:space="preserve">4.22 </v>
      </c>
      <c r="N81" s="121">
        <f ca="1">IFERROR(INDIRECT(CONCATENATE("Field!N",A80+2)),"")</f>
        <v>4</v>
      </c>
      <c r="R81" s="219">
        <f ca="1">IFERROR(INDIRECT(CONCATENATE("Field!r",A80+2)),"")</f>
        <v>1</v>
      </c>
    </row>
    <row r="82" spans="1:18" x14ac:dyDescent="0.35">
      <c r="B82" s="66">
        <f ca="1">IFERROR(INDIRECT(CONCATENATE("Field!B",A80+3)),"")</f>
        <v>2</v>
      </c>
      <c r="C82" s="66">
        <f ca="1">IFERROR(INDIRECT(CONCATENATE("Field!C",A80+3)),"")</f>
        <v>22</v>
      </c>
      <c r="D82" s="89" t="str">
        <f ca="1">IFERROR(INDIRECT(CONCATENATE("Field!D",A80+3)),"")</f>
        <v>REILLY Arthur</v>
      </c>
      <c r="E82" s="89" t="str">
        <f ca="1">IFERROR(INDIRECT(CONCATENATE("Field!E",A80+3)),"")</f>
        <v>Sheff+D</v>
      </c>
      <c r="F82" s="149" t="str">
        <f ca="1">IFERROR(TEXT(INDIRECT(CONCATENATE("Field!F",A80+3)),"#.#0")&amp;" "&amp;VLOOKUP(C82,INDIRECT($A81),5,FALSE),"")</f>
        <v xml:space="preserve">4.28 </v>
      </c>
      <c r="G82" s="121">
        <f ca="1">IFERROR(INDIRECT(CONCATENATE("Field!G",A80+3)),"")</f>
        <v>4</v>
      </c>
      <c r="H82" s="66"/>
      <c r="I82" s="66">
        <f ca="1">IFERROR(INDIRECT(CONCATENATE("Field!I",A80+3)),"")</f>
        <v>2</v>
      </c>
      <c r="J82" s="66">
        <f ca="1">IFERROR(INDIRECT(CONCATENATE("Field!J",A80+3)),"")</f>
        <v>3</v>
      </c>
      <c r="K82" s="89" t="str">
        <f ca="1">IFERROR(INDIRECT(CONCATENATE("Field!K",A80+3)),"")</f>
        <v>MARSHALL Syd</v>
      </c>
      <c r="L82" s="89" t="str">
        <f ca="1">IFERROR(INDIRECT(CONCATENATE("Field!L",A80+3)),"")</f>
        <v>York</v>
      </c>
      <c r="M82" s="149" t="str">
        <f ca="1">IFERROR(TEXT(INDIRECT(CONCATENATE("Field!m",A80+3)),"#.#0")&amp;" "&amp;VLOOKUP(J82,INDIRECT($A81),5,FALSE),"")</f>
        <v xml:space="preserve">3.86 </v>
      </c>
      <c r="N82" s="121" t="str">
        <f ca="1">IFERROR(INDIRECT(CONCATENATE("Field!N",A80+3)),"")</f>
        <v/>
      </c>
    </row>
    <row r="83" spans="1:18" x14ac:dyDescent="0.35">
      <c r="B83" s="66">
        <f ca="1">IFERROR(INDIRECT(CONCATENATE("Field!B",A80+4)),"")</f>
        <v>3</v>
      </c>
      <c r="C83" s="66">
        <f ca="1">IFERROR(INDIRECT(CONCATENATE("Field!C",A80+4)),"")</f>
        <v>44</v>
      </c>
      <c r="D83" s="89" t="str">
        <f ca="1">IFERROR(INDIRECT(CONCATENATE("Field!D",A80+4)),"")</f>
        <v>CRAGGS George</v>
      </c>
      <c r="E83" s="89" t="str">
        <f ca="1">IFERROR(INDIRECT(CONCATENATE("Field!E",A80+4)),"")</f>
        <v>M'bro</v>
      </c>
      <c r="F83" s="149" t="str">
        <f ca="1">IFERROR(TEXT(INDIRECT(CONCATENATE("Field!F",A80+4)),"#.#0")&amp;" "&amp;VLOOKUP(C83,INDIRECT($A81),5,FALSE),"")</f>
        <v xml:space="preserve">3.82 </v>
      </c>
      <c r="G83" s="121" t="str">
        <f ca="1">IFERROR(INDIRECT(CONCATENATE("Field!G",A80+4)),"")</f>
        <v/>
      </c>
      <c r="H83" s="66"/>
      <c r="I83" s="66">
        <f ca="1">IFERROR(INDIRECT(CONCATENATE("Field!I",A80+4)),"")</f>
        <v>3</v>
      </c>
      <c r="J83" s="66">
        <f ca="1">IFERROR(INDIRECT(CONCATENATE("Field!J",A80+4)),"")</f>
        <v>4</v>
      </c>
      <c r="K83" s="89" t="str">
        <f ca="1">IFERROR(INDIRECT(CONCATENATE("Field!K",A80+4)),"")</f>
        <v>BAKER Edward</v>
      </c>
      <c r="L83" s="89" t="str">
        <f ca="1">IFERROR(INDIRECT(CONCATENATE("Field!L",A80+4)),"")</f>
        <v>M'bro</v>
      </c>
      <c r="M83" s="149" t="str">
        <f ca="1">IFERROR(TEXT(INDIRECT(CONCATENATE("Field!m",A80+4)),"#.#0")&amp;" "&amp;VLOOKUP(J83,INDIRECT($A81),5,FALSE),"")</f>
        <v xml:space="preserve">3.19 </v>
      </c>
      <c r="N83" s="121" t="str">
        <f ca="1">IFERROR(INDIRECT(CONCATENATE("Field!N",A80+4)),"")</f>
        <v/>
      </c>
    </row>
    <row r="84" spans="1:18" x14ac:dyDescent="0.35">
      <c r="B84" s="66">
        <f ca="1">IFERROR(INDIRECT(CONCATENATE("Field!B",A80+5)),"")</f>
        <v>4</v>
      </c>
      <c r="C84" s="66">
        <f ca="1">IFERROR(INDIRECT(CONCATENATE("Field!C",A80+5)),"")</f>
        <v>1</v>
      </c>
      <c r="D84" s="89" t="str">
        <f ca="1">IFERROR(INDIRECT(CONCATENATE("Field!D",A80+5)),"")</f>
        <v>GASKIN Nathanael</v>
      </c>
      <c r="E84" s="89" t="str">
        <f ca="1">IFERROR(INDIRECT(CONCATENATE("Field!E",A80+5)),"")</f>
        <v>C'field</v>
      </c>
      <c r="F84" s="149" t="str">
        <f ca="1">IFERROR(TEXT(INDIRECT(CONCATENATE("Field!F",A80+5)),"#.#0")&amp;" "&amp;VLOOKUP(C84,INDIRECT($A81),5,FALSE),"")</f>
        <v xml:space="preserve">3.81 </v>
      </c>
      <c r="G84" s="121" t="str">
        <f ca="1">IFERROR(INDIRECT(CONCATENATE("Field!G",A80+5)),"")</f>
        <v/>
      </c>
      <c r="H84" s="66"/>
      <c r="I84" s="66">
        <f ca="1">IFERROR(INDIRECT(CONCATENATE("Field!I",A80+5)),"")</f>
        <v>4</v>
      </c>
      <c r="J84" s="66">
        <f ca="1">IFERROR(INDIRECT(CONCATENATE("Field!J",A80+5)),"")</f>
        <v>11</v>
      </c>
      <c r="K84" s="89" t="str">
        <f ca="1">IFERROR(INDIRECT(CONCATENATE("Field!K",A80+5)),"")</f>
        <v>DREW Matthew</v>
      </c>
      <c r="L84" s="89" t="str">
        <f ca="1">IFERROR(INDIRECT(CONCATENATE("Field!L",A80+5)),"")</f>
        <v>C'field</v>
      </c>
      <c r="M84" s="149" t="str">
        <f ca="1">IFERROR(TEXT(INDIRECT(CONCATENATE("Field!m",A80+5)),"#.#0")&amp;" "&amp;VLOOKUP(J84,INDIRECT($A81),5,FALSE),"")</f>
        <v xml:space="preserve">2.72 </v>
      </c>
      <c r="N84" s="121" t="str">
        <f ca="1">IFERROR(INDIRECT(CONCATENATE("Field!N",A80+5)),"")</f>
        <v/>
      </c>
    </row>
    <row r="85" spans="1:18" x14ac:dyDescent="0.35">
      <c r="B85" s="66">
        <f ca="1">IFERROR(INDIRECT(CONCATENATE("Field!B",A80+6)),"")</f>
        <v>5</v>
      </c>
      <c r="C85" s="66">
        <f ca="1">IFERROR(INDIRECT(CONCATENATE("Field!C",A80+6)),"")</f>
        <v>5</v>
      </c>
      <c r="D85" s="89" t="str">
        <f ca="1">IFERROR(INDIRECT(CONCATENATE("Field!D",A80+6)),"")</f>
        <v>LANGTON Cody</v>
      </c>
      <c r="E85" s="89" t="str">
        <f ca="1">IFERROR(INDIRECT(CONCATENATE("Field!E",A80+6)),"")</f>
        <v>Scun</v>
      </c>
      <c r="F85" s="149" t="str">
        <f ca="1">IFERROR(TEXT(INDIRECT(CONCATENATE("Field!F",A80+6)),"#.#0")&amp;" "&amp;VLOOKUP(C85,INDIRECT($A81),5,FALSE),"")</f>
        <v xml:space="preserve">3.27 </v>
      </c>
      <c r="G85" s="121" t="str">
        <f ca="1">IFERROR(INDIRECT(CONCATENATE("Field!G",A80+6)),"")</f>
        <v/>
      </c>
      <c r="H85" s="66"/>
      <c r="I85" s="66">
        <f ca="1">IFERROR(INDIRECT(CONCATENATE("Field!I",A80+6)),"")</f>
        <v>5</v>
      </c>
      <c r="J85" s="66" t="str">
        <f ca="1">IFERROR(INDIRECT(CONCATENATE("Field!J",A80+6)),"")</f>
        <v/>
      </c>
      <c r="K85" s="89" t="str">
        <f ca="1">IFERROR(INDIRECT(CONCATENATE("Field!K",A80+6)),"")</f>
        <v/>
      </c>
      <c r="L85" s="89" t="str">
        <f ca="1">IFERROR(INDIRECT(CONCATENATE("Field!L",A80+6)),"")</f>
        <v/>
      </c>
      <c r="M85" s="149" t="str">
        <f ca="1">IFERROR(TEXT(INDIRECT(CONCATENATE("Field!m",A80+6)),"#.#0")&amp;" "&amp;VLOOKUP(J85,INDIRECT($A81),5,FALSE),"")</f>
        <v/>
      </c>
      <c r="N85" s="121" t="str">
        <f ca="1">IFERROR(INDIRECT(CONCATENATE("Field!N",A80+6)),"")</f>
        <v/>
      </c>
    </row>
    <row r="86" spans="1:18" x14ac:dyDescent="0.35">
      <c r="B86" s="66">
        <f ca="1">IFERROR(INDIRECT(CONCATENATE("Field!B",A80+7)),"")</f>
        <v>6</v>
      </c>
      <c r="C86" s="66" t="str">
        <f ca="1">IFERROR(INDIRECT(CONCATENATE("Field!C",A80+7)),"")</f>
        <v/>
      </c>
      <c r="D86" s="89" t="str">
        <f ca="1">IFERROR(INDIRECT(CONCATENATE("Field!D",A80+7)),"")</f>
        <v/>
      </c>
      <c r="E86" s="89" t="str">
        <f ca="1">IFERROR(INDIRECT(CONCATENATE("Field!E",A80+7)),"")</f>
        <v/>
      </c>
      <c r="F86" s="149" t="str">
        <f ca="1">IFERROR(TEXT(INDIRECT(CONCATENATE("Field!F",A80+7)),"#.#0")&amp;" "&amp;VLOOKUP(C86,INDIRECT($A81),5,FALSE),"")</f>
        <v/>
      </c>
      <c r="G86" s="121" t="str">
        <f ca="1">IFERROR(INDIRECT(CONCATENATE("Field!G",A80+7)),"")</f>
        <v/>
      </c>
      <c r="H86" s="66"/>
      <c r="I86" s="66">
        <f ca="1">IFERROR(INDIRECT(CONCATENATE("Field!I",A80+7)),"")</f>
        <v>6</v>
      </c>
      <c r="J86" s="66" t="str">
        <f ca="1">IFERROR(INDIRECT(CONCATENATE("Field!J",A80+7)),"")</f>
        <v/>
      </c>
      <c r="K86" s="89" t="str">
        <f ca="1">IFERROR(INDIRECT(CONCATENATE("Field!K",A80+7)),"")</f>
        <v/>
      </c>
      <c r="L86" s="89" t="str">
        <f ca="1">IFERROR(INDIRECT(CONCATENATE("Field!L",A80+7)),"")</f>
        <v/>
      </c>
      <c r="M86" s="149" t="str">
        <f ca="1">IFERROR(TEXT(INDIRECT(CONCATENATE("Field!m",A80+7)),"#.#0")&amp;" "&amp;VLOOKUP(J86,INDIRECT($A81),5,FALSE),"")</f>
        <v/>
      </c>
      <c r="N86" s="121" t="str">
        <f ca="1">IFERROR(INDIRECT(CONCATENATE("Field!N",A80+7)),"")</f>
        <v/>
      </c>
    </row>
    <row r="87" spans="1:18" x14ac:dyDescent="0.35">
      <c r="B87" s="66">
        <f ca="1">IFERROR(INDIRECT(CONCATENATE("Field!B",A80+8)),"")</f>
        <v>7</v>
      </c>
      <c r="C87" s="66" t="str">
        <f ca="1">IFERROR(INDIRECT(CONCATENATE("Field!C",A80+8)),"")</f>
        <v/>
      </c>
      <c r="D87" s="89" t="str">
        <f ca="1">IFERROR(INDIRECT(CONCATENATE("Field!D",A80+8)),"")</f>
        <v/>
      </c>
      <c r="E87" s="89" t="str">
        <f ca="1">IFERROR(INDIRECT(CONCATENATE("Field!E",A80+8)),"")</f>
        <v/>
      </c>
      <c r="F87" s="149" t="str">
        <f ca="1">IFERROR(TEXT(INDIRECT(CONCATENATE("Field!F",A80+8)),"#.#0")&amp;" "&amp;VLOOKUP(C87,INDIRECT($A81),5,FALSE),"")</f>
        <v/>
      </c>
      <c r="G87" s="121" t="str">
        <f ca="1">IFERROR(INDIRECT(CONCATENATE("Field!G",A80+8)),"")</f>
        <v/>
      </c>
      <c r="H87" s="66"/>
      <c r="I87" s="66">
        <f ca="1">IFERROR(INDIRECT(CONCATENATE("Field!I",A80+8)),"")</f>
        <v>7</v>
      </c>
      <c r="J87" s="66" t="str">
        <f ca="1">IFERROR(INDIRECT(CONCATENATE("Field!J",A80+8)),"")</f>
        <v/>
      </c>
      <c r="K87" s="89" t="str">
        <f ca="1">IFERROR(INDIRECT(CONCATENATE("Field!K",A80+8)),"")</f>
        <v/>
      </c>
      <c r="L87" s="89" t="str">
        <f ca="1">IFERROR(INDIRECT(CONCATENATE("Field!L",A80+8)),"")</f>
        <v/>
      </c>
      <c r="M87" s="149" t="str">
        <f ca="1">IFERROR(TEXT(INDIRECT(CONCATENATE("Field!m",A80+8)),"#.#0")&amp;" "&amp;VLOOKUP(J87,INDIRECT($A81),5,FALSE),"")</f>
        <v/>
      </c>
      <c r="N87" s="121" t="str">
        <f ca="1">IFERROR(INDIRECT(CONCATENATE("Field!N",A80+8)),"")</f>
        <v/>
      </c>
    </row>
    <row r="88" spans="1:18" x14ac:dyDescent="0.35">
      <c r="B88" s="66">
        <f ca="1">IFERROR(INDIRECT(CONCATENATE("Field!B",A80+9)),"")</f>
        <v>8</v>
      </c>
      <c r="C88" s="66" t="str">
        <f ca="1">IFERROR(INDIRECT(CONCATENATE("Field!C",A80+9)),"")</f>
        <v/>
      </c>
      <c r="D88" s="89" t="str">
        <f ca="1">IFERROR(INDIRECT(CONCATENATE("Field!D",A80+9)),"")</f>
        <v/>
      </c>
      <c r="E88" s="89" t="str">
        <f ca="1">IFERROR(INDIRECT(CONCATENATE("Field!E",A80+9)),"")</f>
        <v/>
      </c>
      <c r="F88" s="149" t="str">
        <f ca="1">IFERROR(TEXT(INDIRECT(CONCATENATE("Field!F",A80+9)),"#.#0")&amp;" "&amp;VLOOKUP(C88,INDIRECT($A81),5,FALSE),"")</f>
        <v/>
      </c>
      <c r="G88" s="121" t="str">
        <f ca="1">IFERROR(INDIRECT(CONCATENATE("Field!G",A80+9)),"")</f>
        <v/>
      </c>
      <c r="H88" s="66"/>
      <c r="I88" s="66">
        <f ca="1">IFERROR(INDIRECT(CONCATENATE("Field!I",A80+9)),"")</f>
        <v>8</v>
      </c>
      <c r="J88" s="66" t="str">
        <f ca="1">IFERROR(INDIRECT(CONCATENATE("Field!J",A80+9)),"")</f>
        <v/>
      </c>
      <c r="K88" s="89" t="str">
        <f ca="1">IFERROR(INDIRECT(CONCATENATE("Field!K",A80+9)),"")</f>
        <v/>
      </c>
      <c r="L88" s="89" t="str">
        <f ca="1">IFERROR(INDIRECT(CONCATENATE("Field!L",A80+9)),"")</f>
        <v/>
      </c>
      <c r="M88" s="149" t="str">
        <f ca="1">IFERROR(TEXT(INDIRECT(CONCATENATE("Field!m",A80+9)),"#.#0")&amp;" "&amp;VLOOKUP(J88,INDIRECT($A81),5,FALSE),"")</f>
        <v/>
      </c>
      <c r="N88" s="121" t="str">
        <f ca="1">IFERROR(INDIRECT(CONCATENATE("Field!N",A80+9)),"")</f>
        <v/>
      </c>
    </row>
    <row r="89" spans="1:18" x14ac:dyDescent="0.35">
      <c r="F89" s="67"/>
      <c r="M89" s="67"/>
    </row>
    <row r="90" spans="1:18" x14ac:dyDescent="0.35">
      <c r="A90" s="66" t="s">
        <v>234</v>
      </c>
      <c r="B90" s="115" t="str">
        <f ca="1">IFERROR(INDIRECT(CONCATENATE("Field!B",A91)),"")</f>
        <v>High Jump U13 Boys A</v>
      </c>
      <c r="F90" s="67"/>
      <c r="G90" s="121" t="str">
        <f ca="1">IFERROR(INDIRECT(CONCATENATE("Field!g",A91)),"")</f>
        <v/>
      </c>
      <c r="I90" s="115" t="str">
        <f ca="1">IFERROR(INDIRECT(CONCATENATE("Field!I",A91)),"")</f>
        <v>High Jump U13 Boys B</v>
      </c>
      <c r="M90" s="67"/>
    </row>
    <row r="91" spans="1:18" x14ac:dyDescent="0.35">
      <c r="A91" s="66">
        <f>IFERROR(MATCH(A90,Field!A:A,0),"")</f>
        <v>189</v>
      </c>
      <c r="B91" s="45" t="str">
        <f ca="1">IFERROR(INDIRECT(CONCATENATE("Field!B",A91+1)),"")</f>
        <v>Posn</v>
      </c>
      <c r="C91" s="45" t="str">
        <f ca="1">IFERROR(INDIRECT(CONCATENATE("Field!C",A91+1)),"")</f>
        <v>Bib</v>
      </c>
      <c r="D91" s="182" t="str">
        <f ca="1">IFERROR(INDIRECT(CONCATENATE("Field!D",A91+1)),"")</f>
        <v>Athlete</v>
      </c>
      <c r="E91" s="182" t="str">
        <f ca="1">IFERROR(INDIRECT(CONCATENATE("Field!E",A91+1)),"")</f>
        <v>Club</v>
      </c>
      <c r="F91" s="149" t="str">
        <f ca="1">IFERROR(INDIRECT(CONCATENATE("Field!F",A91+1)),"")</f>
        <v>Perf</v>
      </c>
      <c r="G91" s="218" t="str">
        <f ca="1">IFERROR(INDIRECT(CONCATENATE("Field!G",A91+1)),"")</f>
        <v>AAA</v>
      </c>
      <c r="H91" s="45"/>
      <c r="I91" s="45" t="str">
        <f ca="1">IFERROR(INDIRECT(CONCATENATE("Field!I",A91+1)),"")</f>
        <v>Posn</v>
      </c>
      <c r="J91" s="45" t="str">
        <f ca="1">IFERROR(INDIRECT(CONCATENATE("Field!J",A91+1)),"")</f>
        <v>Bib</v>
      </c>
      <c r="K91" s="182" t="str">
        <f ca="1">IFERROR(INDIRECT(CONCATENATE("Field!K",A91+1)),"")</f>
        <v>Athlete</v>
      </c>
      <c r="L91" s="182" t="str">
        <f ca="1">IFERROR(INDIRECT(CONCATENATE("Field!L",A91+1)),"")</f>
        <v>Club</v>
      </c>
      <c r="M91" s="149" t="str">
        <f ca="1">IFERROR(INDIRECT(CONCATENATE("Field!M",A91+1)),"")</f>
        <v>Perf</v>
      </c>
      <c r="N91" s="218" t="str">
        <f ca="1">IFERROR(INDIRECT(CONCATENATE("Field!N",A91+1)),"")</f>
        <v>AAA</v>
      </c>
    </row>
    <row r="92" spans="1:18" x14ac:dyDescent="0.35">
      <c r="B92" s="66" t="str">
        <f ca="1">IFERROR(INDIRECT(CONCATENATE("Field!B",A91+2)),"")</f>
        <v>1=</v>
      </c>
      <c r="C92" s="66">
        <f ca="1">IFERROR(INDIRECT(CONCATENATE("Field!C",A91+2)),"")</f>
        <v>2</v>
      </c>
      <c r="D92" s="89" t="str">
        <f ca="1">IFERROR(INDIRECT(CONCATENATE("Field!D",A91+2)),"")</f>
        <v>MAY Rudi</v>
      </c>
      <c r="E92" s="89" t="str">
        <f ca="1">IFERROR(INDIRECT(CONCATENATE("Field!E",A91+2)),"")</f>
        <v>Sheff+D</v>
      </c>
      <c r="F92" s="65">
        <f ca="1">IFERROR(INDIRECT(CONCATENATE("Field!F",A91+2)),"")</f>
        <v>1.2</v>
      </c>
      <c r="G92" s="121" t="str">
        <f ca="1">IFERROR(INDIRECT(CONCATENATE("Field!G",A91+2)),"")</f>
        <v/>
      </c>
      <c r="H92" s="66"/>
      <c r="I92" s="66">
        <f ca="1">IFERROR(INDIRECT(CONCATENATE("Field!I",A91+2)),"")</f>
        <v>1</v>
      </c>
      <c r="J92" s="66">
        <f ca="1">IFERROR(INDIRECT(CONCATENATE("Field!J",A91+2)),"")</f>
        <v>22</v>
      </c>
      <c r="K92" s="89" t="str">
        <f ca="1">IFERROR(INDIRECT(CONCATENATE("Field!K",A91+2)),"")</f>
        <v>COCKINGS Matthew</v>
      </c>
      <c r="L92" s="89" t="str">
        <f ca="1">IFERROR(INDIRECT(CONCATENATE("Field!L",A91+2)),"")</f>
        <v>Sheff+D</v>
      </c>
      <c r="M92" s="65">
        <f ca="1">IFERROR(INDIRECT(CONCATENATE("Field!M",A91+2)),"")</f>
        <v>1.2</v>
      </c>
      <c r="N92" s="121" t="str">
        <f ca="1">IFERROR(INDIRECT(CONCATENATE("Field!N",A91+2)),"")</f>
        <v/>
      </c>
      <c r="R92" s="219">
        <f ca="1">IFERROR(INDIRECT(CONCATENATE("Field!r",A91+2)),"")</f>
        <v>1</v>
      </c>
    </row>
    <row r="93" spans="1:18" x14ac:dyDescent="0.35">
      <c r="B93" s="66" t="str">
        <f ca="1">IFERROR(INDIRECT(CONCATENATE("Field!B",A91+3)),"")</f>
        <v>1=</v>
      </c>
      <c r="C93" s="66">
        <f ca="1">IFERROR(INDIRECT(CONCATENATE("Field!C",A91+3)),"")</f>
        <v>3</v>
      </c>
      <c r="D93" s="89" t="str">
        <f ca="1">IFERROR(INDIRECT(CONCATENATE("Field!D",A91+3)),"")</f>
        <v>BASTOW Isaac</v>
      </c>
      <c r="E93" s="89" t="str">
        <f ca="1">IFERROR(INDIRECT(CONCATENATE("Field!E",A91+3)),"")</f>
        <v>York</v>
      </c>
      <c r="F93" s="65">
        <f ca="1">IFERROR(INDIRECT(CONCATENATE("Field!F",A91+3)),"")</f>
        <v>1.2</v>
      </c>
      <c r="G93" s="121" t="str">
        <f ca="1">IFERROR(INDIRECT(CONCATENATE("Field!G",A91+3)),"")</f>
        <v/>
      </c>
      <c r="H93" s="66"/>
      <c r="I93" s="66">
        <f ca="1">IFERROR(INDIRECT(CONCATENATE("Field!I",A91+3)),"")</f>
        <v>2</v>
      </c>
      <c r="J93" s="66">
        <f ca="1">IFERROR(INDIRECT(CONCATENATE("Field!J",A91+3)),"")</f>
        <v>33</v>
      </c>
      <c r="K93" s="89" t="str">
        <f ca="1">IFERROR(INDIRECT(CONCATENATE("Field!K",A91+3)),"")</f>
        <v>JONES Alex</v>
      </c>
      <c r="L93" s="89" t="str">
        <f ca="1">IFERROR(INDIRECT(CONCATENATE("Field!L",A91+3)),"")</f>
        <v>York</v>
      </c>
      <c r="M93" s="65">
        <f ca="1">IFERROR(INDIRECT(CONCATENATE("Field!M",A91+3)),"")</f>
        <v>1.05</v>
      </c>
      <c r="N93" s="121" t="str">
        <f ca="1">IFERROR(INDIRECT(CONCATENATE("Field!N",A91+3)),"")</f>
        <v/>
      </c>
    </row>
    <row r="94" spans="1:18" x14ac:dyDescent="0.35">
      <c r="B94" s="66">
        <f ca="1">IFERROR(INDIRECT(CONCATENATE("Field!B",A91+4)),"")</f>
        <v>3</v>
      </c>
      <c r="C94" s="66">
        <f ca="1">IFERROR(INDIRECT(CONCATENATE("Field!C",A91+4)),"")</f>
        <v>1</v>
      </c>
      <c r="D94" s="89" t="str">
        <f ca="1">IFERROR(INDIRECT(CONCATENATE("Field!D",A91+4)),"")</f>
        <v>LOWE Seth</v>
      </c>
      <c r="E94" s="89" t="str">
        <f ca="1">IFERROR(INDIRECT(CONCATENATE("Field!E",A91+4)),"")</f>
        <v>C'field</v>
      </c>
      <c r="F94" s="65">
        <f ca="1">IFERROR(INDIRECT(CONCATENATE("Field!F",A91+4)),"")</f>
        <v>1.05</v>
      </c>
      <c r="G94" s="121" t="str">
        <f ca="1">IFERROR(INDIRECT(CONCATENATE("Field!G",A91+4)),"")</f>
        <v/>
      </c>
      <c r="H94" s="66"/>
      <c r="I94" s="66" t="str">
        <f ca="1">IFERROR(INDIRECT(CONCATENATE("Field!I",A91+4)),"")</f>
        <v/>
      </c>
      <c r="J94" s="66" t="str">
        <f ca="1">IFERROR(INDIRECT(CONCATENATE("Field!J",A91+4)),"")</f>
        <v/>
      </c>
      <c r="K94" s="89" t="str">
        <f ca="1">IFERROR(INDIRECT(CONCATENATE("Field!K",A91+4)),"")</f>
        <v/>
      </c>
      <c r="L94" s="89" t="str">
        <f ca="1">IFERROR(INDIRECT(CONCATENATE("Field!L",A91+4)),"")</f>
        <v/>
      </c>
      <c r="M94" s="65">
        <f ca="1">IFERROR(INDIRECT(CONCATENATE("Field!M",A91+4)),"")</f>
        <v>0</v>
      </c>
      <c r="N94" s="121" t="str">
        <f ca="1">IFERROR(INDIRECT(CONCATENATE("Field!N",A91+4)),"")</f>
        <v/>
      </c>
    </row>
    <row r="95" spans="1:18" x14ac:dyDescent="0.35">
      <c r="B95" s="66">
        <f ca="1">IFERROR(INDIRECT(CONCATENATE("Field!B",A91+5)),"")</f>
        <v>4</v>
      </c>
      <c r="C95" s="66">
        <f ca="1">IFERROR(INDIRECT(CONCATENATE("Field!C",A91+5)),"")</f>
        <v>5</v>
      </c>
      <c r="D95" s="89" t="str">
        <f ca="1">IFERROR(INDIRECT(CONCATENATE("Field!D",A91+5)),"")</f>
        <v>OADES James</v>
      </c>
      <c r="E95" s="89" t="str">
        <f ca="1">IFERROR(INDIRECT(CONCATENATE("Field!E",A91+5)),"")</f>
        <v>Scun</v>
      </c>
      <c r="F95" s="65" t="str">
        <f ca="1">IFERROR(INDIRECT(CONCATENATE("Field!F",A91+5)),"")</f>
        <v>X</v>
      </c>
      <c r="G95" s="121" t="str">
        <f ca="1">IFERROR(INDIRECT(CONCATENATE("Field!G",A91+5)),"")</f>
        <v/>
      </c>
      <c r="H95" s="66"/>
      <c r="I95" s="66" t="str">
        <f ca="1">IFERROR(INDIRECT(CONCATENATE("Field!I",A91+5)),"")</f>
        <v/>
      </c>
      <c r="J95" s="66" t="str">
        <f ca="1">IFERROR(INDIRECT(CONCATENATE("Field!J",A91+5)),"")</f>
        <v/>
      </c>
      <c r="K95" s="89" t="str">
        <f ca="1">IFERROR(INDIRECT(CONCATENATE("Field!K",A91+5)),"")</f>
        <v/>
      </c>
      <c r="L95" s="89" t="str">
        <f ca="1">IFERROR(INDIRECT(CONCATENATE("Field!L",A91+5)),"")</f>
        <v/>
      </c>
      <c r="M95" s="65">
        <f ca="1">IFERROR(INDIRECT(CONCATENATE("Field!M",A91+5)),"")</f>
        <v>0</v>
      </c>
      <c r="N95" s="121" t="str">
        <f ca="1">IFERROR(INDIRECT(CONCATENATE("Field!N",A91+5)),"")</f>
        <v/>
      </c>
    </row>
    <row r="96" spans="1:18" x14ac:dyDescent="0.35">
      <c r="B96" s="66" t="str">
        <f ca="1">IFERROR(INDIRECT(CONCATENATE("Field!B",A91+6)),"")</f>
        <v/>
      </c>
      <c r="C96" s="66" t="str">
        <f ca="1">IFERROR(INDIRECT(CONCATENATE("Field!C",A91+6)),"")</f>
        <v/>
      </c>
      <c r="D96" s="89" t="str">
        <f ca="1">IFERROR(INDIRECT(CONCATENATE("Field!D",A91+6)),"")</f>
        <v/>
      </c>
      <c r="E96" s="89" t="str">
        <f ca="1">IFERROR(INDIRECT(CONCATENATE("Field!E",A91+6)),"")</f>
        <v/>
      </c>
      <c r="F96" s="65">
        <f ca="1">IFERROR(INDIRECT(CONCATENATE("Field!F",A91+6)),"")</f>
        <v>0</v>
      </c>
      <c r="G96" s="121" t="str">
        <f ca="1">IFERROR(INDIRECT(CONCATENATE("Field!G",A91+6)),"")</f>
        <v/>
      </c>
      <c r="H96" s="66"/>
      <c r="I96" s="66" t="str">
        <f ca="1">IFERROR(INDIRECT(CONCATENATE("Field!I",A91+6)),"")</f>
        <v/>
      </c>
      <c r="J96" s="66" t="str">
        <f ca="1">IFERROR(INDIRECT(CONCATENATE("Field!J",A91+6)),"")</f>
        <v/>
      </c>
      <c r="K96" s="89" t="str">
        <f ca="1">IFERROR(INDIRECT(CONCATENATE("Field!K",A91+6)),"")</f>
        <v/>
      </c>
      <c r="L96" s="89" t="str">
        <f ca="1">IFERROR(INDIRECT(CONCATENATE("Field!L",A91+6)),"")</f>
        <v/>
      </c>
      <c r="M96" s="65">
        <f ca="1">IFERROR(INDIRECT(CONCATENATE("Field!M",A91+6)),"")</f>
        <v>0</v>
      </c>
      <c r="N96" s="121" t="str">
        <f ca="1">IFERROR(INDIRECT(CONCATENATE("Field!N",A91+6)),"")</f>
        <v/>
      </c>
    </row>
    <row r="97" spans="1:18" x14ac:dyDescent="0.35">
      <c r="B97" s="66" t="str">
        <f ca="1">IFERROR(INDIRECT(CONCATENATE("Field!B",A91+7)),"")</f>
        <v/>
      </c>
      <c r="C97" s="66" t="str">
        <f ca="1">IFERROR(INDIRECT(CONCATENATE("Field!C",A91+7)),"")</f>
        <v/>
      </c>
      <c r="D97" s="89" t="str">
        <f ca="1">IFERROR(INDIRECT(CONCATENATE("Field!D",A91+7)),"")</f>
        <v/>
      </c>
      <c r="E97" s="89" t="str">
        <f ca="1">IFERROR(INDIRECT(CONCATENATE("Field!E",A91+7)),"")</f>
        <v/>
      </c>
      <c r="F97" s="65">
        <f ca="1">IFERROR(INDIRECT(CONCATENATE("Field!F",A91+7)),"")</f>
        <v>0</v>
      </c>
      <c r="G97" s="121" t="str">
        <f ca="1">IFERROR(INDIRECT(CONCATENATE("Field!G",A91+7)),"")</f>
        <v/>
      </c>
      <c r="H97" s="66"/>
      <c r="I97" s="66" t="str">
        <f ca="1">IFERROR(INDIRECT(CONCATENATE("Field!I",A91+7)),"")</f>
        <v/>
      </c>
      <c r="J97" s="66" t="str">
        <f ca="1">IFERROR(INDIRECT(CONCATENATE("Field!J",A91+7)),"")</f>
        <v/>
      </c>
      <c r="K97" s="89" t="str">
        <f ca="1">IFERROR(INDIRECT(CONCATENATE("Field!K",A91+7)),"")</f>
        <v/>
      </c>
      <c r="L97" s="89" t="str">
        <f ca="1">IFERROR(INDIRECT(CONCATENATE("Field!L",A91+7)),"")</f>
        <v/>
      </c>
      <c r="M97" s="65">
        <f ca="1">IFERROR(INDIRECT(CONCATENATE("Field!M",A91+7)),"")</f>
        <v>0</v>
      </c>
      <c r="N97" s="121" t="str">
        <f ca="1">IFERROR(INDIRECT(CONCATENATE("Field!N",A91+7)),"")</f>
        <v/>
      </c>
    </row>
    <row r="98" spans="1:18" x14ac:dyDescent="0.35">
      <c r="B98" s="66" t="str">
        <f ca="1">IFERROR(INDIRECT(CONCATENATE("Field!B",A91+8)),"")</f>
        <v/>
      </c>
      <c r="C98" s="66" t="str">
        <f ca="1">IFERROR(INDIRECT(CONCATENATE("Field!C",A91+8)),"")</f>
        <v/>
      </c>
      <c r="D98" s="89" t="str">
        <f ca="1">IFERROR(INDIRECT(CONCATENATE("Field!D",A91+8)),"")</f>
        <v/>
      </c>
      <c r="E98" s="89" t="str">
        <f ca="1">IFERROR(INDIRECT(CONCATENATE("Field!E",A91+8)),"")</f>
        <v/>
      </c>
      <c r="F98" s="65">
        <f ca="1">IFERROR(INDIRECT(CONCATENATE("Field!F",A91+8)),"")</f>
        <v>0</v>
      </c>
      <c r="G98" s="121" t="str">
        <f ca="1">IFERROR(INDIRECT(CONCATENATE("Field!G",A91+8)),"")</f>
        <v/>
      </c>
      <c r="H98" s="66"/>
      <c r="I98" s="66" t="str">
        <f ca="1">IFERROR(INDIRECT(CONCATENATE("Field!I",A91+8)),"")</f>
        <v/>
      </c>
      <c r="J98" s="66" t="str">
        <f ca="1">IFERROR(INDIRECT(CONCATENATE("Field!J",A91+8)),"")</f>
        <v/>
      </c>
      <c r="K98" s="89" t="str">
        <f ca="1">IFERROR(INDIRECT(CONCATENATE("Field!K",A91+8)),"")</f>
        <v/>
      </c>
      <c r="L98" s="89" t="str">
        <f ca="1">IFERROR(INDIRECT(CONCATENATE("Field!L",A91+8)),"")</f>
        <v/>
      </c>
      <c r="M98" s="65">
        <f ca="1">IFERROR(INDIRECT(CONCATENATE("Field!M",A91+8)),"")</f>
        <v>0</v>
      </c>
      <c r="N98" s="121" t="str">
        <f ca="1">IFERROR(INDIRECT(CONCATENATE("Field!N",A91+8)),"")</f>
        <v/>
      </c>
    </row>
    <row r="99" spans="1:18" x14ac:dyDescent="0.35">
      <c r="B99" s="66" t="str">
        <f ca="1">IFERROR(INDIRECT(CONCATENATE("Field!B",A91+9)),"")</f>
        <v/>
      </c>
      <c r="C99" s="66" t="str">
        <f ca="1">IFERROR(INDIRECT(CONCATENATE("Field!C",A91+9)),"")</f>
        <v/>
      </c>
      <c r="D99" s="89" t="str">
        <f ca="1">IFERROR(INDIRECT(CONCATENATE("Field!D",A91+9)),"")</f>
        <v/>
      </c>
      <c r="E99" s="89" t="str">
        <f ca="1">IFERROR(INDIRECT(CONCATENATE("Field!E",A91+9)),"")</f>
        <v/>
      </c>
      <c r="F99" s="65">
        <f ca="1">IFERROR(INDIRECT(CONCATENATE("Field!F",A91+9)),"")</f>
        <v>0</v>
      </c>
      <c r="G99" s="121" t="str">
        <f ca="1">IFERROR(INDIRECT(CONCATENATE("Field!G",A91+9)),"")</f>
        <v/>
      </c>
      <c r="H99" s="66"/>
      <c r="I99" s="66" t="str">
        <f ca="1">IFERROR(INDIRECT(CONCATENATE("Field!I",A91+9)),"")</f>
        <v/>
      </c>
      <c r="J99" s="66" t="str">
        <f ca="1">IFERROR(INDIRECT(CONCATENATE("Field!J",A91+9)),"")</f>
        <v/>
      </c>
      <c r="K99" s="89" t="str">
        <f ca="1">IFERROR(INDIRECT(CONCATENATE("Field!K",A91+9)),"")</f>
        <v/>
      </c>
      <c r="L99" s="89" t="str">
        <f ca="1">IFERROR(INDIRECT(CONCATENATE("Field!L",A91+9)),"")</f>
        <v/>
      </c>
      <c r="M99" s="65">
        <f ca="1">IFERROR(INDIRECT(CONCATENATE("Field!M",A91+9)),"")</f>
        <v>0</v>
      </c>
      <c r="N99" s="121" t="str">
        <f ca="1">IFERROR(INDIRECT(CONCATENATE("Field!N",A91+9)),"")</f>
        <v/>
      </c>
    </row>
    <row r="100" spans="1:18" x14ac:dyDescent="0.35">
      <c r="F100" s="67"/>
      <c r="M100" s="67"/>
    </row>
    <row r="101" spans="1:18" x14ac:dyDescent="0.35">
      <c r="A101" s="66" t="s">
        <v>245</v>
      </c>
      <c r="B101" s="115" t="str">
        <f ca="1">IFERROR(INDIRECT(CONCATENATE("Field!B",A102)),"")</f>
        <v>Shot U13 Boys A</v>
      </c>
      <c r="F101" s="67"/>
      <c r="G101" s="121" t="str">
        <f ca="1">IFERROR(INDIRECT(CONCATENATE("Field!g",A102)),"")</f>
        <v/>
      </c>
      <c r="I101" s="115" t="str">
        <f ca="1">IFERROR(INDIRECT(CONCATENATE("Field!I",A102)),"")</f>
        <v>Shot U13 Boys B</v>
      </c>
      <c r="M101" s="67"/>
    </row>
    <row r="102" spans="1:18" x14ac:dyDescent="0.35">
      <c r="A102" s="66">
        <f>IFERROR(MATCH(A101,Field!A:A,0),"")</f>
        <v>90</v>
      </c>
      <c r="B102" s="45" t="str">
        <f ca="1">IFERROR(INDIRECT(CONCATENATE("Field!B",A102+1)),"")</f>
        <v>Posn</v>
      </c>
      <c r="C102" s="45" t="str">
        <f ca="1">IFERROR(INDIRECT(CONCATENATE("Field!C",A102+1)),"")</f>
        <v>Bib</v>
      </c>
      <c r="D102" s="182" t="str">
        <f ca="1">IFERROR(INDIRECT(CONCATENATE("Field!D",A102+1)),"")</f>
        <v>Athlete</v>
      </c>
      <c r="E102" s="182" t="str">
        <f ca="1">IFERROR(INDIRECT(CONCATENATE("Field!E",A102+1)),"")</f>
        <v>Club</v>
      </c>
      <c r="F102" s="149" t="str">
        <f ca="1">IFERROR(INDIRECT(CONCATENATE("Field!F",A102+1)),"")</f>
        <v>Perf</v>
      </c>
      <c r="G102" s="218" t="str">
        <f ca="1">IFERROR(INDIRECT(CONCATENATE("Field!G",A102+1)),"")</f>
        <v>AAA</v>
      </c>
      <c r="H102" s="45"/>
      <c r="I102" s="45" t="str">
        <f ca="1">IFERROR(INDIRECT(CONCATENATE("Field!I",A102+1)),"")</f>
        <v>Posn</v>
      </c>
      <c r="J102" s="45" t="str">
        <f ca="1">IFERROR(INDIRECT(CONCATENATE("Field!J",A102+1)),"")</f>
        <v>Bib</v>
      </c>
      <c r="K102" s="182" t="str">
        <f ca="1">IFERROR(INDIRECT(CONCATENATE("Field!K",A102+1)),"")</f>
        <v>Athlete</v>
      </c>
      <c r="L102" s="182" t="str">
        <f ca="1">IFERROR(INDIRECT(CONCATENATE("Field!L",A102+1)),"")</f>
        <v>Club</v>
      </c>
      <c r="M102" s="149" t="str">
        <f ca="1">IFERROR(INDIRECT(CONCATENATE("Field!M",A102+1)),"")</f>
        <v>Perf</v>
      </c>
      <c r="N102" s="218" t="str">
        <f ca="1">IFERROR(INDIRECT(CONCATENATE("Field!N",A102+1)),"")</f>
        <v>AAA</v>
      </c>
    </row>
    <row r="103" spans="1:18" x14ac:dyDescent="0.35">
      <c r="B103" s="66">
        <f ca="1">IFERROR(INDIRECT(CONCATENATE("Field!B",A102+2)),"")</f>
        <v>1</v>
      </c>
      <c r="C103" s="66">
        <f ca="1">IFERROR(INDIRECT(CONCATENATE("Field!C",A102+2)),"")</f>
        <v>3</v>
      </c>
      <c r="D103" s="89" t="str">
        <f ca="1">IFERROR(INDIRECT(CONCATENATE("Field!D",A102+2)),"")</f>
        <v>WALSH Lincoln</v>
      </c>
      <c r="E103" s="89" t="str">
        <f ca="1">IFERROR(INDIRECT(CONCATENATE("Field!E",A102+2)),"")</f>
        <v>York</v>
      </c>
      <c r="F103" s="65">
        <f ca="1">IFERROR(INDIRECT(CONCATENATE("Field!F",A102+2)),"")</f>
        <v>8.49</v>
      </c>
      <c r="G103" s="121">
        <f ca="1">IFERROR(INDIRECT(CONCATENATE("Field!G",A102+2)),"")</f>
        <v>3</v>
      </c>
      <c r="H103" s="66"/>
      <c r="I103" s="66">
        <f ca="1">IFERROR(INDIRECT(CONCATENATE("Field!I",A102+2)),"")</f>
        <v>1</v>
      </c>
      <c r="J103" s="66">
        <f ca="1">IFERROR(INDIRECT(CONCATENATE("Field!J",A102+2)),"")</f>
        <v>33</v>
      </c>
      <c r="K103" s="89" t="str">
        <f ca="1">IFERROR(INDIRECT(CONCATENATE("Field!K",A102+2)),"")</f>
        <v>ROTHWELL Noah</v>
      </c>
      <c r="L103" s="89" t="str">
        <f ca="1">IFERROR(INDIRECT(CONCATENATE("Field!L",A102+2)),"")</f>
        <v>York</v>
      </c>
      <c r="M103" s="65">
        <f ca="1">IFERROR(INDIRECT(CONCATENATE("Field!M",A102+2)),"")</f>
        <v>6.14</v>
      </c>
      <c r="N103" s="121" t="str">
        <f ca="1">IFERROR(INDIRECT(CONCATENATE("Field!N",A102+2)),"")</f>
        <v/>
      </c>
      <c r="R103" s="219">
        <f ca="1">IFERROR(INDIRECT(CONCATENATE("Field!r",A102+2)),"")</f>
        <v>1</v>
      </c>
    </row>
    <row r="104" spans="1:18" x14ac:dyDescent="0.35">
      <c r="B104" s="66">
        <f ca="1">IFERROR(INDIRECT(CONCATENATE("Field!B",A102+3)),"")</f>
        <v>2</v>
      </c>
      <c r="C104" s="66">
        <f ca="1">IFERROR(INDIRECT(CONCATENATE("Field!C",A102+3)),"")</f>
        <v>4</v>
      </c>
      <c r="D104" s="89" t="str">
        <f ca="1">IFERROR(INDIRECT(CONCATENATE("Field!D",A102+3)),"")</f>
        <v>FRANCIS Stan</v>
      </c>
      <c r="E104" s="89" t="str">
        <f ca="1">IFERROR(INDIRECT(CONCATENATE("Field!E",A102+3)),"")</f>
        <v>M'bro</v>
      </c>
      <c r="F104" s="65">
        <f ca="1">IFERROR(INDIRECT(CONCATENATE("Field!F",A102+3)),"")</f>
        <v>6.45</v>
      </c>
      <c r="G104" s="121" t="str">
        <f ca="1">IFERROR(INDIRECT(CONCATENATE("Field!G",A102+3)),"")</f>
        <v/>
      </c>
      <c r="H104" s="66"/>
      <c r="I104" s="66">
        <f ca="1">IFERROR(INDIRECT(CONCATENATE("Field!I",A102+3)),"")</f>
        <v>2</v>
      </c>
      <c r="J104" s="66">
        <f ca="1">IFERROR(INDIRECT(CONCATENATE("Field!J",A102+3)),"")</f>
        <v>2</v>
      </c>
      <c r="K104" s="89" t="str">
        <f ca="1">IFERROR(INDIRECT(CONCATENATE("Field!K",A102+3)),"")</f>
        <v>HENNESSEY Thomas</v>
      </c>
      <c r="L104" s="89" t="str">
        <f ca="1">IFERROR(INDIRECT(CONCATENATE("Field!L",A102+3)),"")</f>
        <v>Sheff+D</v>
      </c>
      <c r="M104" s="65">
        <f ca="1">IFERROR(INDIRECT(CONCATENATE("Field!M",A102+3)),"")</f>
        <v>5.63</v>
      </c>
      <c r="N104" s="121" t="str">
        <f ca="1">IFERROR(INDIRECT(CONCATENATE("Field!N",A102+3)),"")</f>
        <v/>
      </c>
    </row>
    <row r="105" spans="1:18" x14ac:dyDescent="0.35">
      <c r="B105" s="66">
        <f ca="1">IFERROR(INDIRECT(CONCATENATE("Field!B",A102+4)),"")</f>
        <v>3</v>
      </c>
      <c r="C105" s="66">
        <f ca="1">IFERROR(INDIRECT(CONCATENATE("Field!C",A102+4)),"")</f>
        <v>1</v>
      </c>
      <c r="D105" s="89" t="str">
        <f ca="1">IFERROR(INDIRECT(CONCATENATE("Field!D",A102+4)),"")</f>
        <v>STOWELL Callum</v>
      </c>
      <c r="E105" s="89" t="str">
        <f ca="1">IFERROR(INDIRECT(CONCATENATE("Field!E",A102+4)),"")</f>
        <v>C'field</v>
      </c>
      <c r="F105" s="65">
        <f ca="1">IFERROR(INDIRECT(CONCATENATE("Field!F",A102+4)),"")</f>
        <v>5.71</v>
      </c>
      <c r="G105" s="121" t="str">
        <f ca="1">IFERROR(INDIRECT(CONCATENATE("Field!G",A102+4)),"")</f>
        <v/>
      </c>
      <c r="H105" s="66"/>
      <c r="I105" s="66">
        <f ca="1">IFERROR(INDIRECT(CONCATENATE("Field!I",A102+4)),"")</f>
        <v>3</v>
      </c>
      <c r="J105" s="66">
        <f ca="1">IFERROR(INDIRECT(CONCATENATE("Field!J",A102+4)),"")</f>
        <v>55</v>
      </c>
      <c r="K105" s="89" t="str">
        <f ca="1">IFERROR(INDIRECT(CONCATENATE("Field!K",A102+4)),"")</f>
        <v>PELL Nathan</v>
      </c>
      <c r="L105" s="89" t="str">
        <f ca="1">IFERROR(INDIRECT(CONCATENATE("Field!L",A102+4)),"")</f>
        <v>Scun</v>
      </c>
      <c r="M105" s="65">
        <f ca="1">IFERROR(INDIRECT(CONCATENATE("Field!M",A102+4)),"")</f>
        <v>4.32</v>
      </c>
      <c r="N105" s="121" t="str">
        <f ca="1">IFERROR(INDIRECT(CONCATENATE("Field!N",A102+4)),"")</f>
        <v/>
      </c>
    </row>
    <row r="106" spans="1:18" x14ac:dyDescent="0.35">
      <c r="B106" s="66">
        <f ca="1">IFERROR(INDIRECT(CONCATENATE("Field!B",A102+5)),"")</f>
        <v>4</v>
      </c>
      <c r="C106" s="66">
        <f ca="1">IFERROR(INDIRECT(CONCATENATE("Field!C",A102+5)),"")</f>
        <v>22</v>
      </c>
      <c r="D106" s="89" t="str">
        <f ca="1">IFERROR(INDIRECT(CONCATENATE("Field!D",A102+5)),"")</f>
        <v>COCKINGS Matthew</v>
      </c>
      <c r="E106" s="89" t="str">
        <f ca="1">IFERROR(INDIRECT(CONCATENATE("Field!E",A102+5)),"")</f>
        <v>Sheff+D</v>
      </c>
      <c r="F106" s="65">
        <f ca="1">IFERROR(INDIRECT(CONCATENATE("Field!F",A102+5)),"")</f>
        <v>5.66</v>
      </c>
      <c r="G106" s="121" t="str">
        <f ca="1">IFERROR(INDIRECT(CONCATENATE("Field!G",A102+5)),"")</f>
        <v/>
      </c>
      <c r="H106" s="66"/>
      <c r="I106" s="66">
        <f ca="1">IFERROR(INDIRECT(CONCATENATE("Field!I",A102+5)),"")</f>
        <v>4</v>
      </c>
      <c r="J106" s="66">
        <f ca="1">IFERROR(INDIRECT(CONCATENATE("Field!J",A102+5)),"")</f>
        <v>11</v>
      </c>
      <c r="K106" s="89" t="str">
        <f ca="1">IFERROR(INDIRECT(CONCATENATE("Field!K",A102+5)),"")</f>
        <v>DREW Matthew</v>
      </c>
      <c r="L106" s="89" t="str">
        <f ca="1">IFERROR(INDIRECT(CONCATENATE("Field!L",A102+5)),"")</f>
        <v>C'field</v>
      </c>
      <c r="M106" s="65">
        <f ca="1">IFERROR(INDIRECT(CONCATENATE("Field!M",A102+5)),"")</f>
        <v>3.9</v>
      </c>
      <c r="N106" s="121" t="str">
        <f ca="1">IFERROR(INDIRECT(CONCATENATE("Field!N",A102+5)),"")</f>
        <v/>
      </c>
    </row>
    <row r="107" spans="1:18" x14ac:dyDescent="0.35">
      <c r="B107" s="66">
        <f ca="1">IFERROR(INDIRECT(CONCATENATE("Field!B",A102+6)),"")</f>
        <v>5</v>
      </c>
      <c r="C107" s="66">
        <f ca="1">IFERROR(INDIRECT(CONCATENATE("Field!C",A102+6)),"")</f>
        <v>5</v>
      </c>
      <c r="D107" s="89" t="str">
        <f ca="1">IFERROR(INDIRECT(CONCATENATE("Field!D",A102+6)),"")</f>
        <v>COOK Alexander</v>
      </c>
      <c r="E107" s="89" t="str">
        <f ca="1">IFERROR(INDIRECT(CONCATENATE("Field!E",A102+6)),"")</f>
        <v>Scun</v>
      </c>
      <c r="F107" s="65">
        <f ca="1">IFERROR(INDIRECT(CONCATENATE("Field!F",A102+6)),"")</f>
        <v>5.19</v>
      </c>
      <c r="G107" s="121" t="str">
        <f ca="1">IFERROR(INDIRECT(CONCATENATE("Field!G",A102+6)),"")</f>
        <v/>
      </c>
      <c r="H107" s="66"/>
      <c r="I107" s="66">
        <f ca="1">IFERROR(INDIRECT(CONCATENATE("Field!I",A102+6)),"")</f>
        <v>5</v>
      </c>
      <c r="J107" s="66" t="str">
        <f ca="1">IFERROR(INDIRECT(CONCATENATE("Field!J",A102+6)),"")</f>
        <v/>
      </c>
      <c r="K107" s="89" t="str">
        <f ca="1">IFERROR(INDIRECT(CONCATENATE("Field!K",A102+6)),"")</f>
        <v/>
      </c>
      <c r="L107" s="89" t="str">
        <f ca="1">IFERROR(INDIRECT(CONCATENATE("Field!L",A102+6)),"")</f>
        <v/>
      </c>
      <c r="M107" s="65" t="str">
        <f ca="1">IFERROR(INDIRECT(CONCATENATE("Field!M",A102+6)),"")</f>
        <v/>
      </c>
      <c r="N107" s="121" t="str">
        <f ca="1">IFERROR(INDIRECT(CONCATENATE("Field!N",A102+6)),"")</f>
        <v/>
      </c>
    </row>
    <row r="108" spans="1:18" x14ac:dyDescent="0.35">
      <c r="B108" s="66">
        <f ca="1">IFERROR(INDIRECT(CONCATENATE("Field!B",A102+7)),"")</f>
        <v>6</v>
      </c>
      <c r="C108" s="66" t="str">
        <f ca="1">IFERROR(INDIRECT(CONCATENATE("Field!C",A102+7)),"")</f>
        <v/>
      </c>
      <c r="D108" s="89" t="str">
        <f ca="1">IFERROR(INDIRECT(CONCATENATE("Field!D",A102+7)),"")</f>
        <v/>
      </c>
      <c r="E108" s="89" t="str">
        <f ca="1">IFERROR(INDIRECT(CONCATENATE("Field!E",A102+7)),"")</f>
        <v/>
      </c>
      <c r="F108" s="65" t="str">
        <f ca="1">IFERROR(INDIRECT(CONCATENATE("Field!F",A102+7)),"")</f>
        <v/>
      </c>
      <c r="G108" s="121" t="str">
        <f ca="1">IFERROR(INDIRECT(CONCATENATE("Field!G",A102+7)),"")</f>
        <v/>
      </c>
      <c r="H108" s="66"/>
      <c r="I108" s="66">
        <f ca="1">IFERROR(INDIRECT(CONCATENATE("Field!I",A102+7)),"")</f>
        <v>6</v>
      </c>
      <c r="J108" s="66" t="str">
        <f ca="1">IFERROR(INDIRECT(CONCATENATE("Field!J",A102+7)),"")</f>
        <v/>
      </c>
      <c r="K108" s="89" t="str">
        <f ca="1">IFERROR(INDIRECT(CONCATENATE("Field!K",A102+7)),"")</f>
        <v/>
      </c>
      <c r="L108" s="89" t="str">
        <f ca="1">IFERROR(INDIRECT(CONCATENATE("Field!L",A102+7)),"")</f>
        <v/>
      </c>
      <c r="M108" s="65" t="str">
        <f ca="1">IFERROR(INDIRECT(CONCATENATE("Field!M",A102+7)),"")</f>
        <v/>
      </c>
      <c r="N108" s="121" t="str">
        <f ca="1">IFERROR(INDIRECT(CONCATENATE("Field!N",A102+7)),"")</f>
        <v/>
      </c>
    </row>
    <row r="109" spans="1:18" x14ac:dyDescent="0.35">
      <c r="B109" s="66">
        <f ca="1">IFERROR(INDIRECT(CONCATENATE("Field!B",A102+8)),"")</f>
        <v>7</v>
      </c>
      <c r="C109" s="66" t="str">
        <f ca="1">IFERROR(INDIRECT(CONCATENATE("Field!C",A102+8)),"")</f>
        <v/>
      </c>
      <c r="D109" s="89" t="str">
        <f ca="1">IFERROR(INDIRECT(CONCATENATE("Field!D",A102+8)),"")</f>
        <v/>
      </c>
      <c r="E109" s="89" t="str">
        <f ca="1">IFERROR(INDIRECT(CONCATENATE("Field!E",A102+8)),"")</f>
        <v/>
      </c>
      <c r="F109" s="65" t="str">
        <f ca="1">IFERROR(INDIRECT(CONCATENATE("Field!F",A102+8)),"")</f>
        <v/>
      </c>
      <c r="G109" s="121" t="str">
        <f ca="1">IFERROR(INDIRECT(CONCATENATE("Field!G",A102+8)),"")</f>
        <v/>
      </c>
      <c r="H109" s="66"/>
      <c r="I109" s="66">
        <f ca="1">IFERROR(INDIRECT(CONCATENATE("Field!I",A102+8)),"")</f>
        <v>7</v>
      </c>
      <c r="J109" s="66" t="str">
        <f ca="1">IFERROR(INDIRECT(CONCATENATE("Field!J",A102+8)),"")</f>
        <v/>
      </c>
      <c r="K109" s="89" t="str">
        <f ca="1">IFERROR(INDIRECT(CONCATENATE("Field!K",A102+8)),"")</f>
        <v/>
      </c>
      <c r="L109" s="89" t="str">
        <f ca="1">IFERROR(INDIRECT(CONCATENATE("Field!L",A102+8)),"")</f>
        <v/>
      </c>
      <c r="M109" s="65" t="str">
        <f ca="1">IFERROR(INDIRECT(CONCATENATE("Field!M",A102+8)),"")</f>
        <v/>
      </c>
      <c r="N109" s="121" t="str">
        <f ca="1">IFERROR(INDIRECT(CONCATENATE("Field!N",A102+8)),"")</f>
        <v/>
      </c>
    </row>
    <row r="110" spans="1:18" x14ac:dyDescent="0.35">
      <c r="B110" s="66">
        <f ca="1">IFERROR(INDIRECT(CONCATENATE("Field!B",A102+9)),"")</f>
        <v>8</v>
      </c>
      <c r="C110" s="66" t="str">
        <f ca="1">IFERROR(INDIRECT(CONCATENATE("Field!C",A102+9)),"")</f>
        <v/>
      </c>
      <c r="D110" s="89" t="str">
        <f ca="1">IFERROR(INDIRECT(CONCATENATE("Field!D",A102+9)),"")</f>
        <v/>
      </c>
      <c r="E110" s="89" t="str">
        <f ca="1">IFERROR(INDIRECT(CONCATENATE("Field!E",A102+9)),"")</f>
        <v/>
      </c>
      <c r="F110" s="65" t="str">
        <f ca="1">IFERROR(INDIRECT(CONCATENATE("Field!F",A102+9)),"")</f>
        <v/>
      </c>
      <c r="G110" s="121" t="str">
        <f ca="1">IFERROR(INDIRECT(CONCATENATE("Field!G",A102+9)),"")</f>
        <v/>
      </c>
      <c r="H110" s="66"/>
      <c r="I110" s="66">
        <f ca="1">IFERROR(INDIRECT(CONCATENATE("Field!I",A102+9)),"")</f>
        <v>8</v>
      </c>
      <c r="J110" s="66" t="str">
        <f ca="1">IFERROR(INDIRECT(CONCATENATE("Field!J",A102+9)),"")</f>
        <v/>
      </c>
      <c r="K110" s="89" t="str">
        <f ca="1">IFERROR(INDIRECT(CONCATENATE("Field!K",A102+9)),"")</f>
        <v/>
      </c>
      <c r="L110" s="89" t="str">
        <f ca="1">IFERROR(INDIRECT(CONCATENATE("Field!L",A102+9)),"")</f>
        <v/>
      </c>
      <c r="M110" s="65" t="str">
        <f ca="1">IFERROR(INDIRECT(CONCATENATE("Field!M",A102+9)),"")</f>
        <v/>
      </c>
      <c r="N110" s="121" t="str">
        <f ca="1">IFERROR(INDIRECT(CONCATENATE("Field!N",A102+9)),"")</f>
        <v/>
      </c>
    </row>
    <row r="111" spans="1:18" x14ac:dyDescent="0.35">
      <c r="F111" s="67"/>
      <c r="M111" s="67"/>
    </row>
    <row r="112" spans="1:18" x14ac:dyDescent="0.35">
      <c r="A112" s="66" t="s">
        <v>246</v>
      </c>
      <c r="B112" s="115" t="str">
        <f ca="1">IFERROR(INDIRECT(CONCATENATE("Field!B",A113)),"")</f>
        <v>Javelin U13 Boys A</v>
      </c>
      <c r="F112" s="67"/>
      <c r="G112" s="121" t="str">
        <f ca="1">IFERROR(INDIRECT(CONCATENATE("Field!g",A113)),"")</f>
        <v/>
      </c>
      <c r="I112" s="115" t="str">
        <f ca="1">IFERROR(INDIRECT(CONCATENATE("Field!I",A113)),"")</f>
        <v>Javelin U13 Boys B</v>
      </c>
      <c r="M112" s="67"/>
    </row>
    <row r="113" spans="1:18" x14ac:dyDescent="0.35">
      <c r="A113" s="66">
        <f>IFERROR(MATCH(A112,Field!A:A,0),"")</f>
        <v>101</v>
      </c>
      <c r="B113" s="45" t="str">
        <f ca="1">IFERROR(INDIRECT(CONCATENATE("Field!B",A113+1)),"")</f>
        <v>Posn</v>
      </c>
      <c r="C113" s="45" t="str">
        <f ca="1">IFERROR(INDIRECT(CONCATENATE("Field!C",A113+1)),"")</f>
        <v>Bib</v>
      </c>
      <c r="D113" s="182" t="str">
        <f ca="1">IFERROR(INDIRECT(CONCATENATE("Field!D",A113+1)),"")</f>
        <v>Athlete</v>
      </c>
      <c r="E113" s="182" t="str">
        <f ca="1">IFERROR(INDIRECT(CONCATENATE("Field!E",A113+1)),"")</f>
        <v>Club</v>
      </c>
      <c r="F113" s="149" t="str">
        <f ca="1">IFERROR(INDIRECT(CONCATENATE("Field!F",A113+1)),"")</f>
        <v>Perf</v>
      </c>
      <c r="G113" s="218" t="str">
        <f ca="1">IFERROR(INDIRECT(CONCATENATE("Field!G",A113+1)),"")</f>
        <v>AAA</v>
      </c>
      <c r="H113" s="45"/>
      <c r="I113" s="45" t="str">
        <f ca="1">IFERROR(INDIRECT(CONCATENATE("Field!I",A113+1)),"")</f>
        <v>Posn</v>
      </c>
      <c r="J113" s="45" t="str">
        <f ca="1">IFERROR(INDIRECT(CONCATENATE("Field!J",A113+1)),"")</f>
        <v>Bib</v>
      </c>
      <c r="K113" s="182" t="str">
        <f ca="1">IFERROR(INDIRECT(CONCATENATE("Field!K",A113+1)),"")</f>
        <v>Athlete</v>
      </c>
      <c r="L113" s="182" t="str">
        <f ca="1">IFERROR(INDIRECT(CONCATENATE("Field!L",A113+1)),"")</f>
        <v>Club</v>
      </c>
      <c r="M113" s="149" t="str">
        <f ca="1">IFERROR(INDIRECT(CONCATENATE("Field!M",A113+1)),"")</f>
        <v>Perf</v>
      </c>
      <c r="N113" s="218" t="str">
        <f ca="1">IFERROR(INDIRECT(CONCATENATE("Field!N",A113+1)),"")</f>
        <v>AAA</v>
      </c>
    </row>
    <row r="114" spans="1:18" x14ac:dyDescent="0.35">
      <c r="B114" s="66">
        <f ca="1">IFERROR(INDIRECT(CONCATENATE("Field!B",A113+2)),"")</f>
        <v>1</v>
      </c>
      <c r="C114" s="66">
        <f ca="1">IFERROR(INDIRECT(CONCATENATE("Field!C",A113+2)),"")</f>
        <v>2</v>
      </c>
      <c r="D114" s="89" t="str">
        <f ca="1">IFERROR(INDIRECT(CONCATENATE("Field!D",A113+2)),"")</f>
        <v>HENNESSEY Thomas</v>
      </c>
      <c r="E114" s="89" t="str">
        <f ca="1">IFERROR(INDIRECT(CONCATENATE("Field!E",A113+2)),"")</f>
        <v>Sheff+D</v>
      </c>
      <c r="F114" s="65">
        <f ca="1">IFERROR(INDIRECT(CONCATENATE("Field!F",A113+2)),"")</f>
        <v>27.83</v>
      </c>
      <c r="G114" s="121">
        <f ca="1">IFERROR(INDIRECT(CONCATENATE("Field!G",A113+2)),"")</f>
        <v>3</v>
      </c>
      <c r="H114" s="66"/>
      <c r="I114" s="66">
        <f ca="1">IFERROR(INDIRECT(CONCATENATE("Field!I",A113+2)),"")</f>
        <v>1</v>
      </c>
      <c r="J114" s="66">
        <f ca="1">IFERROR(INDIRECT(CONCATENATE("Field!J",A113+2)),"")</f>
        <v>22</v>
      </c>
      <c r="K114" s="89" t="str">
        <f ca="1">IFERROR(INDIRECT(CONCATENATE("Field!K",A113+2)),"")</f>
        <v>COCKINGS Matthew</v>
      </c>
      <c r="L114" s="89" t="str">
        <f ca="1">IFERROR(INDIRECT(CONCATENATE("Field!L",A113+2)),"")</f>
        <v>Sheff+D</v>
      </c>
      <c r="M114" s="65">
        <f ca="1">IFERROR(INDIRECT(CONCATENATE("Field!M",A113+2)),"")</f>
        <v>16.329999999999998</v>
      </c>
      <c r="N114" s="121" t="str">
        <f ca="1">IFERROR(INDIRECT(CONCATENATE("Field!N",A113+2)),"")</f>
        <v/>
      </c>
      <c r="R114" s="219">
        <f ca="1">IFERROR(INDIRECT(CONCATENATE("Field!r",A113+2)),"")</f>
        <v>1</v>
      </c>
    </row>
    <row r="115" spans="1:18" x14ac:dyDescent="0.35">
      <c r="B115" s="66">
        <f ca="1">IFERROR(INDIRECT(CONCATENATE("Field!B",A113+3)),"")</f>
        <v>2</v>
      </c>
      <c r="C115" s="66">
        <f ca="1">IFERROR(INDIRECT(CONCATENATE("Field!C",A113+3)),"")</f>
        <v>3</v>
      </c>
      <c r="D115" s="89" t="str">
        <f ca="1">IFERROR(INDIRECT(CONCATENATE("Field!D",A113+3)),"")</f>
        <v>RUTTER Lewis</v>
      </c>
      <c r="E115" s="89" t="str">
        <f ca="1">IFERROR(INDIRECT(CONCATENATE("Field!E",A113+3)),"")</f>
        <v>York</v>
      </c>
      <c r="F115" s="65">
        <f ca="1">IFERROR(INDIRECT(CONCATENATE("Field!F",A113+3)),"")</f>
        <v>18.79</v>
      </c>
      <c r="G115" s="121" t="str">
        <f ca="1">IFERROR(INDIRECT(CONCATENATE("Field!G",A113+3)),"")</f>
        <v/>
      </c>
      <c r="H115" s="66"/>
      <c r="I115" s="66">
        <f ca="1">IFERROR(INDIRECT(CONCATENATE("Field!I",A113+3)),"")</f>
        <v>2</v>
      </c>
      <c r="J115" s="66">
        <f ca="1">IFERROR(INDIRECT(CONCATENATE("Field!J",A113+3)),"")</f>
        <v>33</v>
      </c>
      <c r="K115" s="89" t="str">
        <f ca="1">IFERROR(INDIRECT(CONCATENATE("Field!K",A113+3)),"")</f>
        <v>ROTHWELL Noah</v>
      </c>
      <c r="L115" s="89" t="str">
        <f ca="1">IFERROR(INDIRECT(CONCATENATE("Field!L",A113+3)),"")</f>
        <v>York</v>
      </c>
      <c r="M115" s="65">
        <f ca="1">IFERROR(INDIRECT(CONCATENATE("Field!M",A113+3)),"")</f>
        <v>14.45</v>
      </c>
      <c r="N115" s="121" t="str">
        <f ca="1">IFERROR(INDIRECT(CONCATENATE("Field!N",A113+3)),"")</f>
        <v/>
      </c>
    </row>
    <row r="116" spans="1:18" x14ac:dyDescent="0.35">
      <c r="B116" s="66">
        <f ca="1">IFERROR(INDIRECT(CONCATENATE("Field!B",A113+4)),"")</f>
        <v>3</v>
      </c>
      <c r="C116" s="66">
        <f ca="1">IFERROR(INDIRECT(CONCATENATE("Field!C",A113+4)),"")</f>
        <v>5</v>
      </c>
      <c r="D116" s="89" t="str">
        <f ca="1">IFERROR(INDIRECT(CONCATENATE("Field!D",A113+4)),"")</f>
        <v>COOK Alexander</v>
      </c>
      <c r="E116" s="89" t="str">
        <f ca="1">IFERROR(INDIRECT(CONCATENATE("Field!E",A113+4)),"")</f>
        <v>Scun</v>
      </c>
      <c r="F116" s="65">
        <f ca="1">IFERROR(INDIRECT(CONCATENATE("Field!F",A113+4)),"")</f>
        <v>16.600000000000001</v>
      </c>
      <c r="G116" s="121" t="str">
        <f ca="1">IFERROR(INDIRECT(CONCATENATE("Field!G",A113+4)),"")</f>
        <v/>
      </c>
      <c r="H116" s="66"/>
      <c r="I116" s="66">
        <f ca="1">IFERROR(INDIRECT(CONCATENATE("Field!I",A113+4)),"")</f>
        <v>3</v>
      </c>
      <c r="J116" s="66">
        <f ca="1">IFERROR(INDIRECT(CONCATENATE("Field!J",A113+4)),"")</f>
        <v>55</v>
      </c>
      <c r="K116" s="89" t="str">
        <f ca="1">IFERROR(INDIRECT(CONCATENATE("Field!K",A113+4)),"")</f>
        <v>PELL Nathan</v>
      </c>
      <c r="L116" s="89" t="str">
        <f ca="1">IFERROR(INDIRECT(CONCATENATE("Field!L",A113+4)),"")</f>
        <v>Scun</v>
      </c>
      <c r="M116" s="65">
        <f ca="1">IFERROR(INDIRECT(CONCATENATE("Field!M",A113+4)),"")</f>
        <v>11.57</v>
      </c>
      <c r="N116" s="121" t="str">
        <f ca="1">IFERROR(INDIRECT(CONCATENATE("Field!N",A113+4)),"")</f>
        <v/>
      </c>
    </row>
    <row r="117" spans="1:18" x14ac:dyDescent="0.35">
      <c r="B117" s="66">
        <f ca="1">IFERROR(INDIRECT(CONCATENATE("Field!B",A113+5)),"")</f>
        <v>4</v>
      </c>
      <c r="C117" s="66">
        <f ca="1">IFERROR(INDIRECT(CONCATENATE("Field!C",A113+5)),"")</f>
        <v>4</v>
      </c>
      <c r="D117" s="89" t="str">
        <f ca="1">IFERROR(INDIRECT(CONCATENATE("Field!D",A113+5)),"")</f>
        <v>MAYNARD Finley</v>
      </c>
      <c r="E117" s="89" t="str">
        <f ca="1">IFERROR(INDIRECT(CONCATENATE("Field!E",A113+5)),"")</f>
        <v>M'bro</v>
      </c>
      <c r="F117" s="65">
        <f ca="1">IFERROR(INDIRECT(CONCATENATE("Field!F",A113+5)),"")</f>
        <v>14.05</v>
      </c>
      <c r="G117" s="121" t="str">
        <f ca="1">IFERROR(INDIRECT(CONCATENATE("Field!G",A113+5)),"")</f>
        <v/>
      </c>
      <c r="H117" s="66"/>
      <c r="I117" s="66">
        <f ca="1">IFERROR(INDIRECT(CONCATENATE("Field!I",A113+5)),"")</f>
        <v>4</v>
      </c>
      <c r="J117" s="66" t="str">
        <f ca="1">IFERROR(INDIRECT(CONCATENATE("Field!J",A113+5)),"")</f>
        <v/>
      </c>
      <c r="K117" s="89" t="str">
        <f ca="1">IFERROR(INDIRECT(CONCATENATE("Field!K",A113+5)),"")</f>
        <v/>
      </c>
      <c r="L117" s="89" t="str">
        <f ca="1">IFERROR(INDIRECT(CONCATENATE("Field!L",A113+5)),"")</f>
        <v/>
      </c>
      <c r="M117" s="65" t="str">
        <f ca="1">IFERROR(INDIRECT(CONCATENATE("Field!M",A113+5)),"")</f>
        <v/>
      </c>
      <c r="N117" s="121" t="str">
        <f ca="1">IFERROR(INDIRECT(CONCATENATE("Field!N",A113+5)),"")</f>
        <v/>
      </c>
    </row>
    <row r="118" spans="1:18" x14ac:dyDescent="0.35">
      <c r="B118" s="66">
        <f ca="1">IFERROR(INDIRECT(CONCATENATE("Field!B",A113+6)),"")</f>
        <v>5</v>
      </c>
      <c r="C118" s="66">
        <f ca="1">IFERROR(INDIRECT(CONCATENATE("Field!C",A113+6)),"")</f>
        <v>1</v>
      </c>
      <c r="D118" s="89" t="str">
        <f ca="1">IFERROR(INDIRECT(CONCATENATE("Field!D",A113+6)),"")</f>
        <v>STOWELL Callum</v>
      </c>
      <c r="E118" s="89" t="str">
        <f ca="1">IFERROR(INDIRECT(CONCATENATE("Field!E",A113+6)),"")</f>
        <v>C'field</v>
      </c>
      <c r="F118" s="65">
        <f ca="1">IFERROR(INDIRECT(CONCATENATE("Field!F",A113+6)),"")</f>
        <v>12.32</v>
      </c>
      <c r="G118" s="121" t="str">
        <f ca="1">IFERROR(INDIRECT(CONCATENATE("Field!G",A113+6)),"")</f>
        <v/>
      </c>
      <c r="H118" s="66"/>
      <c r="I118" s="66">
        <f ca="1">IFERROR(INDIRECT(CONCATENATE("Field!I",A113+6)),"")</f>
        <v>5</v>
      </c>
      <c r="J118" s="66" t="str">
        <f ca="1">IFERROR(INDIRECT(CONCATENATE("Field!J",A113+6)),"")</f>
        <v/>
      </c>
      <c r="K118" s="89" t="str">
        <f ca="1">IFERROR(INDIRECT(CONCATENATE("Field!K",A113+6)),"")</f>
        <v/>
      </c>
      <c r="L118" s="89" t="str">
        <f ca="1">IFERROR(INDIRECT(CONCATENATE("Field!L",A113+6)),"")</f>
        <v/>
      </c>
      <c r="M118" s="65" t="str">
        <f ca="1">IFERROR(INDIRECT(CONCATENATE("Field!M",A113+6)),"")</f>
        <v/>
      </c>
      <c r="N118" s="121" t="str">
        <f ca="1">IFERROR(INDIRECT(CONCATENATE("Field!N",A113+6)),"")</f>
        <v/>
      </c>
    </row>
    <row r="119" spans="1:18" x14ac:dyDescent="0.35">
      <c r="B119" s="66">
        <f ca="1">IFERROR(INDIRECT(CONCATENATE("Field!B",A113+7)),"")</f>
        <v>6</v>
      </c>
      <c r="C119" s="66" t="str">
        <f ca="1">IFERROR(INDIRECT(CONCATENATE("Field!C",A113+7)),"")</f>
        <v/>
      </c>
      <c r="D119" s="89" t="str">
        <f ca="1">IFERROR(INDIRECT(CONCATENATE("Field!D",A113+7)),"")</f>
        <v/>
      </c>
      <c r="E119" s="89" t="str">
        <f ca="1">IFERROR(INDIRECT(CONCATENATE("Field!E",A113+7)),"")</f>
        <v/>
      </c>
      <c r="F119" s="65" t="str">
        <f ca="1">IFERROR(INDIRECT(CONCATENATE("Field!F",A113+7)),"")</f>
        <v/>
      </c>
      <c r="G119" s="121" t="str">
        <f ca="1">IFERROR(INDIRECT(CONCATENATE("Field!G",A113+7)),"")</f>
        <v/>
      </c>
      <c r="H119" s="66"/>
      <c r="I119" s="66">
        <f ca="1">IFERROR(INDIRECT(CONCATENATE("Field!I",A113+7)),"")</f>
        <v>6</v>
      </c>
      <c r="J119" s="66" t="str">
        <f ca="1">IFERROR(INDIRECT(CONCATENATE("Field!J",A113+7)),"")</f>
        <v/>
      </c>
      <c r="K119" s="89" t="str">
        <f ca="1">IFERROR(INDIRECT(CONCATENATE("Field!K",A113+7)),"")</f>
        <v/>
      </c>
      <c r="L119" s="89" t="str">
        <f ca="1">IFERROR(INDIRECT(CONCATENATE("Field!L",A113+7)),"")</f>
        <v/>
      </c>
      <c r="M119" s="65" t="str">
        <f ca="1">IFERROR(INDIRECT(CONCATENATE("Field!M",A113+7)),"")</f>
        <v/>
      </c>
      <c r="N119" s="121" t="str">
        <f ca="1">IFERROR(INDIRECT(CONCATENATE("Field!N",A113+7)),"")</f>
        <v/>
      </c>
    </row>
    <row r="120" spans="1:18" x14ac:dyDescent="0.35">
      <c r="B120" s="66">
        <f ca="1">IFERROR(INDIRECT(CONCATENATE("Field!B",A113+8)),"")</f>
        <v>7</v>
      </c>
      <c r="C120" s="66" t="str">
        <f ca="1">IFERROR(INDIRECT(CONCATENATE("Field!C",A113+8)),"")</f>
        <v/>
      </c>
      <c r="D120" s="89" t="str">
        <f ca="1">IFERROR(INDIRECT(CONCATENATE("Field!D",A113+8)),"")</f>
        <v/>
      </c>
      <c r="E120" s="89" t="str">
        <f ca="1">IFERROR(INDIRECT(CONCATENATE("Field!E",A113+8)),"")</f>
        <v/>
      </c>
      <c r="F120" s="65" t="str">
        <f ca="1">IFERROR(INDIRECT(CONCATENATE("Field!F",A113+8)),"")</f>
        <v/>
      </c>
      <c r="G120" s="121" t="str">
        <f ca="1">IFERROR(INDIRECT(CONCATENATE("Field!G",A113+8)),"")</f>
        <v/>
      </c>
      <c r="H120" s="66"/>
      <c r="I120" s="66">
        <f ca="1">IFERROR(INDIRECT(CONCATENATE("Field!I",A113+8)),"")</f>
        <v>7</v>
      </c>
      <c r="J120" s="66" t="str">
        <f ca="1">IFERROR(INDIRECT(CONCATENATE("Field!J",A113+8)),"")</f>
        <v/>
      </c>
      <c r="K120" s="89" t="str">
        <f ca="1">IFERROR(INDIRECT(CONCATENATE("Field!K",A113+8)),"")</f>
        <v/>
      </c>
      <c r="L120" s="89" t="str">
        <f ca="1">IFERROR(INDIRECT(CONCATENATE("Field!L",A113+8)),"")</f>
        <v/>
      </c>
      <c r="M120" s="65" t="str">
        <f ca="1">IFERROR(INDIRECT(CONCATENATE("Field!M",A113+8)),"")</f>
        <v/>
      </c>
      <c r="N120" s="121" t="str">
        <f ca="1">IFERROR(INDIRECT(CONCATENATE("Field!N",A113+8)),"")</f>
        <v/>
      </c>
    </row>
    <row r="121" spans="1:18" x14ac:dyDescent="0.35">
      <c r="B121" s="66">
        <f ca="1">IFERROR(INDIRECT(CONCATENATE("Field!B",A113+9)),"")</f>
        <v>8</v>
      </c>
      <c r="C121" s="66" t="str">
        <f ca="1">IFERROR(INDIRECT(CONCATENATE("Field!C",A113+9)),"")</f>
        <v/>
      </c>
      <c r="D121" s="89" t="str">
        <f ca="1">IFERROR(INDIRECT(CONCATENATE("Field!D",A113+9)),"")</f>
        <v/>
      </c>
      <c r="E121" s="89" t="str">
        <f ca="1">IFERROR(INDIRECT(CONCATENATE("Field!E",A113+9)),"")</f>
        <v/>
      </c>
      <c r="F121" s="65" t="str">
        <f ca="1">IFERROR(INDIRECT(CONCATENATE("Field!F",A113+9)),"")</f>
        <v/>
      </c>
      <c r="G121" s="121" t="str">
        <f ca="1">IFERROR(INDIRECT(CONCATENATE("Field!G",A113+9)),"")</f>
        <v/>
      </c>
      <c r="H121" s="66"/>
      <c r="I121" s="66">
        <f ca="1">IFERROR(INDIRECT(CONCATENATE("Field!I",A113+9)),"")</f>
        <v>8</v>
      </c>
      <c r="J121" s="66" t="str">
        <f ca="1">IFERROR(INDIRECT(CONCATENATE("Field!J",A113+9)),"")</f>
        <v/>
      </c>
      <c r="K121" s="89" t="str">
        <f ca="1">IFERROR(INDIRECT(CONCATENATE("Field!K",A113+9)),"")</f>
        <v/>
      </c>
      <c r="L121" s="89" t="str">
        <f ca="1">IFERROR(INDIRECT(CONCATENATE("Field!L",A113+9)),"")</f>
        <v/>
      </c>
      <c r="M121" s="65" t="str">
        <f ca="1">IFERROR(INDIRECT(CONCATENATE("Field!M",A113+9)),"")</f>
        <v/>
      </c>
      <c r="N121" s="121" t="str">
        <f ca="1">IFERROR(INDIRECT(CONCATENATE("Field!N",A113+9)),"")</f>
        <v/>
      </c>
    </row>
    <row r="123" spans="1:18" x14ac:dyDescent="0.35">
      <c r="A123" s="66" t="s">
        <v>316</v>
      </c>
      <c r="B123" s="115" t="str">
        <f ca="1">IFERROR(INDIRECT(CONCATENATE("Relays!B",A124)),"")</f>
        <v xml:space="preserve"> 4 x 100m U13 Boys A</v>
      </c>
      <c r="M123" s="301" t="str">
        <f ca="1">IFERROR(INDIRECT(CONCATENATE("Relays!i",A124)),"")</f>
        <v/>
      </c>
    </row>
    <row r="124" spans="1:18" x14ac:dyDescent="0.35">
      <c r="A124" s="66">
        <f>IFERROR(MATCH(A123,Relays!A:A,0),"")</f>
        <v>13</v>
      </c>
      <c r="B124" s="45" t="str">
        <f ca="1">IFERROR(INDIRECT(CONCATENATE("Relays!B",A124+1)),"")</f>
        <v>Posn</v>
      </c>
      <c r="C124" s="45" t="str">
        <f ca="1">IFERROR(INDIRECT(CONCATENATE("Relays!C",A124+1)),"")</f>
        <v>No.</v>
      </c>
      <c r="D124" s="182" t="s">
        <v>783</v>
      </c>
      <c r="G124" s="45"/>
      <c r="K124" s="45"/>
      <c r="L124" s="182" t="str">
        <f ca="1">IFERROR(INDIRECT(CONCATENATE("Relays!D",A124+1)),"")</f>
        <v>Club</v>
      </c>
      <c r="M124" s="301" t="str">
        <f ca="1">IFERROR(INDIRECT(CONCATENATE("Relays!i",A124+1)),"")</f>
        <v>Perf</v>
      </c>
    </row>
    <row r="125" spans="1:18" x14ac:dyDescent="0.35">
      <c r="B125" s="66">
        <f ca="1">IFERROR(INDIRECT(CONCATENATE("Relays!B",A124+2)),"")</f>
        <v>1</v>
      </c>
      <c r="C125" s="66">
        <f ca="1">IFERROR(INDIRECT(CONCATENATE("Relays!C",A124+2)),"")</f>
        <v>3</v>
      </c>
      <c r="D125" s="89" t="str">
        <f ca="1">IFERROR(IF(INDIRECT(CONCATENATE("Relays!e",A124+2))="","",INDIRECT(CONCATENATE("Relays!e",A124+2))&amp;", "&amp;INDIRECT(CONCATENATE("Relays!f",A124+2))&amp;", "&amp;INDIRECT(CONCATENATE("Relays!g",A124+2))&amp;", "&amp;INDIRECT(CONCATENATE("Relays!h",A124+2))),"")</f>
        <v>BASTOW Isaac, PEARSON Adam, HICKLING William, MARSHALL Syd</v>
      </c>
      <c r="G125" s="66"/>
      <c r="K125" s="66"/>
      <c r="L125" s="89" t="str">
        <f ca="1">IFERROR(INDIRECT(CONCATENATE("Relays!D",A124+2)),"")</f>
        <v>York</v>
      </c>
      <c r="M125" s="299">
        <f ca="1">IFERROR(INDIRECT(CONCATENATE("Relays!i",A124+2)),"")</f>
        <v>58.8</v>
      </c>
      <c r="R125" s="66">
        <f ca="1">IFERROR(INDIRECT(CONCATENATE("Relays!M",A124+2)),"")</f>
        <v>1</v>
      </c>
    </row>
    <row r="126" spans="1:18" x14ac:dyDescent="0.35">
      <c r="B126" s="66">
        <f ca="1">IFERROR(INDIRECT(CONCATENATE("Relays!B",A124+3)),"")</f>
        <v>2</v>
      </c>
      <c r="C126" s="66">
        <f ca="1">IFERROR(INDIRECT(CONCATENATE("Relays!C",A124+3)),"")</f>
        <v>2</v>
      </c>
      <c r="D126" s="89" t="str">
        <f ca="1">IFERROR(IF(INDIRECT(CONCATENATE("Relays!e",A124+3))="","",INDIRECT(CONCATENATE("Relays!e",A124+3))&amp;", "&amp;INDIRECT(CONCATENATE("Relays!f",A124+3))&amp;", "&amp;INDIRECT(CONCATENATE("Relays!g",A124+3))&amp;", "&amp;INDIRECT(CONCATENATE("Relays!h",A124+3))),"")</f>
        <v>REILLY Arthur, WINGFIELD Tyler, MAY Rudi, CONNELLY George</v>
      </c>
      <c r="G126" s="66"/>
      <c r="K126" s="66"/>
      <c r="L126" s="89" t="str">
        <f ca="1">IFERROR(INDIRECT(CONCATENATE("Relays!D",A124+3)),"")</f>
        <v>Sheff+D</v>
      </c>
      <c r="M126" s="299">
        <f ca="1">IFERROR(INDIRECT(CONCATENATE("Relays!i",A124+3)),"")</f>
        <v>59.8</v>
      </c>
    </row>
    <row r="127" spans="1:18" x14ac:dyDescent="0.35">
      <c r="B127" s="66">
        <f ca="1">IFERROR(INDIRECT(CONCATENATE("Relays!B",A124+4)),"")</f>
        <v>3</v>
      </c>
      <c r="C127" s="66">
        <f ca="1">IFERROR(INDIRECT(CONCATENATE("Relays!C",A124+4)),"")</f>
        <v>4</v>
      </c>
      <c r="D127" s="89" t="str">
        <f ca="1">IFERROR(IF(INDIRECT(CONCATENATE("Relays!e",A124+4))="","",INDIRECT(CONCATENATE("Relays!e",A124+4))&amp;", "&amp;INDIRECT(CONCATENATE("Relays!f",A124+4))&amp;", "&amp;INDIRECT(CONCATENATE("Relays!g",A124+4))&amp;", "&amp;INDIRECT(CONCATENATE("Relays!h",A124+4))),"")</f>
        <v>O'HARE Christy, MARRON Ethan, HONEYMAN Leo, MAYNARD Finley</v>
      </c>
      <c r="G127" s="66"/>
      <c r="K127" s="66"/>
      <c r="L127" s="89" t="str">
        <f ca="1">IFERROR(INDIRECT(CONCATENATE("Relays!D",A124+4)),"")</f>
        <v>M'bro</v>
      </c>
      <c r="M127" s="299">
        <f ca="1">IFERROR(INDIRECT(CONCATENATE("Relays!i",A124+4)),"")</f>
        <v>60.4</v>
      </c>
    </row>
    <row r="128" spans="1:18" x14ac:dyDescent="0.35">
      <c r="B128" s="66">
        <f ca="1">IFERROR(INDIRECT(CONCATENATE("Relays!B",A124+5)),"")</f>
        <v>4</v>
      </c>
      <c r="C128" s="66">
        <f ca="1">IFERROR(INDIRECT(CONCATENATE("Relays!C",A124+5)),"")</f>
        <v>1</v>
      </c>
      <c r="D128" s="89" t="str">
        <f ca="1">IFERROR(IF(INDIRECT(CONCATENATE("Relays!e",A124+5))="","",INDIRECT(CONCATENATE("Relays!e",A124+5))&amp;", "&amp;INDIRECT(CONCATENATE("Relays!f",A124+5))&amp;", "&amp;INDIRECT(CONCATENATE("Relays!g",A124+5))&amp;", "&amp;INDIRECT(CONCATENATE("Relays!h",A124+5))),"")</f>
        <v>DREW Matthew, STOWELL Callum, LOWE Seth, GASKIN Nathanael</v>
      </c>
      <c r="G128" s="66"/>
      <c r="K128" s="66"/>
      <c r="L128" s="89" t="str">
        <f ca="1">IFERROR(INDIRECT(CONCATENATE("Relays!D",A124+5)),"")</f>
        <v>C'field</v>
      </c>
      <c r="M128" s="299">
        <f ca="1">IFERROR(INDIRECT(CONCATENATE("Relays!i",A124+5)),"")</f>
        <v>62.9</v>
      </c>
    </row>
    <row r="129" spans="2:13" x14ac:dyDescent="0.35">
      <c r="B129" s="66">
        <f ca="1">IFERROR(INDIRECT(CONCATENATE("Relays!B",A124+6)),"")</f>
        <v>5</v>
      </c>
      <c r="C129" s="66">
        <f ca="1">IFERROR(INDIRECT(CONCATENATE("Relays!C",A124+6)),"")</f>
        <v>0</v>
      </c>
      <c r="D129" s="89" t="str">
        <f ca="1">IFERROR(IF(INDIRECT(CONCATENATE("Relays!e",A124+6))="","",INDIRECT(CONCATENATE("Relays!e",A124+6))&amp;", "&amp;INDIRECT(CONCATENATE("Relays!f",A124+6))&amp;", "&amp;INDIRECT(CONCATENATE("Relays!g",A124+6))&amp;", "&amp;INDIRECT(CONCATENATE("Relays!h",A124+6))),"")</f>
        <v/>
      </c>
      <c r="G129" s="66"/>
      <c r="K129" s="66"/>
      <c r="L129" s="89" t="str">
        <f ca="1">IFERROR(INDIRECT(CONCATENATE("Relays!D",A124+6)),"")</f>
        <v/>
      </c>
      <c r="M129" s="299">
        <f ca="1">IFERROR(INDIRECT(CONCATENATE("Relays!i",A124+6)),"")</f>
        <v>0</v>
      </c>
    </row>
    <row r="130" spans="2:13" x14ac:dyDescent="0.35">
      <c r="B130" s="66">
        <f ca="1">IFERROR(INDIRECT(CONCATENATE("Relays!B",A124+7)),"")</f>
        <v>6</v>
      </c>
      <c r="C130" s="66">
        <f ca="1">IFERROR(INDIRECT(CONCATENATE("Relays!C",A124+7)),"")</f>
        <v>0</v>
      </c>
      <c r="D130" s="89" t="str">
        <f ca="1">IFERROR(IF(INDIRECT(CONCATENATE("Relays!e",A124+7))="","",INDIRECT(CONCATENATE("Relays!e",A124+7))&amp;", "&amp;INDIRECT(CONCATENATE("Relays!f",A124+7))&amp;", "&amp;INDIRECT(CONCATENATE("Relays!g",A124+7))&amp;", "&amp;INDIRECT(CONCATENATE("Relays!h",A124+7))),"")</f>
        <v/>
      </c>
      <c r="G130" s="66"/>
      <c r="K130" s="66"/>
      <c r="L130" s="89" t="str">
        <f ca="1">IFERROR(INDIRECT(CONCATENATE("Relays!D",A124+7)),"")</f>
        <v/>
      </c>
      <c r="M130" s="299">
        <f ca="1">IFERROR(INDIRECT(CONCATENATE("Relays!i",A124+7)),"")</f>
        <v>0</v>
      </c>
    </row>
    <row r="131" spans="2:13" x14ac:dyDescent="0.35">
      <c r="B131" s="66">
        <f ca="1">IFERROR(INDIRECT(CONCATENATE("Relays!B",A124+8)),"")</f>
        <v>7</v>
      </c>
      <c r="C131" s="66">
        <f ca="1">IFERROR(INDIRECT(CONCATENATE("Relays!C",A124+8)),"")</f>
        <v>0</v>
      </c>
      <c r="D131" s="89" t="str">
        <f ca="1">IFERROR(IF(INDIRECT(CONCATENATE("Relays!e",A124+8))="","",INDIRECT(CONCATENATE("Relays!e",A124+8))&amp;", "&amp;INDIRECT(CONCATENATE("Relays!f",A124+8))&amp;", "&amp;INDIRECT(CONCATENATE("Relays!g",A124+8))&amp;", "&amp;INDIRECT(CONCATENATE("Relays!h",A124+8))),"")</f>
        <v/>
      </c>
      <c r="G131" s="66"/>
      <c r="K131" s="66"/>
      <c r="L131" s="89" t="str">
        <f ca="1">IFERROR(INDIRECT(CONCATENATE("Relays!D",A124+8)),"")</f>
        <v/>
      </c>
      <c r="M131" s="299">
        <f ca="1">IFERROR(INDIRECT(CONCATENATE("Relays!i",A124+8)),"")</f>
        <v>0</v>
      </c>
    </row>
    <row r="132" spans="2:13" x14ac:dyDescent="0.35">
      <c r="B132" s="66">
        <f ca="1">IFERROR(INDIRECT(CONCATENATE("Relays!B",A124+9)),"")</f>
        <v>8</v>
      </c>
      <c r="C132" s="66">
        <f ca="1">IFERROR(INDIRECT(CONCATENATE("Relays!C",A124+9)),"")</f>
        <v>0</v>
      </c>
      <c r="D132" s="89" t="str">
        <f ca="1">IFERROR(IF(INDIRECT(CONCATENATE("Relays!e",A124+9))="","",INDIRECT(CONCATENATE("Relays!e",A124+9))&amp;", "&amp;INDIRECT(CONCATENATE("Relays!f",A124+9))&amp;", "&amp;INDIRECT(CONCATENATE("Relays!g",A124+9))&amp;", "&amp;INDIRECT(CONCATENATE("Relays!h",A124+9))),"")</f>
        <v/>
      </c>
      <c r="G132" s="66"/>
      <c r="K132" s="66"/>
      <c r="L132" s="89" t="str">
        <f ca="1">IFERROR(INDIRECT(CONCATENATE("Relays!D",A124+9)),"")</f>
        <v/>
      </c>
      <c r="M132" s="299">
        <f ca="1">IFERROR(INDIRECT(CONCATENATE("Relays!i",A124+9)),"")</f>
        <v>0</v>
      </c>
    </row>
  </sheetData>
  <sheetProtection algorithmName="SHA-512" hashValue="wMQ5g/c/JYxBi/rz0tPhdWHIpuB3FvjdNqy+D98KlmEl2Py2DqeKakQDJ0BufnoayoyUkEbAPPzftionTUFgkQ==" saltValue="5+kYqrgW8JI7mQl4Xv+hiA==" spinCount="100000" sheet="1" objects="1" scenarios="1" formatCells="0" formatColumns="0" formatRows="0" sort="0" autoFilter="0"/>
  <mergeCells count="1">
    <mergeCell ref="L1:M1"/>
  </mergeCells>
  <printOptions horizontalCentered="1"/>
  <pageMargins left="0.31496062992125984" right="0.31496062992125984" top="0.98425196850393704" bottom="0.74803149606299213" header="0.31496062992125984" footer="0.31496062992125984"/>
  <pageSetup paperSize="9" orientation="portrait" r:id="rId1"/>
  <headerFooter>
    <oddHeader>&amp;L&amp;G&amp;CUK ATHLETICS :: YOUTH DEVELOPMENT LEAGUE 2019&amp;R&amp;"+,Regular"&amp;U&amp;A</oddHeader>
    <oddFooter>&amp;L&amp;9&amp;D &amp;T&amp;C&amp;G&amp;R&amp;9Page &amp;P of &amp;N</oddFooter>
  </headerFooter>
  <rowBreaks count="2" manualBreakCount="2">
    <brk id="45" min="1" max="13" man="1"/>
    <brk id="89" min="1" max="1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136</vt:i4>
      </vt:variant>
    </vt:vector>
  </HeadingPairs>
  <TitlesOfParts>
    <vt:vector size="166" baseType="lpstr">
      <vt:lpstr>Declarations</vt:lpstr>
      <vt:lpstr>downloads</vt:lpstr>
      <vt:lpstr>Dashboard</vt:lpstr>
      <vt:lpstr>MatchDay</vt:lpstr>
      <vt:lpstr>U15Be</vt:lpstr>
      <vt:lpstr>U15B</vt:lpstr>
      <vt:lpstr>U15G</vt:lpstr>
      <vt:lpstr>U15Ge</vt:lpstr>
      <vt:lpstr>U13B</vt:lpstr>
      <vt:lpstr>U13Be</vt:lpstr>
      <vt:lpstr>U13G</vt:lpstr>
      <vt:lpstr>U13Ge</vt:lpstr>
      <vt:lpstr>StartLists</vt:lpstr>
      <vt:lpstr>Track1</vt:lpstr>
      <vt:lpstr>Relays</vt:lpstr>
      <vt:lpstr>Middle D</vt:lpstr>
      <vt:lpstr>Distance Input</vt:lpstr>
      <vt:lpstr>Height Input</vt:lpstr>
      <vt:lpstr>Track2</vt:lpstr>
      <vt:lpstr>Field</vt:lpstr>
      <vt:lpstr>LAG Girls</vt:lpstr>
      <vt:lpstr>LAG Boys</vt:lpstr>
      <vt:lpstr>Points</vt:lpstr>
      <vt:lpstr>Distance</vt:lpstr>
      <vt:lpstr>Height</vt:lpstr>
      <vt:lpstr>Timetables</vt:lpstr>
      <vt:lpstr>AAA</vt:lpstr>
      <vt:lpstr>Teams</vt:lpstr>
      <vt:lpstr>Dates &amp; Venues</vt:lpstr>
      <vt:lpstr>Judging Duties</vt:lpstr>
      <vt:lpstr>_LFW01</vt:lpstr>
      <vt:lpstr>_LFW02</vt:lpstr>
      <vt:lpstr>_LFW03</vt:lpstr>
      <vt:lpstr>_LFW04</vt:lpstr>
      <vt:lpstr>downloads!download_LAG_R2.asp?fixtureID_12</vt:lpstr>
      <vt:lpstr>downloads!download_LAG_R2.asp?fixtureID_12_1</vt:lpstr>
      <vt:lpstr>downloads!download_LAG_R2.asp?fixtureID_12_10</vt:lpstr>
      <vt:lpstr>downloads!download_LAG_R2.asp?fixtureID_12_11</vt:lpstr>
      <vt:lpstr>downloads!download_LAG_R2.asp?fixtureID_12_12</vt:lpstr>
      <vt:lpstr>downloads!download_LAG_R2.asp?fixtureID_12_2</vt:lpstr>
      <vt:lpstr>downloads!download_LAG_R2.asp?fixtureID_12_3</vt:lpstr>
      <vt:lpstr>downloads!download_LAG_R2.asp?fixtureID_12_4</vt:lpstr>
      <vt:lpstr>downloads!download_LAG_R2.asp?fixtureID_12_5</vt:lpstr>
      <vt:lpstr>downloads!download_LAG_R2.asp?fixtureID_12_6</vt:lpstr>
      <vt:lpstr>downloads!download_LAG_R2.asp?fixtureID_12_7</vt:lpstr>
      <vt:lpstr>downloads!download_LAG_R2.asp?fixtureID_12_8</vt:lpstr>
      <vt:lpstr>downloads!download_LAG_R2.asp?fixtureID_12_9</vt:lpstr>
      <vt:lpstr>downloads!download_LAG_R2.asp?fixtureID_13</vt:lpstr>
      <vt:lpstr>downloads!download_LAG_R2.asp?fixtureID_13_1</vt:lpstr>
      <vt:lpstr>downloads!download_LAG_R2.asp?fixtureID_13_2</vt:lpstr>
      <vt:lpstr>downloads!download_LAG_R2.asp?fixtureID_13_3</vt:lpstr>
      <vt:lpstr>downloads!download_LAG_R2.asp?fixtureID_15</vt:lpstr>
      <vt:lpstr>downloads!download_LAG_R2.asp?fixtureID_15_1</vt:lpstr>
      <vt:lpstr>downloads!download_LAG_R2.asp?fixtureID_15_2</vt:lpstr>
      <vt:lpstr>downloads!download_LAG_R2.asp?fixtureID_15_3</vt:lpstr>
      <vt:lpstr>downloads!download_LAG_R2.asp?fixtureID_16</vt:lpstr>
      <vt:lpstr>downloads!download_LAG_R2.asp?fixtureID_6</vt:lpstr>
      <vt:lpstr>downloads!download_LAG_R2.asp?fixtureID_6_24</vt:lpstr>
      <vt:lpstr>downloads!download_LAG_R2.asp?fixtureID_6_25</vt:lpstr>
      <vt:lpstr>fdistance</vt:lpstr>
      <vt:lpstr>female_reg</vt:lpstr>
      <vt:lpstr>fheight</vt:lpstr>
      <vt:lpstr>judges</vt:lpstr>
      <vt:lpstr>judges2</vt:lpstr>
      <vt:lpstr>judgesp</vt:lpstr>
      <vt:lpstr>downloads!LAG_squads_F.asp?fixtureID_12</vt:lpstr>
      <vt:lpstr>downloads!LAG_squads_F.asp?fixtureID_12_1</vt:lpstr>
      <vt:lpstr>downloads!LAG_squads_F.asp?fixtureID_12_10</vt:lpstr>
      <vt:lpstr>downloads!LAG_squads_F.asp?fixtureID_12_11</vt:lpstr>
      <vt:lpstr>downloads!LAG_squads_F.asp?fixtureID_12_12</vt:lpstr>
      <vt:lpstr>downloads!LAG_squads_F.asp?fixtureID_12_2</vt:lpstr>
      <vt:lpstr>downloads!LAG_squads_F.asp?fixtureID_12_3</vt:lpstr>
      <vt:lpstr>downloads!LAG_squads_F.asp?fixtureID_12_4</vt:lpstr>
      <vt:lpstr>downloads!LAG_squads_F.asp?fixtureID_12_5</vt:lpstr>
      <vt:lpstr>downloads!LAG_squads_F.asp?fixtureID_12_6</vt:lpstr>
      <vt:lpstr>downloads!LAG_squads_F.asp?fixtureID_12_7</vt:lpstr>
      <vt:lpstr>downloads!LAG_squads_F.asp?fixtureID_12_8</vt:lpstr>
      <vt:lpstr>downloads!LAG_squads_F.asp?fixtureID_12_9</vt:lpstr>
      <vt:lpstr>downloads!LAG_squads_F.asp?fixtureID_13</vt:lpstr>
      <vt:lpstr>downloads!LAG_squads_F.asp?fixtureID_13_1</vt:lpstr>
      <vt:lpstr>downloads!LAG_squads_F.asp?fixtureID_13_2</vt:lpstr>
      <vt:lpstr>downloads!LAG_squads_F.asp?fixtureID_13_3</vt:lpstr>
      <vt:lpstr>downloads!LAG_squads_F.asp?fixtureID_15</vt:lpstr>
      <vt:lpstr>downloads!LAG_squads_F.asp?fixtureID_15_1</vt:lpstr>
      <vt:lpstr>downloads!LAG_squads_F.asp?fixtureID_15_2</vt:lpstr>
      <vt:lpstr>downloads!LAG_squads_F.asp?fixtureID_15_3</vt:lpstr>
      <vt:lpstr>downloads!LAG_squads_F.asp?fixtureID_16</vt:lpstr>
      <vt:lpstr>downloads!LAG_squads_F.asp?fixtureID_6</vt:lpstr>
      <vt:lpstr>downloads!LAG_squads_F.asp?fixtureID_6_23</vt:lpstr>
      <vt:lpstr>downloads!LAG_squads_F.asp?fixtureID_6_24</vt:lpstr>
      <vt:lpstr>downloads!LAG_squads_M.asp?fixtureID_12</vt:lpstr>
      <vt:lpstr>downloads!LAG_squads_M.asp?fixtureID_12_1</vt:lpstr>
      <vt:lpstr>downloads!LAG_squads_M.asp?fixtureID_12_10</vt:lpstr>
      <vt:lpstr>downloads!LAG_squads_M.asp?fixtureID_12_11</vt:lpstr>
      <vt:lpstr>downloads!LAG_squads_M.asp?fixtureID_12_12</vt:lpstr>
      <vt:lpstr>downloads!LAG_squads_M.asp?fixtureID_12_2</vt:lpstr>
      <vt:lpstr>downloads!LAG_squads_M.asp?fixtureID_12_3</vt:lpstr>
      <vt:lpstr>downloads!LAG_squads_M.asp?fixtureID_12_4</vt:lpstr>
      <vt:lpstr>downloads!LAG_squads_M.asp?fixtureID_12_5</vt:lpstr>
      <vt:lpstr>downloads!LAG_squads_M.asp?fixtureID_12_6</vt:lpstr>
      <vt:lpstr>downloads!LAG_squads_M.asp?fixtureID_12_7</vt:lpstr>
      <vt:lpstr>downloads!LAG_squads_M.asp?fixtureID_12_8</vt:lpstr>
      <vt:lpstr>downloads!LAG_squads_M.asp?fixtureID_12_9</vt:lpstr>
      <vt:lpstr>downloads!LAG_squads_M.asp?fixtureID_13</vt:lpstr>
      <vt:lpstr>downloads!LAG_squads_M.asp?fixtureID_13_1</vt:lpstr>
      <vt:lpstr>downloads!LAG_squads_M.asp?fixtureID_13_2</vt:lpstr>
      <vt:lpstr>downloads!LAG_squads_M.asp?fixtureID_13_3</vt:lpstr>
      <vt:lpstr>downloads!LAG_squads_M.asp?fixtureID_15</vt:lpstr>
      <vt:lpstr>downloads!LAG_squads_M.asp?fixtureID_15_1</vt:lpstr>
      <vt:lpstr>downloads!LAG_squads_M.asp?fixtureID_15_2</vt:lpstr>
      <vt:lpstr>downloads!LAG_squads_M.asp?fixtureID_15_3</vt:lpstr>
      <vt:lpstr>downloads!LAG_squads_M.asp?fixtureID_16</vt:lpstr>
      <vt:lpstr>downloads!LAG_squads_M.asp?fixtureID_6</vt:lpstr>
      <vt:lpstr>downloads!LAG_squads_M.asp?fixtureID_6_24</vt:lpstr>
      <vt:lpstr>downloads!LAG_squads_M.asp?fixtureID_6_25</vt:lpstr>
      <vt:lpstr>LAGMI</vt:lpstr>
      <vt:lpstr>LAGNO</vt:lpstr>
      <vt:lpstr>LAGSC</vt:lpstr>
      <vt:lpstr>LAGSO</vt:lpstr>
      <vt:lpstr>LAGYD</vt:lpstr>
      <vt:lpstr>lanes6</vt:lpstr>
      <vt:lpstr>Lanes7</vt:lpstr>
      <vt:lpstr>male_reg</vt:lpstr>
      <vt:lpstr>numbers_</vt:lpstr>
      <vt:lpstr>numbers_A</vt:lpstr>
      <vt:lpstr>points5</vt:lpstr>
      <vt:lpstr>points6</vt:lpstr>
      <vt:lpstr>points7</vt:lpstr>
      <vt:lpstr>points8</vt:lpstr>
      <vt:lpstr>AAA!Print_Area</vt:lpstr>
      <vt:lpstr>Declarations!Print_Area</vt:lpstr>
      <vt:lpstr>Distance!Print_Area</vt:lpstr>
      <vt:lpstr>'Distance Input'!Print_Area</vt:lpstr>
      <vt:lpstr>Field!Print_Area</vt:lpstr>
      <vt:lpstr>Height!Print_Area</vt:lpstr>
      <vt:lpstr>MatchDay!Print_Area</vt:lpstr>
      <vt:lpstr>Relays!Print_Area</vt:lpstr>
      <vt:lpstr>StartLists!Print_Area</vt:lpstr>
      <vt:lpstr>Timetables!Print_Area</vt:lpstr>
      <vt:lpstr>Track1!Print_Area</vt:lpstr>
      <vt:lpstr>Track2!Print_Area</vt:lpstr>
      <vt:lpstr>U13B!Print_Area</vt:lpstr>
      <vt:lpstr>U13Be!Print_Area</vt:lpstr>
      <vt:lpstr>U13G!Print_Area</vt:lpstr>
      <vt:lpstr>U13Ge!Print_Area</vt:lpstr>
      <vt:lpstr>U15B!Print_Area</vt:lpstr>
      <vt:lpstr>U15Be!Print_Area</vt:lpstr>
      <vt:lpstr>U15G!Print_Area</vt:lpstr>
      <vt:lpstr>U15Ge!Print_Area</vt:lpstr>
      <vt:lpstr>Field!Print_Titles</vt:lpstr>
      <vt:lpstr>Relays!Print_Titles</vt:lpstr>
      <vt:lpstr>StartLists!Print_Titles</vt:lpstr>
      <vt:lpstr>Track1!Print_Titles</vt:lpstr>
      <vt:lpstr>Track2!Print_Titles</vt:lpstr>
      <vt:lpstr>U13B!Print_Titles</vt:lpstr>
      <vt:lpstr>U13Be!Print_Titles</vt:lpstr>
      <vt:lpstr>U13G!Print_Titles</vt:lpstr>
      <vt:lpstr>U13Ge!Print_Titles</vt:lpstr>
      <vt:lpstr>U15B!Print_Titles</vt:lpstr>
      <vt:lpstr>U15Be!Print_Titles</vt:lpstr>
      <vt:lpstr>U15G!Print_Titles</vt:lpstr>
      <vt:lpstr>U15Ge!Print_Titles</vt:lpstr>
      <vt:lpstr>records</vt:lpstr>
      <vt:lpstr>standards</vt:lpstr>
      <vt:lpstr>teamlookup</vt:lpstr>
      <vt:lpstr>timetables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YDL 2019</dc:title>
  <dc:creator>SAF</dc:creator>
  <cp:lastModifiedBy>chris pell</cp:lastModifiedBy>
  <cp:lastPrinted>2019-04-27T15:56:28Z</cp:lastPrinted>
  <dcterms:created xsi:type="dcterms:W3CDTF">2017-01-16T14:31:11Z</dcterms:created>
  <dcterms:modified xsi:type="dcterms:W3CDTF">2019-04-30T10:01:10Z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c74c335c-f559-400b-8b44-567533977017</vt:lpwstr>
  </property>
</Properties>
</file>